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RORING MICRODEMAND" sheetId="1" r:id="rId5"/>
  </sheets>
  <definedNames>
    <definedName hidden="1" localSheetId="0" name="_xlnm._FilterDatabase">'MIRORING MICRODEMAND'!$A$3:$AK$2739</definedName>
  </definedNames>
  <calcPr/>
  <pivotCaches>
    <pivotCache cacheId="0" r:id="rId6"/>
  </pivotCaches>
</workbook>
</file>

<file path=xl/sharedStrings.xml><?xml version="1.0" encoding="utf-8"?>
<sst xmlns="http://schemas.openxmlformats.org/spreadsheetml/2006/main" count="749" uniqueCount="200">
  <si>
    <t>KOMITMEN</t>
  </si>
  <si>
    <t>GOLIVE</t>
  </si>
  <si>
    <r>
      <rPr>
        <rFont val="Arial"/>
        <b/>
        <color theme="1"/>
        <sz val="23.0"/>
      </rPr>
      <t xml:space="preserve">UPDATE KPI ED SUMBAGTENG MtD </t>
    </r>
    <r>
      <rPr>
        <rFont val="Arial"/>
        <b/>
        <color theme="1"/>
        <sz val="10.0"/>
      </rPr>
      <t>based on target HO</t>
    </r>
  </si>
  <si>
    <r>
      <rPr>
        <rFont val="Arial"/>
        <b/>
        <color theme="1"/>
        <sz val="23.0"/>
      </rPr>
      <t xml:space="preserve">UPDATE KPI ED SUMBAGTENG YtD </t>
    </r>
    <r>
      <rPr>
        <rFont val="Arial"/>
        <b/>
        <color theme="1"/>
        <sz val="10.0"/>
      </rPr>
      <t>based on target HO</t>
    </r>
  </si>
  <si>
    <t>KOMITMEN TA</t>
  </si>
  <si>
    <t>DEVIASI DARI KOMITMEN</t>
  </si>
  <si>
    <t>KET DEV</t>
  </si>
  <si>
    <t>PLAN APRIL</t>
  </si>
  <si>
    <t>GRAND TOTAL ODP &amp; PORT</t>
  </si>
  <si>
    <t>REAL GOLIVE ODP &amp; PORT HI</t>
  </si>
  <si>
    <t>ACH</t>
  </si>
  <si>
    <t>DISTRICT</t>
  </si>
  <si>
    <t>PT2</t>
  </si>
  <si>
    <t>PT3</t>
  </si>
  <si>
    <t>DEPLOYMENT ALPRO</t>
  </si>
  <si>
    <t>NO</t>
  </si>
  <si>
    <t>TAHUN</t>
  </si>
  <si>
    <t>ID-IHLD</t>
  </si>
  <si>
    <t>NAMA LOP</t>
  </si>
  <si>
    <t>REGIONAL</t>
  </si>
  <si>
    <t>AREA</t>
  </si>
  <si>
    <t>STO</t>
  </si>
  <si>
    <t>REGION FMC</t>
  </si>
  <si>
    <t>BRANCH FMC</t>
  </si>
  <si>
    <t>BATCH PROGRAM</t>
  </si>
  <si>
    <t>ODP PLAN</t>
  </si>
  <si>
    <t>PORT PLAN</t>
  </si>
  <si>
    <t>NAMA MITRA</t>
  </si>
  <si>
    <t>STATUS</t>
  </si>
  <si>
    <t>SUB STATUS KONS</t>
  </si>
  <si>
    <t>DETAIL STATUS</t>
  </si>
  <si>
    <t>BULAN GOLIVE</t>
  </si>
  <si>
    <t>KOMITMEN GOLIVE</t>
  </si>
  <si>
    <t>Tgl Golive</t>
  </si>
  <si>
    <t>FINAL</t>
  </si>
  <si>
    <t>POTENSI PORT GL HARIAN</t>
  </si>
  <si>
    <t>SUM of ODP PLAN</t>
  </si>
  <si>
    <t>SUM of PORT PLAN</t>
  </si>
  <si>
    <t>Target</t>
  </si>
  <si>
    <t>Realisasi MtD</t>
  </si>
  <si>
    <t>Ach</t>
  </si>
  <si>
    <t>Realisasi YtD</t>
  </si>
  <si>
    <t>SMB PT3-SWL-FB KOTA SAWAHLUNTO_93280</t>
  </si>
  <si>
    <t>REGIONAL I</t>
  </si>
  <si>
    <t>SWL</t>
  </si>
  <si>
    <t>SUMBAGTENG</t>
  </si>
  <si>
    <t>PADANG</t>
  </si>
  <si>
    <t>Batch 3</t>
  </si>
  <si>
    <t>PT TANJUNG PUTRA PRIMA</t>
  </si>
  <si>
    <t>6. FINISH INSTALASI</t>
  </si>
  <si>
    <t>6.8 Sudah Submit ABD ke SDI</t>
  </si>
  <si>
    <t>(05/03) ABD done submit ke sdi (02/03) ABD OGP submit ke sdi (18/02) penarikan kabel PLAN FI 22/02 (29/01) proses delivery material (21/01) proses CReate PID (07/01) Persiapan</t>
  </si>
  <si>
    <t>MARET</t>
  </si>
  <si>
    <t>BATAM</t>
  </si>
  <si>
    <t>RKP TSEL PT3 LBJ-FBF BKG NUSANTARA 1</t>
  </si>
  <si>
    <t>LBJ</t>
  </si>
  <si>
    <t>PT HDUA PUTRA PRAJODA</t>
  </si>
  <si>
    <t>6.7 Belum Submit ABD</t>
  </si>
  <si>
    <t>26/02 Terminasi ODP dan Jumper FTM. 18/02 Izin di acc dengan catatan haru benjar jaringan eksisting. 16/02 Plan anwijzing 19 Feb. 11/02 Peralihan mitra. 28/01 Mitra tripola belum ada PIC untuk anwijzing. 23/01 Plan anwijzing 26 Jan, pic mitra ada pertanggal 25 jan. 21/01 proses penunjukan mitra 11/02 Peralihan mitra. 28/01 Mitra tripola belum ada PIC untuk anwijzing. 23/01 Plan anwijzing 26 Jan, pic mitra ada pertanggal 25 jan. 21/01 proses penunjukan mitra</t>
  </si>
  <si>
    <t>BUKIT TINGGI</t>
  </si>
  <si>
    <t>RDR JPP PT4 JL HARAPAN JAYA BAGAN BATU</t>
  </si>
  <si>
    <t>BGU</t>
  </si>
  <si>
    <t>DUMAI</t>
  </si>
  <si>
    <t>PT DWI MITRA JAYA UTAMA</t>
  </si>
  <si>
    <t>6.3 Kendala OLT / Mini OLT / OTN</t>
  </si>
  <si>
    <t>12/02 Menunggu Mini OLT UJT666 29/01 Terminasi ODP</t>
  </si>
  <si>
    <t>RDR JPP PT3 250_184_2904</t>
  </si>
  <si>
    <t>BKR</t>
  </si>
  <si>
    <t>PEKANBARU</t>
  </si>
  <si>
    <t>PT TIGA AKSES MANDIRI</t>
  </si>
  <si>
    <t>5. INSTALASI</t>
  </si>
  <si>
    <t>5.6 Proses Penarikan Kabel</t>
  </si>
  <si>
    <t>04/03 Pekerjaan sudah lanjut penarikan kabel 20/02 Pekerjaan di stop oleh warga setempat 10/02 Pengitiman material ke Lokasi 29/01 Antrian review hasil anwidzing</t>
  </si>
  <si>
    <t>RDR JPP PT3 250_200_2865</t>
  </si>
  <si>
    <t>ARK</t>
  </si>
  <si>
    <t>PT UPAYA TEKNIK</t>
  </si>
  <si>
    <t>5.4 Proses Penanaman Tiang</t>
  </si>
  <si>
    <t>SMB-PT3-ODC-SIG-FA-150527-63694-36373</t>
  </si>
  <si>
    <t>SIG</t>
  </si>
  <si>
    <t>PT TSUIKA BERKAH RAYA</t>
  </si>
  <si>
    <t>(05/03) ABD done submit ke sdi (02/03) ABD OGP submit ke sdi (18/02) Tanam tiang plan FI 21/02 (03/02) Proses create PID (29/01) Done aanwijziing , proses eval</t>
  </si>
  <si>
    <t>Grand Total</t>
  </si>
  <si>
    <t>RKP PT3 TSEL BUM-FJ GG. APEL TJ. BUNTUNG</t>
  </si>
  <si>
    <t>BUM</t>
  </si>
  <si>
    <t>Batch 2</t>
  </si>
  <si>
    <t>PT TRIPOLA PANATA</t>
  </si>
  <si>
    <t>5.9 Proses Pemasangan/Terminasi ODP/OTB</t>
  </si>
  <si>
    <t>18/02 Fi tanggal 24 Feb, Sumbit ABD tanggal 25 Feb. 09/02 Proses terminasi. 04/02 Proses tarik kabel, plan FI tanggal 07. 30/01 Tanam tiang. 28/01 Deliv material, Plan tanam tiang tgl 29, tarik kabel 30, Terminasi dan ABD mancore tanggal 31</t>
  </si>
  <si>
    <t>TARGET</t>
  </si>
  <si>
    <t>RKP TSEL PT3 SLU-FAS KOTA BATAM_18520</t>
  </si>
  <si>
    <t>SLU</t>
  </si>
  <si>
    <t>PT MITRA HOSINDO SEJAHTERA</t>
  </si>
  <si>
    <t>4. MATDEL</t>
  </si>
  <si>
    <t>4.1 Belum Request Material (Alista)</t>
  </si>
  <si>
    <t>16/02 CPP eval OK, progres deliv material. 11/02 Done survey. izin OK. 09/02 sudah anwijzing dan perizinan, plan pembuatan BOQ dan KML survey. 29/01 anwijzing OK, proses perizinan. 28/01 Plan survey HI.. 21/01 plansurvey 28 Jan</t>
  </si>
  <si>
    <t>ACH GOLIVE</t>
  </si>
  <si>
    <t>RKP TSEL PT2 KMS-FAQ 250_402_4247</t>
  </si>
  <si>
    <t>KMS</t>
  </si>
  <si>
    <t>PT SALTTEK DUMPANG JAYA</t>
  </si>
  <si>
    <t>04/03 ABD mitra. 12/02 MP Terbatas di pulau tanjung pinang, tidak bisa komit sampai bulan maret. 09/02 plan anwijzing minggu ini, PIC mitra paralel progres installasi.04/02 Order Batch 3 di survey minggu depan. 23/01 Plan anwijzing 26 Jan, Order Baru. 22/01 Order baru, proses penunjukan mitra</t>
  </si>
  <si>
    <t>RDR PPN PT4 P2I2 DALU DALU PEKAN TEBI</t>
  </si>
  <si>
    <t>PPN</t>
  </si>
  <si>
    <t>PT LIBER PERSADA MANDIRI</t>
  </si>
  <si>
    <t>04/03 Menunggu Discovery Mini OLT 02/03 Menunggu Mini OLT PPN224 20/02 Plan Selesai Fisik 27 Feb 10/02 Pengitiman material ke Lokasi 29/01 Menunggu Order Mini OLT (07/01) Persiapan</t>
  </si>
  <si>
    <t>RDR SOK PT3 P3I1 SOK FE</t>
  </si>
  <si>
    <t>SOK</t>
  </si>
  <si>
    <t>PT KENCANA RAYA INDONESIA</t>
  </si>
  <si>
    <t>20/02 Plan selesai fisik 28 Feb 10/02 Antrian Tim Mitra 09/02 Antrian Review 29/01 Antrian Review hasil anwidzing 21/01 Terget selesai survey 24 Jan (07/01) Persiapan</t>
  </si>
  <si>
    <t>RDR JPP PT3 TAMBAHAN BKN FAD</t>
  </si>
  <si>
    <t>BKN</t>
  </si>
  <si>
    <t>PT SINAR KEPRI SEJAHTERA</t>
  </si>
  <si>
    <t>10/02 Pengitiman material ke Lokasi 29/01 Pengiriman material ke Lokasi (07/01) Persiapan</t>
  </si>
  <si>
    <t>GRAND TOTAL</t>
  </si>
  <si>
    <t>SMB-PT3-ODC-SIG-FA-54664-36312-99064</t>
  </si>
  <si>
    <t>(05/03) ABD done submit ke sdi (02/03) ABD OGP submit ke sdi (18/02) Tanam tiang plan FI 20/02 (03/02) Proses create PID (29/01) Done aanwijziing , proses eval</t>
  </si>
  <si>
    <t>RKP PT3 JPPTSEL NGS-FAB ANGSANA GADING THP 3</t>
  </si>
  <si>
    <t>NGS</t>
  </si>
  <si>
    <t>PT MITRA AKSES INSANI</t>
  </si>
  <si>
    <t>18/02 Jointer tiba di hari jumat tanggal 20 Feb, plan FI tanggal 21 Feb, ABD submit 23 Feb. 16/02 Progres terminasi ODP. 12/02 Proses galian dan tanam tiang. 09/02 belum di survey karena, PIC mitra masih fokus di installasi dan LOP butuh percepatan dari Telkomsel. 29/01 Plan survey tanggal 30 karena PIC mitra sdg berhalangan. 28/01 Plan survey 29 Jan. 22/01 Plan survey 24 Jan</t>
  </si>
  <si>
    <t>RKP PT3 TSEL TBK-FZ KP. HARAPAN</t>
  </si>
  <si>
    <t>TBK</t>
  </si>
  <si>
    <t>16/02 Izin belum di acc tuan tanah, RT OK. 09/02 FU kembali izin besok 10 Feb karena PIC sedang fokus installasi. 28/01 Plan survey tanggal 29 Jan. 21/01 plan anwijzing 26 jan, peralihan mitra</t>
  </si>
  <si>
    <t>RKP PT3 TSEL TJT-FG JL. JEND SUDIRMAN</t>
  </si>
  <si>
    <t>TJT</t>
  </si>
  <si>
    <t>26/02 Tanam tiang DONE, proses tarik kabel tim serial.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t>
  </si>
  <si>
    <t>RDR BGU PT3 P1I1 Jl.LintasSumatraBalam</t>
  </si>
  <si>
    <t>PT ALAM UTAMA MULIA</t>
  </si>
  <si>
    <t>6.5 Proses Valins</t>
  </si>
  <si>
    <t>04/03 Proses Valins 12/02 Menunggu Mini OLT UJT515 29/01 Terminasi ODP 20/01 Pemasangan odp (07/01) Persiapan</t>
  </si>
  <si>
    <t>RDR UBT PT3 P1I1 UBT FT</t>
  </si>
  <si>
    <t>UBT</t>
  </si>
  <si>
    <t>PT TRI LESMA INDONESIA</t>
  </si>
  <si>
    <t>10/02 Pemasangan ODP 29/01 Terminasi ODP 20/01 Pemasangan odp (07/01) Persiapan</t>
  </si>
  <si>
    <t>RDR JPP PT3 JL BANGUN JINAWI</t>
  </si>
  <si>
    <t>DUM</t>
  </si>
  <si>
    <t>12/02 Proses Vallins 29/01 Menunggu tim utk valins 22/01 Jumper dan valins</t>
  </si>
  <si>
    <t>RKP PT3 TSEL BDS-FQ TIBAN GEMILANG</t>
  </si>
  <si>
    <t>DGS</t>
  </si>
  <si>
    <t>PT MITRA SETIA INDONESIA</t>
  </si>
  <si>
    <t>27/02 Terminasi ODP. 12/02 Proses req material. 09/02 Core dist dan feeder OK, proses perizinan. 28/01 Plan survey 29 Jan. 21/01 plan survey minggu depan tgl 26</t>
  </si>
  <si>
    <t>SMB PT3-LBS-FD SMB STTF KP. MELAYU</t>
  </si>
  <si>
    <t>LBS</t>
  </si>
  <si>
    <t>PT GARINDO TECHNO MANDIRI</t>
  </si>
  <si>
    <t>5.1 Progress kendala Comcase</t>
  </si>
  <si>
    <t>(05/03) terminasi ODP, menunggu dana comcase (02/03) penyerahan dana comcase HI, dan lanjut instalasi (18/02) tanam tiang PLan FI 20/02 (05/02) proses tanam tiang (29/01) proses create PID (21/01) proses aanwijziing (07/01) Persiapan</t>
  </si>
  <si>
    <t>RKP TSEL PT3 SLU-FBQ 250_463_4012</t>
  </si>
  <si>
    <t>16/02 Penarikan di Tiang eksisting, namun warga meminta tetap izin dahulu ke RT. 11/02 Done survey. izin OK. 09/02 sudah anwijzing dan perizinan, plan pembuatan BOQ dan KML survey. 29/01 anwijzing OK, proses perizinan. 28/01 Plan survey HI.. 21/01 plansurvey 28 Jan</t>
  </si>
  <si>
    <t>RKP PT3 TSEL TJT-FH JL SUNARYO</t>
  </si>
  <si>
    <t>SMB-PT3-ODC-PYK-FF-PYK-107920 - 158925</t>
  </si>
  <si>
    <t>PYK</t>
  </si>
  <si>
    <t>7.1 Golive Full</t>
  </si>
  <si>
    <t>(10/03) ABD done ke SDI, Menunggu hasil UT 10/03 (05/03) proses create PID 3/3 Meeting ED1 - TAREGION - TA AREA ACC CPP Tinggi LANJUT (03/02) CPP aman, kenaikan 45% (29/01) Done aanwijziing , proses eval</t>
  </si>
  <si>
    <t>RDR JPP PT3 KAMPAR_64178</t>
  </si>
  <si>
    <t>23/02 Penanaman tiang 09/02 Antrian Review 29/01 Antrian review hasil anwidzing</t>
  </si>
  <si>
    <t>SMB-PT3-SWL-FC AOi425020103093452565dde0</t>
  </si>
  <si>
    <t>RKP PT3 TSEL TJT-FH JALAN PARIT SERATUS</t>
  </si>
  <si>
    <t>RKP PT3 TSEL TJT-FL TANJUNG BATU BARU</t>
  </si>
  <si>
    <t>RKP TSEL PT2 SLU-FCV 250_451_4028</t>
  </si>
  <si>
    <t>16/02 Progres Req Material. 13/02 Anwijzing OK, izin belum di beri kepastian. 12/02 Plan anwijzing besok 13 Feb. 09/02 Plan anwijzing 11 Feb 2026. 29/01 Plan survey 30 Jan. 23/01 Plan anwijzing 26 Jan, Order Baru. 22/01 Order baru, proses penunjukan mitra</t>
  </si>
  <si>
    <t>SMB-PT3-ODC-KOU-FA-250_174_2418</t>
  </si>
  <si>
    <t>KOU</t>
  </si>
  <si>
    <t>(05/03) terminasi ODP, menunggu dana comcase (02/03) penyerahan dana comcase HI, dan lanjut instalasi (18/02) Terminasi ODP, kendala comcase (05/02) proses tanam tiang (29/01) proses create PID (21/01) proses aanwijziing (07/01) Persiapan</t>
  </si>
  <si>
    <t>RKP TSEL PT3 SLU-FBC KAV. SEI LEKOP</t>
  </si>
  <si>
    <t>07/02 MP mitra masih di TJT. 06/02 Izin OK, anwijzing OK. 28/01 Plan survey 29 Jan. 21/01 plan survey minggu depan tgl 26</t>
  </si>
  <si>
    <t>RKP PT3 TSEL TJT-FL JL. SAWANG KUNDUR</t>
  </si>
  <si>
    <t>RKP PT3 JPP TJT-FG JL. SARTIKA</t>
  </si>
  <si>
    <t>RDR TAK PT3 P2I2 TAMBAHAN SUNGAI PAKU</t>
  </si>
  <si>
    <t>TAK</t>
  </si>
  <si>
    <t>10/02 Antrian Tim Mitra 29/01 Antrian Review hasil anwidzing 21/01 Terget selesai survey 24 Jan (07/01) Persiapan</t>
  </si>
  <si>
    <t>RDR JPP PT3 SIAK_73279</t>
  </si>
  <si>
    <t>SAK</t>
  </si>
  <si>
    <t>23/02 Penanaman tiang 09/02 Antrian Review 29/01 Antrian Review hasil anwidzing (07/01) valins (07/01) Persiapan</t>
  </si>
  <si>
    <t>RDR JPP PT3 SIAK_134261</t>
  </si>
  <si>
    <t>23/02 Penanaman tiang 09/02 Antrian Review 29/01 Antrian Review hasil anwidzing (07/01) Persiapan</t>
  </si>
  <si>
    <t>RKP PT3 TSEL LBJ-FBS BENGKONG ASRAMA</t>
  </si>
  <si>
    <t>16/02 Izin OK, permintaan perapihan DC. 11/02 Peralihan mitra. 28/01 Plan survey 29 Jan. 28/01 Mitra tripola belum ada PIC untuk anwijzing. 23/01 Plan anwijzing 26 Jan, pic mitra ada pertanggal 25 jan. 21/01 proses penunjukan mitra</t>
  </si>
  <si>
    <t>RKP TSEL PT3 LBJ-FCW 250_519_4039</t>
  </si>
  <si>
    <t>09/03 Terminasi hari ini dan FI hari ini.
04/03 izin OK proses pengecekan core, tim masih serial .19/02 Izin OK. 16/02 Plan anwijzing 19 Feb. 11/02 Peralihan mitra. 28/01 Mitra tripola belum ada PIC untuk anwijzing. 23/01 Plan anwijzing 26 Jan, pic mitra ada pertanggal 25 jan. 21/01 proses penunjukan mitra 11/02 Peralihan mitra. 28/01 Mitra tripola belum ada PIC untuk anwijzing. 23/01 Plan anwijzing 26 Jan, pic mitra ada pertanggal 25 jan. 21/01 proses penunjukan mitra</t>
  </si>
  <si>
    <t>RKP PT3 TSEL TBK-FZ NICOLIA KARIMUN</t>
  </si>
  <si>
    <t>10/03 Proses valins. 09/03 Terminasi ODP.
03/03 Penanaman tiang. 18/02 Izin di FU kembali tapi kantor developer masih tutup imlek. 16/02 developer meminta untuk perizinan ke kantor batam. 09/02 FU kembali izin besok 10 Feb karena PIC sedang fokus installasi. 28/01 Plan survey tanggal 29 Jan.  21/01 plan anwijzing 26 jan, peralihan mitra</t>
  </si>
  <si>
    <t>SMB-PT3-ODC-SIR-FB-250_175_2530</t>
  </si>
  <si>
    <t>SUMBAR</t>
  </si>
  <si>
    <t>SIR</t>
  </si>
  <si>
    <t>PT RATRI PRIMA MANDIRI</t>
  </si>
  <si>
    <t>7. GOLIVE</t>
  </si>
  <si>
    <t>(06/03) Proses create PID  (05/03) proses aanwijziing plan selesai 07/03 (02/03) proses aanwijziing (26/01) DROP, permintaan tsel (tidak potensial)</t>
  </si>
  <si>
    <t>SMB P3I1 Elproperty Cluster Lubeg</t>
  </si>
  <si>
    <t>BDT</t>
  </si>
  <si>
    <t>PT ACERO METALINDO</t>
  </si>
  <si>
    <t xml:space="preserve">(06/03) Proses create PID  (05/03) proses aanwijziing plan selesai 07/03 (02/03) proses aanwijziing (26/01) DROP, permintaan tsel (tidak potensial) </t>
  </si>
  <si>
    <t>SMB STTF EXPAND TAMBAHAN TKU-FA</t>
  </si>
  <si>
    <t>TKU</t>
  </si>
  <si>
    <t>SMB P2I2 Ujang Limun ByPass PPJ Simpang</t>
  </si>
  <si>
    <t>PPJ</t>
  </si>
  <si>
    <t>PT TRI PENAMAS</t>
  </si>
  <si>
    <t>SMB STTF-ADRINALDI</t>
  </si>
  <si>
    <t>SUM</t>
  </si>
  <si>
    <t>SMB PT3-SLK-FF 250_-356_2536</t>
  </si>
  <si>
    <t>SLK</t>
  </si>
  <si>
    <t>APRIL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</si>
</sst>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m&quot;/&quot;yyyy"/>
    <numFmt numFmtId="165" formatCode="dd-mmm-yy"/>
    <numFmt numFmtId="166" formatCode="d-mmm-yy"/>
  </numFmts>
  <fonts count="34">
    <font>
      <sz val="10.0"/>
      <color rgb="FF000000"/>
      <name val="Arial"/>
      <scheme val="minor"/>
    </font>
    <font>
      <sz val="11.0"/>
      <color rgb="FF000000"/>
      <name val="Calibri"/>
    </font>
    <font>
      <sz val="11.0"/>
      <color rgb="FFFFFFFF"/>
      <name val="Calibri"/>
    </font>
    <font>
      <b/>
      <sz val="11.0"/>
      <color rgb="FF000000"/>
      <name val="Calibri"/>
    </font>
    <font>
      <color theme="1"/>
      <name val="Arial"/>
      <scheme val="minor"/>
    </font>
    <font>
      <b/>
      <sz val="23.0"/>
      <color theme="1"/>
      <name val="Arial"/>
      <scheme val="minor"/>
    </font>
    <font>
      <b/>
      <sz val="11.0"/>
      <color rgb="FFFFFFFF"/>
      <name val="Calibri"/>
    </font>
    <font>
      <b/>
      <color rgb="FF000000"/>
      <name val="Calibri"/>
    </font>
    <font>
      <b/>
      <color theme="1"/>
      <name val="Arial"/>
      <scheme val="minor"/>
    </font>
    <font>
      <b/>
      <color rgb="FFFFFFFF"/>
      <name val="Calibri"/>
    </font>
    <font>
      <color rgb="FF000000"/>
      <name val="Arial"/>
      <scheme val="minor"/>
    </font>
    <font>
      <b/>
      <sz val="20.0"/>
      <color rgb="FF000000"/>
      <name val="Cambria Math"/>
    </font>
    <font>
      <b/>
      <sz val="14.0"/>
      <color rgb="FF000000"/>
      <name val="Cambria Math"/>
    </font>
    <font>
      <color rgb="FFFFFFFF"/>
      <name val="Arial"/>
      <scheme val="minor"/>
    </font>
    <font>
      <b/>
      <sz val="20.0"/>
      <color theme="1"/>
      <name val="Cambria Math"/>
    </font>
    <font>
      <b/>
      <sz val="14.0"/>
      <color theme="1"/>
      <name val="Arial"/>
      <scheme val="minor"/>
    </font>
    <font>
      <b/>
      <sz val="14.0"/>
      <color theme="1"/>
      <name val="Cambria Math"/>
    </font>
    <font>
      <b/>
      <sz val="15.0"/>
      <color rgb="FFFFFFFF"/>
      <name val="Arial"/>
      <scheme val="minor"/>
    </font>
    <font>
      <b/>
      <sz val="16.0"/>
      <color rgb="FFFFFFFF"/>
      <name val="Arial"/>
      <scheme val="minor"/>
    </font>
    <font/>
    <font>
      <b/>
      <sz val="14.0"/>
      <color rgb="FF000000"/>
      <name val="Arial"/>
      <scheme val="minor"/>
    </font>
    <font>
      <b/>
      <sz val="13.0"/>
      <color theme="1"/>
      <name val="Arial"/>
      <scheme val="minor"/>
    </font>
    <font>
      <color rgb="FF000000"/>
      <name val="Calibri"/>
    </font>
    <font>
      <sz val="15.0"/>
      <color theme="1"/>
      <name val="Arial"/>
      <scheme val="minor"/>
    </font>
    <font>
      <sz val="14.0"/>
      <color theme="1"/>
      <name val="Arial"/>
      <scheme val="minor"/>
    </font>
    <font>
      <sz val="14.0"/>
      <color rgb="FFFFFFFF"/>
      <name val="Arial"/>
      <scheme val="minor"/>
    </font>
    <font>
      <color rgb="FF000000"/>
      <name val="Arial"/>
    </font>
    <font>
      <b/>
      <sz val="17.0"/>
      <color theme="1"/>
      <name val="Arial"/>
      <scheme val="minor"/>
    </font>
    <font>
      <color theme="1"/>
      <name val="Arial"/>
    </font>
    <font>
      <i/>
      <color rgb="FFFFFFFF"/>
      <name val="Arial"/>
    </font>
    <font>
      <color rgb="FFFFFFFF"/>
      <name val="Arial"/>
    </font>
    <font>
      <sz val="13.0"/>
      <color theme="1"/>
      <name val="Arial"/>
      <scheme val="minor"/>
    </font>
    <font>
      <b/>
      <color theme="1"/>
      <name val="Arial"/>
    </font>
    <font>
      <color theme="1"/>
      <name val="Calibri"/>
    </font>
  </fonts>
  <fills count="15">
    <fill>
      <patternFill patternType="none"/>
    </fill>
    <fill>
      <patternFill patternType="lightGray"/>
    </fill>
    <fill>
      <patternFill patternType="solid">
        <fgColor theme="6"/>
        <bgColor theme="6"/>
      </patternFill>
    </fill>
    <fill>
      <patternFill patternType="solid">
        <fgColor rgb="FFFFFFFF"/>
        <bgColor rgb="FFFFFFFF"/>
      </patternFill>
    </fill>
    <fill>
      <patternFill patternType="solid">
        <fgColor rgb="FF1155CC"/>
        <bgColor rgb="FF1155CC"/>
      </patternFill>
    </fill>
    <fill>
      <patternFill patternType="solid">
        <fgColor rgb="FF70AD47"/>
        <bgColor rgb="FF70AD47"/>
      </patternFill>
    </fill>
    <fill>
      <patternFill patternType="solid">
        <fgColor rgb="FF5B9BD5"/>
        <bgColor rgb="FF5B9BD5"/>
      </patternFill>
    </fill>
    <fill>
      <patternFill patternType="solid">
        <fgColor rgb="FF0000FF"/>
        <bgColor rgb="FF0000FF"/>
      </patternFill>
    </fill>
    <fill>
      <patternFill patternType="solid">
        <fgColor rgb="FF351C75"/>
        <bgColor rgb="FF351C75"/>
      </patternFill>
    </fill>
    <fill>
      <patternFill patternType="solid">
        <fgColor theme="5"/>
        <bgColor theme="5"/>
      </patternFill>
    </fill>
    <fill>
      <patternFill patternType="solid">
        <fgColor rgb="FFFF9900"/>
        <bgColor rgb="FFFF9900"/>
      </patternFill>
    </fill>
    <fill>
      <patternFill patternType="solid">
        <fgColor rgb="FF26A69A"/>
        <bgColor rgb="FF26A69A"/>
      </patternFill>
    </fill>
    <fill>
      <patternFill patternType="solid">
        <fgColor rgb="FFDDF2F0"/>
        <bgColor rgb="FFDDF2F0"/>
      </patternFill>
    </fill>
    <fill>
      <patternFill patternType="solid">
        <fgColor rgb="FFE2EFDA"/>
        <bgColor rgb="FFE2EFDA"/>
      </patternFill>
    </fill>
    <fill>
      <patternFill patternType="solid">
        <fgColor rgb="FFFFFF00"/>
        <bgColor rgb="FFFFFF00"/>
      </patternFill>
    </fill>
  </fills>
  <borders count="9">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FFFFFF"/>
      </top>
      <bottom style="thin">
        <color rgb="FFFFFFFF"/>
      </bottom>
    </border>
    <border>
      <left style="thin">
        <color rgb="FF000000"/>
      </left>
      <right style="thin">
        <color rgb="FF000000"/>
      </right>
    </border>
    <border>
      <left style="thin">
        <color rgb="FF000000"/>
      </left>
      <right style="thin">
        <color rgb="FF000000"/>
      </right>
      <bottom style="thin">
        <color rgb="FF000000"/>
      </bottom>
    </border>
    <border>
      <bottom style="thick">
        <color rgb="FF8093B3"/>
      </bottom>
    </border>
    <border>
      <right style="thin">
        <color rgb="FFFFFFFF"/>
      </right>
    </border>
    <border>
      <top style="double">
        <color rgb="FF000000"/>
      </top>
    </border>
  </borders>
  <cellStyleXfs count="1">
    <xf borderId="0" fillId="0" fontId="0" numFmtId="0" applyAlignment="1" applyFont="1"/>
  </cellStyleXfs>
  <cellXfs count="272">
    <xf borderId="0" fillId="0" fontId="0" numFmtId="0" xfId="0" applyAlignment="1" applyFont="1">
      <alignment readingOrder="0" shrinkToFit="0" vertical="bottom" wrapText="0"/>
    </xf>
    <xf borderId="0" fillId="0" fontId="1" numFmtId="0" xfId="0" applyAlignment="1" applyFont="1">
      <alignment shrinkToFit="0" wrapText="0"/>
    </xf>
    <xf borderId="0" fillId="2" fontId="1" numFmtId="0" xfId="0" applyAlignment="1" applyFill="1" applyFont="1">
      <alignment shrinkToFit="0" wrapText="0"/>
    </xf>
    <xf borderId="0" fillId="2" fontId="1" numFmtId="0" xfId="0" applyAlignment="1" applyFont="1">
      <alignment horizontal="center" shrinkToFit="0" wrapText="0"/>
    </xf>
    <xf borderId="0" fillId="3" fontId="1" numFmtId="3" xfId="0" applyAlignment="1" applyFill="1" applyFont="1" applyNumberFormat="1">
      <alignment shrinkToFit="0" wrapText="0"/>
    </xf>
    <xf borderId="0" fillId="3" fontId="2" numFmtId="0" xfId="0" applyAlignment="1" applyFont="1">
      <alignment shrinkToFit="0" wrapText="0"/>
    </xf>
    <xf borderId="0" fillId="2" fontId="2" numFmtId="0" xfId="0" applyAlignment="1" applyFont="1">
      <alignment shrinkToFit="0" wrapText="0"/>
    </xf>
    <xf borderId="0" fillId="2" fontId="3" numFmtId="0" xfId="0" applyAlignment="1" applyFont="1">
      <alignment horizontal="left" readingOrder="0" shrinkToFit="0" wrapText="0"/>
    </xf>
    <xf borderId="0" fillId="0" fontId="1" numFmtId="0" xfId="0" applyAlignment="1" applyFont="1">
      <alignment horizontal="center" shrinkToFit="0" wrapText="0"/>
    </xf>
    <xf borderId="0" fillId="0" fontId="3" numFmtId="0" xfId="0" applyAlignment="1" applyFont="1">
      <alignment horizontal="center" readingOrder="0" shrinkToFit="0" wrapText="0"/>
    </xf>
    <xf borderId="0" fillId="0" fontId="1" numFmtId="0" xfId="0" applyAlignment="1" applyFont="1">
      <alignment horizontal="left" shrinkToFit="0" wrapText="0"/>
    </xf>
    <xf borderId="0" fillId="0" fontId="4" numFmtId="0" xfId="0" applyAlignment="1" applyFont="1">
      <alignment horizontal="center"/>
    </xf>
    <xf borderId="0" fillId="0" fontId="5" numFmtId="0" xfId="0" applyAlignment="1" applyFont="1">
      <alignment horizontal="center" readingOrder="0"/>
    </xf>
    <xf borderId="0" fillId="4" fontId="6" numFmtId="0" xfId="0" applyAlignment="1" applyFill="1" applyFont="1">
      <alignment horizontal="center" shrinkToFit="0" vertical="center" wrapText="0"/>
    </xf>
    <xf borderId="0" fillId="4" fontId="6" numFmtId="3" xfId="0" applyAlignment="1" applyFont="1" applyNumberFormat="1">
      <alignment horizontal="center" shrinkToFit="0" vertical="center" wrapText="0"/>
    </xf>
    <xf borderId="0" fillId="2" fontId="6" numFmtId="0" xfId="0" applyAlignment="1" applyFont="1">
      <alignment horizontal="center" shrinkToFit="0" vertical="center" wrapText="0"/>
    </xf>
    <xf borderId="0" fillId="2" fontId="6" numFmtId="1" xfId="0" applyAlignment="1" applyFont="1" applyNumberFormat="1">
      <alignment horizontal="center" shrinkToFit="0" vertical="center" wrapText="0"/>
    </xf>
    <xf borderId="0" fillId="2" fontId="6" numFmtId="3" xfId="0" applyAlignment="1" applyFont="1" applyNumberFormat="1">
      <alignment horizontal="center" shrinkToFit="0" vertical="center" wrapText="0"/>
    </xf>
    <xf borderId="0" fillId="4" fontId="6" numFmtId="1" xfId="0" applyAlignment="1" applyFont="1" applyNumberFormat="1">
      <alignment horizontal="center" shrinkToFit="0" vertical="center" wrapText="0"/>
    </xf>
    <xf borderId="0" fillId="4" fontId="6" numFmtId="164" xfId="0" applyAlignment="1" applyFont="1" applyNumberFormat="1">
      <alignment horizontal="center" shrinkToFit="0" vertical="center" wrapText="0"/>
    </xf>
    <xf borderId="0" fillId="3" fontId="7" numFmtId="0" xfId="0" applyAlignment="1" applyFont="1">
      <alignment horizontal="center" readingOrder="0" shrinkToFit="0" vertical="center" wrapText="0"/>
    </xf>
    <xf borderId="0" fillId="3" fontId="8" numFmtId="0" xfId="0" applyAlignment="1" applyFont="1">
      <alignment readingOrder="0" shrinkToFit="0" wrapText="1"/>
    </xf>
    <xf borderId="0" fillId="3" fontId="3" numFmtId="0" xfId="0" applyAlignment="1" applyFont="1">
      <alignment shrinkToFit="0" wrapText="0"/>
    </xf>
    <xf borderId="0" fillId="3" fontId="3" numFmtId="0" xfId="0" applyAlignment="1" applyFont="1">
      <alignment horizontal="left" shrinkToFit="0" wrapText="0"/>
    </xf>
    <xf borderId="0" fillId="3" fontId="3" numFmtId="0" xfId="0" applyAlignment="1" applyFont="1">
      <alignment horizontal="center" shrinkToFit="0" wrapText="0"/>
    </xf>
    <xf borderId="0" fillId="3" fontId="4" numFmtId="0" xfId="0" applyFont="1"/>
    <xf borderId="0" fillId="3" fontId="4" numFmtId="0" xfId="0" applyAlignment="1" applyFont="1">
      <alignment horizontal="center"/>
    </xf>
    <xf borderId="0" fillId="3" fontId="5" numFmtId="0" xfId="0" applyAlignment="1" applyFont="1">
      <alignment horizontal="center" readingOrder="0"/>
    </xf>
    <xf borderId="0" fillId="4" fontId="2" numFmtId="0" xfId="0" applyAlignment="1" applyFont="1">
      <alignment horizontal="center" shrinkToFit="0" vertical="center" wrapText="0"/>
    </xf>
    <xf borderId="0" fillId="4" fontId="2" numFmtId="49" xfId="0" applyAlignment="1" applyFont="1" applyNumberFormat="1">
      <alignment horizontal="center" shrinkToFit="0" vertical="center" wrapText="0"/>
    </xf>
    <xf borderId="0" fillId="2" fontId="2" numFmtId="0" xfId="0" applyAlignment="1" applyFont="1">
      <alignment horizontal="center" shrinkToFit="0" vertical="center" wrapText="0"/>
    </xf>
    <xf borderId="0" fillId="2" fontId="2" numFmtId="1" xfId="0" applyAlignment="1" applyFont="1" applyNumberFormat="1">
      <alignment horizontal="center" shrinkToFit="0" vertical="center" wrapText="0"/>
    </xf>
    <xf borderId="0" fillId="2" fontId="2" numFmtId="3" xfId="0" applyAlignment="1" applyFont="1" applyNumberFormat="1">
      <alignment horizontal="center" shrinkToFit="0" vertical="center" wrapText="0"/>
    </xf>
    <xf borderId="0" fillId="4" fontId="2" numFmtId="1" xfId="0" applyAlignment="1" applyFont="1" applyNumberFormat="1">
      <alignment horizontal="center" shrinkToFit="0" vertical="center" wrapText="0"/>
    </xf>
    <xf borderId="0" fillId="4" fontId="2" numFmtId="3" xfId="0" applyAlignment="1" applyFont="1" applyNumberFormat="1">
      <alignment horizontal="center" shrinkToFit="0" vertical="center" wrapText="0"/>
    </xf>
    <xf borderId="0" fillId="4" fontId="2" numFmtId="164" xfId="0" applyAlignment="1" applyFont="1" applyNumberFormat="1">
      <alignment horizontal="center" shrinkToFit="0" vertical="center" wrapText="0"/>
    </xf>
    <xf borderId="0" fillId="4" fontId="6" numFmtId="0" xfId="0" applyAlignment="1" applyFont="1">
      <alignment horizontal="center" readingOrder="0" shrinkToFit="0" vertical="center" wrapText="0"/>
    </xf>
    <xf borderId="0" fillId="4" fontId="9" numFmtId="0" xfId="0" applyAlignment="1" applyFont="1">
      <alignment horizontal="center" readingOrder="0" shrinkToFit="0" vertical="center" wrapText="0"/>
    </xf>
    <xf borderId="0" fillId="4" fontId="9" numFmtId="3" xfId="0" applyAlignment="1" applyFont="1" applyNumberFormat="1">
      <alignment horizontal="center" readingOrder="0" shrinkToFit="0" vertical="center" wrapText="0"/>
    </xf>
    <xf borderId="0" fillId="4" fontId="9" numFmtId="164" xfId="0" applyAlignment="1" applyFont="1" applyNumberFormat="1">
      <alignment horizontal="center" readingOrder="0" shrinkToFit="0" vertical="center" wrapText="0"/>
    </xf>
    <xf borderId="0" fillId="3" fontId="7" numFmtId="0" xfId="0" applyAlignment="1" applyFont="1">
      <alignment horizontal="left" readingOrder="0" shrinkToFit="0" vertical="center" wrapText="0"/>
    </xf>
    <xf borderId="0" fillId="3" fontId="10" numFmtId="0" xfId="0" applyAlignment="1" applyFont="1">
      <alignment horizontal="left" shrinkToFit="0" vertical="center" wrapText="0"/>
    </xf>
    <xf borderId="0" fillId="3" fontId="1" numFmtId="0" xfId="0" applyAlignment="1" applyFont="1">
      <alignment horizontal="left" shrinkToFit="0" vertical="center" wrapText="0"/>
    </xf>
    <xf borderId="0" fillId="3" fontId="3" numFmtId="0" xfId="0" applyAlignment="1" applyFont="1">
      <alignment horizontal="left" readingOrder="0" shrinkToFit="0" vertical="center" wrapText="0"/>
    </xf>
    <xf borderId="0" fillId="3" fontId="11" numFmtId="0" xfId="0" applyAlignment="1" applyFont="1">
      <alignment horizontal="left" shrinkToFit="0" vertical="center" wrapText="0"/>
    </xf>
    <xf borderId="0" fillId="3" fontId="12" numFmtId="0" xfId="0" applyAlignment="1" applyFont="1">
      <alignment horizontal="left" shrinkToFit="0" vertical="center" wrapText="0"/>
    </xf>
    <xf borderId="0" fillId="3" fontId="1" numFmtId="0" xfId="0" applyAlignment="1" applyFont="1">
      <alignment shrinkToFit="0" wrapText="0"/>
    </xf>
    <xf borderId="0" fillId="3" fontId="1" numFmtId="49" xfId="0" applyAlignment="1" applyFont="1" applyNumberFormat="1">
      <alignment shrinkToFit="0" wrapText="0"/>
    </xf>
    <xf borderId="0" fillId="3" fontId="1" numFmtId="1" xfId="0" applyAlignment="1" applyFont="1" applyNumberFormat="1">
      <alignment horizontal="center" shrinkToFit="0" wrapText="0"/>
    </xf>
    <xf borderId="0" fillId="3" fontId="1" numFmtId="3" xfId="0" applyAlignment="1" applyFont="1" applyNumberFormat="1">
      <alignment horizontal="center" shrinkToFit="0" wrapText="0"/>
    </xf>
    <xf borderId="0" fillId="3" fontId="1" numFmtId="1" xfId="0" applyAlignment="1" applyFont="1" applyNumberFormat="1">
      <alignment shrinkToFit="0" wrapText="0"/>
    </xf>
    <xf borderId="0" fillId="3" fontId="1" numFmtId="164" xfId="0" applyAlignment="1" applyFont="1" applyNumberFormat="1">
      <alignment horizontal="left" shrinkToFit="0" wrapText="0"/>
    </xf>
    <xf borderId="0" fillId="3" fontId="1" numFmtId="0" xfId="0" applyAlignment="1" applyFont="1">
      <alignment horizontal="center" shrinkToFit="0" wrapText="0"/>
    </xf>
    <xf borderId="0" fillId="3" fontId="7" numFmtId="3" xfId="0" applyAlignment="1" applyFont="1" applyNumberFormat="1">
      <alignment horizontal="center" readingOrder="0" shrinkToFit="0" vertical="center" wrapText="0"/>
    </xf>
    <xf borderId="0" fillId="3" fontId="7" numFmtId="164" xfId="0" applyAlignment="1" applyFont="1" applyNumberFormat="1">
      <alignment horizontal="center" readingOrder="0" shrinkToFit="0" vertical="center" wrapText="0"/>
    </xf>
    <xf borderId="0" fillId="0" fontId="1" numFmtId="0" xfId="0" applyAlignment="1" applyFont="1">
      <alignment horizontal="center" readingOrder="0" shrinkToFit="0" wrapText="0"/>
    </xf>
    <xf borderId="0" fillId="0" fontId="4" numFmtId="0" xfId="0" applyFont="1"/>
    <xf borderId="0" fillId="5" fontId="3" numFmtId="0" xfId="0" applyAlignment="1" applyFill="1" applyFont="1">
      <alignment horizontal="center" readingOrder="0" shrinkToFit="0" wrapText="0"/>
    </xf>
    <xf borderId="0" fillId="5" fontId="1" numFmtId="0" xfId="0" applyAlignment="1" applyFont="1">
      <alignment shrinkToFit="0" wrapText="0"/>
    </xf>
    <xf borderId="0" fillId="3" fontId="9" numFmtId="0" xfId="0" applyAlignment="1" applyFont="1">
      <alignment horizontal="center" readingOrder="0" vertical="center"/>
    </xf>
    <xf borderId="0" fillId="3" fontId="3" numFmtId="0" xfId="0" applyAlignment="1" applyFont="1">
      <alignment horizontal="center" readingOrder="0" vertical="center"/>
    </xf>
    <xf borderId="0" fillId="3" fontId="13" numFmtId="0" xfId="0" applyFont="1"/>
    <xf borderId="0" fillId="3" fontId="14" numFmtId="0" xfId="0" applyAlignment="1" applyFont="1">
      <alignment horizontal="center" vertical="center"/>
    </xf>
    <xf borderId="0" fillId="0" fontId="15" numFmtId="19" xfId="0" applyAlignment="1" applyFont="1" applyNumberFormat="1">
      <alignment horizontal="center" readingOrder="0" vertical="center"/>
    </xf>
    <xf borderId="0" fillId="3" fontId="16" numFmtId="0" xfId="0" applyAlignment="1" applyFont="1">
      <alignment horizontal="center" vertical="center"/>
    </xf>
    <xf borderId="0" fillId="3" fontId="1" numFmtId="0" xfId="0" applyAlignment="1" applyFont="1">
      <alignment shrinkToFit="0" vertical="center" wrapText="0"/>
    </xf>
    <xf borderId="0" fillId="3" fontId="1" numFmtId="49" xfId="0" applyAlignment="1" applyFont="1" applyNumberFormat="1">
      <alignment shrinkToFit="0" vertical="center" wrapText="0"/>
    </xf>
    <xf borderId="0" fillId="3" fontId="1" numFmtId="1" xfId="0" applyAlignment="1" applyFont="1" applyNumberFormat="1">
      <alignment horizontal="center" shrinkToFit="0" vertical="center" wrapText="0"/>
    </xf>
    <xf borderId="0" fillId="3" fontId="1" numFmtId="3" xfId="0" applyAlignment="1" applyFont="1" applyNumberFormat="1">
      <alignment horizontal="center" shrinkToFit="0" vertical="center" wrapText="0"/>
    </xf>
    <xf borderId="0" fillId="3" fontId="1" numFmtId="1" xfId="0" applyAlignment="1" applyFont="1" applyNumberFormat="1">
      <alignment shrinkToFit="0" vertical="center" wrapText="0"/>
    </xf>
    <xf borderId="0" fillId="3" fontId="1" numFmtId="3" xfId="0" applyAlignment="1" applyFont="1" applyNumberFormat="1">
      <alignment shrinkToFit="0" vertical="center" wrapText="0"/>
    </xf>
    <xf borderId="0" fillId="3" fontId="1" numFmtId="164" xfId="0" applyAlignment="1" applyFont="1" applyNumberFormat="1">
      <alignment horizontal="left" shrinkToFit="0" vertical="center" wrapText="0"/>
    </xf>
    <xf borderId="0" fillId="3" fontId="1" numFmtId="0" xfId="0" applyAlignment="1" applyFont="1">
      <alignment horizontal="center" shrinkToFit="0" vertical="center" wrapText="0"/>
    </xf>
    <xf borderId="0" fillId="3" fontId="1" numFmtId="0" xfId="0" applyAlignment="1" applyFont="1">
      <alignment horizontal="center" readingOrder="0" shrinkToFit="0" vertical="center" wrapText="0"/>
    </xf>
    <xf borderId="0" fillId="3" fontId="4" numFmtId="0" xfId="0" applyAlignment="1" applyFont="1">
      <alignment vertical="center"/>
    </xf>
    <xf borderId="0" fillId="0" fontId="4" numFmtId="0" xfId="0" applyAlignment="1" applyFont="1">
      <alignment vertical="center"/>
    </xf>
    <xf borderId="0" fillId="6" fontId="3" numFmtId="0" xfId="0" applyAlignment="1" applyFill="1" applyFont="1">
      <alignment horizontal="center" readingOrder="0" shrinkToFit="0" vertical="center" wrapText="0"/>
    </xf>
    <xf borderId="0" fillId="6" fontId="1" numFmtId="0" xfId="0" applyAlignment="1" applyFont="1">
      <alignment shrinkToFit="0" vertical="center" wrapText="0"/>
    </xf>
    <xf borderId="0" fillId="6" fontId="3" numFmtId="9" xfId="0" applyAlignment="1" applyFont="1" applyNumberFormat="1">
      <alignment horizontal="center" readingOrder="0" shrinkToFit="0" vertical="center" wrapText="0"/>
    </xf>
    <xf borderId="0" fillId="3" fontId="13" numFmtId="0" xfId="0" applyAlignment="1" applyFont="1">
      <alignment vertical="center"/>
    </xf>
    <xf borderId="0" fillId="3" fontId="4" numFmtId="0" xfId="0" applyAlignment="1" applyFont="1">
      <alignment horizontal="center" vertical="center"/>
    </xf>
    <xf borderId="1" fillId="7" fontId="17" numFmtId="0" xfId="0" applyAlignment="1" applyBorder="1" applyFill="1" applyFont="1">
      <alignment horizontal="center" readingOrder="0" vertical="center"/>
    </xf>
    <xf borderId="0" fillId="8" fontId="18" numFmtId="0" xfId="0" applyAlignment="1" applyFill="1" applyFont="1">
      <alignment horizontal="center" readingOrder="0" vertical="center"/>
    </xf>
    <xf borderId="0" fillId="8" fontId="18" numFmtId="0" xfId="0" applyAlignment="1" applyFont="1">
      <alignment horizontal="center" readingOrder="0" shrinkToFit="0" vertical="center" wrapText="1"/>
    </xf>
    <xf borderId="0" fillId="3" fontId="1" numFmtId="0" xfId="0" applyAlignment="1" applyFont="1">
      <alignment horizontal="center" readingOrder="0" shrinkToFit="0" wrapText="0"/>
    </xf>
    <xf borderId="0" fillId="3" fontId="4" numFmtId="0" xfId="0" applyAlignment="1" applyFont="1">
      <alignment shrinkToFit="0" wrapText="0"/>
    </xf>
    <xf borderId="0" fillId="3" fontId="4" numFmtId="0" xfId="0" applyAlignment="1" applyFont="1">
      <alignment shrinkToFit="0" vertical="center" wrapText="0"/>
    </xf>
    <xf borderId="2" fillId="3" fontId="7" numFmtId="0" xfId="0" applyAlignment="1" applyBorder="1" applyFont="1">
      <alignment horizontal="center" readingOrder="0" shrinkToFit="0" vertical="center" wrapText="0"/>
    </xf>
    <xf borderId="2" fillId="3" fontId="7" numFmtId="0" xfId="0" applyAlignment="1" applyBorder="1" applyFont="1">
      <alignment horizontal="left" readingOrder="0" shrinkToFit="0" vertical="center" wrapText="0"/>
    </xf>
    <xf borderId="2" fillId="3" fontId="9" numFmtId="0" xfId="0" applyAlignment="1" applyBorder="1" applyFont="1">
      <alignment horizontal="center" readingOrder="0" shrinkToFit="0" vertical="center" wrapText="0"/>
    </xf>
    <xf borderId="2" fillId="3" fontId="3" numFmtId="0" xfId="0" applyAlignment="1" applyBorder="1" applyFont="1">
      <alignment horizontal="center" readingOrder="0" shrinkToFit="0" vertical="center" wrapText="0"/>
    </xf>
    <xf borderId="0" fillId="3" fontId="13" numFmtId="0" xfId="0" applyAlignment="1" applyFont="1">
      <alignment shrinkToFit="0" vertical="center" wrapText="0"/>
    </xf>
    <xf borderId="0" fillId="3" fontId="4" numFmtId="0" xfId="0" applyAlignment="1" applyFont="1">
      <alignment horizontal="center" shrinkToFit="0" vertical="center" wrapText="0"/>
    </xf>
    <xf borderId="3" fillId="3" fontId="14" numFmtId="0" xfId="0" applyAlignment="1" applyBorder="1" applyFont="1">
      <alignment horizontal="center" shrinkToFit="0" vertical="center" wrapText="0"/>
    </xf>
    <xf borderId="4" fillId="0" fontId="19" numFmtId="0" xfId="0" applyBorder="1" applyFont="1"/>
    <xf borderId="2" fillId="3" fontId="20" numFmtId="0" xfId="0" applyAlignment="1" applyBorder="1" applyFont="1">
      <alignment horizontal="center" readingOrder="0" shrinkToFit="0" vertical="center" wrapText="0"/>
    </xf>
    <xf borderId="2" fillId="3" fontId="21" numFmtId="0" xfId="0" applyAlignment="1" applyBorder="1" applyFont="1">
      <alignment horizontal="center" readingOrder="0" shrinkToFit="0" vertical="center" wrapText="0"/>
    </xf>
    <xf borderId="0" fillId="3" fontId="16" numFmtId="0" xfId="0" applyAlignment="1" applyFont="1">
      <alignment horizontal="center" shrinkToFit="0" vertical="center" wrapText="0"/>
    </xf>
    <xf borderId="0" fillId="0" fontId="1" numFmtId="49" xfId="0" applyAlignment="1" applyFont="1" applyNumberFormat="1">
      <alignment shrinkToFit="0" wrapText="0"/>
    </xf>
    <xf borderId="0" fillId="0" fontId="1" numFmtId="1" xfId="0" applyAlignment="1" applyFont="1" applyNumberFormat="1">
      <alignment horizontal="center" shrinkToFit="0" wrapText="0"/>
    </xf>
    <xf borderId="0" fillId="0" fontId="1" numFmtId="3" xfId="0" applyAlignment="1" applyFont="1" applyNumberFormat="1">
      <alignment horizontal="center" shrinkToFit="0" wrapText="0"/>
    </xf>
    <xf borderId="0" fillId="0" fontId="1" numFmtId="1" xfId="0" applyAlignment="1" applyFont="1" applyNumberFormat="1">
      <alignment shrinkToFit="0" wrapText="0"/>
    </xf>
    <xf borderId="0" fillId="0" fontId="1" numFmtId="3" xfId="0" applyAlignment="1" applyFont="1" applyNumberFormat="1">
      <alignment shrinkToFit="0" wrapText="0"/>
    </xf>
    <xf borderId="0" fillId="0" fontId="1" numFmtId="164" xfId="0" applyAlignment="1" applyFont="1" applyNumberFormat="1">
      <alignment horizontal="left" shrinkToFit="0" wrapText="0"/>
    </xf>
    <xf borderId="0" fillId="0" fontId="1" numFmtId="3" xfId="0" applyAlignment="1" applyFont="1" applyNumberFormat="1">
      <alignment horizontal="center" readingOrder="0" shrinkToFit="0" wrapText="0"/>
    </xf>
    <xf borderId="0" fillId="0" fontId="1" numFmtId="164" xfId="0" applyAlignment="1" applyFont="1" applyNumberFormat="1">
      <alignment horizontal="center" readingOrder="0" shrinkToFit="0" wrapText="0"/>
    </xf>
    <xf borderId="2" fillId="0" fontId="1" numFmtId="0" xfId="0" applyAlignment="1" applyBorder="1" applyFont="1">
      <alignment horizontal="center" readingOrder="0" shrinkToFit="0" wrapText="0"/>
    </xf>
    <xf borderId="2" fillId="5" fontId="22" numFmtId="0" xfId="0" applyAlignment="1" applyBorder="1" applyFont="1">
      <alignment horizontal="center" readingOrder="0" shrinkToFit="0" wrapText="0"/>
    </xf>
    <xf borderId="2" fillId="5" fontId="22" numFmtId="0" xfId="0" applyAlignment="1" applyBorder="1" applyFont="1">
      <alignment readingOrder="0" shrinkToFit="0" wrapText="0"/>
    </xf>
    <xf borderId="2" fillId="5" fontId="22" numFmtId="0" xfId="0" applyAlignment="1" applyBorder="1" applyFont="1">
      <alignment horizontal="left" readingOrder="0" shrinkToFit="0" wrapText="0"/>
    </xf>
    <xf borderId="2" fillId="5" fontId="22" numFmtId="0" xfId="0" applyAlignment="1" applyBorder="1" applyFont="1">
      <alignment horizontal="center" readingOrder="0" shrinkToFit="0" vertical="bottom" wrapText="0"/>
    </xf>
    <xf borderId="2" fillId="5" fontId="22" numFmtId="165" xfId="0" applyAlignment="1" applyBorder="1" applyFont="1" applyNumberFormat="1">
      <alignment horizontal="center" readingOrder="0" shrinkToFit="0" vertical="bottom" wrapText="0"/>
    </xf>
    <xf borderId="1" fillId="0" fontId="1" numFmtId="0" xfId="0" applyAlignment="1" applyBorder="1" applyFont="1">
      <alignment horizontal="center" readingOrder="0" shrinkToFit="0" wrapText="0"/>
    </xf>
    <xf borderId="0" fillId="0" fontId="4" numFmtId="0" xfId="0" applyFont="1"/>
    <xf borderId="0" fillId="0" fontId="4" numFmtId="0" xfId="0" applyAlignment="1" applyFont="1">
      <alignment horizontal="center"/>
    </xf>
    <xf borderId="0" fillId="0" fontId="23" numFmtId="0" xfId="0" applyFont="1"/>
    <xf borderId="5" fillId="0" fontId="19" numFmtId="0" xfId="0" applyBorder="1" applyFont="1"/>
    <xf borderId="2" fillId="0" fontId="23" numFmtId="0" xfId="0" applyAlignment="1" applyBorder="1" applyFont="1">
      <alignment readingOrder="0"/>
    </xf>
    <xf borderId="2" fillId="0" fontId="24" numFmtId="3" xfId="0" applyAlignment="1" applyBorder="1" applyFont="1" applyNumberFormat="1">
      <alignment horizontal="center" readingOrder="0" vertical="center"/>
    </xf>
    <xf borderId="2" fillId="0" fontId="23" numFmtId="0" xfId="0" applyAlignment="1" applyBorder="1" applyFont="1">
      <alignment horizontal="center"/>
    </xf>
    <xf borderId="2" fillId="0" fontId="24" numFmtId="10" xfId="0" applyAlignment="1" applyBorder="1" applyFont="1" applyNumberFormat="1">
      <alignment horizontal="center" vertical="center"/>
    </xf>
    <xf borderId="2" fillId="0" fontId="23" numFmtId="0" xfId="0" applyAlignment="1" applyBorder="1" applyFont="1">
      <alignment horizontal="center" readingOrder="0"/>
    </xf>
    <xf borderId="2" fillId="0" fontId="23" numFmtId="3" xfId="0" applyAlignment="1" applyBorder="1" applyFont="1" applyNumberFormat="1">
      <alignment horizontal="center"/>
    </xf>
    <xf borderId="2" fillId="9" fontId="25" numFmtId="10" xfId="0" applyAlignment="1" applyBorder="1" applyFill="1" applyFont="1" applyNumberFormat="1">
      <alignment horizontal="center" vertical="center"/>
    </xf>
    <xf borderId="2" fillId="0" fontId="22" numFmtId="0" xfId="0" applyAlignment="1" applyBorder="1" applyFont="1">
      <alignment horizontal="center" readingOrder="0" shrinkToFit="0" wrapText="0"/>
    </xf>
    <xf borderId="2" fillId="0" fontId="22" numFmtId="0" xfId="0" applyAlignment="1" applyBorder="1" applyFont="1">
      <alignment readingOrder="0" shrinkToFit="0" wrapText="0"/>
    </xf>
    <xf borderId="2" fillId="3" fontId="22" numFmtId="0" xfId="0" applyAlignment="1" applyBorder="1" applyFont="1">
      <alignment horizontal="center" readingOrder="0" shrinkToFit="0" wrapText="0"/>
    </xf>
    <xf borderId="2" fillId="3" fontId="22" numFmtId="0" xfId="0" applyAlignment="1" applyBorder="1" applyFont="1">
      <alignment horizontal="left" readingOrder="0" shrinkToFit="0" wrapText="0"/>
    </xf>
    <xf borderId="2" fillId="3" fontId="22" numFmtId="0" xfId="0" applyAlignment="1" applyBorder="1" applyFont="1">
      <alignment readingOrder="0" shrinkToFit="0" wrapText="0"/>
    </xf>
    <xf borderId="2" fillId="0" fontId="22" numFmtId="165" xfId="0" applyAlignment="1" applyBorder="1" applyFont="1" applyNumberFormat="1">
      <alignment horizontal="center" readingOrder="0" shrinkToFit="0" vertical="bottom" wrapText="0"/>
    </xf>
    <xf borderId="2" fillId="0" fontId="23" numFmtId="3" xfId="0" applyAlignment="1" applyBorder="1" applyFont="1" applyNumberFormat="1">
      <alignment readingOrder="0"/>
    </xf>
    <xf borderId="2" fillId="0" fontId="24" numFmtId="0" xfId="0" applyAlignment="1" applyBorder="1" applyFont="1">
      <alignment horizontal="center" readingOrder="0" vertical="center"/>
    </xf>
    <xf borderId="2" fillId="0" fontId="23" numFmtId="3" xfId="0" applyAlignment="1" applyBorder="1" applyFont="1" applyNumberFormat="1">
      <alignment horizontal="center" readingOrder="0"/>
    </xf>
    <xf borderId="2" fillId="5" fontId="26" numFmtId="0" xfId="0" applyAlignment="1" applyBorder="1" applyFont="1">
      <alignment shrinkToFit="0" wrapText="0"/>
    </xf>
    <xf borderId="0" fillId="0" fontId="8" numFmtId="0" xfId="0" applyAlignment="1" applyFont="1">
      <alignment horizontal="center" readingOrder="0"/>
    </xf>
    <xf borderId="0" fillId="0" fontId="8" numFmtId="0" xfId="0" applyAlignment="1" applyFont="1">
      <alignment horizontal="center"/>
    </xf>
    <xf borderId="0" fillId="0" fontId="8" numFmtId="0" xfId="0" applyAlignment="1" applyFont="1">
      <alignment horizontal="center" readingOrder="0"/>
    </xf>
    <xf borderId="0" fillId="0" fontId="4" numFmtId="10" xfId="0" applyAlignment="1" applyFont="1" applyNumberFormat="1">
      <alignment horizontal="center"/>
    </xf>
    <xf borderId="0" fillId="0" fontId="3" numFmtId="0" xfId="0" applyAlignment="1" applyFont="1">
      <alignment horizontal="center" shrinkToFit="0" vertical="center" wrapText="0"/>
    </xf>
    <xf borderId="0" fillId="0" fontId="3" numFmtId="49" xfId="0" applyAlignment="1" applyFont="1" applyNumberFormat="1">
      <alignment horizontal="center" shrinkToFit="0" vertical="center" wrapText="0"/>
    </xf>
    <xf borderId="0" fillId="0" fontId="3" numFmtId="1" xfId="0" applyAlignment="1" applyFont="1" applyNumberFormat="1">
      <alignment horizontal="center" shrinkToFit="0" vertical="center" wrapText="0"/>
    </xf>
    <xf borderId="0" fillId="0" fontId="3" numFmtId="3" xfId="0" applyAlignment="1" applyFont="1" applyNumberFormat="1">
      <alignment horizontal="center" shrinkToFit="0" vertical="center" wrapText="0"/>
    </xf>
    <xf borderId="0" fillId="0" fontId="3" numFmtId="164" xfId="0" applyAlignment="1" applyFont="1" applyNumberFormat="1">
      <alignment horizontal="left" shrinkToFit="0" vertical="center" wrapText="0"/>
    </xf>
    <xf borderId="0" fillId="0" fontId="3" numFmtId="0" xfId="0" applyAlignment="1" applyFont="1">
      <alignment horizontal="center" readingOrder="0" shrinkToFit="0" vertical="center" wrapText="0"/>
    </xf>
    <xf borderId="0" fillId="0" fontId="3" numFmtId="3" xfId="0" applyAlignment="1" applyFont="1" applyNumberFormat="1">
      <alignment horizontal="center" readingOrder="0" shrinkToFit="0" vertical="center" wrapText="0"/>
    </xf>
    <xf borderId="0" fillId="0" fontId="3" numFmtId="164" xfId="0" applyAlignment="1" applyFont="1" applyNumberFormat="1">
      <alignment horizontal="center" readingOrder="0" shrinkToFit="0" vertical="center" wrapText="0"/>
    </xf>
    <xf borderId="0" fillId="0" fontId="8" numFmtId="0" xfId="0" applyAlignment="1" applyFont="1">
      <alignment horizontal="center" vertical="center"/>
    </xf>
    <xf borderId="2" fillId="0" fontId="3" numFmtId="0" xfId="0" applyAlignment="1" applyBorder="1" applyFont="1">
      <alignment horizontal="center" readingOrder="0" shrinkToFit="0" vertical="center" wrapText="0"/>
    </xf>
    <xf borderId="2" fillId="0" fontId="7" numFmtId="0" xfId="0" applyAlignment="1" applyBorder="1" applyFont="1">
      <alignment horizontal="center" readingOrder="0" shrinkToFit="0" vertical="center" wrapText="0"/>
    </xf>
    <xf borderId="2" fillId="0" fontId="7" numFmtId="165" xfId="0" applyAlignment="1" applyBorder="1" applyFont="1" applyNumberFormat="1">
      <alignment horizontal="center" readingOrder="0" shrinkToFit="0" vertical="center" wrapText="0"/>
    </xf>
    <xf borderId="2" fillId="0" fontId="3" numFmtId="14" xfId="0" applyAlignment="1" applyBorder="1" applyFont="1" applyNumberFormat="1">
      <alignment horizontal="center" readingOrder="0" shrinkToFit="0" vertical="center" wrapText="0"/>
    </xf>
    <xf borderId="1" fillId="10" fontId="15" numFmtId="0" xfId="0" applyAlignment="1" applyBorder="1" applyFill="1" applyFont="1">
      <alignment horizontal="center" readingOrder="0" vertical="center"/>
    </xf>
    <xf borderId="1" fillId="10" fontId="15" numFmtId="3" xfId="0" applyAlignment="1" applyBorder="1" applyFont="1" applyNumberFormat="1">
      <alignment horizontal="center" vertical="center"/>
    </xf>
    <xf borderId="1" fillId="10" fontId="15" numFmtId="0" xfId="0" applyAlignment="1" applyBorder="1" applyFont="1">
      <alignment horizontal="center" vertical="center"/>
    </xf>
    <xf borderId="1" fillId="10" fontId="15" numFmtId="10" xfId="0" applyAlignment="1" applyBorder="1" applyFont="1" applyNumberFormat="1">
      <alignment horizontal="center" vertical="center"/>
    </xf>
    <xf borderId="0" fillId="0" fontId="27" numFmtId="0" xfId="0" applyAlignment="1" applyFont="1">
      <alignment horizontal="center"/>
    </xf>
    <xf borderId="0" fillId="0" fontId="23" numFmtId="0" xfId="0" applyAlignment="1" applyFont="1">
      <alignment horizontal="center" readingOrder="0"/>
    </xf>
    <xf borderId="0" fillId="0" fontId="23" numFmtId="10" xfId="0" applyAlignment="1" applyFont="1" applyNumberFormat="1">
      <alignment horizontal="center"/>
    </xf>
    <xf borderId="0" fillId="0" fontId="24" numFmtId="10" xfId="0" applyAlignment="1" applyFont="1" applyNumberFormat="1">
      <alignment horizontal="center" vertical="center"/>
    </xf>
    <xf borderId="2" fillId="0" fontId="22" numFmtId="166" xfId="0" applyAlignment="1" applyBorder="1" applyFont="1" applyNumberFormat="1">
      <alignment horizontal="center" readingOrder="0" shrinkToFit="0" vertical="bottom" wrapText="0"/>
    </xf>
    <xf borderId="2" fillId="0" fontId="1" numFmtId="14" xfId="0" applyAlignment="1" applyBorder="1" applyFont="1" applyNumberFormat="1">
      <alignment horizontal="center" readingOrder="0" shrinkToFit="0" wrapText="0"/>
    </xf>
    <xf borderId="0" fillId="0" fontId="28" numFmtId="0" xfId="0" applyAlignment="1" applyFont="1">
      <alignment vertical="bottom"/>
    </xf>
    <xf borderId="0" fillId="3" fontId="28" numFmtId="0" xfId="0" applyAlignment="1" applyFont="1">
      <alignment vertical="bottom"/>
    </xf>
    <xf borderId="1" fillId="0" fontId="1" numFmtId="14" xfId="0" applyAlignment="1" applyBorder="1" applyFont="1" applyNumberFormat="1">
      <alignment horizontal="center" readingOrder="0" shrinkToFit="0" wrapText="0"/>
    </xf>
    <xf borderId="0" fillId="3" fontId="28" numFmtId="0" xfId="0" applyFont="1"/>
    <xf borderId="6" fillId="11" fontId="29" numFmtId="0" xfId="0" applyAlignment="1" applyBorder="1" applyFill="1" applyFont="1">
      <alignment shrinkToFit="0" wrapText="1"/>
    </xf>
    <xf borderId="6" fillId="11" fontId="30" numFmtId="0" xfId="0" applyAlignment="1" applyBorder="1" applyFont="1">
      <alignment horizontal="center" shrinkToFit="0" wrapText="1"/>
    </xf>
    <xf borderId="7" fillId="3" fontId="28" numFmtId="0" xfId="0" applyAlignment="1" applyBorder="1" applyFont="1">
      <alignment vertical="bottom"/>
    </xf>
    <xf borderId="0" fillId="3" fontId="28" numFmtId="0" xfId="0" applyAlignment="1" applyFont="1">
      <alignment horizontal="center" vertical="bottom"/>
    </xf>
    <xf borderId="2" fillId="5" fontId="22" numFmtId="0" xfId="0" applyAlignment="1" applyBorder="1" applyFont="1">
      <alignment horizontal="center" readingOrder="0"/>
    </xf>
    <xf borderId="2" fillId="5" fontId="22" numFmtId="0" xfId="0" applyAlignment="1" applyBorder="1" applyFont="1">
      <alignment readingOrder="0"/>
    </xf>
    <xf borderId="2" fillId="5" fontId="22" numFmtId="166" xfId="0" applyAlignment="1" applyBorder="1" applyFont="1" applyNumberFormat="1">
      <alignment horizontal="center" readingOrder="0" vertical="bottom"/>
    </xf>
    <xf borderId="7" fillId="12" fontId="28" numFmtId="0" xfId="0" applyAlignment="1" applyBorder="1" applyFill="1" applyFont="1">
      <alignment vertical="bottom"/>
    </xf>
    <xf borderId="0" fillId="12" fontId="28" numFmtId="0" xfId="0" applyAlignment="1" applyFont="1">
      <alignment horizontal="center" vertical="bottom"/>
    </xf>
    <xf borderId="0" fillId="0" fontId="31" numFmtId="0" xfId="0" applyAlignment="1" applyFont="1">
      <alignment horizontal="center"/>
    </xf>
    <xf borderId="2" fillId="5" fontId="22" numFmtId="166" xfId="0" applyAlignment="1" applyBorder="1" applyFont="1" applyNumberFormat="1">
      <alignment horizontal="center" readingOrder="0" shrinkToFit="0" vertical="bottom" wrapText="0"/>
    </xf>
    <xf borderId="8" fillId="12" fontId="32" numFmtId="0" xfId="0" applyAlignment="1" applyBorder="1" applyFont="1">
      <alignment horizontal="center" vertical="bottom"/>
    </xf>
    <xf borderId="2" fillId="0" fontId="22" numFmtId="0" xfId="0" applyAlignment="1" applyBorder="1" applyFont="1">
      <alignment horizontal="center" readingOrder="0" shrinkToFit="0" vertical="bottom" wrapText="0"/>
    </xf>
    <xf borderId="0" fillId="3" fontId="32" numFmtId="0" xfId="0" applyAlignment="1" applyFont="1">
      <alignment horizontal="center" vertical="bottom"/>
    </xf>
    <xf borderId="0" fillId="12" fontId="32" numFmtId="0" xfId="0" applyAlignment="1" applyFont="1">
      <alignment horizontal="center" vertical="bottom"/>
    </xf>
    <xf borderId="0" fillId="12" fontId="28" numFmtId="10" xfId="0" applyAlignment="1" applyFont="1" applyNumberFormat="1">
      <alignment horizontal="center" vertical="bottom"/>
    </xf>
    <xf borderId="0" fillId="0" fontId="28" numFmtId="0" xfId="0" applyFont="1"/>
    <xf borderId="2" fillId="5" fontId="22" numFmtId="0" xfId="0" applyAlignment="1" applyBorder="1" applyFont="1">
      <alignment horizontal="center" readingOrder="0" vertical="bottom"/>
    </xf>
    <xf borderId="0" fillId="0" fontId="33" numFmtId="0" xfId="0" applyAlignment="1" applyFont="1">
      <alignment horizontal="center"/>
    </xf>
    <xf borderId="2" fillId="0" fontId="33" numFmtId="0" xfId="0" applyAlignment="1" applyBorder="1" applyFont="1">
      <alignment horizontal="center"/>
    </xf>
    <xf borderId="2" fillId="0" fontId="33" numFmtId="0" xfId="0" applyBorder="1" applyFont="1"/>
    <xf borderId="2" fillId="3" fontId="22" numFmtId="0" xfId="0" applyAlignment="1" applyBorder="1" applyFont="1">
      <alignment horizontal="center" shrinkToFit="0" wrapText="1"/>
    </xf>
    <xf borderId="2" fillId="0" fontId="4" numFmtId="0" xfId="0" applyBorder="1" applyFont="1"/>
    <xf borderId="2" fillId="0" fontId="33" numFmtId="0" xfId="0" applyAlignment="1" applyBorder="1" applyFont="1">
      <alignment horizontal="center"/>
    </xf>
    <xf borderId="2" fillId="0" fontId="33" numFmtId="0" xfId="0" applyAlignment="1" applyBorder="1" applyFont="1">
      <alignment horizontal="left"/>
    </xf>
    <xf borderId="2" fillId="0" fontId="33" numFmtId="3" xfId="0" applyAlignment="1" applyBorder="1" applyFont="1" applyNumberFormat="1">
      <alignment horizontal="right"/>
    </xf>
    <xf borderId="2" fillId="0" fontId="33" numFmtId="0" xfId="0" applyAlignment="1" applyBorder="1" applyFont="1">
      <alignment readingOrder="0" shrinkToFit="0" wrapText="0"/>
    </xf>
    <xf borderId="2" fillId="3" fontId="1" numFmtId="0" xfId="0" applyAlignment="1" applyBorder="1" applyFont="1">
      <alignment shrinkToFit="0" wrapText="0"/>
    </xf>
    <xf borderId="2" fillId="3" fontId="3" numFmtId="14" xfId="0" applyAlignment="1" applyBorder="1" applyFont="1" applyNumberFormat="1">
      <alignment horizontal="center" readingOrder="0" shrinkToFit="0" wrapText="0"/>
    </xf>
    <xf borderId="2" fillId="3" fontId="3" numFmtId="0" xfId="0" applyAlignment="1" applyBorder="1" applyFont="1">
      <alignment horizontal="center" readingOrder="0" shrinkToFit="0" wrapText="0"/>
    </xf>
    <xf borderId="0" fillId="0" fontId="33" numFmtId="0" xfId="0" applyFont="1"/>
    <xf borderId="0" fillId="3" fontId="22" numFmtId="0" xfId="0" applyAlignment="1" applyFont="1">
      <alignment horizontal="center" shrinkToFit="0" wrapText="1"/>
    </xf>
    <xf borderId="0" fillId="0" fontId="1" numFmtId="0" xfId="0" applyAlignment="1" applyFont="1">
      <alignment readingOrder="0" shrinkToFit="0" wrapText="0"/>
    </xf>
    <xf borderId="0" fillId="13" fontId="3" numFmtId="14" xfId="0" applyAlignment="1" applyFill="1" applyFont="1" applyNumberFormat="1">
      <alignment horizontal="center" readingOrder="0" shrinkToFit="0" wrapText="0"/>
    </xf>
    <xf borderId="0" fillId="13" fontId="3" numFmtId="0" xfId="0" applyAlignment="1" applyFont="1">
      <alignment horizontal="center" readingOrder="0" shrinkToFit="0" wrapText="0"/>
    </xf>
    <xf borderId="0" fillId="0" fontId="1" numFmtId="0" xfId="0" applyAlignment="1" applyFont="1">
      <alignment shrinkToFit="0" wrapText="1"/>
    </xf>
    <xf borderId="0" fillId="0" fontId="1" numFmtId="49" xfId="0" applyAlignment="1" applyFont="1" applyNumberFormat="1">
      <alignment shrinkToFit="0" wrapText="1"/>
    </xf>
    <xf borderId="0" fillId="0" fontId="1" numFmtId="1" xfId="0" applyAlignment="1" applyFont="1" applyNumberFormat="1">
      <alignment horizontal="center" shrinkToFit="0" wrapText="1"/>
    </xf>
    <xf borderId="0" fillId="0" fontId="1" numFmtId="3" xfId="0" applyAlignment="1" applyFont="1" applyNumberFormat="1">
      <alignment horizontal="center" shrinkToFit="0" wrapText="1"/>
    </xf>
    <xf borderId="0" fillId="0" fontId="1" numFmtId="1" xfId="0" applyAlignment="1" applyFont="1" applyNumberFormat="1">
      <alignment shrinkToFit="0" wrapText="1"/>
    </xf>
    <xf borderId="0" fillId="0" fontId="1" numFmtId="3" xfId="0" applyAlignment="1" applyFont="1" applyNumberFormat="1">
      <alignment shrinkToFit="0" wrapText="1"/>
    </xf>
    <xf borderId="0" fillId="0" fontId="1" numFmtId="164" xfId="0" applyAlignment="1" applyFont="1" applyNumberFormat="1">
      <alignment horizontal="left" shrinkToFit="0" wrapText="1"/>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1" numFmtId="3" xfId="0" applyAlignment="1" applyFont="1" applyNumberFormat="1">
      <alignment horizontal="center" readingOrder="0" shrinkToFit="0" wrapText="1"/>
    </xf>
    <xf borderId="0" fillId="0" fontId="1" numFmtId="164" xfId="0" applyAlignment="1" applyFont="1" applyNumberFormat="1">
      <alignment horizontal="center" readingOrder="0" shrinkToFit="0" wrapText="1"/>
    </xf>
    <xf borderId="0" fillId="0" fontId="4" numFmtId="0" xfId="0" applyAlignment="1" applyFont="1">
      <alignment shrinkToFit="0" wrapText="1"/>
    </xf>
    <xf borderId="2" fillId="0" fontId="1" numFmtId="0" xfId="0" applyAlignment="1" applyBorder="1" applyFont="1">
      <alignment horizontal="center" readingOrder="0" shrinkToFit="0" wrapText="1"/>
    </xf>
    <xf borderId="0" fillId="0" fontId="33" numFmtId="0" xfId="0" applyAlignment="1" applyFont="1">
      <alignment horizontal="center" shrinkToFit="0" wrapText="1"/>
    </xf>
    <xf borderId="0" fillId="0" fontId="4" numFmtId="49" xfId="0" applyAlignment="1" applyFont="1" applyNumberFormat="1">
      <alignment shrinkToFit="0" wrapText="1"/>
    </xf>
    <xf borderId="0" fillId="0" fontId="4" numFmtId="0" xfId="0" applyAlignment="1" applyFont="1">
      <alignment horizontal="center" shrinkToFit="0" wrapText="1"/>
    </xf>
    <xf borderId="0" fillId="0" fontId="4" numFmtId="3" xfId="0" applyAlignment="1" applyFont="1" applyNumberFormat="1">
      <alignment horizontal="center" shrinkToFit="0" wrapText="1"/>
    </xf>
    <xf borderId="0" fillId="0" fontId="1" numFmtId="0" xfId="0" applyAlignment="1" applyFont="1">
      <alignment readingOrder="0" shrinkToFit="0" wrapText="1"/>
    </xf>
    <xf borderId="2" fillId="5" fontId="22" numFmtId="0" xfId="0" applyAlignment="1" applyBorder="1" applyFont="1">
      <alignment horizontal="center" readingOrder="0" shrinkToFit="0" vertical="bottom" wrapText="1"/>
    </xf>
    <xf borderId="0" fillId="13" fontId="3" numFmtId="14" xfId="0" applyAlignment="1" applyFont="1" applyNumberFormat="1">
      <alignment horizontal="center" readingOrder="0" shrinkToFit="0" wrapText="1"/>
    </xf>
    <xf borderId="0" fillId="13" fontId="3" numFmtId="0" xfId="0" applyAlignment="1" applyFont="1">
      <alignment horizontal="center" readingOrder="0" shrinkToFit="0" wrapText="1"/>
    </xf>
    <xf borderId="0" fillId="0" fontId="4" numFmtId="49" xfId="0" applyAlignment="1" applyFont="1" applyNumberFormat="1">
      <alignment shrinkToFit="0" wrapText="0"/>
    </xf>
    <xf borderId="0" fillId="0" fontId="4" numFmtId="0" xfId="0" applyAlignment="1" applyFont="1">
      <alignment shrinkToFit="0" wrapText="0"/>
    </xf>
    <xf borderId="0" fillId="0" fontId="4" numFmtId="0" xfId="0" applyAlignment="1" applyFont="1">
      <alignment horizontal="center" shrinkToFit="0" wrapText="0"/>
    </xf>
    <xf borderId="0" fillId="0" fontId="4" numFmtId="3" xfId="0" applyAlignment="1" applyFont="1" applyNumberFormat="1">
      <alignment horizontal="center" shrinkToFit="0" wrapText="0"/>
    </xf>
    <xf borderId="0" fillId="0" fontId="4" numFmtId="1" xfId="0" applyAlignment="1" applyFont="1" applyNumberFormat="1">
      <alignment horizontal="center" shrinkToFit="0" wrapText="0"/>
    </xf>
    <xf borderId="0" fillId="0" fontId="4" numFmtId="1" xfId="0" applyAlignment="1" applyFont="1" applyNumberFormat="1">
      <alignment shrinkToFit="0" wrapText="0"/>
    </xf>
    <xf borderId="0" fillId="0" fontId="4" numFmtId="3" xfId="0" applyAlignment="1" applyFont="1" applyNumberFormat="1">
      <alignment shrinkToFit="0" wrapText="0"/>
    </xf>
    <xf borderId="0" fillId="0" fontId="4" numFmtId="164" xfId="0" applyAlignment="1" applyFont="1" applyNumberFormat="1">
      <alignment horizontal="left" shrinkToFit="0" wrapText="0"/>
    </xf>
    <xf borderId="0" fillId="0" fontId="4" numFmtId="0" xfId="0" applyFont="1"/>
    <xf borderId="0" fillId="0" fontId="4" numFmtId="14" xfId="0" applyAlignment="1" applyFont="1" applyNumberFormat="1">
      <alignment readingOrder="0"/>
    </xf>
    <xf borderId="0" fillId="0" fontId="4" numFmtId="0" xfId="0" applyAlignment="1" applyFont="1">
      <alignment readingOrder="0"/>
    </xf>
    <xf borderId="0" fillId="0" fontId="4" numFmtId="3" xfId="0" applyFont="1" applyNumberFormat="1"/>
    <xf borderId="0" fillId="0" fontId="4" numFmtId="164" xfId="0" applyFont="1" applyNumberFormat="1"/>
    <xf borderId="0" fillId="0" fontId="4" numFmtId="0" xfId="0" applyAlignment="1" applyFont="1">
      <alignment horizontal="left"/>
    </xf>
    <xf borderId="0" fillId="0" fontId="4" numFmtId="49" xfId="0" applyFont="1" applyNumberFormat="1"/>
    <xf borderId="0" fillId="0" fontId="4" numFmtId="0" xfId="0" applyAlignment="1" applyFont="1">
      <alignment horizontal="center" readingOrder="0"/>
    </xf>
    <xf borderId="0" fillId="0" fontId="1" numFmtId="1" xfId="0" applyAlignment="1" applyFont="1" applyNumberFormat="1">
      <alignment horizontal="center" readingOrder="0" shrinkToFit="0" wrapText="0"/>
    </xf>
    <xf borderId="0" fillId="0" fontId="4" numFmtId="14" xfId="0" applyAlignment="1" applyFont="1" applyNumberFormat="1">
      <alignment horizontal="center" readingOrder="0"/>
    </xf>
    <xf borderId="0" fillId="14" fontId="8" numFmtId="0" xfId="0" applyAlignment="1" applyFill="1" applyFont="1">
      <alignment shrinkToFit="0" wrapText="0"/>
    </xf>
    <xf borderId="0" fillId="14" fontId="8" numFmtId="49" xfId="0" applyAlignment="1" applyFont="1" applyNumberFormat="1">
      <alignment shrinkToFit="0" wrapText="0"/>
    </xf>
    <xf borderId="0" fillId="14" fontId="8" numFmtId="1" xfId="0" applyAlignment="1" applyFont="1" applyNumberFormat="1">
      <alignment horizontal="center" shrinkToFit="0" wrapText="0"/>
    </xf>
    <xf borderId="0" fillId="14" fontId="8" numFmtId="3" xfId="0" applyAlignment="1" applyFont="1" applyNumberFormat="1">
      <alignment horizontal="center" shrinkToFit="0" wrapText="0"/>
    </xf>
    <xf borderId="0" fillId="14" fontId="8" numFmtId="1" xfId="0" applyAlignment="1" applyFont="1" applyNumberFormat="1">
      <alignment shrinkToFit="0" wrapText="0"/>
    </xf>
    <xf borderId="0" fillId="14" fontId="8" numFmtId="3" xfId="0" applyAlignment="1" applyFont="1" applyNumberFormat="1">
      <alignment shrinkToFit="0" wrapText="0"/>
    </xf>
    <xf borderId="0" fillId="14" fontId="8" numFmtId="164" xfId="0" applyAlignment="1" applyFont="1" applyNumberFormat="1">
      <alignment horizontal="left" shrinkToFit="0" wrapText="0"/>
    </xf>
    <xf borderId="0" fillId="14" fontId="8" numFmtId="0" xfId="0" applyAlignment="1" applyFont="1">
      <alignment horizontal="center"/>
    </xf>
    <xf borderId="0" fillId="14" fontId="3" numFmtId="0" xfId="0" applyAlignment="1" applyFont="1">
      <alignment horizontal="center" readingOrder="0" shrinkToFit="0" vertical="center" wrapText="0"/>
    </xf>
    <xf borderId="0" fillId="14" fontId="8" numFmtId="0" xfId="0" applyFont="1"/>
    <xf borderId="0" fillId="14" fontId="8" numFmtId="3" xfId="0" applyFont="1" applyNumberFormat="1"/>
    <xf borderId="0" fillId="14" fontId="8" numFmtId="164" xfId="0" applyFont="1" applyNumberFormat="1"/>
    <xf borderId="0" fillId="14" fontId="7" numFmtId="164" xfId="0" applyAlignment="1" applyFont="1" applyNumberFormat="1">
      <alignment horizontal="center" readingOrder="0" shrinkToFit="0" vertical="center" wrapText="0"/>
    </xf>
    <xf borderId="0" fillId="14" fontId="3" numFmtId="0" xfId="0" applyAlignment="1" applyFont="1">
      <alignment horizontal="center" readingOrder="0" shrinkToFit="0" wrapText="0"/>
    </xf>
    <xf borderId="0" fillId="14" fontId="8" numFmtId="0" xfId="0" applyAlignment="1" applyFont="1">
      <alignment horizontal="left"/>
    </xf>
    <xf borderId="0" fillId="14" fontId="8" numFmtId="49" xfId="0" applyFont="1" applyNumberFormat="1"/>
    <xf borderId="0" fillId="14" fontId="15" numFmtId="10" xfId="0" applyAlignment="1" applyFont="1" applyNumberFormat="1">
      <alignment horizontal="center" vertical="center"/>
    </xf>
    <xf borderId="0" fillId="14" fontId="4" numFmtId="0" xfId="0" applyAlignment="1" applyFont="1">
      <alignment shrinkToFit="0" wrapText="0"/>
    </xf>
    <xf borderId="0" fillId="14" fontId="4" numFmtId="49" xfId="0" applyAlignment="1" applyFont="1" applyNumberFormat="1">
      <alignment shrinkToFit="0" wrapText="0"/>
    </xf>
    <xf borderId="0" fillId="14" fontId="4" numFmtId="1" xfId="0" applyAlignment="1" applyFont="1" applyNumberFormat="1">
      <alignment horizontal="center" shrinkToFit="0" wrapText="0"/>
    </xf>
    <xf borderId="0" fillId="14" fontId="4" numFmtId="3" xfId="0" applyAlignment="1" applyFont="1" applyNumberFormat="1">
      <alignment horizontal="center" shrinkToFit="0" wrapText="0"/>
    </xf>
    <xf borderId="0" fillId="14" fontId="4" numFmtId="1" xfId="0" applyAlignment="1" applyFont="1" applyNumberFormat="1">
      <alignment shrinkToFit="0" wrapText="0"/>
    </xf>
    <xf borderId="0" fillId="14" fontId="4" numFmtId="3" xfId="0" applyAlignment="1" applyFont="1" applyNumberFormat="1">
      <alignment shrinkToFit="0" wrapText="0"/>
    </xf>
    <xf borderId="0" fillId="14" fontId="4" numFmtId="164" xfId="0" applyAlignment="1" applyFont="1" applyNumberFormat="1">
      <alignment horizontal="left" shrinkToFit="0" wrapText="0"/>
    </xf>
    <xf borderId="0" fillId="14" fontId="4" numFmtId="0" xfId="0" applyAlignment="1" applyFont="1">
      <alignment horizontal="center"/>
    </xf>
    <xf borderId="0" fillId="14" fontId="4" numFmtId="0" xfId="0" applyFont="1"/>
    <xf borderId="0" fillId="14" fontId="4" numFmtId="3" xfId="0" applyFont="1" applyNumberFormat="1"/>
    <xf borderId="0" fillId="14" fontId="4" numFmtId="164" xfId="0" applyFont="1" applyNumberFormat="1"/>
    <xf borderId="0" fillId="14" fontId="1" numFmtId="0" xfId="0" applyAlignment="1" applyFont="1">
      <alignment horizontal="center" readingOrder="0" shrinkToFit="0" wrapText="0"/>
    </xf>
    <xf borderId="0" fillId="14" fontId="4" numFmtId="0" xfId="0" applyAlignment="1" applyFont="1">
      <alignment horizontal="left"/>
    </xf>
    <xf borderId="0" fillId="14" fontId="4" numFmtId="49" xfId="0" applyFont="1" applyNumberFormat="1"/>
    <xf borderId="0" fillId="14" fontId="24" numFmtId="10" xfId="0" applyAlignment="1" applyFont="1" applyNumberFormat="1">
      <alignment horizontal="center" vertical="center"/>
    </xf>
    <xf borderId="0" fillId="0" fontId="4" numFmtId="0" xfId="0" applyAlignment="1" applyFont="1">
      <alignment horizontal="left" shrinkToFit="0" wrapText="0"/>
    </xf>
  </cellXfs>
  <cellStyles count="1">
    <cellStyle xfId="0" name="Normal" builtinId="0"/>
  </cellStyles>
  <dxfs count="5">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
      <font/>
      <fill>
        <patternFill patternType="solid">
          <fgColor rgb="FF70AD47"/>
          <bgColor rgb="FF70AD47"/>
        </patternFill>
      </fill>
      <border/>
    </dxf>
  </dxfs>
  <tableStyles count="2">
    <tableStyle count="3" pivot="0" name="MIRORING MICRODEMAND-style">
      <tableStyleElement dxfId="1" type="headerRow"/>
      <tableStyleElement dxfId="2" type="firstRowStripe"/>
      <tableStyleElement dxfId="3" type="secondRowStripe"/>
    </tableStyle>
    <tableStyle count="3" pivot="0" name="MIRORING MICRODEMAND-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R6:BL44" sheet="MIRORING MICRODEMAND"/>
  </cacheSource>
  <cacheFields>
    <cacheField name="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sharedItems>
    </cacheField>
    <cacheField name="TAHUN" numFmtId="0">
      <sharedItems containsSemiMixedTypes="0" containsString="0" containsNumber="1" containsInteger="1">
        <n v="2026.0"/>
      </sharedItems>
    </cacheField>
    <cacheField name="ID-IHLD" numFmtId="0">
      <sharedItems containsSemiMixedTypes="0" containsString="0" containsNumber="1" containsInteger="1">
        <n v="1.2678877E7"/>
        <n v="1.2822895E7"/>
        <n v="1.1288505E7"/>
        <n v="1.2494439E7"/>
        <n v="1.2687799E7"/>
        <n v="1.2742254E7"/>
        <n v="1.1202007E7"/>
        <n v="1.1902804E7"/>
        <n v="1.2551223E7"/>
        <n v="1.137952E7"/>
        <n v="1.1417924E7"/>
        <n v="1.1869855E7"/>
        <n v="1.2742641E7"/>
        <n v="1.1015037E7"/>
        <n v="1.1266582E7"/>
        <n v="1.1198055E7"/>
        <n v="1.1297609E7"/>
        <n v="1.1425832E7"/>
        <n v="1.1284494E7"/>
        <n v="1.1516615E7"/>
        <n v="1.2874033E7"/>
        <n v="1.2528409E7"/>
        <n v="1.119789E7"/>
        <n v="1.2828065E7"/>
        <n v="1.2036733E7"/>
        <n v="1.2678801E7"/>
        <n v="1.1198092E7"/>
        <n v="1.1197936E7"/>
        <n v="1.2537645E7"/>
        <n v="1.2858752E7"/>
        <n v="1.2075822E7"/>
        <n v="1.1278681E7"/>
        <n v="1.1198101E7"/>
        <n v="1.1363241E7"/>
        <n v="1.2487853E7"/>
        <n v="1.2204982E7"/>
        <n v="1.1539784E7"/>
        <n v="1.2792159E7"/>
      </sharedItems>
    </cacheField>
    <cacheField name="NAMA LOP" numFmtId="0">
      <sharedItems>
        <s v="SMB PT3-SWL-FB KOTA SAWAHLUNTO_93280"/>
        <s v="RKP TSEL PT3 LBJ-FBF BKG NUSANTARA 1"/>
        <s v="RDR JPP PT4 JL HARAPAN JAYA BAGAN BATU"/>
        <s v="RDR JPP PT3 250_184_2904"/>
        <s v="RDR JPP PT3 250_200_2865"/>
        <s v="SMB-PT3-ODC-SIG-FA-150527-63694-36373"/>
        <s v="RKP PT3 TSEL BUM-FJ GG. APEL TJ. BUNTUNG"/>
        <s v="RKP TSEL PT3 SLU-FAS KOTA BATAM_18520"/>
        <s v="RKP TSEL PT2 KMS-FAQ 250_402_4247"/>
        <s v="RDR PPN PT4 P2I2 DALU DALU PEKAN TEBI"/>
        <s v="RDR SOK PT3 P3I1 SOK FE"/>
        <s v="RDR JPP PT3 TAMBAHAN BKN FAD"/>
        <s v="SMB-PT3-ODC-SIG-FA-54664-36312-99064"/>
        <s v="RKP PT3 JPPTSEL NGS-FAB ANGSANA GADING THP 3"/>
        <s v="RKP PT3 TSEL TBK-FZ KP. HARAPAN"/>
        <s v="RKP PT3 TSEL TJT-FG JL. JEND SUDIRMAN"/>
        <s v="RDR BGU PT3 P1I1 Jl.LintasSumatraBalam"/>
        <s v="RDR UBT PT3 P1I1 UBT FT"/>
        <s v="RDR JPP PT3 JL BANGUN JINAWI"/>
        <s v="RKP PT3 TSEL BDS-FQ TIBAN GEMILANG"/>
        <s v="SMB PT3-LBS-FD SMB STTF KP. MELAYU"/>
        <s v="RKP TSEL PT3 SLU-FBQ 250_463_4012"/>
        <s v="RKP PT3 TSEL TJT-FH JL SUNARYO"/>
        <s v="SMB-PT3-ODC-PYK-FF-PYK-107920 - 158925"/>
        <s v="RDR JPP PT3 KAMPAR_64178"/>
        <s v="SMB-PT3-SWL-FC AOi425020103093452565dde0"/>
        <s v="RKP PT3 TSEL TJT-FH JALAN PARIT SERATUS"/>
        <s v="RKP PT3 TSEL TJT-FL TANJUNG BATU BARU"/>
        <s v="RKP TSEL PT2 SLU-FCV 250_451_4028"/>
        <s v="SMB-PT3-ODC-KOU-FA-250_174_2418"/>
        <s v="RKP TSEL PT3 SLU-FBC KAV. SEI LEKOP"/>
        <s v="RKP PT3 TSEL TJT-FL JL. SAWANG KUNDUR"/>
        <s v="RKP PT3 JPP TJT-FG JL. SARTIKA"/>
        <s v="RDR TAK PT3 P2I2 TAMBAHAN SUNGAI PAKU"/>
        <s v="RDR JPP PT3 SIAK_73279"/>
        <s v="RDR JPP PT3 SIAK_134261"/>
        <s v="RKP PT3 TSEL LBJ-FBS BENGKONG ASRAMA"/>
        <s v="RKP TSEL PT3 LBJ-FCW 250_519_4039"/>
      </sharedItems>
    </cacheField>
    <cacheField name="REGIONAL" numFmtId="0">
      <sharedItems>
        <s v="REGIONAL I"/>
      </sharedItems>
    </cacheField>
    <cacheField name="AREA" numFmtId="0">
      <sharedItems>
        <s v="PADANG"/>
        <s v="BATAM"/>
        <s v="DUMAI"/>
        <s v="PEKANBARU "/>
        <s v="BUKIT TINGGI"/>
      </sharedItems>
    </cacheField>
    <cacheField name="STO" numFmtId="0">
      <sharedItems>
        <s v="SWL"/>
        <s v="LBJ"/>
        <s v="BGU"/>
        <s v="BKR"/>
        <s v="ARK"/>
        <s v="SIG"/>
        <s v="BUM"/>
        <s v="SLU"/>
        <s v="KMS"/>
        <s v="PPN"/>
        <s v="SOK"/>
        <s v="BKN"/>
        <s v="NGS"/>
        <s v="TBK"/>
        <s v="TJT"/>
        <s v="UBT"/>
        <s v="DUM"/>
        <s v="DGS"/>
        <s v="LBS"/>
        <s v="PYK"/>
        <s v="KOU"/>
        <s v="TAK"/>
        <s v="SAK"/>
      </sharedItems>
    </cacheField>
    <cacheField name="REGION FMC" numFmtId="0">
      <sharedItems>
        <s v="SUMBAGTENG"/>
      </sharedItems>
    </cacheField>
    <cacheField name="BRANCH FMC" numFmtId="0">
      <sharedItems>
        <s v="PADANG"/>
        <s v="BATAM"/>
        <s v="DUMAI"/>
        <s v="PEKANBARU"/>
        <s v="BUKIT TINGGI"/>
      </sharedItems>
    </cacheField>
    <cacheField name="BATCH PROGRAM" numFmtId="0">
      <sharedItems>
        <s v="Batch 3"/>
        <s v="Batch 2"/>
      </sharedItems>
    </cacheField>
    <cacheField name="ODP PLAN" numFmtId="0">
      <sharedItems containsSemiMixedTypes="0" containsString="0" containsNumber="1" containsInteger="1">
        <n v="6.0"/>
        <n v="3.0"/>
        <n v="18.0"/>
        <n v="12.0"/>
        <n v="5.0"/>
        <n v="2.0"/>
        <n v="1.0"/>
        <n v="23.0"/>
        <n v="19.0"/>
        <n v="9.0"/>
        <n v="4.0"/>
        <n v="55.0"/>
        <n v="7.0"/>
        <n v="10.0"/>
        <n v="20.0"/>
        <n v="14.0"/>
      </sharedItems>
    </cacheField>
    <cacheField name="PORT PLAN" numFmtId="0">
      <sharedItems containsSemiMixedTypes="0" containsString="0" containsNumber="1" containsInteger="1">
        <n v="48.0"/>
        <n v="24.0"/>
        <n v="144.0"/>
        <n v="96.0"/>
        <n v="40.0"/>
        <n v="16.0"/>
        <n v="8.0"/>
        <n v="184.0"/>
        <n v="160.0"/>
        <n v="72.0"/>
        <n v="32.0"/>
        <n v="432.0"/>
        <n v="56.0"/>
        <n v="80.0"/>
        <n v="112.0"/>
      </sharedItems>
    </cacheField>
    <cacheField name="NAMA MITRA" numFmtId="0">
      <sharedItems>
        <s v="PT TANJUNG PUTRA PRIMA"/>
        <s v="PT HDUA PUTRA PRAJODA"/>
        <s v="PT DWI MITRA JAYA UTAMA"/>
        <s v="PT TIGA AKSES MANDIRI"/>
        <s v="PT UPAYA TEKNIK"/>
        <s v="PT TSUIKA BERKAH RAYA"/>
        <s v="PT TRIPOLA PANATA"/>
        <s v="PT MITRA HOSINDO SEJAHTERA"/>
        <s v="PT SALTTEK DUMPANG JAYA"/>
        <s v="PT LIBER PERSADA MANDIRI"/>
        <s v="PT KENCANA RAYA INDONESIA"/>
        <s v="PT SINAR KEPRI SEJAHTERA"/>
        <s v="PT MITRA AKSES INSANI"/>
        <s v="PT ALAM UTAMA MULIA"/>
        <s v="PT TRI LESMA INDONESIA"/>
        <s v="PT MITRA SETIA INDONESIA"/>
        <s v="PT GARINDO TECHNO MANDIRI"/>
      </sharedItems>
    </cacheField>
    <cacheField name="STATUS" numFmtId="0">
      <sharedItems>
        <s v="6. FINISH INSTALASI"/>
        <s v="5. INSTALASI"/>
        <s v="4. MATDEL"/>
      </sharedItems>
    </cacheField>
    <cacheField name="SUB STATUS KONS" numFmtId="0">
      <sharedItems>
        <s v="6.8 Sudah Submit ABD ke SDI"/>
        <s v="6.7 Belum Submit ABD"/>
        <s v="6.3 Kendala OLT / Mini OLT / OTN"/>
        <s v="5.6 Proses Penarikan Kabel"/>
        <s v="5.4 Proses Penanaman Tiang"/>
        <s v="5.9 Proses Pemasangan/Terminasi ODP/OTB"/>
        <s v="4.1 Belum Request Material (Alista)"/>
        <s v="6.5 Proses Valins"/>
        <s v="5.1 Progress kendala Comcase"/>
        <s v="7.1 Golive Full"/>
      </sharedItems>
    </cacheField>
    <cacheField name="DETAIL STATUS" numFmtId="0">
      <sharedItems containsBlank="1">
        <s v="(05/03) ABD done submit ke sdi (02/03) ABD OGP submit ke sdi (18/02) penarikan kabel PLAN FI 22/02 (29/01) proses delivery material (21/01) proses CReate PID (07/01) Persiapan"/>
        <s v="26/02 Terminasi ODP dan Jumper FTM. 18/02 Izin di acc dengan catatan haru benjar jaringan eksisting. 16/02 Plan anwijzing 19 Feb. 11/02 Peralihan mitra. 28/01 Mitra tripola belum ada PIC untuk anwijzing. 23/01 Plan anwijzing 26 Jan, pic mitra ada pertangg"/>
        <s v="12/02 Menunggu Mini OLT UJT666 29/01 Terminasi ODP"/>
        <s v="04/03 Pekerjaan sudah lanjut penarikan kabel 20/02 Pekerjaan di stop oleh warga setempat 10/02 Pengitiman material ke Lokasi 29/01 Antrian review hasil anwidzing"/>
        <m/>
        <s v="(05/03) ABD done submit ke sdi (02/03) ABD OGP submit ke sdi (18/02) Tanam tiang plan FI 21/02 (03/02) Proses create PID (29/01) Done aanwijziing , proses eval"/>
        <s v="18/02 Fi tanggal 24 Feb, Sumbit ABD tanggal 25 Feb. 09/02 Proses terminasi. 04/02 Proses tarik kabel, plan FI tanggal 07. 30/01 Tanam tiang. 28/01 Deliv material, Plan tanam tiang tgl 29, tarik kabel 30, Terminasi dan ABD mancore tanggal 31"/>
        <s v="16/02 CPP eval OK, progres deliv material. 11/02 Done survey. izin OK. 09/02 sudah anwijzing dan perizinan, plan pembuatan BOQ dan KML survey. 29/01 anwijzing OK, proses perizinan. 28/01 Plan survey HI.. 21/01 plansurvey 28 Jan"/>
        <s v="04/03 ABD mitra. 12/02 MP Terbatas di pulau tanjung pinang, tidak bisa komit sampai bulan maret. 09/02 plan anwijzing minggu ini, PIC mitra paralel progres installasi.04/02 Order Batch 3 di survey minggu depan. 23/01 Plan anwijzing 26 Jan, Order Baru. 22/"/>
        <s v="04/03 Menunggu Discovery Mini OLT 02/03 Menunggu Mini OLT PPN224 20/02 Plan Selesai Fisik 27 Feb 10/02 Pengitiman material ke Lokasi 29/01 Menunggu Order Mini OLT (07/01) Persiapan"/>
        <s v="20/02 Plan selesai fisik 28 Feb 10/02 Antrian Tim Mitra 09/02 Antrian Review 29/01 Antrian Review hasil anwidzing 21/01 Terget selesai survey 24 Jan (07/01) Persiapan"/>
        <s v="10/02 Pengitiman material ke Lokasi 29/01 Pengiriman material ke Lokasi (07/01) Persiapan"/>
        <s v="(05/03) ABD done submit ke sdi (02/03) ABD OGP submit ke sdi (18/02) Tanam tiang plan FI 20/02 (03/02) Proses create PID (29/01) Done aanwijziing , proses eval"/>
        <s v="18/02 Jointer tiba di hari jumat tanggal 20 Feb, plan FI tanggal 21 Feb, ABD submit 23 Feb. 16/02 Progres terminasi ODP. 12/02 Proses galian dan tanam tiang. 09/02 belum di survey karena, PIC mitra masih fokus di installasi dan LOP butuh percepatan dari T"/>
        <s v="16/02 Izin belum di acc tuan tanah, RT OK. 09/02 FU kembali izin besok 10 Feb karena PIC sedang fokus installasi. 28/01 Plan survey tanggal 29 Jan. 21/01 plan anwijzing 26 jan, peralihan mitra"/>
        <s v="26/02 Tanam tiang DONE, proses tarik kabel tim serial. 13/02 Jadwal kapal ke pulau tanjung batu di hari rabu, karena kapal hari minggu sudah penuh. 09/02 LOP belum di survey oleh mitra, komitmen terakhi hari minggu tgl 8 feb tim berangkat ke pulau tanjung"/>
        <s v="04/03 Proses Valins 12/02 Menunggu Mini OLT UJT515 29/01 Terminasi ODP 20/01 Pemasangan odp (07/01) Persiapan"/>
        <s v="10/02 Pemasangan ODP 29/01 Terminasi ODP 20/01 Pemasangan odp (07/01) Persiapan"/>
        <s v="12/02 Proses Vallins 29/01 Menunggu tim utk valins 22/01 Jumper dan valins"/>
        <s v="27/02 Terminasi ODP. 12/02 Proses req material. 09/02 Core dist dan feeder OK, proses perizinan. 28/01 Plan survey 29 Jan. 21/01 plan survey minggu depan tgl 26"/>
        <s v="(05/03) terminasi ODP, menunggu dana comcase (02/03) penyerahan dana comcase HI, dan lanjut instalasi (18/02) tanam tiang PLan FI 20/02 (05/02) proses tanam tiang (29/01) proses create PID (21/01) proses aanwijziing (07/01) Persiapan"/>
        <s v="16/02 Penarikan di Tiang eksisting, namun warga meminta tetap izin dahulu ke RT. 11/02 Done survey. izin OK. 09/02 sudah anwijzing dan perizinan, plan pembuatan BOQ dan KML survey. 29/01 anwijzing OK, proses perizinan. 28/01 Plan survey HI.. 21/01 plansur"/>
        <s v="(10/03) ABD done ke SDI, Menunggu hasil UT 10/03 (05/03) proses create PID 3/3 Meeting ED1 - TAREGION - TA AREA ACC CPP Tinggi LANJUT (03/02) CPP aman, kenaikan 45% (29/01) Done aanwijziing , proses eval"/>
        <s v="23/02 Penanaman tiang 09/02 Antrian Review 29/01 Antrian review hasil anwidzing"/>
        <s v="16/02 Progres Req Material. 13/02 Anwijzing OK, izin belum di beri kepastian. 12/02 Plan anwijzing besok 13 Feb. 09/02 Plan anwijzing 11 Feb 2026. 29/01 Plan survey 30 Jan. 23/01 Plan anwijzing 26 Jan, Order Baru. 22/01 Order baru, proses penunjukan mitra"/>
        <s v="(05/03) terminasi ODP, menunggu dana comcase (02/03) penyerahan dana comcase HI, dan lanjut instalasi (18/02) Terminasi ODP, kendala comcase (05/02) proses tanam tiang (29/01) proses create PID (21/01) proses aanwijziing (07/01) Persiapan"/>
        <s v="07/02 MP mitra masih di TJT. 06/02 Izin OK, anwijzing OK. 28/01 Plan survey 29 Jan. 21/01 plan survey minggu depan tgl 26"/>
        <s v="10/02 Antrian Tim Mitra 29/01 Antrian Review hasil anwidzing 21/01 Terget selesai survey 24 Jan (07/01) Persiapan"/>
        <s v="23/02 Penanaman tiang 09/02 Antrian Review 29/01 Antrian Review hasil anwidzing (07/01) valins (07/01) Persiapan"/>
        <s v="23/02 Penanaman tiang 09/02 Antrian Review 29/01 Antrian Review hasil anwidzing (07/01) Persiapan"/>
        <s v="16/02 Izin OK, permintaan perapihan DC. 11/02 Peralihan mitra. 28/01 Plan survey 29 Jan. 28/01 Mitra tripola belum ada PIC untuk anwijzing. 23/01 Plan anwijzing 26 Jan, pic mitra ada pertanggal 25 jan. 21/01 proses penunjukan mitra"/>
        <s v="09/03 Terminasi hari ini dan FI hari ini.&#10;04/03 izin OK proses pengecekan core, tim masih serial .19/02 Izin OK. 16/02 Plan anwijzing 19 Feb. 11/02 Peralihan mitra. 28/01 Mitra tripola belum ada PIC untuk anwijzing. 23/01 Plan anwijzing 26 Jan, pic mitra "/>
      </sharedItems>
    </cacheField>
    <cacheField name="BULAN GOLIVE" numFmtId="0">
      <sharedItems>
        <s v="MARET"/>
      </sharedItems>
    </cacheField>
    <cacheField name="KOMITMEN GOLIVE" numFmtId="165">
      <sharedItems containsSemiMixedTypes="0" containsDate="1" containsString="0">
        <d v="2026-03-05T00:00:00Z"/>
        <d v="2026-03-06T00:00:00Z"/>
        <d v="2026-03-07T00:00:00Z"/>
        <d v="2026-03-08T00:00:00Z"/>
        <d v="2026-03-09T00:00:00Z"/>
        <d v="2026-03-10T00:00:00Z"/>
        <d v="2026-03-11T00:00:00Z"/>
        <d v="2026-03-12T00:00:00Z"/>
        <d v="2026-03-13T00:00:00Z"/>
        <d v="2026-03-14T00:00:00Z"/>
        <d v="2026-03-15T00:00:00Z"/>
        <d v="2026-03-16T00:00:00Z"/>
        <d v="2026-03-17T00:00:00Z"/>
        <d v="2026-03-30T00:00:00Z"/>
      </sharedItems>
    </cacheField>
    <cacheField name="Tgl Golive" numFmtId="0">
      <sharedItems containsDate="1" containsString="0" containsBlank="1">
        <m/>
        <d v="2026-03-25T00:00:00Z"/>
        <d v="2026-03-12T00:00:00Z"/>
        <d v="2026-03-16T00:00:00Z"/>
      </sharedItems>
    </cacheField>
    <cacheField name="FINAL" numFmtId="0">
      <sharedItems containsBlank="1">
        <s v="GOLIVE"/>
        <m/>
      </sharedItems>
    </cacheField>
    <cacheField name="POTENSI PORT GL HARIAN" numFmtId="0">
      <sharedItems containsString="0" containsBlank="1" containsNumber="1" containsInteger="1">
        <n v="72.0"/>
        <m/>
        <n v="144.0"/>
        <n v="136.0"/>
        <n v="96.0"/>
        <n v="544.0"/>
        <n v="536.0"/>
        <n v="240.0"/>
        <n v="24.0"/>
        <n v="64.0"/>
        <n v="32.0"/>
        <n v="22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IRORING MICRODEMAND" cacheId="0" dataCaption="" compact="0" compactData="0">
  <location ref="BO6:BQ12" firstHeaderRow="0" firstDataRow="2" firstDataCol="0" rowPageCount="1" colPageCount="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TAHUN" compact="0" outline="0" multipleItemSelectionAllowed="1" showAll="0">
      <items>
        <item x="0"/>
        <item t="default"/>
      </items>
    </pivotField>
    <pivotField name="ID-IH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NAMA LO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REGIONAL" compact="0" outline="0" multipleItemSelectionAllowed="1" showAll="0">
      <items>
        <item x="0"/>
        <item t="default"/>
      </items>
    </pivotField>
    <pivotField name="AREA" compact="0" outline="0" multipleItemSelectionAllowed="1" showAll="0">
      <items>
        <item x="0"/>
        <item x="1"/>
        <item x="2"/>
        <item x="3"/>
        <item x="4"/>
        <item t="default"/>
      </items>
    </pivotField>
    <pivotField name="ST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ON FMC" compact="0" outline="0" multipleItemSelectionAllowed="1" showAll="0">
      <items>
        <item x="0"/>
        <item t="default"/>
      </items>
    </pivotField>
    <pivotField name="BRANCH FMC" axis="axisRow" compact="0" outline="0" multipleItemSelectionAllowed="1" showAll="0" sortType="ascending">
      <items>
        <item x="1"/>
        <item x="4"/>
        <item x="2"/>
        <item x="0"/>
        <item x="3"/>
        <item t="default"/>
      </items>
    </pivotField>
    <pivotField name="BATCH PROGRAM" compact="0" outline="0" multipleItemSelectionAllowed="1" showAll="0">
      <items>
        <item x="0"/>
        <item x="1"/>
        <item t="default"/>
      </items>
    </pivotField>
    <pivotField name="ODP PLAN" dataField="1" compact="0" outline="0" multipleItemSelectionAllowed="1" showAll="0">
      <items>
        <item x="0"/>
        <item x="1"/>
        <item x="2"/>
        <item x="3"/>
        <item x="4"/>
        <item x="5"/>
        <item x="6"/>
        <item x="7"/>
        <item x="8"/>
        <item x="9"/>
        <item x="10"/>
        <item x="11"/>
        <item x="12"/>
        <item x="13"/>
        <item x="14"/>
        <item x="15"/>
        <item t="default"/>
      </items>
    </pivotField>
    <pivotField name="PORT PLAN" dataField="1" compact="0" outline="0" multipleItemSelectionAllowed="1" showAll="0">
      <items>
        <item x="0"/>
        <item x="1"/>
        <item x="2"/>
        <item x="3"/>
        <item x="4"/>
        <item x="5"/>
        <item x="6"/>
        <item x="7"/>
        <item x="8"/>
        <item x="9"/>
        <item x="10"/>
        <item x="11"/>
        <item x="12"/>
        <item x="13"/>
        <item x="14"/>
        <item t="default"/>
      </items>
    </pivotField>
    <pivotField name="NAMA MITRA" compact="0" outline="0" multipleItemSelectionAllowed="1" showAll="0">
      <items>
        <item x="0"/>
        <item x="1"/>
        <item x="2"/>
        <item x="3"/>
        <item x="4"/>
        <item x="5"/>
        <item x="6"/>
        <item x="7"/>
        <item x="8"/>
        <item x="9"/>
        <item x="10"/>
        <item x="11"/>
        <item x="12"/>
        <item x="13"/>
        <item x="14"/>
        <item x="15"/>
        <item x="16"/>
        <item t="default"/>
      </items>
    </pivotField>
    <pivotField name="STATUS" compact="0" outline="0" multipleItemSelectionAllowed="1" showAll="0">
      <items>
        <item x="0"/>
        <item x="1"/>
        <item x="2"/>
        <item t="default"/>
      </items>
    </pivotField>
    <pivotField name="SUB STATUS KONS" compact="0" outline="0" multipleItemSelectionAllowed="1" showAll="0">
      <items>
        <item x="0"/>
        <item x="1"/>
        <item x="2"/>
        <item x="3"/>
        <item x="4"/>
        <item x="5"/>
        <item x="6"/>
        <item x="7"/>
        <item x="8"/>
        <item x="9"/>
        <item t="default"/>
      </items>
    </pivotField>
    <pivotField name="DETAIL STAT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ULAN GOLIVE" compact="0" outline="0" multipleItemSelectionAllowed="1" showAll="0">
      <items>
        <item x="0"/>
        <item t="default"/>
      </items>
    </pivotField>
    <pivotField name="KOMITMEN GOLIVE" compact="0" numFmtId="165" outline="0" multipleItemSelectionAllowed="1" showAll="0">
      <items>
        <item x="0"/>
        <item x="1"/>
        <item x="2"/>
        <item x="3"/>
        <item x="4"/>
        <item x="5"/>
        <item x="6"/>
        <item x="7"/>
        <item x="8"/>
        <item x="9"/>
        <item x="10"/>
        <item x="11"/>
        <item x="12"/>
        <item x="13"/>
        <item t="default"/>
      </items>
    </pivotField>
    <pivotField name="Tgl Golive" compact="0" outline="0" multipleItemSelectionAllowed="1" showAll="0">
      <items>
        <item x="0"/>
        <item x="1"/>
        <item x="2"/>
        <item x="3"/>
        <item t="default"/>
      </items>
    </pivotField>
    <pivotField name="FINAL" axis="axisPage" compact="0" outline="0" multipleItemSelectionAllowed="1" showAll="0">
      <items>
        <item x="0"/>
        <item h="1" x="1"/>
        <item t="default"/>
      </items>
    </pivotField>
    <pivotField name="POTENSI PORT GL HARIAN" compact="0" outline="0" multipleItemSelectionAllowed="1" showAll="0">
      <items>
        <item x="0"/>
        <item x="1"/>
        <item x="2"/>
        <item x="3"/>
        <item x="4"/>
        <item x="5"/>
        <item x="6"/>
        <item x="7"/>
        <item x="8"/>
        <item x="9"/>
        <item x="10"/>
        <item x="11"/>
        <item t="default"/>
      </items>
    </pivotField>
  </pivotFields>
  <rowFields>
    <field x="8"/>
  </rowFields>
  <colFields>
    <field x="-2"/>
  </colFields>
  <pageFields>
    <pageField fld="19"/>
  </pageFields>
  <dataFields>
    <dataField name="SUM of ODP PLAN" fld="10" baseField="0"/>
    <dataField name="SUM of PORT PLAN" fld="11" baseField="0"/>
  </dataFields>
</pivotTableDefinition>
</file>

<file path=xl/tables/table1.xml><?xml version="1.0" encoding="utf-8"?>
<table xmlns="http://schemas.openxmlformats.org/spreadsheetml/2006/main" ref="BO6:BQ14" displayName="Table_1" name="Table_1" id="1">
  <tableColumns count="3">
    <tableColumn name="BRANCH FMC" id="1"/>
    <tableColumn name="SUM of ODP PLAN" id="2"/>
    <tableColumn name="SUM of PORT PLAN" id="3"/>
  </tableColumns>
  <tableStyleInfo name="MIRORING MICRODEMAND-style" showColumnStripes="0" showFirstColumn="1" showLastColumn="1" showRowStripes="1"/>
</table>
</file>

<file path=xl/tables/table2.xml><?xml version="1.0" encoding="utf-8"?>
<table xmlns="http://schemas.openxmlformats.org/spreadsheetml/2006/main" ref="BO28:BQ36" displayName="Table_2" name="Table_2" id="2">
  <tableColumns count="3">
    <tableColumn name="BRANCH FMC" id="1"/>
    <tableColumn name="SUM of ODP PLAN" id="2"/>
    <tableColumn name="SUM of PORT PLAN" id="3"/>
  </tableColumns>
  <tableStyleInfo name="MIRORING MICRODEMAN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38"/>
    <col customWidth="1" min="3" max="3" width="34.25"/>
    <col customWidth="1" min="5" max="5" width="10.13"/>
    <col customWidth="1" min="7" max="7" width="12.88"/>
    <col customWidth="1" min="8" max="8" width="18.25"/>
    <col customWidth="1" min="10" max="10" width="5.63"/>
    <col customWidth="1" min="12" max="12" width="11.63"/>
    <col customWidth="1" min="23" max="31" width="5.38"/>
    <col customWidth="1" min="32" max="35" width="10.0"/>
    <col customWidth="1" min="36" max="36" width="11.63"/>
    <col customWidth="1" min="38" max="43" width="5.38"/>
    <col customWidth="1" hidden="1" min="44" max="44" width="5.38"/>
    <col hidden="1" min="45" max="46" width="12.63"/>
    <col customWidth="1" hidden="1" min="47" max="47" width="36.0"/>
    <col hidden="1" min="48" max="59" width="12.63"/>
    <col customWidth="1" hidden="1" min="60" max="61" width="17.13"/>
    <col hidden="1" min="62" max="64" width="12.63"/>
    <col customWidth="1" min="67" max="67" width="17.63"/>
    <col customWidth="1" min="68" max="68" width="15.5"/>
    <col customWidth="1" min="69" max="69" width="16.38"/>
    <col customWidth="1" min="71" max="71" width="18.63"/>
    <col customWidth="1" min="72" max="72" width="10.75"/>
    <col customWidth="1" min="73" max="73" width="14.38"/>
    <col customWidth="1" min="74" max="74" width="17.13"/>
    <col customWidth="1" min="75" max="75" width="10.75"/>
    <col customWidth="1" min="76" max="76" width="12.5"/>
    <col customWidth="1" min="77" max="77" width="8.88"/>
    <col customWidth="1" min="78" max="78" width="12.25"/>
    <col customWidth="1" min="79" max="79" width="10.38"/>
    <col customWidth="1" min="80" max="80" width="8.88"/>
    <col customWidth="1" min="82" max="82" width="19.13"/>
    <col customWidth="1" min="83" max="83" width="10.88"/>
    <col customWidth="1" min="85" max="85" width="17.13"/>
    <col customWidth="1" min="86" max="86" width="10.88"/>
    <col customWidth="1" min="87" max="87" width="14.13"/>
    <col customWidth="1" min="88" max="88" width="14.5"/>
    <col customWidth="1" min="89" max="89" width="10.88"/>
    <col customWidth="1" min="91" max="92" width="9.75"/>
    <col customWidth="1" min="93" max="93" width="8.5"/>
    <col customWidth="1" min="94" max="94" width="9.75"/>
  </cols>
  <sheetData>
    <row r="1">
      <c r="A1" s="1"/>
      <c r="B1" s="2"/>
      <c r="C1" s="1"/>
      <c r="D1" s="1"/>
      <c r="E1" s="1"/>
      <c r="F1" s="1"/>
      <c r="G1" s="2"/>
      <c r="H1" s="1"/>
      <c r="I1" s="1"/>
      <c r="J1" s="3">
        <f t="shared" ref="J1:L1" si="1">subtotal(9,J4:J3194)</f>
        <v>5932</v>
      </c>
      <c r="K1" s="3">
        <f t="shared" si="1"/>
        <v>47592</v>
      </c>
      <c r="L1" s="4">
        <f t="shared" si="1"/>
        <v>893926583</v>
      </c>
      <c r="M1" s="5"/>
      <c r="N1" s="5"/>
      <c r="O1" s="6"/>
      <c r="P1" s="5"/>
      <c r="Q1" s="5"/>
      <c r="R1" s="7" t="s">
        <v>0</v>
      </c>
      <c r="S1" s="8"/>
      <c r="T1" s="8"/>
      <c r="U1" s="8"/>
      <c r="V1" s="1"/>
      <c r="W1" s="1"/>
      <c r="X1" s="1"/>
      <c r="Y1" s="1"/>
      <c r="Z1" s="1"/>
      <c r="AA1" s="1"/>
      <c r="AB1" s="1"/>
      <c r="AC1" s="1"/>
      <c r="AD1" s="1"/>
      <c r="AE1" s="1"/>
      <c r="AF1" s="1"/>
      <c r="AG1" s="1"/>
      <c r="AH1" s="1"/>
      <c r="AI1" s="9" t="s">
        <v>1</v>
      </c>
      <c r="AJ1" s="1"/>
      <c r="AL1" s="1"/>
      <c r="AM1" s="1"/>
      <c r="AN1" s="1"/>
      <c r="AO1" s="1"/>
      <c r="AP1" s="1"/>
      <c r="AQ1" s="1"/>
      <c r="AR1" s="1"/>
      <c r="AS1" s="1"/>
      <c r="AT1" s="1"/>
      <c r="AU1" s="1"/>
      <c r="AV1" s="1"/>
      <c r="AW1" s="10"/>
      <c r="AX1" s="1"/>
      <c r="AY1" s="1"/>
      <c r="AZ1" s="1"/>
      <c r="BA1" s="1"/>
      <c r="BB1" s="8"/>
      <c r="BC1" s="8"/>
      <c r="BD1" s="1"/>
      <c r="BE1" s="1"/>
      <c r="BF1" s="1"/>
      <c r="BG1" s="1"/>
      <c r="BH1" s="1"/>
      <c r="BI1" s="1"/>
      <c r="BJ1" s="8"/>
      <c r="BK1" s="8"/>
      <c r="BL1" s="8"/>
      <c r="BP1" s="11"/>
      <c r="BQ1" s="11"/>
      <c r="BS1" s="12"/>
      <c r="BT1" s="12"/>
      <c r="BU1" s="12"/>
      <c r="BV1" s="12"/>
      <c r="BW1" s="12"/>
      <c r="BX1" s="12"/>
      <c r="BY1" s="12"/>
      <c r="BZ1" s="12"/>
      <c r="CA1" s="12"/>
      <c r="CB1" s="12"/>
    </row>
    <row r="2">
      <c r="A2" s="13" t="str">
        <f>IFERROR(__xludf.DUMMYFUNCTION("QUERY(IMPORTRANGE(""https://docs.google.com/spreadsheets/d/1tvmbsYYalrgna1O0Aq5q2OEY3XxIv65LL8X1H4RN6tQ/edit"",""microdemand 2026!A1:Af""))"),"")</f>
        <v/>
      </c>
      <c r="B2" s="14">
        <f>IFERROR(__xludf.DUMMYFUNCTION("""COMPUTED_VALUE"""),2736.0)</f>
        <v>2736</v>
      </c>
      <c r="C2" s="13"/>
      <c r="D2" s="13"/>
      <c r="E2" s="13"/>
      <c r="F2" s="13"/>
      <c r="G2" s="15"/>
      <c r="H2" s="13"/>
      <c r="I2" s="13"/>
      <c r="J2" s="16"/>
      <c r="K2" s="17">
        <f>IFERROR(__xludf.DUMMYFUNCTION("""COMPUTED_VALUE"""),170760.0)</f>
        <v>170760</v>
      </c>
      <c r="L2" s="18"/>
      <c r="M2" s="14">
        <f>IFERROR(__xludf.DUMMYFUNCTION("""COMPUTED_VALUE"""),1.99627831031E11)</f>
        <v>199627831031</v>
      </c>
      <c r="N2" s="13"/>
      <c r="O2" s="15" t="str">
        <f>IFERROR(__xludf.DUMMYFUNCTION("""COMPUTED_VALUE"""),"RUMUS, HANYA UPDATE KOLOM P")</f>
        <v>RUMUS, HANYA UPDATE KOLOM P</v>
      </c>
      <c r="P2" s="13" t="str">
        <f>IFERROR(__xludf.DUMMYFUNCTION("""COMPUTED_VALUE"""),"SUB STATUS JGN DICOPY PASTE !!!!! Perhatikan Ujung Nomor Sub status, menggambarkan status TSB")</f>
        <v>SUB STATUS JGN DICOPY PASTE !!!!! Perhatikan Ujung Nomor Sub status, menggambarkan status TSB</v>
      </c>
      <c r="Q2" s="13" t="str">
        <f>IFERROR(__xludf.DUMMYFUNCTION("""COMPUTED_VALUE""")," ")</f>
        <v> </v>
      </c>
      <c r="R2" s="19"/>
      <c r="S2" s="13"/>
      <c r="T2" s="13"/>
      <c r="U2" s="13"/>
      <c r="V2" s="13"/>
      <c r="W2" s="13"/>
      <c r="X2" s="13"/>
      <c r="Y2" s="13"/>
      <c r="Z2" s="13"/>
      <c r="AA2" s="13"/>
      <c r="AB2" s="13"/>
      <c r="AC2" s="13" t="str">
        <f>IFERROR(__xludf.DUMMYFUNCTION("""COMPUTED_VALUE"""),"UPDATE OLEH SDI !!!")</f>
        <v>UPDATE OLEH SDI !!!</v>
      </c>
      <c r="AD2" s="14"/>
      <c r="AE2" s="19"/>
      <c r="AF2" s="13"/>
      <c r="AG2" s="13"/>
      <c r="AH2" s="20"/>
      <c r="AI2" s="20"/>
      <c r="AJ2" s="20"/>
      <c r="AK2" s="21"/>
      <c r="AL2" s="22"/>
      <c r="AM2" s="22"/>
      <c r="AN2" s="22"/>
      <c r="AO2" s="22"/>
      <c r="AP2" s="22"/>
      <c r="AQ2" s="22"/>
      <c r="AR2" s="22"/>
      <c r="AS2" s="22"/>
      <c r="AT2" s="22"/>
      <c r="AU2" s="22"/>
      <c r="AV2" s="22"/>
      <c r="AW2" s="23"/>
      <c r="AX2" s="22"/>
      <c r="AY2" s="22"/>
      <c r="AZ2" s="22"/>
      <c r="BA2" s="22"/>
      <c r="BB2" s="24"/>
      <c r="BC2" s="24"/>
      <c r="BD2" s="22"/>
      <c r="BE2" s="22"/>
      <c r="BF2" s="22"/>
      <c r="BG2" s="22"/>
      <c r="BH2" s="22"/>
      <c r="BI2" s="22"/>
      <c r="BJ2" s="24"/>
      <c r="BK2" s="24"/>
      <c r="BL2" s="24"/>
      <c r="BN2" s="25"/>
      <c r="BO2" s="25"/>
      <c r="BP2" s="26"/>
      <c r="BQ2" s="26"/>
      <c r="BR2" s="25"/>
      <c r="BS2" s="27" t="s">
        <v>2</v>
      </c>
      <c r="CC2" s="25"/>
      <c r="CD2" s="27" t="s">
        <v>3</v>
      </c>
      <c r="CN2" s="27"/>
      <c r="CO2" s="27"/>
      <c r="CP2" s="27"/>
    </row>
    <row r="3">
      <c r="A3" s="28"/>
      <c r="B3" s="29"/>
      <c r="C3" s="28" t="str">
        <f>IFERROR(__xludf.DUMMYFUNCTION("""COMPUTED_VALUE"""),"NAMA LOP")</f>
        <v>NAMA LOP</v>
      </c>
      <c r="D3" s="28" t="str">
        <f>IFERROR(__xludf.DUMMYFUNCTION("""COMPUTED_VALUE"""),"REGIONAL")</f>
        <v>REGIONAL</v>
      </c>
      <c r="E3" s="28" t="str">
        <f>IFERROR(__xludf.DUMMYFUNCTION("""COMPUTED_VALUE"""),"AREA")</f>
        <v>AREA</v>
      </c>
      <c r="F3" s="28" t="str">
        <f>IFERROR(__xludf.DUMMYFUNCTION("""COMPUTED_VALUE"""),"STO")</f>
        <v>STO</v>
      </c>
      <c r="G3" s="30" t="str">
        <f>IFERROR(__xludf.DUMMYFUNCTION("""COMPUTED_VALUE"""),"REGION FMC")</f>
        <v>REGION FMC</v>
      </c>
      <c r="H3" s="28" t="str">
        <f>IFERROR(__xludf.DUMMYFUNCTION("""COMPUTED_VALUE"""),"BRANCH FMC")</f>
        <v>BRANCH FMC</v>
      </c>
      <c r="I3" s="28" t="str">
        <f>IFERROR(__xludf.DUMMYFUNCTION("""COMPUTED_VALUE"""),"BATCH PROGRAM")</f>
        <v>BATCH PROGRAM</v>
      </c>
      <c r="J3" s="31"/>
      <c r="K3" s="32"/>
      <c r="L3" s="33"/>
      <c r="M3" s="34"/>
      <c r="N3" s="28" t="str">
        <f>IFERROR(__xludf.DUMMYFUNCTION("""COMPUTED_VALUE"""),"Mitra")</f>
        <v>Mitra</v>
      </c>
      <c r="O3" s="30" t="str">
        <f>IFERROR(__xludf.DUMMYFUNCTION("""COMPUTED_VALUE"""),"Status")</f>
        <v>Status</v>
      </c>
      <c r="P3" s="28" t="str">
        <f>IFERROR(__xludf.DUMMYFUNCTION("""COMPUTED_VALUE"""),"SUB STATUS KONS")</f>
        <v>SUB STATUS KONS</v>
      </c>
      <c r="Q3" s="28" t="str">
        <f>IFERROR(__xludf.DUMMYFUNCTION("""COMPUTED_VALUE"""),"DETAIL STATUS")</f>
        <v>DETAIL STATUS</v>
      </c>
      <c r="R3" s="35"/>
      <c r="S3" s="36" t="str">
        <f>IFERROR(__xludf.DUMMYFUNCTION("""COMPUTED_VALUE"""),"TARGET GOLIVE APRIL")</f>
        <v>TARGET GOLIVE APRIL</v>
      </c>
      <c r="T3" s="36" t="str">
        <f>IFERROR(__xludf.DUMMYFUNCTION("""COMPUTED_VALUE"""),"Prioritas 1 by Tsel")</f>
        <v>Prioritas 1 by Tsel</v>
      </c>
      <c r="U3" s="36" t="str">
        <f>IFERROR(__xludf.DUMMYFUNCTION("""COMPUTED_VALUE"""),"PID (PROACTIVE)")</f>
        <v>PID (PROACTIVE)</v>
      </c>
      <c r="V3" s="28" t="str">
        <f>IFERROR(__xludf.DUMMYFUNCTION("""COMPUTED_VALUE"""),"WASPANG")</f>
        <v>WASPANG</v>
      </c>
      <c r="W3" s="37" t="str">
        <f>IFERROR(__xludf.DUMMYFUNCTION("""COMPUTED_VALUE"""),"PROJECT ADMIN")</f>
        <v>PROJECT ADMIN</v>
      </c>
      <c r="X3" s="37" t="str">
        <f>IFERROR(__xludf.DUMMYFUNCTION("""COMPUTED_VALUE"""),"STATUS GOLIVE")</f>
        <v>STATUS GOLIVE</v>
      </c>
      <c r="Y3" s="37" t="str">
        <f>IFERROR(__xludf.DUMMYFUNCTION("""COMPUTED_VALUE"""),"KENDALA GOLIVE")</f>
        <v>KENDALA GOLIVE</v>
      </c>
      <c r="Z3" s="37" t="str">
        <f>IFERROR(__xludf.DUMMYFUNCTION("""COMPUTED_VALUE"""),"Progres MINOL")</f>
        <v>Progres MINOL</v>
      </c>
      <c r="AA3" s="37"/>
      <c r="AB3" s="37"/>
      <c r="AC3" s="37" t="str">
        <f>IFERROR(__xludf.DUMMYFUNCTION("""COMPUTED_VALUE"""),"ID SW ABD")</f>
        <v>ID SW ABD</v>
      </c>
      <c r="AD3" s="38"/>
      <c r="AE3" s="39"/>
      <c r="AF3" s="37" t="str">
        <f>IFERROR(__xludf.DUMMYFUNCTION("""COMPUTED_VALUE"""),"KET")</f>
        <v>KET</v>
      </c>
      <c r="AG3" s="37"/>
      <c r="AH3" s="20" t="s">
        <v>4</v>
      </c>
      <c r="AI3" s="20" t="s">
        <v>5</v>
      </c>
      <c r="AJ3" s="20" t="s">
        <v>6</v>
      </c>
      <c r="AK3" s="21" t="s">
        <v>7</v>
      </c>
      <c r="AL3" s="40"/>
      <c r="AM3" s="40"/>
      <c r="AN3" s="40"/>
      <c r="AO3" s="40"/>
      <c r="AP3" s="40"/>
      <c r="AQ3" s="40"/>
      <c r="AR3" s="40"/>
      <c r="AS3" s="40"/>
      <c r="AT3" s="40"/>
      <c r="AU3" s="41"/>
      <c r="AV3" s="42"/>
      <c r="AW3" s="42"/>
      <c r="AX3" s="43" t="s">
        <v>8</v>
      </c>
      <c r="BA3" s="42"/>
      <c r="BB3" s="43">
        <f t="shared" ref="BB3:BC3" si="2">subtotal(9,BB7:BB3194)</f>
        <v>8</v>
      </c>
      <c r="BC3" s="43">
        <f t="shared" si="2"/>
        <v>64</v>
      </c>
      <c r="BD3" s="40"/>
      <c r="BE3" s="40"/>
      <c r="BF3" s="40"/>
      <c r="BG3" s="40"/>
      <c r="BH3" s="40"/>
      <c r="BI3" s="40"/>
      <c r="BJ3" s="40"/>
      <c r="BK3" s="40"/>
      <c r="BL3" s="43"/>
      <c r="BN3" s="41"/>
      <c r="BO3" s="41"/>
      <c r="BP3" s="41"/>
      <c r="BQ3" s="41"/>
      <c r="BR3" s="44"/>
      <c r="BS3" s="45" t="str">
        <f>UPPER(TEXT(#REF!,"[$-421]DDDD, DD MMMM YYYY"))</f>
        <v>#REF!</v>
      </c>
      <c r="CC3" s="44"/>
      <c r="CD3" s="45" t="str">
        <f>UPPER(TEXT(#REF!,"[$-421]DDDD, DD MMMM YYYY"))</f>
        <v>#REF!</v>
      </c>
      <c r="CN3" s="45"/>
      <c r="CO3" s="45"/>
      <c r="CP3" s="45"/>
    </row>
    <row r="4" ht="18.0" hidden="1" customHeight="1">
      <c r="A4" s="46">
        <f>IFERROR(__xludf.DUMMYFUNCTION("""COMPUTED_VALUE"""),2026.0)</f>
        <v>2026</v>
      </c>
      <c r="B4" s="47">
        <f>IFERROR(__xludf.DUMMYFUNCTION("""COMPUTED_VALUE"""),1.0882441E7)</f>
        <v>10882441</v>
      </c>
      <c r="C4" s="46" t="str">
        <f>IFERROR(__xludf.DUMMYFUNCTION("""COMPUTED_VALUE"""),"SMU-ODC-PMS-FBS D10 BANTAN RESIDEN")</f>
        <v>SMU-ODC-PMS-FBS D10 BANTAN RESIDEN</v>
      </c>
      <c r="D4" s="46" t="str">
        <f>IFERROR(__xludf.DUMMYFUNCTION("""COMPUTED_VALUE"""),"REGIONAL I")</f>
        <v>REGIONAL I</v>
      </c>
      <c r="E4" s="46" t="str">
        <f>IFERROR(__xludf.DUMMYFUNCTION("""COMPUTED_VALUE"""),"SUMUT")</f>
        <v>SUMUT</v>
      </c>
      <c r="F4" s="46" t="str">
        <f>IFERROR(__xludf.DUMMYFUNCTION("""COMPUTED_VALUE"""),"PMS")</f>
        <v>PMS</v>
      </c>
      <c r="G4" s="46" t="str">
        <f>IFERROR(__xludf.DUMMYFUNCTION("""COMPUTED_VALUE"""),"SUMBAGUT")</f>
        <v>SUMBAGUT</v>
      </c>
      <c r="H4" s="46" t="str">
        <f>IFERROR(__xludf.DUMMYFUNCTION("""COMPUTED_VALUE"""),"PEMATANG SIANTAR")</f>
        <v>PEMATANG SIANTAR</v>
      </c>
      <c r="I4" s="46" t="str">
        <f>IFERROR(__xludf.DUMMYFUNCTION("""COMPUTED_VALUE"""),"Batch 1")</f>
        <v>Batch 1</v>
      </c>
      <c r="J4" s="48">
        <f>IFERROR(__xludf.DUMMYFUNCTION("""COMPUTED_VALUE"""),13.0)</f>
        <v>13</v>
      </c>
      <c r="K4" s="49">
        <f>IFERROR(__xludf.DUMMYFUNCTION("""COMPUTED_VALUE"""),104.0)</f>
        <v>104</v>
      </c>
      <c r="L4" s="50">
        <f>IFERROR(__xludf.DUMMYFUNCTION("""COMPUTED_VALUE"""),1282323.0)</f>
        <v>1282323</v>
      </c>
      <c r="M4" s="4">
        <f>IFERROR(__xludf.DUMMYFUNCTION("""COMPUTED_VALUE"""),1.33361508E8)</f>
        <v>133361508</v>
      </c>
      <c r="N4" s="46" t="str">
        <f>IFERROR(__xludf.DUMMYFUNCTION("""COMPUTED_VALUE"""),"PT GARINDO TECHNO MANDIRI")</f>
        <v>PT GARINDO TECHNO MANDIRI</v>
      </c>
      <c r="O4" s="46" t="str">
        <f>IFERROR(__xludf.DUMMYFUNCTION("""COMPUTED_VALUE"""),"5. INSTALASI")</f>
        <v>5. INSTALASI</v>
      </c>
      <c r="P4" s="46" t="str">
        <f>IFERROR(__xludf.DUMMYFUNCTION("""COMPUTED_VALUE"""),"5.4 Proses Penanaman Tiang")</f>
        <v>5.4 Proses Penanaman Tiang</v>
      </c>
      <c r="Q4" s="46" t="str">
        <f>IFERROR(__xludf.DUMMYFUNCTION("""COMPUTED_VALUE"""),"27/4 hari ini team proses tanam tiang  total 21 batang, KU 24 (3643 ) belum progres, KU 12c  481 belum progres
ODP 13 belum progres, , 23/4 prepair tim untuk pengambilan material, 22/4 proses input alista kendala penambahan PA, 21/4 proses input alista k"&amp;"endala ganti pid baru, 20/4 proses input alista kendala masih penambahan PA, 16/4 proses input alista kendala masih penambahan PA, 15/4 proses input alista kendala masih penambahan PA, 14/4 proses input alista kendala masih penambahan PA, 13/4 proses inpu"&amp;"t material di alista, 10/4 cpp naik 1,3, 9/4 menunggu boq kml hasil survey, 8/4 mitra belum kelokasi untk survey, 6/4 plan survey besok 7 april, 5/4 tim belum turun ke lokasi untuk survey, 1/4 plan survey bsk tgl 2 april (kendala hujan di lokasi), 31/3 pl"&amp;"an survey tgl 1 april, 30/3 plan survey tgl 31 maret, 27/3 plan survey tanggal 30, 26/3 prepair team untuk survey kelokasi,  22/3 prepair team untuk survey kelokasi, 18/3 plan survey seletal lebaran, 16/3 plan survey besok 17 maret, 2/3 prepairt team untu"&amp;"k survey kelokasi ( peralihan dari mitra cpm), 27/2 prepair team untuk survey kelokasi,   25/2 menunggu boq kml dari sdi, 24/2 plan survey ulang redesign , drop dikarnakan diloaksi masih banyak odp yg kosong, (07/01) Persiapan ")</f>
        <v>27/4 hari ini team proses tanam tiang  total 21 batang, KU 24 (3643 ) belum progres, KU 12c  481 belum progres
ODP 13 belum progres, , 23/4 prepair tim untuk pengambilan material, 22/4 proses input alista kendala penambahan PA, 21/4 proses input alista kendala ganti pid baru, 20/4 proses input alista kendala masih penambahan PA, 16/4 proses input alista kendala masih penambahan PA, 15/4 proses input alista kendala masih penambahan PA, 14/4 proses input alista kendala masih penambahan PA, 13/4 proses input material di alista, 10/4 cpp naik 1,3, 9/4 menunggu boq kml hasil survey, 8/4 mitra belum kelokasi untk survey, 6/4 plan survey besok 7 april, 5/4 tim belum turun ke lokasi untuk survey, 1/4 plan survey bsk tgl 2 april (kendala hujan di lokasi), 31/3 plan survey tgl 1 april, 30/3 plan survey tgl 31 maret, 27/3 plan survey tanggal 30, 26/3 prepair team untuk survey kelokasi,  22/3 prepair team untuk survey kelokasi, 18/3 plan survey seletal lebaran, 16/3 plan survey besok 17 maret, 2/3 prepairt team untuk survey kelokasi ( peralihan dari mitra cpm), 27/2 prepair team untuk survey kelokasi,   25/2 menunggu boq kml dari sdi, 24/2 plan survey ulang redesign , drop dikarnakan diloaksi masih banyak odp yg kosong, (07/01) Persiapan </v>
      </c>
      <c r="R4" s="51"/>
      <c r="S4" s="52"/>
      <c r="T4" s="52"/>
      <c r="U4" s="52" t="str">
        <f>IFERROR(__xludf.DUMMYFUNCTION("""COMPUTED_VALUE"""),"W03-2193/2024")</f>
        <v>W03-2193/2024</v>
      </c>
      <c r="V4" s="46"/>
      <c r="W4" s="20"/>
      <c r="X4" s="20" t="str">
        <f>IFERROR(__xludf.DUMMYFUNCTION("""COMPUTED_VALUE"""),"BELUM GOLIVE")</f>
        <v>BELUM GOLIVE</v>
      </c>
      <c r="Y4" s="20"/>
      <c r="Z4" s="20" t="str">
        <f>IFERROR(__xludf.DUMMYFUNCTION("""COMPUTED_VALUE"""),"#N/A")</f>
        <v>#N/A</v>
      </c>
      <c r="AA4" s="20"/>
      <c r="AB4" s="20"/>
      <c r="AC4" s="20"/>
      <c r="AD4" s="53"/>
      <c r="AE4" s="54"/>
      <c r="AF4" s="54" t="str">
        <f>IFERROR(__xludf.DUMMYFUNCTION("""COMPUTED_VALUE"""),"Draft BA DROP")</f>
        <v>Draft BA DROP</v>
      </c>
      <c r="AG4" s="54"/>
      <c r="AH4" s="54"/>
      <c r="AI4" s="55" t="str">
        <f>IF(OR(AH4="",AE4=""),"",AH4-AE4)</f>
        <v/>
      </c>
      <c r="AJ4" s="56" t="str">
        <f t="shared" ref="AJ4:AJ36" si="3">if(AI4&gt;=0,"not yet","lewat komitmen")</f>
        <v>not yet</v>
      </c>
      <c r="AK4" s="25"/>
      <c r="AL4" s="20"/>
      <c r="AM4" s="20"/>
      <c r="AN4" s="20"/>
      <c r="AO4" s="20"/>
      <c r="AP4" s="20"/>
      <c r="AQ4" s="20"/>
      <c r="AR4" s="20"/>
      <c r="AS4" s="20"/>
      <c r="AT4" s="20"/>
      <c r="AV4" s="46"/>
      <c r="AW4" s="46"/>
      <c r="AX4" s="57" t="s">
        <v>9</v>
      </c>
      <c r="BA4" s="58"/>
      <c r="BB4" s="57">
        <v>74.0</v>
      </c>
      <c r="BC4" s="57">
        <v>592.0</v>
      </c>
      <c r="BD4" s="20"/>
      <c r="BE4" s="20"/>
      <c r="BF4" s="20"/>
      <c r="BG4" s="20"/>
      <c r="BH4" s="59"/>
      <c r="BI4" s="59"/>
      <c r="BJ4" s="20"/>
      <c r="BK4" s="20"/>
      <c r="BL4" s="60"/>
      <c r="BN4" s="25"/>
      <c r="BO4" s="61"/>
      <c r="BP4" s="26"/>
      <c r="BQ4" s="26"/>
      <c r="BR4" s="62"/>
      <c r="BS4" s="63">
        <f>NOW()</f>
        <v>46140.37799</v>
      </c>
      <c r="CC4" s="62"/>
      <c r="CD4" s="64"/>
      <c r="CN4" s="64"/>
      <c r="CO4" s="64"/>
      <c r="CP4" s="64"/>
    </row>
    <row r="5" ht="18.0" hidden="1" customHeight="1">
      <c r="A5" s="65">
        <f>IFERROR(__xludf.DUMMYFUNCTION("""COMPUTED_VALUE"""),2026.0)</f>
        <v>2026</v>
      </c>
      <c r="B5" s="66">
        <f>IFERROR(__xludf.DUMMYFUNCTION("""COMPUTED_VALUE"""),1.0991375E7)</f>
        <v>10991375</v>
      </c>
      <c r="C5" s="65" t="str">
        <f>IFERROR(__xludf.DUMMYFUNCTION("""COMPUTED_VALUE"""),"MDN PT3 P7I2 LBP-FK PERUM MULIA RESIDENCE 8")</f>
        <v>MDN PT3 P7I2 LBP-FK PERUM MULIA RESIDENCE 8</v>
      </c>
      <c r="D5" s="65" t="str">
        <f>IFERROR(__xludf.DUMMYFUNCTION("""COMPUTED_VALUE"""),"REGIONAL I")</f>
        <v>REGIONAL I</v>
      </c>
      <c r="E5" s="65" t="str">
        <f>IFERROR(__xludf.DUMMYFUNCTION("""COMPUTED_VALUE"""),"MEDAN")</f>
        <v>MEDAN</v>
      </c>
      <c r="F5" s="65" t="str">
        <f>IFERROR(__xludf.DUMMYFUNCTION("""COMPUTED_VALUE"""),"LBP")</f>
        <v>LBP</v>
      </c>
      <c r="G5" s="65" t="str">
        <f>IFERROR(__xludf.DUMMYFUNCTION("""COMPUTED_VALUE"""),"SUMBAGUT")</f>
        <v>SUMBAGUT</v>
      </c>
      <c r="H5" s="65" t="str">
        <f>IFERROR(__xludf.DUMMYFUNCTION("""COMPUTED_VALUE"""),"MEDAN")</f>
        <v>MEDAN</v>
      </c>
      <c r="I5" s="65" t="str">
        <f>IFERROR(__xludf.DUMMYFUNCTION("""COMPUTED_VALUE"""),"Batch 1")</f>
        <v>Batch 1</v>
      </c>
      <c r="J5" s="67">
        <f>IFERROR(__xludf.DUMMYFUNCTION("""COMPUTED_VALUE"""),2.0)</f>
        <v>2</v>
      </c>
      <c r="K5" s="68">
        <f>IFERROR(__xludf.DUMMYFUNCTION("""COMPUTED_VALUE"""),16.0)</f>
        <v>16</v>
      </c>
      <c r="L5" s="69">
        <f>IFERROR(__xludf.DUMMYFUNCTION("""COMPUTED_VALUE"""),861263.0)</f>
        <v>861263</v>
      </c>
      <c r="M5" s="70">
        <f>IFERROR(__xludf.DUMMYFUNCTION("""COMPUTED_VALUE"""),1.3780207E7)</f>
        <v>13780207</v>
      </c>
      <c r="N5" s="65" t="str">
        <f>IFERROR(__xludf.DUMMYFUNCTION("""COMPUTED_VALUE"""),"PT TEKNOLOGI KARYA MANDIRI")</f>
        <v>PT TEKNOLOGI KARYA MANDIRI</v>
      </c>
      <c r="O5" s="65" t="str">
        <f>IFERROR(__xludf.DUMMYFUNCTION("""COMPUTED_VALUE"""),"0. DROP")</f>
        <v>0. DROP</v>
      </c>
      <c r="P5" s="65" t="str">
        <f>IFERROR(__xludf.DUMMYFUNCTION("""COMPUTED_VALUE"""),"0.2 Tidak Dapat Izin Warga/Kades/Lurah/Developer")</f>
        <v>0.2 Tidak Dapat Izin Warga/Kades/Lurah/Developer</v>
      </c>
      <c r="Q5" s="65" t="str">
        <f>IFERROR(__xludf.DUMMYFUNCTION("""COMPUTED_VALUE"""),"20/04 tidak dapat ijin developer
09/04 fu perizinan ke CHAM 
02/03 proses izin devloper
(07/01) Persiapan")</f>
        <v>20/04 tidak dapat ijin developer
09/04 fu perizinan ke CHAM 
02/03 proses izin devloper
(07/01) Persiapan</v>
      </c>
      <c r="R5" s="71"/>
      <c r="S5" s="72"/>
      <c r="T5" s="73"/>
      <c r="U5" s="72"/>
      <c r="V5" s="65" t="str">
        <f>IFERROR(__xludf.DUMMYFUNCTION("""COMPUTED_VALUE"""),"27/Apr/2026")</f>
        <v>27/Apr/2026</v>
      </c>
      <c r="W5" s="20"/>
      <c r="X5" s="20" t="str">
        <f>IFERROR(__xludf.DUMMYFUNCTION("""COMPUTED_VALUE"""),"BELUM GOLIVE")</f>
        <v>BELUM GOLIVE</v>
      </c>
      <c r="Y5" s="20"/>
      <c r="Z5" s="20" t="str">
        <f>IFERROR(__xludf.DUMMYFUNCTION("""COMPUTED_VALUE"""),"#N/A")</f>
        <v>#N/A</v>
      </c>
      <c r="AA5" s="20"/>
      <c r="AB5" s="20"/>
      <c r="AC5" s="20"/>
      <c r="AD5" s="53"/>
      <c r="AE5" s="54"/>
      <c r="AF5" s="54"/>
      <c r="AG5" s="54"/>
      <c r="AH5" s="54"/>
      <c r="AI5" s="55" t="str">
        <f t="shared" ref="AI5:AI35" si="5">IF(OR(R5="",AE5=""),"",R5-AE5)</f>
        <v/>
      </c>
      <c r="AJ5" s="56" t="str">
        <f t="shared" si="3"/>
        <v>not yet</v>
      </c>
      <c r="AK5" s="74"/>
      <c r="AL5" s="20"/>
      <c r="AM5" s="20"/>
      <c r="AN5" s="20"/>
      <c r="AO5" s="20"/>
      <c r="AP5" s="20"/>
      <c r="AQ5" s="20"/>
      <c r="AR5" s="20"/>
      <c r="AS5" s="20"/>
      <c r="AT5" s="20"/>
      <c r="AU5" s="75"/>
      <c r="AV5" s="65"/>
      <c r="AW5" s="65"/>
      <c r="AX5" s="76" t="s">
        <v>10</v>
      </c>
      <c r="BA5" s="77"/>
      <c r="BB5" s="78">
        <f t="shared" ref="BB5:BC5" si="4">BB4/BB3</f>
        <v>9.25</v>
      </c>
      <c r="BC5" s="78">
        <f t="shared" si="4"/>
        <v>9.25</v>
      </c>
      <c r="BD5" s="20"/>
      <c r="BE5" s="20"/>
      <c r="BF5" s="20"/>
      <c r="BG5" s="20"/>
      <c r="BH5" s="59"/>
      <c r="BI5" s="59"/>
      <c r="BJ5" s="20"/>
      <c r="BK5" s="20"/>
      <c r="BL5" s="60"/>
      <c r="BN5" s="74"/>
      <c r="BO5" s="79"/>
      <c r="BP5" s="80"/>
      <c r="BQ5" s="80"/>
      <c r="BR5" s="62"/>
      <c r="BS5" s="81" t="s">
        <v>11</v>
      </c>
      <c r="BT5" s="82" t="s">
        <v>12</v>
      </c>
      <c r="BW5" s="82" t="s">
        <v>13</v>
      </c>
      <c r="BZ5" s="83" t="s">
        <v>14</v>
      </c>
      <c r="CC5" s="62"/>
      <c r="CD5" s="81" t="s">
        <v>11</v>
      </c>
      <c r="CE5" s="82" t="s">
        <v>12</v>
      </c>
      <c r="CH5" s="82" t="s">
        <v>13</v>
      </c>
      <c r="CK5" s="83" t="s">
        <v>14</v>
      </c>
      <c r="CN5" s="64"/>
      <c r="CO5" s="64"/>
      <c r="CP5" s="64"/>
    </row>
    <row r="6" ht="36.0" hidden="1" customHeight="1">
      <c r="A6" s="65">
        <f>IFERROR(__xludf.DUMMYFUNCTION("""COMPUTED_VALUE"""),2026.0)</f>
        <v>2026</v>
      </c>
      <c r="B6" s="66">
        <f>IFERROR(__xludf.DUMMYFUNCTION("""COMPUTED_VALUE"""),1.0991468E7)</f>
        <v>10991468</v>
      </c>
      <c r="C6" s="65" t="str">
        <f>IFERROR(__xludf.DUMMYFUNCTION("""COMPUTED_VALUE"""),"MDN PT3 P7I2 TJR-FXX UKNOWN RESIDENCE")</f>
        <v>MDN PT3 P7I2 TJR-FXX UKNOWN RESIDENCE</v>
      </c>
      <c r="D6" s="65" t="str">
        <f>IFERROR(__xludf.DUMMYFUNCTION("""COMPUTED_VALUE"""),"REGIONAL I")</f>
        <v>REGIONAL I</v>
      </c>
      <c r="E6" s="65" t="str">
        <f>IFERROR(__xludf.DUMMYFUNCTION("""COMPUTED_VALUE"""),"MEDAN")</f>
        <v>MEDAN</v>
      </c>
      <c r="F6" s="65" t="str">
        <f>IFERROR(__xludf.DUMMYFUNCTION("""COMPUTED_VALUE"""),"TJR")</f>
        <v>TJR</v>
      </c>
      <c r="G6" s="65" t="str">
        <f>IFERROR(__xludf.DUMMYFUNCTION("""COMPUTED_VALUE"""),"SUMBAGUT")</f>
        <v>SUMBAGUT</v>
      </c>
      <c r="H6" s="65" t="str">
        <f>IFERROR(__xludf.DUMMYFUNCTION("""COMPUTED_VALUE"""),"MEDAN")</f>
        <v>MEDAN</v>
      </c>
      <c r="I6" s="65" t="str">
        <f>IFERROR(__xludf.DUMMYFUNCTION("""COMPUTED_VALUE"""),"Batch 1")</f>
        <v>Batch 1</v>
      </c>
      <c r="J6" s="67">
        <f>IFERROR(__xludf.DUMMYFUNCTION("""COMPUTED_VALUE"""),9.0)</f>
        <v>9</v>
      </c>
      <c r="K6" s="68">
        <f>IFERROR(__xludf.DUMMYFUNCTION("""COMPUTED_VALUE"""),72.0)</f>
        <v>72</v>
      </c>
      <c r="L6" s="69">
        <f>IFERROR(__xludf.DUMMYFUNCTION("""COMPUTED_VALUE"""),1369463.0)</f>
        <v>1369463</v>
      </c>
      <c r="M6" s="70">
        <f>IFERROR(__xludf.DUMMYFUNCTION("""COMPUTED_VALUE"""),9.8601293E7)</f>
        <v>98601293</v>
      </c>
      <c r="N6" s="65" t="str">
        <f>IFERROR(__xludf.DUMMYFUNCTION("""COMPUTED_VALUE"""),"PT SINAR KEPRI SEJAHTERA")</f>
        <v>PT SINAR KEPRI SEJAHTERA</v>
      </c>
      <c r="O6" s="65" t="str">
        <f>IFERROR(__xludf.DUMMYFUNCTION("""COMPUTED_VALUE"""),"0. DROP")</f>
        <v>0. DROP</v>
      </c>
      <c r="P6" s="65" t="str">
        <f>IFERROR(__xludf.DUMMYFUNCTION("""COMPUTED_VALUE"""),"0.1 Double Order")</f>
        <v>0.1 Double Order</v>
      </c>
      <c r="Q6" s="65" t="str">
        <f>IFERROR(__xludf.DUMMYFUNCTION("""COMPUTED_VALUE"""),"17/02 double order IHLD 11081234")</f>
        <v>17/02 double order IHLD 11081234</v>
      </c>
      <c r="R6" s="71"/>
      <c r="S6" s="72"/>
      <c r="T6" s="72"/>
      <c r="U6" s="72"/>
      <c r="V6" s="65"/>
      <c r="W6" s="20"/>
      <c r="X6" s="20" t="str">
        <f>IFERROR(__xludf.DUMMYFUNCTION("""COMPUTED_VALUE"""),"BELUM GOLIVE")</f>
        <v>BELUM GOLIVE</v>
      </c>
      <c r="Y6" s="20"/>
      <c r="Z6" s="20" t="str">
        <f>IFERROR(__xludf.DUMMYFUNCTION("""COMPUTED_VALUE"""),"#N/A")</f>
        <v>#N/A</v>
      </c>
      <c r="AA6" s="20"/>
      <c r="AB6" s="20"/>
      <c r="AC6" s="20"/>
      <c r="AD6" s="53"/>
      <c r="AE6" s="54"/>
      <c r="AF6" s="54" t="str">
        <f>IFERROR(__xludf.DUMMYFUNCTION("""COMPUTED_VALUE"""),"Draft BA DROP")</f>
        <v>Draft BA DROP</v>
      </c>
      <c r="AG6" s="54"/>
      <c r="AH6" s="54"/>
      <c r="AI6" s="84" t="str">
        <f t="shared" si="5"/>
        <v/>
      </c>
      <c r="AJ6" s="85" t="str">
        <f t="shared" si="3"/>
        <v>not yet</v>
      </c>
      <c r="AK6" s="86"/>
      <c r="AL6" s="20"/>
      <c r="AM6" s="20"/>
      <c r="AN6" s="20"/>
      <c r="AO6" s="20"/>
      <c r="AP6" s="20"/>
      <c r="AQ6" s="20"/>
      <c r="AR6" s="87" t="s">
        <v>15</v>
      </c>
      <c r="AS6" s="87" t="s">
        <v>16</v>
      </c>
      <c r="AT6" s="87" t="s">
        <v>17</v>
      </c>
      <c r="AU6" s="87" t="s">
        <v>18</v>
      </c>
      <c r="AV6" s="87" t="s">
        <v>19</v>
      </c>
      <c r="AW6" s="88" t="s">
        <v>20</v>
      </c>
      <c r="AX6" s="87" t="s">
        <v>21</v>
      </c>
      <c r="AY6" s="87" t="s">
        <v>22</v>
      </c>
      <c r="AZ6" s="87" t="s">
        <v>23</v>
      </c>
      <c r="BA6" s="87" t="s">
        <v>24</v>
      </c>
      <c r="BB6" s="87" t="s">
        <v>25</v>
      </c>
      <c r="BC6" s="87" t="s">
        <v>26</v>
      </c>
      <c r="BD6" s="87" t="s">
        <v>27</v>
      </c>
      <c r="BE6" s="87" t="s">
        <v>28</v>
      </c>
      <c r="BF6" s="87" t="s">
        <v>29</v>
      </c>
      <c r="BG6" s="87" t="s">
        <v>30</v>
      </c>
      <c r="BH6" s="89" t="s">
        <v>31</v>
      </c>
      <c r="BI6" s="89" t="s">
        <v>32</v>
      </c>
      <c r="BJ6" s="87" t="s">
        <v>33</v>
      </c>
      <c r="BK6" s="87" t="s">
        <v>34</v>
      </c>
      <c r="BL6" s="90" t="s">
        <v>35</v>
      </c>
      <c r="BN6" s="86"/>
      <c r="BR6" s="93"/>
      <c r="BS6" s="94"/>
      <c r="BT6" s="95" t="s">
        <v>38</v>
      </c>
      <c r="BU6" s="96" t="s">
        <v>39</v>
      </c>
      <c r="BV6" s="96" t="s">
        <v>40</v>
      </c>
      <c r="BW6" s="95" t="s">
        <v>38</v>
      </c>
      <c r="BX6" s="96" t="s">
        <v>39</v>
      </c>
      <c r="BY6" s="96" t="s">
        <v>40</v>
      </c>
      <c r="BZ6" s="95" t="s">
        <v>38</v>
      </c>
      <c r="CA6" s="96" t="s">
        <v>39</v>
      </c>
      <c r="CB6" s="96" t="s">
        <v>40</v>
      </c>
      <c r="CC6" s="93"/>
      <c r="CD6" s="94"/>
      <c r="CE6" s="95" t="s">
        <v>38</v>
      </c>
      <c r="CF6" s="96" t="s">
        <v>41</v>
      </c>
      <c r="CG6" s="96" t="s">
        <v>40</v>
      </c>
      <c r="CH6" s="95" t="s">
        <v>38</v>
      </c>
      <c r="CI6" s="96" t="s">
        <v>41</v>
      </c>
      <c r="CJ6" s="96" t="s">
        <v>40</v>
      </c>
      <c r="CK6" s="95" t="s">
        <v>38</v>
      </c>
      <c r="CL6" s="96" t="s">
        <v>41</v>
      </c>
      <c r="CM6" s="96" t="s">
        <v>40</v>
      </c>
      <c r="CN6" s="97"/>
      <c r="CO6" s="97"/>
      <c r="CP6" s="97"/>
    </row>
    <row r="7" ht="18.0" hidden="1" customHeight="1">
      <c r="A7" s="1">
        <f>IFERROR(__xludf.DUMMYFUNCTION("""COMPUTED_VALUE"""),2026.0)</f>
        <v>2026</v>
      </c>
      <c r="B7" s="98">
        <f>IFERROR(__xludf.DUMMYFUNCTION("""COMPUTED_VALUE"""),1.1091798E7)</f>
        <v>11091798</v>
      </c>
      <c r="C7" s="1" t="str">
        <f>IFERROR(__xludf.DUMMYFUNCTION("""COMPUTED_VALUE"""),"SMU ODC-SIH-FAJ D02 CLUST SUMATERA UTARA_1414")</f>
        <v>SMU ODC-SIH-FAJ D02 CLUST SUMATERA UTARA_1414</v>
      </c>
      <c r="D7" s="1" t="str">
        <f>IFERROR(__xludf.DUMMYFUNCTION("""COMPUTED_VALUE"""),"REGIONAL I")</f>
        <v>REGIONAL I</v>
      </c>
      <c r="E7" s="1" t="str">
        <f>IFERROR(__xludf.DUMMYFUNCTION("""COMPUTED_VALUE"""),"SUMUT")</f>
        <v>SUMUT</v>
      </c>
      <c r="F7" s="1" t="str">
        <f>IFERROR(__xludf.DUMMYFUNCTION("""COMPUTED_VALUE"""),"SIH")</f>
        <v>SIH</v>
      </c>
      <c r="G7" s="1" t="str">
        <f>IFERROR(__xludf.DUMMYFUNCTION("""COMPUTED_VALUE"""),"SUMBAGUT")</f>
        <v>SUMBAGUT</v>
      </c>
      <c r="H7" s="1" t="str">
        <f>IFERROR(__xludf.DUMMYFUNCTION("""COMPUTED_VALUE"""),"RANTAU PRAPAT")</f>
        <v>RANTAU PRAPAT</v>
      </c>
      <c r="I7" s="1" t="str">
        <f>IFERROR(__xludf.DUMMYFUNCTION("""COMPUTED_VALUE"""),"Batch 1")</f>
        <v>Batch 1</v>
      </c>
      <c r="J7" s="99">
        <f>IFERROR(__xludf.DUMMYFUNCTION("""COMPUTED_VALUE"""),20.0)</f>
        <v>20</v>
      </c>
      <c r="K7" s="100">
        <f>IFERROR(__xludf.DUMMYFUNCTION("""COMPUTED_VALUE"""),160.0)</f>
        <v>160</v>
      </c>
      <c r="L7" s="101">
        <f>IFERROR(__xludf.DUMMYFUNCTION("""COMPUTED_VALUE"""),640620.0)</f>
        <v>640620</v>
      </c>
      <c r="M7" s="102">
        <f>IFERROR(__xludf.DUMMYFUNCTION("""COMPUTED_VALUE"""),1.02499169E8)</f>
        <v>102499169</v>
      </c>
      <c r="N7" s="1" t="str">
        <f>IFERROR(__xludf.DUMMYFUNCTION("""COMPUTED_VALUE"""),"PT SALTTEK DUMPANG JAYA")</f>
        <v>PT SALTTEK DUMPANG JAYA</v>
      </c>
      <c r="O7" s="1" t="str">
        <f>IFERROR(__xludf.DUMMYFUNCTION("""COMPUTED_VALUE"""),"3. PERIZINAN")</f>
        <v>3. PERIZINAN</v>
      </c>
      <c r="P7" s="1" t="str">
        <f>IFERROR(__xludf.DUMMYFUNCTION("""COMPUTED_VALUE"""),"3.1 Submit permohon ke PU")</f>
        <v>3.1 Submit permohon ke PU</v>
      </c>
      <c r="Q7" s="1" t="str">
        <f>IFERROR(__xludf.DUMMYFUNCTION("""COMPUTED_VALUE"""),"27/4 ( ada nya kenaikan nilai dan cpp karna   plan pembangunan hanya d2 tetapi dilokasi belum ada pembangunan odc dan new d1,  ) paralel menunggu ttd GM terkait pengantar ijin pu prov  (ada permintaan biaya dari pu sebesar 45jt),  24/4 ( ada nya kenaikan "&amp;"nilai dan cpp karna   plan pembangunan hanya d2 tetapi dilokasi belum ada pembangunan odc dan new d1,  ) paralel menunggu ttd GM terkait pengantar ijin pu prov  (ada permintaan biaya dari pu sebesar 45jt), 23/4 ( ada nya kenaikan nilai dan cpp karna   pla"&amp;"n pembangunan hanya d2 tetapi dilokasi belum ada pembangunan odc dan new d1,  ) paralel menunggu ttd GM terkait pengantar ijin pu prov  (ada permintaan biaya dari pu sebesar 45jt),  22/4 menunggu ttd GM terkait pengantar ijin pu prov  (ada permintaan biay"&amp;"a dari pu sebesar 45jt), 21/4 menunggu ttd GM terkait pengantar ijin pu prov (45jt), 20/4 menunggu ttd GM terkait pengantar ijin pu prov (45jt), 16/4 menunggu ttd GM terkait pengantar ijin pu prov (45jt), 15/4 menunggu approve pengantar ijin pu prov (45jt"&amp;")  paralel req matrial, 14/4 menunggu approve pengantar ijin pu prov (45jt)  paralel req matrial, 13/4 menunggu approve pengantar ijin pu prov (45jt)  paralel req matrial,  9/4 menunggu approve pengantar ijin pu prov (45jt)  paralel req matrial,  8/4 menu"&amp;"nggu approve pengantar ijin pu prov (45jt)  paralel req matrial, 6/4 menunggu approve pengantar ijin pu prov (45jt)  paralel req matrial,   5/4 menunggu approve pengantar ijin pu prov (45jt)  paralel req matrial,  1/4 menunggu approve pengantar ijin pu pr"&amp;"ov (45jt)  paralel req matrial, 31/3 menunggu approve pengantar ijin pu prov (45jt)  paralel req matrial, 30/3 menunggu approve pengantar ijin pu prov (45jt)  paralel req matrial, 27/3 menunggu approve pengantar ijin pu prov (45jt)  paralel req matrial, 2"&amp;"6/3 menunggu approve pengantar ijin pu prov (45jt)  paralel req matrial, 22/3 menunggu approve pengantar ijin pu prov (45jt)  paralel req matrial,  18/3 menunggu approve pengantar ijin pu prov (45jt)  paralel req matrial, 16/3 menunggu pengantar ijin pu p"&amp;"rov (45jt)  paralel req matrial, 13/3 menunggu pengantar ijin pu prov (45jt)  paralel req matrial, 11/3 menunggu pengantar ijin pu prov (45jt)  paralel req matrial, 10/3 menunggu pengantar ijin pu prov (45jt)  paralel req matrial, 6/3 menunggu pengantar i"&amp;"jin pu prov (45jt)  paralel req matrial, 5/3 menunggu pengantar ijin pu prov (45jt)  paralel req matrial, 4/3 menunggu pengantar ijin pu prov (45jt)  paralel req matrial, 3/3 menunggu pengantar ijin pu prov (45jt)  paralel req matrial, 2/3 menunggu pengan"&amp;"tar ijin pu prov (45jt)  paralel req matrial, 25/2 menunggu pengantar ijin pu prov (45jt)  paralel req matrial,  24/2 menunggu pengantar ijin pu prov (45jt)  paralel req matrial, 23/2 menunggu pengantar ijin pu prov (45jt)  paralel req matrial, 20/2 menun"&amp;"ggu pengantar ijin pu prov (45jt)  paralel req matrial,19/2 menunggu pengantar ijin pu prov (45jt)  paralel req matrial, 16/2 menunggu pengantar ijin pu prov (45jt)  paralel req matrial, 13/2 menunggu pengantar ijin pu prov (45jt)  paralel req matrial, 11"&amp;"/2 menunggu pengantar ijin pu prov (45jt)  paralel req matrial, 10/2 menunggu pengantar ijin pu prov (45jt)  paralel req matrial,  9/2 menunggu pengantar ijin pu prov (45jt)  paralel req matrial, 6/2 menunggu pengantar ijin pu prov paralel req matrial,  5"&amp;"/2 menunggu pengantar ijin pu prov paralel req matrial,  3/2 menunggu pengantar ijin pu prov paralel req matrial, 2/2 menunggu pengantar ijin pu prov paralel req matrial, 1/2 menunggu pengantar ijin pu prov paralel req matrial, 30/1 menunggu pengantar iji"&amp;"n pu prov paralel req matrial, 28/1 menunggu pengantar ijin pu prov paralel req matrial, 27/1 proses req pengantar ijin pu prov paralel req matrial, 26/1 proses req pengantar iin pu prov paralel req matrial, 23/1 prepair team untuk survey ulang hasil rede"&amp;"sign,  22/1 dilokasi belum ada pembangunan odc dan distribusi 1,  21/1 dilokasi belum ada pembangunan odc dan distribusi 1,  20/1 menunggu info dari req terkait odc dan dis 1 belum ada dibanguan dilapangan, 19/1 plan survey 20/1, 15/1 plan survey 20/1, 14"&amp;"/1 plan survey 22/1, 13/1 prepair team untuk penjadwalan survey,  (07/01) Persiapan")</f>
        <v>27/4 ( ada nya kenaikan nilai dan cpp karna   plan pembangunan hanya d2 tetapi dilokasi belum ada pembangunan odc dan new d1,  ) paralel menunggu ttd GM terkait pengantar ijin pu prov  (ada permintaan biaya dari pu sebesar 45jt),  24/4 ( ada nya kenaikan nilai dan cpp karna   plan pembangunan hanya d2 tetapi dilokasi belum ada pembangunan odc dan new d1,  ) paralel menunggu ttd GM terkait pengantar ijin pu prov  (ada permintaan biaya dari pu sebesar 45jt), 23/4 ( ada nya kenaikan nilai dan cpp karna   plan pembangunan hanya d2 tetapi dilokasi belum ada pembangunan odc dan new d1,  ) paralel menunggu ttd GM terkait pengantar ijin pu prov  (ada permintaan biaya dari pu sebesar 45jt),  22/4 menunggu ttd GM terkait pengantar ijin pu prov  (ada permintaan biaya dari pu sebesar 45jt), 21/4 menunggu ttd GM terkait pengantar ijin pu prov (45jt), 20/4 menunggu ttd GM terkait pengantar ijin pu prov (45jt), 16/4 menunggu ttd GM terkait pengantar ijin pu prov (45jt), 15/4 menunggu approve pengantar ijin pu prov (45jt)  paralel req matrial, 14/4 menunggu approve pengantar ijin pu prov (45jt)  paralel req matrial, 13/4 menunggu approve pengantar ijin pu prov (45jt)  paralel req matrial,  9/4 menunggu approve pengantar ijin pu prov (45jt)  paralel req matrial,  8/4 menunggu approve pengantar ijin pu prov (45jt)  paralel req matrial, 6/4 menunggu approve pengantar ijin pu prov (45jt)  paralel req matrial,   5/4 menunggu approve pengantar ijin pu prov (45jt)  paralel req matrial,  1/4 menunggu approve pengantar ijin pu prov (45jt)  paralel req matrial, 31/3 menunggu approve pengantar ijin pu prov (45jt)  paralel req matrial, 30/3 menunggu approve pengantar ijin pu prov (45jt)  paralel req matrial, 27/3 menunggu approve pengantar ijin pu prov (45jt)  paralel req matrial, 26/3 menunggu approve pengantar ijin pu prov (45jt)  paralel req matrial, 22/3 menunggu approve pengantar ijin pu prov (45jt)  paralel req matrial,  18/3 menunggu approve pengantar ijin pu prov (45jt)  paralel req matrial, 16/3 menunggu pengantar ijin pu prov (45jt)  paralel req matrial, 13/3 menunggu pengantar ijin pu prov (45jt)  paralel req matrial, 11/3 menunggu pengantar ijin pu prov (45jt)  paralel req matrial, 10/3 menunggu pengantar ijin pu prov (45jt)  paralel req matrial, 6/3 menunggu pengantar ijin pu prov (45jt)  paralel req matrial, 5/3 menunggu pengantar ijin pu prov (45jt)  paralel req matrial, 4/3 menunggu pengantar ijin pu prov (45jt)  paralel req matrial, 3/3 menunggu pengantar ijin pu prov (45jt)  paralel req matrial, 2/3 menunggu pengantar ijin pu prov (45jt)  paralel req matrial, 25/2 menunggu pengantar ijin pu prov (45jt)  paralel req matrial,  24/2 menunggu pengantar ijin pu prov (45jt)  paralel req matrial, 23/2 menunggu pengantar ijin pu prov (45jt)  paralel req matrial, 20/2 menunggu pengantar ijin pu prov (45jt)  paralel req matrial,19/2 menunggu pengantar ijin pu prov (45jt)  paralel req matrial, 16/2 menunggu pengantar ijin pu prov (45jt)  paralel req matrial, 13/2 menunggu pengantar ijin pu prov (45jt)  paralel req matrial, 11/2 menunggu pengantar ijin pu prov (45jt)  paralel req matrial, 10/2 menunggu pengantar ijin pu prov (45jt)  paralel req matrial,  9/2 menunggu pengantar ijin pu prov (45jt)  paralel req matrial, 6/2 menunggu pengantar ijin pu prov paralel req matrial,  5/2 menunggu pengantar ijin pu prov paralel req matrial,  3/2 menunggu pengantar ijin pu prov paralel req matrial, 2/2 menunggu pengantar ijin pu prov paralel req matrial, 1/2 menunggu pengantar ijin pu prov paralel req matrial, 30/1 menunggu pengantar ijin pu prov paralel req matrial, 28/1 menunggu pengantar ijin pu prov paralel req matrial, 27/1 proses req pengantar ijin pu prov paralel req matrial, 26/1 proses req pengantar iin pu prov paralel req matrial, 23/1 prepair team untuk survey ulang hasil redesign,  22/1 dilokasi belum ada pembangunan odc dan distribusi 1,  21/1 dilokasi belum ada pembangunan odc dan distribusi 1,  20/1 menunggu info dari req terkait odc dan dis 1 belum ada dibanguan dilapangan, 19/1 plan survey 20/1, 15/1 plan survey 20/1, 14/1 plan survey 22/1, 13/1 prepair team untuk penjadwalan survey,  (07/01) Persiapan</v>
      </c>
      <c r="R7" s="103"/>
      <c r="S7" s="8"/>
      <c r="T7" s="8"/>
      <c r="U7" s="8" t="str">
        <f>IFERROR(__xludf.DUMMYFUNCTION("""COMPUTED_VALUE"""),"TIF-1398/2026")</f>
        <v>TIF-1398/2026</v>
      </c>
      <c r="V7" s="1"/>
      <c r="W7" s="55"/>
      <c r="X7" s="55" t="str">
        <f>IFERROR(__xludf.DUMMYFUNCTION("""COMPUTED_VALUE"""),"BELUM GOLIVE")</f>
        <v>BELUM GOLIVE</v>
      </c>
      <c r="Y7" s="55" t="str">
        <f>IFERROR(__xludf.DUMMYFUNCTION("""COMPUTED_VALUE"""),"Izin pu")</f>
        <v>Izin pu</v>
      </c>
      <c r="Z7" s="55" t="str">
        <f>IFERROR(__xludf.DUMMYFUNCTION("""COMPUTED_VALUE"""),"0. Drop Site")</f>
        <v>0. Drop Site</v>
      </c>
      <c r="AA7" s="55"/>
      <c r="AB7" s="55"/>
      <c r="AC7" s="55"/>
      <c r="AD7" s="104"/>
      <c r="AE7" s="105"/>
      <c r="AF7" s="54"/>
      <c r="AG7" s="54"/>
      <c r="AH7" s="54"/>
      <c r="AI7" s="55" t="str">
        <f t="shared" si="5"/>
        <v/>
      </c>
      <c r="AJ7" s="56" t="str">
        <f t="shared" si="3"/>
        <v>not yet</v>
      </c>
      <c r="AL7" s="55"/>
      <c r="AM7" s="55"/>
      <c r="AN7" s="55"/>
      <c r="AO7" s="55"/>
      <c r="AP7" s="55"/>
      <c r="AQ7" s="55"/>
      <c r="AR7" s="106">
        <v>1.0</v>
      </c>
      <c r="AS7" s="107">
        <v>2026.0</v>
      </c>
      <c r="AT7" s="107">
        <v>1.2678877E7</v>
      </c>
      <c r="AU7" s="108" t="s">
        <v>42</v>
      </c>
      <c r="AV7" s="107" t="s">
        <v>43</v>
      </c>
      <c r="AW7" s="109" t="str">
        <f t="shared" ref="AW7:AW44" si="6">xlookup(AX7,BANTU!B:B,BANTU!A:A)</f>
        <v>PADANG</v>
      </c>
      <c r="AX7" s="107" t="s">
        <v>44</v>
      </c>
      <c r="AY7" s="107" t="s">
        <v>45</v>
      </c>
      <c r="AZ7" s="107" t="s">
        <v>46</v>
      </c>
      <c r="BA7" s="107" t="s">
        <v>47</v>
      </c>
      <c r="BB7" s="107">
        <v>6.0</v>
      </c>
      <c r="BC7" s="107">
        <v>48.0</v>
      </c>
      <c r="BD7" s="108" t="s">
        <v>48</v>
      </c>
      <c r="BE7" s="107" t="s">
        <v>49</v>
      </c>
      <c r="BF7" s="108" t="s">
        <v>50</v>
      </c>
      <c r="BG7" s="108" t="s">
        <v>51</v>
      </c>
      <c r="BH7" s="110" t="s">
        <v>52</v>
      </c>
      <c r="BI7" s="111">
        <v>46086.0</v>
      </c>
      <c r="BJ7" s="106"/>
      <c r="BK7" s="106" t="s">
        <v>1</v>
      </c>
      <c r="BL7" s="112">
        <v>72.0</v>
      </c>
      <c r="BR7" s="75"/>
      <c r="BS7" s="115"/>
      <c r="CD7" s="115"/>
      <c r="CN7" s="64"/>
      <c r="CO7" s="64"/>
      <c r="CP7" s="64"/>
    </row>
    <row r="8" ht="18.0" hidden="1" customHeight="1">
      <c r="A8" s="1">
        <f>IFERROR(__xludf.DUMMYFUNCTION("""COMPUTED_VALUE"""),2026.0)</f>
        <v>2026</v>
      </c>
      <c r="B8" s="98">
        <f>IFERROR(__xludf.DUMMYFUNCTION("""COMPUTED_VALUE"""),1.0997432E7)</f>
        <v>10997432</v>
      </c>
      <c r="C8" s="1" t="str">
        <f>IFERROR(__xludf.DUMMYFUNCTION("""COMPUTED_VALUE"""),"SMU-P7I2-ODC-PMS-FAP-D05 KOPERASI")</f>
        <v>SMU-P7I2-ODC-PMS-FAP-D05 KOPERASI</v>
      </c>
      <c r="D8" s="1" t="str">
        <f>IFERROR(__xludf.DUMMYFUNCTION("""COMPUTED_VALUE"""),"REGIONAL I")</f>
        <v>REGIONAL I</v>
      </c>
      <c r="E8" s="1" t="str">
        <f>IFERROR(__xludf.DUMMYFUNCTION("""COMPUTED_VALUE"""),"SUMUT")</f>
        <v>SUMUT</v>
      </c>
      <c r="F8" s="1" t="str">
        <f>IFERROR(__xludf.DUMMYFUNCTION("""COMPUTED_VALUE"""),"PMS")</f>
        <v>PMS</v>
      </c>
      <c r="G8" s="1" t="str">
        <f>IFERROR(__xludf.DUMMYFUNCTION("""COMPUTED_VALUE"""),"SUMBAGUT")</f>
        <v>SUMBAGUT</v>
      </c>
      <c r="H8" s="1" t="str">
        <f>IFERROR(__xludf.DUMMYFUNCTION("""COMPUTED_VALUE"""),"PEMATANG SIANTAR")</f>
        <v>PEMATANG SIANTAR</v>
      </c>
      <c r="I8" s="1" t="str">
        <f>IFERROR(__xludf.DUMMYFUNCTION("""COMPUTED_VALUE"""),"Batch 1")</f>
        <v>Batch 1</v>
      </c>
      <c r="J8" s="99">
        <f>IFERROR(__xludf.DUMMYFUNCTION("""COMPUTED_VALUE"""),4.0)</f>
        <v>4</v>
      </c>
      <c r="K8" s="100">
        <f>IFERROR(__xludf.DUMMYFUNCTION("""COMPUTED_VALUE"""),32.0)</f>
        <v>32</v>
      </c>
      <c r="L8" s="101">
        <f>IFERROR(__xludf.DUMMYFUNCTION("""COMPUTED_VALUE"""),1173150.0)</f>
        <v>1173150</v>
      </c>
      <c r="M8" s="102">
        <f>IFERROR(__xludf.DUMMYFUNCTION("""COMPUTED_VALUE"""),3.7540791E7)</f>
        <v>37540791</v>
      </c>
      <c r="N8" s="1" t="str">
        <f>IFERROR(__xludf.DUMMYFUNCTION("""COMPUTED_VALUE"""),"PT UPENTEL INTERNASIONAL")</f>
        <v>PT UPENTEL INTERNASIONAL</v>
      </c>
      <c r="O8" s="1" t="str">
        <f>IFERROR(__xludf.DUMMYFUNCTION("""COMPUTED_VALUE"""),"0. DROP")</f>
        <v>0. DROP</v>
      </c>
      <c r="P8" s="1" t="str">
        <f>IFERROR(__xludf.DUMMYFUNCTION("""COMPUTED_VALUE"""),"0.2 Tidak Dapat Izin Warga/Kades/Lurah/Developer")</f>
        <v>0.2 Tidak Dapat Izin Warga/Kades/Lurah/Developer</v>
      </c>
      <c r="Q8" s="1" t="str">
        <f>IFERROR(__xludf.DUMMYFUNCTION("""COMPUTED_VALUE"""),"DROP tidak ada ijiin akses dari warga dan pemerintah setempat, 13/1 menunggu info kelanjutan dari mitra est besok 14/1, (07/01) Persiapan")</f>
        <v>DROP tidak ada ijiin akses dari warga dan pemerintah setempat, 13/1 menunggu info kelanjutan dari mitra est besok 14/1, (07/01) Persiapan</v>
      </c>
      <c r="R8" s="103"/>
      <c r="S8" s="8"/>
      <c r="T8" s="8"/>
      <c r="U8" s="8" t="str">
        <f>IFERROR(__xludf.DUMMYFUNCTION("""COMPUTED_VALUE"""),"W03-1975/2024")</f>
        <v>W03-1975/2024</v>
      </c>
      <c r="V8" s="1"/>
      <c r="W8" s="55"/>
      <c r="X8" s="55" t="str">
        <f>IFERROR(__xludf.DUMMYFUNCTION("""COMPUTED_VALUE"""),"BELUM GOLIVE")</f>
        <v>BELUM GOLIVE</v>
      </c>
      <c r="Y8" s="55"/>
      <c r="Z8" s="55" t="str">
        <f>IFERROR(__xludf.DUMMYFUNCTION("""COMPUTED_VALUE"""),"#N/A")</f>
        <v>#N/A</v>
      </c>
      <c r="AA8" s="55"/>
      <c r="AB8" s="55"/>
      <c r="AC8" s="55"/>
      <c r="AD8" s="104"/>
      <c r="AE8" s="105"/>
      <c r="AF8" s="54" t="str">
        <f>IFERROR(__xludf.DUMMYFUNCTION("""COMPUTED_VALUE"""),"Draft BA DROP")</f>
        <v>Draft BA DROP</v>
      </c>
      <c r="AG8" s="54"/>
      <c r="AH8" s="54"/>
      <c r="AI8" s="55" t="str">
        <f t="shared" si="5"/>
        <v/>
      </c>
      <c r="AJ8" s="56" t="str">
        <f t="shared" si="3"/>
        <v>not yet</v>
      </c>
      <c r="AL8" s="55"/>
      <c r="AM8" s="55"/>
      <c r="AN8" s="55"/>
      <c r="AO8" s="55"/>
      <c r="AP8" s="55"/>
      <c r="AQ8" s="55"/>
      <c r="AR8" s="106">
        <v>2.0</v>
      </c>
      <c r="AS8" s="107">
        <v>2026.0</v>
      </c>
      <c r="AT8" s="107">
        <v>1.2822895E7</v>
      </c>
      <c r="AU8" s="108" t="s">
        <v>54</v>
      </c>
      <c r="AV8" s="107" t="s">
        <v>43</v>
      </c>
      <c r="AW8" s="109" t="str">
        <f t="shared" si="6"/>
        <v>BATAM</v>
      </c>
      <c r="AX8" s="110" t="s">
        <v>55</v>
      </c>
      <c r="AY8" s="107" t="s">
        <v>45</v>
      </c>
      <c r="AZ8" s="107" t="s">
        <v>53</v>
      </c>
      <c r="BA8" s="107" t="s">
        <v>47</v>
      </c>
      <c r="BB8" s="107">
        <v>3.0</v>
      </c>
      <c r="BC8" s="107">
        <v>24.0</v>
      </c>
      <c r="BD8" s="108" t="s">
        <v>56</v>
      </c>
      <c r="BE8" s="107" t="s">
        <v>49</v>
      </c>
      <c r="BF8" s="108" t="s">
        <v>57</v>
      </c>
      <c r="BG8" s="108" t="s">
        <v>58</v>
      </c>
      <c r="BH8" s="110" t="s">
        <v>52</v>
      </c>
      <c r="BI8" s="111">
        <v>46086.0</v>
      </c>
      <c r="BJ8" s="106"/>
      <c r="BK8" s="106" t="s">
        <v>1</v>
      </c>
      <c r="BL8" s="116"/>
      <c r="BS8" s="117" t="s">
        <v>53</v>
      </c>
      <c r="BT8" s="118">
        <v>1140.0</v>
      </c>
      <c r="BU8" s="119">
        <f>SUMIFS(
'PT2 UNTSEL 2026'!$AS:$AS,
'PT2 UNTSEL 2026'!$AF:$AF,"BATAM",
'PT2 UNTSEL 2026'!$AZ:$AZ,"GO LIVE",
'PT2 UNTSEL 2026'!$T:$T,"&gt;="&amp;DATE(2026,3,1),
'PT2 UNTSEL 2026'!$T:$T,"&lt;"&amp;DATE(2026,4,1)
)</f>
        <v>600</v>
      </c>
      <c r="BV8" s="120">
        <f>BU8/BT8</f>
        <v>0.5263157895</v>
      </c>
      <c r="BW8" s="121">
        <v>2317.0</v>
      </c>
      <c r="BX8" s="119">
        <f>'REPORT GOLIVE JPP - OLO'!U7</f>
        <v>120</v>
      </c>
      <c r="BY8" s="120">
        <f>BX8/BW8</f>
        <v>0.05179110919</v>
      </c>
      <c r="BZ8" s="122">
        <f t="shared" ref="BZ8:CA8" si="7">BT8+BW8</f>
        <v>3457</v>
      </c>
      <c r="CA8" s="122">
        <f t="shared" si="7"/>
        <v>720</v>
      </c>
      <c r="CB8" s="123">
        <f>CA8/BZ8</f>
        <v>0.2082730691</v>
      </c>
      <c r="CD8" s="117" t="s">
        <v>53</v>
      </c>
      <c r="CE8" s="118">
        <v>5430.0</v>
      </c>
      <c r="CF8" s="119">
        <f>SUMIFS(
'PT2 UNTSEL 2026'!$AS:$AS,
'PT2 UNTSEL 2026'!$AF:$AF,"BATAM",
'PT2 UNTSEL 2026'!$AZ:$AZ,"GO LIVE")</f>
        <v>1896</v>
      </c>
      <c r="CG8" s="120">
        <f>CF8/CE8</f>
        <v>0.3491712707</v>
      </c>
      <c r="CH8" s="121">
        <v>7276.0</v>
      </c>
      <c r="CI8" s="119">
        <f>SUMIFS(K4:K3194,H4:H3194,"batam",R4:R3194,"golive")</f>
        <v>0</v>
      </c>
      <c r="CJ8" s="120">
        <f>CI8/CH8</f>
        <v>0</v>
      </c>
      <c r="CK8" s="122">
        <f t="shared" ref="CK8:CL8" si="8">CE8+CH8</f>
        <v>12706</v>
      </c>
      <c r="CL8" s="122">
        <f t="shared" si="8"/>
        <v>1896</v>
      </c>
      <c r="CM8" s="123">
        <f>CL8/CK8</f>
        <v>0.1492208405</v>
      </c>
      <c r="CN8" s="64"/>
      <c r="CO8" s="64"/>
      <c r="CP8" s="64"/>
    </row>
    <row r="9" ht="18.0" hidden="1" customHeight="1">
      <c r="A9" s="1">
        <f>IFERROR(__xludf.DUMMYFUNCTION("""COMPUTED_VALUE"""),2026.0)</f>
        <v>2026</v>
      </c>
      <c r="B9" s="98">
        <f>IFERROR(__xludf.DUMMYFUNCTION("""COMPUTED_VALUE"""),1.1013283E7)</f>
        <v>11013283</v>
      </c>
      <c r="C9" s="1" t="str">
        <f>IFERROR(__xludf.DUMMYFUNCTION("""COMPUTED_VALUE"""),"SMU KIS-FF D04 D05 SBU_RAP_ASAHAN KIS012")</f>
        <v>SMU KIS-FF D04 D05 SBU_RAP_ASAHAN KIS012</v>
      </c>
      <c r="D9" s="1" t="str">
        <f>IFERROR(__xludf.DUMMYFUNCTION("""COMPUTED_VALUE"""),"REGIONAL I")</f>
        <v>REGIONAL I</v>
      </c>
      <c r="E9" s="1" t="str">
        <f>IFERROR(__xludf.DUMMYFUNCTION("""COMPUTED_VALUE"""),"SUMUT")</f>
        <v>SUMUT</v>
      </c>
      <c r="F9" s="1" t="str">
        <f>IFERROR(__xludf.DUMMYFUNCTION("""COMPUTED_VALUE"""),"KIS")</f>
        <v>KIS</v>
      </c>
      <c r="G9" s="1" t="str">
        <f>IFERROR(__xludf.DUMMYFUNCTION("""COMPUTED_VALUE"""),"SUMBAGUT")</f>
        <v>SUMBAGUT</v>
      </c>
      <c r="H9" s="1" t="str">
        <f>IFERROR(__xludf.DUMMYFUNCTION("""COMPUTED_VALUE"""),"RANTAU PRAPAT")</f>
        <v>RANTAU PRAPAT</v>
      </c>
      <c r="I9" s="1" t="str">
        <f>IFERROR(__xludf.DUMMYFUNCTION("""COMPUTED_VALUE"""),"Batch 1")</f>
        <v>Batch 1</v>
      </c>
      <c r="J9" s="99">
        <f>IFERROR(__xludf.DUMMYFUNCTION("""COMPUTED_VALUE"""),17.0)</f>
        <v>17</v>
      </c>
      <c r="K9" s="100">
        <f>IFERROR(__xludf.DUMMYFUNCTION("""COMPUTED_VALUE"""),136.0)</f>
        <v>136</v>
      </c>
      <c r="L9" s="101">
        <f>IFERROR(__xludf.DUMMYFUNCTION("""COMPUTED_VALUE"""),1141303.0)</f>
        <v>1141303</v>
      </c>
      <c r="M9" s="102">
        <f>IFERROR(__xludf.DUMMYFUNCTION("""COMPUTED_VALUE"""),1.55217073E8)</f>
        <v>155217073</v>
      </c>
      <c r="N9" s="1" t="str">
        <f>IFERROR(__xludf.DUMMYFUNCTION("""COMPUTED_VALUE"""),"PT GARINDO TECHNO MANDIRI")</f>
        <v>PT GARINDO TECHNO MANDIRI</v>
      </c>
      <c r="O9" s="1" t="str">
        <f>IFERROR(__xludf.DUMMYFUNCTION("""COMPUTED_VALUE"""),"5. INSTALASI")</f>
        <v>5. INSTALASI</v>
      </c>
      <c r="P9" s="1" t="str">
        <f>IFERROR(__xludf.DUMMYFUNCTION("""COMPUTED_VALUE"""),"5.6 Proses Penarikan Kabel")</f>
        <v>5.6 Proses Penarikan Kabel</v>
      </c>
      <c r="Q9" s="1" t="str">
        <f>IFERROR(__xludf.DUMMYFUNCTION("""COMPUTED_VALUE"""),"27/4 proses penarikan kabel, 23/4 plan progres hari ini, 22/4 tim partial di lop kis fbc, 21/4 prepair tim pengambilan material, 20/4 prepair tim pengambilan material, 16/4 plan hari ini pengambilan material dari tebing, 15/4 prepair tim untuk pengambilan"&amp;" material (pengalihan dari mitra mai), 14/4 prepair tim untuk pengambilan material (pengalihan dari mitra mai), 13/4 mitra MAI menolak untuk lanjut progres, 9/4 mitra MAI menolak untuk lanjut progres, 8/4 mitra MAI menolak untuk lanjut progres, 6/4 plan e"&amp;"st progres delivery besok apabila belum kunjung dikerjakan maka lop kita  alihkan kemitra lain, 5/4 tim belum turun untuk mengambil material, 1/4 tim belum turun untuk mengambil material, 31/3 tim belum turun untuk mengambil material, 30/3 plan pengambila"&amp;"n material rabu 1 april, 27/3 hari ini proses pengambilan material kegudang, plan instalasi besok, 26/3 prepair team untuk pengambilan matrial dari wh ke site, 22/3 prepair team untuk pengambilan matrial dari wh ke site, 18/3 plan pengambilan matrial sete"&amp;"lah lebaran, 16/3 plan pengambilan matrial setelah lebaran, 13/3 prepair tim untuk pengambilan material, 11/3 plan ambil matrial besok, 10/3 prepair tim untuk pengambilan material plan bsk tgl 11 maret, 6/3 prepair tim untuk pengambilan material, 5/3 prep"&amp;"air tim untuk pengambilan material, 4/3 prepair tim untuk pengambilan material, 3/3 proses request material, 2/3 menunggu  info dari pihak desa terkait izin tanam tiang dan peralihan rute, 27/2 menunggu  info dari pihak desa terkait izin tanam tiang dan p"&amp;"eralihan rute. 25/2 prepair team untuk delivery matrial dari gudang ke wh, 20/2 plan deliv matrial 23 feb ,19/2 prepair tim untuk pengambilan material,  18/2 prepair tim untuk pengambilan material,16/2 prepair tim untuk pengambilan material, 13/2 prepair "&amp;"tim untuk pengambilan material, 11/2 peoses req material, 10/2 proses req material, 9/2 proses req material, 6/2 proses req material, 5/2 proses req matrial,4/2 proses req matrial, 3/2 proses cek cpp, 2/2 plan besok cek cpp hasil survey, 1/2 menunggu boq "&amp;"kml hasil survey ( blm ada report survey dan hasil otdr), 30/1 menunggu boq kml hasil survey ( blm ada report survey dan hasil otdr), 28/1 menunggu boq kml hasil survey ( blm ada report survey dan hasil otdr), 27/1 menunggu boq kml hasil survey ( blm ada "&amp;"report survey dan hasil otdr), 26/1 menunggu boq kml hasil survey ( blm ada report survey dan hasil otdr), 23/1 menunggu boq kml hasil survey, 22/1 menunggu boq kml survey, 21/1 menunggu boq kml survey, 20/1 plan survey 21/1, 19/1 plan survey 21/1,  15/1 "&amp;"plan survey 21/1, 14/1 prepair tim untuk penjadwalan survey, 13/1 menunggu info kelanjutan dari mitra est besok 14/1, (07/01) Persiapan")</f>
        <v>27/4 proses penarikan kabel, 23/4 plan progres hari ini, 22/4 tim partial di lop kis fbc, 21/4 prepair tim pengambilan material, 20/4 prepair tim pengambilan material, 16/4 plan hari ini pengambilan material dari tebing, 15/4 prepair tim untuk pengambilan material (pengalihan dari mitra mai), 14/4 prepair tim untuk pengambilan material (pengalihan dari mitra mai), 13/4 mitra MAI menolak untuk lanjut progres, 9/4 mitra MAI menolak untuk lanjut progres, 8/4 mitra MAI menolak untuk lanjut progres, 6/4 plan est progres delivery besok apabila belum kunjung dikerjakan maka lop kita  alihkan kemitra lain, 5/4 tim belum turun untuk mengambil material, 1/4 tim belum turun untuk mengambil material, 31/3 tim belum turun untuk mengambil material, 30/3 plan pengambilan material rabu 1 april, 27/3 hari ini proses pengambilan material kegudang, plan instalasi besok, 26/3 prepair team untuk pengambilan matrial dari wh ke site, 22/3 prepair team untuk pengambilan matrial dari wh ke site, 18/3 plan pengambilan matrial setelah lebaran, 16/3 plan pengambilan matrial setelah lebaran, 13/3 prepair tim untuk pengambilan material, 11/3 plan ambil matrial besok, 10/3 prepair tim untuk pengambilan material plan bsk tgl 11 maret, 6/3 prepair tim untuk pengambilan material, 5/3 prepair tim untuk pengambilan material, 4/3 prepair tim untuk pengambilan material, 3/3 proses request material, 2/3 menunggu  info dari pihak desa terkait izin tanam tiang dan peralihan rute, 27/2 menunggu  info dari pihak desa terkait izin tanam tiang dan peralihan rute. 25/2 prepair team untuk delivery matrial dari gudang ke wh, 20/2 plan deliv matrial 23 feb ,19/2 prepair tim untuk pengambilan material,  18/2 prepair tim untuk pengambilan material,16/2 prepair tim untuk pengambilan material, 13/2 prepair tim untuk pengambilan material, 11/2 peoses req material, 10/2 proses req material, 9/2 proses req material, 6/2 proses req material, 5/2 proses req matrial,4/2 proses req matrial, 3/2 proses cek cpp, 2/2 plan besok cek cpp hasil survey, 1/2 menunggu boq kml hasil survey ( blm ada report survey dan hasil otdr), 30/1 menunggu boq kml hasil survey ( blm ada report survey dan hasil otdr), 28/1 menunggu boq kml hasil survey ( blm ada report survey dan hasil otdr), 27/1 menunggu boq kml hasil survey ( blm ada report survey dan hasil otdr), 26/1 menunggu boq kml hasil survey ( blm ada report survey dan hasil otdr), 23/1 menunggu boq kml hasil survey, 22/1 menunggu boq kml survey, 21/1 menunggu boq kml survey, 20/1 plan survey 21/1, 19/1 plan survey 21/1,  15/1 plan survey 21/1, 14/1 prepair tim untuk penjadwalan survey, 13/1 menunggu info kelanjutan dari mitra est besok 14/1, (07/01) Persiapan</v>
      </c>
      <c r="R9" s="103">
        <f>IFERROR(__xludf.DUMMYFUNCTION("""COMPUTED_VALUE"""),46140.0)</f>
        <v>46140</v>
      </c>
      <c r="S9" s="8"/>
      <c r="T9" s="73"/>
      <c r="U9" s="8" t="str">
        <f>IFERROR(__xludf.DUMMYFUNCTION("""COMPUTED_VALUE"""),"TIF-2851/2026")</f>
        <v>TIF-2851/2026</v>
      </c>
      <c r="V9" s="1"/>
      <c r="W9" s="55" t="str">
        <f>IFERROR(__xludf.DUMMYFUNCTION("""COMPUTED_VALUE"""),"#REF!")</f>
        <v>#REF!</v>
      </c>
      <c r="X9" s="55" t="str">
        <f>IFERROR(__xludf.DUMMYFUNCTION("""COMPUTED_VALUE"""),"BELUM GOLIVE")</f>
        <v>BELUM GOLIVE</v>
      </c>
      <c r="Y9" s="55"/>
      <c r="Z9" s="55" t="str">
        <f>IFERROR(__xludf.DUMMYFUNCTION("""COMPUTED_VALUE"""),"#N/A")</f>
        <v>#N/A</v>
      </c>
      <c r="AA9" s="55"/>
      <c r="AB9" s="55"/>
      <c r="AC9" s="55"/>
      <c r="AD9" s="104"/>
      <c r="AE9" s="105"/>
      <c r="AF9" s="54"/>
      <c r="AG9" s="54"/>
      <c r="AH9" s="54">
        <v>46140.0</v>
      </c>
      <c r="AI9" s="55" t="str">
        <f t="shared" si="5"/>
        <v/>
      </c>
      <c r="AJ9" s="56" t="str">
        <f t="shared" si="3"/>
        <v>not yet</v>
      </c>
      <c r="AL9" s="55"/>
      <c r="AM9" s="55"/>
      <c r="AN9" s="55"/>
      <c r="AO9" s="55"/>
      <c r="AP9" s="55"/>
      <c r="AQ9" s="55"/>
      <c r="AR9" s="106">
        <v>3.0</v>
      </c>
      <c r="AS9" s="124">
        <v>2026.0</v>
      </c>
      <c r="AT9" s="124">
        <v>1.1288505E7</v>
      </c>
      <c r="AU9" s="125" t="s">
        <v>60</v>
      </c>
      <c r="AV9" s="126" t="s">
        <v>43</v>
      </c>
      <c r="AW9" s="127" t="str">
        <f t="shared" si="6"/>
        <v>DUMAI</v>
      </c>
      <c r="AX9" s="124" t="s">
        <v>61</v>
      </c>
      <c r="AY9" s="124" t="s">
        <v>45</v>
      </c>
      <c r="AZ9" s="124" t="s">
        <v>62</v>
      </c>
      <c r="BA9" s="124" t="s">
        <v>47</v>
      </c>
      <c r="BB9" s="124">
        <v>18.0</v>
      </c>
      <c r="BC9" s="124">
        <v>144.0</v>
      </c>
      <c r="BD9" s="128" t="s">
        <v>63</v>
      </c>
      <c r="BE9" s="124" t="s">
        <v>49</v>
      </c>
      <c r="BF9" s="125" t="s">
        <v>64</v>
      </c>
      <c r="BG9" s="125" t="s">
        <v>65</v>
      </c>
      <c r="BH9" s="110" t="s">
        <v>52</v>
      </c>
      <c r="BI9" s="129">
        <v>46087.0</v>
      </c>
      <c r="BJ9" s="106"/>
      <c r="BK9" s="106"/>
      <c r="BL9" s="106">
        <v>144.0</v>
      </c>
      <c r="BS9" s="115"/>
      <c r="CD9" s="115"/>
      <c r="CN9" s="64"/>
      <c r="CO9" s="64"/>
      <c r="CP9" s="64"/>
    </row>
    <row r="10" ht="18.0" hidden="1" customHeight="1">
      <c r="A10" s="1">
        <f>IFERROR(__xludf.DUMMYFUNCTION("""COMPUTED_VALUE"""),2026.0)</f>
        <v>2026</v>
      </c>
      <c r="B10" s="98">
        <f>IFERROR(__xludf.DUMMYFUNCTION("""COMPUTED_VALUE"""),1.1093003E7)</f>
        <v>11093003</v>
      </c>
      <c r="C10" s="1" t="str">
        <f>IFERROR(__xludf.DUMMYFUNCTION("""COMPUTED_VALUE"""),"SMU TJB-FAP D02-D04 CLUST ASAHAN TJB006")</f>
        <v>SMU TJB-FAP D02-D04 CLUST ASAHAN TJB006</v>
      </c>
      <c r="D10" s="1" t="str">
        <f>IFERROR(__xludf.DUMMYFUNCTION("""COMPUTED_VALUE"""),"REGIONAL I")</f>
        <v>REGIONAL I</v>
      </c>
      <c r="E10" s="1" t="str">
        <f>IFERROR(__xludf.DUMMYFUNCTION("""COMPUTED_VALUE"""),"SUMUT")</f>
        <v>SUMUT</v>
      </c>
      <c r="F10" s="1" t="str">
        <f>IFERROR(__xludf.DUMMYFUNCTION("""COMPUTED_VALUE"""),"TJB")</f>
        <v>TJB</v>
      </c>
      <c r="G10" s="1" t="str">
        <f>IFERROR(__xludf.DUMMYFUNCTION("""COMPUTED_VALUE"""),"SUMBAGUT")</f>
        <v>SUMBAGUT</v>
      </c>
      <c r="H10" s="1" t="str">
        <f>IFERROR(__xludf.DUMMYFUNCTION("""COMPUTED_VALUE"""),"RANTAU PRAPAT")</f>
        <v>RANTAU PRAPAT</v>
      </c>
      <c r="I10" s="1" t="str">
        <f>IFERROR(__xludf.DUMMYFUNCTION("""COMPUTED_VALUE"""),"Batch 1")</f>
        <v>Batch 1</v>
      </c>
      <c r="J10" s="99">
        <f>IFERROR(__xludf.DUMMYFUNCTION("""COMPUTED_VALUE"""),9.0)</f>
        <v>9</v>
      </c>
      <c r="K10" s="100">
        <f>IFERROR(__xludf.DUMMYFUNCTION("""COMPUTED_VALUE"""),72.0)</f>
        <v>72</v>
      </c>
      <c r="L10" s="101">
        <f>IFERROR(__xludf.DUMMYFUNCTION("""COMPUTED_VALUE"""),1300795.0)</f>
        <v>1300795</v>
      </c>
      <c r="M10" s="102">
        <f>IFERROR(__xludf.DUMMYFUNCTION("""COMPUTED_VALUE"""),9.3657216E7)</f>
        <v>93657216</v>
      </c>
      <c r="N10" s="1" t="str">
        <f>IFERROR(__xludf.DUMMYFUNCTION("""COMPUTED_VALUE"""),"PT ARTHA MANDIRI BERSAMA")</f>
        <v>PT ARTHA MANDIRI BERSAMA</v>
      </c>
      <c r="O10" s="1" t="str">
        <f>IFERROR(__xludf.DUMMYFUNCTION("""COMPUTED_VALUE"""),"7. GOLIVE")</f>
        <v>7. GOLIVE</v>
      </c>
      <c r="P10" s="1" t="str">
        <f>IFERROR(__xludf.DUMMYFUNCTION("""COMPUTED_VALUE"""),"7.2 Golive Full / OA / DONE OTB")</f>
        <v>7.2 Golive Full / OA / DONE OTB</v>
      </c>
      <c r="Q10" s="1" t="str">
        <f>IFERROR(__xludf.DUMMYFUNCTION("""COMPUTED_VALUE"""),"27/4 proses validasi sdi, 23/4 sisa inrtal dan terminasi 9 odp, penarikan ku 12 (2635 selesai) tanam tiang 20 selesai, ,  22/4 penarikan ku 12 (2635 selesai) tanam tiang 20 selesai, odp 9 sisa 6, 21/4 penarikan ku 12 (2635 sisa 1335) tanam tiang 20 sisa 5"&amp;", odp 9 blm ada progres, 20/04 progres penanaman tiang 16/5 plan ambil material sabtu tgl 18 april, 15/4 prepair tim untuk pengambilan material, pararel perizinan ke perumahan, 14/4 proses input material di alista, pararel perizinan ke perumahan, 13/4 pro"&amp;"ses input di alista, pararel perizinan ke perumahan, 9/4 cpp tinggi 1,4, 8/4 menunggu submit boq kml hasil survey, pararel perizinan ke perumahan Duta Mas Indah, 6/4 plan survey hari  6 april (hasil survey mitra sebelumnya biaya prelim 11 jt),  5/4 plan s"&amp;"urvey senin 6 april (hasil survey mitra sebelumnya biaya prelim 11 jt), 1/4 plan survey kamis 2 april (hasil survey mitra sebelumnya biaya prelim 11 jt), 31/3 plan survey rabu 1 april (hasil survey mitra sebelumnya biaya prelim 11 jt ), 27/3 plan survey s"&amp;"enin 30 maret (hasil survey mitra sebelumnya biaya prelim 11 jt ), 26/3 menunggu boq kml terbaru dari sdi, 22/3 menunggu boq kml terbaru dari sdi, 18/3 plan survey setelah lebaran , 16/3 plan survey setelah lebaran , 26/2 drop dikarenakan prelim ke desa 1"&amp;"1 jt, drop permintaan tsel ( cpp 11 jt), (07/01) Persiapan")</f>
        <v>27/4 proses validasi sdi, 23/4 sisa inrtal dan terminasi 9 odp, penarikan ku 12 (2635 selesai) tanam tiang 20 selesai, ,  22/4 penarikan ku 12 (2635 selesai) tanam tiang 20 selesai, odp 9 sisa 6, 21/4 penarikan ku 12 (2635 sisa 1335) tanam tiang 20 sisa 5, odp 9 blm ada progres, 20/04 progres penanaman tiang 16/5 plan ambil material sabtu tgl 18 april, 15/4 prepair tim untuk pengambilan material, pararel perizinan ke perumahan, 14/4 proses input material di alista, pararel perizinan ke perumahan, 13/4 proses input di alista, pararel perizinan ke perumahan, 9/4 cpp tinggi 1,4, 8/4 menunggu submit boq kml hasil survey, pararel perizinan ke perumahan Duta Mas Indah, 6/4 plan survey hari  6 april (hasil survey mitra sebelumnya biaya prelim 11 jt),  5/4 plan survey senin 6 april (hasil survey mitra sebelumnya biaya prelim 11 jt), 1/4 plan survey kamis 2 april (hasil survey mitra sebelumnya biaya prelim 11 jt), 31/3 plan survey rabu 1 april (hasil survey mitra sebelumnya biaya prelim 11 jt ), 27/3 plan survey senin 30 maret (hasil survey mitra sebelumnya biaya prelim 11 jt ), 26/3 menunggu boq kml terbaru dari sdi, 22/3 menunggu boq kml terbaru dari sdi, 18/3 plan survey setelah lebaran , 16/3 plan survey setelah lebaran , 26/2 drop dikarenakan prelim ke desa 11 jt, drop permintaan tsel ( cpp 11 jt), (07/01) Persiapan</v>
      </c>
      <c r="R10" s="103">
        <f>IFERROR(__xludf.DUMMYFUNCTION("""COMPUTED_VALUE"""),46139.0)</f>
        <v>46139</v>
      </c>
      <c r="S10" s="8" t="str">
        <f>IFERROR(__xludf.DUMMYFUNCTION("""COMPUTED_VALUE"""),"APR")</f>
        <v>APR</v>
      </c>
      <c r="T10" s="73"/>
      <c r="U10" s="8" t="str">
        <f>IFERROR(__xludf.DUMMYFUNCTION("""COMPUTED_VALUE"""),"W03-2261/2024")</f>
        <v>W03-2261/2024</v>
      </c>
      <c r="V10" s="1" t="str">
        <f>IFERROR(__xludf.DUMMYFUNCTION("""COMPUTED_VALUE"""),"29/Apr/2026")</f>
        <v>29/Apr/2026</v>
      </c>
      <c r="W10" s="55"/>
      <c r="X10" s="55" t="str">
        <f>IFERROR(__xludf.DUMMYFUNCTION("""COMPUTED_VALUE"""),"GOLIVE")</f>
        <v>GOLIVE</v>
      </c>
      <c r="Y10" s="55" t="str">
        <f>IFERROR(__xludf.DUMMYFUNCTION("""COMPUTED_VALUE"""),"DONE")</f>
        <v>DONE</v>
      </c>
      <c r="Z10" s="55" t="str">
        <f>IFERROR(__xludf.DUMMYFUNCTION("""COMPUTED_VALUE"""),"#N/A")</f>
        <v>#N/A</v>
      </c>
      <c r="AA10" s="55">
        <f>IFERROR(__xludf.DUMMYFUNCTION("""COMPUTED_VALUE"""),9.0)</f>
        <v>9</v>
      </c>
      <c r="AB10" s="55"/>
      <c r="AC10" s="55" t="str">
        <f>IFERROR(__xludf.DUMMYFUNCTION("""COMPUTED_VALUE"""),"9313750#9313755")</f>
        <v>9313750#9313755</v>
      </c>
      <c r="AD10" s="104">
        <f>IFERROR(__xludf.DUMMYFUNCTION("""COMPUTED_VALUE"""),72.0)</f>
        <v>72</v>
      </c>
      <c r="AE10" s="105">
        <f>IFERROR(__xludf.DUMMYFUNCTION("""COMPUTED_VALUE"""),46139.0)</f>
        <v>46139</v>
      </c>
      <c r="AF10" s="54" t="str">
        <f>IFERROR(__xludf.DUMMYFUNCTION("""COMPUTED_VALUE"""),"Draft BA DROP")</f>
        <v>Draft BA DROP</v>
      </c>
      <c r="AG10" s="54"/>
      <c r="AH10" s="54"/>
      <c r="AI10" s="55">
        <f t="shared" si="5"/>
        <v>0</v>
      </c>
      <c r="AJ10" s="56" t="str">
        <f t="shared" si="3"/>
        <v>not yet</v>
      </c>
      <c r="AL10" s="55"/>
      <c r="AM10" s="55"/>
      <c r="AN10" s="55"/>
      <c r="AO10" s="55"/>
      <c r="AP10" s="55"/>
      <c r="AQ10" s="55"/>
      <c r="AR10" s="106">
        <v>4.0</v>
      </c>
      <c r="AS10" s="107">
        <v>2026.0</v>
      </c>
      <c r="AT10" s="107">
        <v>1.2494439E7</v>
      </c>
      <c r="AU10" s="108" t="s">
        <v>66</v>
      </c>
      <c r="AV10" s="107" t="s">
        <v>43</v>
      </c>
      <c r="AW10" s="109" t="str">
        <f t="shared" si="6"/>
        <v>PEKANBARU </v>
      </c>
      <c r="AX10" s="107" t="s">
        <v>67</v>
      </c>
      <c r="AY10" s="107" t="s">
        <v>45</v>
      </c>
      <c r="AZ10" s="107" t="s">
        <v>68</v>
      </c>
      <c r="BA10" s="107" t="s">
        <v>47</v>
      </c>
      <c r="BB10" s="107">
        <v>12.0</v>
      </c>
      <c r="BC10" s="107">
        <v>96.0</v>
      </c>
      <c r="BD10" s="108" t="s">
        <v>69</v>
      </c>
      <c r="BE10" s="107" t="s">
        <v>70</v>
      </c>
      <c r="BF10" s="108" t="s">
        <v>71</v>
      </c>
      <c r="BG10" s="108" t="s">
        <v>72</v>
      </c>
      <c r="BH10" s="110" t="s">
        <v>52</v>
      </c>
      <c r="BI10" s="111">
        <v>46088.0</v>
      </c>
      <c r="BJ10" s="106"/>
      <c r="BK10" s="106" t="s">
        <v>1</v>
      </c>
      <c r="BL10" s="112">
        <v>136.0</v>
      </c>
      <c r="BS10" s="130" t="s">
        <v>59</v>
      </c>
      <c r="BT10" s="131">
        <v>855.0</v>
      </c>
      <c r="BU10" s="119">
        <f>SUMIFS(
'PT2 UNTSEL 2026'!$AS:$AS,
'PT2 UNTSEL 2026'!$AF:$AF,"Bukit tinggi",
'PT2 UNTSEL 2026'!$AZ:$AZ,"GO LIVE",
'PT2 UNTSEL 2026'!$T:$T,"&gt;="&amp;DATE(2026,3,1),
'PT2 UNTSEL 2026'!$T:$T,"&lt;"&amp;DATE(2026,4,1)
)</f>
        <v>72</v>
      </c>
      <c r="BV10" s="120">
        <f>BU10/BT10</f>
        <v>0.08421052632</v>
      </c>
      <c r="BW10" s="132">
        <v>5298.0</v>
      </c>
      <c r="BX10" s="119">
        <f>'REPORT GOLIVE JPP - OLO'!U9</f>
        <v>272</v>
      </c>
      <c r="BY10" s="120">
        <f>BX10/BW10</f>
        <v>0.05134012835</v>
      </c>
      <c r="BZ10" s="122">
        <f t="shared" ref="BZ10:CA10" si="9">BT10+BW10</f>
        <v>6153</v>
      </c>
      <c r="CA10" s="122">
        <f t="shared" si="9"/>
        <v>344</v>
      </c>
      <c r="CB10" s="123">
        <f>CA10/BZ10</f>
        <v>0.05590768731</v>
      </c>
      <c r="CD10" s="130" t="s">
        <v>59</v>
      </c>
      <c r="CE10" s="131">
        <v>4073.0</v>
      </c>
      <c r="CF10" s="119">
        <f>SUMIFS(
'PT2 UNTSEL 2026'!$AS:$AS,
'PT2 UNTSEL 2026'!$AF:$AF,"Bukit tinggi",
'PT2 UNTSEL 2026'!$AZ:$AZ,"GO LIVE")</f>
        <v>248</v>
      </c>
      <c r="CG10" s="120">
        <f>CF10/CE10</f>
        <v>0.06088877977</v>
      </c>
      <c r="CH10" s="132">
        <v>16636.0</v>
      </c>
      <c r="CI10" s="119">
        <f>SUMIFS(K6:K3194,H6:H3194,"bukit tinggi",R6:R3194,"golive")</f>
        <v>0</v>
      </c>
      <c r="CJ10" s="120">
        <f>CI10/CH10</f>
        <v>0</v>
      </c>
      <c r="CK10" s="122">
        <f t="shared" ref="CK10:CL10" si="10">CE10+CH10</f>
        <v>20709</v>
      </c>
      <c r="CL10" s="122">
        <f t="shared" si="10"/>
        <v>248</v>
      </c>
      <c r="CM10" s="123">
        <f>CL10/CK10</f>
        <v>0.0119754696</v>
      </c>
      <c r="CN10" s="64"/>
      <c r="CO10" s="64"/>
      <c r="CP10" s="64"/>
    </row>
    <row r="11" ht="18.0" hidden="1" customHeight="1">
      <c r="A11" s="1">
        <f>IFERROR(__xludf.DUMMYFUNCTION("""COMPUTED_VALUE"""),2026.0)</f>
        <v>2026</v>
      </c>
      <c r="B11" s="98">
        <f>IFERROR(__xludf.DUMMYFUNCTION("""COMPUTED_VALUE"""),1.1098751E7)</f>
        <v>11098751</v>
      </c>
      <c r="C11" s="1" t="str">
        <f>IFERROR(__xludf.DUMMYFUNCTION("""COMPUTED_VALUE"""),"SMU P7I1 ODC-GNT-FAK CLUST ULU GAJAH.")</f>
        <v>SMU P7I1 ODC-GNT-FAK CLUST ULU GAJAH.</v>
      </c>
      <c r="D11" s="1" t="str">
        <f>IFERROR(__xludf.DUMMYFUNCTION("""COMPUTED_VALUE"""),"REGIONAL I")</f>
        <v>REGIONAL I</v>
      </c>
      <c r="E11" s="1" t="str">
        <f>IFERROR(__xludf.DUMMYFUNCTION("""COMPUTED_VALUE"""),"SUMUT")</f>
        <v>SUMUT</v>
      </c>
      <c r="F11" s="1" t="str">
        <f>IFERROR(__xludf.DUMMYFUNCTION("""COMPUTED_VALUE"""),"GNT")</f>
        <v>GNT</v>
      </c>
      <c r="G11" s="1" t="str">
        <f>IFERROR(__xludf.DUMMYFUNCTION("""COMPUTED_VALUE"""),"SUMBAGUT")</f>
        <v>SUMBAGUT</v>
      </c>
      <c r="H11" s="1" t="str">
        <f>IFERROR(__xludf.DUMMYFUNCTION("""COMPUTED_VALUE"""),"RANTAU PRAPAT")</f>
        <v>RANTAU PRAPAT</v>
      </c>
      <c r="I11" s="1" t="str">
        <f>IFERROR(__xludf.DUMMYFUNCTION("""COMPUTED_VALUE"""),"Batch 1")</f>
        <v>Batch 1</v>
      </c>
      <c r="J11" s="99">
        <f>IFERROR(__xludf.DUMMYFUNCTION("""COMPUTED_VALUE"""),30.0)</f>
        <v>30</v>
      </c>
      <c r="K11" s="100">
        <f>IFERROR(__xludf.DUMMYFUNCTION("""COMPUTED_VALUE"""),240.0)</f>
        <v>240</v>
      </c>
      <c r="L11" s="101">
        <f>IFERROR(__xludf.DUMMYFUNCTION("""COMPUTED_VALUE"""),1466140.0)</f>
        <v>1466140</v>
      </c>
      <c r="M11" s="102">
        <f>IFERROR(__xludf.DUMMYFUNCTION("""COMPUTED_VALUE"""),3.51873529E8)</f>
        <v>351873529</v>
      </c>
      <c r="N11" s="1" t="str">
        <f>IFERROR(__xludf.DUMMYFUNCTION("""COMPUTED_VALUE"""),"PT SANGKURIANG CIPTA JAYA TEKNINDO")</f>
        <v>PT SANGKURIANG CIPTA JAYA TEKNINDO</v>
      </c>
      <c r="O11" s="1" t="str">
        <f>IFERROR(__xludf.DUMMYFUNCTION("""COMPUTED_VALUE"""),"0. DROP")</f>
        <v>0. DROP</v>
      </c>
      <c r="P11" s="1" t="str">
        <f>IFERROR(__xludf.DUMMYFUNCTION("""COMPUTED_VALUE"""),"0.2 Tidak Dapat Izin Warga/Kades/Lurah/Developer")</f>
        <v>0.2 Tidak Dapat Izin Warga/Kades/Lurah/Developer</v>
      </c>
      <c r="Q11" s="1" t="str">
        <f>IFERROR(__xludf.DUMMYFUNCTION("""COMPUTED_VALUE"""),"drop karena tidak ada nim order, drop  kendala project fo PSP584 drop,,  (07/01) Persiapan")</f>
        <v>drop karena tidak ada nim order, drop  kendala project fo PSP584 drop,,  (07/01) Persiapan</v>
      </c>
      <c r="R11" s="103"/>
      <c r="S11" s="8"/>
      <c r="T11" s="8"/>
      <c r="U11" s="8" t="str">
        <f>IFERROR(__xludf.DUMMYFUNCTION("""COMPUTED_VALUE"""),"W03-2366/2024")</f>
        <v>W03-2366/2024</v>
      </c>
      <c r="V11" s="1"/>
      <c r="W11" s="55"/>
      <c r="X11" s="55" t="str">
        <f>IFERROR(__xludf.DUMMYFUNCTION("""COMPUTED_VALUE"""),"BELUM GOLIVE")</f>
        <v>BELUM GOLIVE</v>
      </c>
      <c r="Y11" s="55"/>
      <c r="Z11" s="55" t="str">
        <f>IFERROR(__xludf.DUMMYFUNCTION("""COMPUTED_VALUE"""),"#N/A")</f>
        <v>#N/A</v>
      </c>
      <c r="AA11" s="55"/>
      <c r="AB11" s="55"/>
      <c r="AC11" s="55"/>
      <c r="AD11" s="104"/>
      <c r="AE11" s="105"/>
      <c r="AF11" s="54" t="str">
        <f>IFERROR(__xludf.DUMMYFUNCTION("""COMPUTED_VALUE"""),"Draft BA DROP")</f>
        <v>Draft BA DROP</v>
      </c>
      <c r="AG11" s="54"/>
      <c r="AH11" s="54"/>
      <c r="AI11" s="55" t="str">
        <f t="shared" si="5"/>
        <v/>
      </c>
      <c r="AJ11" s="56" t="str">
        <f t="shared" si="3"/>
        <v>not yet</v>
      </c>
      <c r="AL11" s="55"/>
      <c r="AM11" s="55"/>
      <c r="AN11" s="55"/>
      <c r="AO11" s="55"/>
      <c r="AP11" s="55"/>
      <c r="AQ11" s="55"/>
      <c r="AR11" s="106">
        <v>5.0</v>
      </c>
      <c r="AS11" s="107">
        <v>2026.0</v>
      </c>
      <c r="AT11" s="107">
        <v>1.2687799E7</v>
      </c>
      <c r="AU11" s="108" t="s">
        <v>73</v>
      </c>
      <c r="AV11" s="107" t="s">
        <v>43</v>
      </c>
      <c r="AW11" s="109" t="str">
        <f t="shared" si="6"/>
        <v>PEKANBARU </v>
      </c>
      <c r="AX11" s="107" t="s">
        <v>74</v>
      </c>
      <c r="AY11" s="107" t="s">
        <v>45</v>
      </c>
      <c r="AZ11" s="107" t="s">
        <v>68</v>
      </c>
      <c r="BA11" s="107" t="s">
        <v>47</v>
      </c>
      <c r="BB11" s="107">
        <v>5.0</v>
      </c>
      <c r="BC11" s="107">
        <v>40.0</v>
      </c>
      <c r="BD11" s="108" t="s">
        <v>75</v>
      </c>
      <c r="BE11" s="107" t="s">
        <v>70</v>
      </c>
      <c r="BF11" s="108" t="s">
        <v>76</v>
      </c>
      <c r="BG11" s="133"/>
      <c r="BH11" s="110" t="s">
        <v>52</v>
      </c>
      <c r="BI11" s="111">
        <v>46088.0</v>
      </c>
      <c r="BJ11" s="106"/>
      <c r="BK11" s="106" t="s">
        <v>1</v>
      </c>
      <c r="BL11" s="116"/>
      <c r="BS11" s="115"/>
      <c r="CD11" s="115"/>
      <c r="CN11" s="64"/>
      <c r="CO11" s="64"/>
      <c r="CP11" s="64"/>
    </row>
    <row r="12" ht="18.0" hidden="1" customHeight="1">
      <c r="A12" s="1">
        <f>IFERROR(__xludf.DUMMYFUNCTION("""COMPUTED_VALUE"""),2026.0)</f>
        <v>2026</v>
      </c>
      <c r="B12" s="98">
        <f>IFERROR(__xludf.DUMMYFUNCTION("""COMPUTED_VALUE"""),1.1113042E7)</f>
        <v>11113042</v>
      </c>
      <c r="C12" s="1" t="str">
        <f>IFERROR(__xludf.DUMMYFUNCTION("""COMPUTED_VALUE"""),"SMU-ODC-KBJ-FAE SUMUT_233")</f>
        <v>SMU-ODC-KBJ-FAE SUMUT_233</v>
      </c>
      <c r="D12" s="1" t="str">
        <f>IFERROR(__xludf.DUMMYFUNCTION("""COMPUTED_VALUE"""),"REGIONAL I")</f>
        <v>REGIONAL I</v>
      </c>
      <c r="E12" s="1" t="str">
        <f>IFERROR(__xludf.DUMMYFUNCTION("""COMPUTED_VALUE"""),"SUMUT")</f>
        <v>SUMUT</v>
      </c>
      <c r="F12" s="1" t="str">
        <f>IFERROR(__xludf.DUMMYFUNCTION("""COMPUTED_VALUE"""),"KBJ")</f>
        <v>KBJ</v>
      </c>
      <c r="G12" s="1" t="str">
        <f>IFERROR(__xludf.DUMMYFUNCTION("""COMPUTED_VALUE"""),"SUMBAGUT")</f>
        <v>SUMBAGUT</v>
      </c>
      <c r="H12" s="1" t="str">
        <f>IFERROR(__xludf.DUMMYFUNCTION("""COMPUTED_VALUE"""),"PEMATANG SIANTAR")</f>
        <v>PEMATANG SIANTAR</v>
      </c>
      <c r="I12" s="1" t="str">
        <f>IFERROR(__xludf.DUMMYFUNCTION("""COMPUTED_VALUE"""),"Batch 1")</f>
        <v>Batch 1</v>
      </c>
      <c r="J12" s="99">
        <f>IFERROR(__xludf.DUMMYFUNCTION("""COMPUTED_VALUE"""),7.0)</f>
        <v>7</v>
      </c>
      <c r="K12" s="100">
        <f>IFERROR(__xludf.DUMMYFUNCTION("""COMPUTED_VALUE"""),56.0)</f>
        <v>56</v>
      </c>
      <c r="L12" s="101">
        <f>IFERROR(__xludf.DUMMYFUNCTION("""COMPUTED_VALUE"""),686751.0)</f>
        <v>686751</v>
      </c>
      <c r="M12" s="102">
        <f>IFERROR(__xludf.DUMMYFUNCTION("""COMPUTED_VALUE"""),3.8458009E7)</f>
        <v>38458009</v>
      </c>
      <c r="N12" s="1" t="str">
        <f>IFERROR(__xludf.DUMMYFUNCTION("""COMPUTED_VALUE"""),"PT GARINDO TECHNO MANDIRI")</f>
        <v>PT GARINDO TECHNO MANDIRI</v>
      </c>
      <c r="O12" s="1" t="str">
        <f>IFERROR(__xludf.DUMMYFUNCTION("""COMPUTED_VALUE"""),"5. INSTALASI")</f>
        <v>5. INSTALASI</v>
      </c>
      <c r="P12" s="1" t="str">
        <f>IFERROR(__xludf.DUMMYFUNCTION("""COMPUTED_VALUE"""),"5.4 Proses Penanaman Tiang")</f>
        <v>5.4 Proses Penanaman Tiang</v>
      </c>
      <c r="Q12" s="1" t="str">
        <f>IFERROR(__xludf.DUMMYFUNCTION("""COMPUTED_VALUE"""),"27/4 proses tanam tiang 17 batang, ku 12 (750 belum progres, odp 7 belum progres,  24/4 (kenaikan nilai diatas 10 % dikarnakan ada nya perubahan titik plan brenching yg tidak sesuai dengan lapangan ) tim partial di lop kis ff, plan progres 25 april, 23/4 "&amp;"(kenaikan nilai diatas 10 % dikarnakan ada nya perubahan titik plan brenching yg tidak sesuai dengan lapangan ) tim partial di lop kis ff, plan progres 25 april,  22/4 tim partial di lop kis ff, 21/4 tim partial di lop sdk fac, 20/4 prepair tim untuk ambi"&amp;"l material tim partial di lop bst-fb, 16/4 plan pengambilan material jumat tgl 16 april, 15/4 plan pengambilan material jumat tgl 16 april, 14/4 plan pengambilan material jumat tgl 16 april, 13/4 proses input material di alista, , 9/4 menunggu boq kml sur"&amp;"vey dari mitra, 8/4 menunggu boq kml survey dari mitra, 6/4 plan submit boq kml survey hari ini, 5/4 menunggu boq kml survey (port mini olt full), 1/4 menunggu boq kml survey ( port mini olt full), 31/3 menunggu boq kml survey ( port mini olt full), 30/3 "&amp;"menunggu boq kml survey ( port mini olt full), 27/3 menunggu boq kml survey ( port mini olt full),  26/3 menunggu boq kml survey ( port mini olt full), 22/3 menunggu boq kml survey ( port mini olt full), 18/3 plan survey seletal lebaran, 16/3 plan besok s"&amp;"urvey 17 maret, 13/3 prepair tim untuk melakukan survey, 11/3 prepair tim untuk melakukan survey, 10/3 plan survey bsk tgl 11 maret, 6/3 plan bsk tgl 9  februari untuk melakukan survey,  5/3 plan bsk tgl 6 februari untuk melakukan survey, 4/3 plan bsk 5 f"&amp;"ebruari untuk melakukan survey,  3/3 prepair team untuk jadwal survey, 2/3 prepair team untuk jadwal survey , 27/2 prepair tim untuk survey plan tgl 28/2 ,  25/2 prepair tim untuk survey plan tgl 28/2 , 24/2 prepair team untuk suvrey kelokasi,  23/2 prepa"&amp;"ir team untuk suvrey kelokasi, 20/2 prepair team untuk suvrey kelokasi, 19/2 Mandor swakelola,  16/2 Mandor swakelola,  13/2 Mandor swakelola, 12/2 Mandor swakelola, 11/2 Mandor swakelola, 10/2 Mandor swakelola, 9/2 Mandor swakelola, 6/2 Mandor swakelola,"&amp;" 5/2 Mandor swakelola, 4/2 Mandor swakelola,  3/2 Mandor swakelola, 2/2 Mandor swakelola, 1/2 Mandor swakelola, 30/1 Mandor swakelola , 28/1 Mandor swakelola, 27/1 Mandor swakelola, 26/1 prepair team untuk surveysurvey kelokasi, 23/1 ogp survey,22/1 plan "&amp;"survey 23/1,  21/1 plan survey 23/1, 20/1 plan survey 23/1, 19/1 plan survey hari ini 19/1, 15/1 plan survey 19/1, 14/1 plan survey 23/1, 13/1 prepair team untuk penjadwalan survey,  (07/01) Persiapan")</f>
        <v>27/4 proses tanam tiang 17 batang, ku 12 (750 belum progres, odp 7 belum progres,  24/4 (kenaikan nilai diatas 10 % dikarnakan ada nya perubahan titik plan brenching yg tidak sesuai dengan lapangan ) tim partial di lop kis ff, plan progres 25 april, 23/4 (kenaikan nilai diatas 10 % dikarnakan ada nya perubahan titik plan brenching yg tidak sesuai dengan lapangan ) tim partial di lop kis ff, plan progres 25 april,  22/4 tim partial di lop kis ff, 21/4 tim partial di lop sdk fac, 20/4 prepair tim untuk ambil material tim partial di lop bst-fb, 16/4 plan pengambilan material jumat tgl 16 april, 15/4 plan pengambilan material jumat tgl 16 april, 14/4 plan pengambilan material jumat tgl 16 april, 13/4 proses input material di alista, , 9/4 menunggu boq kml survey dari mitra, 8/4 menunggu boq kml survey dari mitra, 6/4 plan submit boq kml survey hari ini, 5/4 menunggu boq kml survey (port mini olt full), 1/4 menunggu boq kml survey ( port mini olt full), 31/3 menunggu boq kml survey ( port mini olt full), 30/3 menunggu boq kml survey ( port mini olt full), 27/3 menunggu boq kml survey ( port mini olt full),  26/3 menunggu boq kml survey ( port mini olt full), 22/3 menunggu boq kml survey ( port mini olt full), 18/3 plan survey seletal lebaran, 16/3 plan besok survey 17 maret, 13/3 prepair tim untuk melakukan survey, 11/3 prepair tim untuk melakukan survey, 10/3 plan survey bsk tgl 11 maret, 6/3 plan bsk tgl 9  februari untuk melakukan survey,  5/3 plan bsk tgl 6 februari untuk melakukan survey, 4/3 plan bsk 5 februari untuk melakukan survey,  3/3 prepair team untuk jadwal survey, 2/3 prepair team untuk jadwal survey , 27/2 prepair tim untuk survey plan tgl 28/2 ,  25/2 prepair tim untuk survey plan tgl 28/2 , 24/2 prepair team untuk suvrey kelokasi,  23/2 prepair team untuk suvrey kelokasi, 20/2 prepair team untuk suvrey kelokasi, 19/2 Mandor swakelola,  16/2 Mandor swakelola,  13/2 Mandor swakelola, 12/2 Mandor swakelola, 11/2 Mandor swakelola, 10/2 Mandor swakelola, 9/2 Mandor swakelola, 6/2 Mandor swakelola, 5/2 Mandor swakelola, 4/2 Mandor swakelola,  3/2 Mandor swakelola, 2/2 Mandor swakelola, 1/2 Mandor swakelola, 30/1 Mandor swakelola , 28/1 Mandor swakelola, 27/1 Mandor swakelola, 26/1 prepair team untuk surveysurvey kelokasi, 23/1 ogp survey,22/1 plan survey 23/1,  21/1 plan survey 23/1, 20/1 plan survey 23/1, 19/1 plan survey hari ini 19/1, 15/1 plan survey 19/1, 14/1 plan survey 23/1, 13/1 prepair team untuk penjadwalan survey,  (07/01) Persiapan</v>
      </c>
      <c r="R12" s="103">
        <f>IFERROR(__xludf.DUMMYFUNCTION("""COMPUTED_VALUE"""),46142.0)</f>
        <v>46142</v>
      </c>
      <c r="S12" s="8"/>
      <c r="T12" s="73" t="str">
        <f>IFERROR(__xludf.DUMMYFUNCTION("""COMPUTED_VALUE"""),"P1")</f>
        <v>P1</v>
      </c>
      <c r="U12" s="8" t="str">
        <f>IFERROR(__xludf.DUMMYFUNCTION("""COMPUTED_VALUE"""),"TIF-1406/2026")</f>
        <v>TIF-1406/2026</v>
      </c>
      <c r="V12" s="1" t="str">
        <f>IFERROR(__xludf.DUMMYFUNCTION("""COMPUTED_VALUE"""),"28/Apr/2026")</f>
        <v>28/Apr/2026</v>
      </c>
      <c r="W12" s="55"/>
      <c r="X12" s="55" t="str">
        <f>IFERROR(__xludf.DUMMYFUNCTION("""COMPUTED_VALUE"""),"BELUM GOLIVE")</f>
        <v>BELUM GOLIVE</v>
      </c>
      <c r="Y12" s="55" t="str">
        <f>IFERROR(__xludf.DUMMYFUNCTION("""COMPUTED_VALUE"""),"Mini OLT Not Ready")</f>
        <v>Mini OLT Not Ready</v>
      </c>
      <c r="Z12" s="55" t="str">
        <f>IFERROR(__xludf.DUMMYFUNCTION("""COMPUTED_VALUE"""),"#N/A")</f>
        <v>#N/A</v>
      </c>
      <c r="AA12" s="55"/>
      <c r="AB12" s="55"/>
      <c r="AC12" s="55"/>
      <c r="AD12" s="104"/>
      <c r="AE12" s="105"/>
      <c r="AF12" s="54"/>
      <c r="AG12" s="54"/>
      <c r="AH12" s="54"/>
      <c r="AI12" s="55" t="str">
        <f t="shared" si="5"/>
        <v/>
      </c>
      <c r="AJ12" s="56" t="str">
        <f t="shared" si="3"/>
        <v>not yet</v>
      </c>
      <c r="AL12" s="55"/>
      <c r="AM12" s="55"/>
      <c r="AN12" s="55"/>
      <c r="AO12" s="55"/>
      <c r="AP12" s="55"/>
      <c r="AQ12" s="55"/>
      <c r="AR12" s="106">
        <v>6.0</v>
      </c>
      <c r="AS12" s="107">
        <v>2026.0</v>
      </c>
      <c r="AT12" s="107">
        <v>1.2742254E7</v>
      </c>
      <c r="AU12" s="108" t="s">
        <v>77</v>
      </c>
      <c r="AV12" s="107" t="s">
        <v>43</v>
      </c>
      <c r="AW12" s="109" t="str">
        <f t="shared" si="6"/>
        <v>BUKIT TINGGI</v>
      </c>
      <c r="AX12" s="107" t="s">
        <v>78</v>
      </c>
      <c r="AY12" s="107" t="s">
        <v>45</v>
      </c>
      <c r="AZ12" s="107" t="s">
        <v>59</v>
      </c>
      <c r="BA12" s="107" t="s">
        <v>47</v>
      </c>
      <c r="BB12" s="107">
        <v>6.0</v>
      </c>
      <c r="BC12" s="107">
        <v>48.0</v>
      </c>
      <c r="BD12" s="108" t="s">
        <v>79</v>
      </c>
      <c r="BE12" s="107" t="s">
        <v>49</v>
      </c>
      <c r="BF12" s="108" t="s">
        <v>50</v>
      </c>
      <c r="BG12" s="108" t="s">
        <v>80</v>
      </c>
      <c r="BH12" s="110" t="s">
        <v>52</v>
      </c>
      <c r="BI12" s="111">
        <v>46089.0</v>
      </c>
      <c r="BJ12" s="106"/>
      <c r="BK12" s="106" t="s">
        <v>1</v>
      </c>
      <c r="BL12" s="112">
        <v>96.0</v>
      </c>
      <c r="BS12" s="117" t="s">
        <v>62</v>
      </c>
      <c r="BT12" s="118">
        <v>855.0</v>
      </c>
      <c r="BU12" s="119">
        <f>SUMIFS(
'PT2 UNTSEL 2026'!$AS:$AS,
'PT2 UNTSEL 2026'!$AF:$AF,"dumai",
'PT2 UNTSEL 2026'!$AZ:$AZ,"GO LIVE",
'PT2 UNTSEL 2026'!$T:$T,"&gt;="&amp;DATE(2026,3,1),
'PT2 UNTSEL 2026'!$T:$T,"&lt;"&amp;DATE(2026,4,1)
)</f>
        <v>56</v>
      </c>
      <c r="BV12" s="120">
        <f>BU12/BT12</f>
        <v>0.06549707602</v>
      </c>
      <c r="BW12" s="121">
        <v>9777.0</v>
      </c>
      <c r="BX12" s="119">
        <f>'REPORT GOLIVE JPP - OLO'!U11</f>
        <v>688</v>
      </c>
      <c r="BY12" s="120">
        <f>BX12/BW12</f>
        <v>0.07036923392</v>
      </c>
      <c r="BZ12" s="122">
        <f t="shared" ref="BZ12:CA12" si="11">BT12+BW12</f>
        <v>10632</v>
      </c>
      <c r="CA12" s="122">
        <f t="shared" si="11"/>
        <v>744</v>
      </c>
      <c r="CB12" s="123">
        <f>CA12/BZ12</f>
        <v>0.06997742664</v>
      </c>
      <c r="CD12" s="117" t="s">
        <v>62</v>
      </c>
      <c r="CE12" s="118">
        <v>4073.0</v>
      </c>
      <c r="CF12" s="119">
        <f>SUMIFS(
'PT2 UNTSEL 2026'!$AS:$AS,
'PT2 UNTSEL 2026'!$AF:$AF,"dumai",
'PT2 UNTSEL 2026'!$AZ:$AZ,"GO LIVE")</f>
        <v>736</v>
      </c>
      <c r="CG12" s="120">
        <f>CF12/CE12</f>
        <v>0.1807021851</v>
      </c>
      <c r="CH12" s="121">
        <v>30701.0</v>
      </c>
      <c r="CI12" s="119">
        <f>SUMIFS(K8:K3194,H8:H3194,"dumai",R8:R3194,"golive")</f>
        <v>0</v>
      </c>
      <c r="CJ12" s="120">
        <f>CI12/CH12</f>
        <v>0</v>
      </c>
      <c r="CK12" s="122">
        <f t="shared" ref="CK12:CL12" si="12">CE12+CH12</f>
        <v>34774</v>
      </c>
      <c r="CL12" s="122">
        <f t="shared" si="12"/>
        <v>736</v>
      </c>
      <c r="CM12" s="123">
        <f>CL12/CK12</f>
        <v>0.0211652384</v>
      </c>
      <c r="CN12" s="64"/>
      <c r="CO12" s="64"/>
      <c r="CP12" s="64"/>
    </row>
    <row r="13" ht="18.0" hidden="1" customHeight="1">
      <c r="A13" s="1">
        <f>IFERROR(__xludf.DUMMYFUNCTION("""COMPUTED_VALUE"""),2026.0)</f>
        <v>2026</v>
      </c>
      <c r="B13" s="98">
        <f>IFERROR(__xludf.DUMMYFUNCTION("""COMPUTED_VALUE"""),1.1149875E7)</f>
        <v>11149875</v>
      </c>
      <c r="C13" s="1" t="str">
        <f>IFERROR(__xludf.DUMMYFUNCTION("""COMPUTED_VALUE"""),"SMU KPI-FAL CLUST PERUM GRIYA FATIH")</f>
        <v>SMU KPI-FAL CLUST PERUM GRIYA FATIH</v>
      </c>
      <c r="D13" s="1" t="str">
        <f>IFERROR(__xludf.DUMMYFUNCTION("""COMPUTED_VALUE"""),"REGIONAL I")</f>
        <v>REGIONAL I</v>
      </c>
      <c r="E13" s="1" t="str">
        <f>IFERROR(__xludf.DUMMYFUNCTION("""COMPUTED_VALUE"""),"SUMUT")</f>
        <v>SUMUT</v>
      </c>
      <c r="F13" s="1" t="str">
        <f>IFERROR(__xludf.DUMMYFUNCTION("""COMPUTED_VALUE"""),"KPI")</f>
        <v>KPI</v>
      </c>
      <c r="G13" s="1" t="str">
        <f>IFERROR(__xludf.DUMMYFUNCTION("""COMPUTED_VALUE"""),"SUMBAGUT")</f>
        <v>SUMBAGUT</v>
      </c>
      <c r="H13" s="1" t="str">
        <f>IFERROR(__xludf.DUMMYFUNCTION("""COMPUTED_VALUE"""),"RANTAU PRAPAT")</f>
        <v>RANTAU PRAPAT</v>
      </c>
      <c r="I13" s="1" t="str">
        <f>IFERROR(__xludf.DUMMYFUNCTION("""COMPUTED_VALUE"""),"Batch 1")</f>
        <v>Batch 1</v>
      </c>
      <c r="J13" s="99">
        <f>IFERROR(__xludf.DUMMYFUNCTION("""COMPUTED_VALUE"""),7.0)</f>
        <v>7</v>
      </c>
      <c r="K13" s="100">
        <f>IFERROR(__xludf.DUMMYFUNCTION("""COMPUTED_VALUE"""),56.0)</f>
        <v>56</v>
      </c>
      <c r="L13" s="101">
        <f>IFERROR(__xludf.DUMMYFUNCTION("""COMPUTED_VALUE"""),600453.0)</f>
        <v>600453</v>
      </c>
      <c r="M13" s="102">
        <f>IFERROR(__xludf.DUMMYFUNCTION("""COMPUTED_VALUE"""),3.3625353E7)</f>
        <v>33625353</v>
      </c>
      <c r="N13" s="1" t="str">
        <f>IFERROR(__xludf.DUMMYFUNCTION("""COMPUTED_VALUE"""),"PT PRIMA INDO SENTOSA")</f>
        <v>PT PRIMA INDO SENTOSA</v>
      </c>
      <c r="O13" s="1" t="str">
        <f>IFERROR(__xludf.DUMMYFUNCTION("""COMPUTED_VALUE"""),"0. DROP")</f>
        <v>0. DROP</v>
      </c>
      <c r="P13" s="1" t="str">
        <f>IFERROR(__xludf.DUMMYFUNCTION("""COMPUTED_VALUE"""),"0.2 Tidak Dapat Izin Warga/Kades/Lurah/Developer")</f>
        <v>0.2 Tidak Dapat Izin Warga/Kades/Lurah/Developer</v>
      </c>
      <c r="Q13" s="1" t="str">
        <f>IFERROR(__xludf.DUMMYFUNCTION("""COMPUTED_VALUE"""),"drop tidak dapat ijin  pihak developer) (07/01) Persiapan")</f>
        <v>drop tidak dapat ijin  pihak developer) (07/01) Persiapan</v>
      </c>
      <c r="R13" s="103"/>
      <c r="S13" s="8"/>
      <c r="T13" s="8"/>
      <c r="U13" s="8" t="str">
        <f>IFERROR(__xludf.DUMMYFUNCTION("""COMPUTED_VALUE"""),"DROP")</f>
        <v>DROP</v>
      </c>
      <c r="V13" s="1"/>
      <c r="W13" s="55"/>
      <c r="X13" s="55" t="str">
        <f>IFERROR(__xludf.DUMMYFUNCTION("""COMPUTED_VALUE"""),"BELUM GOLIVE")</f>
        <v>BELUM GOLIVE</v>
      </c>
      <c r="Y13" s="55"/>
      <c r="Z13" s="55" t="str">
        <f>IFERROR(__xludf.DUMMYFUNCTION("""COMPUTED_VALUE"""),"#N/A")</f>
        <v>#N/A</v>
      </c>
      <c r="AA13" s="55"/>
      <c r="AB13" s="55"/>
      <c r="AC13" s="55"/>
      <c r="AD13" s="104"/>
      <c r="AE13" s="105"/>
      <c r="AF13" s="54" t="str">
        <f>IFERROR(__xludf.DUMMYFUNCTION("""COMPUTED_VALUE"""),"Draft BA DROP")</f>
        <v>Draft BA DROP</v>
      </c>
      <c r="AG13" s="54"/>
      <c r="AH13" s="54"/>
      <c r="AI13" s="55" t="str">
        <f t="shared" si="5"/>
        <v/>
      </c>
      <c r="AJ13" s="56" t="str">
        <f t="shared" si="3"/>
        <v>not yet</v>
      </c>
      <c r="AL13" s="55"/>
      <c r="AM13" s="55"/>
      <c r="AN13" s="55"/>
      <c r="AO13" s="55"/>
      <c r="AP13" s="55"/>
      <c r="AQ13" s="55"/>
      <c r="AR13" s="106">
        <v>7.0</v>
      </c>
      <c r="AS13" s="107">
        <v>2026.0</v>
      </c>
      <c r="AT13" s="107">
        <v>1.1202007E7</v>
      </c>
      <c r="AU13" s="108" t="s">
        <v>82</v>
      </c>
      <c r="AV13" s="107" t="s">
        <v>43</v>
      </c>
      <c r="AW13" s="109" t="str">
        <f t="shared" si="6"/>
        <v>BATAM</v>
      </c>
      <c r="AX13" s="107" t="s">
        <v>83</v>
      </c>
      <c r="AY13" s="107" t="s">
        <v>45</v>
      </c>
      <c r="AZ13" s="107" t="s">
        <v>53</v>
      </c>
      <c r="BA13" s="107" t="s">
        <v>84</v>
      </c>
      <c r="BB13" s="107">
        <v>2.0</v>
      </c>
      <c r="BC13" s="107">
        <v>16.0</v>
      </c>
      <c r="BD13" s="108" t="s">
        <v>85</v>
      </c>
      <c r="BE13" s="107" t="s">
        <v>70</v>
      </c>
      <c r="BF13" s="108" t="s">
        <v>86</v>
      </c>
      <c r="BG13" s="108" t="s">
        <v>87</v>
      </c>
      <c r="BH13" s="110" t="s">
        <v>52</v>
      </c>
      <c r="BI13" s="111">
        <v>46089.0</v>
      </c>
      <c r="BJ13" s="106"/>
      <c r="BK13" s="106" t="s">
        <v>1</v>
      </c>
      <c r="BL13" s="94"/>
      <c r="BO13" s="134" t="s">
        <v>88</v>
      </c>
      <c r="BP13" s="135">
        <f t="shared" ref="BP13:BQ13" si="13">BB3</f>
        <v>8</v>
      </c>
      <c r="BQ13" s="135">
        <f t="shared" si="13"/>
        <v>64</v>
      </c>
      <c r="BS13" s="115"/>
      <c r="CD13" s="115"/>
      <c r="CN13" s="64"/>
      <c r="CO13" s="64"/>
      <c r="CP13" s="64"/>
    </row>
    <row r="14" ht="18.0" hidden="1" customHeight="1">
      <c r="A14" s="1">
        <f>IFERROR(__xludf.DUMMYFUNCTION("""COMPUTED_VALUE"""),2026.0)</f>
        <v>2026</v>
      </c>
      <c r="B14" s="98">
        <f>IFERROR(__xludf.DUMMYFUNCTION("""COMPUTED_VALUE"""),1.1170704E7)</f>
        <v>11170704</v>
      </c>
      <c r="C14" s="1" t="str">
        <f>IFERROR(__xludf.DUMMYFUNCTION("""COMPUTED_VALUE"""),"SMU TBT-FC D04 CLUST TAMBANGAN HULU")</f>
        <v>SMU TBT-FC D04 CLUST TAMBANGAN HULU</v>
      </c>
      <c r="D14" s="1" t="str">
        <f>IFERROR(__xludf.DUMMYFUNCTION("""COMPUTED_VALUE"""),"REGIONAL I")</f>
        <v>REGIONAL I</v>
      </c>
      <c r="E14" s="1" t="str">
        <f>IFERROR(__xludf.DUMMYFUNCTION("""COMPUTED_VALUE"""),"SUMUT")</f>
        <v>SUMUT</v>
      </c>
      <c r="F14" s="1" t="str">
        <f>IFERROR(__xludf.DUMMYFUNCTION("""COMPUTED_VALUE"""),"TBT")</f>
        <v>TBT</v>
      </c>
      <c r="G14" s="1" t="str">
        <f>IFERROR(__xludf.DUMMYFUNCTION("""COMPUTED_VALUE"""),"SUMBAGUT")</f>
        <v>SUMBAGUT</v>
      </c>
      <c r="H14" s="1" t="str">
        <f>IFERROR(__xludf.DUMMYFUNCTION("""COMPUTED_VALUE"""),"PEMATANG SIANTAR")</f>
        <v>PEMATANG SIANTAR</v>
      </c>
      <c r="I14" s="1" t="str">
        <f>IFERROR(__xludf.DUMMYFUNCTION("""COMPUTED_VALUE"""),"Batch 1")</f>
        <v>Batch 1</v>
      </c>
      <c r="J14" s="99">
        <f>IFERROR(__xludf.DUMMYFUNCTION("""COMPUTED_VALUE"""),2.0)</f>
        <v>2</v>
      </c>
      <c r="K14" s="100">
        <f>IFERROR(__xludf.DUMMYFUNCTION("""COMPUTED_VALUE"""),16.0)</f>
        <v>16</v>
      </c>
      <c r="L14" s="101">
        <f>IFERROR(__xludf.DUMMYFUNCTION("""COMPUTED_VALUE"""),331915.0)</f>
        <v>331915</v>
      </c>
      <c r="M14" s="102">
        <f>IFERROR(__xludf.DUMMYFUNCTION("""COMPUTED_VALUE"""),5310626.0)</f>
        <v>5310626</v>
      </c>
      <c r="N14" s="1" t="str">
        <f>IFERROR(__xludf.DUMMYFUNCTION("""COMPUTED_VALUE"""),"PT INTI SUKSES")</f>
        <v>PT INTI SUKSES</v>
      </c>
      <c r="O14" s="1" t="str">
        <f>IFERROR(__xludf.DUMMYFUNCTION("""COMPUTED_VALUE"""),"0. DROP")</f>
        <v>0. DROP</v>
      </c>
      <c r="P14" s="1" t="str">
        <f>IFERROR(__xludf.DUMMYFUNCTION("""COMPUTED_VALUE"""),"0.1 Double Order")</f>
        <v>0.1 Double Order</v>
      </c>
      <c r="Q14" s="1" t="str">
        <f>IFERROR(__xludf.DUMMYFUNCTION("""COMPUTED_VALUE"""),"drop sudah kordinasi dengan TIF kendala sudah tercover project  pt2 simple di titik yg sama . (07/01) Persiapan")</f>
        <v>drop sudah kordinasi dengan TIF kendala sudah tercover project  pt2 simple di titik yg sama . (07/01) Persiapan</v>
      </c>
      <c r="R14" s="103"/>
      <c r="S14" s="8"/>
      <c r="T14" s="8"/>
      <c r="U14" s="8" t="str">
        <f>IFERROR(__xludf.DUMMYFUNCTION("""COMPUTED_VALUE"""),"W03-344/2025")</f>
        <v>W03-344/2025</v>
      </c>
      <c r="V14" s="1"/>
      <c r="W14" s="55"/>
      <c r="X14" s="55" t="str">
        <f>IFERROR(__xludf.DUMMYFUNCTION("""COMPUTED_VALUE"""),"BELUM GOLIVE")</f>
        <v>BELUM GOLIVE</v>
      </c>
      <c r="Y14" s="55"/>
      <c r="Z14" s="55" t="str">
        <f>IFERROR(__xludf.DUMMYFUNCTION("""COMPUTED_VALUE"""),"#N/A")</f>
        <v>#N/A</v>
      </c>
      <c r="AA14" s="55"/>
      <c r="AB14" s="55"/>
      <c r="AC14" s="55"/>
      <c r="AD14" s="104"/>
      <c r="AE14" s="105"/>
      <c r="AF14" s="54" t="str">
        <f>IFERROR(__xludf.DUMMYFUNCTION("""COMPUTED_VALUE"""),"Draft BA DROP")</f>
        <v>Draft BA DROP</v>
      </c>
      <c r="AG14" s="54"/>
      <c r="AH14" s="54"/>
      <c r="AI14" s="55" t="str">
        <f t="shared" si="5"/>
        <v/>
      </c>
      <c r="AJ14" s="56" t="str">
        <f t="shared" si="3"/>
        <v>not yet</v>
      </c>
      <c r="AL14" s="55"/>
      <c r="AM14" s="55"/>
      <c r="AN14" s="55"/>
      <c r="AO14" s="55"/>
      <c r="AP14" s="55"/>
      <c r="AQ14" s="55"/>
      <c r="AR14" s="106">
        <v>8.0</v>
      </c>
      <c r="AS14" s="124">
        <v>2026.0</v>
      </c>
      <c r="AT14" s="124">
        <v>1.1902804E7</v>
      </c>
      <c r="AU14" s="125" t="s">
        <v>89</v>
      </c>
      <c r="AV14" s="126" t="s">
        <v>43</v>
      </c>
      <c r="AW14" s="127" t="str">
        <f t="shared" si="6"/>
        <v>BATAM</v>
      </c>
      <c r="AX14" s="124" t="s">
        <v>90</v>
      </c>
      <c r="AY14" s="124" t="s">
        <v>45</v>
      </c>
      <c r="AZ14" s="124" t="s">
        <v>53</v>
      </c>
      <c r="BA14" s="124" t="s">
        <v>84</v>
      </c>
      <c r="BB14" s="124">
        <v>1.0</v>
      </c>
      <c r="BC14" s="124">
        <v>8.0</v>
      </c>
      <c r="BD14" s="128" t="s">
        <v>91</v>
      </c>
      <c r="BE14" s="124" t="s">
        <v>92</v>
      </c>
      <c r="BF14" s="125" t="s">
        <v>93</v>
      </c>
      <c r="BG14" s="125" t="s">
        <v>94</v>
      </c>
      <c r="BH14" s="110" t="s">
        <v>52</v>
      </c>
      <c r="BI14" s="129">
        <v>46089.0</v>
      </c>
      <c r="BJ14" s="106"/>
      <c r="BK14" s="106"/>
      <c r="BL14" s="94"/>
      <c r="BO14" s="136" t="s">
        <v>95</v>
      </c>
      <c r="BP14" s="137">
        <f t="shared" ref="BP14:BQ14" si="14">BP12/BB3</f>
        <v>17.75</v>
      </c>
      <c r="BQ14" s="137">
        <f t="shared" si="14"/>
        <v>17.625</v>
      </c>
      <c r="BS14" s="117" t="s">
        <v>46</v>
      </c>
      <c r="BT14" s="118">
        <v>1140.0</v>
      </c>
      <c r="BU14" s="119">
        <f>SUMIFS(
'PT2 UNTSEL 2026'!$AS:$AS,
'PT2 UNTSEL 2026'!$AF:$AF,"padang",
'PT2 UNTSEL 2026'!$AZ:$AZ,"GO LIVE",
'PT2 UNTSEL 2026'!$T:$T,"&gt;="&amp;DATE(2026,3,1),
'PT2 UNTSEL 2026'!$T:$T,"&lt;"&amp;DATE(2026,4,1)
)</f>
        <v>72</v>
      </c>
      <c r="BV14" s="120">
        <f>BU14/BT14</f>
        <v>0.06315789474</v>
      </c>
      <c r="BW14" s="121">
        <v>3711.0</v>
      </c>
      <c r="BX14" s="119">
        <f>'REPORT GOLIVE JPP - OLO'!U13</f>
        <v>160</v>
      </c>
      <c r="BY14" s="120">
        <f>BX14/BW14</f>
        <v>0.04311506333</v>
      </c>
      <c r="BZ14" s="122">
        <f t="shared" ref="BZ14:CA14" si="15">BT14+BW14</f>
        <v>4851</v>
      </c>
      <c r="CA14" s="122">
        <f t="shared" si="15"/>
        <v>232</v>
      </c>
      <c r="CB14" s="123">
        <f>CA14/BZ14</f>
        <v>0.04782519068</v>
      </c>
      <c r="CD14" s="117" t="s">
        <v>46</v>
      </c>
      <c r="CE14" s="118">
        <v>5430.0</v>
      </c>
      <c r="CF14" s="119">
        <f>SUMIFS(
'PT2 UNTSEL 2026'!$AS:$AS,
'PT2 UNTSEL 2026'!$AF:$AF,"padang",
'PT2 UNTSEL 2026'!$AZ:$AZ,"GO LIVE")</f>
        <v>328</v>
      </c>
      <c r="CG14" s="120">
        <f>CF14/CE14</f>
        <v>0.06040515654</v>
      </c>
      <c r="CH14" s="121">
        <v>11653.0</v>
      </c>
      <c r="CI14" s="119">
        <f>SUMIFS(K10:K3194,H10:H3194,"padang",R10:R3194,"golive")</f>
        <v>0</v>
      </c>
      <c r="CJ14" s="120">
        <f>CI14/CH14</f>
        <v>0</v>
      </c>
      <c r="CK14" s="122">
        <f t="shared" ref="CK14:CL14" si="16">CE14+CH14</f>
        <v>17083</v>
      </c>
      <c r="CL14" s="122">
        <f t="shared" si="16"/>
        <v>328</v>
      </c>
      <c r="CM14" s="123">
        <f>CL14/CK14</f>
        <v>0.01920037464</v>
      </c>
      <c r="CN14" s="64"/>
      <c r="CO14" s="64"/>
      <c r="CP14" s="64"/>
    </row>
    <row r="15" ht="18.0" hidden="1" customHeight="1">
      <c r="A15" s="1">
        <f>IFERROR(__xludf.DUMMYFUNCTION("""COMPUTED_VALUE"""),2026.0)</f>
        <v>2026</v>
      </c>
      <c r="B15" s="98">
        <f>IFERROR(__xludf.DUMMYFUNCTION("""COMPUTED_VALUE"""),1.1187422E7)</f>
        <v>11187422</v>
      </c>
      <c r="C15" s="1" t="str">
        <f>IFERROR(__xludf.DUMMYFUNCTION("""COMPUTED_VALUE"""),"MDN PT3 P7I11 GLG-FC JL.ASRAMA KODAM")</f>
        <v>MDN PT3 P7I11 GLG-FC JL.ASRAMA KODAM</v>
      </c>
      <c r="D15" s="1" t="str">
        <f>IFERROR(__xludf.DUMMYFUNCTION("""COMPUTED_VALUE"""),"REGIONAL I")</f>
        <v>REGIONAL I</v>
      </c>
      <c r="E15" s="1" t="str">
        <f>IFERROR(__xludf.DUMMYFUNCTION("""COMPUTED_VALUE"""),"MEDAN")</f>
        <v>MEDAN</v>
      </c>
      <c r="F15" s="1" t="str">
        <f>IFERROR(__xludf.DUMMYFUNCTION("""COMPUTED_VALUE"""),"GLG")</f>
        <v>GLG</v>
      </c>
      <c r="G15" s="1" t="str">
        <f>IFERROR(__xludf.DUMMYFUNCTION("""COMPUTED_VALUE"""),"SUMBAGUT")</f>
        <v>SUMBAGUT</v>
      </c>
      <c r="H15" s="1" t="str">
        <f>IFERROR(__xludf.DUMMYFUNCTION("""COMPUTED_VALUE"""),"MEDAN")</f>
        <v>MEDAN</v>
      </c>
      <c r="I15" s="1" t="str">
        <f>IFERROR(__xludf.DUMMYFUNCTION("""COMPUTED_VALUE"""),"Batch 1")</f>
        <v>Batch 1</v>
      </c>
      <c r="J15" s="99">
        <f>IFERROR(__xludf.DUMMYFUNCTION("""COMPUTED_VALUE"""),2.0)</f>
        <v>2</v>
      </c>
      <c r="K15" s="100">
        <f>IFERROR(__xludf.DUMMYFUNCTION("""COMPUTED_VALUE"""),16.0)</f>
        <v>16</v>
      </c>
      <c r="L15" s="101">
        <f>IFERROR(__xludf.DUMMYFUNCTION("""COMPUTED_VALUE"""),902947.0)</f>
        <v>902947</v>
      </c>
      <c r="M15" s="102">
        <f>IFERROR(__xludf.DUMMYFUNCTION("""COMPUTED_VALUE"""),1.4447144E7)</f>
        <v>14447144</v>
      </c>
      <c r="N15" s="1" t="str">
        <f>IFERROR(__xludf.DUMMYFUNCTION("""COMPUTED_VALUE"""),"PT BONGKAR SEJATI ANDALAN")</f>
        <v>PT BONGKAR SEJATI ANDALAN</v>
      </c>
      <c r="O15" s="1" t="str">
        <f>IFERROR(__xludf.DUMMYFUNCTION("""COMPUTED_VALUE"""),"2. DONE AANWIJZING")</f>
        <v>2. DONE AANWIJZING</v>
      </c>
      <c r="P15" s="1" t="str">
        <f>IFERROR(__xludf.DUMMYFUNCTION("""COMPUTED_VALUE"""),"2.10 Kendala - Feeder Rusak")</f>
        <v>2.10 Kendala - Feeder Rusak</v>
      </c>
      <c r="Q15" s="1" t="str">
        <f>IFERROR(__xludf.DUMMYFUNCTION("""COMPUTED_VALUE"""),"20/04 pengecekan tipus/butuh qe
01/04 GLG-FC feeder redti
27/01 order mitra
(07/01) Persiapan")</f>
        <v>20/04 pengecekan tipus/butuh qe
01/04 GLG-FC feeder redti
27/01 order mitra
(07/01) Persiapan</v>
      </c>
      <c r="R15" s="103"/>
      <c r="S15" s="8"/>
      <c r="T15" s="8"/>
      <c r="U15" s="8"/>
      <c r="V15" s="1"/>
      <c r="W15" s="55"/>
      <c r="X15" s="55" t="str">
        <f>IFERROR(__xludf.DUMMYFUNCTION("""COMPUTED_VALUE"""),"BELUM GOLIVE")</f>
        <v>BELUM GOLIVE</v>
      </c>
      <c r="Y15" s="55"/>
      <c r="Z15" s="55" t="str">
        <f>IFERROR(__xludf.DUMMYFUNCTION("""COMPUTED_VALUE"""),"#N/A")</f>
        <v>#N/A</v>
      </c>
      <c r="AA15" s="55"/>
      <c r="AB15" s="55"/>
      <c r="AC15" s="55"/>
      <c r="AD15" s="104"/>
      <c r="AE15" s="105"/>
      <c r="AF15" s="54"/>
      <c r="AG15" s="54"/>
      <c r="AH15" s="54"/>
      <c r="AI15" s="55" t="str">
        <f t="shared" si="5"/>
        <v/>
      </c>
      <c r="AJ15" s="56" t="str">
        <f t="shared" si="3"/>
        <v>not yet</v>
      </c>
      <c r="AL15" s="55"/>
      <c r="AM15" s="55"/>
      <c r="AN15" s="55"/>
      <c r="AO15" s="55"/>
      <c r="AP15" s="55"/>
      <c r="AQ15" s="55"/>
      <c r="AR15" s="106">
        <v>9.0</v>
      </c>
      <c r="AS15" s="107">
        <v>2026.0</v>
      </c>
      <c r="AT15" s="107">
        <v>1.2551223E7</v>
      </c>
      <c r="AU15" s="108" t="s">
        <v>96</v>
      </c>
      <c r="AV15" s="107" t="s">
        <v>43</v>
      </c>
      <c r="AW15" s="109" t="str">
        <f t="shared" si="6"/>
        <v>BATAM</v>
      </c>
      <c r="AX15" s="110" t="s">
        <v>97</v>
      </c>
      <c r="AY15" s="107" t="s">
        <v>45</v>
      </c>
      <c r="AZ15" s="107" t="s">
        <v>53</v>
      </c>
      <c r="BA15" s="107" t="s">
        <v>47</v>
      </c>
      <c r="BB15" s="107">
        <v>3.0</v>
      </c>
      <c r="BC15" s="107">
        <v>24.0</v>
      </c>
      <c r="BD15" s="108" t="s">
        <v>98</v>
      </c>
      <c r="BE15" s="107" t="s">
        <v>49</v>
      </c>
      <c r="BF15" s="108" t="s">
        <v>57</v>
      </c>
      <c r="BG15" s="108" t="s">
        <v>99</v>
      </c>
      <c r="BH15" s="110" t="s">
        <v>52</v>
      </c>
      <c r="BI15" s="111">
        <v>46089.0</v>
      </c>
      <c r="BJ15" s="106"/>
      <c r="BK15" s="106" t="s">
        <v>1</v>
      </c>
      <c r="BL15" s="116"/>
      <c r="BP15" s="11"/>
      <c r="BQ15" s="11"/>
      <c r="BS15" s="115"/>
      <c r="CD15" s="115"/>
      <c r="CN15" s="64"/>
      <c r="CO15" s="64"/>
      <c r="CP15" s="64"/>
    </row>
    <row r="16" ht="18.0" hidden="1" customHeight="1">
      <c r="A16" s="1">
        <f>IFERROR(__xludf.DUMMYFUNCTION("""COMPUTED_VALUE"""),2026.0)</f>
        <v>2026</v>
      </c>
      <c r="B16" s="98">
        <f>IFERROR(__xludf.DUMMYFUNCTION("""COMPUTED_VALUE"""),1.1188922E7)</f>
        <v>11188922</v>
      </c>
      <c r="C16" s="1" t="str">
        <f>IFERROR(__xludf.DUMMYFUNCTION("""COMPUTED_VALUE"""),"MDN PT3 P7I10 TJR-FA JL.JAYA")</f>
        <v>MDN PT3 P7I10 TJR-FA JL.JAYA</v>
      </c>
      <c r="D16" s="1" t="str">
        <f>IFERROR(__xludf.DUMMYFUNCTION("""COMPUTED_VALUE"""),"REGIONAL I")</f>
        <v>REGIONAL I</v>
      </c>
      <c r="E16" s="1" t="str">
        <f>IFERROR(__xludf.DUMMYFUNCTION("""COMPUTED_VALUE"""),"MEDAN")</f>
        <v>MEDAN</v>
      </c>
      <c r="F16" s="1" t="str">
        <f>IFERROR(__xludf.DUMMYFUNCTION("""COMPUTED_VALUE"""),"TJR")</f>
        <v>TJR</v>
      </c>
      <c r="G16" s="1" t="str">
        <f>IFERROR(__xludf.DUMMYFUNCTION("""COMPUTED_VALUE"""),"SUMBAGUT")</f>
        <v>SUMBAGUT</v>
      </c>
      <c r="H16" s="1" t="str">
        <f>IFERROR(__xludf.DUMMYFUNCTION("""COMPUTED_VALUE"""),"MEDAN")</f>
        <v>MEDAN</v>
      </c>
      <c r="I16" s="1" t="str">
        <f>IFERROR(__xludf.DUMMYFUNCTION("""COMPUTED_VALUE"""),"Batch 1")</f>
        <v>Batch 1</v>
      </c>
      <c r="J16" s="99">
        <f>IFERROR(__xludf.DUMMYFUNCTION("""COMPUTED_VALUE"""),4.0)</f>
        <v>4</v>
      </c>
      <c r="K16" s="100">
        <f>IFERROR(__xludf.DUMMYFUNCTION("""COMPUTED_VALUE"""),32.0)</f>
        <v>32</v>
      </c>
      <c r="L16" s="101">
        <f>IFERROR(__xludf.DUMMYFUNCTION("""COMPUTED_VALUE"""),977883.0)</f>
        <v>977883</v>
      </c>
      <c r="M16" s="102">
        <f>IFERROR(__xludf.DUMMYFUNCTION("""COMPUTED_VALUE"""),3.129224E7)</f>
        <v>31292240</v>
      </c>
      <c r="N16" s="1" t="str">
        <f>IFERROR(__xludf.DUMMYFUNCTION("""COMPUTED_VALUE"""),"PT UPAYA TEKNIK")</f>
        <v>PT UPAYA TEKNIK</v>
      </c>
      <c r="O16" s="1" t="str">
        <f>IFERROR(__xludf.DUMMYFUNCTION("""COMPUTED_VALUE"""),"3. PERIZINAN")</f>
        <v>3. PERIZINAN</v>
      </c>
      <c r="P16" s="1" t="str">
        <f>IFERROR(__xludf.DUMMYFUNCTION("""COMPUTED_VALUE"""),"3.9 Izin Kades / Lurah / RTRW")</f>
        <v>3.9 Izin Kades / Lurah / RTRW</v>
      </c>
      <c r="Q16" s="1" t="str">
        <f>IFERROR(__xludf.DUMMYFUNCTION("""COMPUTED_VALUE"""),"21/04 OGP perizinan 
31/03 menunggu info keputusan desa (01/04) 20/02 fedeer ok, D09 ok
(07/01) Persiapan")</f>
        <v>21/04 OGP perizinan 
31/03 menunggu info keputusan desa (01/04) 20/02 fedeer ok, D09 ok
(07/01) Persiapan</v>
      </c>
      <c r="R16" s="103"/>
      <c r="S16" s="8"/>
      <c r="T16" s="73"/>
      <c r="U16" s="8"/>
      <c r="V16" s="1" t="str">
        <f>IFERROR(__xludf.DUMMYFUNCTION("""COMPUTED_VALUE"""),"28/Apr/2026")</f>
        <v>28/Apr/2026</v>
      </c>
      <c r="W16" s="55"/>
      <c r="X16" s="55" t="str">
        <f>IFERROR(__xludf.DUMMYFUNCTION("""COMPUTED_VALUE"""),"BELUM GOLIVE")</f>
        <v>BELUM GOLIVE</v>
      </c>
      <c r="Y16" s="55"/>
      <c r="Z16" s="55" t="str">
        <f>IFERROR(__xludf.DUMMYFUNCTION("""COMPUTED_VALUE"""),"#N/A")</f>
        <v>#N/A</v>
      </c>
      <c r="AA16" s="55"/>
      <c r="AB16" s="55"/>
      <c r="AC16" s="55"/>
      <c r="AD16" s="104"/>
      <c r="AE16" s="105"/>
      <c r="AF16" s="54"/>
      <c r="AG16" s="54"/>
      <c r="AH16" s="54"/>
      <c r="AI16" s="55" t="str">
        <f t="shared" si="5"/>
        <v/>
      </c>
      <c r="AJ16" s="56" t="str">
        <f t="shared" si="3"/>
        <v>not yet</v>
      </c>
      <c r="AL16" s="55"/>
      <c r="AM16" s="55"/>
      <c r="AN16" s="55"/>
      <c r="AO16" s="55"/>
      <c r="AP16" s="55"/>
      <c r="AQ16" s="55"/>
      <c r="AR16" s="106">
        <v>10.0</v>
      </c>
      <c r="AS16" s="107">
        <v>2026.0</v>
      </c>
      <c r="AT16" s="107">
        <v>1.137952E7</v>
      </c>
      <c r="AU16" s="108" t="s">
        <v>100</v>
      </c>
      <c r="AV16" s="107" t="s">
        <v>43</v>
      </c>
      <c r="AW16" s="109" t="str">
        <f t="shared" si="6"/>
        <v>DUMAI</v>
      </c>
      <c r="AX16" s="107" t="s">
        <v>101</v>
      </c>
      <c r="AY16" s="107" t="s">
        <v>45</v>
      </c>
      <c r="AZ16" s="107" t="s">
        <v>62</v>
      </c>
      <c r="BA16" s="107" t="s">
        <v>84</v>
      </c>
      <c r="BB16" s="107">
        <v>23.0</v>
      </c>
      <c r="BC16" s="107">
        <v>184.0</v>
      </c>
      <c r="BD16" s="108" t="s">
        <v>102</v>
      </c>
      <c r="BE16" s="107" t="s">
        <v>49</v>
      </c>
      <c r="BF16" s="108" t="s">
        <v>64</v>
      </c>
      <c r="BG16" s="108" t="s">
        <v>103</v>
      </c>
      <c r="BH16" s="110" t="s">
        <v>52</v>
      </c>
      <c r="BI16" s="111">
        <v>46090.0</v>
      </c>
      <c r="BJ16" s="106"/>
      <c r="BK16" s="106" t="s">
        <v>1</v>
      </c>
      <c r="BL16" s="112">
        <v>544.0</v>
      </c>
      <c r="BP16" s="11"/>
      <c r="BQ16" s="11"/>
      <c r="BS16" s="117" t="s">
        <v>68</v>
      </c>
      <c r="BT16" s="118">
        <v>2137.0</v>
      </c>
      <c r="BU16" s="119">
        <f>SUMIFS(
'PT2 UNTSEL 2026'!$AS:$AS,
'PT2 UNTSEL 2026'!$AF:$AF,"pekanbaru",
'PT2 UNTSEL 2026'!$AZ:$AZ,"GO LIVE",
'PT2 UNTSEL 2026'!$T:$T,"&gt;="&amp;DATE(2026,3,1),
'PT2 UNTSEL 2026'!$T:$T,"&lt;"&amp;DATE(2026,4,1)
)</f>
        <v>8</v>
      </c>
      <c r="BV16" s="120">
        <f>BU16/BT16</f>
        <v>0.003743565746</v>
      </c>
      <c r="BW16" s="121">
        <v>640.0</v>
      </c>
      <c r="BX16" s="119">
        <f>'REPORT GOLIVE JPP - OLO'!U15</f>
        <v>136</v>
      </c>
      <c r="BY16" s="120">
        <f>BX16/BW16</f>
        <v>0.2125</v>
      </c>
      <c r="BZ16" s="122">
        <f t="shared" ref="BZ16:CA16" si="17">BT16+BW16</f>
        <v>2777</v>
      </c>
      <c r="CA16" s="122">
        <f t="shared" si="17"/>
        <v>144</v>
      </c>
      <c r="CB16" s="123">
        <f>CA16/BZ16</f>
        <v>0.05185451927</v>
      </c>
      <c r="CD16" s="117" t="s">
        <v>68</v>
      </c>
      <c r="CE16" s="118">
        <v>10181.0</v>
      </c>
      <c r="CF16" s="119">
        <f>SUMIFS(
'PT2 UNTSEL 2026'!$AS:$AS,
'PT2 UNTSEL 2026'!$AF:$AF,"pekanbaru",
'PT2 UNTSEL 2026'!$AZ:$AZ,"GO LIVE")</f>
        <v>232</v>
      </c>
      <c r="CG16" s="120">
        <f>CF16/CE16</f>
        <v>0.02278754543</v>
      </c>
      <c r="CH16" s="121">
        <v>2010.0</v>
      </c>
      <c r="CI16" s="119">
        <f>SUMIFS(K12:K3194,H12:H3194,"pekanbaru",R12:R3194,"golive")</f>
        <v>0</v>
      </c>
      <c r="CJ16" s="120">
        <f>CI16/CH16</f>
        <v>0</v>
      </c>
      <c r="CK16" s="122">
        <f t="shared" ref="CK16:CL16" si="18">CE16+CH16</f>
        <v>12191</v>
      </c>
      <c r="CL16" s="122">
        <f t="shared" si="18"/>
        <v>232</v>
      </c>
      <c r="CM16" s="123">
        <f>CL16/CK16</f>
        <v>0.01903043229</v>
      </c>
      <c r="CN16" s="64"/>
      <c r="CO16" s="64"/>
      <c r="CP16" s="64"/>
    </row>
    <row r="17" ht="18.0" hidden="1" customHeight="1">
      <c r="A17" s="1">
        <f>IFERROR(__xludf.DUMMYFUNCTION("""COMPUTED_VALUE"""),2026.0)</f>
        <v>2026</v>
      </c>
      <c r="B17" s="98">
        <f>IFERROR(__xludf.DUMMYFUNCTION("""COMPUTED_VALUE"""),1.1220046E7)</f>
        <v>11220046</v>
      </c>
      <c r="C17" s="1" t="str">
        <f>IFERROR(__xludf.DUMMYFUNCTION("""COMPUTED_VALUE"""),"MDN PT3 PER-FK DESA TUALANG PERBAUNGAN")</f>
        <v>MDN PT3 PER-FK DESA TUALANG PERBAUNGAN</v>
      </c>
      <c r="D17" s="1" t="str">
        <f>IFERROR(__xludf.DUMMYFUNCTION("""COMPUTED_VALUE"""),"REGIONAL I")</f>
        <v>REGIONAL I</v>
      </c>
      <c r="E17" s="1" t="str">
        <f>IFERROR(__xludf.DUMMYFUNCTION("""COMPUTED_VALUE"""),"MEDAN")</f>
        <v>MEDAN</v>
      </c>
      <c r="F17" s="1" t="str">
        <f>IFERROR(__xludf.DUMMYFUNCTION("""COMPUTED_VALUE"""),"PER")</f>
        <v>PER</v>
      </c>
      <c r="G17" s="1" t="str">
        <f>IFERROR(__xludf.DUMMYFUNCTION("""COMPUTED_VALUE"""),"SUMBAGUT")</f>
        <v>SUMBAGUT</v>
      </c>
      <c r="H17" s="1" t="str">
        <f>IFERROR(__xludf.DUMMYFUNCTION("""COMPUTED_VALUE"""),"PEMATANG SIANTAR")</f>
        <v>PEMATANG SIANTAR</v>
      </c>
      <c r="I17" s="1" t="str">
        <f>IFERROR(__xludf.DUMMYFUNCTION("""COMPUTED_VALUE"""),"Batch 1")</f>
        <v>Batch 1</v>
      </c>
      <c r="J17" s="99">
        <f>IFERROR(__xludf.DUMMYFUNCTION("""COMPUTED_VALUE"""),3.0)</f>
        <v>3</v>
      </c>
      <c r="K17" s="100">
        <f>IFERROR(__xludf.DUMMYFUNCTION("""COMPUTED_VALUE"""),24.0)</f>
        <v>24</v>
      </c>
      <c r="L17" s="101">
        <f>IFERROR(__xludf.DUMMYFUNCTION("""COMPUTED_VALUE"""),1282594.0)</f>
        <v>1282594</v>
      </c>
      <c r="M17" s="102">
        <f>IFERROR(__xludf.DUMMYFUNCTION("""COMPUTED_VALUE"""),3.0782233E7)</f>
        <v>30782233</v>
      </c>
      <c r="N17" s="1" t="str">
        <f>IFERROR(__xludf.DUMMYFUNCTION("""COMPUTED_VALUE"""),"PT INNANDA INDAH")</f>
        <v>PT INNANDA INDAH</v>
      </c>
      <c r="O17" s="1" t="str">
        <f>IFERROR(__xludf.DUMMYFUNCTION("""COMPUTED_VALUE"""),"0. DROP")</f>
        <v>0. DROP</v>
      </c>
      <c r="P17" s="1" t="str">
        <f>IFERROR(__xludf.DUMMYFUNCTION("""COMPUTED_VALUE"""),"0.4 CPP Tinggi Acc ED TIF")</f>
        <v>0.4 CPP Tinggi Acc ED TIF</v>
      </c>
      <c r="Q17" s="1" t="str">
        <f>IFERROR(__xludf.DUMMYFUNCTION("""COMPUTED_VALUE"""),"09/02 proses perizinan desa
(07/01) Persiapan")</f>
        <v>09/02 proses perizinan desa
(07/01) Persiapan</v>
      </c>
      <c r="R17" s="103"/>
      <c r="S17" s="8"/>
      <c r="T17" s="8"/>
      <c r="U17" s="8"/>
      <c r="V17" s="1"/>
      <c r="W17" s="55"/>
      <c r="X17" s="55" t="str">
        <f>IFERROR(__xludf.DUMMYFUNCTION("""COMPUTED_VALUE"""),"BELUM GOLIVE")</f>
        <v>BELUM GOLIVE</v>
      </c>
      <c r="Y17" s="55"/>
      <c r="Z17" s="55" t="str">
        <f>IFERROR(__xludf.DUMMYFUNCTION("""COMPUTED_VALUE"""),"#N/A")</f>
        <v>#N/A</v>
      </c>
      <c r="AA17" s="55"/>
      <c r="AB17" s="55"/>
      <c r="AC17" s="55"/>
      <c r="AD17" s="104"/>
      <c r="AE17" s="105"/>
      <c r="AF17" s="54" t="str">
        <f>IFERROR(__xludf.DUMMYFUNCTION("""COMPUTED_VALUE"""),"Draft BA DROP")</f>
        <v>Draft BA DROP</v>
      </c>
      <c r="AG17" s="54"/>
      <c r="AH17" s="54"/>
      <c r="AI17" s="55" t="str">
        <f t="shared" si="5"/>
        <v/>
      </c>
      <c r="AJ17" s="56" t="str">
        <f t="shared" si="3"/>
        <v>not yet</v>
      </c>
      <c r="AL17" s="55"/>
      <c r="AM17" s="55"/>
      <c r="AN17" s="55"/>
      <c r="AO17" s="55"/>
      <c r="AP17" s="55"/>
      <c r="AQ17" s="55"/>
      <c r="AR17" s="106">
        <v>11.0</v>
      </c>
      <c r="AS17" s="124">
        <v>2026.0</v>
      </c>
      <c r="AT17" s="124">
        <v>1.1417924E7</v>
      </c>
      <c r="AU17" s="125" t="s">
        <v>104</v>
      </c>
      <c r="AV17" s="126" t="s">
        <v>43</v>
      </c>
      <c r="AW17" s="127" t="str">
        <f t="shared" si="6"/>
        <v>PEKANBARU </v>
      </c>
      <c r="AX17" s="124" t="s">
        <v>105</v>
      </c>
      <c r="AY17" s="124" t="s">
        <v>45</v>
      </c>
      <c r="AZ17" s="124" t="s">
        <v>68</v>
      </c>
      <c r="BA17" s="124" t="s">
        <v>84</v>
      </c>
      <c r="BB17" s="124">
        <v>19.0</v>
      </c>
      <c r="BC17" s="124">
        <v>160.0</v>
      </c>
      <c r="BD17" s="128" t="s">
        <v>106</v>
      </c>
      <c r="BE17" s="124" t="s">
        <v>70</v>
      </c>
      <c r="BF17" s="125" t="s">
        <v>71</v>
      </c>
      <c r="BG17" s="125" t="s">
        <v>107</v>
      </c>
      <c r="BH17" s="110" t="s">
        <v>52</v>
      </c>
      <c r="BI17" s="129">
        <v>46090.0</v>
      </c>
      <c r="BJ17" s="106"/>
      <c r="BK17" s="106"/>
      <c r="BL17" s="94"/>
      <c r="BS17" s="115"/>
      <c r="CD17" s="115"/>
      <c r="CN17" s="64"/>
      <c r="CO17" s="64"/>
      <c r="CP17" s="64"/>
    </row>
    <row r="18" ht="29.25" hidden="1" customHeight="1">
      <c r="A18" s="138">
        <f>IFERROR(__xludf.DUMMYFUNCTION("""COMPUTED_VALUE"""),2026.0)</f>
        <v>2026</v>
      </c>
      <c r="B18" s="139">
        <f>IFERROR(__xludf.DUMMYFUNCTION("""COMPUTED_VALUE"""),1.1220047E7)</f>
        <v>11220047</v>
      </c>
      <c r="C18" s="138" t="str">
        <f>IFERROR(__xludf.DUMMYFUNCTION("""COMPUTED_VALUE"""),"MDN PT3 PER-FK DESA MELATI PERBAUNGAN")</f>
        <v>MDN PT3 PER-FK DESA MELATI PERBAUNGAN</v>
      </c>
      <c r="D18" s="138" t="str">
        <f>IFERROR(__xludf.DUMMYFUNCTION("""COMPUTED_VALUE"""),"REGIONAL I")</f>
        <v>REGIONAL I</v>
      </c>
      <c r="E18" s="138" t="str">
        <f>IFERROR(__xludf.DUMMYFUNCTION("""COMPUTED_VALUE"""),"MEDAN")</f>
        <v>MEDAN</v>
      </c>
      <c r="F18" s="138" t="str">
        <f>IFERROR(__xludf.DUMMYFUNCTION("""COMPUTED_VALUE"""),"PER")</f>
        <v>PER</v>
      </c>
      <c r="G18" s="138" t="str">
        <f>IFERROR(__xludf.DUMMYFUNCTION("""COMPUTED_VALUE"""),"SUMBAGUT")</f>
        <v>SUMBAGUT</v>
      </c>
      <c r="H18" s="138" t="str">
        <f>IFERROR(__xludf.DUMMYFUNCTION("""COMPUTED_VALUE"""),"PEMATANG SIANTAR")</f>
        <v>PEMATANG SIANTAR</v>
      </c>
      <c r="I18" s="138" t="str">
        <f>IFERROR(__xludf.DUMMYFUNCTION("""COMPUTED_VALUE"""),"Batch 1")</f>
        <v>Batch 1</v>
      </c>
      <c r="J18" s="140">
        <f>IFERROR(__xludf.DUMMYFUNCTION("""COMPUTED_VALUE"""),10.0)</f>
        <v>10</v>
      </c>
      <c r="K18" s="141">
        <f>IFERROR(__xludf.DUMMYFUNCTION("""COMPUTED_VALUE"""),80.0)</f>
        <v>80</v>
      </c>
      <c r="L18" s="140">
        <f>IFERROR(__xludf.DUMMYFUNCTION("""COMPUTED_VALUE"""),1090807.0)</f>
        <v>1090807</v>
      </c>
      <c r="M18" s="141">
        <f>IFERROR(__xludf.DUMMYFUNCTION("""COMPUTED_VALUE"""),8.726453E7)</f>
        <v>87264530</v>
      </c>
      <c r="N18" s="138" t="str">
        <f>IFERROR(__xludf.DUMMYFUNCTION("""COMPUTED_VALUE"""),"PT INNANDA INDAH")</f>
        <v>PT INNANDA INDAH</v>
      </c>
      <c r="O18" s="138" t="str">
        <f>IFERROR(__xludf.DUMMYFUNCTION("""COMPUTED_VALUE"""),"2. DONE AANWIJZING")</f>
        <v>2. DONE AANWIJZING</v>
      </c>
      <c r="P18" s="138" t="str">
        <f>IFERROR(__xludf.DUMMYFUNCTION("""COMPUTED_VALUE"""),"2.10 Kendala - Feeder Rusak")</f>
        <v>2.10 Kendala - Feeder Rusak</v>
      </c>
      <c r="Q18" s="138" t="str">
        <f>IFERROR(__xludf.DUMMYFUNCTION("""COMPUTED_VALUE"""),"21/04 pengecekan tipus / butuh qe
09/02 proses perizinan desa
(07/01) Persiapan")</f>
        <v>21/04 pengecekan tipus / butuh qe
09/02 proses perizinan desa
(07/01) Persiapan</v>
      </c>
      <c r="R18" s="142"/>
      <c r="S18" s="138"/>
      <c r="T18" s="73"/>
      <c r="U18" s="138"/>
      <c r="V18" s="138" t="str">
        <f>IFERROR(__xludf.DUMMYFUNCTION("""COMPUTED_VALUE"""),"28/Apr/2026")</f>
        <v>28/Apr/2026</v>
      </c>
      <c r="W18" s="143"/>
      <c r="X18" s="143" t="str">
        <f>IFERROR(__xludf.DUMMYFUNCTION("""COMPUTED_VALUE"""),"BELUM GOLIVE")</f>
        <v>BELUM GOLIVE</v>
      </c>
      <c r="Y18" s="143"/>
      <c r="Z18" s="143" t="str">
        <f>IFERROR(__xludf.DUMMYFUNCTION("""COMPUTED_VALUE"""),"#N/A")</f>
        <v>#N/A</v>
      </c>
      <c r="AA18" s="143"/>
      <c r="AB18" s="143"/>
      <c r="AC18" s="143"/>
      <c r="AD18" s="144"/>
      <c r="AE18" s="145"/>
      <c r="AF18" s="54"/>
      <c r="AG18" s="54"/>
      <c r="AH18" s="54"/>
      <c r="AI18" s="55" t="str">
        <f t="shared" si="5"/>
        <v/>
      </c>
      <c r="AJ18" s="56" t="str">
        <f t="shared" si="3"/>
        <v>not yet</v>
      </c>
      <c r="AK18" s="146"/>
      <c r="AL18" s="143"/>
      <c r="AM18" s="143"/>
      <c r="AN18" s="143"/>
      <c r="AO18" s="143"/>
      <c r="AP18" s="143"/>
      <c r="AQ18" s="143"/>
      <c r="AR18" s="147">
        <v>12.0</v>
      </c>
      <c r="AS18" s="148">
        <v>2026.0</v>
      </c>
      <c r="AT18" s="87">
        <v>1.1869855E7</v>
      </c>
      <c r="AU18" s="148" t="s">
        <v>108</v>
      </c>
      <c r="AV18" s="87" t="s">
        <v>43</v>
      </c>
      <c r="AW18" s="87" t="str">
        <f t="shared" si="6"/>
        <v>DUMAI</v>
      </c>
      <c r="AX18" s="148" t="s">
        <v>109</v>
      </c>
      <c r="AY18" s="148" t="s">
        <v>45</v>
      </c>
      <c r="AZ18" s="148" t="s">
        <v>62</v>
      </c>
      <c r="BA18" s="148" t="s">
        <v>84</v>
      </c>
      <c r="BB18" s="148">
        <v>9.0</v>
      </c>
      <c r="BC18" s="148">
        <v>72.0</v>
      </c>
      <c r="BD18" s="87" t="s">
        <v>110</v>
      </c>
      <c r="BE18" s="148" t="s">
        <v>70</v>
      </c>
      <c r="BF18" s="148" t="s">
        <v>86</v>
      </c>
      <c r="BG18" s="148" t="s">
        <v>111</v>
      </c>
      <c r="BH18" s="110" t="s">
        <v>52</v>
      </c>
      <c r="BI18" s="149">
        <v>46090.0</v>
      </c>
      <c r="BJ18" s="150">
        <v>46106.0</v>
      </c>
      <c r="BK18" s="147" t="s">
        <v>1</v>
      </c>
      <c r="BL18" s="94"/>
      <c r="BN18" s="146"/>
      <c r="BO18" s="146"/>
      <c r="BP18" s="146"/>
      <c r="BQ18" s="146"/>
      <c r="BR18" s="146"/>
      <c r="BS18" s="151" t="s">
        <v>112</v>
      </c>
      <c r="BT18" s="152">
        <f t="shared" ref="BT18:BU18" si="19">sum(BT8:BT16)</f>
        <v>6127</v>
      </c>
      <c r="BU18" s="153">
        <f t="shared" si="19"/>
        <v>808</v>
      </c>
      <c r="BV18" s="154">
        <f>sum(BV8:BV16)/5</f>
        <v>0.1485849705</v>
      </c>
      <c r="BW18" s="153">
        <f t="shared" ref="BW18:BX18" si="20">sum(BW8:BW16)</f>
        <v>21743</v>
      </c>
      <c r="BX18" s="153">
        <f t="shared" si="20"/>
        <v>1376</v>
      </c>
      <c r="BY18" s="154">
        <f>sum(BY8:BY16)/5</f>
        <v>0.08582310696</v>
      </c>
      <c r="BZ18" s="152">
        <f t="shared" ref="BZ18:CA18" si="21">sum(BZ8:BZ16)</f>
        <v>27870</v>
      </c>
      <c r="CA18" s="152">
        <f t="shared" si="21"/>
        <v>2184</v>
      </c>
      <c r="CB18" s="154">
        <f>sum(CB8:CB16)/5</f>
        <v>0.08676757861</v>
      </c>
      <c r="CC18" s="146"/>
      <c r="CD18" s="151" t="s">
        <v>112</v>
      </c>
      <c r="CE18" s="152">
        <f t="shared" ref="CE18:CF18" si="22">sum(CE8:CE16)</f>
        <v>29187</v>
      </c>
      <c r="CF18" s="153">
        <f t="shared" si="22"/>
        <v>3440</v>
      </c>
      <c r="CG18" s="154">
        <f>sum(CG8:CG16)/5</f>
        <v>0.1347909875</v>
      </c>
      <c r="CH18" s="153">
        <f t="shared" ref="CH18:CI18" si="23">sum(CH8:CH16)</f>
        <v>68276</v>
      </c>
      <c r="CI18" s="153">
        <f t="shared" si="23"/>
        <v>0</v>
      </c>
      <c r="CJ18" s="154">
        <f>sum(CJ8:CJ16)/5</f>
        <v>0</v>
      </c>
      <c r="CK18" s="152">
        <f t="shared" ref="CK18:CL18" si="24">sum(CK8:CK16)</f>
        <v>97463</v>
      </c>
      <c r="CL18" s="152">
        <f t="shared" si="24"/>
        <v>3440</v>
      </c>
      <c r="CM18" s="154">
        <f>sum(CM8:CM16)/5</f>
        <v>0.04411847109</v>
      </c>
      <c r="CN18" s="64"/>
      <c r="CO18" s="64"/>
      <c r="CP18" s="64"/>
    </row>
    <row r="19" ht="18.0" hidden="1" customHeight="1">
      <c r="A19" s="1">
        <f>IFERROR(__xludf.DUMMYFUNCTION("""COMPUTED_VALUE"""),2026.0)</f>
        <v>2026</v>
      </c>
      <c r="B19" s="98">
        <f>IFERROR(__xludf.DUMMYFUNCTION("""COMPUTED_VALUE"""),1.1264388E7)</f>
        <v>11264388</v>
      </c>
      <c r="C19" s="1" t="str">
        <f>IFERROR(__xludf.DUMMYFUNCTION("""COMPUTED_VALUE"""),"SMU-ODC-PDN-FAC D09 LANBOW S602")</f>
        <v>SMU-ODC-PDN-FAC D09 LANBOW S602</v>
      </c>
      <c r="D19" s="1" t="str">
        <f>IFERROR(__xludf.DUMMYFUNCTION("""COMPUTED_VALUE"""),"REGIONAL I")</f>
        <v>REGIONAL I</v>
      </c>
      <c r="E19" s="1" t="str">
        <f>IFERROR(__xludf.DUMMYFUNCTION("""COMPUTED_VALUE"""),"SUMUT")</f>
        <v>SUMUT</v>
      </c>
      <c r="F19" s="1" t="str">
        <f>IFERROR(__xludf.DUMMYFUNCTION("""COMPUTED_VALUE"""),"PDN")</f>
        <v>PDN</v>
      </c>
      <c r="G19" s="1" t="str">
        <f>IFERROR(__xludf.DUMMYFUNCTION("""COMPUTED_VALUE"""),"SUMBAGUT")</f>
        <v>SUMBAGUT</v>
      </c>
      <c r="H19" s="1" t="str">
        <f>IFERROR(__xludf.DUMMYFUNCTION("""COMPUTED_VALUE"""),"PEMATANG SIANTAR")</f>
        <v>PEMATANG SIANTAR</v>
      </c>
      <c r="I19" s="1" t="str">
        <f>IFERROR(__xludf.DUMMYFUNCTION("""COMPUTED_VALUE"""),"Batch 1")</f>
        <v>Batch 1</v>
      </c>
      <c r="J19" s="99">
        <f>IFERROR(__xludf.DUMMYFUNCTION("""COMPUTED_VALUE"""),24.0)</f>
        <v>24</v>
      </c>
      <c r="K19" s="100">
        <f>IFERROR(__xludf.DUMMYFUNCTION("""COMPUTED_VALUE"""),192.0)</f>
        <v>192</v>
      </c>
      <c r="L19" s="101">
        <f>IFERROR(__xludf.DUMMYFUNCTION("""COMPUTED_VALUE"""),1064398.0)</f>
        <v>1064398</v>
      </c>
      <c r="M19" s="102">
        <f>IFERROR(__xludf.DUMMYFUNCTION("""COMPUTED_VALUE"""),2.04364398E8)</f>
        <v>204364398</v>
      </c>
      <c r="N19" s="1" t="str">
        <f>IFERROR(__xludf.DUMMYFUNCTION("""COMPUTED_VALUE"""),"PT CAHAYA PERMATA MANDIRI")</f>
        <v>PT CAHAYA PERMATA MANDIRI</v>
      </c>
      <c r="O19" s="1" t="str">
        <f>IFERROR(__xludf.DUMMYFUNCTION("""COMPUTED_VALUE"""),"8. UJI TERIMA")</f>
        <v>8. UJI TERIMA</v>
      </c>
      <c r="P19" s="1" t="str">
        <f>IFERROR(__xludf.DUMMYFUNCTION("""COMPUTED_VALUE"""),"8.1 Proses UT")</f>
        <v>8.1 Proses UT</v>
      </c>
      <c r="Q19" s="1" t="str">
        <f>IFERROR(__xludf.DUMMYFUNCTION("""COMPUTED_VALUE"""),"19/2 sisa valins 24 odp, ku 12 (2924 selesai ku 24 (4900 selesai, tiang  46 selesai, 18/2 proses terminasi 24 odp, 14 odp sudah ada redaman, sisa 10 odp paralel valins, 16/2 instal 24 odp, ku 12 (2924 sisa 914, ku 24 (4900 selesai, tiang  46 sisa 10, 13/2"&amp;" penarikan ku 24 (4900 selesai) ku 12 (2924 blm ada progres), odp (24) blm ada progres, tiang 46 btg blm progres, odc 288 (2 selesai), 12/2 penarikan ku 24 (4900 sisa 1600) ku 12 (2924 blm ada progres), odp (24) blm ada progres, tiang 46 btg blm progres, "&amp;"odc 288 (2 selesai), 11/2 penarikan ku 24 (4900 sisa 2800) ku 12 (2924 blm ada progres), odp (24) blm ada progres, tiang 46 btg blm progres, 10/2 penarikan ku 24 (4900 sisa 4100) ku 12 (2924 blm ada progres), odp (24) blm ada progres,  9/2 Material on sit"&amp;"e, plan tanam tiang bsk 10/2, 6/2  plan mitra ambil matrial ke gudang senin 9 feb , 5/2  plan mitra ambil matrial ke gudang senin 9 feb , 4/2 cek cpp penambahan prelim, 3/2 prepair team kelokasi untuk lanjut perizinan  ke desa dan devloper, 2/2 plan besok"&amp;" 3/2 team kelokasi untuk lanjut perizinan  ke desa dan devloper, 1/2 plan besok team kelokasi untuk lanjut perizinan  ke desa dan devloper 30/1 proses perizinan ke desa dan devloper , 28/1 plan besok 29/1 proses perizinan ke desa dan devloper , 27/1 prose"&amp;"s perizinan ke desa dan devloper ,26/1 proses perizinan ke desa dan devloper , 23/1 proses perizinan ke desa dan devloper , 22/1 proses perizinan ke desa dan devloper paralel req material,  21/1 proses perizinan ke desa dan devloper paralel req material, "&amp;"20/1 proses perizinan ke desa dan devloper paralel req material, 19/1 proses boq kml hasil survey parale perizinan desa dan perumahan harmoni,15/1 plan survey 19/1,  14/1 plan survey 19.1, 13/1 plan survey senin 19/1, (07/01) Persiapan")</f>
        <v>19/2 sisa valins 24 odp, ku 12 (2924 selesai ku 24 (4900 selesai, tiang  46 selesai, 18/2 proses terminasi 24 odp, 14 odp sudah ada redaman, sisa 10 odp paralel valins, 16/2 instal 24 odp, ku 12 (2924 sisa 914, ku 24 (4900 selesai, tiang  46 sisa 10, 13/2 penarikan ku 24 (4900 selesai) ku 12 (2924 blm ada progres), odp (24) blm ada progres, tiang 46 btg blm progres, odc 288 (2 selesai), 12/2 penarikan ku 24 (4900 sisa 1600) ku 12 (2924 blm ada progres), odp (24) blm ada progres, tiang 46 btg blm progres, odc 288 (2 selesai), 11/2 penarikan ku 24 (4900 sisa 2800) ku 12 (2924 blm ada progres), odp (24) blm ada progres, tiang 46 btg blm progres, 10/2 penarikan ku 24 (4900 sisa 4100) ku 12 (2924 blm ada progres), odp (24) blm ada progres,  9/2 Material on site, plan tanam tiang bsk 10/2, 6/2  plan mitra ambil matrial ke gudang senin 9 feb , 5/2  plan mitra ambil matrial ke gudang senin 9 feb , 4/2 cek cpp penambahan prelim, 3/2 prepair team kelokasi untuk lanjut perizinan  ke desa dan devloper, 2/2 plan besok 3/2 team kelokasi untuk lanjut perizinan  ke desa dan devloper, 1/2 plan besok team kelokasi untuk lanjut perizinan  ke desa dan devloper 30/1 proses perizinan ke desa dan devloper , 28/1 plan besok 29/1 proses perizinan ke desa dan devloper , 27/1 proses perizinan ke desa dan devloper ,26/1 proses perizinan ke desa dan devloper , 23/1 proses perizinan ke desa dan devloper , 22/1 proses perizinan ke desa dan devloper paralel req material,  21/1 proses perizinan ke desa dan devloper paralel req material, 20/1 proses perizinan ke desa dan devloper paralel req material, 19/1 proses boq kml hasil survey parale perizinan desa dan perumahan harmoni,15/1 plan survey 19/1,  14/1 plan survey 19.1, 13/1 plan survey senin 19/1, (07/01) Persiapan</v>
      </c>
      <c r="R19" s="103">
        <f>IFERROR(__xludf.DUMMYFUNCTION("""COMPUTED_VALUE"""),46073.0)</f>
        <v>46073</v>
      </c>
      <c r="S19" s="8"/>
      <c r="T19" s="8"/>
      <c r="U19" s="8" t="str">
        <f>IFERROR(__xludf.DUMMYFUNCTION("""COMPUTED_VALUE"""),"TIF-1363/2026")</f>
        <v>TIF-1363/2026</v>
      </c>
      <c r="V19" s="1"/>
      <c r="W19" s="55"/>
      <c r="X19" s="55" t="str">
        <f>IFERROR(__xludf.DUMMYFUNCTION("""COMPUTED_VALUE"""),"GOLIVE")</f>
        <v>GOLIVE</v>
      </c>
      <c r="Y19" s="55" t="str">
        <f>IFERROR(__xludf.DUMMYFUNCTION("""COMPUTED_VALUE"""),"DONE")</f>
        <v>DONE</v>
      </c>
      <c r="Z19" s="55" t="str">
        <f>IFERROR(__xludf.DUMMYFUNCTION("""COMPUTED_VALUE"""),"#N/A")</f>
        <v>#N/A</v>
      </c>
      <c r="AA19" s="55">
        <f>IFERROR(__xludf.DUMMYFUNCTION("""COMPUTED_VALUE"""),24.0)</f>
        <v>24</v>
      </c>
      <c r="AB19" s="55"/>
      <c r="AC19" s="55" t="str">
        <f>IFERROR(__xludf.DUMMYFUNCTION("""COMPUTED_VALUE"""),"9133627#9133632")</f>
        <v>9133627#9133632</v>
      </c>
      <c r="AD19" s="104">
        <f>IFERROR(__xludf.DUMMYFUNCTION("""COMPUTED_VALUE"""),192.0)</f>
        <v>192</v>
      </c>
      <c r="AE19" s="105">
        <f>IFERROR(__xludf.DUMMYFUNCTION("""COMPUTED_VALUE"""),46073.0)</f>
        <v>46073</v>
      </c>
      <c r="AF19" s="54"/>
      <c r="AG19" s="54"/>
      <c r="AH19" s="54">
        <v>46073.0</v>
      </c>
      <c r="AI19" s="55">
        <f t="shared" si="5"/>
        <v>0</v>
      </c>
      <c r="AJ19" s="56" t="str">
        <f t="shared" si="3"/>
        <v>not yet</v>
      </c>
      <c r="AL19" s="55"/>
      <c r="AM19" s="55"/>
      <c r="AN19" s="55"/>
      <c r="AO19" s="55"/>
      <c r="AP19" s="55"/>
      <c r="AQ19" s="55"/>
      <c r="AR19" s="106">
        <v>13.0</v>
      </c>
      <c r="AS19" s="107">
        <v>2026.0</v>
      </c>
      <c r="AT19" s="107">
        <v>1.2742641E7</v>
      </c>
      <c r="AU19" s="108" t="s">
        <v>113</v>
      </c>
      <c r="AV19" s="107" t="s">
        <v>43</v>
      </c>
      <c r="AW19" s="109" t="str">
        <f t="shared" si="6"/>
        <v>BUKIT TINGGI</v>
      </c>
      <c r="AX19" s="107" t="s">
        <v>78</v>
      </c>
      <c r="AY19" s="107" t="s">
        <v>45</v>
      </c>
      <c r="AZ19" s="107" t="s">
        <v>59</v>
      </c>
      <c r="BA19" s="107" t="s">
        <v>47</v>
      </c>
      <c r="BB19" s="107">
        <v>4.0</v>
      </c>
      <c r="BC19" s="107">
        <v>32.0</v>
      </c>
      <c r="BD19" s="108" t="s">
        <v>79</v>
      </c>
      <c r="BE19" s="107" t="s">
        <v>49</v>
      </c>
      <c r="BF19" s="108" t="s">
        <v>50</v>
      </c>
      <c r="BG19" s="108" t="s">
        <v>114</v>
      </c>
      <c r="BH19" s="110" t="s">
        <v>52</v>
      </c>
      <c r="BI19" s="111">
        <v>46090.0</v>
      </c>
      <c r="BJ19" s="106"/>
      <c r="BK19" s="106" t="s">
        <v>1</v>
      </c>
      <c r="BL19" s="94"/>
      <c r="BR19" s="155"/>
      <c r="BS19" s="156"/>
      <c r="BT19" s="157"/>
      <c r="BU19" s="157"/>
      <c r="BV19" s="158"/>
      <c r="BY19" s="158"/>
      <c r="CB19" s="158"/>
    </row>
    <row r="20" ht="18.0" hidden="1" customHeight="1">
      <c r="A20" s="1">
        <f>IFERROR(__xludf.DUMMYFUNCTION("""COMPUTED_VALUE"""),2026.0)</f>
        <v>2026</v>
      </c>
      <c r="B20" s="98">
        <f>IFERROR(__xludf.DUMMYFUNCTION("""COMPUTED_VALUE"""),1.1272032E7)</f>
        <v>11272032</v>
      </c>
      <c r="C20" s="1" t="str">
        <f>IFERROR(__xludf.DUMMYFUNCTION("""COMPUTED_VALUE"""),"MDN PT3 P1I1 PER-FP DS SUKAJADI")</f>
        <v>MDN PT3 P1I1 PER-FP DS SUKAJADI</v>
      </c>
      <c r="D20" s="1" t="str">
        <f>IFERROR(__xludf.DUMMYFUNCTION("""COMPUTED_VALUE"""),"REGIONAL I")</f>
        <v>REGIONAL I</v>
      </c>
      <c r="E20" s="1" t="str">
        <f>IFERROR(__xludf.DUMMYFUNCTION("""COMPUTED_VALUE"""),"MEDAN")</f>
        <v>MEDAN</v>
      </c>
      <c r="F20" s="1" t="str">
        <f>IFERROR(__xludf.DUMMYFUNCTION("""COMPUTED_VALUE"""),"PER")</f>
        <v>PER</v>
      </c>
      <c r="G20" s="1" t="str">
        <f>IFERROR(__xludf.DUMMYFUNCTION("""COMPUTED_VALUE"""),"SUMBAGUT")</f>
        <v>SUMBAGUT</v>
      </c>
      <c r="H20" s="1" t="str">
        <f>IFERROR(__xludf.DUMMYFUNCTION("""COMPUTED_VALUE"""),"PEMATANG SIANTAR")</f>
        <v>PEMATANG SIANTAR</v>
      </c>
      <c r="I20" s="1" t="str">
        <f>IFERROR(__xludf.DUMMYFUNCTION("""COMPUTED_VALUE"""),"Batch 1")</f>
        <v>Batch 1</v>
      </c>
      <c r="J20" s="99">
        <f>IFERROR(__xludf.DUMMYFUNCTION("""COMPUTED_VALUE"""),18.0)</f>
        <v>18</v>
      </c>
      <c r="K20" s="100">
        <f>IFERROR(__xludf.DUMMYFUNCTION("""COMPUTED_VALUE"""),144.0)</f>
        <v>144</v>
      </c>
      <c r="L20" s="101">
        <f>IFERROR(__xludf.DUMMYFUNCTION("""COMPUTED_VALUE"""),856718.0)</f>
        <v>856718</v>
      </c>
      <c r="M20" s="102">
        <f>IFERROR(__xludf.DUMMYFUNCTION("""COMPUTED_VALUE"""),1.23367301E8)</f>
        <v>123367301</v>
      </c>
      <c r="N20" s="1" t="str">
        <f>IFERROR(__xludf.DUMMYFUNCTION("""COMPUTED_VALUE"""),"PT INNANDA INDAH")</f>
        <v>PT INNANDA INDAH</v>
      </c>
      <c r="O20" s="1" t="str">
        <f>IFERROR(__xludf.DUMMYFUNCTION("""COMPUTED_VALUE"""),"7. GOLIVE")</f>
        <v>7. GOLIVE</v>
      </c>
      <c r="P20" s="1" t="str">
        <f>IFERROR(__xludf.DUMMYFUNCTION("""COMPUTED_VALUE"""),"7.2 Golive Full / OA / DONE OTB")</f>
        <v>7.2 Golive Full / OA / DONE OTB</v>
      </c>
      <c r="Q20" s="1" t="str">
        <f>IFERROR(__xludf.DUMMYFUNCTION("""COMPUTED_VALUE"""),"04/04 pengecekan abd mancore
26/03 pemasangan odp 
18/03 tanam tian
05/03 proses matrial
27/02 comcase 5Jt
17/02 proses perizinan desa
(07/01) Persiapan")</f>
        <v>04/04 pengecekan abd mancore
26/03 pemasangan odp 
18/03 tanam tian
05/03 proses matrial
27/02 comcase 5Jt
17/02 proses perizinan desa
(07/01) Persiapan</v>
      </c>
      <c r="R20" s="103">
        <f>IFERROR(__xludf.DUMMYFUNCTION("""COMPUTED_VALUE"""),46112.0)</f>
        <v>46112</v>
      </c>
      <c r="S20" s="8" t="str">
        <f>IFERROR(__xludf.DUMMYFUNCTION("""COMPUTED_VALUE"""),"MAR")</f>
        <v>MAR</v>
      </c>
      <c r="T20" s="8" t="str">
        <f>IFERROR(__xludf.DUMMYFUNCTION("""COMPUTED_VALUE"""),"P1")</f>
        <v>P1</v>
      </c>
      <c r="U20" s="8"/>
      <c r="V20" s="1"/>
      <c r="W20" s="55"/>
      <c r="X20" s="55" t="str">
        <f>IFERROR(__xludf.DUMMYFUNCTION("""COMPUTED_VALUE"""),"GOLIVE")</f>
        <v>GOLIVE</v>
      </c>
      <c r="Y20" s="55" t="str">
        <f>IFERROR(__xludf.DUMMYFUNCTION("""COMPUTED_VALUE"""),"DONE")</f>
        <v>DONE</v>
      </c>
      <c r="Z20" s="55" t="str">
        <f>IFERROR(__xludf.DUMMYFUNCTION("""COMPUTED_VALUE"""),"#N/A")</f>
        <v>#N/A</v>
      </c>
      <c r="AA20" s="55">
        <f>IFERROR(__xludf.DUMMYFUNCTION("""COMPUTED_VALUE"""),18.0)</f>
        <v>18</v>
      </c>
      <c r="AB20" s="55"/>
      <c r="AC20" s="55" t="str">
        <f>IFERROR(__xludf.DUMMYFUNCTION("""COMPUTED_VALUE"""),"9232514#9232519")</f>
        <v>9232514#9232519</v>
      </c>
      <c r="AD20" s="104">
        <f>IFERROR(__xludf.DUMMYFUNCTION("""COMPUTED_VALUE"""),144.0)</f>
        <v>144</v>
      </c>
      <c r="AE20" s="105">
        <f>IFERROR(__xludf.DUMMYFUNCTION("""COMPUTED_VALUE"""),46112.0)</f>
        <v>46112</v>
      </c>
      <c r="AF20" s="54"/>
      <c r="AG20" s="54"/>
      <c r="AH20" s="54">
        <v>46112.0</v>
      </c>
      <c r="AI20" s="55">
        <f t="shared" si="5"/>
        <v>0</v>
      </c>
      <c r="AJ20" s="56" t="str">
        <f t="shared" si="3"/>
        <v>not yet</v>
      </c>
      <c r="AL20" s="55"/>
      <c r="AM20" s="55"/>
      <c r="AN20" s="55"/>
      <c r="AO20" s="55"/>
      <c r="AP20" s="55"/>
      <c r="AQ20" s="55"/>
      <c r="AR20" s="106">
        <v>14.0</v>
      </c>
      <c r="AS20" s="124">
        <v>2026.0</v>
      </c>
      <c r="AT20" s="124">
        <v>1.1015037E7</v>
      </c>
      <c r="AU20" s="125" t="s">
        <v>115</v>
      </c>
      <c r="AV20" s="126" t="s">
        <v>43</v>
      </c>
      <c r="AW20" s="127" t="str">
        <f t="shared" si="6"/>
        <v>BATAM</v>
      </c>
      <c r="AX20" s="124" t="s">
        <v>116</v>
      </c>
      <c r="AY20" s="124" t="s">
        <v>45</v>
      </c>
      <c r="AZ20" s="124" t="s">
        <v>53</v>
      </c>
      <c r="BA20" s="124" t="s">
        <v>84</v>
      </c>
      <c r="BB20" s="124">
        <v>2.0</v>
      </c>
      <c r="BC20" s="124">
        <v>16.0</v>
      </c>
      <c r="BD20" s="128" t="s">
        <v>117</v>
      </c>
      <c r="BE20" s="124" t="s">
        <v>70</v>
      </c>
      <c r="BF20" s="125" t="s">
        <v>86</v>
      </c>
      <c r="BG20" s="125" t="s">
        <v>118</v>
      </c>
      <c r="BH20" s="110" t="s">
        <v>52</v>
      </c>
      <c r="BI20" s="129">
        <v>46090.0</v>
      </c>
      <c r="BJ20" s="106"/>
      <c r="BK20" s="106"/>
      <c r="BL20" s="94"/>
      <c r="BR20" s="11"/>
      <c r="BV20" s="158"/>
      <c r="BY20" s="158"/>
      <c r="CB20" s="158"/>
    </row>
    <row r="21" ht="18.0" hidden="1" customHeight="1">
      <c r="A21" s="1">
        <f>IFERROR(__xludf.DUMMYFUNCTION("""COMPUTED_VALUE"""),2026.0)</f>
        <v>2026</v>
      </c>
      <c r="B21" s="98">
        <f>IFERROR(__xludf.DUMMYFUNCTION("""COMPUTED_VALUE"""),1.1272033E7)</f>
        <v>11272033</v>
      </c>
      <c r="C21" s="1" t="str">
        <f>IFERROR(__xludf.DUMMYFUNCTION("""COMPUTED_VALUE"""),"MDN PT3 P1I1 PER-FAA PERUM BTG TERAP")</f>
        <v>MDN PT3 P1I1 PER-FAA PERUM BTG TERAP</v>
      </c>
      <c r="D21" s="1" t="str">
        <f>IFERROR(__xludf.DUMMYFUNCTION("""COMPUTED_VALUE"""),"REGIONAL I")</f>
        <v>REGIONAL I</v>
      </c>
      <c r="E21" s="1" t="str">
        <f>IFERROR(__xludf.DUMMYFUNCTION("""COMPUTED_VALUE"""),"MEDAN")</f>
        <v>MEDAN</v>
      </c>
      <c r="F21" s="1" t="str">
        <f>IFERROR(__xludf.DUMMYFUNCTION("""COMPUTED_VALUE"""),"PER")</f>
        <v>PER</v>
      </c>
      <c r="G21" s="1" t="str">
        <f>IFERROR(__xludf.DUMMYFUNCTION("""COMPUTED_VALUE"""),"SUMBAGUT")</f>
        <v>SUMBAGUT</v>
      </c>
      <c r="H21" s="1" t="str">
        <f>IFERROR(__xludf.DUMMYFUNCTION("""COMPUTED_VALUE"""),"PEMATANG SIANTAR")</f>
        <v>PEMATANG SIANTAR</v>
      </c>
      <c r="I21" s="1" t="str">
        <f>IFERROR(__xludf.DUMMYFUNCTION("""COMPUTED_VALUE"""),"Batch 1")</f>
        <v>Batch 1</v>
      </c>
      <c r="J21" s="99">
        <f>IFERROR(__xludf.DUMMYFUNCTION("""COMPUTED_VALUE"""),5.0)</f>
        <v>5</v>
      </c>
      <c r="K21" s="100">
        <f>IFERROR(__xludf.DUMMYFUNCTION("""COMPUTED_VALUE"""),40.0)</f>
        <v>40</v>
      </c>
      <c r="L21" s="101">
        <f>IFERROR(__xludf.DUMMYFUNCTION("""COMPUTED_VALUE"""),1261445.0)</f>
        <v>1261445</v>
      </c>
      <c r="M21" s="102">
        <f>IFERROR(__xludf.DUMMYFUNCTION("""COMPUTED_VALUE"""),5.0457786E7)</f>
        <v>50457786</v>
      </c>
      <c r="N21" s="1" t="str">
        <f>IFERROR(__xludf.DUMMYFUNCTION("""COMPUTED_VALUE"""),"PT INNANDA INDAH")</f>
        <v>PT INNANDA INDAH</v>
      </c>
      <c r="O21" s="1" t="str">
        <f>IFERROR(__xludf.DUMMYFUNCTION("""COMPUTED_VALUE"""),"0. DROP")</f>
        <v>0. DROP</v>
      </c>
      <c r="P21" s="1" t="str">
        <f>IFERROR(__xludf.DUMMYFUNCTION("""COMPUTED_VALUE"""),"0.4 CPP Tinggi Acc ED TIF")</f>
        <v>0.4 CPP Tinggi Acc ED TIF</v>
      </c>
      <c r="Q21" s="1" t="str">
        <f>IFERROR(__xludf.DUMMYFUNCTION("""COMPUTED_VALUE"""),"08/02 PER-FAA feeder sisa 1 core loss
(07/01) Persiapan")</f>
        <v>08/02 PER-FAA feeder sisa 1 core loss
(07/01) Persiapan</v>
      </c>
      <c r="R21" s="103"/>
      <c r="S21" s="8"/>
      <c r="T21" s="8"/>
      <c r="U21" s="8"/>
      <c r="V21" s="1"/>
      <c r="W21" s="55"/>
      <c r="X21" s="55" t="str">
        <f>IFERROR(__xludf.DUMMYFUNCTION("""COMPUTED_VALUE"""),"BELUM GOLIVE")</f>
        <v>BELUM GOLIVE</v>
      </c>
      <c r="Y21" s="55"/>
      <c r="Z21" s="55" t="str">
        <f>IFERROR(__xludf.DUMMYFUNCTION("""COMPUTED_VALUE"""),"#N/A")</f>
        <v>#N/A</v>
      </c>
      <c r="AA21" s="55"/>
      <c r="AB21" s="55"/>
      <c r="AC21" s="55"/>
      <c r="AD21" s="104"/>
      <c r="AE21" s="105"/>
      <c r="AF21" s="54" t="str">
        <f>IFERROR(__xludf.DUMMYFUNCTION("""COMPUTED_VALUE"""),"Draft BA DROP")</f>
        <v>Draft BA DROP</v>
      </c>
      <c r="AG21" s="54"/>
      <c r="AH21" s="54"/>
      <c r="AI21" s="55" t="str">
        <f t="shared" si="5"/>
        <v/>
      </c>
      <c r="AJ21" s="56" t="str">
        <f t="shared" si="3"/>
        <v>not yet</v>
      </c>
      <c r="AL21" s="55"/>
      <c r="AM21" s="55"/>
      <c r="AN21" s="55"/>
      <c r="AO21" s="55"/>
      <c r="AP21" s="55"/>
      <c r="AQ21" s="55"/>
      <c r="AR21" s="106">
        <v>15.0</v>
      </c>
      <c r="AS21" s="124">
        <v>2026.0</v>
      </c>
      <c r="AT21" s="124">
        <v>1.1266582E7</v>
      </c>
      <c r="AU21" s="125" t="s">
        <v>119</v>
      </c>
      <c r="AV21" s="126" t="s">
        <v>43</v>
      </c>
      <c r="AW21" s="127" t="str">
        <f t="shared" si="6"/>
        <v>BATAM</v>
      </c>
      <c r="AX21" s="124" t="s">
        <v>120</v>
      </c>
      <c r="AY21" s="124" t="s">
        <v>45</v>
      </c>
      <c r="AZ21" s="124" t="s">
        <v>53</v>
      </c>
      <c r="BA21" s="124" t="s">
        <v>84</v>
      </c>
      <c r="BB21" s="124">
        <v>4.0</v>
      </c>
      <c r="BC21" s="124">
        <v>32.0</v>
      </c>
      <c r="BD21" s="128" t="s">
        <v>63</v>
      </c>
      <c r="BE21" s="124" t="s">
        <v>92</v>
      </c>
      <c r="BF21" s="125" t="s">
        <v>93</v>
      </c>
      <c r="BG21" s="125" t="s">
        <v>121</v>
      </c>
      <c r="BH21" s="110" t="s">
        <v>52</v>
      </c>
      <c r="BI21" s="129">
        <v>46090.0</v>
      </c>
      <c r="BJ21" s="106"/>
      <c r="BK21" s="106"/>
      <c r="BL21" s="94"/>
      <c r="BV21" s="158"/>
      <c r="BY21" s="158"/>
      <c r="CB21" s="158"/>
    </row>
    <row r="22" ht="18.0" hidden="1" customHeight="1">
      <c r="A22" s="1">
        <f>IFERROR(__xludf.DUMMYFUNCTION("""COMPUTED_VALUE"""),2026.0)</f>
        <v>2026</v>
      </c>
      <c r="B22" s="98">
        <f>IFERROR(__xludf.DUMMYFUNCTION("""COMPUTED_VALUE"""),1.1272034E7)</f>
        <v>11272034</v>
      </c>
      <c r="C22" s="1" t="str">
        <f>IFERROR(__xludf.DUMMYFUNCTION("""COMPUTED_VALUE"""),"MDN PT3 P1I1 PER-FA JAMBUR PULAU")</f>
        <v>MDN PT3 P1I1 PER-FA JAMBUR PULAU</v>
      </c>
      <c r="D22" s="1" t="str">
        <f>IFERROR(__xludf.DUMMYFUNCTION("""COMPUTED_VALUE"""),"REGIONAL I")</f>
        <v>REGIONAL I</v>
      </c>
      <c r="E22" s="1" t="str">
        <f>IFERROR(__xludf.DUMMYFUNCTION("""COMPUTED_VALUE"""),"MEDAN")</f>
        <v>MEDAN</v>
      </c>
      <c r="F22" s="1" t="str">
        <f>IFERROR(__xludf.DUMMYFUNCTION("""COMPUTED_VALUE"""),"PER")</f>
        <v>PER</v>
      </c>
      <c r="G22" s="1" t="str">
        <f>IFERROR(__xludf.DUMMYFUNCTION("""COMPUTED_VALUE"""),"SUMBAGUT")</f>
        <v>SUMBAGUT</v>
      </c>
      <c r="H22" s="1" t="str">
        <f>IFERROR(__xludf.DUMMYFUNCTION("""COMPUTED_VALUE"""),"PEMATANG SIANTAR")</f>
        <v>PEMATANG SIANTAR</v>
      </c>
      <c r="I22" s="1" t="str">
        <f>IFERROR(__xludf.DUMMYFUNCTION("""COMPUTED_VALUE"""),"Batch 1")</f>
        <v>Batch 1</v>
      </c>
      <c r="J22" s="99">
        <f>IFERROR(__xludf.DUMMYFUNCTION("""COMPUTED_VALUE"""),8.0)</f>
        <v>8</v>
      </c>
      <c r="K22" s="100">
        <f>IFERROR(__xludf.DUMMYFUNCTION("""COMPUTED_VALUE"""),64.0)</f>
        <v>64</v>
      </c>
      <c r="L22" s="101">
        <f>IFERROR(__xludf.DUMMYFUNCTION("""COMPUTED_VALUE"""),1110490.0)</f>
        <v>1110490</v>
      </c>
      <c r="M22" s="102">
        <f>IFERROR(__xludf.DUMMYFUNCTION("""COMPUTED_VALUE"""),7.107135E7)</f>
        <v>71071350</v>
      </c>
      <c r="N22" s="1" t="str">
        <f>IFERROR(__xludf.DUMMYFUNCTION("""COMPUTED_VALUE"""),"PT INNANDA INDAH")</f>
        <v>PT INNANDA INDAH</v>
      </c>
      <c r="O22" s="1" t="str">
        <f>IFERROR(__xludf.DUMMYFUNCTION("""COMPUTED_VALUE"""),"3. PERIZINAN")</f>
        <v>3. PERIZINAN</v>
      </c>
      <c r="P22" s="1" t="str">
        <f>IFERROR(__xludf.DUMMYFUNCTION("""COMPUTED_VALUE"""),"3.9 Izin Kades / Lurah / RTRW")</f>
        <v>3.9 Izin Kades / Lurah / RTRW</v>
      </c>
      <c r="Q22" s="1" t="str">
        <f>IFERROR(__xludf.DUMMYFUNCTION("""COMPUTED_VALUE"""),"20/04 komitmen perizinan 21/04
14/04 Redesain done , proses perijinan
09/02 feeder ok, dist sisa 4 core tdk tembus
(07/01) Persiapan")</f>
        <v>20/04 komitmen perizinan 21/04
14/04 Redesain done , proses perijinan
09/02 feeder ok, dist sisa 4 core tdk tembus
(07/01) Persiapan</v>
      </c>
      <c r="R22" s="103"/>
      <c r="S22" s="8"/>
      <c r="T22" s="8"/>
      <c r="U22" s="8"/>
      <c r="V22" s="1"/>
      <c r="W22" s="55"/>
      <c r="X22" s="55" t="str">
        <f>IFERROR(__xludf.DUMMYFUNCTION("""COMPUTED_VALUE"""),"BELUM GOLIVE")</f>
        <v>BELUM GOLIVE</v>
      </c>
      <c r="Y22" s="55"/>
      <c r="Z22" s="55" t="str">
        <f>IFERROR(__xludf.DUMMYFUNCTION("""COMPUTED_VALUE"""),"#N/A")</f>
        <v>#N/A</v>
      </c>
      <c r="AA22" s="55"/>
      <c r="AB22" s="55"/>
      <c r="AC22" s="55"/>
      <c r="AD22" s="104"/>
      <c r="AE22" s="105"/>
      <c r="AF22" s="54"/>
      <c r="AG22" s="54"/>
      <c r="AH22" s="54"/>
      <c r="AI22" s="55" t="str">
        <f t="shared" si="5"/>
        <v/>
      </c>
      <c r="AJ22" s="56" t="str">
        <f t="shared" si="3"/>
        <v>not yet</v>
      </c>
      <c r="AL22" s="55"/>
      <c r="AM22" s="55"/>
      <c r="AN22" s="55"/>
      <c r="AO22" s="55"/>
      <c r="AP22" s="55"/>
      <c r="AQ22" s="55"/>
      <c r="AR22" s="106">
        <v>16.0</v>
      </c>
      <c r="AS22" s="124">
        <v>2026.0</v>
      </c>
      <c r="AT22" s="124">
        <v>1.1198055E7</v>
      </c>
      <c r="AU22" s="125" t="s">
        <v>122</v>
      </c>
      <c r="AV22" s="126" t="s">
        <v>43</v>
      </c>
      <c r="AW22" s="127" t="str">
        <f t="shared" si="6"/>
        <v>BATAM</v>
      </c>
      <c r="AX22" s="124" t="s">
        <v>123</v>
      </c>
      <c r="AY22" s="124" t="s">
        <v>45</v>
      </c>
      <c r="AZ22" s="124" t="s">
        <v>53</v>
      </c>
      <c r="BA22" s="124" t="s">
        <v>84</v>
      </c>
      <c r="BB22" s="124">
        <v>6.0</v>
      </c>
      <c r="BC22" s="124">
        <v>48.0</v>
      </c>
      <c r="BD22" s="128" t="s">
        <v>117</v>
      </c>
      <c r="BE22" s="124" t="s">
        <v>70</v>
      </c>
      <c r="BF22" s="125" t="s">
        <v>71</v>
      </c>
      <c r="BG22" s="125" t="s">
        <v>124</v>
      </c>
      <c r="BH22" s="110" t="s">
        <v>52</v>
      </c>
      <c r="BI22" s="129">
        <v>46090.0</v>
      </c>
      <c r="BJ22" s="106"/>
      <c r="BK22" s="106"/>
      <c r="BL22" s="116"/>
      <c r="BV22" s="158"/>
      <c r="BY22" s="158"/>
      <c r="CB22" s="158"/>
    </row>
    <row r="23" ht="18.0" hidden="1" customHeight="1">
      <c r="A23" s="1">
        <f>IFERROR(__xludf.DUMMYFUNCTION("""COMPUTED_VALUE"""),2026.0)</f>
        <v>2026</v>
      </c>
      <c r="B23" s="98">
        <f>IFERROR(__xludf.DUMMYFUNCTION("""COMPUTED_VALUE"""),1.1556519E7)</f>
        <v>11556519</v>
      </c>
      <c r="C23" s="1" t="str">
        <f>IFERROR(__xludf.DUMMYFUNCTION("""COMPUTED_VALUE"""),"BBL PT3 Perumahan Dusun Pancur")</f>
        <v>BBL PT3 Perumahan Dusun Pancur</v>
      </c>
      <c r="D23" s="1" t="str">
        <f>IFERROR(__xludf.DUMMYFUNCTION("""COMPUTED_VALUE"""),"REGIONAL I")</f>
        <v>REGIONAL I</v>
      </c>
      <c r="E23" s="1" t="str">
        <f>IFERROR(__xludf.DUMMYFUNCTION("""COMPUTED_VALUE"""),"BABEL")</f>
        <v>BABEL</v>
      </c>
      <c r="F23" s="1" t="str">
        <f>IFERROR(__xludf.DUMMYFUNCTION("""COMPUTED_VALUE"""),"MGR")</f>
        <v>MGR</v>
      </c>
      <c r="G23" s="1" t="str">
        <f>IFERROR(__xludf.DUMMYFUNCTION("""COMPUTED_VALUE"""),"SUMBAGSEL")</f>
        <v>SUMBAGSEL</v>
      </c>
      <c r="H23" s="1" t="str">
        <f>IFERROR(__xludf.DUMMYFUNCTION("""COMPUTED_VALUE"""),"PANGKAL PINANG")</f>
        <v>PANGKAL PINANG</v>
      </c>
      <c r="I23" s="1" t="str">
        <f>IFERROR(__xludf.DUMMYFUNCTION("""COMPUTED_VALUE"""),"Batch 1")</f>
        <v>Batch 1</v>
      </c>
      <c r="J23" s="99">
        <f>IFERROR(__xludf.DUMMYFUNCTION("""COMPUTED_VALUE"""),3.0)</f>
        <v>3</v>
      </c>
      <c r="K23" s="100">
        <f>IFERROR(__xludf.DUMMYFUNCTION("""COMPUTED_VALUE"""),24.0)</f>
        <v>24</v>
      </c>
      <c r="L23" s="101">
        <f>IFERROR(__xludf.DUMMYFUNCTION("""COMPUTED_VALUE"""),945353.0)</f>
        <v>945353</v>
      </c>
      <c r="M23" s="102">
        <f>IFERROR(__xludf.DUMMYFUNCTION("""COMPUTED_VALUE"""),2.2688454E7)</f>
        <v>22688454</v>
      </c>
      <c r="N23" s="1" t="str">
        <f>IFERROR(__xludf.DUMMYFUNCTION("""COMPUTED_VALUE"""),"PT BAYUMI CAHAYA NUSANTARA")</f>
        <v>PT BAYUMI CAHAYA NUSANTARA</v>
      </c>
      <c r="O23" s="1" t="str">
        <f>IFERROR(__xludf.DUMMYFUNCTION("""COMPUTED_VALUE"""),"0. DROP")</f>
        <v>0. DROP</v>
      </c>
      <c r="P23" s="1" t="str">
        <f>IFERROR(__xludf.DUMMYFUNCTION("""COMPUTED_VALUE"""),"0.1 Double Order")</f>
        <v>0.1 Double Order</v>
      </c>
      <c r="Q23" s="1" t="str">
        <f>IFERROR(__xludf.DUMMYFUNCTION("""COMPUTED_VALUE"""),"(12/01) Drop Order Double (Karena sudah masuk ke BBL PT3 P3I2  PERUMAHAN DUSUN PANCUR 11986565 )(07/1) ORDER JPP BATTCH 1 2026")</f>
        <v>(12/01) Drop Order Double (Karena sudah masuk ke BBL PT3 P3I2  PERUMAHAN DUSUN PANCUR 11986565 )(07/1) ORDER JPP BATTCH 1 2026</v>
      </c>
      <c r="R23" s="103"/>
      <c r="S23" s="8"/>
      <c r="T23" s="8"/>
      <c r="U23" s="8"/>
      <c r="V23" s="1"/>
      <c r="W23" s="55"/>
      <c r="X23" s="55" t="str">
        <f>IFERROR(__xludf.DUMMYFUNCTION("""COMPUTED_VALUE"""),"BELUM GOLIVE")</f>
        <v>BELUM GOLIVE</v>
      </c>
      <c r="Y23" s="55"/>
      <c r="Z23" s="55" t="str">
        <f>IFERROR(__xludf.DUMMYFUNCTION("""COMPUTED_VALUE"""),"#N/A")</f>
        <v>#N/A</v>
      </c>
      <c r="AA23" s="55"/>
      <c r="AB23" s="55"/>
      <c r="AC23" s="55"/>
      <c r="AD23" s="104"/>
      <c r="AE23" s="105"/>
      <c r="AF23" s="54" t="str">
        <f>IFERROR(__xludf.DUMMYFUNCTION("""COMPUTED_VALUE"""),"Draft BA DROP")</f>
        <v>Draft BA DROP</v>
      </c>
      <c r="AG23" s="54"/>
      <c r="AH23" s="54"/>
      <c r="AI23" s="55" t="str">
        <f t="shared" si="5"/>
        <v/>
      </c>
      <c r="AJ23" s="56" t="str">
        <f t="shared" si="3"/>
        <v>not yet</v>
      </c>
      <c r="AL23" s="55"/>
      <c r="AM23" s="55"/>
      <c r="AN23" s="55"/>
      <c r="AO23" s="55"/>
      <c r="AP23" s="55"/>
      <c r="AQ23" s="55"/>
      <c r="AR23" s="106">
        <v>17.0</v>
      </c>
      <c r="AS23" s="124">
        <v>2026.0</v>
      </c>
      <c r="AT23" s="124">
        <v>1.1297609E7</v>
      </c>
      <c r="AU23" s="125" t="s">
        <v>125</v>
      </c>
      <c r="AV23" s="126" t="s">
        <v>43</v>
      </c>
      <c r="AW23" s="127" t="str">
        <f t="shared" si="6"/>
        <v>DUMAI</v>
      </c>
      <c r="AX23" s="124" t="s">
        <v>61</v>
      </c>
      <c r="AY23" s="124" t="s">
        <v>45</v>
      </c>
      <c r="AZ23" s="124" t="s">
        <v>62</v>
      </c>
      <c r="BA23" s="124" t="s">
        <v>84</v>
      </c>
      <c r="BB23" s="124">
        <v>55.0</v>
      </c>
      <c r="BC23" s="124">
        <v>432.0</v>
      </c>
      <c r="BD23" s="128" t="s">
        <v>126</v>
      </c>
      <c r="BE23" s="124" t="s">
        <v>49</v>
      </c>
      <c r="BF23" s="125" t="s">
        <v>127</v>
      </c>
      <c r="BG23" s="125" t="s">
        <v>128</v>
      </c>
      <c r="BH23" s="110" t="s">
        <v>52</v>
      </c>
      <c r="BI23" s="159">
        <v>46091.0</v>
      </c>
      <c r="BJ23" s="160">
        <v>46093.0</v>
      </c>
      <c r="BK23" s="106" t="s">
        <v>1</v>
      </c>
      <c r="BL23" s="112">
        <v>536.0</v>
      </c>
      <c r="BV23" s="158"/>
      <c r="BY23" s="158"/>
      <c r="CB23" s="158"/>
    </row>
    <row r="24" ht="30.0" hidden="1" customHeight="1">
      <c r="A24" s="1">
        <f>IFERROR(__xludf.DUMMYFUNCTION("""COMPUTED_VALUE"""),2026.0)</f>
        <v>2026</v>
      </c>
      <c r="B24" s="98">
        <f>IFERROR(__xludf.DUMMYFUNCTION("""COMPUTED_VALUE"""),1.1556495E7)</f>
        <v>11556495</v>
      </c>
      <c r="C24" s="1" t="str">
        <f>IFERROR(__xludf.DUMMYFUNCTION("""COMPUTED_VALUE"""),"BBL PT3 Gang Jl Merdeka Gantung")</f>
        <v>BBL PT3 Gang Jl Merdeka Gantung</v>
      </c>
      <c r="D24" s="1" t="str">
        <f>IFERROR(__xludf.DUMMYFUNCTION("""COMPUTED_VALUE"""),"REGIONAL I")</f>
        <v>REGIONAL I</v>
      </c>
      <c r="E24" s="1" t="str">
        <f>IFERROR(__xludf.DUMMYFUNCTION("""COMPUTED_VALUE"""),"BABEL")</f>
        <v>BABEL</v>
      </c>
      <c r="F24" s="1" t="str">
        <f>IFERROR(__xludf.DUMMYFUNCTION("""COMPUTED_VALUE"""),"MGR")</f>
        <v>MGR</v>
      </c>
      <c r="G24" s="1" t="str">
        <f>IFERROR(__xludf.DUMMYFUNCTION("""COMPUTED_VALUE"""),"SUMBAGSEL")</f>
        <v>SUMBAGSEL</v>
      </c>
      <c r="H24" s="1" t="str">
        <f>IFERROR(__xludf.DUMMYFUNCTION("""COMPUTED_VALUE"""),"PANGKAL PINANG")</f>
        <v>PANGKAL PINANG</v>
      </c>
      <c r="I24" s="1" t="str">
        <f>IFERROR(__xludf.DUMMYFUNCTION("""COMPUTED_VALUE"""),"Batch 1")</f>
        <v>Batch 1</v>
      </c>
      <c r="J24" s="99">
        <f>IFERROR(__xludf.DUMMYFUNCTION("""COMPUTED_VALUE"""),4.0)</f>
        <v>4</v>
      </c>
      <c r="K24" s="100">
        <f>IFERROR(__xludf.DUMMYFUNCTION("""COMPUTED_VALUE"""),32.0)</f>
        <v>32</v>
      </c>
      <c r="L24" s="101">
        <f>IFERROR(__xludf.DUMMYFUNCTION("""COMPUTED_VALUE"""),925395.0)</f>
        <v>925395</v>
      </c>
      <c r="M24" s="102">
        <f>IFERROR(__xludf.DUMMYFUNCTION("""COMPUTED_VALUE"""),2.9612617E7)</f>
        <v>29612617</v>
      </c>
      <c r="N24" s="1" t="str">
        <f>IFERROR(__xludf.DUMMYFUNCTION("""COMPUTED_VALUE"""),"PT SARANA MITRA PERSADA")</f>
        <v>PT SARANA MITRA PERSADA</v>
      </c>
      <c r="O24" s="1" t="str">
        <f>IFERROR(__xludf.DUMMYFUNCTION("""COMPUTED_VALUE"""),"0. DROP")</f>
        <v>0. DROP</v>
      </c>
      <c r="P24" s="1" t="str">
        <f>IFERROR(__xludf.DUMMYFUNCTION("""COMPUTED_VALUE"""),"0.1 Double Order")</f>
        <v>0.1 Double Order</v>
      </c>
      <c r="Q24" s="1" t="str">
        <f>IFERROR(__xludf.DUMMYFUNCTION("""COMPUTED_VALUE"""),"3/3 drop karena terdapat lop eksisting sejalur (16/2 belum iterasi TSEL , pic tsel masuk RS belum ada est kapan eval review ulang (13/2) menunggu jadwal Iterasi bersama TSEL (6/2) SUDAH ANWIJIZING , BLM ITERASI (28/1)sudah anwijzing , perlu iterasi ulang "&amp;"dengan tsel karena ada perubahan desain (12/01) Menunggu Iterasi ED dan Tsel (07/1) ORDER JPP BATTCH 1 2026")</f>
        <v>3/3 drop karena terdapat lop eksisting sejalur (16/2 belum iterasi TSEL , pic tsel masuk RS belum ada est kapan eval review ulang (13/2) menunggu jadwal Iterasi bersama TSEL (6/2) SUDAH ANWIJIZING , BLM ITERASI (28/1)sudah anwijzing , perlu iterasi ulang dengan tsel karena ada perubahan desain (12/01) Menunggu Iterasi ED dan Tsel (07/1) ORDER JPP BATTCH 1 2026</v>
      </c>
      <c r="R24" s="103"/>
      <c r="S24" s="8"/>
      <c r="T24" s="8"/>
      <c r="U24" s="8"/>
      <c r="V24" s="1"/>
      <c r="W24" s="55"/>
      <c r="X24" s="55" t="str">
        <f>IFERROR(__xludf.DUMMYFUNCTION("""COMPUTED_VALUE"""),"BELUM GOLIVE")</f>
        <v>BELUM GOLIVE</v>
      </c>
      <c r="Y24" s="55"/>
      <c r="Z24" s="55" t="str">
        <f>IFERROR(__xludf.DUMMYFUNCTION("""COMPUTED_VALUE"""),"#N/A")</f>
        <v>#N/A</v>
      </c>
      <c r="AA24" s="55"/>
      <c r="AB24" s="55"/>
      <c r="AC24" s="55"/>
      <c r="AD24" s="104"/>
      <c r="AE24" s="105"/>
      <c r="AF24" s="54" t="str">
        <f>IFERROR(__xludf.DUMMYFUNCTION("""COMPUTED_VALUE"""),"Draft BA DROP")</f>
        <v>Draft BA DROP</v>
      </c>
      <c r="AG24" s="54"/>
      <c r="AH24" s="54"/>
      <c r="AI24" s="55" t="str">
        <f t="shared" si="5"/>
        <v/>
      </c>
      <c r="AJ24" s="56" t="str">
        <f t="shared" si="3"/>
        <v>not yet</v>
      </c>
      <c r="AL24" s="55"/>
      <c r="AM24" s="55"/>
      <c r="AN24" s="55"/>
      <c r="AO24" s="55"/>
      <c r="AP24" s="55"/>
      <c r="AQ24" s="55"/>
      <c r="AR24" s="106">
        <v>18.0</v>
      </c>
      <c r="AS24" s="124">
        <v>2026.0</v>
      </c>
      <c r="AT24" s="126">
        <v>1.1425832E7</v>
      </c>
      <c r="AU24" s="125" t="s">
        <v>129</v>
      </c>
      <c r="AV24" s="126" t="s">
        <v>43</v>
      </c>
      <c r="AW24" s="127" t="str">
        <f t="shared" si="6"/>
        <v>DUMAI</v>
      </c>
      <c r="AX24" s="124" t="s">
        <v>130</v>
      </c>
      <c r="AY24" s="124" t="s">
        <v>45</v>
      </c>
      <c r="AZ24" s="124" t="s">
        <v>62</v>
      </c>
      <c r="BA24" s="124" t="s">
        <v>84</v>
      </c>
      <c r="BB24" s="124">
        <v>5.0</v>
      </c>
      <c r="BC24" s="124">
        <v>40.0</v>
      </c>
      <c r="BD24" s="128" t="s">
        <v>131</v>
      </c>
      <c r="BE24" s="124" t="s">
        <v>70</v>
      </c>
      <c r="BF24" s="125" t="s">
        <v>86</v>
      </c>
      <c r="BG24" s="125" t="s">
        <v>132</v>
      </c>
      <c r="BH24" s="110" t="s">
        <v>52</v>
      </c>
      <c r="BI24" s="159">
        <v>46091.0</v>
      </c>
      <c r="BJ24" s="106"/>
      <c r="BK24" s="106"/>
      <c r="BL24" s="94"/>
      <c r="BO24" s="161"/>
      <c r="BP24" s="161"/>
      <c r="BQ24" s="161"/>
      <c r="BV24" s="158"/>
      <c r="BY24" s="158"/>
      <c r="CB24" s="158"/>
    </row>
    <row r="25" ht="18.0" hidden="1" customHeight="1">
      <c r="A25" s="1">
        <f>IFERROR(__xludf.DUMMYFUNCTION("""COMPUTED_VALUE"""),2026.0)</f>
        <v>2026</v>
      </c>
      <c r="B25" s="98">
        <f>IFERROR(__xludf.DUMMYFUNCTION("""COMPUTED_VALUE"""),1.1533341E7)</f>
        <v>11533341</v>
      </c>
      <c r="C25" s="1" t="str">
        <f>IFERROR(__xludf.DUMMYFUNCTION("""COMPUTED_VALUE"""),"BBL PT3 BELITUNG HIJAU 2")</f>
        <v>BBL PT3 BELITUNG HIJAU 2</v>
      </c>
      <c r="D25" s="1" t="str">
        <f>IFERROR(__xludf.DUMMYFUNCTION("""COMPUTED_VALUE"""),"REGIONAL I")</f>
        <v>REGIONAL I</v>
      </c>
      <c r="E25" s="1" t="str">
        <f>IFERROR(__xludf.DUMMYFUNCTION("""COMPUTED_VALUE"""),"BABEL")</f>
        <v>BABEL</v>
      </c>
      <c r="F25" s="1" t="str">
        <f>IFERROR(__xludf.DUMMYFUNCTION("""COMPUTED_VALUE"""),"TJN")</f>
        <v>TJN</v>
      </c>
      <c r="G25" s="1" t="str">
        <f>IFERROR(__xludf.DUMMYFUNCTION("""COMPUTED_VALUE"""),"SUMBAGSEL")</f>
        <v>SUMBAGSEL</v>
      </c>
      <c r="H25" s="1" t="str">
        <f>IFERROR(__xludf.DUMMYFUNCTION("""COMPUTED_VALUE"""),"PANGKAL PINANG")</f>
        <v>PANGKAL PINANG</v>
      </c>
      <c r="I25" s="1" t="str">
        <f>IFERROR(__xludf.DUMMYFUNCTION("""COMPUTED_VALUE"""),"Batch 1")</f>
        <v>Batch 1</v>
      </c>
      <c r="J25" s="99">
        <f>IFERROR(__xludf.DUMMYFUNCTION("""COMPUTED_VALUE"""),4.0)</f>
        <v>4</v>
      </c>
      <c r="K25" s="100">
        <f>IFERROR(__xludf.DUMMYFUNCTION("""COMPUTED_VALUE"""),32.0)</f>
        <v>32</v>
      </c>
      <c r="L25" s="101">
        <f>IFERROR(__xludf.DUMMYFUNCTION("""COMPUTED_VALUE"""),781466.0)</f>
        <v>781466</v>
      </c>
      <c r="M25" s="102">
        <f>IFERROR(__xludf.DUMMYFUNCTION("""COMPUTED_VALUE"""),2.5006905E7)</f>
        <v>25006905</v>
      </c>
      <c r="N25" s="1" t="str">
        <f>IFERROR(__xludf.DUMMYFUNCTION("""COMPUTED_VALUE"""),"PT SARANA MITRA PERSADA")</f>
        <v>PT SARANA MITRA PERSADA</v>
      </c>
      <c r="O25" s="1" t="str">
        <f>IFERROR(__xludf.DUMMYFUNCTION("""COMPUTED_VALUE"""),"0. DROP")</f>
        <v>0. DROP</v>
      </c>
      <c r="P25" s="1" t="str">
        <f>IFERROR(__xludf.DUMMYFUNCTION("""COMPUTED_VALUE"""),"0.1 Double Order")</f>
        <v>0.1 Double Order</v>
      </c>
      <c r="Q25" s="1" t="str">
        <f>IFERROR(__xludf.DUMMYFUNCTION("""COMPUTED_VALUE"""),"(12/01) Drop Order Double (Karena Sudah masuk ke BBL PT3 P3I4 BELITUNG HIJAU 2 12205486 ) (07/1) ORDER JPP BATTCH 1 2026")</f>
        <v>(12/01) Drop Order Double (Karena Sudah masuk ke BBL PT3 P3I4 BELITUNG HIJAU 2 12205486 ) (07/1) ORDER JPP BATTCH 1 2026</v>
      </c>
      <c r="R25" s="103"/>
      <c r="S25" s="8"/>
      <c r="T25" s="8"/>
      <c r="U25" s="8"/>
      <c r="V25" s="1"/>
      <c r="W25" s="55"/>
      <c r="X25" s="55" t="str">
        <f>IFERROR(__xludf.DUMMYFUNCTION("""COMPUTED_VALUE"""),"BELUM GOLIVE")</f>
        <v>BELUM GOLIVE</v>
      </c>
      <c r="Y25" s="55"/>
      <c r="Z25" s="55" t="str">
        <f>IFERROR(__xludf.DUMMYFUNCTION("""COMPUTED_VALUE"""),"#N/A")</f>
        <v>#N/A</v>
      </c>
      <c r="AA25" s="55"/>
      <c r="AB25" s="55"/>
      <c r="AC25" s="55"/>
      <c r="AD25" s="104"/>
      <c r="AE25" s="105"/>
      <c r="AF25" s="54" t="str">
        <f>IFERROR(__xludf.DUMMYFUNCTION("""COMPUTED_VALUE"""),"Draft BA DROP")</f>
        <v>Draft BA DROP</v>
      </c>
      <c r="AG25" s="54"/>
      <c r="AH25" s="54"/>
      <c r="AI25" s="55" t="str">
        <f t="shared" si="5"/>
        <v/>
      </c>
      <c r="AJ25" s="56" t="str">
        <f t="shared" si="3"/>
        <v>not yet</v>
      </c>
      <c r="AL25" s="55"/>
      <c r="AM25" s="55"/>
      <c r="AN25" s="55"/>
      <c r="AO25" s="55"/>
      <c r="AP25" s="55"/>
      <c r="AQ25" s="55"/>
      <c r="AR25" s="106">
        <v>19.0</v>
      </c>
      <c r="AS25" s="124">
        <v>2026.0</v>
      </c>
      <c r="AT25" s="124">
        <v>1.1284494E7</v>
      </c>
      <c r="AU25" s="125" t="s">
        <v>133</v>
      </c>
      <c r="AV25" s="126" t="s">
        <v>43</v>
      </c>
      <c r="AW25" s="127" t="str">
        <f t="shared" si="6"/>
        <v>DUMAI</v>
      </c>
      <c r="AX25" s="124" t="s">
        <v>134</v>
      </c>
      <c r="AY25" s="124" t="s">
        <v>45</v>
      </c>
      <c r="AZ25" s="124" t="s">
        <v>62</v>
      </c>
      <c r="BA25" s="124" t="s">
        <v>47</v>
      </c>
      <c r="BB25" s="124">
        <v>7.0</v>
      </c>
      <c r="BC25" s="124">
        <v>56.0</v>
      </c>
      <c r="BD25" s="128" t="s">
        <v>63</v>
      </c>
      <c r="BE25" s="124" t="s">
        <v>49</v>
      </c>
      <c r="BF25" s="125" t="s">
        <v>127</v>
      </c>
      <c r="BG25" s="125" t="s">
        <v>135</v>
      </c>
      <c r="BH25" s="110" t="s">
        <v>52</v>
      </c>
      <c r="BI25" s="159">
        <v>46091.0</v>
      </c>
      <c r="BJ25" s="106"/>
      <c r="BK25" s="106"/>
      <c r="BL25" s="94"/>
      <c r="BO25" s="162"/>
      <c r="BP25" s="162"/>
      <c r="BQ25" s="162"/>
      <c r="BV25" s="158"/>
      <c r="BY25" s="158"/>
      <c r="CB25" s="158"/>
    </row>
    <row r="26" ht="18.0" hidden="1" customHeight="1">
      <c r="A26" s="1">
        <f>IFERROR(__xludf.DUMMYFUNCTION("""COMPUTED_VALUE"""),2026.0)</f>
        <v>2026</v>
      </c>
      <c r="B26" s="98">
        <f>IFERROR(__xludf.DUMMYFUNCTION("""COMPUTED_VALUE"""),1.1533399E7)</f>
        <v>11533399</v>
      </c>
      <c r="C26" s="1" t="str">
        <f>IFERROR(__xludf.DUMMYFUNCTION("""COMPUTED_VALUE"""),"MDN PT3 PRT-FA JL.SIDODADI")</f>
        <v>MDN PT3 PRT-FA JL.SIDODADI</v>
      </c>
      <c r="D26" s="1" t="str">
        <f>IFERROR(__xludf.DUMMYFUNCTION("""COMPUTED_VALUE"""),"REGIONAL I")</f>
        <v>REGIONAL I</v>
      </c>
      <c r="E26" s="1" t="str">
        <f>IFERROR(__xludf.DUMMYFUNCTION("""COMPUTED_VALUE"""),"MEDAN")</f>
        <v>MEDAN</v>
      </c>
      <c r="F26" s="1" t="str">
        <f>IFERROR(__xludf.DUMMYFUNCTION("""COMPUTED_VALUE"""),"PRT")</f>
        <v>PRT</v>
      </c>
      <c r="G26" s="1" t="str">
        <f>IFERROR(__xludf.DUMMYFUNCTION("""COMPUTED_VALUE"""),"SUMBAGUT")</f>
        <v>SUMBAGUT</v>
      </c>
      <c r="H26" s="1" t="str">
        <f>IFERROR(__xludf.DUMMYFUNCTION("""COMPUTED_VALUE"""),"MEDAN")</f>
        <v>MEDAN</v>
      </c>
      <c r="I26" s="1" t="str">
        <f>IFERROR(__xludf.DUMMYFUNCTION("""COMPUTED_VALUE"""),"Batch 1")</f>
        <v>Batch 1</v>
      </c>
      <c r="J26" s="99">
        <f>IFERROR(__xludf.DUMMYFUNCTION("""COMPUTED_VALUE"""),5.0)</f>
        <v>5</v>
      </c>
      <c r="K26" s="100">
        <f>IFERROR(__xludf.DUMMYFUNCTION("""COMPUTED_VALUE"""),40.0)</f>
        <v>40</v>
      </c>
      <c r="L26" s="101">
        <f>IFERROR(__xludf.DUMMYFUNCTION("""COMPUTED_VALUE"""),1083939.0)</f>
        <v>1083939</v>
      </c>
      <c r="M26" s="102">
        <f>IFERROR(__xludf.DUMMYFUNCTION("""COMPUTED_VALUE"""),4.3357538E7)</f>
        <v>43357538</v>
      </c>
      <c r="N26" s="1" t="str">
        <f>IFERROR(__xludf.DUMMYFUNCTION("""COMPUTED_VALUE"""),"PT BENWA  MITRA PRATAMA")</f>
        <v>PT BENWA  MITRA PRATAMA</v>
      </c>
      <c r="O26" s="1" t="str">
        <f>IFERROR(__xludf.DUMMYFUNCTION("""COMPUTED_VALUE"""),"7. GOLIVE")</f>
        <v>7. GOLIVE</v>
      </c>
      <c r="P26" s="1" t="str">
        <f>IFERROR(__xludf.DUMMYFUNCTION("""COMPUTED_VALUE"""),"7.2 Golive Full / OA / DONE OTB")</f>
        <v>7.2 Golive Full / OA / DONE OTB</v>
      </c>
      <c r="Q26" s="1" t="str">
        <f>IFERROR(__xludf.DUMMYFUNCTION("""COMPUTED_VALUE"""),"03/02 done abd 22/02 Pemasangan ODP 14/02 Penarikan DS 1700m 06/02 Matdel 02/02 Feeder OK, lanjut perizinan")</f>
        <v>03/02 done abd 22/02 Pemasangan ODP 14/02 Penarikan DS 1700m 06/02 Matdel 02/02 Feeder OK, lanjut perizinan</v>
      </c>
      <c r="R26" s="103">
        <f>IFERROR(__xludf.DUMMYFUNCTION("""COMPUTED_VALUE"""),46083.0)</f>
        <v>46083</v>
      </c>
      <c r="S26" s="8" t="str">
        <f>IFERROR(__xludf.DUMMYFUNCTION("""COMPUTED_VALUE"""),"MAR")</f>
        <v>MAR</v>
      </c>
      <c r="T26" s="8"/>
      <c r="U26" s="8" t="str">
        <f>IFERROR(__xludf.DUMMYFUNCTION("""COMPUTED_VALUE"""),"W01-232/2026")</f>
        <v>W01-232/2026</v>
      </c>
      <c r="V26" s="1"/>
      <c r="W26" s="55"/>
      <c r="X26" s="55" t="str">
        <f>IFERROR(__xludf.DUMMYFUNCTION("""COMPUTED_VALUE"""),"GOLIVE")</f>
        <v>GOLIVE</v>
      </c>
      <c r="Y26" s="55" t="str">
        <f>IFERROR(__xludf.DUMMYFUNCTION("""COMPUTED_VALUE"""),"DONE")</f>
        <v>DONE</v>
      </c>
      <c r="Z26" s="55" t="str">
        <f>IFERROR(__xludf.DUMMYFUNCTION("""COMPUTED_VALUE"""),"#N/A")</f>
        <v>#N/A</v>
      </c>
      <c r="AA26" s="55">
        <f>IFERROR(__xludf.DUMMYFUNCTION("""COMPUTED_VALUE"""),5.0)</f>
        <v>5</v>
      </c>
      <c r="AB26" s="55"/>
      <c r="AC26" s="55" t="str">
        <f>IFERROR(__xludf.DUMMYFUNCTION("""COMPUTED_VALUE"""),"9166306#9166311")</f>
        <v>9166306#9166311</v>
      </c>
      <c r="AD26" s="104">
        <f>IFERROR(__xludf.DUMMYFUNCTION("""COMPUTED_VALUE"""),40.0)</f>
        <v>40</v>
      </c>
      <c r="AE26" s="105">
        <f>IFERROR(__xludf.DUMMYFUNCTION("""COMPUTED_VALUE"""),46083.0)</f>
        <v>46083</v>
      </c>
      <c r="AF26" s="54"/>
      <c r="AG26" s="54"/>
      <c r="AH26" s="54">
        <v>46083.0</v>
      </c>
      <c r="AI26" s="55">
        <f t="shared" si="5"/>
        <v>0</v>
      </c>
      <c r="AJ26" s="56" t="str">
        <f t="shared" si="3"/>
        <v>not yet</v>
      </c>
      <c r="AL26" s="55"/>
      <c r="AM26" s="55"/>
      <c r="AN26" s="55"/>
      <c r="AO26" s="55"/>
      <c r="AP26" s="55"/>
      <c r="AQ26" s="55"/>
      <c r="AR26" s="106">
        <v>20.0</v>
      </c>
      <c r="AS26" s="124">
        <v>2026.0</v>
      </c>
      <c r="AT26" s="124">
        <v>1.1516615E7</v>
      </c>
      <c r="AU26" s="125" t="s">
        <v>136</v>
      </c>
      <c r="AV26" s="126" t="s">
        <v>43</v>
      </c>
      <c r="AW26" s="127" t="str">
        <f t="shared" si="6"/>
        <v>BATAM</v>
      </c>
      <c r="AX26" s="124" t="s">
        <v>137</v>
      </c>
      <c r="AY26" s="124" t="s">
        <v>45</v>
      </c>
      <c r="AZ26" s="124" t="s">
        <v>53</v>
      </c>
      <c r="BA26" s="124" t="s">
        <v>84</v>
      </c>
      <c r="BB26" s="124">
        <v>1.0</v>
      </c>
      <c r="BC26" s="124">
        <v>8.0</v>
      </c>
      <c r="BD26" s="128" t="s">
        <v>138</v>
      </c>
      <c r="BE26" s="124" t="s">
        <v>70</v>
      </c>
      <c r="BF26" s="125" t="s">
        <v>86</v>
      </c>
      <c r="BG26" s="125" t="s">
        <v>139</v>
      </c>
      <c r="BH26" s="110" t="s">
        <v>52</v>
      </c>
      <c r="BI26" s="159">
        <v>46091.0</v>
      </c>
      <c r="BJ26" s="106"/>
      <c r="BK26" s="106"/>
      <c r="BL26" s="116"/>
      <c r="BO26" s="162"/>
      <c r="BP26" s="162"/>
      <c r="BQ26" s="162"/>
      <c r="BV26" s="158"/>
      <c r="BY26" s="158"/>
      <c r="CB26" s="158"/>
    </row>
    <row r="27" ht="18.0" hidden="1" customHeight="1">
      <c r="A27" s="1">
        <f>IFERROR(__xludf.DUMMYFUNCTION("""COMPUTED_VALUE"""),2026.0)</f>
        <v>2026</v>
      </c>
      <c r="B27" s="98">
        <f>IFERROR(__xludf.DUMMYFUNCTION("""COMPUTED_VALUE"""),1.1618227E7)</f>
        <v>11618227</v>
      </c>
      <c r="C27" s="1" t="str">
        <f>IFERROR(__xludf.DUMMYFUNCTION("""COMPUTED_VALUE"""),"MDN PT3 GLG-FH DS PERTUMBUKAN 2_MD25")</f>
        <v>MDN PT3 GLG-FH DS PERTUMBUKAN 2_MD25</v>
      </c>
      <c r="D27" s="1" t="str">
        <f>IFERROR(__xludf.DUMMYFUNCTION("""COMPUTED_VALUE"""),"REGIONAL I")</f>
        <v>REGIONAL I</v>
      </c>
      <c r="E27" s="1" t="str">
        <f>IFERROR(__xludf.DUMMYFUNCTION("""COMPUTED_VALUE"""),"MEDAN")</f>
        <v>MEDAN</v>
      </c>
      <c r="F27" s="1" t="str">
        <f>IFERROR(__xludf.DUMMYFUNCTION("""COMPUTED_VALUE"""),"GLG")</f>
        <v>GLG</v>
      </c>
      <c r="G27" s="1" t="str">
        <f>IFERROR(__xludf.DUMMYFUNCTION("""COMPUTED_VALUE"""),"SUMBAGUT")</f>
        <v>SUMBAGUT</v>
      </c>
      <c r="H27" s="1" t="str">
        <f>IFERROR(__xludf.DUMMYFUNCTION("""COMPUTED_VALUE"""),"MEDAN")</f>
        <v>MEDAN</v>
      </c>
      <c r="I27" s="1" t="str">
        <f>IFERROR(__xludf.DUMMYFUNCTION("""COMPUTED_VALUE"""),"Batch 1")</f>
        <v>Batch 1</v>
      </c>
      <c r="J27" s="99">
        <f>IFERROR(__xludf.DUMMYFUNCTION("""COMPUTED_VALUE"""),8.0)</f>
        <v>8</v>
      </c>
      <c r="K27" s="100">
        <f>IFERROR(__xludf.DUMMYFUNCTION("""COMPUTED_VALUE"""),64.0)</f>
        <v>64</v>
      </c>
      <c r="L27" s="101">
        <f>IFERROR(__xludf.DUMMYFUNCTION("""COMPUTED_VALUE"""),1097517.0)</f>
        <v>1097517</v>
      </c>
      <c r="M27" s="102">
        <f>IFERROR(__xludf.DUMMYFUNCTION("""COMPUTED_VALUE"""),7.0241068E7)</f>
        <v>70241068</v>
      </c>
      <c r="N27" s="1" t="str">
        <f>IFERROR(__xludf.DUMMYFUNCTION("""COMPUTED_VALUE"""),"PT NIAGA NUSANTARA DIVA")</f>
        <v>PT NIAGA NUSANTARA DIVA</v>
      </c>
      <c r="O27" s="1" t="str">
        <f>IFERROR(__xludf.DUMMYFUNCTION("""COMPUTED_VALUE"""),"2. DONE AANWIJZING")</f>
        <v>2. DONE AANWIJZING</v>
      </c>
      <c r="P27" s="1" t="str">
        <f>IFERROR(__xludf.DUMMYFUNCTION("""COMPUTED_VALUE"""),"2.10 Kendala - Feeder Rusak")</f>
        <v>2.10 Kendala - Feeder Rusak</v>
      </c>
      <c r="Q27" s="1" t="str">
        <f>IFERROR(__xludf.DUMMYFUNCTION("""COMPUTED_VALUE"""),"20/04 pengecekan tipus/butuh qe
05/02 feeder loss/rusak 
(07/01) Persiapan")</f>
        <v>20/04 pengecekan tipus/butuh qe
05/02 feeder loss/rusak 
(07/01) Persiapan</v>
      </c>
      <c r="R27" s="103"/>
      <c r="S27" s="8"/>
      <c r="T27" s="8"/>
      <c r="U27" s="8"/>
      <c r="V27" s="1"/>
      <c r="W27" s="55"/>
      <c r="X27" s="55" t="str">
        <f>IFERROR(__xludf.DUMMYFUNCTION("""COMPUTED_VALUE"""),"BELUM GOLIVE")</f>
        <v>BELUM GOLIVE</v>
      </c>
      <c r="Y27" s="55"/>
      <c r="Z27" s="55" t="str">
        <f>IFERROR(__xludf.DUMMYFUNCTION("""COMPUTED_VALUE"""),"#N/A")</f>
        <v>#N/A</v>
      </c>
      <c r="AA27" s="55"/>
      <c r="AB27" s="55"/>
      <c r="AC27" s="55"/>
      <c r="AD27" s="104"/>
      <c r="AE27" s="105"/>
      <c r="AF27" s="54"/>
      <c r="AG27" s="54"/>
      <c r="AH27" s="54"/>
      <c r="AI27" s="55" t="str">
        <f t="shared" si="5"/>
        <v/>
      </c>
      <c r="AJ27" s="56" t="str">
        <f t="shared" si="3"/>
        <v>not yet</v>
      </c>
      <c r="AL27" s="55"/>
      <c r="AM27" s="55"/>
      <c r="AN27" s="55"/>
      <c r="AO27" s="55"/>
      <c r="AP27" s="55"/>
      <c r="AQ27" s="55"/>
      <c r="AR27" s="106">
        <v>21.0</v>
      </c>
      <c r="AS27" s="124">
        <v>2026.0</v>
      </c>
      <c r="AT27" s="124">
        <v>1.2874033E7</v>
      </c>
      <c r="AU27" s="125" t="s">
        <v>140</v>
      </c>
      <c r="AV27" s="126" t="s">
        <v>43</v>
      </c>
      <c r="AW27" s="127" t="str">
        <f t="shared" si="6"/>
        <v>BUKIT TINGGI</v>
      </c>
      <c r="AX27" s="124" t="s">
        <v>141</v>
      </c>
      <c r="AY27" s="124" t="s">
        <v>45</v>
      </c>
      <c r="AZ27" s="124" t="s">
        <v>59</v>
      </c>
      <c r="BA27" s="124" t="s">
        <v>47</v>
      </c>
      <c r="BB27" s="124">
        <v>3.0</v>
      </c>
      <c r="BC27" s="124">
        <v>24.0</v>
      </c>
      <c r="BD27" s="128" t="s">
        <v>142</v>
      </c>
      <c r="BE27" s="124" t="s">
        <v>70</v>
      </c>
      <c r="BF27" s="125" t="s">
        <v>143</v>
      </c>
      <c r="BG27" s="125" t="s">
        <v>144</v>
      </c>
      <c r="BH27" s="110" t="s">
        <v>52</v>
      </c>
      <c r="BI27" s="159">
        <v>46092.0</v>
      </c>
      <c r="BJ27" s="163">
        <v>46097.0</v>
      </c>
      <c r="BK27" s="112"/>
      <c r="BL27" s="112">
        <v>144.0</v>
      </c>
      <c r="BO27" s="164"/>
      <c r="BP27" s="164"/>
      <c r="BQ27" s="164"/>
      <c r="BV27" s="158"/>
      <c r="BY27" s="158"/>
      <c r="CB27" s="158"/>
    </row>
    <row r="28" ht="33.75" hidden="1" customHeight="1">
      <c r="A28" s="1">
        <f>IFERROR(__xludf.DUMMYFUNCTION("""COMPUTED_VALUE"""),2026.0)</f>
        <v>2026</v>
      </c>
      <c r="B28" s="98">
        <f>IFERROR(__xludf.DUMMYFUNCTION("""COMPUTED_VALUE"""),1.1858941E7)</f>
        <v>11858941</v>
      </c>
      <c r="C28" s="1" t="str">
        <f>IFERROR(__xludf.DUMMYFUNCTION("""COMPUTED_VALUE"""),"MDN PT3 BJI-FNA DELI SERDANG_167539")</f>
        <v>MDN PT3 BJI-FNA DELI SERDANG_167539</v>
      </c>
      <c r="D28" s="1" t="str">
        <f>IFERROR(__xludf.DUMMYFUNCTION("""COMPUTED_VALUE"""),"REGIONAL I")</f>
        <v>REGIONAL I</v>
      </c>
      <c r="E28" s="1" t="str">
        <f>IFERROR(__xludf.DUMMYFUNCTION("""COMPUTED_VALUE"""),"MEDAN")</f>
        <v>MEDAN</v>
      </c>
      <c r="F28" s="1" t="str">
        <f>IFERROR(__xludf.DUMMYFUNCTION("""COMPUTED_VALUE"""),"BJI")</f>
        <v>BJI</v>
      </c>
      <c r="G28" s="1" t="str">
        <f>IFERROR(__xludf.DUMMYFUNCTION("""COMPUTED_VALUE"""),"SUMBAGUT")</f>
        <v>SUMBAGUT</v>
      </c>
      <c r="H28" s="1" t="str">
        <f>IFERROR(__xludf.DUMMYFUNCTION("""COMPUTED_VALUE"""),"BINJAI")</f>
        <v>BINJAI</v>
      </c>
      <c r="I28" s="1" t="str">
        <f>IFERROR(__xludf.DUMMYFUNCTION("""COMPUTED_VALUE"""),"Batch 1")</f>
        <v>Batch 1</v>
      </c>
      <c r="J28" s="99">
        <f>IFERROR(__xludf.DUMMYFUNCTION("""COMPUTED_VALUE"""),3.0)</f>
        <v>3</v>
      </c>
      <c r="K28" s="100">
        <f>IFERROR(__xludf.DUMMYFUNCTION("""COMPUTED_VALUE"""),24.0)</f>
        <v>24</v>
      </c>
      <c r="L28" s="101">
        <f>IFERROR(__xludf.DUMMYFUNCTION("""COMPUTED_VALUE"""),767847.0)</f>
        <v>767847</v>
      </c>
      <c r="M28" s="102">
        <f>IFERROR(__xludf.DUMMYFUNCTION("""COMPUTED_VALUE"""),1.8428321E7)</f>
        <v>18428321</v>
      </c>
      <c r="N28" s="1" t="str">
        <f>IFERROR(__xludf.DUMMYFUNCTION("""COMPUTED_VALUE"""),"PT KENCANA RAYA INDONESIA")</f>
        <v>PT KENCANA RAYA INDONESIA</v>
      </c>
      <c r="O28" s="1" t="str">
        <f>IFERROR(__xludf.DUMMYFUNCTION("""COMPUTED_VALUE"""),"2. DONE AANWIJZING")</f>
        <v>2. DONE AANWIJZING</v>
      </c>
      <c r="P28" s="1" t="str">
        <f>IFERROR(__xludf.DUMMYFUNCTION("""COMPUTED_VALUE"""),"2.10 Kendala - Feeder Rusak")</f>
        <v>2.10 Kendala - Feeder Rusak</v>
      </c>
      <c r="Q28" s="1" t="str">
        <f>IFERROR(__xludf.DUMMYFUNCTION("""COMPUTED_VALUE"""),"16/02 feeder redaman tinggi 
(07/01) Persiapan
18/09 MENUNGGU PROJECT MDN PT4 P1I1 BJI-FNA JL.MELATI SIDOMULYO")</f>
        <v>16/02 feeder redaman tinggi 
(07/01) Persiapan
18/09 MENUNGGU PROJECT MDN PT4 P1I1 BJI-FNA JL.MELATI SIDOMULYO</v>
      </c>
      <c r="R28" s="103"/>
      <c r="S28" s="8"/>
      <c r="T28" s="8"/>
      <c r="U28" s="8"/>
      <c r="V28" s="1"/>
      <c r="W28" s="55"/>
      <c r="X28" s="55" t="str">
        <f>IFERROR(__xludf.DUMMYFUNCTION("""COMPUTED_VALUE"""),"BELUM GOLIVE")</f>
        <v>BELUM GOLIVE</v>
      </c>
      <c r="Y28" s="55"/>
      <c r="Z28" s="55" t="str">
        <f>IFERROR(__xludf.DUMMYFUNCTION("""COMPUTED_VALUE"""),"#N/A")</f>
        <v>#N/A</v>
      </c>
      <c r="AA28" s="55"/>
      <c r="AB28" s="55"/>
      <c r="AC28" s="55"/>
      <c r="AD28" s="104"/>
      <c r="AE28" s="105"/>
      <c r="AF28" s="54"/>
      <c r="AG28" s="54"/>
      <c r="AH28" s="54"/>
      <c r="AI28" s="55" t="str">
        <f t="shared" si="5"/>
        <v/>
      </c>
      <c r="AJ28" s="56" t="str">
        <f t="shared" si="3"/>
        <v>not yet</v>
      </c>
      <c r="AL28" s="55"/>
      <c r="AM28" s="55"/>
      <c r="AN28" s="55"/>
      <c r="AO28" s="55"/>
      <c r="AP28" s="55"/>
      <c r="AQ28" s="55"/>
      <c r="AR28" s="106">
        <v>22.0</v>
      </c>
      <c r="AS28" s="124">
        <v>2026.0</v>
      </c>
      <c r="AT28" s="124">
        <v>1.2528409E7</v>
      </c>
      <c r="AU28" s="125" t="s">
        <v>145</v>
      </c>
      <c r="AV28" s="126" t="s">
        <v>43</v>
      </c>
      <c r="AW28" s="127" t="str">
        <f t="shared" si="6"/>
        <v>BATAM</v>
      </c>
      <c r="AX28" s="124" t="s">
        <v>90</v>
      </c>
      <c r="AY28" s="124" t="s">
        <v>45</v>
      </c>
      <c r="AZ28" s="124" t="s">
        <v>53</v>
      </c>
      <c r="BA28" s="124" t="s">
        <v>84</v>
      </c>
      <c r="BB28" s="124">
        <v>1.0</v>
      </c>
      <c r="BC28" s="124">
        <v>8.0</v>
      </c>
      <c r="BD28" s="128" t="s">
        <v>91</v>
      </c>
      <c r="BE28" s="124" t="s">
        <v>92</v>
      </c>
      <c r="BF28" s="125" t="s">
        <v>93</v>
      </c>
      <c r="BG28" s="125" t="s">
        <v>146</v>
      </c>
      <c r="BH28" s="110" t="s">
        <v>52</v>
      </c>
      <c r="BI28" s="159">
        <v>46092.0</v>
      </c>
      <c r="BJ28" s="112"/>
      <c r="BK28" s="112"/>
      <c r="BL28" s="94"/>
      <c r="BO28" s="165" t="s">
        <v>23</v>
      </c>
      <c r="BP28" s="166" t="s">
        <v>36</v>
      </c>
      <c r="BQ28" s="166" t="s">
        <v>37</v>
      </c>
      <c r="BV28" s="158"/>
      <c r="BY28" s="158"/>
      <c r="CB28" s="158"/>
    </row>
    <row r="29" ht="18.0" hidden="1" customHeight="1">
      <c r="A29" s="1">
        <f>IFERROR(__xludf.DUMMYFUNCTION("""COMPUTED_VALUE"""),2026.0)</f>
        <v>2026</v>
      </c>
      <c r="B29" s="98">
        <f>IFERROR(__xludf.DUMMYFUNCTION("""COMPUTED_VALUE"""),1.1867969E7)</f>
        <v>11867969</v>
      </c>
      <c r="C29" s="1" t="str">
        <f>IFERROR(__xludf.DUMMYFUNCTION("""COMPUTED_VALUE"""),"MDN PT3 GLG-FF JL.KARYA_MD25")</f>
        <v>MDN PT3 GLG-FF JL.KARYA_MD25</v>
      </c>
      <c r="D29" s="1" t="str">
        <f>IFERROR(__xludf.DUMMYFUNCTION("""COMPUTED_VALUE"""),"REGIONAL I")</f>
        <v>REGIONAL I</v>
      </c>
      <c r="E29" s="1" t="str">
        <f>IFERROR(__xludf.DUMMYFUNCTION("""COMPUTED_VALUE"""),"MEDAN")</f>
        <v>MEDAN</v>
      </c>
      <c r="F29" s="1" t="str">
        <f>IFERROR(__xludf.DUMMYFUNCTION("""COMPUTED_VALUE"""),"GLG")</f>
        <v>GLG</v>
      </c>
      <c r="G29" s="1" t="str">
        <f>IFERROR(__xludf.DUMMYFUNCTION("""COMPUTED_VALUE"""),"SUMBAGUT")</f>
        <v>SUMBAGUT</v>
      </c>
      <c r="H29" s="1" t="str">
        <f>IFERROR(__xludf.DUMMYFUNCTION("""COMPUTED_VALUE"""),"MEDAN")</f>
        <v>MEDAN</v>
      </c>
      <c r="I29" s="1" t="str">
        <f>IFERROR(__xludf.DUMMYFUNCTION("""COMPUTED_VALUE"""),"Batch 1")</f>
        <v>Batch 1</v>
      </c>
      <c r="J29" s="99">
        <f>IFERROR(__xludf.DUMMYFUNCTION("""COMPUTED_VALUE"""),2.0)</f>
        <v>2</v>
      </c>
      <c r="K29" s="100">
        <f>IFERROR(__xludf.DUMMYFUNCTION("""COMPUTED_VALUE"""),16.0)</f>
        <v>16</v>
      </c>
      <c r="L29" s="101">
        <f>IFERROR(__xludf.DUMMYFUNCTION("""COMPUTED_VALUE"""),487299.0)</f>
        <v>487299</v>
      </c>
      <c r="M29" s="102">
        <f>IFERROR(__xludf.DUMMYFUNCTION("""COMPUTED_VALUE"""),7796773.0)</f>
        <v>7796773</v>
      </c>
      <c r="N29" s="1" t="str">
        <f>IFERROR(__xludf.DUMMYFUNCTION("""COMPUTED_VALUE"""),"PT NIAGA NUSANTARA DIVA")</f>
        <v>PT NIAGA NUSANTARA DIVA</v>
      </c>
      <c r="O29" s="1" t="str">
        <f>IFERROR(__xludf.DUMMYFUNCTION("""COMPUTED_VALUE"""),"2. DONE AANWIJZING")</f>
        <v>2. DONE AANWIJZING</v>
      </c>
      <c r="P29" s="1" t="str">
        <f>IFERROR(__xludf.DUMMYFUNCTION("""COMPUTED_VALUE"""),"2.10 Kendala - Feeder Rusak")</f>
        <v>2.10 Kendala - Feeder Rusak</v>
      </c>
      <c r="Q29" s="1" t="str">
        <f>IFERROR(__xludf.DUMMYFUNCTION("""COMPUTED_VALUE"""),"20/04 pengecekan tipus/butuh qe
12/02 Feeder redti
(07/01) Persiapan")</f>
        <v>20/04 pengecekan tipus/butuh qe
12/02 Feeder redti
(07/01) Persiapan</v>
      </c>
      <c r="R29" s="103"/>
      <c r="S29" s="8"/>
      <c r="T29" s="8"/>
      <c r="U29" s="8"/>
      <c r="V29" s="1"/>
      <c r="W29" s="55"/>
      <c r="X29" s="55" t="str">
        <f>IFERROR(__xludf.DUMMYFUNCTION("""COMPUTED_VALUE"""),"BELUM GOLIVE")</f>
        <v>BELUM GOLIVE</v>
      </c>
      <c r="Y29" s="55"/>
      <c r="Z29" s="55" t="str">
        <f>IFERROR(__xludf.DUMMYFUNCTION("""COMPUTED_VALUE"""),"#N/A")</f>
        <v>#N/A</v>
      </c>
      <c r="AA29" s="55"/>
      <c r="AB29" s="55"/>
      <c r="AC29" s="55"/>
      <c r="AD29" s="104"/>
      <c r="AE29" s="105"/>
      <c r="AF29" s="54"/>
      <c r="AG29" s="54"/>
      <c r="AH29" s="54"/>
      <c r="AI29" s="55" t="str">
        <f t="shared" si="5"/>
        <v/>
      </c>
      <c r="AJ29" s="56" t="str">
        <f t="shared" si="3"/>
        <v>not yet</v>
      </c>
      <c r="AL29" s="55"/>
      <c r="AM29" s="55"/>
      <c r="AN29" s="55"/>
      <c r="AO29" s="55"/>
      <c r="AP29" s="55"/>
      <c r="AQ29" s="55"/>
      <c r="AR29" s="106">
        <v>23.0</v>
      </c>
      <c r="AS29" s="124">
        <v>2026.0</v>
      </c>
      <c r="AT29" s="124">
        <v>1.119789E7</v>
      </c>
      <c r="AU29" s="125" t="s">
        <v>147</v>
      </c>
      <c r="AV29" s="126" t="s">
        <v>43</v>
      </c>
      <c r="AW29" s="127" t="str">
        <f t="shared" si="6"/>
        <v>BATAM</v>
      </c>
      <c r="AX29" s="124" t="s">
        <v>123</v>
      </c>
      <c r="AY29" s="124" t="s">
        <v>45</v>
      </c>
      <c r="AZ29" s="124" t="s">
        <v>53</v>
      </c>
      <c r="BA29" s="124" t="s">
        <v>84</v>
      </c>
      <c r="BB29" s="124">
        <v>10.0</v>
      </c>
      <c r="BC29" s="124">
        <v>80.0</v>
      </c>
      <c r="BD29" s="128" t="s">
        <v>117</v>
      </c>
      <c r="BE29" s="124" t="s">
        <v>70</v>
      </c>
      <c r="BF29" s="125" t="s">
        <v>71</v>
      </c>
      <c r="BG29" s="125" t="s">
        <v>124</v>
      </c>
      <c r="BH29" s="110" t="s">
        <v>52</v>
      </c>
      <c r="BI29" s="159">
        <v>46092.0</v>
      </c>
      <c r="BJ29" s="112"/>
      <c r="BK29" s="112"/>
      <c r="BL29" s="94"/>
      <c r="BO29" s="167" t="s">
        <v>53</v>
      </c>
      <c r="BP29" s="168">
        <v>11.0</v>
      </c>
      <c r="BQ29" s="168">
        <v>88.0</v>
      </c>
      <c r="BV29" s="158"/>
      <c r="BY29" s="158"/>
      <c r="CB29" s="158"/>
    </row>
    <row r="30" ht="18.0" hidden="1" customHeight="1">
      <c r="A30" s="1">
        <f>IFERROR(__xludf.DUMMYFUNCTION("""COMPUTED_VALUE"""),2026.0)</f>
        <v>2026</v>
      </c>
      <c r="B30" s="98">
        <f>IFERROR(__xludf.DUMMYFUNCTION("""COMPUTED_VALUE"""),1.1909792E7)</f>
        <v>11909792</v>
      </c>
      <c r="C30" s="1" t="str">
        <f>IFERROR(__xludf.DUMMYFUNCTION("""COMPUTED_VALUE"""),"SMU PT3 RAP-FAE D11 CLUST JL. PAINDOAN 2")</f>
        <v>SMU PT3 RAP-FAE D11 CLUST JL. PAINDOAN 2</v>
      </c>
      <c r="D30" s="1" t="str">
        <f>IFERROR(__xludf.DUMMYFUNCTION("""COMPUTED_VALUE"""),"REGIONAL I")</f>
        <v>REGIONAL I</v>
      </c>
      <c r="E30" s="1" t="str">
        <f>IFERROR(__xludf.DUMMYFUNCTION("""COMPUTED_VALUE"""),"SUMUT")</f>
        <v>SUMUT</v>
      </c>
      <c r="F30" s="1" t="str">
        <f>IFERROR(__xludf.DUMMYFUNCTION("""COMPUTED_VALUE"""),"RAP")</f>
        <v>RAP</v>
      </c>
      <c r="G30" s="1" t="str">
        <f>IFERROR(__xludf.DUMMYFUNCTION("""COMPUTED_VALUE"""),"SUMBAGUT")</f>
        <v>SUMBAGUT</v>
      </c>
      <c r="H30" s="1" t="str">
        <f>IFERROR(__xludf.DUMMYFUNCTION("""COMPUTED_VALUE"""),"RANTAU PRAPAT")</f>
        <v>RANTAU PRAPAT</v>
      </c>
      <c r="I30" s="1" t="str">
        <f>IFERROR(__xludf.DUMMYFUNCTION("""COMPUTED_VALUE"""),"Batch 1")</f>
        <v>Batch 1</v>
      </c>
      <c r="J30" s="99">
        <f>IFERROR(__xludf.DUMMYFUNCTION("""COMPUTED_VALUE"""),5.0)</f>
        <v>5</v>
      </c>
      <c r="K30" s="100">
        <f>IFERROR(__xludf.DUMMYFUNCTION("""COMPUTED_VALUE"""),40.0)</f>
        <v>40</v>
      </c>
      <c r="L30" s="101">
        <f>IFERROR(__xludf.DUMMYFUNCTION("""COMPUTED_VALUE"""),427067.0)</f>
        <v>427067</v>
      </c>
      <c r="M30" s="102">
        <f>IFERROR(__xludf.DUMMYFUNCTION("""COMPUTED_VALUE"""),1.7082647E7)</f>
        <v>17082647</v>
      </c>
      <c r="N30" s="1" t="str">
        <f>IFERROR(__xludf.DUMMYFUNCTION("""COMPUTED_VALUE"""),"PT FIBERHOME TECHNOLOGIES INDONESIA")</f>
        <v>PT FIBERHOME TECHNOLOGIES INDONESIA</v>
      </c>
      <c r="O30" s="1" t="str">
        <f>IFERROR(__xludf.DUMMYFUNCTION("""COMPUTED_VALUE"""),"8. UJI TERIMA")</f>
        <v>8. UJI TERIMA</v>
      </c>
      <c r="P30" s="1" t="str">
        <f>IFERROR(__xludf.DUMMYFUNCTION("""COMPUTED_VALUE"""),"8.1 Proses UT")</f>
        <v>8.1 Proses UT</v>
      </c>
      <c r="Q30" s="1" t="str">
        <f>IFERROR(__xludf.DUMMYFUNCTION("""COMPUTED_VALUE"""),"23/2 validasi sdi, 20/2 proses terminasi 5 odp, plan submit abd hari ini ,18/2 terminasi 5 odp sisa 2 paralel valins, ku 12 (350 selesai, 16/2 terminasi 5 odp, ku 12 (350 selesai, 13/2 penarikan ku 12 (350 selesai)  odp (5 blm ada progres), 12/2 penarikan"&amp;" ku 12 (350 selesai)  odp (5 blm ada progres), 11/2 prepair tim untuk progres di lokasi, 10/2 prepair tim untuk pengambilan material, 9/2 prepair pengiriman material kelokasi plan bsk 10/2, 6/2 prepair pengiriman matrial kelokasi, 5/2 proses input alista,"&amp;" 3/2 menunggu req kebutuhan matrial, 2/2 menunggu req kebutuhan matrial, 1/2 menunggu req kebutuhan matrial, 30/1 menunggu req material mitra,  28/1 Proses req material , 27/1 Req material HI, 26/1 proses req matrial 23/1 menunggu report  boq kml survey, "&amp;" 22/1 menunggu report  boq kml survey, 21/1 plan survey 22/1,20/1 plan survey 22/1 ,  19/1 plan survey 22/1 ,   15/1 plan survey 22/1 ,  14/1 menunggu info mitra, 13/1 menunggu info mitra, (07/01) Persiapan")</f>
        <v>23/2 validasi sdi, 20/2 proses terminasi 5 odp, plan submit abd hari ini ,18/2 terminasi 5 odp sisa 2 paralel valins, ku 12 (350 selesai, 16/2 terminasi 5 odp, ku 12 (350 selesai, 13/2 penarikan ku 12 (350 selesai)  odp (5 blm ada progres), 12/2 penarikan ku 12 (350 selesai)  odp (5 blm ada progres), 11/2 prepair tim untuk progres di lokasi, 10/2 prepair tim untuk pengambilan material, 9/2 prepair pengiriman material kelokasi plan bsk 10/2, 6/2 prepair pengiriman matrial kelokasi, 5/2 proses input alista, 3/2 menunggu req kebutuhan matrial, 2/2 menunggu req kebutuhan matrial, 1/2 menunggu req kebutuhan matrial, 30/1 menunggu req material mitra,  28/1 Proses req material , 27/1 Req material HI, 26/1 proses req matrial 23/1 menunggu report  boq kml survey,  22/1 menunggu report  boq kml survey, 21/1 plan survey 22/1,20/1 plan survey 22/1 ,  19/1 plan survey 22/1 ,   15/1 plan survey 22/1 ,  14/1 menunggu info mitra, 13/1 menunggu info mitra, (07/01) Persiapan</v>
      </c>
      <c r="R30" s="103">
        <f>IFERROR(__xludf.DUMMYFUNCTION("""COMPUTED_VALUE"""),46073.0)</f>
        <v>46073</v>
      </c>
      <c r="S30" s="8"/>
      <c r="T30" s="8"/>
      <c r="U30" s="8" t="str">
        <f>IFERROR(__xludf.DUMMYFUNCTION("""COMPUTED_VALUE"""),"TIF-1364/2026")</f>
        <v>TIF-1364/2026</v>
      </c>
      <c r="V30" s="1"/>
      <c r="W30" s="55"/>
      <c r="X30" s="55" t="str">
        <f>IFERROR(__xludf.DUMMYFUNCTION("""COMPUTED_VALUE"""),"GOLIVE")</f>
        <v>GOLIVE</v>
      </c>
      <c r="Y30" s="55" t="str">
        <f>IFERROR(__xludf.DUMMYFUNCTION("""COMPUTED_VALUE"""),"DONE")</f>
        <v>DONE</v>
      </c>
      <c r="Z30" s="55" t="str">
        <f>IFERROR(__xludf.DUMMYFUNCTION("""COMPUTED_VALUE"""),"#N/A")</f>
        <v>#N/A</v>
      </c>
      <c r="AA30" s="55">
        <f>IFERROR(__xludf.DUMMYFUNCTION("""COMPUTED_VALUE"""),5.0)</f>
        <v>5</v>
      </c>
      <c r="AB30" s="55"/>
      <c r="AC30" s="55" t="str">
        <f>IFERROR(__xludf.DUMMYFUNCTION("""COMPUTED_VALUE"""),"9137356#9137361")</f>
        <v>9137356#9137361</v>
      </c>
      <c r="AD30" s="104">
        <f>IFERROR(__xludf.DUMMYFUNCTION("""COMPUTED_VALUE"""),40.0)</f>
        <v>40</v>
      </c>
      <c r="AE30" s="105">
        <f>IFERROR(__xludf.DUMMYFUNCTION("""COMPUTED_VALUE"""),46076.0)</f>
        <v>46076</v>
      </c>
      <c r="AF30" s="54"/>
      <c r="AG30" s="54"/>
      <c r="AH30" s="54">
        <v>46073.0</v>
      </c>
      <c r="AI30" s="55">
        <f t="shared" si="5"/>
        <v>-3</v>
      </c>
      <c r="AJ30" s="56" t="str">
        <f t="shared" si="3"/>
        <v>lewat komitmen</v>
      </c>
      <c r="AL30" s="55"/>
      <c r="AM30" s="55"/>
      <c r="AN30" s="55"/>
      <c r="AO30" s="55"/>
      <c r="AP30" s="55"/>
      <c r="AQ30" s="55"/>
      <c r="AR30" s="106">
        <v>24.0</v>
      </c>
      <c r="AS30" s="107">
        <v>2026.0</v>
      </c>
      <c r="AT30" s="169">
        <v>1.2828065E7</v>
      </c>
      <c r="AU30" s="170" t="s">
        <v>148</v>
      </c>
      <c r="AV30" s="169" t="s">
        <v>43</v>
      </c>
      <c r="AW30" s="109" t="str">
        <f t="shared" si="6"/>
        <v>BUKIT TINGGI</v>
      </c>
      <c r="AX30" s="169" t="s">
        <v>149</v>
      </c>
      <c r="AY30" s="169" t="s">
        <v>45</v>
      </c>
      <c r="AZ30" s="169" t="s">
        <v>59</v>
      </c>
      <c r="BA30" s="169" t="s">
        <v>47</v>
      </c>
      <c r="BB30" s="169">
        <v>4.0</v>
      </c>
      <c r="BC30" s="169">
        <v>32.0</v>
      </c>
      <c r="BD30" s="170" t="s">
        <v>79</v>
      </c>
      <c r="BE30" s="107" t="s">
        <v>49</v>
      </c>
      <c r="BF30" s="170" t="s">
        <v>150</v>
      </c>
      <c r="BG30" s="108" t="s">
        <v>151</v>
      </c>
      <c r="BH30" s="110" t="s">
        <v>52</v>
      </c>
      <c r="BI30" s="171">
        <v>46092.0</v>
      </c>
      <c r="BJ30" s="106"/>
      <c r="BK30" s="106" t="s">
        <v>1</v>
      </c>
      <c r="BL30" s="94"/>
      <c r="BO30" s="172" t="s">
        <v>59</v>
      </c>
      <c r="BP30" s="173">
        <v>14.0</v>
      </c>
      <c r="BQ30" s="173">
        <v>112.0</v>
      </c>
      <c r="BU30" s="174"/>
      <c r="BV30" s="158"/>
      <c r="BY30" s="158"/>
      <c r="CB30" s="158"/>
    </row>
    <row r="31" ht="18.0" hidden="1" customHeight="1">
      <c r="A31" s="1">
        <f>IFERROR(__xludf.DUMMYFUNCTION("""COMPUTED_VALUE"""),2026.0)</f>
        <v>2026</v>
      </c>
      <c r="B31" s="98">
        <f>IFERROR(__xludf.DUMMYFUNCTION("""COMPUTED_VALUE"""),1.191015E7)</f>
        <v>11910150</v>
      </c>
      <c r="C31" s="1" t="str">
        <f>IFERROR(__xludf.DUMMYFUNCTION("""COMPUTED_VALUE"""),"MDN PT3 BJI-FQA DELI SERDANG_150826")</f>
        <v>MDN PT3 BJI-FQA DELI SERDANG_150826</v>
      </c>
      <c r="D31" s="1" t="str">
        <f>IFERROR(__xludf.DUMMYFUNCTION("""COMPUTED_VALUE"""),"REGIONAL I")</f>
        <v>REGIONAL I</v>
      </c>
      <c r="E31" s="1" t="str">
        <f>IFERROR(__xludf.DUMMYFUNCTION("""COMPUTED_VALUE"""),"MEDAN")</f>
        <v>MEDAN</v>
      </c>
      <c r="F31" s="1" t="str">
        <f>IFERROR(__xludf.DUMMYFUNCTION("""COMPUTED_VALUE"""),"BJI")</f>
        <v>BJI</v>
      </c>
      <c r="G31" s="1" t="str">
        <f>IFERROR(__xludf.DUMMYFUNCTION("""COMPUTED_VALUE"""),"SUMBAGUT")</f>
        <v>SUMBAGUT</v>
      </c>
      <c r="H31" s="1" t="str">
        <f>IFERROR(__xludf.DUMMYFUNCTION("""COMPUTED_VALUE"""),"BINJAI")</f>
        <v>BINJAI</v>
      </c>
      <c r="I31" s="1" t="str">
        <f>IFERROR(__xludf.DUMMYFUNCTION("""COMPUTED_VALUE"""),"Batch 1")</f>
        <v>Batch 1</v>
      </c>
      <c r="J31" s="99">
        <f>IFERROR(__xludf.DUMMYFUNCTION("""COMPUTED_VALUE"""),2.0)</f>
        <v>2</v>
      </c>
      <c r="K31" s="100">
        <f>IFERROR(__xludf.DUMMYFUNCTION("""COMPUTED_VALUE"""),16.0)</f>
        <v>16</v>
      </c>
      <c r="L31" s="101">
        <f>IFERROR(__xludf.DUMMYFUNCTION("""COMPUTED_VALUE"""),1151185.0)</f>
        <v>1151185</v>
      </c>
      <c r="M31" s="102">
        <f>IFERROR(__xludf.DUMMYFUNCTION("""COMPUTED_VALUE"""),1.8418945E7)</f>
        <v>18418945</v>
      </c>
      <c r="N31" s="1" t="str">
        <f>IFERROR(__xludf.DUMMYFUNCTION("""COMPUTED_VALUE"""),"PT FIBERHOME TECHNOLOGIES INDONESIA")</f>
        <v>PT FIBERHOME TECHNOLOGIES INDONESIA</v>
      </c>
      <c r="O31" s="1" t="str">
        <f>IFERROR(__xludf.DUMMYFUNCTION("""COMPUTED_VALUE"""),"0. DROP")</f>
        <v>0. DROP</v>
      </c>
      <c r="P31" s="1" t="str">
        <f>IFERROR(__xludf.DUMMYFUNCTION("""COMPUTED_VALUE"""),"0.4 CPP Tinggi Acc ED TIF")</f>
        <v>0.4 CPP Tinggi Acc ED TIF</v>
      </c>
      <c r="Q31" s="1" t="str">
        <f>IFERROR(__xludf.DUMMYFUNCTION("""COMPUTED_VALUE"""),"(07/02) done permit lanjut cek alpro (07/01) Persiapan")</f>
        <v>(07/02) done permit lanjut cek alpro (07/01) Persiapan</v>
      </c>
      <c r="R31" s="103"/>
      <c r="S31" s="8"/>
      <c r="T31" s="8"/>
      <c r="U31" s="8"/>
      <c r="V31" s="1"/>
      <c r="W31" s="55"/>
      <c r="X31" s="55" t="str">
        <f>IFERROR(__xludf.DUMMYFUNCTION("""COMPUTED_VALUE"""),"BELUM GOLIVE")</f>
        <v>BELUM GOLIVE</v>
      </c>
      <c r="Y31" s="55"/>
      <c r="Z31" s="55" t="str">
        <f>IFERROR(__xludf.DUMMYFUNCTION("""COMPUTED_VALUE"""),"#N/A")</f>
        <v>#N/A</v>
      </c>
      <c r="AA31" s="55"/>
      <c r="AB31" s="55"/>
      <c r="AC31" s="55"/>
      <c r="AD31" s="104"/>
      <c r="AE31" s="105"/>
      <c r="AF31" s="54" t="str">
        <f>IFERROR(__xludf.DUMMYFUNCTION("""COMPUTED_VALUE"""),"Draft BA DROP")</f>
        <v>Draft BA DROP</v>
      </c>
      <c r="AG31" s="54"/>
      <c r="AH31" s="54"/>
      <c r="AI31" s="55" t="str">
        <f t="shared" si="5"/>
        <v/>
      </c>
      <c r="AJ31" s="56" t="str">
        <f t="shared" si="3"/>
        <v>not yet</v>
      </c>
      <c r="AL31" s="55"/>
      <c r="AM31" s="55"/>
      <c r="AN31" s="55"/>
      <c r="AO31" s="55"/>
      <c r="AP31" s="55"/>
      <c r="AQ31" s="55"/>
      <c r="AR31" s="106">
        <v>25.0</v>
      </c>
      <c r="AS31" s="124">
        <v>2026.0</v>
      </c>
      <c r="AT31" s="124">
        <v>1.2036733E7</v>
      </c>
      <c r="AU31" s="125" t="s">
        <v>152</v>
      </c>
      <c r="AV31" s="126" t="s">
        <v>43</v>
      </c>
      <c r="AW31" s="127" t="str">
        <f t="shared" si="6"/>
        <v>PEKANBARU </v>
      </c>
      <c r="AX31" s="124" t="s">
        <v>74</v>
      </c>
      <c r="AY31" s="124" t="s">
        <v>45</v>
      </c>
      <c r="AZ31" s="124" t="s">
        <v>68</v>
      </c>
      <c r="BA31" s="124" t="s">
        <v>47</v>
      </c>
      <c r="BB31" s="124">
        <v>20.0</v>
      </c>
      <c r="BC31" s="124">
        <v>160.0</v>
      </c>
      <c r="BD31" s="128" t="s">
        <v>75</v>
      </c>
      <c r="BE31" s="124" t="s">
        <v>70</v>
      </c>
      <c r="BF31" s="125" t="s">
        <v>76</v>
      </c>
      <c r="BG31" s="125" t="s">
        <v>153</v>
      </c>
      <c r="BH31" s="110" t="s">
        <v>52</v>
      </c>
      <c r="BI31" s="159">
        <v>46093.0</v>
      </c>
      <c r="BJ31" s="106"/>
      <c r="BK31" s="106"/>
      <c r="BL31" s="112">
        <v>240.0</v>
      </c>
      <c r="BO31" s="167" t="s">
        <v>62</v>
      </c>
      <c r="BP31" s="168">
        <v>87.0</v>
      </c>
      <c r="BQ31" s="168">
        <v>688.0</v>
      </c>
      <c r="BU31" s="174"/>
      <c r="BV31" s="158"/>
      <c r="BY31" s="158"/>
      <c r="CB31" s="158"/>
    </row>
    <row r="32" ht="18.0" hidden="1" customHeight="1">
      <c r="A32" s="1">
        <f>IFERROR(__xludf.DUMMYFUNCTION("""COMPUTED_VALUE"""),2026.0)</f>
        <v>2026</v>
      </c>
      <c r="B32" s="98">
        <f>IFERROR(__xludf.DUMMYFUNCTION("""COMPUTED_VALUE"""),1.20983E7)</f>
        <v>12098300</v>
      </c>
      <c r="C32" s="1" t="str">
        <f>IFERROR(__xludf.DUMMYFUNCTION("""COMPUTED_VALUE"""),"MDN PT3 BJI-FN KOTA BINJAI_108223")</f>
        <v>MDN PT3 BJI-FN KOTA BINJAI_108223</v>
      </c>
      <c r="D32" s="1" t="str">
        <f>IFERROR(__xludf.DUMMYFUNCTION("""COMPUTED_VALUE"""),"REGIONAL I")</f>
        <v>REGIONAL I</v>
      </c>
      <c r="E32" s="1" t="str">
        <f>IFERROR(__xludf.DUMMYFUNCTION("""COMPUTED_VALUE"""),"MEDAN")</f>
        <v>MEDAN</v>
      </c>
      <c r="F32" s="1" t="str">
        <f>IFERROR(__xludf.DUMMYFUNCTION("""COMPUTED_VALUE"""),"BJI")</f>
        <v>BJI</v>
      </c>
      <c r="G32" s="1" t="str">
        <f>IFERROR(__xludf.DUMMYFUNCTION("""COMPUTED_VALUE"""),"SUMBAGUT")</f>
        <v>SUMBAGUT</v>
      </c>
      <c r="H32" s="1" t="str">
        <f>IFERROR(__xludf.DUMMYFUNCTION("""COMPUTED_VALUE"""),"BINJAI")</f>
        <v>BINJAI</v>
      </c>
      <c r="I32" s="1" t="str">
        <f>IFERROR(__xludf.DUMMYFUNCTION("""COMPUTED_VALUE"""),"Batch 1")</f>
        <v>Batch 1</v>
      </c>
      <c r="J32" s="99">
        <f>IFERROR(__xludf.DUMMYFUNCTION("""COMPUTED_VALUE"""),2.0)</f>
        <v>2</v>
      </c>
      <c r="K32" s="100">
        <f>IFERROR(__xludf.DUMMYFUNCTION("""COMPUTED_VALUE"""),16.0)</f>
        <v>16</v>
      </c>
      <c r="L32" s="101">
        <f>IFERROR(__xludf.DUMMYFUNCTION("""COMPUTED_VALUE"""),725481.0)</f>
        <v>725481</v>
      </c>
      <c r="M32" s="102">
        <f>IFERROR(__xludf.DUMMYFUNCTION("""COMPUTED_VALUE"""),1.160769E7)</f>
        <v>11607690</v>
      </c>
      <c r="N32" s="1" t="str">
        <f>IFERROR(__xludf.DUMMYFUNCTION("""COMPUTED_VALUE"""),"PT FIBERHOME TECHNOLOGIES INDONESIA")</f>
        <v>PT FIBERHOME TECHNOLOGIES INDONESIA</v>
      </c>
      <c r="O32" s="1" t="str">
        <f>IFERROR(__xludf.DUMMYFUNCTION("""COMPUTED_VALUE"""),"5. INSTALASI")</f>
        <v>5. INSTALASI</v>
      </c>
      <c r="P32" s="1" t="str">
        <f>IFERROR(__xludf.DUMMYFUNCTION("""COMPUTED_VALUE"""),"5.9 Proses Pemasangan/Terminasi ODP/OTB")</f>
        <v>5.9 Proses Pemasangan/Terminasi ODP/OTB</v>
      </c>
      <c r="Q32" s="1" t="str">
        <f>IFERROR(__xludf.DUMMYFUNCTION("""COMPUTED_VALUE"""),"23/04 penarikan KU
20/04 tim tiba di medan, lanjut progress instalasi
10/04 request material
09/04 komitmen aanwidzing ulang 13/04 31/03 komitmen aanwidzing (02/04) (07/01) Persiapan")</f>
        <v>23/04 penarikan KU
20/04 tim tiba di medan, lanjut progress instalasi
10/04 request material
09/04 komitmen aanwidzing ulang 13/04 31/03 komitmen aanwidzing (02/04) (07/01) Persiapan</v>
      </c>
      <c r="R32" s="103">
        <f>IFERROR(__xludf.DUMMYFUNCTION("""COMPUTED_VALUE"""),46142.0)</f>
        <v>46142</v>
      </c>
      <c r="S32" s="8"/>
      <c r="T32" s="73"/>
      <c r="U32" s="8"/>
      <c r="V32" s="1" t="str">
        <f>IFERROR(__xludf.DUMMYFUNCTION("""COMPUTED_VALUE"""),"20/Apr/2026")</f>
        <v>20/Apr/2026</v>
      </c>
      <c r="W32" s="55"/>
      <c r="X32" s="55" t="str">
        <f>IFERROR(__xludf.DUMMYFUNCTION("""COMPUTED_VALUE"""),"BELUM GOLIVE")</f>
        <v>BELUM GOLIVE</v>
      </c>
      <c r="Y32" s="55"/>
      <c r="Z32" s="55" t="str">
        <f>IFERROR(__xludf.DUMMYFUNCTION("""COMPUTED_VALUE"""),"#N/A")</f>
        <v>#N/A</v>
      </c>
      <c r="AA32" s="55"/>
      <c r="AB32" s="55"/>
      <c r="AC32" s="55"/>
      <c r="AD32" s="104"/>
      <c r="AE32" s="105"/>
      <c r="AF32" s="54"/>
      <c r="AG32" s="54"/>
      <c r="AH32" s="54"/>
      <c r="AI32" s="55" t="str">
        <f t="shared" si="5"/>
        <v/>
      </c>
      <c r="AJ32" s="56" t="str">
        <f t="shared" si="3"/>
        <v>not yet</v>
      </c>
      <c r="AL32" s="55"/>
      <c r="AM32" s="55"/>
      <c r="AN32" s="55"/>
      <c r="AO32" s="55"/>
      <c r="AP32" s="55"/>
      <c r="AQ32" s="55"/>
      <c r="AR32" s="106">
        <v>26.0</v>
      </c>
      <c r="AS32" s="107">
        <v>2026.0</v>
      </c>
      <c r="AT32" s="107">
        <v>1.2678801E7</v>
      </c>
      <c r="AU32" s="108" t="s">
        <v>154</v>
      </c>
      <c r="AV32" s="107" t="s">
        <v>43</v>
      </c>
      <c r="AW32" s="109" t="str">
        <f t="shared" si="6"/>
        <v>PADANG</v>
      </c>
      <c r="AX32" s="107" t="s">
        <v>44</v>
      </c>
      <c r="AY32" s="107" t="s">
        <v>45</v>
      </c>
      <c r="AZ32" s="107" t="s">
        <v>46</v>
      </c>
      <c r="BA32" s="107" t="s">
        <v>47</v>
      </c>
      <c r="BB32" s="107">
        <v>7.0</v>
      </c>
      <c r="BC32" s="107">
        <v>56.0</v>
      </c>
      <c r="BD32" s="108" t="s">
        <v>48</v>
      </c>
      <c r="BE32" s="107" t="s">
        <v>49</v>
      </c>
      <c r="BF32" s="108" t="s">
        <v>50</v>
      </c>
      <c r="BG32" s="108" t="s">
        <v>51</v>
      </c>
      <c r="BH32" s="110" t="s">
        <v>52</v>
      </c>
      <c r="BI32" s="175">
        <v>46093.0</v>
      </c>
      <c r="BJ32" s="106"/>
      <c r="BK32" s="106" t="s">
        <v>1</v>
      </c>
      <c r="BL32" s="94"/>
      <c r="BO32" s="172" t="s">
        <v>46</v>
      </c>
      <c r="BP32" s="173">
        <v>13.0</v>
      </c>
      <c r="BQ32" s="173">
        <v>104.0</v>
      </c>
      <c r="BU32" s="174"/>
      <c r="BV32" s="158"/>
      <c r="BY32" s="158"/>
      <c r="CB32" s="158"/>
    </row>
    <row r="33" ht="18.0" hidden="1" customHeight="1">
      <c r="A33" s="1">
        <f>IFERROR(__xludf.DUMMYFUNCTION("""COMPUTED_VALUE"""),2026.0)</f>
        <v>2026</v>
      </c>
      <c r="B33" s="98">
        <f>IFERROR(__xludf.DUMMYFUNCTION("""COMPUTED_VALUE"""),1.2108385E7)</f>
        <v>12108385</v>
      </c>
      <c r="C33" s="1" t="str">
        <f>IFERROR(__xludf.DUMMYFUNCTION("""COMPUTED_VALUE"""),"MDN PT3 BJI-FYC LANGKAT_55157")</f>
        <v>MDN PT3 BJI-FYC LANGKAT_55157</v>
      </c>
      <c r="D33" s="1" t="str">
        <f>IFERROR(__xludf.DUMMYFUNCTION("""COMPUTED_VALUE"""),"REGIONAL I")</f>
        <v>REGIONAL I</v>
      </c>
      <c r="E33" s="1" t="str">
        <f>IFERROR(__xludf.DUMMYFUNCTION("""COMPUTED_VALUE"""),"MEDAN")</f>
        <v>MEDAN</v>
      </c>
      <c r="F33" s="1" t="str">
        <f>IFERROR(__xludf.DUMMYFUNCTION("""COMPUTED_VALUE"""),"BJI")</f>
        <v>BJI</v>
      </c>
      <c r="G33" s="1" t="str">
        <f>IFERROR(__xludf.DUMMYFUNCTION("""COMPUTED_VALUE"""),"SUMBAGUT")</f>
        <v>SUMBAGUT</v>
      </c>
      <c r="H33" s="1" t="str">
        <f>IFERROR(__xludf.DUMMYFUNCTION("""COMPUTED_VALUE"""),"BINJAI")</f>
        <v>BINJAI</v>
      </c>
      <c r="I33" s="1" t="str">
        <f>IFERROR(__xludf.DUMMYFUNCTION("""COMPUTED_VALUE"""),"Batch 1")</f>
        <v>Batch 1</v>
      </c>
      <c r="J33" s="99">
        <f>IFERROR(__xludf.DUMMYFUNCTION("""COMPUTED_VALUE"""),2.0)</f>
        <v>2</v>
      </c>
      <c r="K33" s="100">
        <f>IFERROR(__xludf.DUMMYFUNCTION("""COMPUTED_VALUE"""),16.0)</f>
        <v>16</v>
      </c>
      <c r="L33" s="101">
        <f>IFERROR(__xludf.DUMMYFUNCTION("""COMPUTED_VALUE"""),800350.0)</f>
        <v>800350</v>
      </c>
      <c r="M33" s="102">
        <f>IFERROR(__xludf.DUMMYFUNCTION("""COMPUTED_VALUE"""),1.2805585E7)</f>
        <v>12805585</v>
      </c>
      <c r="N33" s="1" t="str">
        <f>IFERROR(__xludf.DUMMYFUNCTION("""COMPUTED_VALUE"""),"PT FIBERHOME TECHNOLOGIES INDONESIA")</f>
        <v>PT FIBERHOME TECHNOLOGIES INDONESIA</v>
      </c>
      <c r="O33" s="1" t="str">
        <f>IFERROR(__xludf.DUMMYFUNCTION("""COMPUTED_VALUE"""),"5. INSTALASI")</f>
        <v>5. INSTALASI</v>
      </c>
      <c r="P33" s="1" t="str">
        <f>IFERROR(__xludf.DUMMYFUNCTION("""COMPUTED_VALUE"""),"5.6 Proses Penarikan Kabel")</f>
        <v>5.6 Proses Penarikan Kabel</v>
      </c>
      <c r="Q33" s="1" t="str">
        <f>IFERROR(__xludf.DUMMYFUNCTION("""COMPUTED_VALUE"""),"23/04 penarikan KU
20/04 tim tiba di medan, lanjut progress instalasi
10/04 request material
09/04 komitmen aanwidzing ulang 13/04 31/03 komitmen aanwidzing (02/04) (07/01) Persiapan")</f>
        <v>23/04 penarikan KU
20/04 tim tiba di medan, lanjut progress instalasi
10/04 request material
09/04 komitmen aanwidzing ulang 13/04 31/03 komitmen aanwidzing (02/04) (07/01) Persiapan</v>
      </c>
      <c r="R33" s="103">
        <f>IFERROR(__xludf.DUMMYFUNCTION("""COMPUTED_VALUE"""),46142.0)</f>
        <v>46142</v>
      </c>
      <c r="S33" s="8"/>
      <c r="T33" s="73"/>
      <c r="U33" s="8"/>
      <c r="V33" s="1" t="str">
        <f>IFERROR(__xludf.DUMMYFUNCTION("""COMPUTED_VALUE"""),"19/Apr/2026")</f>
        <v>19/Apr/2026</v>
      </c>
      <c r="W33" s="55"/>
      <c r="X33" s="55" t="str">
        <f>IFERROR(__xludf.DUMMYFUNCTION("""COMPUTED_VALUE"""),"BELUM GOLIVE")</f>
        <v>BELUM GOLIVE</v>
      </c>
      <c r="Y33" s="55"/>
      <c r="Z33" s="55" t="str">
        <f>IFERROR(__xludf.DUMMYFUNCTION("""COMPUTED_VALUE"""),"#N/A")</f>
        <v>#N/A</v>
      </c>
      <c r="AA33" s="55"/>
      <c r="AB33" s="55"/>
      <c r="AC33" s="55"/>
      <c r="AD33" s="104"/>
      <c r="AE33" s="105"/>
      <c r="AF33" s="54"/>
      <c r="AG33" s="54"/>
      <c r="AH33" s="54"/>
      <c r="AI33" s="55" t="str">
        <f t="shared" si="5"/>
        <v/>
      </c>
      <c r="AJ33" s="56" t="str">
        <f t="shared" si="3"/>
        <v>not yet</v>
      </c>
      <c r="AL33" s="55"/>
      <c r="AM33" s="55"/>
      <c r="AN33" s="55"/>
      <c r="AO33" s="55"/>
      <c r="AP33" s="55"/>
      <c r="AQ33" s="55"/>
      <c r="AR33" s="106">
        <v>27.0</v>
      </c>
      <c r="AS33" s="124">
        <v>2026.0</v>
      </c>
      <c r="AT33" s="124">
        <v>1.1198092E7</v>
      </c>
      <c r="AU33" s="125" t="s">
        <v>155</v>
      </c>
      <c r="AV33" s="126" t="s">
        <v>43</v>
      </c>
      <c r="AW33" s="127" t="str">
        <f t="shared" si="6"/>
        <v>BATAM</v>
      </c>
      <c r="AX33" s="124" t="s">
        <v>123</v>
      </c>
      <c r="AY33" s="124" t="s">
        <v>45</v>
      </c>
      <c r="AZ33" s="124" t="s">
        <v>53</v>
      </c>
      <c r="BA33" s="124" t="s">
        <v>84</v>
      </c>
      <c r="BB33" s="124">
        <v>3.0</v>
      </c>
      <c r="BC33" s="124">
        <v>24.0</v>
      </c>
      <c r="BD33" s="128" t="s">
        <v>117</v>
      </c>
      <c r="BE33" s="124" t="s">
        <v>70</v>
      </c>
      <c r="BF33" s="125" t="s">
        <v>71</v>
      </c>
      <c r="BG33" s="125" t="s">
        <v>124</v>
      </c>
      <c r="BH33" s="110" t="s">
        <v>52</v>
      </c>
      <c r="BI33" s="159">
        <v>46093.0</v>
      </c>
      <c r="BJ33" s="106"/>
      <c r="BK33" s="106"/>
      <c r="BL33" s="116"/>
      <c r="BO33" s="167" t="s">
        <v>68</v>
      </c>
      <c r="BP33" s="168">
        <v>17.0</v>
      </c>
      <c r="BQ33" s="168">
        <v>136.0</v>
      </c>
      <c r="BU33" s="174"/>
      <c r="BV33" s="158"/>
      <c r="BY33" s="158"/>
      <c r="CB33" s="158"/>
    </row>
    <row r="34" ht="18.0" hidden="1" customHeight="1">
      <c r="A34" s="1">
        <f>IFERROR(__xludf.DUMMYFUNCTION("""COMPUTED_VALUE"""),2026.0)</f>
        <v>2026</v>
      </c>
      <c r="B34" s="98">
        <f>IFERROR(__xludf.DUMMYFUNCTION("""COMPUTED_VALUE"""),1.2113033E7)</f>
        <v>12113033</v>
      </c>
      <c r="C34" s="1" t="str">
        <f>IFERROR(__xludf.DUMMYFUNCTION("""COMPUTED_VALUE"""),"MDN PT3 BJI-FFA KOTA BINJAI_108194")</f>
        <v>MDN PT3 BJI-FFA KOTA BINJAI_108194</v>
      </c>
      <c r="D34" s="1" t="str">
        <f>IFERROR(__xludf.DUMMYFUNCTION("""COMPUTED_VALUE"""),"REGIONAL I")</f>
        <v>REGIONAL I</v>
      </c>
      <c r="E34" s="1" t="str">
        <f>IFERROR(__xludf.DUMMYFUNCTION("""COMPUTED_VALUE"""),"MEDAN")</f>
        <v>MEDAN</v>
      </c>
      <c r="F34" s="1" t="str">
        <f>IFERROR(__xludf.DUMMYFUNCTION("""COMPUTED_VALUE"""),"BJI")</f>
        <v>BJI</v>
      </c>
      <c r="G34" s="1" t="str">
        <f>IFERROR(__xludf.DUMMYFUNCTION("""COMPUTED_VALUE"""),"SUMBAGUT")</f>
        <v>SUMBAGUT</v>
      </c>
      <c r="H34" s="1" t="str">
        <f>IFERROR(__xludf.DUMMYFUNCTION("""COMPUTED_VALUE"""),"BINJAI")</f>
        <v>BINJAI</v>
      </c>
      <c r="I34" s="1" t="str">
        <f>IFERROR(__xludf.DUMMYFUNCTION("""COMPUTED_VALUE"""),"Batch 1")</f>
        <v>Batch 1</v>
      </c>
      <c r="J34" s="99">
        <f>IFERROR(__xludf.DUMMYFUNCTION("""COMPUTED_VALUE"""),2.0)</f>
        <v>2</v>
      </c>
      <c r="K34" s="100">
        <f>IFERROR(__xludf.DUMMYFUNCTION("""COMPUTED_VALUE"""),16.0)</f>
        <v>16</v>
      </c>
      <c r="L34" s="101">
        <f>IFERROR(__xludf.DUMMYFUNCTION("""COMPUTED_VALUE"""),895830.0)</f>
        <v>895830</v>
      </c>
      <c r="M34" s="102">
        <f>IFERROR(__xludf.DUMMYFUNCTION("""COMPUTED_VALUE"""),1.4333268E7)</f>
        <v>14333268</v>
      </c>
      <c r="N34" s="1" t="str">
        <f>IFERROR(__xludf.DUMMYFUNCTION("""COMPUTED_VALUE"""),"PT KENCANA RAYA INDONESIA")</f>
        <v>PT KENCANA RAYA INDONESIA</v>
      </c>
      <c r="O34" s="1" t="str">
        <f>IFERROR(__xludf.DUMMYFUNCTION("""COMPUTED_VALUE"""),"7. GOLIVE")</f>
        <v>7. GOLIVE</v>
      </c>
      <c r="P34" s="1" t="str">
        <f>IFERROR(__xludf.DUMMYFUNCTION("""COMPUTED_VALUE"""),"7.2 Golive Full / OA / DONE OTB")</f>
        <v>7.2 Golive Full / OA / DONE OTB</v>
      </c>
      <c r="Q34" s="1" t="str">
        <f>IFERROR(__xludf.DUMMYFUNCTION("""COMPUTED_VALUE"""),"23/04 Done FI , ogp ABD mancore
17/04 pasang odp 
16/04 req barcode
08/04 on going req material
17/02 feeder dist ready
(07/01) Persiapan")</f>
        <v>23/04 Done FI , ogp ABD mancore
17/04 pasang odp 
16/04 req barcode
08/04 on going req material
17/02 feeder dist ready
(07/01) Persiapan</v>
      </c>
      <c r="R34" s="103">
        <f>IFERROR(__xludf.DUMMYFUNCTION("""COMPUTED_VALUE"""),46136.0)</f>
        <v>46136</v>
      </c>
      <c r="S34" s="8" t="str">
        <f>IFERROR(__xludf.DUMMYFUNCTION("""COMPUTED_VALUE"""),"APR")</f>
        <v>APR</v>
      </c>
      <c r="T34" s="73"/>
      <c r="U34" s="8"/>
      <c r="V34" s="1" t="str">
        <f>IFERROR(__xludf.DUMMYFUNCTION("""COMPUTED_VALUE"""),"28/Apr/2026")</f>
        <v>28/Apr/2026</v>
      </c>
      <c r="W34" s="55"/>
      <c r="X34" s="55" t="str">
        <f>IFERROR(__xludf.DUMMYFUNCTION("""COMPUTED_VALUE"""),"GOLIVE")</f>
        <v>GOLIVE</v>
      </c>
      <c r="Y34" s="55" t="str">
        <f>IFERROR(__xludf.DUMMYFUNCTION("""COMPUTED_VALUE"""),"DONE")</f>
        <v>DONE</v>
      </c>
      <c r="Z34" s="55" t="str">
        <f>IFERROR(__xludf.DUMMYFUNCTION("""COMPUTED_VALUE"""),"#N/A")</f>
        <v>#N/A</v>
      </c>
      <c r="AA34" s="55">
        <f>IFERROR(__xludf.DUMMYFUNCTION("""COMPUTED_VALUE"""),2.0)</f>
        <v>2</v>
      </c>
      <c r="AB34" s="55"/>
      <c r="AC34" s="55" t="str">
        <f>IFERROR(__xludf.DUMMYFUNCTION("""COMPUTED_VALUE"""),"9307823#9307828")</f>
        <v>9307823#9307828</v>
      </c>
      <c r="AD34" s="104">
        <f>IFERROR(__xludf.DUMMYFUNCTION("""COMPUTED_VALUE"""),16.0)</f>
        <v>16</v>
      </c>
      <c r="AE34" s="105">
        <f>IFERROR(__xludf.DUMMYFUNCTION("""COMPUTED_VALUE"""),46136.0)</f>
        <v>46136</v>
      </c>
      <c r="AF34" s="54"/>
      <c r="AG34" s="54"/>
      <c r="AH34" s="54"/>
      <c r="AI34" s="55">
        <f t="shared" si="5"/>
        <v>0</v>
      </c>
      <c r="AJ34" s="56" t="str">
        <f t="shared" si="3"/>
        <v>not yet</v>
      </c>
      <c r="AL34" s="55"/>
      <c r="AM34" s="55"/>
      <c r="AN34" s="55"/>
      <c r="AO34" s="55"/>
      <c r="AP34" s="55"/>
      <c r="AQ34" s="55"/>
      <c r="AR34" s="106">
        <v>28.0</v>
      </c>
      <c r="AS34" s="124">
        <v>2026.0</v>
      </c>
      <c r="AT34" s="124">
        <v>1.1197936E7</v>
      </c>
      <c r="AU34" s="125" t="s">
        <v>156</v>
      </c>
      <c r="AV34" s="126" t="s">
        <v>43</v>
      </c>
      <c r="AW34" s="127" t="str">
        <f t="shared" si="6"/>
        <v>BATAM</v>
      </c>
      <c r="AX34" s="124" t="s">
        <v>123</v>
      </c>
      <c r="AY34" s="124" t="s">
        <v>45</v>
      </c>
      <c r="AZ34" s="124" t="s">
        <v>53</v>
      </c>
      <c r="BA34" s="124" t="s">
        <v>84</v>
      </c>
      <c r="BB34" s="124">
        <v>2.0</v>
      </c>
      <c r="BC34" s="124">
        <v>16.0</v>
      </c>
      <c r="BD34" s="128" t="s">
        <v>117</v>
      </c>
      <c r="BE34" s="124" t="s">
        <v>70</v>
      </c>
      <c r="BF34" s="125" t="s">
        <v>71</v>
      </c>
      <c r="BG34" s="125" t="s">
        <v>124</v>
      </c>
      <c r="BH34" s="110" t="s">
        <v>52</v>
      </c>
      <c r="BI34" s="159">
        <v>46094.0</v>
      </c>
      <c r="BJ34" s="106"/>
      <c r="BK34" s="106"/>
      <c r="BL34" s="112">
        <v>24.0</v>
      </c>
      <c r="BO34" s="176" t="s">
        <v>81</v>
      </c>
      <c r="BP34" s="176">
        <v>142.0</v>
      </c>
      <c r="BQ34" s="176">
        <v>1128.0</v>
      </c>
      <c r="BU34" s="174"/>
      <c r="BV34" s="158"/>
      <c r="BY34" s="158"/>
      <c r="CB34" s="158"/>
    </row>
    <row r="35" ht="18.0" hidden="1" customHeight="1">
      <c r="A35" s="1">
        <f>IFERROR(__xludf.DUMMYFUNCTION("""COMPUTED_VALUE"""),2026.0)</f>
        <v>2026</v>
      </c>
      <c r="B35" s="98">
        <f>IFERROR(__xludf.DUMMYFUNCTION("""COMPUTED_VALUE"""),1.2113425E7)</f>
        <v>12113425</v>
      </c>
      <c r="C35" s="1" t="str">
        <f>IFERROR(__xludf.DUMMYFUNCTION("""COMPUTED_VALUE"""),"MDN PT3 BJI-FEG LANGKAT_142323_H2_2025")</f>
        <v>MDN PT3 BJI-FEG LANGKAT_142323_H2_2025</v>
      </c>
      <c r="D35" s="1" t="str">
        <f>IFERROR(__xludf.DUMMYFUNCTION("""COMPUTED_VALUE"""),"REGIONAL I")</f>
        <v>REGIONAL I</v>
      </c>
      <c r="E35" s="1" t="str">
        <f>IFERROR(__xludf.DUMMYFUNCTION("""COMPUTED_VALUE"""),"MEDAN")</f>
        <v>MEDAN</v>
      </c>
      <c r="F35" s="1" t="str">
        <f>IFERROR(__xludf.DUMMYFUNCTION("""COMPUTED_VALUE"""),"BJI")</f>
        <v>BJI</v>
      </c>
      <c r="G35" s="1" t="str">
        <f>IFERROR(__xludf.DUMMYFUNCTION("""COMPUTED_VALUE"""),"SUMBAGUT")</f>
        <v>SUMBAGUT</v>
      </c>
      <c r="H35" s="1" t="str">
        <f>IFERROR(__xludf.DUMMYFUNCTION("""COMPUTED_VALUE"""),"BINJAI")</f>
        <v>BINJAI</v>
      </c>
      <c r="I35" s="1" t="str">
        <f>IFERROR(__xludf.DUMMYFUNCTION("""COMPUTED_VALUE"""),"Batch 1")</f>
        <v>Batch 1</v>
      </c>
      <c r="J35" s="99">
        <f>IFERROR(__xludf.DUMMYFUNCTION("""COMPUTED_VALUE"""),3.0)</f>
        <v>3</v>
      </c>
      <c r="K35" s="100">
        <f>IFERROR(__xludf.DUMMYFUNCTION("""COMPUTED_VALUE"""),24.0)</f>
        <v>24</v>
      </c>
      <c r="L35" s="101">
        <f>IFERROR(__xludf.DUMMYFUNCTION("""COMPUTED_VALUE"""),916318.0)</f>
        <v>916318</v>
      </c>
      <c r="M35" s="102">
        <f>IFERROR(__xludf.DUMMYFUNCTION("""COMPUTED_VALUE"""),2.1991611E7)</f>
        <v>21991611</v>
      </c>
      <c r="N35" s="1" t="str">
        <f>IFERROR(__xludf.DUMMYFUNCTION("""COMPUTED_VALUE"""),"PT KENCANA RAYA INDONESIA")</f>
        <v>PT KENCANA RAYA INDONESIA</v>
      </c>
      <c r="O35" s="1" t="str">
        <f>IFERROR(__xludf.DUMMYFUNCTION("""COMPUTED_VALUE"""),"7. GOLIVE")</f>
        <v>7. GOLIVE</v>
      </c>
      <c r="P35" s="1" t="str">
        <f>IFERROR(__xludf.DUMMYFUNCTION("""COMPUTED_VALUE"""),"7.2 Golive Full / OA / DONE OTB")</f>
        <v>7.2 Golive Full / OA / DONE OTB</v>
      </c>
      <c r="Q35" s="1" t="str">
        <f>IFERROR(__xludf.DUMMYFUNCTION("""COMPUTED_VALUE"""),"20/04 finish instalasi
16/04 gali lobang tiang 
08/04 on going req material
16/02 feeder distribusi ready 
(07/01) Persiapan")</f>
        <v>20/04 finish instalasi
16/04 gali lobang tiang 
08/04 on going req material
16/02 feeder distribusi ready 
(07/01) Persiapan</v>
      </c>
      <c r="R35" s="103">
        <f>IFERROR(__xludf.DUMMYFUNCTION("""COMPUTED_VALUE"""),46134.0)</f>
        <v>46134</v>
      </c>
      <c r="S35" s="8" t="str">
        <f>IFERROR(__xludf.DUMMYFUNCTION("""COMPUTED_VALUE"""),"APR")</f>
        <v>APR</v>
      </c>
      <c r="T35" s="73"/>
      <c r="U35" s="8"/>
      <c r="V35" s="1" t="str">
        <f>IFERROR(__xludf.DUMMYFUNCTION("""COMPUTED_VALUE"""),"28/Apr/2026")</f>
        <v>28/Apr/2026</v>
      </c>
      <c r="W35" s="55"/>
      <c r="X35" s="55" t="str">
        <f>IFERROR(__xludf.DUMMYFUNCTION("""COMPUTED_VALUE"""),"GOLIVE")</f>
        <v>GOLIVE</v>
      </c>
      <c r="Y35" s="55" t="str">
        <f>IFERROR(__xludf.DUMMYFUNCTION("""COMPUTED_VALUE"""),"DONE")</f>
        <v>DONE</v>
      </c>
      <c r="Z35" s="55" t="str">
        <f>IFERROR(__xludf.DUMMYFUNCTION("""COMPUTED_VALUE"""),"#N/A")</f>
        <v>#N/A</v>
      </c>
      <c r="AA35" s="55">
        <f>IFERROR(__xludf.DUMMYFUNCTION("""COMPUTED_VALUE"""),3.0)</f>
        <v>3</v>
      </c>
      <c r="AB35" s="55"/>
      <c r="AC35" s="55" t="str">
        <f>IFERROR(__xludf.DUMMYFUNCTION("""COMPUTED_VALUE"""),"9298407#9298412")</f>
        <v>9298407#9298412</v>
      </c>
      <c r="AD35" s="104">
        <f>IFERROR(__xludf.DUMMYFUNCTION("""COMPUTED_VALUE"""),24.0)</f>
        <v>24</v>
      </c>
      <c r="AE35" s="105">
        <f>IFERROR(__xludf.DUMMYFUNCTION("""COMPUTED_VALUE"""),46134.0)</f>
        <v>46134</v>
      </c>
      <c r="AF35" s="54"/>
      <c r="AG35" s="54"/>
      <c r="AH35" s="54"/>
      <c r="AI35" s="55">
        <f t="shared" si="5"/>
        <v>0</v>
      </c>
      <c r="AJ35" s="56" t="str">
        <f t="shared" si="3"/>
        <v>not yet</v>
      </c>
      <c r="AL35" s="55"/>
      <c r="AM35" s="55"/>
      <c r="AN35" s="55"/>
      <c r="AO35" s="55"/>
      <c r="AP35" s="55"/>
      <c r="AQ35" s="55"/>
      <c r="AR35" s="106">
        <v>29.0</v>
      </c>
      <c r="AS35" s="124">
        <v>2026.0</v>
      </c>
      <c r="AT35" s="124">
        <v>1.2537645E7</v>
      </c>
      <c r="AU35" s="125" t="s">
        <v>157</v>
      </c>
      <c r="AV35" s="126" t="s">
        <v>43</v>
      </c>
      <c r="AW35" s="127" t="str">
        <f t="shared" si="6"/>
        <v>BATAM</v>
      </c>
      <c r="AX35" s="177" t="s">
        <v>90</v>
      </c>
      <c r="AY35" s="124" t="s">
        <v>45</v>
      </c>
      <c r="AZ35" s="124" t="s">
        <v>53</v>
      </c>
      <c r="BA35" s="124" t="s">
        <v>47</v>
      </c>
      <c r="BB35" s="124">
        <v>1.0</v>
      </c>
      <c r="BC35" s="124">
        <v>8.0</v>
      </c>
      <c r="BD35" s="128" t="s">
        <v>91</v>
      </c>
      <c r="BE35" s="124" t="s">
        <v>92</v>
      </c>
      <c r="BF35" s="125" t="s">
        <v>93</v>
      </c>
      <c r="BG35" s="125" t="s">
        <v>158</v>
      </c>
      <c r="BH35" s="110" t="s">
        <v>52</v>
      </c>
      <c r="BI35" s="159">
        <v>46094.0</v>
      </c>
      <c r="BJ35" s="106"/>
      <c r="BK35" s="106"/>
      <c r="BL35" s="116"/>
      <c r="BO35" s="178" t="s">
        <v>88</v>
      </c>
      <c r="BP35" s="178">
        <f t="shared" ref="BP35:BQ35" si="25">BB25</f>
        <v>7</v>
      </c>
      <c r="BQ35" s="178">
        <f t="shared" si="25"/>
        <v>56</v>
      </c>
      <c r="BU35" s="174"/>
      <c r="BV35" s="158"/>
      <c r="BY35" s="158"/>
      <c r="CB35" s="158"/>
    </row>
    <row r="36" ht="18.0" customHeight="1">
      <c r="A36" s="1">
        <f>IFERROR(__xludf.DUMMYFUNCTION("""COMPUTED_VALUE"""),2026.0)</f>
        <v>2026</v>
      </c>
      <c r="B36" s="98">
        <f>IFERROR(__xludf.DUMMYFUNCTION("""COMPUTED_VALUE"""),1.2101814E7)</f>
        <v>12101814</v>
      </c>
      <c r="C36" s="1" t="str">
        <f>IFERROR(__xludf.DUMMYFUNCTION("""COMPUTED_VALUE"""),"SMB-PT3-ODC-SIR-FA-TANAH DATAR 2 Cluster")</f>
        <v>SMB-PT3-ODC-SIR-FA-TANAH DATAR 2 Cluster</v>
      </c>
      <c r="D36" s="1" t="str">
        <f>IFERROR(__xludf.DUMMYFUNCTION("""COMPUTED_VALUE"""),"REGIONAL I")</f>
        <v>REGIONAL I</v>
      </c>
      <c r="E36" s="1" t="str">
        <f>IFERROR(__xludf.DUMMYFUNCTION("""COMPUTED_VALUE"""),"SUMBAR")</f>
        <v>SUMBAR</v>
      </c>
      <c r="F36" s="1" t="str">
        <f>IFERROR(__xludf.DUMMYFUNCTION("""COMPUTED_VALUE"""),"SIR")</f>
        <v>SIR</v>
      </c>
      <c r="G36" s="1" t="str">
        <f>IFERROR(__xludf.DUMMYFUNCTION("""COMPUTED_VALUE"""),"SUMBAGTENG")</f>
        <v>SUMBAGTENG</v>
      </c>
      <c r="H36" s="1" t="str">
        <f>IFERROR(__xludf.DUMMYFUNCTION("""COMPUTED_VALUE"""),"BUKIT TINGGI")</f>
        <v>BUKIT TINGGI</v>
      </c>
      <c r="I36" s="1" t="str">
        <f>IFERROR(__xludf.DUMMYFUNCTION("""COMPUTED_VALUE"""),"Batch 1")</f>
        <v>Batch 1</v>
      </c>
      <c r="J36" s="99">
        <f>IFERROR(__xludf.DUMMYFUNCTION("""COMPUTED_VALUE"""),8.0)</f>
        <v>8</v>
      </c>
      <c r="K36" s="100">
        <f>IFERROR(__xludf.DUMMYFUNCTION("""COMPUTED_VALUE"""),64.0)</f>
        <v>64</v>
      </c>
      <c r="L36" s="101">
        <f>IFERROR(__xludf.DUMMYFUNCTION("""COMPUTED_VALUE"""),1044403.0)</f>
        <v>1044403</v>
      </c>
      <c r="M36" s="102">
        <f>IFERROR(__xludf.DUMMYFUNCTION("""COMPUTED_VALUE"""),6.6841744E7)</f>
        <v>66841744</v>
      </c>
      <c r="N36" s="1" t="str">
        <f>IFERROR(__xludf.DUMMYFUNCTION("""COMPUTED_VALUE"""),"PT TSUIKA BERKAH RAYA")</f>
        <v>PT TSUIKA BERKAH RAYA</v>
      </c>
      <c r="O36" s="1" t="str">
        <f>IFERROR(__xludf.DUMMYFUNCTION("""COMPUTED_VALUE"""),"8. UJI TERIMA")</f>
        <v>8. UJI TERIMA</v>
      </c>
      <c r="P36" s="1" t="str">
        <f>IFERROR(__xludf.DUMMYFUNCTION("""COMPUTED_VALUE"""),"8.1 Proses UT")</f>
        <v>8.1 Proses UT</v>
      </c>
      <c r="Q36" s="1" t="str">
        <f>IFERROR(__xludf.DUMMYFUNCTION("""COMPUTED_VALUE"""),"(18/02) ABD submit HI ke SDI PLAN UT 18/02 (29/01) proses delivery material  (21/01) proses CReate PID (07/01) Persiapan")</f>
        <v>(18/02) ABD submit HI ke SDI PLAN UT 18/02 (29/01) proses delivery material  (21/01) proses CReate PID (07/01) Persiapan</v>
      </c>
      <c r="R36" s="103">
        <f>IFERROR(__xludf.DUMMYFUNCTION("""COMPUTED_VALUE"""),46063.0)</f>
        <v>46063</v>
      </c>
      <c r="S36" s="8"/>
      <c r="T36" s="8"/>
      <c r="U36" s="8" t="str">
        <f>IFERROR(__xludf.DUMMYFUNCTION("""COMPUTED_VALUE"""),"TIF-1904/2026 26KT03R158-0010")</f>
        <v>TIF-1904/2026 26KT03R158-0010</v>
      </c>
      <c r="V36" s="1" t="str">
        <f>IFERROR(__xludf.DUMMYFUNCTION("""COMPUTED_VALUE"""),"M. ARIF HAMADI")</f>
        <v>M. ARIF HAMADI</v>
      </c>
      <c r="W36" s="55" t="str">
        <f>IFERROR(__xludf.DUMMYFUNCTION("""COMPUTED_VALUE"""),"MELKO NARWADI")</f>
        <v>MELKO NARWADI</v>
      </c>
      <c r="X36" s="55" t="str">
        <f>IFERROR(__xludf.DUMMYFUNCTION("""COMPUTED_VALUE"""),"GOLIVE")</f>
        <v>GOLIVE</v>
      </c>
      <c r="Y36" s="55" t="str">
        <f>IFERROR(__xludf.DUMMYFUNCTION("""COMPUTED_VALUE"""),"DONE")</f>
        <v>DONE</v>
      </c>
      <c r="Z36" s="55" t="str">
        <f>IFERROR(__xludf.DUMMYFUNCTION("""COMPUTED_VALUE"""),"#N/A")</f>
        <v>#N/A</v>
      </c>
      <c r="AA36" s="55">
        <f>IFERROR(__xludf.DUMMYFUNCTION("""COMPUTED_VALUE"""),6.0)</f>
        <v>6</v>
      </c>
      <c r="AB36" s="55"/>
      <c r="AC36" s="55" t="str">
        <f>IFERROR(__xludf.DUMMYFUNCTION("""COMPUTED_VALUE"""),"9127603#9127608")</f>
        <v>9127603#9127608</v>
      </c>
      <c r="AD36" s="104">
        <f>IFERROR(__xludf.DUMMYFUNCTION("""COMPUTED_VALUE"""),48.0)</f>
        <v>48</v>
      </c>
      <c r="AE36" s="105">
        <f>IFERROR(__xludf.DUMMYFUNCTION("""COMPUTED_VALUE"""),46074.0)</f>
        <v>46074</v>
      </c>
      <c r="AF36" s="54"/>
      <c r="AG36" s="54"/>
      <c r="AH36" s="54">
        <v>46063.0</v>
      </c>
      <c r="AI36" s="55">
        <f>IF(OR(AH36="",AE36=""),"",AH36-AE36)</f>
        <v>-11</v>
      </c>
      <c r="AJ36" s="56" t="str">
        <f t="shared" si="3"/>
        <v>lewat komitmen</v>
      </c>
      <c r="AL36" s="55"/>
      <c r="AM36" s="55"/>
      <c r="AN36" s="55"/>
      <c r="AO36" s="55"/>
      <c r="AP36" s="55"/>
      <c r="AQ36" s="55"/>
      <c r="AR36" s="106">
        <v>30.0</v>
      </c>
      <c r="AS36" s="124">
        <v>2026.0</v>
      </c>
      <c r="AT36" s="124">
        <v>1.2858752E7</v>
      </c>
      <c r="AU36" s="125" t="s">
        <v>159</v>
      </c>
      <c r="AV36" s="126" t="s">
        <v>43</v>
      </c>
      <c r="AW36" s="127" t="str">
        <f t="shared" si="6"/>
        <v>BUKIT TINGGI</v>
      </c>
      <c r="AX36" s="124" t="s">
        <v>160</v>
      </c>
      <c r="AY36" s="124" t="s">
        <v>45</v>
      </c>
      <c r="AZ36" s="124" t="s">
        <v>59</v>
      </c>
      <c r="BA36" s="124" t="s">
        <v>47</v>
      </c>
      <c r="BB36" s="124">
        <v>5.0</v>
      </c>
      <c r="BC36" s="124">
        <v>40.0</v>
      </c>
      <c r="BD36" s="128" t="s">
        <v>142</v>
      </c>
      <c r="BE36" s="124" t="s">
        <v>70</v>
      </c>
      <c r="BF36" s="125" t="s">
        <v>143</v>
      </c>
      <c r="BG36" s="125" t="s">
        <v>161</v>
      </c>
      <c r="BH36" s="110" t="s">
        <v>52</v>
      </c>
      <c r="BI36" s="159">
        <v>46095.0</v>
      </c>
      <c r="BJ36" s="106"/>
      <c r="BK36" s="106"/>
      <c r="BL36" s="112">
        <v>64.0</v>
      </c>
      <c r="BO36" s="179" t="s">
        <v>95</v>
      </c>
      <c r="BP36" s="180">
        <f t="shared" ref="BP36:BQ36" si="26">BP34/BB25</f>
        <v>20.28571429</v>
      </c>
      <c r="BQ36" s="180">
        <f t="shared" si="26"/>
        <v>20.14285714</v>
      </c>
      <c r="BU36" s="174"/>
      <c r="BV36" s="158"/>
      <c r="BY36" s="158"/>
      <c r="CB36" s="158"/>
    </row>
    <row r="37" ht="18.0" hidden="1" customHeight="1">
      <c r="A37" s="1">
        <f>IFERROR(__xludf.DUMMYFUNCTION("""COMPUTED_VALUE"""),2026.0)</f>
        <v>2026</v>
      </c>
      <c r="B37" s="98">
        <f>IFERROR(__xludf.DUMMYFUNCTION("""COMPUTED_VALUE"""),1.2134202E7)</f>
        <v>12134202</v>
      </c>
      <c r="C37" s="1" t="str">
        <f>IFERROR(__xludf.DUMMYFUNCTION("""COMPUTED_VALUE"""),"MDN PT3 PER-FC SERDANG BEDAGAI_117046")</f>
        <v>MDN PT3 PER-FC SERDANG BEDAGAI_117046</v>
      </c>
      <c r="D37" s="1" t="str">
        <f>IFERROR(__xludf.DUMMYFUNCTION("""COMPUTED_VALUE"""),"REGIONAL I")</f>
        <v>REGIONAL I</v>
      </c>
      <c r="E37" s="1" t="str">
        <f>IFERROR(__xludf.DUMMYFUNCTION("""COMPUTED_VALUE"""),"MEDAN")</f>
        <v>MEDAN</v>
      </c>
      <c r="F37" s="1" t="str">
        <f>IFERROR(__xludf.DUMMYFUNCTION("""COMPUTED_VALUE"""),"PER")</f>
        <v>PER</v>
      </c>
      <c r="G37" s="1" t="str">
        <f>IFERROR(__xludf.DUMMYFUNCTION("""COMPUTED_VALUE"""),"SUMBAGUT")</f>
        <v>SUMBAGUT</v>
      </c>
      <c r="H37" s="1" t="str">
        <f>IFERROR(__xludf.DUMMYFUNCTION("""COMPUTED_VALUE"""),"PEMATANG SIANTAR")</f>
        <v>PEMATANG SIANTAR</v>
      </c>
      <c r="I37" s="1" t="str">
        <f>IFERROR(__xludf.DUMMYFUNCTION("""COMPUTED_VALUE"""),"Batch 1")</f>
        <v>Batch 1</v>
      </c>
      <c r="J37" s="99">
        <f>IFERROR(__xludf.DUMMYFUNCTION("""COMPUTED_VALUE"""),1.0)</f>
        <v>1</v>
      </c>
      <c r="K37" s="100">
        <f>IFERROR(__xludf.DUMMYFUNCTION("""COMPUTED_VALUE"""),8.0)</f>
        <v>8</v>
      </c>
      <c r="L37" s="101">
        <f>IFERROR(__xludf.DUMMYFUNCTION("""COMPUTED_VALUE"""),923006.0)</f>
        <v>923006</v>
      </c>
      <c r="M37" s="102">
        <f>IFERROR(__xludf.DUMMYFUNCTION("""COMPUTED_VALUE"""),7384046.0)</f>
        <v>7384046</v>
      </c>
      <c r="N37" s="1" t="str">
        <f>IFERROR(__xludf.DUMMYFUNCTION("""COMPUTED_VALUE"""),"PT INNANDA INDAH")</f>
        <v>PT INNANDA INDAH</v>
      </c>
      <c r="O37" s="1" t="str">
        <f>IFERROR(__xludf.DUMMYFUNCTION("""COMPUTED_VALUE"""),"2. DONE AANWIJZING")</f>
        <v>2. DONE AANWIJZING</v>
      </c>
      <c r="P37" s="1" t="str">
        <f>IFERROR(__xludf.DUMMYFUNCTION("""COMPUTED_VALUE"""),"2.11 Kendala - Feeder Full / Dependensi LOP lain")</f>
        <v>2.11 Kendala - Feeder Full / Dependensi LOP lain</v>
      </c>
      <c r="Q37" s="1" t="str">
        <f>IFERROR(__xludf.DUMMYFUNCTION("""COMPUTED_VALUE"""),"20/04 Feeder full ( butuh insert feeder)
(07/01) Persiapan")</f>
        <v>20/04 Feeder full ( butuh insert feeder)
(07/01) Persiapan</v>
      </c>
      <c r="R37" s="103"/>
      <c r="S37" s="8"/>
      <c r="T37" s="8"/>
      <c r="U37" s="8"/>
      <c r="V37" s="1"/>
      <c r="W37" s="55"/>
      <c r="X37" s="55" t="str">
        <f>IFERROR(__xludf.DUMMYFUNCTION("""COMPUTED_VALUE"""),"BELUM GOLIVE")</f>
        <v>BELUM GOLIVE</v>
      </c>
      <c r="Y37" s="55"/>
      <c r="Z37" s="55" t="str">
        <f>IFERROR(__xludf.DUMMYFUNCTION("""COMPUTED_VALUE"""),"#N/A")</f>
        <v>#N/A</v>
      </c>
      <c r="AA37" s="55"/>
      <c r="AB37" s="55"/>
      <c r="AC37" s="55"/>
      <c r="AD37" s="104"/>
      <c r="AE37" s="105"/>
      <c r="AF37" s="54"/>
      <c r="AG37" s="54"/>
      <c r="AH37" s="54"/>
      <c r="AI37" s="55" t="str">
        <f t="shared" ref="AI37:AI102" si="27">IF(OR(R37="",AE37=""),"",R37-AE37)</f>
        <v/>
      </c>
      <c r="AJ37" s="55"/>
      <c r="AL37" s="55"/>
      <c r="AM37" s="55"/>
      <c r="AN37" s="55"/>
      <c r="AO37" s="55"/>
      <c r="AP37" s="55"/>
      <c r="AQ37" s="55"/>
      <c r="AR37" s="106">
        <v>31.0</v>
      </c>
      <c r="AS37" s="124">
        <v>2026.0</v>
      </c>
      <c r="AT37" s="124">
        <v>1.2075822E7</v>
      </c>
      <c r="AU37" s="125" t="s">
        <v>162</v>
      </c>
      <c r="AV37" s="126" t="s">
        <v>43</v>
      </c>
      <c r="AW37" s="127" t="str">
        <f t="shared" si="6"/>
        <v>BATAM</v>
      </c>
      <c r="AX37" s="124" t="s">
        <v>90</v>
      </c>
      <c r="AY37" s="124" t="s">
        <v>45</v>
      </c>
      <c r="AZ37" s="124" t="s">
        <v>53</v>
      </c>
      <c r="BA37" s="124" t="s">
        <v>84</v>
      </c>
      <c r="BB37" s="124">
        <v>2.0</v>
      </c>
      <c r="BC37" s="124">
        <v>16.0</v>
      </c>
      <c r="BD37" s="128" t="s">
        <v>138</v>
      </c>
      <c r="BE37" s="124" t="s">
        <v>92</v>
      </c>
      <c r="BF37" s="125" t="s">
        <v>93</v>
      </c>
      <c r="BG37" s="125" t="s">
        <v>163</v>
      </c>
      <c r="BH37" s="110" t="s">
        <v>52</v>
      </c>
      <c r="BI37" s="159">
        <v>46095.0</v>
      </c>
      <c r="BJ37" s="106"/>
      <c r="BK37" s="106"/>
      <c r="BL37" s="94"/>
      <c r="BO37" s="161"/>
      <c r="BP37" s="161"/>
      <c r="BQ37" s="161"/>
      <c r="BU37" s="174"/>
      <c r="BV37" s="158"/>
      <c r="BY37" s="158"/>
      <c r="CB37" s="158"/>
    </row>
    <row r="38" ht="18.0" hidden="1" customHeight="1">
      <c r="A38" s="1">
        <f>IFERROR(__xludf.DUMMYFUNCTION("""COMPUTED_VALUE"""),2026.0)</f>
        <v>2026</v>
      </c>
      <c r="B38" s="98">
        <f>IFERROR(__xludf.DUMMYFUNCTION("""COMPUTED_VALUE"""),1.2134828E7)</f>
        <v>12134828</v>
      </c>
      <c r="C38" s="1" t="str">
        <f>IFERROR(__xludf.DUMMYFUNCTION("""COMPUTED_VALUE"""),"MDN PT3 PER-FA SERDANG BEDAGAI_159203")</f>
        <v>MDN PT3 PER-FA SERDANG BEDAGAI_159203</v>
      </c>
      <c r="D38" s="1" t="str">
        <f>IFERROR(__xludf.DUMMYFUNCTION("""COMPUTED_VALUE"""),"REGIONAL I")</f>
        <v>REGIONAL I</v>
      </c>
      <c r="E38" s="1" t="str">
        <f>IFERROR(__xludf.DUMMYFUNCTION("""COMPUTED_VALUE"""),"MEDAN")</f>
        <v>MEDAN</v>
      </c>
      <c r="F38" s="1" t="str">
        <f>IFERROR(__xludf.DUMMYFUNCTION("""COMPUTED_VALUE"""),"PER")</f>
        <v>PER</v>
      </c>
      <c r="G38" s="1" t="str">
        <f>IFERROR(__xludf.DUMMYFUNCTION("""COMPUTED_VALUE"""),"SUMBAGUT")</f>
        <v>SUMBAGUT</v>
      </c>
      <c r="H38" s="1" t="str">
        <f>IFERROR(__xludf.DUMMYFUNCTION("""COMPUTED_VALUE"""),"PEMATANG SIANTAR")</f>
        <v>PEMATANG SIANTAR</v>
      </c>
      <c r="I38" s="1" t="str">
        <f>IFERROR(__xludf.DUMMYFUNCTION("""COMPUTED_VALUE"""),"Batch 1")</f>
        <v>Batch 1</v>
      </c>
      <c r="J38" s="99">
        <f>IFERROR(__xludf.DUMMYFUNCTION("""COMPUTED_VALUE"""),2.0)</f>
        <v>2</v>
      </c>
      <c r="K38" s="100">
        <f>IFERROR(__xludf.DUMMYFUNCTION("""COMPUTED_VALUE"""),16.0)</f>
        <v>16</v>
      </c>
      <c r="L38" s="101">
        <f>IFERROR(__xludf.DUMMYFUNCTION("""COMPUTED_VALUE"""),661783.0)</f>
        <v>661783</v>
      </c>
      <c r="M38" s="102">
        <f>IFERROR(__xludf.DUMMYFUNCTION("""COMPUTED_VALUE"""),1.0588515E7)</f>
        <v>10588515</v>
      </c>
      <c r="N38" s="1" t="str">
        <f>IFERROR(__xludf.DUMMYFUNCTION("""COMPUTED_VALUE"""),"PT INNANDA INDAH")</f>
        <v>PT INNANDA INDAH</v>
      </c>
      <c r="O38" s="1" t="str">
        <f>IFERROR(__xludf.DUMMYFUNCTION("""COMPUTED_VALUE"""),"3. PERIZINAN")</f>
        <v>3. PERIZINAN</v>
      </c>
      <c r="P38" s="1" t="str">
        <f>IFERROR(__xludf.DUMMYFUNCTION("""COMPUTED_VALUE"""),"3.9 Izin Kades / Lurah / RTRW")</f>
        <v>3.9 Izin Kades / Lurah / RTRW</v>
      </c>
      <c r="Q38" s="1" t="str">
        <f>IFERROR(__xludf.DUMMYFUNCTION("""COMPUTED_VALUE"""),"20/04 komitmen perizinan 21/04
14/04 Redesain done , proses perijinan
09/02 D02 hasil ukur loss OTDR 1,2KM
(07/01) Persiapan")</f>
        <v>20/04 komitmen perizinan 21/04
14/04 Redesain done , proses perijinan
09/02 D02 hasil ukur loss OTDR 1,2KM
(07/01) Persiapan</v>
      </c>
      <c r="R38" s="103"/>
      <c r="S38" s="8"/>
      <c r="T38" s="8"/>
      <c r="U38" s="8"/>
      <c r="V38" s="1"/>
      <c r="W38" s="55"/>
      <c r="X38" s="55" t="str">
        <f>IFERROR(__xludf.DUMMYFUNCTION("""COMPUTED_VALUE"""),"BELUM GOLIVE")</f>
        <v>BELUM GOLIVE</v>
      </c>
      <c r="Y38" s="55"/>
      <c r="Z38" s="55" t="str">
        <f>IFERROR(__xludf.DUMMYFUNCTION("""COMPUTED_VALUE"""),"#N/A")</f>
        <v>#N/A</v>
      </c>
      <c r="AA38" s="55"/>
      <c r="AB38" s="55"/>
      <c r="AC38" s="55"/>
      <c r="AD38" s="104"/>
      <c r="AE38" s="105"/>
      <c r="AF38" s="54"/>
      <c r="AG38" s="54"/>
      <c r="AH38" s="54"/>
      <c r="AI38" s="55" t="str">
        <f t="shared" si="27"/>
        <v/>
      </c>
      <c r="AJ38" s="55"/>
      <c r="AL38" s="55"/>
      <c r="AM38" s="55"/>
      <c r="AN38" s="55"/>
      <c r="AO38" s="55"/>
      <c r="AP38" s="55"/>
      <c r="AQ38" s="55"/>
      <c r="AR38" s="106">
        <v>32.0</v>
      </c>
      <c r="AS38" s="124">
        <v>2026.0</v>
      </c>
      <c r="AT38" s="124">
        <v>1.1278681E7</v>
      </c>
      <c r="AU38" s="125" t="s">
        <v>164</v>
      </c>
      <c r="AV38" s="126" t="s">
        <v>43</v>
      </c>
      <c r="AW38" s="127" t="str">
        <f t="shared" si="6"/>
        <v>BATAM</v>
      </c>
      <c r="AX38" s="124" t="s">
        <v>123</v>
      </c>
      <c r="AY38" s="124" t="s">
        <v>45</v>
      </c>
      <c r="AZ38" s="124" t="s">
        <v>53</v>
      </c>
      <c r="BA38" s="124" t="s">
        <v>84</v>
      </c>
      <c r="BB38" s="124">
        <v>1.0</v>
      </c>
      <c r="BC38" s="124">
        <v>8.0</v>
      </c>
      <c r="BD38" s="128" t="s">
        <v>117</v>
      </c>
      <c r="BE38" s="124" t="s">
        <v>70</v>
      </c>
      <c r="BF38" s="125" t="s">
        <v>71</v>
      </c>
      <c r="BG38" s="125" t="s">
        <v>124</v>
      </c>
      <c r="BH38" s="110" t="s">
        <v>52</v>
      </c>
      <c r="BI38" s="159">
        <v>46095.0</v>
      </c>
      <c r="BJ38" s="106"/>
      <c r="BK38" s="106"/>
      <c r="BL38" s="116"/>
      <c r="BO38" s="161"/>
      <c r="BP38" s="161"/>
      <c r="BQ38" s="161"/>
      <c r="BU38" s="174"/>
      <c r="BV38" s="158"/>
      <c r="BY38" s="158"/>
      <c r="CB38" s="158"/>
    </row>
    <row r="39" ht="18.0" hidden="1" customHeight="1">
      <c r="A39" s="1">
        <f>IFERROR(__xludf.DUMMYFUNCTION("""COMPUTED_VALUE"""),2026.0)</f>
        <v>2026</v>
      </c>
      <c r="B39" s="98">
        <f>IFERROR(__xludf.DUMMYFUNCTION("""COMPUTED_VALUE"""),1.2028874E7)</f>
        <v>12028874</v>
      </c>
      <c r="C39" s="1" t="str">
        <f>IFERROR(__xludf.DUMMYFUNCTION("""COMPUTED_VALUE"""),"SMS PT4 ODC BLT XX DS SIDO MAKMUR")</f>
        <v>SMS PT4 ODC BLT XX DS SIDO MAKMUR</v>
      </c>
      <c r="D39" s="1" t="str">
        <f>IFERROR(__xludf.DUMMYFUNCTION("""COMPUTED_VALUE"""),"REGIONAL I")</f>
        <v>REGIONAL I</v>
      </c>
      <c r="E39" s="1" t="str">
        <f>IFERROR(__xludf.DUMMYFUNCTION("""COMPUTED_VALUE"""),"SUMSEL")</f>
        <v>SUMSEL</v>
      </c>
      <c r="F39" s="1" t="str">
        <f>IFERROR(__xludf.DUMMYFUNCTION("""COMPUTED_VALUE"""),"BLT")</f>
        <v>BLT</v>
      </c>
      <c r="G39" s="1" t="str">
        <f>IFERROR(__xludf.DUMMYFUNCTION("""COMPUTED_VALUE"""),"SUMBAGSEL")</f>
        <v>SUMBAGSEL</v>
      </c>
      <c r="H39" s="1" t="str">
        <f>IFERROR(__xludf.DUMMYFUNCTION("""COMPUTED_VALUE"""),"PALEMBANG")</f>
        <v>PALEMBANG</v>
      </c>
      <c r="I39" s="1" t="str">
        <f>IFERROR(__xludf.DUMMYFUNCTION("""COMPUTED_VALUE"""),"Batch 1")</f>
        <v>Batch 1</v>
      </c>
      <c r="J39" s="99">
        <f>IFERROR(__xludf.DUMMYFUNCTION("""COMPUTED_VALUE"""),34.0)</f>
        <v>34</v>
      </c>
      <c r="K39" s="100">
        <f>IFERROR(__xludf.DUMMYFUNCTION("""COMPUTED_VALUE"""),272.0)</f>
        <v>272</v>
      </c>
      <c r="L39" s="101">
        <f>IFERROR(__xludf.DUMMYFUNCTION("""COMPUTED_VALUE"""),1340972.0)</f>
        <v>1340972</v>
      </c>
      <c r="M39" s="102">
        <f>IFERROR(__xludf.DUMMYFUNCTION("""COMPUTED_VALUE"""),3.64744113E8)</f>
        <v>364744113</v>
      </c>
      <c r="N39" s="1" t="str">
        <f>IFERROR(__xludf.DUMMYFUNCTION("""COMPUTED_VALUE"""),"PT GARINDO TECHNO MANDIRI")</f>
        <v>PT GARINDO TECHNO MANDIRI</v>
      </c>
      <c r="O39" s="1" t="str">
        <f>IFERROR(__xludf.DUMMYFUNCTION("""COMPUTED_VALUE"""),"0. DROP")</f>
        <v>0. DROP</v>
      </c>
      <c r="P39" s="1" t="str">
        <f>IFERROR(__xludf.DUMMYFUNCTION("""COMPUTED_VALUE"""),"0.2 Tidak Dapat Izin Warga/Kades/Lurah/Developer")</f>
        <v>0.2 Tidak Dapat Izin Warga/Kades/Lurah/Developer</v>
      </c>
      <c r="Q39" s="1" t="str">
        <f>IFERROR(__xludf.DUMMYFUNCTION("""COMPUTED_VALUE"""),"06/03 tidak mendapatkan izin dari kades, karena meminta surat dari bupati terkait pembangunan jarinngan telkom di desa tsb  24/02 tidak mendapatkan izin dari kades, karena meminta surat dari bupati terkait pembangunan jarinngan telkom di desa tsb  12/02 K"&amp;"ONFIRM WASPANG HOLD KRNA KENDALA DI PERIZINAN, 11/2 menunggu PRPO  10/02 MASIH PROGRESS DRM, 06/02 HASIL REVIEW TSEL MINTA LANJUT PROGRESS, 03/02 DROP PERMINTAAN SALES 30/01 MENUNGGU EVAL - PLAN TGL 02 FEB, (26/1) tim TIF belum bisa EVAL hasil anwijzing k"&amp;"arena lagi diluar kota , estimasi 29 jan baru kembali ke Palembang(25/01) DONE AANWIDJZING - PROSES PERIZINAN KADES SETEMPAT, (21/01) menunggu antrian aanwizjing, (15/1) ORDER DITERIMA MITRA 14/1,MENUNGGU PLAN AANWIJDZING (07/1) ORDER JPP BATTCH 1 2026")</f>
        <v>06/03 tidak mendapatkan izin dari kades, karena meminta surat dari bupati terkait pembangunan jarinngan telkom di desa tsb  24/02 tidak mendapatkan izin dari kades, karena meminta surat dari bupati terkait pembangunan jarinngan telkom di desa tsb  12/02 KONFIRM WASPANG HOLD KRNA KENDALA DI PERIZINAN, 11/2 menunggu PRPO  10/02 MASIH PROGRESS DRM, 06/02 HASIL REVIEW TSEL MINTA LANJUT PROGRESS, 03/02 DROP PERMINTAAN SALES 30/01 MENUNGGU EVAL - PLAN TGL 02 FEB, (26/1) tim TIF belum bisa EVAL hasil anwijzing karena lagi diluar kota , estimasi 29 jan baru kembali ke Palembang(25/01) DONE AANWIDJZING - PROSES PERIZINAN KADES SETEMPAT, (21/01) menunggu antrian aanwizjing, (15/1) ORDER DITERIMA MITRA 14/1,MENUNGGU PLAN AANWIJDZING (07/1) ORDER JPP BATTCH 1 2026</v>
      </c>
      <c r="R39" s="103"/>
      <c r="S39" s="8"/>
      <c r="T39" s="8"/>
      <c r="U39" s="8"/>
      <c r="V39" s="1" t="str">
        <f>IFERROR(__xludf.DUMMYFUNCTION("""COMPUTED_VALUE"""),"TANTOWI")</f>
        <v>TANTOWI</v>
      </c>
      <c r="W39" s="55"/>
      <c r="X39" s="55" t="str">
        <f>IFERROR(__xludf.DUMMYFUNCTION("""COMPUTED_VALUE"""),"BELUM GOLIVE")</f>
        <v>BELUM GOLIVE</v>
      </c>
      <c r="Y39" s="55"/>
      <c r="Z39" s="55" t="str">
        <f>IFERROR(__xludf.DUMMYFUNCTION("""COMPUTED_VALUE"""),"#N/A")</f>
        <v>#N/A</v>
      </c>
      <c r="AA39" s="55"/>
      <c r="AB39" s="55"/>
      <c r="AC39" s="55"/>
      <c r="AD39" s="104"/>
      <c r="AE39" s="105"/>
      <c r="AF39" s="54" t="str">
        <f>IFERROR(__xludf.DUMMYFUNCTION("""COMPUTED_VALUE"""),"Draft BA DROP")</f>
        <v>Draft BA DROP</v>
      </c>
      <c r="AG39" s="54"/>
      <c r="AH39" s="54"/>
      <c r="AI39" s="55" t="str">
        <f t="shared" si="27"/>
        <v/>
      </c>
      <c r="AJ39" s="55"/>
      <c r="AL39" s="55"/>
      <c r="AM39" s="55"/>
      <c r="AN39" s="55"/>
      <c r="AO39" s="55"/>
      <c r="AP39" s="55"/>
      <c r="AQ39" s="55"/>
      <c r="AR39" s="106">
        <v>33.0</v>
      </c>
      <c r="AS39" s="124">
        <v>2026.0</v>
      </c>
      <c r="AT39" s="124">
        <v>1.1198101E7</v>
      </c>
      <c r="AU39" s="125" t="s">
        <v>165</v>
      </c>
      <c r="AV39" s="126" t="s">
        <v>43</v>
      </c>
      <c r="AW39" s="127" t="str">
        <f t="shared" si="6"/>
        <v>BATAM</v>
      </c>
      <c r="AX39" s="124" t="s">
        <v>123</v>
      </c>
      <c r="AY39" s="124" t="s">
        <v>45</v>
      </c>
      <c r="AZ39" s="124" t="s">
        <v>53</v>
      </c>
      <c r="BA39" s="124" t="s">
        <v>84</v>
      </c>
      <c r="BB39" s="124">
        <v>4.0</v>
      </c>
      <c r="BC39" s="124">
        <v>32.0</v>
      </c>
      <c r="BD39" s="128" t="s">
        <v>117</v>
      </c>
      <c r="BE39" s="124" t="s">
        <v>70</v>
      </c>
      <c r="BF39" s="125" t="s">
        <v>71</v>
      </c>
      <c r="BG39" s="125" t="s">
        <v>124</v>
      </c>
      <c r="BH39" s="110" t="s">
        <v>52</v>
      </c>
      <c r="BI39" s="159">
        <v>46096.0</v>
      </c>
      <c r="BJ39" s="106"/>
      <c r="BK39" s="106"/>
      <c r="BL39" s="106">
        <v>32.0</v>
      </c>
      <c r="BO39" s="161"/>
      <c r="BP39" s="161"/>
      <c r="BQ39" s="161"/>
      <c r="BV39" s="158"/>
      <c r="BY39" s="158"/>
      <c r="CB39" s="158"/>
    </row>
    <row r="40" ht="18.0" hidden="1" customHeight="1">
      <c r="A40" s="1">
        <f>IFERROR(__xludf.DUMMYFUNCTION("""COMPUTED_VALUE"""),2026.0)</f>
        <v>2026</v>
      </c>
      <c r="B40" s="98">
        <f>IFERROR(__xludf.DUMMYFUNCTION("""COMPUTED_VALUE"""),1.2155851E7)</f>
        <v>12155851</v>
      </c>
      <c r="C40" s="1" t="str">
        <f>IFERROR(__xludf.DUMMYFUNCTION("""COMPUTED_VALUE"""),"MDN PT3 BJI-FY DELI SERDANG_175701")</f>
        <v>MDN PT3 BJI-FY DELI SERDANG_175701</v>
      </c>
      <c r="D40" s="1" t="str">
        <f>IFERROR(__xludf.DUMMYFUNCTION("""COMPUTED_VALUE"""),"REGIONAL I")</f>
        <v>REGIONAL I</v>
      </c>
      <c r="E40" s="1" t="str">
        <f>IFERROR(__xludf.DUMMYFUNCTION("""COMPUTED_VALUE"""),"MEDAN")</f>
        <v>MEDAN</v>
      </c>
      <c r="F40" s="1" t="str">
        <f>IFERROR(__xludf.DUMMYFUNCTION("""COMPUTED_VALUE"""),"BJI")</f>
        <v>BJI</v>
      </c>
      <c r="G40" s="1" t="str">
        <f>IFERROR(__xludf.DUMMYFUNCTION("""COMPUTED_VALUE"""),"SUMBAGUT")</f>
        <v>SUMBAGUT</v>
      </c>
      <c r="H40" s="1" t="str">
        <f>IFERROR(__xludf.DUMMYFUNCTION("""COMPUTED_VALUE"""),"BINJAI")</f>
        <v>BINJAI</v>
      </c>
      <c r="I40" s="1" t="str">
        <f>IFERROR(__xludf.DUMMYFUNCTION("""COMPUTED_VALUE"""),"Batch 1")</f>
        <v>Batch 1</v>
      </c>
      <c r="J40" s="99">
        <f>IFERROR(__xludf.DUMMYFUNCTION("""COMPUTED_VALUE"""),2.0)</f>
        <v>2</v>
      </c>
      <c r="K40" s="100">
        <f>IFERROR(__xludf.DUMMYFUNCTION("""COMPUTED_VALUE"""),16.0)</f>
        <v>16</v>
      </c>
      <c r="L40" s="101">
        <f>IFERROR(__xludf.DUMMYFUNCTION("""COMPUTED_VALUE"""),693317.0)</f>
        <v>693317</v>
      </c>
      <c r="M40" s="102">
        <f>IFERROR(__xludf.DUMMYFUNCTION("""COMPUTED_VALUE"""),1.1093065E7)</f>
        <v>11093065</v>
      </c>
      <c r="N40" s="1" t="str">
        <f>IFERROR(__xludf.DUMMYFUNCTION("""COMPUTED_VALUE"""),"PT FIBERHOME TECHNOLOGIES INDONESIA")</f>
        <v>PT FIBERHOME TECHNOLOGIES INDONESIA</v>
      </c>
      <c r="O40" s="1" t="str">
        <f>IFERROR(__xludf.DUMMYFUNCTION("""COMPUTED_VALUE"""),"3. PERIZINAN")</f>
        <v>3. PERIZINAN</v>
      </c>
      <c r="P40" s="1" t="str">
        <f>IFERROR(__xludf.DUMMYFUNCTION("""COMPUTED_VALUE"""),"3.9 Izin Kades / Lurah / RTRW")</f>
        <v>3.9 Izin Kades / Lurah / RTRW</v>
      </c>
      <c r="Q40" s="1" t="str">
        <f>IFERROR(__xludf.DUMMYFUNCTION("""COMPUTED_VALUE"""),"20/04 takeover mitra 09/04 komitmen perizinan 11/04 (03/04) (11/02) proses permit 4 tiang di lahan warga (07/01) Persiapan")</f>
        <v>20/04 takeover mitra 09/04 komitmen perizinan 11/04 (03/04) (11/02) proses permit 4 tiang di lahan warga (07/01) Persiapan</v>
      </c>
      <c r="R40" s="103"/>
      <c r="S40" s="8"/>
      <c r="T40" s="73"/>
      <c r="U40" s="8"/>
      <c r="V40" s="1" t="str">
        <f>IFERROR(__xludf.DUMMYFUNCTION("""COMPUTED_VALUE"""),"16/Apr/2026")</f>
        <v>16/Apr/2026</v>
      </c>
      <c r="W40" s="55"/>
      <c r="X40" s="55" t="str">
        <f>IFERROR(__xludf.DUMMYFUNCTION("""COMPUTED_VALUE"""),"BELUM GOLIVE")</f>
        <v>BELUM GOLIVE</v>
      </c>
      <c r="Y40" s="55"/>
      <c r="Z40" s="55" t="str">
        <f>IFERROR(__xludf.DUMMYFUNCTION("""COMPUTED_VALUE"""),"#N/A")</f>
        <v>#N/A</v>
      </c>
      <c r="AA40" s="55"/>
      <c r="AB40" s="55"/>
      <c r="AC40" s="55"/>
      <c r="AD40" s="104"/>
      <c r="AE40" s="105"/>
      <c r="AF40" s="54"/>
      <c r="AG40" s="54"/>
      <c r="AH40" s="54"/>
      <c r="AI40" s="55" t="str">
        <f t="shared" si="27"/>
        <v/>
      </c>
      <c r="AJ40" s="55"/>
      <c r="AL40" s="55"/>
      <c r="AM40" s="55"/>
      <c r="AN40" s="55"/>
      <c r="AO40" s="55"/>
      <c r="AP40" s="55"/>
      <c r="AQ40" s="55"/>
      <c r="AR40" s="106">
        <v>34.0</v>
      </c>
      <c r="AS40" s="124">
        <v>2026.0</v>
      </c>
      <c r="AT40" s="124">
        <v>1.1363241E7</v>
      </c>
      <c r="AU40" s="125" t="s">
        <v>166</v>
      </c>
      <c r="AV40" s="126" t="s">
        <v>43</v>
      </c>
      <c r="AW40" s="127" t="str">
        <f t="shared" si="6"/>
        <v>DUMAI</v>
      </c>
      <c r="AX40" s="124" t="s">
        <v>167</v>
      </c>
      <c r="AY40" s="124" t="s">
        <v>45</v>
      </c>
      <c r="AZ40" s="124" t="s">
        <v>62</v>
      </c>
      <c r="BA40" s="124" t="s">
        <v>84</v>
      </c>
      <c r="BB40" s="124">
        <v>14.0</v>
      </c>
      <c r="BC40" s="124">
        <v>112.0</v>
      </c>
      <c r="BD40" s="128" t="s">
        <v>85</v>
      </c>
      <c r="BE40" s="124" t="s">
        <v>70</v>
      </c>
      <c r="BF40" s="125" t="s">
        <v>76</v>
      </c>
      <c r="BG40" s="125" t="s">
        <v>168</v>
      </c>
      <c r="BH40" s="110" t="s">
        <v>52</v>
      </c>
      <c r="BI40" s="159">
        <v>46097.0</v>
      </c>
      <c r="BJ40" s="106"/>
      <c r="BK40" s="106"/>
      <c r="BL40" s="112">
        <v>224.0</v>
      </c>
      <c r="BO40" s="181"/>
      <c r="BP40" s="181"/>
      <c r="BQ40" s="181"/>
      <c r="BU40" s="174"/>
      <c r="BV40" s="158"/>
      <c r="BY40" s="158"/>
      <c r="CB40" s="158"/>
    </row>
    <row r="41" ht="18.0" hidden="1" customHeight="1">
      <c r="A41" s="1">
        <f>IFERROR(__xludf.DUMMYFUNCTION("""COMPUTED_VALUE"""),2026.0)</f>
        <v>2026</v>
      </c>
      <c r="B41" s="98">
        <f>IFERROR(__xludf.DUMMYFUNCTION("""COMPUTED_VALUE"""),1.1810066E7)</f>
        <v>11810066</v>
      </c>
      <c r="C41" s="1" t="str">
        <f>IFERROR(__xludf.DUMMYFUNCTION("""COMPUTED_VALUE"""),"SMS PT3 MUD FA D05 DS Talang Kuburan")</f>
        <v>SMS PT3 MUD FA D05 DS Talang Kuburan</v>
      </c>
      <c r="D41" s="1" t="str">
        <f>IFERROR(__xludf.DUMMYFUNCTION("""COMPUTED_VALUE"""),"REGIONAL I")</f>
        <v>REGIONAL I</v>
      </c>
      <c r="E41" s="1" t="str">
        <f>IFERROR(__xludf.DUMMYFUNCTION("""COMPUTED_VALUE"""),"SUMSEL")</f>
        <v>SUMSEL</v>
      </c>
      <c r="F41" s="1" t="str">
        <f>IFERROR(__xludf.DUMMYFUNCTION("""COMPUTED_VALUE"""),"MUD")</f>
        <v>MUD</v>
      </c>
      <c r="G41" s="1" t="str">
        <f>IFERROR(__xludf.DUMMYFUNCTION("""COMPUTED_VALUE"""),"SUMBAGSEL")</f>
        <v>SUMBAGSEL</v>
      </c>
      <c r="H41" s="1" t="str">
        <f>IFERROR(__xludf.DUMMYFUNCTION("""COMPUTED_VALUE"""),"PALEMBANG")</f>
        <v>PALEMBANG</v>
      </c>
      <c r="I41" s="1" t="str">
        <f>IFERROR(__xludf.DUMMYFUNCTION("""COMPUTED_VALUE"""),"Batch 1")</f>
        <v>Batch 1</v>
      </c>
      <c r="J41" s="99">
        <f>IFERROR(__xludf.DUMMYFUNCTION("""COMPUTED_VALUE"""),4.0)</f>
        <v>4</v>
      </c>
      <c r="K41" s="100">
        <f>IFERROR(__xludf.DUMMYFUNCTION("""COMPUTED_VALUE"""),32.0)</f>
        <v>32</v>
      </c>
      <c r="L41" s="101">
        <f>IFERROR(__xludf.DUMMYFUNCTION("""COMPUTED_VALUE"""),516412.0)</f>
        <v>516412</v>
      </c>
      <c r="M41" s="102">
        <f>IFERROR(__xludf.DUMMYFUNCTION("""COMPUTED_VALUE"""),1.6525157E7)</f>
        <v>16525157</v>
      </c>
      <c r="N41" s="1" t="str">
        <f>IFERROR(__xludf.DUMMYFUNCTION("""COMPUTED_VALUE"""),"PT GARINDO TECHNO MANDIRI")</f>
        <v>PT GARINDO TECHNO MANDIRI</v>
      </c>
      <c r="O41" s="1" t="str">
        <f>IFERROR(__xludf.DUMMYFUNCTION("""COMPUTED_VALUE"""),"7. GOLIVE")</f>
        <v>7. GOLIVE</v>
      </c>
      <c r="P41" s="1" t="str">
        <f>IFERROR(__xludf.DUMMYFUNCTION("""COMPUTED_VALUE"""),"7.1 Golive Parsial")</f>
        <v>7.1 Golive Parsial</v>
      </c>
      <c r="Q41" s="1" t="str">
        <f>IFERROR(__xludf.DUMMYFUNCTION("""COMPUTED_VALUE"""),"06/04 PELURUSAN CORE dan pemasangan ODP 04/04 DONE PENANAMAN TIANG DAN PENARIKAN KABEL, 02/04 BUTUH REPAIR DISTRIBUSI KARENA KENDALA RETI, 27/03 KENDALA DISTRIBUSI REDAMAN TINGGI BUTUH REPAIR DISTRIBUSI, 25/03 EST TGL 30 MAR PROGRESS LAPANGAN, 24/03  EST "&amp;"TGL 30 MAR PROGRESS LAPANGAN, 21/03 EST TGL 30 MAR PROGRESS LAPANGAN, 16/03 PARALEL MENUNGGU ANTRIAN PROGRESS, 13/03 MASIH MENUNGGU ANTRIAN PEKERJAAN, 12/03 MENUNGGU ANTRIAN PEKERJAAN MPA, 10/03 MASIH MENUNGGU ANTRIAN PEKERJAAN, 06/03 MENUNGGU ANTRIAN PEK"&amp;"ERJAAN, 04/03 MATERIAL ONSITE, 03/03 MATDEL, 02/03 HARI INI AMBIL TIANG, 27/02 DONE RFC,OGP AMBIL MATERIAL EST TGL 02/03, 26/02 MENUNGGU RFC UTK PENGAMBILAN MATERIAL, 25/02 MASIH MENUNGGU TIANG, 24/02 LANJUT PROGRESS SDH ADA RFC DAN MENUNGGU TIANG, 23/02 "&amp;"BELUM INPUT MATERIAL TIANG KRNA TIANG HABIS, 22/2 menunggu material TIANG  20/02 DONE INPUT MATERIAL, 18/02 BELUM BISA INPUT MATERIAL - MSH MENUNGGU PA, 11/2 menunggu PRPO  10/02 MASIH PROGRESS DRM, 4/2 Sudah evall, lanjut  Deploy 30/01 MENUNGGU EVAL - PL"&amp;"AN TGL 02 FEB, , (26/1) tim TIF belum bisa EVAL hasil anwijzing karena lagi diluar kota , estimasi 29 jan baru kembali ke Palembang(24/1) sudah aanwijdizing, menunggu update hasil (21/01) menunggu antrian aanwizjing, (15/1) ORDER DITERIMA MITRA 14/1,MENUN"&amp;"GGU PLAN AANWIJDZING (07/1) ORDER JPP BATTCH 1 2026")</f>
        <v>06/04 PELURUSAN CORE dan pemasangan ODP 04/04 DONE PENANAMAN TIANG DAN PENARIKAN KABEL, 02/04 BUTUH REPAIR DISTRIBUSI KARENA KENDALA RETI, 27/03 KENDALA DISTRIBUSI REDAMAN TINGGI BUTUH REPAIR DISTRIBUSI, 25/03 EST TGL 30 MAR PROGRESS LAPANGAN, 24/03  EST TGL 30 MAR PROGRESS LAPANGAN, 21/03 EST TGL 30 MAR PROGRESS LAPANGAN, 16/03 PARALEL MENUNGGU ANTRIAN PROGRESS, 13/03 MASIH MENUNGGU ANTRIAN PEKERJAAN, 12/03 MENUNGGU ANTRIAN PEKERJAAN MPA, 10/03 MASIH MENUNGGU ANTRIAN PEKERJAAN, 06/03 MENUNGGU ANTRIAN PEKERJAAN, 04/03 MATERIAL ONSITE, 03/03 MATDEL, 02/03 HARI INI AMBIL TIANG, 27/02 DONE RFC,OGP AMBIL MATERIAL EST TGL 02/03, 26/02 MENUNGGU RFC UTK PENGAMBILAN MATERIAL, 25/02 MASIH MENUNGGU TIANG, 24/02 LANJUT PROGRESS SDH ADA RFC DAN MENUNGGU TIANG, 23/02 BELUM INPUT MATERIAL TIANG KRNA TIANG HABIS, 22/2 menunggu material TIANG  20/02 DONE INPUT MATERIAL, 18/02 BELUM BISA INPUT MATERIAL - MSH MENUNGGU PA, 11/2 menunggu PRPO  10/02 MASIH PROGRESS DRM, 4/2 Sudah evall, lanjut  Deploy 30/01 MENUNGGU EVAL - PLAN TGL 02 FEB, , (26/1) tim TIF belum bisa EVAL hasil anwijzing karena lagi diluar kota , estimasi 29 jan baru kembali ke Palembang(24/1) sudah aanwijdizing, menunggu update hasil (21/01) menunggu antrian aanwizjing, (15/1) ORDER DITERIMA MITRA 14/1,MENUNGGU PLAN AANWIJDZING (07/1) ORDER JPP BATTCH 1 2026</v>
      </c>
      <c r="R41" s="103">
        <f>IFERROR(__xludf.DUMMYFUNCTION("""COMPUTED_VALUE"""),46119.0)</f>
        <v>46119</v>
      </c>
      <c r="S41" s="8" t="str">
        <f>IFERROR(__xludf.DUMMYFUNCTION("""COMPUTED_VALUE"""),"APR")</f>
        <v>APR</v>
      </c>
      <c r="T41" s="73" t="str">
        <f>IFERROR(__xludf.DUMMYFUNCTION("""COMPUTED_VALUE"""),"P1")</f>
        <v>P1</v>
      </c>
      <c r="U41" s="8"/>
      <c r="V41" s="1" t="str">
        <f>IFERROR(__xludf.DUMMYFUNCTION("""COMPUTED_VALUE"""),"TANTOWI")</f>
        <v>TANTOWI</v>
      </c>
      <c r="W41" s="55"/>
      <c r="X41" s="55" t="str">
        <f>IFERROR(__xludf.DUMMYFUNCTION("""COMPUTED_VALUE"""),"GOLIVE")</f>
        <v>GOLIVE</v>
      </c>
      <c r="Y41" s="55" t="str">
        <f>IFERROR(__xludf.DUMMYFUNCTION("""COMPUTED_VALUE"""),"DONE")</f>
        <v>DONE</v>
      </c>
      <c r="Z41" s="55" t="str">
        <f>IFERROR(__xludf.DUMMYFUNCTION("""COMPUTED_VALUE"""),"#N/A")</f>
        <v>#N/A</v>
      </c>
      <c r="AA41" s="55">
        <f>IFERROR(__xludf.DUMMYFUNCTION("""COMPUTED_VALUE"""),2.0)</f>
        <v>2</v>
      </c>
      <c r="AB41" s="55"/>
      <c r="AC41" s="55" t="str">
        <f>IFERROR(__xludf.DUMMYFUNCTION("""COMPUTED_VALUE"""),"9022733#9022738")</f>
        <v>9022733#9022738</v>
      </c>
      <c r="AD41" s="104">
        <f>IFERROR(__xludf.DUMMYFUNCTION("""COMPUTED_VALUE"""),16.0)</f>
        <v>16</v>
      </c>
      <c r="AE41" s="105">
        <f>IFERROR(__xludf.DUMMYFUNCTION("""COMPUTED_VALUE"""),46119.0)</f>
        <v>46119</v>
      </c>
      <c r="AF41" s="54"/>
      <c r="AG41" s="54"/>
      <c r="AH41" s="54">
        <v>46119.0</v>
      </c>
      <c r="AI41" s="55">
        <f t="shared" si="27"/>
        <v>0</v>
      </c>
      <c r="AJ41" s="55"/>
      <c r="AL41" s="55"/>
      <c r="AM41" s="55"/>
      <c r="AN41" s="55"/>
      <c r="AO41" s="55"/>
      <c r="AP41" s="55"/>
      <c r="AQ41" s="55"/>
      <c r="AR41" s="106">
        <v>35.0</v>
      </c>
      <c r="AS41" s="124">
        <v>2026.0</v>
      </c>
      <c r="AT41" s="124">
        <v>1.2487853E7</v>
      </c>
      <c r="AU41" s="125" t="s">
        <v>169</v>
      </c>
      <c r="AV41" s="126" t="s">
        <v>43</v>
      </c>
      <c r="AW41" s="127" t="str">
        <f t="shared" si="6"/>
        <v>PEKANBARU </v>
      </c>
      <c r="AX41" s="124" t="s">
        <v>170</v>
      </c>
      <c r="AY41" s="124" t="s">
        <v>45</v>
      </c>
      <c r="AZ41" s="124" t="s">
        <v>68</v>
      </c>
      <c r="BA41" s="124" t="s">
        <v>84</v>
      </c>
      <c r="BB41" s="124">
        <v>4.0</v>
      </c>
      <c r="BC41" s="124">
        <v>32.0</v>
      </c>
      <c r="BD41" s="128" t="s">
        <v>75</v>
      </c>
      <c r="BE41" s="124" t="s">
        <v>70</v>
      </c>
      <c r="BF41" s="125" t="s">
        <v>76</v>
      </c>
      <c r="BG41" s="125" t="s">
        <v>171</v>
      </c>
      <c r="BH41" s="110" t="s">
        <v>52</v>
      </c>
      <c r="BI41" s="159">
        <v>46097.0</v>
      </c>
      <c r="BJ41" s="106"/>
      <c r="BK41" s="106"/>
      <c r="BL41" s="94"/>
      <c r="BP41" s="11"/>
      <c r="BQ41" s="11"/>
      <c r="BV41" s="158"/>
      <c r="BY41" s="158"/>
      <c r="CB41" s="158"/>
    </row>
    <row r="42" ht="18.0" hidden="1" customHeight="1">
      <c r="A42" s="1">
        <f>IFERROR(__xludf.DUMMYFUNCTION("""COMPUTED_VALUE"""),2026.0)</f>
        <v>2026</v>
      </c>
      <c r="B42" s="98">
        <f>IFERROR(__xludf.DUMMYFUNCTION("""COMPUTED_VALUE"""),1.1499322E7)</f>
        <v>11499322</v>
      </c>
      <c r="C42" s="1" t="str">
        <f>IFERROR(__xludf.DUMMYFUNCTION("""COMPUTED_VALUE"""),"SMS PT3 ODC SBU FAS D04 KELEKAR 8 ULU")</f>
        <v>SMS PT3 ODC SBU FAS D04 KELEKAR 8 ULU</v>
      </c>
      <c r="D42" s="1" t="str">
        <f>IFERROR(__xludf.DUMMYFUNCTION("""COMPUTED_VALUE"""),"REGIONAL I")</f>
        <v>REGIONAL I</v>
      </c>
      <c r="E42" s="1" t="str">
        <f>IFERROR(__xludf.DUMMYFUNCTION("""COMPUTED_VALUE"""),"SUMSEL")</f>
        <v>SUMSEL</v>
      </c>
      <c r="F42" s="1" t="str">
        <f>IFERROR(__xludf.DUMMYFUNCTION("""COMPUTED_VALUE"""),"SBU")</f>
        <v>SBU</v>
      </c>
      <c r="G42" s="1" t="str">
        <f>IFERROR(__xludf.DUMMYFUNCTION("""COMPUTED_VALUE"""),"SUMBAGSEL")</f>
        <v>SUMBAGSEL</v>
      </c>
      <c r="H42" s="1" t="str">
        <f>IFERROR(__xludf.DUMMYFUNCTION("""COMPUTED_VALUE"""),"PALEMBANG")</f>
        <v>PALEMBANG</v>
      </c>
      <c r="I42" s="1" t="str">
        <f>IFERROR(__xludf.DUMMYFUNCTION("""COMPUTED_VALUE"""),"Batch 1")</f>
        <v>Batch 1</v>
      </c>
      <c r="J42" s="99">
        <f>IFERROR(__xludf.DUMMYFUNCTION("""COMPUTED_VALUE"""),1.0)</f>
        <v>1</v>
      </c>
      <c r="K42" s="100">
        <f>IFERROR(__xludf.DUMMYFUNCTION("""COMPUTED_VALUE"""),8.0)</f>
        <v>8</v>
      </c>
      <c r="L42" s="101">
        <f>IFERROR(__xludf.DUMMYFUNCTION("""COMPUTED_VALUE"""),711590.0)</f>
        <v>711590</v>
      </c>
      <c r="M42" s="102">
        <f>IFERROR(__xludf.DUMMYFUNCTION("""COMPUTED_VALUE"""),5692716.0)</f>
        <v>5692716</v>
      </c>
      <c r="N42" s="1" t="str">
        <f>IFERROR(__xludf.DUMMYFUNCTION("""COMPUTED_VALUE"""),"PT ACERO CETHA METALINDO")</f>
        <v>PT ACERO CETHA METALINDO</v>
      </c>
      <c r="O42" s="1" t="str">
        <f>IFERROR(__xludf.DUMMYFUNCTION("""COMPUTED_VALUE"""),"0. DROP")</f>
        <v>0. DROP</v>
      </c>
      <c r="P42" s="1" t="str">
        <f>IFERROR(__xludf.DUMMYFUNCTION("""COMPUTED_VALUE"""),"0.2 Tidak Dapat Izin Warga/Kades/Lurah/Developer")</f>
        <v>0.2 Tidak Dapat Izin Warga/Kades/Lurah/Developer</v>
      </c>
      <c r="Q42" s="1" t="str">
        <f>IFERROR(__xludf.DUMMYFUNCTION("""COMPUTED_VALUE"""),"22/2 kendala perizinan warga   08/02 INFO TL SALES RUBY DROP, 06/02 HASIL REVIEW TSEL MINTA DI SURVEY ULANG BARENG TSEL, 03/02 DONE EVAL, HOLD KARENA DI LOKASI TIDAK ADA SPACE TANAM TIANG 04/02 HOLD - TDK ADA SPACE TANAM TIANG, 30/01 MENUNGGU JDWAL EVAL, "&amp;"25/01 aanwidjzing - tidak ada Space tanam tiang,21/01 AANWIDJZING, (15/1) ORDER DITERIMA MITRA 14/1, plan Aanwijdzing 19 Jan (07/1) ORDER JPP BATTCH 1 2026")</f>
        <v>22/2 kendala perizinan warga   08/02 INFO TL SALES RUBY DROP, 06/02 HASIL REVIEW TSEL MINTA DI SURVEY ULANG BARENG TSEL, 03/02 DONE EVAL, HOLD KARENA DI LOKASI TIDAK ADA SPACE TANAM TIANG 04/02 HOLD - TDK ADA SPACE TANAM TIANG, 30/01 MENUNGGU JDWAL EVAL, 25/01 aanwidjzing - tidak ada Space tanam tiang,21/01 AANWIDJZING, (15/1) ORDER DITERIMA MITRA 14/1, plan Aanwijdzing 19 Jan (07/1) ORDER JPP BATTCH 1 2026</v>
      </c>
      <c r="R42" s="103"/>
      <c r="S42" s="8"/>
      <c r="T42" s="8"/>
      <c r="U42" s="8"/>
      <c r="V42" s="1" t="str">
        <f>IFERROR(__xludf.DUMMYFUNCTION("""COMPUTED_VALUE"""),"PRIGUS")</f>
        <v>PRIGUS</v>
      </c>
      <c r="W42" s="55"/>
      <c r="X42" s="55" t="str">
        <f>IFERROR(__xludf.DUMMYFUNCTION("""COMPUTED_VALUE"""),"BELUM GOLIVE")</f>
        <v>BELUM GOLIVE</v>
      </c>
      <c r="Y42" s="55"/>
      <c r="Z42" s="55" t="str">
        <f>IFERROR(__xludf.DUMMYFUNCTION("""COMPUTED_VALUE"""),"#N/A")</f>
        <v>#N/A</v>
      </c>
      <c r="AA42" s="55"/>
      <c r="AB42" s="55"/>
      <c r="AC42" s="55"/>
      <c r="AD42" s="104"/>
      <c r="AE42" s="105"/>
      <c r="AF42" s="54" t="str">
        <f>IFERROR(__xludf.DUMMYFUNCTION("""COMPUTED_VALUE"""),"Draft BA DROP")</f>
        <v>Draft BA DROP</v>
      </c>
      <c r="AG42" s="54"/>
      <c r="AH42" s="54"/>
      <c r="AI42" s="55" t="str">
        <f t="shared" si="27"/>
        <v/>
      </c>
      <c r="AJ42" s="55"/>
      <c r="AL42" s="55"/>
      <c r="AM42" s="55"/>
      <c r="AN42" s="55"/>
      <c r="AO42" s="55"/>
      <c r="AP42" s="55"/>
      <c r="AQ42" s="55"/>
      <c r="AR42" s="106">
        <v>36.0</v>
      </c>
      <c r="AS42" s="124">
        <v>2026.0</v>
      </c>
      <c r="AT42" s="124">
        <v>1.2204982E7</v>
      </c>
      <c r="AU42" s="125" t="s">
        <v>172</v>
      </c>
      <c r="AV42" s="126" t="s">
        <v>43</v>
      </c>
      <c r="AW42" s="127" t="str">
        <f t="shared" si="6"/>
        <v>PEKANBARU </v>
      </c>
      <c r="AX42" s="124" t="s">
        <v>170</v>
      </c>
      <c r="AY42" s="124" t="s">
        <v>45</v>
      </c>
      <c r="AZ42" s="124" t="s">
        <v>68</v>
      </c>
      <c r="BA42" s="124" t="s">
        <v>84</v>
      </c>
      <c r="BB42" s="124">
        <v>10.0</v>
      </c>
      <c r="BC42" s="124">
        <v>80.0</v>
      </c>
      <c r="BD42" s="128" t="s">
        <v>75</v>
      </c>
      <c r="BE42" s="124" t="s">
        <v>70</v>
      </c>
      <c r="BF42" s="125" t="s">
        <v>76</v>
      </c>
      <c r="BG42" s="125" t="s">
        <v>173</v>
      </c>
      <c r="BH42" s="110" t="s">
        <v>52</v>
      </c>
      <c r="BI42" s="159">
        <v>46097.0</v>
      </c>
      <c r="BJ42" s="106"/>
      <c r="BK42" s="106"/>
      <c r="BL42" s="116"/>
      <c r="BP42" s="11"/>
      <c r="BQ42" s="11"/>
      <c r="BV42" s="158"/>
      <c r="BY42" s="158"/>
      <c r="CB42" s="158"/>
    </row>
    <row r="43" hidden="1">
      <c r="A43" s="1">
        <f>IFERROR(__xludf.DUMMYFUNCTION("""COMPUTED_VALUE"""),2026.0)</f>
        <v>2026</v>
      </c>
      <c r="B43" s="98">
        <f>IFERROR(__xludf.DUMMYFUNCTION("""COMPUTED_VALUE"""),1.1437487E7)</f>
        <v>11437487</v>
      </c>
      <c r="C43" s="1" t="str">
        <f>IFERROR(__xludf.DUMMYFUNCTION("""COMPUTED_VALUE"""),"SMS PT3 MPA FN D04 OKU TIMUR_13452")</f>
        <v>SMS PT3 MPA FN D04 OKU TIMUR_13452</v>
      </c>
      <c r="D43" s="1" t="str">
        <f>IFERROR(__xludf.DUMMYFUNCTION("""COMPUTED_VALUE"""),"REGIONAL I")</f>
        <v>REGIONAL I</v>
      </c>
      <c r="E43" s="1" t="str">
        <f>IFERROR(__xludf.DUMMYFUNCTION("""COMPUTED_VALUE"""),"SUMSEL")</f>
        <v>SUMSEL</v>
      </c>
      <c r="F43" s="1" t="str">
        <f>IFERROR(__xludf.DUMMYFUNCTION("""COMPUTED_VALUE"""),"MPA")</f>
        <v>MPA</v>
      </c>
      <c r="G43" s="1" t="str">
        <f>IFERROR(__xludf.DUMMYFUNCTION("""COMPUTED_VALUE"""),"SUMBAGSEL")</f>
        <v>SUMBAGSEL</v>
      </c>
      <c r="H43" s="1" t="str">
        <f>IFERROR(__xludf.DUMMYFUNCTION("""COMPUTED_VALUE"""),"PALEMBANG")</f>
        <v>PALEMBANG</v>
      </c>
      <c r="I43" s="1" t="str">
        <f>IFERROR(__xludf.DUMMYFUNCTION("""COMPUTED_VALUE"""),"Batch 1")</f>
        <v>Batch 1</v>
      </c>
      <c r="J43" s="99">
        <f>IFERROR(__xludf.DUMMYFUNCTION("""COMPUTED_VALUE"""),2.0)</f>
        <v>2</v>
      </c>
      <c r="K43" s="100">
        <f>IFERROR(__xludf.DUMMYFUNCTION("""COMPUTED_VALUE"""),16.0)</f>
        <v>16</v>
      </c>
      <c r="L43" s="101">
        <f>IFERROR(__xludf.DUMMYFUNCTION("""COMPUTED_VALUE"""),720393.0)</f>
        <v>720393</v>
      </c>
      <c r="M43" s="102">
        <f>IFERROR(__xludf.DUMMYFUNCTION("""COMPUTED_VALUE"""),1.1526279E7)</f>
        <v>11526279</v>
      </c>
      <c r="N43" s="1" t="str">
        <f>IFERROR(__xludf.DUMMYFUNCTION("""COMPUTED_VALUE"""),"PT GARINDO TECHNO MANDIRI")</f>
        <v>PT GARINDO TECHNO MANDIRI</v>
      </c>
      <c r="O43" s="1" t="str">
        <f>IFERROR(__xludf.DUMMYFUNCTION("""COMPUTED_VALUE"""),"7. GOLIVE")</f>
        <v>7. GOLIVE</v>
      </c>
      <c r="P43" s="1" t="str">
        <f>IFERROR(__xludf.DUMMYFUNCTION("""COMPUTED_VALUE"""),"7.2 Golive Full / OA / DONE OTB")</f>
        <v>7.2 Golive Full / OA / DONE OTB</v>
      </c>
      <c r="Q43" s="1" t="str">
        <f>IFERROR(__xludf.DUMMYFUNCTION("""COMPUTED_VALUE"""),"10/03 GOLIVE, 09/03 MENUNGGU GOLIVE, 07/03 DONE SUBMIT ABD KE SDI, 06/03 PROGRESS JOINT ODP, 06/03 DONE PENANAMAN 5 TIANG, PENARIKAN KABEL 425M DAN PEMASANGAN AKSESORIS, 05/03 MENUNGGU ANTRIAN PEKERJAAN, 04/03 MATERIAL ONSITE, 03/03 MATDEL, 02/03 HARI INI"&amp;" AMBIL TIANG, 27/02 DONE RFC,OGP AMBIL MATERIAL EST TGL 02/03, 26/02 MENUNGGU RFC UTK PENGAMBILAN MATERIAL, 25/02 MASIH MENUNGGU TIANG, 24/02 LANJUT PROGRESS SDH ADA RFC DAN MENUNGGU TIANG, 23/02 BELUM INPUT MATERIAL TIANG KRNA TIANG HABIS, 22/2 menunggu "&amp;"material TIANG  20/02 DONE INPUT MATERIAL, 18/02 PROGRESS INPUT MATERIAL - KENDALA OVER BUDGET, 18/02 BELUM BISA INPUT MATERIAL - MSH MENUNGGU PA, 11/2 menunggu PRPO  10/02 MASIH PROGRESS DRM, 4/2 Sudah evall, lanjut  Deploy 30/01 MENUNGGU EVAL - PLAN TGL"&amp;" 02 FEB,   (26/1) tim TIF belum bisa EVAL hasil anwijzing karena lagi diluar kota , estimasi 29 jan baru kembali ke Palembang(24/1) sudah aanwijdzing, perubahan jalur (15/1) SUDAH AANWIDJZING, MENUNGGU HASIL EVAL PALIM LAMBAT TANGGAL 23 JAN  (15/1) ORDER "&amp;"DITERIMA MITRA 14/1,MENUNGGU PLAN AANWIJDZING (07/1) ORDER JPP BATTCH 1 2026")</f>
        <v>10/03 GOLIVE, 09/03 MENUNGGU GOLIVE, 07/03 DONE SUBMIT ABD KE SDI, 06/03 PROGRESS JOINT ODP, 06/03 DONE PENANAMAN 5 TIANG, PENARIKAN KABEL 425M DAN PEMASANGAN AKSESORIS, 05/03 MENUNGGU ANTRIAN PEKERJAAN, 04/03 MATERIAL ONSITE, 03/03 MATDEL, 02/03 HARI INI AMBIL TIANG, 27/02 DONE RFC,OGP AMBIL MATERIAL EST TGL 02/03, 26/02 MENUNGGU RFC UTK PENGAMBILAN MATERIAL, 25/02 MASIH MENUNGGU TIANG, 24/02 LANJUT PROGRESS SDH ADA RFC DAN MENUNGGU TIANG, 23/02 BELUM INPUT MATERIAL TIANG KRNA TIANG HABIS, 22/2 menunggu material TIANG  20/02 DONE INPUT MATERIAL, 18/02 PROGRESS INPUT MATERIAL - KENDALA OVER BUDGET, 18/02 BELUM BISA INPUT MATERIAL - MSH MENUNGGU PA, 11/2 menunggu PRPO  10/02 MASIH PROGRESS DRM, 4/2 Sudah evall, lanjut  Deploy 30/01 MENUNGGU EVAL - PLAN TGL 02 FEB,   (26/1) tim TIF belum bisa EVAL hasil anwijzing karena lagi diluar kota , estimasi 29 jan baru kembali ke Palembang(24/1) sudah aanwijdzing, perubahan jalur (15/1) SUDAH AANWIDJZING, MENUNGGU HASIL EVAL PALIM LAMBAT TANGGAL 23 JAN  (15/1) ORDER DITERIMA MITRA 14/1,MENUNGGU PLAN AANWIJDZING (07/1) ORDER JPP BATTCH 1 2026</v>
      </c>
      <c r="R43" s="103">
        <f>IFERROR(__xludf.DUMMYFUNCTION("""COMPUTED_VALUE"""),46093.0)</f>
        <v>46093</v>
      </c>
      <c r="S43" s="8" t="str">
        <f>IFERROR(__xludf.DUMMYFUNCTION("""COMPUTED_VALUE"""),"MAR")</f>
        <v>MAR</v>
      </c>
      <c r="T43" s="8"/>
      <c r="U43" s="8"/>
      <c r="V43" s="1" t="str">
        <f>IFERROR(__xludf.DUMMYFUNCTION("""COMPUTED_VALUE"""),"TANTOWI")</f>
        <v>TANTOWI</v>
      </c>
      <c r="W43" s="55"/>
      <c r="X43" s="55" t="str">
        <f>IFERROR(__xludf.DUMMYFUNCTION("""COMPUTED_VALUE"""),"GOLIVE")</f>
        <v>GOLIVE</v>
      </c>
      <c r="Y43" s="55" t="str">
        <f>IFERROR(__xludf.DUMMYFUNCTION("""COMPUTED_VALUE"""),"DONE")</f>
        <v>DONE</v>
      </c>
      <c r="Z43" s="55" t="str">
        <f>IFERROR(__xludf.DUMMYFUNCTION("""COMPUTED_VALUE"""),"#N/A")</f>
        <v>#N/A</v>
      </c>
      <c r="AA43" s="55">
        <f>IFERROR(__xludf.DUMMYFUNCTION("""COMPUTED_VALUE"""),2.0)</f>
        <v>2</v>
      </c>
      <c r="AB43" s="55"/>
      <c r="AC43" s="55" t="str">
        <f>IFERROR(__xludf.DUMMYFUNCTION("""COMPUTED_VALUE"""),"9022271#9022276")</f>
        <v>9022271#9022276</v>
      </c>
      <c r="AD43" s="104">
        <f>IFERROR(__xludf.DUMMYFUNCTION("""COMPUTED_VALUE"""),16.0)</f>
        <v>16</v>
      </c>
      <c r="AE43" s="105">
        <f>IFERROR(__xludf.DUMMYFUNCTION("""COMPUTED_VALUE"""),46088.0)</f>
        <v>46088</v>
      </c>
      <c r="AF43" s="54"/>
      <c r="AG43" s="54"/>
      <c r="AH43" s="54">
        <v>46093.0</v>
      </c>
      <c r="AI43" s="55">
        <f t="shared" si="27"/>
        <v>5</v>
      </c>
      <c r="AJ43" s="55"/>
      <c r="AL43" s="55"/>
      <c r="AM43" s="55"/>
      <c r="AN43" s="55"/>
      <c r="AO43" s="55"/>
      <c r="AP43" s="55"/>
      <c r="AQ43" s="55"/>
      <c r="AR43" s="106">
        <v>37.0</v>
      </c>
      <c r="AS43" s="124">
        <v>2026.0</v>
      </c>
      <c r="AT43" s="124">
        <v>1.1539784E7</v>
      </c>
      <c r="AU43" s="125" t="s">
        <v>174</v>
      </c>
      <c r="AV43" s="126" t="s">
        <v>43</v>
      </c>
      <c r="AW43" s="127" t="str">
        <f t="shared" si="6"/>
        <v>BATAM</v>
      </c>
      <c r="AX43" s="124" t="s">
        <v>55</v>
      </c>
      <c r="AY43" s="124" t="s">
        <v>45</v>
      </c>
      <c r="AZ43" s="124" t="s">
        <v>53</v>
      </c>
      <c r="BA43" s="124" t="s">
        <v>84</v>
      </c>
      <c r="BB43" s="124">
        <v>4.0</v>
      </c>
      <c r="BC43" s="124">
        <v>32.0</v>
      </c>
      <c r="BD43" s="128" t="s">
        <v>56</v>
      </c>
      <c r="BE43" s="124" t="s">
        <v>92</v>
      </c>
      <c r="BF43" s="125" t="s">
        <v>93</v>
      </c>
      <c r="BG43" s="125" t="s">
        <v>175</v>
      </c>
      <c r="BH43" s="110" t="s">
        <v>52</v>
      </c>
      <c r="BI43" s="159">
        <v>46098.0</v>
      </c>
      <c r="BJ43" s="106"/>
      <c r="BK43" s="106"/>
      <c r="BL43" s="106">
        <v>32.0</v>
      </c>
      <c r="BP43" s="11"/>
    </row>
    <row r="44" ht="18.0" customHeight="1">
      <c r="A44" s="1">
        <f>IFERROR(__xludf.DUMMYFUNCTION("""COMPUTED_VALUE"""),2026.0)</f>
        <v>2026</v>
      </c>
      <c r="B44" s="98">
        <f>IFERROR(__xludf.DUMMYFUNCTION("""COMPUTED_VALUE"""),1.0386343E7)</f>
        <v>10386343</v>
      </c>
      <c r="C44" s="1" t="str">
        <f>IFERROR(__xludf.DUMMYFUNCTION("""COMPUTED_VALUE"""),"SMB P4I1 MYIR-10471642720001-YOFIE EFFENDI")</f>
        <v>SMB P4I1 MYIR-10471642720001-YOFIE EFFENDI</v>
      </c>
      <c r="D44" s="1" t="str">
        <f>IFERROR(__xludf.DUMMYFUNCTION("""COMPUTED_VALUE"""),"REGIONAL I")</f>
        <v>REGIONAL I</v>
      </c>
      <c r="E44" s="1" t="str">
        <f>IFERROR(__xludf.DUMMYFUNCTION("""COMPUTED_VALUE"""),"SUMBAR")</f>
        <v>SUMBAR</v>
      </c>
      <c r="F44" s="1" t="str">
        <f>IFERROR(__xludf.DUMMYFUNCTION("""COMPUTED_VALUE"""),"BDT")</f>
        <v>BDT</v>
      </c>
      <c r="G44" s="1" t="str">
        <f>IFERROR(__xludf.DUMMYFUNCTION("""COMPUTED_VALUE"""),"SUMBAGTENG")</f>
        <v>SUMBAGTENG</v>
      </c>
      <c r="H44" s="1" t="str">
        <f>IFERROR(__xludf.DUMMYFUNCTION("""COMPUTED_VALUE"""),"BUKIT TINGGI")</f>
        <v>BUKIT TINGGI</v>
      </c>
      <c r="I44" s="1" t="str">
        <f>IFERROR(__xludf.DUMMYFUNCTION("""COMPUTED_VALUE"""),"Batch 1")</f>
        <v>Batch 1</v>
      </c>
      <c r="J44" s="99">
        <f>IFERROR(__xludf.DUMMYFUNCTION("""COMPUTED_VALUE"""),1.0)</f>
        <v>1</v>
      </c>
      <c r="K44" s="100">
        <f>IFERROR(__xludf.DUMMYFUNCTION("""COMPUTED_VALUE"""),40.0)</f>
        <v>40</v>
      </c>
      <c r="L44" s="101">
        <f>IFERROR(__xludf.DUMMYFUNCTION("""COMPUTED_VALUE"""),598481.0)</f>
        <v>598481</v>
      </c>
      <c r="M44" s="102">
        <f>IFERROR(__xludf.DUMMYFUNCTION("""COMPUTED_VALUE"""),2.3939202E7)</f>
        <v>23939202</v>
      </c>
      <c r="N44" s="1" t="str">
        <f>IFERROR(__xludf.DUMMYFUNCTION("""COMPUTED_VALUE"""),"PT TRI PENAMAS")</f>
        <v>PT TRI PENAMAS</v>
      </c>
      <c r="O44" s="1" t="str">
        <f>IFERROR(__xludf.DUMMYFUNCTION("""COMPUTED_VALUE"""),"8. UJI TERIMA")</f>
        <v>8. UJI TERIMA</v>
      </c>
      <c r="P44" s="1" t="str">
        <f>IFERROR(__xludf.DUMMYFUNCTION("""COMPUTED_VALUE"""),"8.1 Proses UT")</f>
        <v>8.1 Proses UT</v>
      </c>
      <c r="Q44" s="1" t="str">
        <f>IFERROR(__xludf.DUMMYFUNCTION("""COMPUTED_VALUE"""),"(18/02) ABD Done ke SDI  (29/01) Proses create PID (29/01) proses aanwijziing  ")</f>
        <v>(18/02) ABD Done ke SDI  (29/01) Proses create PID (29/01) proses aanwijziing  </v>
      </c>
      <c r="R44" s="103">
        <f>IFERROR(__xludf.DUMMYFUNCTION("""COMPUTED_VALUE"""),46068.0)</f>
        <v>46068</v>
      </c>
      <c r="S44" s="8"/>
      <c r="T44" s="8"/>
      <c r="U44" s="8" t="str">
        <f>IFERROR(__xludf.DUMMYFUNCTION("""COMPUTED_VALUE"""),"TIF-3046/2026 26KT03R158-0054")</f>
        <v>TIF-3046/2026 26KT03R158-0054</v>
      </c>
      <c r="V44" s="1" t="str">
        <f>IFERROR(__xludf.DUMMYFUNCTION("""COMPUTED_VALUE"""),"FABIO RAHMAN")</f>
        <v>FABIO RAHMAN</v>
      </c>
      <c r="W44" s="55" t="str">
        <f>IFERROR(__xludf.DUMMYFUNCTION("""COMPUTED_VALUE"""),"MELKO NARWADI")</f>
        <v>MELKO NARWADI</v>
      </c>
      <c r="X44" s="55" t="str">
        <f>IFERROR(__xludf.DUMMYFUNCTION("""COMPUTED_VALUE"""),"GOLIVE")</f>
        <v>GOLIVE</v>
      </c>
      <c r="Y44" s="55" t="str">
        <f>IFERROR(__xludf.DUMMYFUNCTION("""COMPUTED_VALUE"""),"DONE")</f>
        <v>DONE</v>
      </c>
      <c r="Z44" s="55" t="str">
        <f>IFERROR(__xludf.DUMMYFUNCTION("""COMPUTED_VALUE"""),"#N/A")</f>
        <v>#N/A</v>
      </c>
      <c r="AA44" s="55">
        <f>IFERROR(__xludf.DUMMYFUNCTION("""COMPUTED_VALUE"""),1.0)</f>
        <v>1</v>
      </c>
      <c r="AB44" s="55"/>
      <c r="AC44" s="55" t="str">
        <f>IFERROR(__xludf.DUMMYFUNCTION("""COMPUTED_VALUE"""),"9119093#9119098")</f>
        <v>9119093#9119098</v>
      </c>
      <c r="AD44" s="104">
        <f>IFERROR(__xludf.DUMMYFUNCTION("""COMPUTED_VALUE"""),8.0)</f>
        <v>8</v>
      </c>
      <c r="AE44" s="105">
        <f>IFERROR(__xludf.DUMMYFUNCTION("""COMPUTED_VALUE"""),46071.0)</f>
        <v>46071</v>
      </c>
      <c r="AF44" s="54"/>
      <c r="AG44" s="54"/>
      <c r="AH44" s="54">
        <v>46068.0</v>
      </c>
      <c r="AI44" s="55">
        <f t="shared" si="27"/>
        <v>-3</v>
      </c>
      <c r="AJ44" s="55"/>
      <c r="AL44" s="55"/>
      <c r="AM44" s="55"/>
      <c r="AN44" s="55"/>
      <c r="AO44" s="55"/>
      <c r="AP44" s="55"/>
      <c r="AQ44" s="55"/>
      <c r="AR44" s="106">
        <v>38.0</v>
      </c>
      <c r="AS44" s="169">
        <v>2026.0</v>
      </c>
      <c r="AT44" s="169">
        <v>1.2792159E7</v>
      </c>
      <c r="AU44" s="170" t="s">
        <v>176</v>
      </c>
      <c r="AV44" s="169" t="s">
        <v>43</v>
      </c>
      <c r="AW44" s="109" t="str">
        <f t="shared" si="6"/>
        <v>BATAM</v>
      </c>
      <c r="AX44" s="182" t="s">
        <v>55</v>
      </c>
      <c r="AY44" s="169" t="s">
        <v>45</v>
      </c>
      <c r="AZ44" s="169" t="s">
        <v>53</v>
      </c>
      <c r="BA44" s="169" t="s">
        <v>47</v>
      </c>
      <c r="BB44" s="169">
        <v>3.0</v>
      </c>
      <c r="BC44" s="169">
        <v>24.0</v>
      </c>
      <c r="BD44" s="108" t="s">
        <v>56</v>
      </c>
      <c r="BE44" s="107" t="s">
        <v>49</v>
      </c>
      <c r="BF44" s="108" t="s">
        <v>150</v>
      </c>
      <c r="BG44" s="108" t="s">
        <v>177</v>
      </c>
      <c r="BH44" s="110" t="s">
        <v>52</v>
      </c>
      <c r="BI44" s="175">
        <v>46111.0</v>
      </c>
      <c r="BJ44" s="106"/>
      <c r="BK44" s="106" t="s">
        <v>1</v>
      </c>
      <c r="BL44" s="106">
        <v>24.0</v>
      </c>
      <c r="BP44" s="11"/>
    </row>
    <row r="45" ht="18.0" hidden="1" customHeight="1">
      <c r="A45" s="46">
        <f>IFERROR(__xludf.DUMMYFUNCTION("""COMPUTED_VALUE"""),2026.0)</f>
        <v>2026</v>
      </c>
      <c r="B45" s="47">
        <f>IFERROR(__xludf.DUMMYFUNCTION("""COMPUTED_VALUE"""),1.1291829E7)</f>
        <v>11291829</v>
      </c>
      <c r="C45" s="46" t="str">
        <f>IFERROR(__xludf.DUMMYFUNCTION("""COMPUTED_VALUE"""),"SMS PT3 ODC KTU FDN D03 DREAMLAND 1")</f>
        <v>SMS PT3 ODC KTU FDN D03 DREAMLAND 1</v>
      </c>
      <c r="D45" s="46" t="str">
        <f>IFERROR(__xludf.DUMMYFUNCTION("""COMPUTED_VALUE"""),"REGIONAL I")</f>
        <v>REGIONAL I</v>
      </c>
      <c r="E45" s="46" t="str">
        <f>IFERROR(__xludf.DUMMYFUNCTION("""COMPUTED_VALUE"""),"SUMSEL")</f>
        <v>SUMSEL</v>
      </c>
      <c r="F45" s="46" t="str">
        <f>IFERROR(__xludf.DUMMYFUNCTION("""COMPUTED_VALUE"""),"KTU")</f>
        <v>KTU</v>
      </c>
      <c r="G45" s="46" t="str">
        <f>IFERROR(__xludf.DUMMYFUNCTION("""COMPUTED_VALUE"""),"SUMBAGSEL")</f>
        <v>SUMBAGSEL</v>
      </c>
      <c r="H45" s="46" t="str">
        <f>IFERROR(__xludf.DUMMYFUNCTION("""COMPUTED_VALUE"""),"PALEMBANG")</f>
        <v>PALEMBANG</v>
      </c>
      <c r="I45" s="46" t="str">
        <f>IFERROR(__xludf.DUMMYFUNCTION("""COMPUTED_VALUE"""),"Batch 1")</f>
        <v>Batch 1</v>
      </c>
      <c r="J45" s="48">
        <f>IFERROR(__xludf.DUMMYFUNCTION("""COMPUTED_VALUE"""),9.0)</f>
        <v>9</v>
      </c>
      <c r="K45" s="49">
        <f>IFERROR(__xludf.DUMMYFUNCTION("""COMPUTED_VALUE"""),72.0)</f>
        <v>72</v>
      </c>
      <c r="L45" s="50">
        <f>IFERROR(__xludf.DUMMYFUNCTION("""COMPUTED_VALUE"""),523374.0)</f>
        <v>523374</v>
      </c>
      <c r="M45" s="4">
        <f>IFERROR(__xludf.DUMMYFUNCTION("""COMPUTED_VALUE"""),3.7682905E7)</f>
        <v>37682905</v>
      </c>
      <c r="N45" s="46" t="str">
        <f>IFERROR(__xludf.DUMMYFUNCTION("""COMPUTED_VALUE"""),"PT SARANA MITRA PERSADA")</f>
        <v>PT SARANA MITRA PERSADA</v>
      </c>
      <c r="O45" s="46" t="str">
        <f>IFERROR(__xludf.DUMMYFUNCTION("""COMPUTED_VALUE"""),"0. DROP")</f>
        <v>0. DROP</v>
      </c>
      <c r="P45" s="46" t="str">
        <f>IFERROR(__xludf.DUMMYFUNCTION("""COMPUTED_VALUE"""),"0.2 Tidak Dapat Izin Warga/Kades/Lurah/Developer")</f>
        <v>0.2 Tidak Dapat Izin Warga/Kades/Lurah/Developer</v>
      </c>
      <c r="Q45" s="46" t="str">
        <f>IFERROR(__xludf.DUMMYFUNCTION("""COMPUTED_VALUE"""),"26/03 MASIH BLM ADA INFO TERKAIT IZIN DEVELOPER, 24/03 MASIH BLM ADA INFO TERKAIT IZIN DEVELOPER, 21/03 BLM ADA KEPASTIAN IZIN DARI DEVELOPER, 16/03 MSH BLM ADA INFO DARI DEVELOPER, 13/03 HOLD - MSH BLM ADA INFO DARI DEVELOPER, 02/03 OGP REVIEW TIF, 27/02"&amp;" HOLD, MASIH BLM ADA INFO DARI DEVELOPER, 06/02 HASIL REVIEW TSEL - NEED HELP TIM HH UTK FOLLOW UP PERIZINAN DEVELOPER APC, 30/01 DONE AANWIJZING, TETAPI PD SAAT AANWIZJING TIDAK DAPAT IZIN DARI PIHAK DEPLOVER, SDH KONFIRM SALES (MAYA) UNTUK BANTU IZIN PI"&amp;"HAK DEPLOVER 31/01 menunguu izin dari devloper 30/01 saat ketemu dg pihak depover dri pihak deplover belum kasih izin, skrng lgi koordinasi dg tim sales untuk bantu izin ke pohak deplover, (21/01) PERIZINAN DEVELOPER, (20/01) DONE AANWIDJZING, (15/1) ORDE"&amp;"R DITERIMA 14/1, PLAN AANWIJDZING 19 JAN 26 (07/1) ORDER JPP BATTCH 1 2026
 14/01 penunjukan mitra oleh procurement")</f>
        <v>26/03 MASIH BLM ADA INFO TERKAIT IZIN DEVELOPER, 24/03 MASIH BLM ADA INFO TERKAIT IZIN DEVELOPER, 21/03 BLM ADA KEPASTIAN IZIN DARI DEVELOPER, 16/03 MSH BLM ADA INFO DARI DEVELOPER, 13/03 HOLD - MSH BLM ADA INFO DARI DEVELOPER, 02/03 OGP REVIEW TIF, 27/02 HOLD, MASIH BLM ADA INFO DARI DEVELOPER, 06/02 HASIL REVIEW TSEL - NEED HELP TIM HH UTK FOLLOW UP PERIZINAN DEVELOPER APC, 30/01 DONE AANWIJZING, TETAPI PD SAAT AANWIZJING TIDAK DAPAT IZIN DARI PIHAK DEPLOVER, SDH KONFIRM SALES (MAYA) UNTUK BANTU IZIN PIHAK DEPLOVER 31/01 menunguu izin dari devloper 30/01 saat ketemu dg pihak depover dri pihak deplover belum kasih izin, skrng lgi koordinasi dg tim sales untuk bantu izin ke pohak deplover, (21/01) PERIZINAN DEVELOPER, (20/01) DONE AANWIDJZING, (15/1) ORDER DITERIMA 14/1, PLAN AANWIJDZING 19 JAN 26 (07/1) ORDER JPP BATTCH 1 2026
 14/01 penunjukan mitra oleh procurement</v>
      </c>
      <c r="R45" s="51"/>
      <c r="S45" s="52"/>
      <c r="T45" s="52"/>
      <c r="U45" s="52"/>
      <c r="V45" s="46" t="str">
        <f>IFERROR(__xludf.DUMMYFUNCTION("""COMPUTED_VALUE"""),"TANTOWI")</f>
        <v>TANTOWI</v>
      </c>
      <c r="W45" s="55"/>
      <c r="X45" s="55" t="str">
        <f>IFERROR(__xludf.DUMMYFUNCTION("""COMPUTED_VALUE"""),"BELUM GOLIVE")</f>
        <v>BELUM GOLIVE</v>
      </c>
      <c r="Y45" s="55"/>
      <c r="Z45" s="55" t="str">
        <f>IFERROR(__xludf.DUMMYFUNCTION("""COMPUTED_VALUE"""),"#N/A")</f>
        <v>#N/A</v>
      </c>
      <c r="AA45" s="55"/>
      <c r="AB45" s="55"/>
      <c r="AC45" s="55"/>
      <c r="AD45" s="104"/>
      <c r="AE45" s="105"/>
      <c r="AF45" s="54" t="str">
        <f>IFERROR(__xludf.DUMMYFUNCTION("""COMPUTED_VALUE"""),"Draft BA DROP")</f>
        <v>Draft BA DROP</v>
      </c>
      <c r="AG45" s="54"/>
      <c r="AH45" s="54"/>
      <c r="AI45" s="55" t="str">
        <f t="shared" si="27"/>
        <v/>
      </c>
      <c r="AJ45" s="55"/>
      <c r="AK45" s="25"/>
      <c r="AL45" s="55"/>
      <c r="AM45" s="55"/>
      <c r="AN45" s="55"/>
      <c r="AO45" s="55"/>
      <c r="AP45" s="55"/>
      <c r="AQ45" s="55"/>
      <c r="AR45" s="106">
        <v>39.0</v>
      </c>
      <c r="AS45" s="183">
        <v>2026.0</v>
      </c>
      <c r="AT45" s="184">
        <v>1.1454674E7</v>
      </c>
      <c r="AU45" s="185" t="s">
        <v>178</v>
      </c>
      <c r="AV45" s="186" t="s">
        <v>43</v>
      </c>
      <c r="AW45" s="187"/>
      <c r="AX45" s="184" t="s">
        <v>120</v>
      </c>
      <c r="AY45" s="184" t="s">
        <v>45</v>
      </c>
      <c r="AZ45" s="184" t="s">
        <v>53</v>
      </c>
      <c r="BA45" s="184" t="s">
        <v>84</v>
      </c>
      <c r="BB45" s="188">
        <v>4.0</v>
      </c>
      <c r="BC45" s="188">
        <v>32.0</v>
      </c>
      <c r="BD45" s="189" t="s">
        <v>63</v>
      </c>
      <c r="BE45" s="190"/>
      <c r="BF45" s="170" t="s">
        <v>150</v>
      </c>
      <c r="BG45" s="191" t="s">
        <v>179</v>
      </c>
      <c r="BH45" s="110" t="s">
        <v>52</v>
      </c>
      <c r="BI45" s="192"/>
      <c r="BJ45" s="193">
        <v>46093.0</v>
      </c>
      <c r="BK45" s="194" t="s">
        <v>1</v>
      </c>
      <c r="BL45" s="194"/>
      <c r="BN45" s="25"/>
      <c r="BO45" s="25"/>
      <c r="BP45" s="26"/>
    </row>
    <row r="46" ht="18.0" hidden="1" customHeight="1">
      <c r="A46" s="1">
        <f>IFERROR(__xludf.DUMMYFUNCTION("""COMPUTED_VALUE"""),2026.0)</f>
        <v>2026</v>
      </c>
      <c r="B46" s="98">
        <f>IFERROR(__xludf.DUMMYFUNCTION("""COMPUTED_VALUE"""),1.1291774E7)</f>
        <v>11291774</v>
      </c>
      <c r="C46" s="1" t="str">
        <f>IFERROR(__xludf.DUMMYFUNCTION("""COMPUTED_VALUE"""),"SMS PT3 ODC KTU FDN KOTA PALEMBANG_293")</f>
        <v>SMS PT3 ODC KTU FDN KOTA PALEMBANG_293</v>
      </c>
      <c r="D46" s="1" t="str">
        <f>IFERROR(__xludf.DUMMYFUNCTION("""COMPUTED_VALUE"""),"REGIONAL I")</f>
        <v>REGIONAL I</v>
      </c>
      <c r="E46" s="1" t="str">
        <f>IFERROR(__xludf.DUMMYFUNCTION("""COMPUTED_VALUE"""),"SUMSEL")</f>
        <v>SUMSEL</v>
      </c>
      <c r="F46" s="1" t="str">
        <f>IFERROR(__xludf.DUMMYFUNCTION("""COMPUTED_VALUE"""),"KTU")</f>
        <v>KTU</v>
      </c>
      <c r="G46" s="1" t="str">
        <f>IFERROR(__xludf.DUMMYFUNCTION("""COMPUTED_VALUE"""),"SUMBAGSEL")</f>
        <v>SUMBAGSEL</v>
      </c>
      <c r="H46" s="1" t="str">
        <f>IFERROR(__xludf.DUMMYFUNCTION("""COMPUTED_VALUE"""),"PALEMBANG")</f>
        <v>PALEMBANG</v>
      </c>
      <c r="I46" s="1" t="str">
        <f>IFERROR(__xludf.DUMMYFUNCTION("""COMPUTED_VALUE"""),"Batch 1")</f>
        <v>Batch 1</v>
      </c>
      <c r="J46" s="99">
        <f>IFERROR(__xludf.DUMMYFUNCTION("""COMPUTED_VALUE"""),38.0)</f>
        <v>38</v>
      </c>
      <c r="K46" s="100">
        <f>IFERROR(__xludf.DUMMYFUNCTION("""COMPUTED_VALUE"""),304.0)</f>
        <v>304</v>
      </c>
      <c r="L46" s="101">
        <f>IFERROR(__xludf.DUMMYFUNCTION("""COMPUTED_VALUE"""),529756.0)</f>
        <v>529756</v>
      </c>
      <c r="M46" s="102">
        <f>IFERROR(__xludf.DUMMYFUNCTION("""COMPUTED_VALUE"""),1.61045793E8)</f>
        <v>161045793</v>
      </c>
      <c r="N46" s="1" t="str">
        <f>IFERROR(__xludf.DUMMYFUNCTION("""COMPUTED_VALUE"""),"PT SARANA MITRA PERSADA")</f>
        <v>PT SARANA MITRA PERSADA</v>
      </c>
      <c r="O46" s="1" t="str">
        <f>IFERROR(__xludf.DUMMYFUNCTION("""COMPUTED_VALUE"""),"0. DROP")</f>
        <v>0. DROP</v>
      </c>
      <c r="P46" s="1" t="str">
        <f>IFERROR(__xludf.DUMMYFUNCTION("""COMPUTED_VALUE"""),"0.2 Tidak Dapat Izin Warga/Kades/Lurah/Developer")</f>
        <v>0.2 Tidak Dapat Izin Warga/Kades/Lurah/Developer</v>
      </c>
      <c r="Q46" s="1" t="str">
        <f>IFERROR(__xludf.DUMMYFUNCTION("""COMPUTED_VALUE"""),"06/03 PERNAH MICRODEMAND 2025, IZIN PERMIT BAKP RT DAN RW DAN 5 ORG KETUA KOMPLEK MEMINTA UANG KOMPENSASI SEBESAR 3JT, TOTAL NILAI KOMPENSASI 21JT, 24/02 PERNAH MICRODEMAND 2025, IZIN PERMIT BAKP RT DAN RW DAN 5 ORG KETUA KOMPLEK MEMINTA UANG KOMPENSASI S"&amp;"EBESAR 3JT, TOTAL NILAI KOMPENSASI 21JT, 06/02 HASIL REVIEW TSEL DROP KRN HIGH COMCASE - 30/01 DONE AANWIJZING, ADA PRELIM 25 JT UNTUK 5 RT 30/01 DONE AANWIJZING, ADA PRELIM 25 JT UNTUK 5 RT, 27/01 DROP, KRNA KOMPENSASI 21JT, (20/01) DONE AANWIDJZING, (15"&amp;"/1) ORDER DITERIMA 14/1, PLAN AANWIJDZING 19 JAN 26(07/1) ORDER JPP BATTCH 1 2026
 14/01 penunjukan mitra oleh procurement")</f>
        <v>06/03 PERNAH MICRODEMAND 2025, IZIN PERMIT BAKP RT DAN RW DAN 5 ORG KETUA KOMPLEK MEMINTA UANG KOMPENSASI SEBESAR 3JT, TOTAL NILAI KOMPENSASI 21JT, 24/02 PERNAH MICRODEMAND 2025, IZIN PERMIT BAKP RT DAN RW DAN 5 ORG KETUA KOMPLEK MEMINTA UANG KOMPENSASI SEBESAR 3JT, TOTAL NILAI KOMPENSASI 21JT, 06/02 HASIL REVIEW TSEL DROP KRN HIGH COMCASE - 30/01 DONE AANWIJZING, ADA PRELIM 25 JT UNTUK 5 RT 30/01 DONE AANWIJZING, ADA PRELIM 25 JT UNTUK 5 RT, 27/01 DROP, KRNA KOMPENSASI 21JT, (20/01) DONE AANWIDJZING, (15/1) ORDER DITERIMA 14/1, PLAN AANWIJDZING 19 JAN 26(07/1) ORDER JPP BATTCH 1 2026
 14/01 penunjukan mitra oleh procurement</v>
      </c>
      <c r="R46" s="103"/>
      <c r="S46" s="8"/>
      <c r="T46" s="8"/>
      <c r="U46" s="8"/>
      <c r="V46" s="1" t="str">
        <f>IFERROR(__xludf.DUMMYFUNCTION("""COMPUTED_VALUE"""),"TANTOWI")</f>
        <v>TANTOWI</v>
      </c>
      <c r="W46" s="55"/>
      <c r="X46" s="55" t="str">
        <f>IFERROR(__xludf.DUMMYFUNCTION("""COMPUTED_VALUE"""),"BELUM GOLIVE")</f>
        <v>BELUM GOLIVE</v>
      </c>
      <c r="Y46" s="55"/>
      <c r="Z46" s="55" t="str">
        <f>IFERROR(__xludf.DUMMYFUNCTION("""COMPUTED_VALUE"""),"#N/A")</f>
        <v>#N/A</v>
      </c>
      <c r="AA46" s="55"/>
      <c r="AB46" s="55"/>
      <c r="AC46" s="55"/>
      <c r="AD46" s="104"/>
      <c r="AE46" s="105"/>
      <c r="AF46" s="54" t="str">
        <f>IFERROR(__xludf.DUMMYFUNCTION("""COMPUTED_VALUE"""),"Draft BA DROP")</f>
        <v>Draft BA DROP</v>
      </c>
      <c r="AG46" s="54"/>
      <c r="AH46" s="54"/>
      <c r="AI46" s="55" t="str">
        <f t="shared" si="27"/>
        <v/>
      </c>
      <c r="AJ46" s="55"/>
      <c r="AL46" s="55"/>
      <c r="AM46" s="55"/>
      <c r="AN46" s="55"/>
      <c r="AO46" s="55"/>
      <c r="AP46" s="55"/>
      <c r="AQ46" s="55"/>
      <c r="AR46" s="106">
        <v>40.0</v>
      </c>
      <c r="AS46" s="183">
        <v>2026.0</v>
      </c>
      <c r="AT46" s="183">
        <v>1.2101473E7</v>
      </c>
      <c r="AU46" s="195" t="s">
        <v>180</v>
      </c>
      <c r="AV46" s="196" t="s">
        <v>43</v>
      </c>
      <c r="AW46" s="183" t="s">
        <v>181</v>
      </c>
      <c r="AX46" s="183" t="s">
        <v>182</v>
      </c>
      <c r="AY46" s="183" t="s">
        <v>45</v>
      </c>
      <c r="AZ46" s="183" t="s">
        <v>59</v>
      </c>
      <c r="BA46" s="183" t="s">
        <v>84</v>
      </c>
      <c r="BB46" s="183">
        <v>2.0</v>
      </c>
      <c r="BC46" s="183">
        <v>16.0</v>
      </c>
      <c r="BD46" s="197" t="s">
        <v>183</v>
      </c>
      <c r="BE46" s="197" t="s">
        <v>184</v>
      </c>
      <c r="BF46" s="197" t="s">
        <v>150</v>
      </c>
      <c r="BG46" s="197" t="s">
        <v>185</v>
      </c>
      <c r="BH46" s="110" t="s">
        <v>52</v>
      </c>
      <c r="BI46" s="1"/>
      <c r="BJ46" s="198">
        <v>46094.0</v>
      </c>
      <c r="BK46" s="194" t="s">
        <v>1</v>
      </c>
      <c r="BL46" s="199">
        <v>2312.0</v>
      </c>
      <c r="BP46" s="11"/>
    </row>
    <row r="47" ht="41.25" hidden="1" customHeight="1">
      <c r="A47" s="200">
        <f>IFERROR(__xludf.DUMMYFUNCTION("""COMPUTED_VALUE"""),2026.0)</f>
        <v>2026</v>
      </c>
      <c r="B47" s="201">
        <f>IFERROR(__xludf.DUMMYFUNCTION("""COMPUTED_VALUE"""),1.1291283E7)</f>
        <v>11291283</v>
      </c>
      <c r="C47" s="200" t="str">
        <f>IFERROR(__xludf.DUMMYFUNCTION("""COMPUTED_VALUE"""),"LAMPUNG SELATAN_9033")</f>
        <v>LAMPUNG SELATAN_9033</v>
      </c>
      <c r="D47" s="200" t="str">
        <f>IFERROR(__xludf.DUMMYFUNCTION("""COMPUTED_VALUE"""),"REGIONAL I")</f>
        <v>REGIONAL I</v>
      </c>
      <c r="E47" s="200" t="str">
        <f>IFERROR(__xludf.DUMMYFUNCTION("""COMPUTED_VALUE"""),"LAMPUNG")</f>
        <v>LAMPUNG</v>
      </c>
      <c r="F47" s="200" t="str">
        <f>IFERROR(__xludf.DUMMYFUNCTION("""COMPUTED_VALUE"""),"KLA")</f>
        <v>KLA</v>
      </c>
      <c r="G47" s="200" t="str">
        <f>IFERROR(__xludf.DUMMYFUNCTION("""COMPUTED_VALUE"""),"SUMBAGSEL")</f>
        <v>SUMBAGSEL</v>
      </c>
      <c r="H47" s="200" t="str">
        <f>IFERROR(__xludf.DUMMYFUNCTION("""COMPUTED_VALUE"""),"LAMPUNG")</f>
        <v>LAMPUNG</v>
      </c>
      <c r="I47" s="200" t="str">
        <f>IFERROR(__xludf.DUMMYFUNCTION("""COMPUTED_VALUE"""),"Batch 1")</f>
        <v>Batch 1</v>
      </c>
      <c r="J47" s="202">
        <f>IFERROR(__xludf.DUMMYFUNCTION("""COMPUTED_VALUE"""),9.0)</f>
        <v>9</v>
      </c>
      <c r="K47" s="203">
        <f>IFERROR(__xludf.DUMMYFUNCTION("""COMPUTED_VALUE"""),72.0)</f>
        <v>72</v>
      </c>
      <c r="L47" s="204">
        <f>IFERROR(__xludf.DUMMYFUNCTION("""COMPUTED_VALUE"""),662613.0)</f>
        <v>662613</v>
      </c>
      <c r="M47" s="205">
        <f>IFERROR(__xludf.DUMMYFUNCTION("""COMPUTED_VALUE"""),4.7708094E7)</f>
        <v>47708094</v>
      </c>
      <c r="N47" s="200" t="str">
        <f>IFERROR(__xludf.DUMMYFUNCTION("""COMPUTED_VALUE"""),"PT ACERO CETHA METALINDO")</f>
        <v>PT ACERO CETHA METALINDO</v>
      </c>
      <c r="O47" s="200" t="str">
        <f>IFERROR(__xludf.DUMMYFUNCTION("""COMPUTED_VALUE"""),"0. DROP")</f>
        <v>0. DROP</v>
      </c>
      <c r="P47" s="200" t="str">
        <f>IFERROR(__xludf.DUMMYFUNCTION("""COMPUTED_VALUE"""),"0.2 Tidak Dapat Izin Warga/Kades/Lurah/Developer")</f>
        <v>0.2 Tidak Dapat Izin Warga/Kades/Lurah/Developer</v>
      </c>
      <c r="Q47" s="200" t="str">
        <f>IFERROR(__xludf.DUMMYFUNCTION("""COMPUTED_VALUE"""),"28/2 kendala perijininan dari kades dan Lurah setempat 18/2 konfirmasi tif untuk penambahan modul 6/2 butuh penambahan modul 30/1 butuh penambahan modul 19/1 KENDALA OLT HABIS")</f>
        <v>28/2 kendala perijininan dari kades dan Lurah setempat 18/2 konfirmasi tif untuk penambahan modul 6/2 butuh penambahan modul 30/1 butuh penambahan modul 19/1 KENDALA OLT HABIS</v>
      </c>
      <c r="R47" s="206"/>
      <c r="S47" s="207"/>
      <c r="T47" s="207"/>
      <c r="U47" s="207"/>
      <c r="V47" s="200"/>
      <c r="W47" s="208"/>
      <c r="X47" s="208" t="str">
        <f>IFERROR(__xludf.DUMMYFUNCTION("""COMPUTED_VALUE"""),"BELUM GOLIVE")</f>
        <v>BELUM GOLIVE</v>
      </c>
      <c r="Y47" s="208" t="str">
        <f>IFERROR(__xludf.DUMMYFUNCTION("""COMPUTED_VALUE"""),"PORT OLT Penuh")</f>
        <v>PORT OLT Penuh</v>
      </c>
      <c r="Z47" s="208" t="str">
        <f>IFERROR(__xludf.DUMMYFUNCTION("""COMPUTED_VALUE"""),"#N/A")</f>
        <v>#N/A</v>
      </c>
      <c r="AA47" s="208"/>
      <c r="AB47" s="208"/>
      <c r="AC47" s="208"/>
      <c r="AD47" s="209"/>
      <c r="AE47" s="210"/>
      <c r="AF47" s="54" t="str">
        <f>IFERROR(__xludf.DUMMYFUNCTION("""COMPUTED_VALUE"""),"Draft BA DROP")</f>
        <v>Draft BA DROP</v>
      </c>
      <c r="AG47" s="54"/>
      <c r="AH47" s="54"/>
      <c r="AI47" s="208" t="str">
        <f t="shared" si="27"/>
        <v/>
      </c>
      <c r="AJ47" s="208"/>
      <c r="AK47" s="211"/>
      <c r="AL47" s="208"/>
      <c r="AM47" s="208"/>
      <c r="AN47" s="208"/>
      <c r="AO47" s="208"/>
      <c r="AP47" s="208"/>
      <c r="AQ47" s="208"/>
      <c r="AR47" s="212">
        <v>41.0</v>
      </c>
      <c r="AS47" s="213">
        <v>2026.0</v>
      </c>
      <c r="AT47" s="214">
        <v>1.1513574E7</v>
      </c>
      <c r="AU47" s="211" t="s">
        <v>186</v>
      </c>
      <c r="AV47" s="211" t="s">
        <v>43</v>
      </c>
      <c r="AW47" s="211" t="s">
        <v>181</v>
      </c>
      <c r="AX47" s="211" t="s">
        <v>187</v>
      </c>
      <c r="AY47" s="211" t="s">
        <v>45</v>
      </c>
      <c r="AZ47" s="211" t="s">
        <v>46</v>
      </c>
      <c r="BA47" s="211" t="s">
        <v>84</v>
      </c>
      <c r="BB47" s="215">
        <v>3.0</v>
      </c>
      <c r="BC47" s="216">
        <v>24.0</v>
      </c>
      <c r="BD47" s="217" t="s">
        <v>188</v>
      </c>
      <c r="BE47" s="200" t="s">
        <v>184</v>
      </c>
      <c r="BF47" s="200" t="s">
        <v>150</v>
      </c>
      <c r="BG47" s="200" t="s">
        <v>189</v>
      </c>
      <c r="BH47" s="218" t="s">
        <v>52</v>
      </c>
      <c r="BI47" s="200"/>
      <c r="BJ47" s="219">
        <v>46096.0</v>
      </c>
      <c r="BK47" s="220" t="s">
        <v>1</v>
      </c>
      <c r="BN47" s="211"/>
      <c r="BO47" s="211"/>
      <c r="BP47" s="215"/>
    </row>
    <row r="48" ht="18.0" hidden="1" customHeight="1">
      <c r="A48" s="1">
        <f>IFERROR(__xludf.DUMMYFUNCTION("""COMPUTED_VALUE"""),2026.0)</f>
        <v>2026</v>
      </c>
      <c r="B48" s="98">
        <f>IFERROR(__xludf.DUMMYFUNCTION("""COMPUTED_VALUE"""),1.1280274E7)</f>
        <v>11280274</v>
      </c>
      <c r="C48" s="1" t="str">
        <f>IFERROR(__xludf.DUMMYFUNCTION("""COMPUTED_VALUE"""),"SMS PT3 ODC MEM FC D01 LAHAT_13485")</f>
        <v>SMS PT3 ODC MEM FC D01 LAHAT_13485</v>
      </c>
      <c r="D48" s="1" t="str">
        <f>IFERROR(__xludf.DUMMYFUNCTION("""COMPUTED_VALUE"""),"REGIONAL I")</f>
        <v>REGIONAL I</v>
      </c>
      <c r="E48" s="1" t="str">
        <f>IFERROR(__xludf.DUMMYFUNCTION("""COMPUTED_VALUE"""),"SUMSEL")</f>
        <v>SUMSEL</v>
      </c>
      <c r="F48" s="1" t="str">
        <f>IFERROR(__xludf.DUMMYFUNCTION("""COMPUTED_VALUE"""),"MEM")</f>
        <v>MEM</v>
      </c>
      <c r="G48" s="1" t="str">
        <f>IFERROR(__xludf.DUMMYFUNCTION("""COMPUTED_VALUE"""),"SUMBAGSEL")</f>
        <v>SUMBAGSEL</v>
      </c>
      <c r="H48" s="1" t="str">
        <f>IFERROR(__xludf.DUMMYFUNCTION("""COMPUTED_VALUE"""),"PALEMBANG")</f>
        <v>PALEMBANG</v>
      </c>
      <c r="I48" s="1" t="str">
        <f>IFERROR(__xludf.DUMMYFUNCTION("""COMPUTED_VALUE"""),"Batch 1")</f>
        <v>Batch 1</v>
      </c>
      <c r="J48" s="99">
        <f>IFERROR(__xludf.DUMMYFUNCTION("""COMPUTED_VALUE"""),2.0)</f>
        <v>2</v>
      </c>
      <c r="K48" s="100">
        <f>IFERROR(__xludf.DUMMYFUNCTION("""COMPUTED_VALUE"""),16.0)</f>
        <v>16</v>
      </c>
      <c r="L48" s="101">
        <f>IFERROR(__xludf.DUMMYFUNCTION("""COMPUTED_VALUE"""),486730.0)</f>
        <v>486730</v>
      </c>
      <c r="M48" s="102">
        <f>IFERROR(__xludf.DUMMYFUNCTION("""COMPUTED_VALUE"""),7787676.0)</f>
        <v>7787676</v>
      </c>
      <c r="N48" s="1" t="str">
        <f>IFERROR(__xludf.DUMMYFUNCTION("""COMPUTED_VALUE"""),"PT ACERO CETHA METALINDO")</f>
        <v>PT ACERO CETHA METALINDO</v>
      </c>
      <c r="O48" s="1" t="str">
        <f>IFERROR(__xludf.DUMMYFUNCTION("""COMPUTED_VALUE"""),"0. DROP")</f>
        <v>0. DROP</v>
      </c>
      <c r="P48" s="1" t="str">
        <f>IFERROR(__xludf.DUMMYFUNCTION("""COMPUTED_VALUE"""),"0.2 Tidak Dapat Izin Warga/Kades/Lurah/Developer")</f>
        <v>0.2 Tidak Dapat Izin Warga/Kades/Lurah/Developer</v>
      </c>
      <c r="Q48" s="1" t="str">
        <f>IFERROR(__xludf.DUMMYFUNCTION("""COMPUTED_VALUE"""),"10/03 DROP FEEDER FULL, 24/02 DROP FEEDER FULL, 06/02 HASIL REVIEW TSEL DROP FEEDER FULL, 03/02 DONE EVAL, DROP KARENA STUB CORE FEEDER HABIS, 14/01 stub feeder habis 03/02 DONE EVAL, DROP KARENA STUB CORE FEEDER HABIS, (29/1)kendala feeder full 28/01 OGP"&amp;" AANWIDJZING, (20/01) Swakelola Pak Yopie Acero (15/1) MITRA GTM OVERLOAD (15/1) ORDER DITERIMA MITRA 14/1,MENUNGGU PLAN AANWIJDZING (07/1) ORDER JPP BATTCH 1 2026")</f>
        <v>10/03 DROP FEEDER FULL, 24/02 DROP FEEDER FULL, 06/02 HASIL REVIEW TSEL DROP FEEDER FULL, 03/02 DONE EVAL, DROP KARENA STUB CORE FEEDER HABIS, 14/01 stub feeder habis 03/02 DONE EVAL, DROP KARENA STUB CORE FEEDER HABIS, (29/1)kendala feeder full 28/01 OGP AANWIDJZING, (20/01) Swakelola Pak Yopie Acero (15/1) MITRA GTM OVERLOAD (15/1) ORDER DITERIMA MITRA 14/1,MENUNGGU PLAN AANWIJDZING (07/1) ORDER JPP BATTCH 1 2026</v>
      </c>
      <c r="R48" s="103"/>
      <c r="S48" s="8"/>
      <c r="T48" s="8"/>
      <c r="U48" s="8"/>
      <c r="V48" s="1" t="str">
        <f>IFERROR(__xludf.DUMMYFUNCTION("""COMPUTED_VALUE"""),"ILHAM")</f>
        <v>ILHAM</v>
      </c>
      <c r="W48" s="55"/>
      <c r="X48" s="55" t="str">
        <f>IFERROR(__xludf.DUMMYFUNCTION("""COMPUTED_VALUE"""),"BELUM GOLIVE")</f>
        <v>BELUM GOLIVE</v>
      </c>
      <c r="Y48" s="55"/>
      <c r="Z48" s="55" t="str">
        <f>IFERROR(__xludf.DUMMYFUNCTION("""COMPUTED_VALUE"""),"#N/A")</f>
        <v>#N/A</v>
      </c>
      <c r="AA48" s="55"/>
      <c r="AB48" s="55"/>
      <c r="AC48" s="55"/>
      <c r="AD48" s="104"/>
      <c r="AE48" s="105"/>
      <c r="AF48" s="54" t="str">
        <f>IFERROR(__xludf.DUMMYFUNCTION("""COMPUTED_VALUE"""),"Draft BA DROP")</f>
        <v>Draft BA DROP</v>
      </c>
      <c r="AG48" s="54"/>
      <c r="AH48" s="54"/>
      <c r="AI48" s="55" t="str">
        <f t="shared" si="27"/>
        <v/>
      </c>
      <c r="AJ48" s="55"/>
      <c r="AL48" s="55"/>
      <c r="AM48" s="55"/>
      <c r="AN48" s="55"/>
      <c r="AO48" s="55"/>
      <c r="AP48" s="55"/>
      <c r="AQ48" s="55"/>
      <c r="AR48" s="106">
        <v>42.0</v>
      </c>
      <c r="AS48" s="183">
        <v>2026.0</v>
      </c>
      <c r="AT48" s="221">
        <v>1.2037076E7</v>
      </c>
      <c r="AU48" s="222" t="s">
        <v>190</v>
      </c>
      <c r="AV48" s="222" t="s">
        <v>43</v>
      </c>
      <c r="AW48" s="222" t="s">
        <v>181</v>
      </c>
      <c r="AX48" s="222" t="s">
        <v>191</v>
      </c>
      <c r="AY48" s="222" t="s">
        <v>45</v>
      </c>
      <c r="AZ48" s="222" t="s">
        <v>59</v>
      </c>
      <c r="BA48" s="222" t="s">
        <v>84</v>
      </c>
      <c r="BB48" s="223">
        <v>17.0</v>
      </c>
      <c r="BC48" s="224">
        <v>136.0</v>
      </c>
      <c r="BD48" s="222" t="s">
        <v>69</v>
      </c>
      <c r="BE48" s="222" t="s">
        <v>184</v>
      </c>
      <c r="BF48" s="222" t="s">
        <v>150</v>
      </c>
      <c r="BG48" s="1"/>
      <c r="BH48" s="110" t="s">
        <v>52</v>
      </c>
      <c r="BI48" s="1"/>
      <c r="BJ48" s="198">
        <v>46112.0</v>
      </c>
      <c r="BK48" s="199" t="s">
        <v>1</v>
      </c>
      <c r="BP48" s="11"/>
    </row>
    <row r="49" ht="18.0" hidden="1" customHeight="1">
      <c r="A49" s="222">
        <f>IFERROR(__xludf.DUMMYFUNCTION("""COMPUTED_VALUE"""),2026.0)</f>
        <v>2026</v>
      </c>
      <c r="B49" s="221">
        <f>IFERROR(__xludf.DUMMYFUNCTION("""COMPUTED_VALUE"""),1.1281252E7)</f>
        <v>11281252</v>
      </c>
      <c r="C49" s="222" t="str">
        <f>IFERROR(__xludf.DUMMYFUNCTION("""COMPUTED_VALUE"""),"SMS PT3 ODC PLJ FBD D01 PEMATANG PALAS")</f>
        <v>SMS PT3 ODC PLJ FBD D01 PEMATANG PALAS</v>
      </c>
      <c r="D49" s="222" t="str">
        <f>IFERROR(__xludf.DUMMYFUNCTION("""COMPUTED_VALUE"""),"REGIONAL I")</f>
        <v>REGIONAL I</v>
      </c>
      <c r="E49" s="222" t="str">
        <f>IFERROR(__xludf.DUMMYFUNCTION("""COMPUTED_VALUE"""),"SUMSEL")</f>
        <v>SUMSEL</v>
      </c>
      <c r="F49" s="222" t="str">
        <f>IFERROR(__xludf.DUMMYFUNCTION("""COMPUTED_VALUE"""),"PLJ")</f>
        <v>PLJ</v>
      </c>
      <c r="G49" s="222" t="str">
        <f>IFERROR(__xludf.DUMMYFUNCTION("""COMPUTED_VALUE"""),"SUMBAGSEL")</f>
        <v>SUMBAGSEL</v>
      </c>
      <c r="H49" s="222" t="str">
        <f>IFERROR(__xludf.DUMMYFUNCTION("""COMPUTED_VALUE"""),"PALEMBANG")</f>
        <v>PALEMBANG</v>
      </c>
      <c r="I49" s="222" t="str">
        <f>IFERROR(__xludf.DUMMYFUNCTION("""COMPUTED_VALUE"""),"Batch 1")</f>
        <v>Batch 1</v>
      </c>
      <c r="J49" s="225">
        <f>IFERROR(__xludf.DUMMYFUNCTION("""COMPUTED_VALUE"""),2.0)</f>
        <v>2</v>
      </c>
      <c r="K49" s="224">
        <f>IFERROR(__xludf.DUMMYFUNCTION("""COMPUTED_VALUE"""),16.0)</f>
        <v>16</v>
      </c>
      <c r="L49" s="226">
        <f>IFERROR(__xludf.DUMMYFUNCTION("""COMPUTED_VALUE"""),803697.0)</f>
        <v>803697</v>
      </c>
      <c r="M49" s="227">
        <f>IFERROR(__xludf.DUMMYFUNCTION("""COMPUTED_VALUE"""),1.2859138E7)</f>
        <v>12859138</v>
      </c>
      <c r="N49" s="222" t="str">
        <f>IFERROR(__xludf.DUMMYFUNCTION("""COMPUTED_VALUE"""),"PT ACERO CETHA METALINDO")</f>
        <v>PT ACERO CETHA METALINDO</v>
      </c>
      <c r="O49" s="222" t="str">
        <f>IFERROR(__xludf.DUMMYFUNCTION("""COMPUTED_VALUE"""),"0. DROP")</f>
        <v>0. DROP</v>
      </c>
      <c r="P49" s="222" t="str">
        <f>IFERROR(__xludf.DUMMYFUNCTION("""COMPUTED_VALUE"""),"0.1 Double Order")</f>
        <v>0.1 Double Order</v>
      </c>
      <c r="Q49" s="222" t="str">
        <f>IFERROR(__xludf.DUMMYFUNCTION("""COMPUTED_VALUE"""),"06/02 HASIL REVIEW TSEL DROP - SOLUSI PT2, 27/01 DROP, dilokasi sdh ada 14/01 bisa PT2 22/01 DROP, 22/01 AANWIDJZING, (15/1) ORDER DITERIMA MITRA 14/1, plan Aanwijdzing 19 Jan (07/1) ORDER JPP BATTCH 1 2026")</f>
        <v>06/02 HASIL REVIEW TSEL DROP - SOLUSI PT2, 27/01 DROP, dilokasi sdh ada 14/01 bisa PT2 22/01 DROP, 22/01 AANWIDJZING, (15/1) ORDER DITERIMA MITRA 14/1, plan Aanwijdzing 19 Jan (07/1) ORDER JPP BATTCH 1 2026</v>
      </c>
      <c r="R49" s="228"/>
      <c r="S49" s="11"/>
      <c r="T49" s="11"/>
      <c r="U49" s="11"/>
      <c r="V49" s="229" t="str">
        <f>IFERROR(__xludf.DUMMYFUNCTION("""COMPUTED_VALUE"""),"PRIGUS")</f>
        <v>PRIGUS</v>
      </c>
      <c r="W49" s="55"/>
      <c r="X49" s="55" t="str">
        <f>IFERROR(__xludf.DUMMYFUNCTION("""COMPUTED_VALUE"""),"BELUM GOLIVE")</f>
        <v>BELUM GOLIVE</v>
      </c>
      <c r="Y49" s="55"/>
      <c r="Z49" s="55" t="str">
        <f>IFERROR(__xludf.DUMMYFUNCTION("""COMPUTED_VALUE"""),"#N/A")</f>
        <v>#N/A</v>
      </c>
      <c r="AA49" s="55"/>
      <c r="AB49" s="55"/>
      <c r="AC49" s="55"/>
      <c r="AD49" s="104"/>
      <c r="AE49" s="105"/>
      <c r="AF49" s="54" t="str">
        <f>IFERROR(__xludf.DUMMYFUNCTION("""COMPUTED_VALUE"""),"Draft BA DROP")</f>
        <v>Draft BA DROP</v>
      </c>
      <c r="AG49" s="54"/>
      <c r="AH49" s="54"/>
      <c r="AI49" s="55" t="str">
        <f t="shared" si="27"/>
        <v/>
      </c>
      <c r="AJ49" s="55"/>
      <c r="AL49" s="55"/>
      <c r="AM49" s="55"/>
      <c r="AN49" s="55"/>
      <c r="AO49" s="55"/>
      <c r="AP49" s="55"/>
      <c r="AQ49" s="55"/>
      <c r="AR49" s="106">
        <v>43.0</v>
      </c>
      <c r="AS49" s="183">
        <v>2026.0</v>
      </c>
      <c r="AT49" s="221">
        <v>1.1348055E7</v>
      </c>
      <c r="AU49" s="222" t="s">
        <v>192</v>
      </c>
      <c r="AV49" s="222" t="s">
        <v>43</v>
      </c>
      <c r="AW49" s="222" t="s">
        <v>181</v>
      </c>
      <c r="AX49" s="222" t="s">
        <v>193</v>
      </c>
      <c r="AY49" s="222" t="s">
        <v>45</v>
      </c>
      <c r="AZ49" s="222" t="s">
        <v>59</v>
      </c>
      <c r="BA49" s="222" t="s">
        <v>84</v>
      </c>
      <c r="BB49" s="223">
        <v>1.0</v>
      </c>
      <c r="BC49" s="224">
        <v>8.0</v>
      </c>
      <c r="BD49" s="222" t="s">
        <v>194</v>
      </c>
      <c r="BE49" s="222" t="s">
        <v>184</v>
      </c>
      <c r="BF49" s="222" t="s">
        <v>150</v>
      </c>
      <c r="BH49" s="110" t="s">
        <v>52</v>
      </c>
      <c r="BJ49" s="230">
        <v>46112.0</v>
      </c>
      <c r="BK49" s="231" t="s">
        <v>1</v>
      </c>
      <c r="BP49" s="11"/>
    </row>
    <row r="50" ht="18.0" hidden="1" customHeight="1">
      <c r="A50" s="222">
        <f>IFERROR(__xludf.DUMMYFUNCTION("""COMPUTED_VALUE"""),2026.0)</f>
        <v>2026</v>
      </c>
      <c r="B50" s="221">
        <f>IFERROR(__xludf.DUMMYFUNCTION("""COMPUTED_VALUE"""),1.1281269E7)</f>
        <v>11281269</v>
      </c>
      <c r="C50" s="222" t="str">
        <f>IFERROR(__xludf.DUMMYFUNCTION("""COMPUTED_VALUE"""),"SMS PT3 ODC SBU FBF D08 Simpang sungki 2")</f>
        <v>SMS PT3 ODC SBU FBF D08 Simpang sungki 2</v>
      </c>
      <c r="D50" s="222" t="str">
        <f>IFERROR(__xludf.DUMMYFUNCTION("""COMPUTED_VALUE"""),"REGIONAL I")</f>
        <v>REGIONAL I</v>
      </c>
      <c r="E50" s="222" t="str">
        <f>IFERROR(__xludf.DUMMYFUNCTION("""COMPUTED_VALUE"""),"SUMSEL")</f>
        <v>SUMSEL</v>
      </c>
      <c r="F50" s="222" t="str">
        <f>IFERROR(__xludf.DUMMYFUNCTION("""COMPUTED_VALUE"""),"SBU")</f>
        <v>SBU</v>
      </c>
      <c r="G50" s="222" t="str">
        <f>IFERROR(__xludf.DUMMYFUNCTION("""COMPUTED_VALUE"""),"SUMBAGSEL")</f>
        <v>SUMBAGSEL</v>
      </c>
      <c r="H50" s="222" t="str">
        <f>IFERROR(__xludf.DUMMYFUNCTION("""COMPUTED_VALUE"""),"PALEMBANG")</f>
        <v>PALEMBANG</v>
      </c>
      <c r="I50" s="222" t="str">
        <f>IFERROR(__xludf.DUMMYFUNCTION("""COMPUTED_VALUE"""),"Batch 1")</f>
        <v>Batch 1</v>
      </c>
      <c r="J50" s="225">
        <f>IFERROR(__xludf.DUMMYFUNCTION("""COMPUTED_VALUE"""),3.0)</f>
        <v>3</v>
      </c>
      <c r="K50" s="224">
        <f>IFERROR(__xludf.DUMMYFUNCTION("""COMPUTED_VALUE"""),24.0)</f>
        <v>24</v>
      </c>
      <c r="L50" s="226">
        <f>IFERROR(__xludf.DUMMYFUNCTION("""COMPUTED_VALUE"""),425711.0)</f>
        <v>425711</v>
      </c>
      <c r="M50" s="227">
        <f>IFERROR(__xludf.DUMMYFUNCTION("""COMPUTED_VALUE"""),1.0217059E7)</f>
        <v>10217059</v>
      </c>
      <c r="N50" s="222" t="str">
        <f>IFERROR(__xludf.DUMMYFUNCTION("""COMPUTED_VALUE"""),"PT ACERO CETHA METALINDO")</f>
        <v>PT ACERO CETHA METALINDO</v>
      </c>
      <c r="O50" s="222" t="str">
        <f>IFERROR(__xludf.DUMMYFUNCTION("""COMPUTED_VALUE"""),"0. DROP")</f>
        <v>0. DROP</v>
      </c>
      <c r="P50" s="222" t="str">
        <f>IFERROR(__xludf.DUMMYFUNCTION("""COMPUTED_VALUE"""),"0.2 Tidak Dapat Izin Warga/Kades/Lurah/Developer")</f>
        <v>0.2 Tidak Dapat Izin Warga/Kades/Lurah/Developer</v>
      </c>
      <c r="Q50" s="222" t="str">
        <f>IFERROR(__xludf.DUMMYFUNCTION("""COMPUTED_VALUE"""),"06/02 HASIL REVIEW TSEL DROP HIGH COMCASE, 14/01 area High comcase 21/01 DROP, (15/1) ORDER DITERIMA MITRA 14/1, plan Aanwijdzing 19 Jan (07/1) ORDER JPP BATTCH 1 2026")</f>
        <v>06/02 HASIL REVIEW TSEL DROP HIGH COMCASE, 14/01 area High comcase 21/01 DROP, (15/1) ORDER DITERIMA MITRA 14/1, plan Aanwijdzing 19 Jan (07/1) ORDER JPP BATTCH 1 2026</v>
      </c>
      <c r="R50" s="228"/>
      <c r="S50" s="11"/>
      <c r="T50" s="11"/>
      <c r="U50" s="11"/>
      <c r="V50" s="229" t="str">
        <f>IFERROR(__xludf.DUMMYFUNCTION("""COMPUTED_VALUE"""),"PRIGUS")</f>
        <v>PRIGUS</v>
      </c>
      <c r="W50" s="55"/>
      <c r="X50" s="55" t="str">
        <f>IFERROR(__xludf.DUMMYFUNCTION("""COMPUTED_VALUE"""),"BELUM GOLIVE")</f>
        <v>BELUM GOLIVE</v>
      </c>
      <c r="Y50" s="55"/>
      <c r="Z50" s="55" t="str">
        <f>IFERROR(__xludf.DUMMYFUNCTION("""COMPUTED_VALUE"""),"#N/A")</f>
        <v>#N/A</v>
      </c>
      <c r="AA50" s="55"/>
      <c r="AB50" s="55"/>
      <c r="AC50" s="55"/>
      <c r="AD50" s="104"/>
      <c r="AE50" s="105"/>
      <c r="AF50" s="54" t="str">
        <f>IFERROR(__xludf.DUMMYFUNCTION("""COMPUTED_VALUE"""),"Draft BA DROP")</f>
        <v>Draft BA DROP</v>
      </c>
      <c r="AG50" s="54"/>
      <c r="AH50" s="54"/>
      <c r="AI50" s="55" t="str">
        <f t="shared" si="27"/>
        <v/>
      </c>
      <c r="AJ50" s="55"/>
      <c r="AL50" s="55"/>
      <c r="AM50" s="55"/>
      <c r="AN50" s="55"/>
      <c r="AO50" s="55"/>
      <c r="AP50" s="55"/>
      <c r="AQ50" s="55"/>
      <c r="AR50" s="106">
        <v>44.0</v>
      </c>
      <c r="AS50" s="183">
        <v>2026.0</v>
      </c>
      <c r="AT50" s="221">
        <v>1.1612406E7</v>
      </c>
      <c r="AU50" s="222" t="s">
        <v>195</v>
      </c>
      <c r="AV50" s="222" t="s">
        <v>43</v>
      </c>
      <c r="AW50" s="222" t="s">
        <v>181</v>
      </c>
      <c r="AX50" s="222" t="s">
        <v>196</v>
      </c>
      <c r="AY50" s="222" t="s">
        <v>45</v>
      </c>
      <c r="AZ50" s="222" t="s">
        <v>46</v>
      </c>
      <c r="BA50" s="222" t="s">
        <v>84</v>
      </c>
      <c r="BB50" s="223">
        <v>1.0</v>
      </c>
      <c r="BC50" s="224">
        <v>8.0</v>
      </c>
      <c r="BD50" s="222" t="s">
        <v>194</v>
      </c>
      <c r="BE50" s="222" t="s">
        <v>184</v>
      </c>
      <c r="BF50" s="222" t="s">
        <v>150</v>
      </c>
      <c r="BH50" s="110" t="s">
        <v>52</v>
      </c>
      <c r="BJ50" s="230">
        <v>46112.0</v>
      </c>
      <c r="BK50" s="231" t="s">
        <v>1</v>
      </c>
      <c r="BP50" s="11"/>
    </row>
    <row r="51" ht="18.0" hidden="1" customHeight="1">
      <c r="A51" s="222">
        <f>IFERROR(__xludf.DUMMYFUNCTION("""COMPUTED_VALUE"""),2026.0)</f>
        <v>2026</v>
      </c>
      <c r="B51" s="221">
        <f>IFERROR(__xludf.DUMMYFUNCTION("""COMPUTED_VALUE"""),1.1281304E7)</f>
        <v>11281304</v>
      </c>
      <c r="C51" s="222" t="str">
        <f>IFERROR(__xludf.DUMMYFUNCTION("""COMPUTED_VALUE"""),"SMS PT3 ODC SBU FBF D11 Dipo Kertapati 2")</f>
        <v>SMS PT3 ODC SBU FBF D11 Dipo Kertapati 2</v>
      </c>
      <c r="D51" s="222" t="str">
        <f>IFERROR(__xludf.DUMMYFUNCTION("""COMPUTED_VALUE"""),"REGIONAL I")</f>
        <v>REGIONAL I</v>
      </c>
      <c r="E51" s="222" t="str">
        <f>IFERROR(__xludf.DUMMYFUNCTION("""COMPUTED_VALUE"""),"SUMSEL")</f>
        <v>SUMSEL</v>
      </c>
      <c r="F51" s="222" t="str">
        <f>IFERROR(__xludf.DUMMYFUNCTION("""COMPUTED_VALUE"""),"SBU")</f>
        <v>SBU</v>
      </c>
      <c r="G51" s="222" t="str">
        <f>IFERROR(__xludf.DUMMYFUNCTION("""COMPUTED_VALUE"""),"SUMBAGSEL")</f>
        <v>SUMBAGSEL</v>
      </c>
      <c r="H51" s="222" t="str">
        <f>IFERROR(__xludf.DUMMYFUNCTION("""COMPUTED_VALUE"""),"PALEMBANG")</f>
        <v>PALEMBANG</v>
      </c>
      <c r="I51" s="222" t="str">
        <f>IFERROR(__xludf.DUMMYFUNCTION("""COMPUTED_VALUE"""),"Batch 1")</f>
        <v>Batch 1</v>
      </c>
      <c r="J51" s="225">
        <f>IFERROR(__xludf.DUMMYFUNCTION("""COMPUTED_VALUE"""),3.0)</f>
        <v>3</v>
      </c>
      <c r="K51" s="224">
        <f>IFERROR(__xludf.DUMMYFUNCTION("""COMPUTED_VALUE"""),24.0)</f>
        <v>24</v>
      </c>
      <c r="L51" s="226">
        <f>IFERROR(__xludf.DUMMYFUNCTION("""COMPUTED_VALUE"""),596096.0)</f>
        <v>596096</v>
      </c>
      <c r="M51" s="227">
        <f>IFERROR(__xludf.DUMMYFUNCTION("""COMPUTED_VALUE"""),1.4306292E7)</f>
        <v>14306292</v>
      </c>
      <c r="N51" s="222" t="str">
        <f>IFERROR(__xludf.DUMMYFUNCTION("""COMPUTED_VALUE"""),"PT ACERO CETHA METALINDO")</f>
        <v>PT ACERO CETHA METALINDO</v>
      </c>
      <c r="O51" s="222" t="str">
        <f>IFERROR(__xludf.DUMMYFUNCTION("""COMPUTED_VALUE"""),"0. DROP")</f>
        <v>0. DROP</v>
      </c>
      <c r="P51" s="222" t="str">
        <f>IFERROR(__xludf.DUMMYFUNCTION("""COMPUTED_VALUE"""),"0.2 Tidak Dapat Izin Warga/Kades/Lurah/Developer")</f>
        <v>0.2 Tidak Dapat Izin Warga/Kades/Lurah/Developer</v>
      </c>
      <c r="Q51" s="222" t="str">
        <f>IFERROR(__xludf.DUMMYFUNCTION("""COMPUTED_VALUE"""),"06/02 HASIL REVIEW TSEL DROP HIGH COMCASE, 14/01 area High comcase 22/01 DROP, 21/01 AANWIDJZING, (15/1) ORDER DITERIMA MITRA 14/1, plan Aanwijdzing 19 Jan (07/1) ORDER JPP BATTCH 1 2026")</f>
        <v>06/02 HASIL REVIEW TSEL DROP HIGH COMCASE, 14/01 area High comcase 22/01 DROP, 21/01 AANWIDJZING, (15/1) ORDER DITERIMA MITRA 14/1, plan Aanwijdzing 19 Jan (07/1) ORDER JPP BATTCH 1 2026</v>
      </c>
      <c r="R51" s="228"/>
      <c r="S51" s="11"/>
      <c r="T51" s="11"/>
      <c r="U51" s="11"/>
      <c r="V51" s="229" t="str">
        <f>IFERROR(__xludf.DUMMYFUNCTION("""COMPUTED_VALUE"""),"PRIGUS")</f>
        <v>PRIGUS</v>
      </c>
      <c r="W51" s="55"/>
      <c r="X51" s="55" t="str">
        <f>IFERROR(__xludf.DUMMYFUNCTION("""COMPUTED_VALUE"""),"BELUM GOLIVE")</f>
        <v>BELUM GOLIVE</v>
      </c>
      <c r="Y51" s="55"/>
      <c r="Z51" s="55" t="str">
        <f>IFERROR(__xludf.DUMMYFUNCTION("""COMPUTED_VALUE"""),"#N/A")</f>
        <v>#N/A</v>
      </c>
      <c r="AA51" s="55"/>
      <c r="AB51" s="55"/>
      <c r="AC51" s="55"/>
      <c r="AD51" s="104"/>
      <c r="AE51" s="105"/>
      <c r="AF51" s="54" t="str">
        <f>IFERROR(__xludf.DUMMYFUNCTION("""COMPUTED_VALUE"""),"Draft BA DROP")</f>
        <v>Draft BA DROP</v>
      </c>
      <c r="AG51" s="54"/>
      <c r="AH51" s="54"/>
      <c r="AI51" s="55" t="str">
        <f t="shared" si="27"/>
        <v/>
      </c>
      <c r="AJ51" s="55"/>
      <c r="AL51" s="55"/>
      <c r="AM51" s="55"/>
      <c r="AN51" s="55"/>
      <c r="AO51" s="55"/>
      <c r="AP51" s="55"/>
      <c r="AQ51" s="55"/>
      <c r="AR51" s="106">
        <v>45.0</v>
      </c>
      <c r="AS51" s="183">
        <v>2026.0</v>
      </c>
      <c r="AT51" s="221">
        <v>1.2241969E7</v>
      </c>
      <c r="AU51" s="222" t="s">
        <v>197</v>
      </c>
      <c r="AV51" s="222" t="s">
        <v>43</v>
      </c>
      <c r="AW51" s="222" t="s">
        <v>181</v>
      </c>
      <c r="AX51" s="222" t="s">
        <v>198</v>
      </c>
      <c r="AY51" s="222" t="s">
        <v>45</v>
      </c>
      <c r="AZ51" s="222" t="s">
        <v>46</v>
      </c>
      <c r="BA51" s="222" t="s">
        <v>84</v>
      </c>
      <c r="BB51" s="223">
        <v>3.0</v>
      </c>
      <c r="BC51" s="224">
        <v>24.0</v>
      </c>
      <c r="BD51" s="222" t="s">
        <v>194</v>
      </c>
      <c r="BE51" s="222" t="s">
        <v>184</v>
      </c>
      <c r="BF51" s="222" t="s">
        <v>150</v>
      </c>
      <c r="BH51" s="110" t="s">
        <v>52</v>
      </c>
      <c r="BI51" s="230"/>
      <c r="BJ51" s="230">
        <v>46112.0</v>
      </c>
      <c r="BK51" s="231" t="s">
        <v>1</v>
      </c>
      <c r="BP51" s="11"/>
    </row>
    <row r="52" ht="18.0" hidden="1" customHeight="1">
      <c r="A52" s="222">
        <f>IFERROR(__xludf.DUMMYFUNCTION("""COMPUTED_VALUE"""),2026.0)</f>
        <v>2026</v>
      </c>
      <c r="B52" s="221">
        <f>IFERROR(__xludf.DUMMYFUNCTION("""COMPUTED_VALUE"""),1.1281347E7)</f>
        <v>11281347</v>
      </c>
      <c r="C52" s="222" t="str">
        <f>IFERROR(__xludf.DUMMYFUNCTION("""COMPUTED_VALUE"""),"SMS PT3 ODC SBU FBF D11 Pasar Sungki")</f>
        <v>SMS PT3 ODC SBU FBF D11 Pasar Sungki</v>
      </c>
      <c r="D52" s="222" t="str">
        <f>IFERROR(__xludf.DUMMYFUNCTION("""COMPUTED_VALUE"""),"REGIONAL I")</f>
        <v>REGIONAL I</v>
      </c>
      <c r="E52" s="222" t="str">
        <f>IFERROR(__xludf.DUMMYFUNCTION("""COMPUTED_VALUE"""),"SUMSEL")</f>
        <v>SUMSEL</v>
      </c>
      <c r="F52" s="222" t="str">
        <f>IFERROR(__xludf.DUMMYFUNCTION("""COMPUTED_VALUE"""),"SBU")</f>
        <v>SBU</v>
      </c>
      <c r="G52" s="222" t="str">
        <f>IFERROR(__xludf.DUMMYFUNCTION("""COMPUTED_VALUE"""),"SUMBAGSEL")</f>
        <v>SUMBAGSEL</v>
      </c>
      <c r="H52" s="222" t="str">
        <f>IFERROR(__xludf.DUMMYFUNCTION("""COMPUTED_VALUE"""),"PALEMBANG")</f>
        <v>PALEMBANG</v>
      </c>
      <c r="I52" s="222" t="str">
        <f>IFERROR(__xludf.DUMMYFUNCTION("""COMPUTED_VALUE"""),"Batch 1")</f>
        <v>Batch 1</v>
      </c>
      <c r="J52" s="225">
        <f>IFERROR(__xludf.DUMMYFUNCTION("""COMPUTED_VALUE"""),3.0)</f>
        <v>3</v>
      </c>
      <c r="K52" s="224">
        <f>IFERROR(__xludf.DUMMYFUNCTION("""COMPUTED_VALUE"""),24.0)</f>
        <v>24</v>
      </c>
      <c r="L52" s="226">
        <f>IFERROR(__xludf.DUMMYFUNCTION("""COMPUTED_VALUE"""),567552.0)</f>
        <v>567552</v>
      </c>
      <c r="M52" s="227">
        <f>IFERROR(__xludf.DUMMYFUNCTION("""COMPUTED_VALUE"""),1.3621239E7)</f>
        <v>13621239</v>
      </c>
      <c r="N52" s="222" t="str">
        <f>IFERROR(__xludf.DUMMYFUNCTION("""COMPUTED_VALUE"""),"PT ACERO CETHA METALINDO")</f>
        <v>PT ACERO CETHA METALINDO</v>
      </c>
      <c r="O52" s="222" t="str">
        <f>IFERROR(__xludf.DUMMYFUNCTION("""COMPUTED_VALUE"""),"0. DROP")</f>
        <v>0. DROP</v>
      </c>
      <c r="P52" s="222" t="str">
        <f>IFERROR(__xludf.DUMMYFUNCTION("""COMPUTED_VALUE"""),"0.2 Tidak Dapat Izin Warga/Kades/Lurah/Developer")</f>
        <v>0.2 Tidak Dapat Izin Warga/Kades/Lurah/Developer</v>
      </c>
      <c r="Q52" s="222" t="str">
        <f>IFERROR(__xludf.DUMMYFUNCTION("""COMPUTED_VALUE"""),"06/02 HASIL REVIEW TSEL DROP HIGH COMCASE, 14/01 area High comcase 14/01 area High comcase")</f>
        <v>06/02 HASIL REVIEW TSEL DROP HIGH COMCASE, 14/01 area High comcase 14/01 area High comcase</v>
      </c>
      <c r="R52" s="228"/>
      <c r="S52" s="11"/>
      <c r="T52" s="11"/>
      <c r="U52" s="11"/>
      <c r="V52" s="229" t="str">
        <f>IFERROR(__xludf.DUMMYFUNCTION("""COMPUTED_VALUE"""),"PRIGUS")</f>
        <v>PRIGUS</v>
      </c>
      <c r="W52" s="229"/>
      <c r="X52" s="229" t="str">
        <f>IFERROR(__xludf.DUMMYFUNCTION("""COMPUTED_VALUE"""),"BELUM GOLIVE")</f>
        <v>BELUM GOLIVE</v>
      </c>
      <c r="Y52" s="229"/>
      <c r="Z52" s="229" t="str">
        <f>IFERROR(__xludf.DUMMYFUNCTION("""COMPUTED_VALUE"""),"#N/A")</f>
        <v>#N/A</v>
      </c>
      <c r="AA52" s="229"/>
      <c r="AB52" s="229"/>
      <c r="AC52" s="229"/>
      <c r="AD52" s="232"/>
      <c r="AE52" s="233"/>
      <c r="AF52" s="54" t="str">
        <f>IFERROR(__xludf.DUMMYFUNCTION("""COMPUTED_VALUE"""),"Draft BA DROP")</f>
        <v>Draft BA DROP</v>
      </c>
      <c r="AG52" s="54"/>
      <c r="AH52" s="54"/>
      <c r="AI52" s="55" t="str">
        <f t="shared" si="27"/>
        <v/>
      </c>
      <c r="AW52" s="234"/>
      <c r="BP52" s="11"/>
    </row>
    <row r="53" ht="18.0" hidden="1" customHeight="1">
      <c r="A53" s="222">
        <f>IFERROR(__xludf.DUMMYFUNCTION("""COMPUTED_VALUE"""),2026.0)</f>
        <v>2026</v>
      </c>
      <c r="B53" s="221">
        <f>IFERROR(__xludf.DUMMYFUNCTION("""COMPUTED_VALUE"""),1.1288454E7)</f>
        <v>11288454</v>
      </c>
      <c r="C53" s="222" t="str">
        <f>IFERROR(__xludf.DUMMYFUNCTION("""COMPUTED_VALUE"""),"Simpang Sungki")</f>
        <v>Simpang Sungki</v>
      </c>
      <c r="D53" s="222" t="str">
        <f>IFERROR(__xludf.DUMMYFUNCTION("""COMPUTED_VALUE"""),"REGIONAL I")</f>
        <v>REGIONAL I</v>
      </c>
      <c r="E53" s="222" t="str">
        <f>IFERROR(__xludf.DUMMYFUNCTION("""COMPUTED_VALUE"""),"SUMSEL")</f>
        <v>SUMSEL</v>
      </c>
      <c r="F53" s="222" t="str">
        <f>IFERROR(__xludf.DUMMYFUNCTION("""COMPUTED_VALUE"""),"SBU")</f>
        <v>SBU</v>
      </c>
      <c r="G53" s="222" t="str">
        <f>IFERROR(__xludf.DUMMYFUNCTION("""COMPUTED_VALUE"""),"SUMBAGSEL")</f>
        <v>SUMBAGSEL</v>
      </c>
      <c r="H53" s="222" t="str">
        <f>IFERROR(__xludf.DUMMYFUNCTION("""COMPUTED_VALUE"""),"PALEMBANG")</f>
        <v>PALEMBANG</v>
      </c>
      <c r="I53" s="222" t="str">
        <f>IFERROR(__xludf.DUMMYFUNCTION("""COMPUTED_VALUE"""),"Batch 1")</f>
        <v>Batch 1</v>
      </c>
      <c r="J53" s="225">
        <f>IFERROR(__xludf.DUMMYFUNCTION("""COMPUTED_VALUE"""),3.0)</f>
        <v>3</v>
      </c>
      <c r="K53" s="224">
        <f>IFERROR(__xludf.DUMMYFUNCTION("""COMPUTED_VALUE"""),24.0)</f>
        <v>24</v>
      </c>
      <c r="L53" s="226">
        <f>IFERROR(__xludf.DUMMYFUNCTION("""COMPUTED_VALUE"""),567552.0)</f>
        <v>567552</v>
      </c>
      <c r="M53" s="227">
        <f>IFERROR(__xludf.DUMMYFUNCTION("""COMPUTED_VALUE"""),1.3621239E7)</f>
        <v>13621239</v>
      </c>
      <c r="N53" s="222" t="str">
        <f>IFERROR(__xludf.DUMMYFUNCTION("""COMPUTED_VALUE"""),"PT ACERO CETHA METALINDO")</f>
        <v>PT ACERO CETHA METALINDO</v>
      </c>
      <c r="O53" s="222" t="str">
        <f>IFERROR(__xludf.DUMMYFUNCTION("""COMPUTED_VALUE"""),"0. DROP")</f>
        <v>0. DROP</v>
      </c>
      <c r="P53" s="222" t="str">
        <f>IFERROR(__xludf.DUMMYFUNCTION("""COMPUTED_VALUE"""),"0.2 Tidak Dapat Izin Warga/Kades/Lurah/Developer")</f>
        <v>0.2 Tidak Dapat Izin Warga/Kades/Lurah/Developer</v>
      </c>
      <c r="Q53" s="222" t="str">
        <f>IFERROR(__xludf.DUMMYFUNCTION("""COMPUTED_VALUE"""),"15/01 DROP, area high comcase 21/01 DROP, SUDAH AANWIDJZING ' (07/01) Persiapan")</f>
        <v>15/01 DROP, area high comcase 21/01 DROP, SUDAH AANWIDJZING ' (07/01) Persiapan</v>
      </c>
      <c r="R53" s="228"/>
      <c r="S53" s="11"/>
      <c r="T53" s="11"/>
      <c r="U53" s="11"/>
      <c r="V53" s="229" t="str">
        <f>IFERROR(__xludf.DUMMYFUNCTION("""COMPUTED_VALUE"""),"PRIGUS")</f>
        <v>PRIGUS</v>
      </c>
      <c r="W53" s="229"/>
      <c r="X53" s="229" t="str">
        <f>IFERROR(__xludf.DUMMYFUNCTION("""COMPUTED_VALUE"""),"BELUM GOLIVE")</f>
        <v>BELUM GOLIVE</v>
      </c>
      <c r="Y53" s="229"/>
      <c r="Z53" s="229" t="str">
        <f>IFERROR(__xludf.DUMMYFUNCTION("""COMPUTED_VALUE"""),"#N/A")</f>
        <v>#N/A</v>
      </c>
      <c r="AA53" s="229"/>
      <c r="AB53" s="229"/>
      <c r="AC53" s="229"/>
      <c r="AD53" s="232"/>
      <c r="AE53" s="233"/>
      <c r="AF53" s="54" t="str">
        <f>IFERROR(__xludf.DUMMYFUNCTION("""COMPUTED_VALUE"""),"Draft BA DROP")</f>
        <v>Draft BA DROP</v>
      </c>
      <c r="AG53" s="54"/>
      <c r="AH53" s="54"/>
      <c r="AI53" s="55" t="str">
        <f t="shared" si="27"/>
        <v/>
      </c>
      <c r="AW53" s="234"/>
      <c r="BP53" s="11"/>
    </row>
    <row r="54" ht="18.0" hidden="1" customHeight="1">
      <c r="A54" s="222">
        <f>IFERROR(__xludf.DUMMYFUNCTION("""COMPUTED_VALUE"""),2026.0)</f>
        <v>2026</v>
      </c>
      <c r="B54" s="221">
        <f>IFERROR(__xludf.DUMMYFUNCTION("""COMPUTED_VALUE"""),1.2098101E7)</f>
        <v>12098101</v>
      </c>
      <c r="C54" s="222" t="str">
        <f>IFERROR(__xludf.DUMMYFUNCTION("""COMPUTED_VALUE"""),"MDN PT3 BJI-FFD KOTA BINJAI_150829_MD25")</f>
        <v>MDN PT3 BJI-FFD KOTA BINJAI_150829_MD25</v>
      </c>
      <c r="D54" s="222" t="str">
        <f>IFERROR(__xludf.DUMMYFUNCTION("""COMPUTED_VALUE"""),"REGIONAL I")</f>
        <v>REGIONAL I</v>
      </c>
      <c r="E54" s="222" t="str">
        <f>IFERROR(__xludf.DUMMYFUNCTION("""COMPUTED_VALUE"""),"MEDAN")</f>
        <v>MEDAN</v>
      </c>
      <c r="F54" s="222" t="str">
        <f>IFERROR(__xludf.DUMMYFUNCTION("""COMPUTED_VALUE"""),"BJI")</f>
        <v>BJI</v>
      </c>
      <c r="G54" s="222" t="str">
        <f>IFERROR(__xludf.DUMMYFUNCTION("""COMPUTED_VALUE"""),"SUMBAGUT")</f>
        <v>SUMBAGUT</v>
      </c>
      <c r="H54" s="222" t="str">
        <f>IFERROR(__xludf.DUMMYFUNCTION("""COMPUTED_VALUE"""),"BINJAI")</f>
        <v>BINJAI</v>
      </c>
      <c r="I54" s="222" t="str">
        <f>IFERROR(__xludf.DUMMYFUNCTION("""COMPUTED_VALUE"""),"Batch 1")</f>
        <v>Batch 1</v>
      </c>
      <c r="J54" s="225">
        <f>IFERROR(__xludf.DUMMYFUNCTION("""COMPUTED_VALUE"""),3.0)</f>
        <v>3</v>
      </c>
      <c r="K54" s="224">
        <f>IFERROR(__xludf.DUMMYFUNCTION("""COMPUTED_VALUE"""),24.0)</f>
        <v>24</v>
      </c>
      <c r="L54" s="226">
        <f>IFERROR(__xludf.DUMMYFUNCTION("""COMPUTED_VALUE"""),724586.0)</f>
        <v>724586</v>
      </c>
      <c r="M54" s="227">
        <f>IFERROR(__xludf.DUMMYFUNCTION("""COMPUTED_VALUE"""),1.7390046E7)</f>
        <v>17390046</v>
      </c>
      <c r="N54" s="222" t="str">
        <f>IFERROR(__xludf.DUMMYFUNCTION("""COMPUTED_VALUE"""),"PT FIBERHOME TECHNOLOGIES INDONESIA")</f>
        <v>PT FIBERHOME TECHNOLOGIES INDONESIA</v>
      </c>
      <c r="O54" s="222" t="str">
        <f>IFERROR(__xludf.DUMMYFUNCTION("""COMPUTED_VALUE"""),"0. DROP")</f>
        <v>0. DROP</v>
      </c>
      <c r="P54" s="222" t="str">
        <f>IFERROR(__xludf.DUMMYFUNCTION("""COMPUTED_VALUE"""),"0.1 Double Order")</f>
        <v>0.1 Double Order</v>
      </c>
      <c r="Q54" s="222" t="str">
        <f>IFERROR(__xludf.DUMMYFUNCTION("""COMPUTED_VALUE"""),"20/04 Sudah tercover alpro existing
20/04 takeover mitra 09/04 komitmen aanwidzing ulang 13/04 31/03 komitmen perizinan (02/04) 05/03 feeder dist ready
(07/02) survey jalur dan permit 07/01) Persiapan")</f>
        <v>20/04 Sudah tercover alpro existing
20/04 takeover mitra 09/04 komitmen aanwidzing ulang 13/04 31/03 komitmen perizinan (02/04) 05/03 feeder dist ready
(07/02) survey jalur dan permit 07/01) Persiapan</v>
      </c>
      <c r="R54" s="228"/>
      <c r="S54" s="11"/>
      <c r="T54" s="73"/>
      <c r="U54" s="11"/>
      <c r="V54" s="229" t="str">
        <f>IFERROR(__xludf.DUMMYFUNCTION("""COMPUTED_VALUE"""),"20/Apr/2026")</f>
        <v>20/Apr/2026</v>
      </c>
      <c r="W54" s="229"/>
      <c r="X54" s="229" t="str">
        <f>IFERROR(__xludf.DUMMYFUNCTION("""COMPUTED_VALUE"""),"BELUM GOLIVE")</f>
        <v>BELUM GOLIVE</v>
      </c>
      <c r="Y54" s="229"/>
      <c r="Z54" s="229" t="str">
        <f>IFERROR(__xludf.DUMMYFUNCTION("""COMPUTED_VALUE"""),"#N/A")</f>
        <v>#N/A</v>
      </c>
      <c r="AA54" s="229"/>
      <c r="AB54" s="229"/>
      <c r="AC54" s="229"/>
      <c r="AD54" s="232"/>
      <c r="AE54" s="233"/>
      <c r="AF54" s="54"/>
      <c r="AG54" s="54"/>
      <c r="AH54" s="54"/>
      <c r="AI54" s="55" t="str">
        <f t="shared" si="27"/>
        <v/>
      </c>
      <c r="AW54" s="234"/>
      <c r="BP54" s="11"/>
    </row>
    <row r="55" ht="18.0" hidden="1" customHeight="1">
      <c r="A55" s="222">
        <f>IFERROR(__xludf.DUMMYFUNCTION("""COMPUTED_VALUE"""),2026.0)</f>
        <v>2026</v>
      </c>
      <c r="B55" s="221">
        <f>IFERROR(__xludf.DUMMYFUNCTION("""COMPUTED_VALUE"""),1.2098542E7)</f>
        <v>12098542</v>
      </c>
      <c r="C55" s="222" t="str">
        <f>IFERROR(__xludf.DUMMYFUNCTION("""COMPUTED_VALUE"""),"MDN PT3 BJI-FEC LANGKAT_142363_MD25")</f>
        <v>MDN PT3 BJI-FEC LANGKAT_142363_MD25</v>
      </c>
      <c r="D55" s="222" t="str">
        <f>IFERROR(__xludf.DUMMYFUNCTION("""COMPUTED_VALUE"""),"REGIONAL I")</f>
        <v>REGIONAL I</v>
      </c>
      <c r="E55" s="222" t="str">
        <f>IFERROR(__xludf.DUMMYFUNCTION("""COMPUTED_VALUE"""),"MEDAN")</f>
        <v>MEDAN</v>
      </c>
      <c r="F55" s="222" t="str">
        <f>IFERROR(__xludf.DUMMYFUNCTION("""COMPUTED_VALUE"""),"BJI")</f>
        <v>BJI</v>
      </c>
      <c r="G55" s="222" t="str">
        <f>IFERROR(__xludf.DUMMYFUNCTION("""COMPUTED_VALUE"""),"SUMBAGUT")</f>
        <v>SUMBAGUT</v>
      </c>
      <c r="H55" s="222" t="str">
        <f>IFERROR(__xludf.DUMMYFUNCTION("""COMPUTED_VALUE"""),"BINJAI")</f>
        <v>BINJAI</v>
      </c>
      <c r="I55" s="222" t="str">
        <f>IFERROR(__xludf.DUMMYFUNCTION("""COMPUTED_VALUE"""),"Batch 1")</f>
        <v>Batch 1</v>
      </c>
      <c r="J55" s="225">
        <f>IFERROR(__xludf.DUMMYFUNCTION("""COMPUTED_VALUE"""),3.0)</f>
        <v>3</v>
      </c>
      <c r="K55" s="224">
        <f>IFERROR(__xludf.DUMMYFUNCTION("""COMPUTED_VALUE"""),24.0)</f>
        <v>24</v>
      </c>
      <c r="L55" s="226">
        <f>IFERROR(__xludf.DUMMYFUNCTION("""COMPUTED_VALUE"""),788371.0)</f>
        <v>788371</v>
      </c>
      <c r="M55" s="227">
        <f>IFERROR(__xludf.DUMMYFUNCTION("""COMPUTED_VALUE"""),1.8920901E7)</f>
        <v>18920901</v>
      </c>
      <c r="N55" s="222" t="str">
        <f>IFERROR(__xludf.DUMMYFUNCTION("""COMPUTED_VALUE"""),"PT FIBERHOME TECHNOLOGIES INDONESIA")</f>
        <v>PT FIBERHOME TECHNOLOGIES INDONESIA</v>
      </c>
      <c r="O55" s="222" t="str">
        <f>IFERROR(__xludf.DUMMYFUNCTION("""COMPUTED_VALUE"""),"0. DROP")</f>
        <v>0. DROP</v>
      </c>
      <c r="P55" s="222" t="str">
        <f>IFERROR(__xludf.DUMMYFUNCTION("""COMPUTED_VALUE"""),"0.1 Double Order")</f>
        <v>0.1 Double Order</v>
      </c>
      <c r="Q55" s="222" t="str">
        <f>IFERROR(__xludf.DUMMYFUNCTION("""COMPUTED_VALUE"""),"20/04 Sudah tercover alpro existing
20/04 takeover mitra 09/04 komitmen perizinan 11/04 31/03 komitmen perizinan (03/04) (07/02) on going permit tiang (07/01) Persiapan")</f>
        <v>20/04 Sudah tercover alpro existing
20/04 takeover mitra 09/04 komitmen perizinan 11/04 31/03 komitmen perizinan (03/04) (07/02) on going permit tiang (07/01) Persiapan</v>
      </c>
      <c r="R55" s="228"/>
      <c r="S55" s="11"/>
      <c r="T55" s="73"/>
      <c r="U55" s="11"/>
      <c r="V55" s="229" t="str">
        <f>IFERROR(__xludf.DUMMYFUNCTION("""COMPUTED_VALUE"""),"27/Apr/2026")</f>
        <v>27/Apr/2026</v>
      </c>
      <c r="W55" s="229"/>
      <c r="X55" s="229" t="str">
        <f>IFERROR(__xludf.DUMMYFUNCTION("""COMPUTED_VALUE"""),"BELUM GOLIVE")</f>
        <v>BELUM GOLIVE</v>
      </c>
      <c r="Y55" s="229"/>
      <c r="Z55" s="229" t="str">
        <f>IFERROR(__xludf.DUMMYFUNCTION("""COMPUTED_VALUE"""),"#N/A")</f>
        <v>#N/A</v>
      </c>
      <c r="AA55" s="229"/>
      <c r="AB55" s="229"/>
      <c r="AC55" s="229"/>
      <c r="AD55" s="232"/>
      <c r="AE55" s="233"/>
      <c r="AF55" s="54"/>
      <c r="AG55" s="54"/>
      <c r="AH55" s="54"/>
      <c r="AI55" s="55" t="str">
        <f t="shared" si="27"/>
        <v/>
      </c>
      <c r="AW55" s="234"/>
      <c r="BP55" s="11"/>
    </row>
    <row r="56" ht="18.0" customHeight="1">
      <c r="A56" s="222">
        <f>IFERROR(__xludf.DUMMYFUNCTION("""COMPUTED_VALUE"""),2026.0)</f>
        <v>2026</v>
      </c>
      <c r="B56" s="221">
        <f>IFERROR(__xludf.DUMMYFUNCTION("""COMPUTED_VALUE"""),1.2260283E7)</f>
        <v>12260283</v>
      </c>
      <c r="C56" s="222" t="str">
        <f>IFERROR(__xludf.DUMMYFUNCTION("""COMPUTED_VALUE"""),"SMB STTF PERUMAHAN GRAHA BUKIT")</f>
        <v>SMB STTF PERUMAHAN GRAHA BUKIT</v>
      </c>
      <c r="D56" s="222" t="str">
        <f>IFERROR(__xludf.DUMMYFUNCTION("""COMPUTED_VALUE"""),"REGIONAL I")</f>
        <v>REGIONAL I</v>
      </c>
      <c r="E56" s="222" t="str">
        <f>IFERROR(__xludf.DUMMYFUNCTION("""COMPUTED_VALUE"""),"SUMBAR")</f>
        <v>SUMBAR</v>
      </c>
      <c r="F56" s="222" t="str">
        <f>IFERROR(__xludf.DUMMYFUNCTION("""COMPUTED_VALUE"""),"LBA")</f>
        <v>LBA</v>
      </c>
      <c r="G56" s="222" t="str">
        <f>IFERROR(__xludf.DUMMYFUNCTION("""COMPUTED_VALUE"""),"SUMBAGTENG")</f>
        <v>SUMBAGTENG</v>
      </c>
      <c r="H56" s="222" t="str">
        <f>IFERROR(__xludf.DUMMYFUNCTION("""COMPUTED_VALUE"""),"BUKIT TINGGI")</f>
        <v>BUKIT TINGGI</v>
      </c>
      <c r="I56" s="222" t="str">
        <f>IFERROR(__xludf.DUMMYFUNCTION("""COMPUTED_VALUE"""),"Batch 1")</f>
        <v>Batch 1</v>
      </c>
      <c r="J56" s="225">
        <f>IFERROR(__xludf.DUMMYFUNCTION("""COMPUTED_VALUE"""),2.0)</f>
        <v>2</v>
      </c>
      <c r="K56" s="224">
        <f>IFERROR(__xludf.DUMMYFUNCTION("""COMPUTED_VALUE"""),16.0)</f>
        <v>16</v>
      </c>
      <c r="L56" s="226">
        <f>IFERROR(__xludf.DUMMYFUNCTION("""COMPUTED_VALUE"""),897390.0)</f>
        <v>897390</v>
      </c>
      <c r="M56" s="227">
        <f>IFERROR(__xludf.DUMMYFUNCTION("""COMPUTED_VALUE"""),1.4358236E7)</f>
        <v>14358236</v>
      </c>
      <c r="N56" s="222" t="str">
        <f>IFERROR(__xludf.DUMMYFUNCTION("""COMPUTED_VALUE"""),"PT PUTRI JAYA AKSES")</f>
        <v>PT PUTRI JAYA AKSES</v>
      </c>
      <c r="O56" s="222" t="str">
        <f>IFERROR(__xludf.DUMMYFUNCTION("""COMPUTED_VALUE"""),"0. DROP")</f>
        <v>0. DROP</v>
      </c>
      <c r="P56" s="222" t="str">
        <f>IFERROR(__xludf.DUMMYFUNCTION("""COMPUTED_VALUE"""),"0.3 Feeder Full")</f>
        <v>0.3 Feeder Full</v>
      </c>
      <c r="Q56" s="222" t="str">
        <f>IFERROR(__xludf.DUMMYFUNCTION("""COMPUTED_VALUE"""),"(26/01)  kendala feeder LBA-FD full ")</f>
        <v>(26/01)  kendala feeder LBA-FD full </v>
      </c>
      <c r="R56" s="228"/>
      <c r="S56" s="11"/>
      <c r="T56" s="11"/>
      <c r="U56" s="11"/>
      <c r="V56" s="229" t="str">
        <f>IFERROR(__xludf.DUMMYFUNCTION("""COMPUTED_VALUE"""),"JANUAR RIZAL")</f>
        <v>JANUAR RIZAL</v>
      </c>
      <c r="W56" s="229" t="str">
        <f>IFERROR(__xludf.DUMMYFUNCTION("""COMPUTED_VALUE"""),"MELKO NARWADI")</f>
        <v>MELKO NARWADI</v>
      </c>
      <c r="X56" s="229" t="str">
        <f>IFERROR(__xludf.DUMMYFUNCTION("""COMPUTED_VALUE"""),"BELUM GOLIVE")</f>
        <v>BELUM GOLIVE</v>
      </c>
      <c r="Y56" s="229"/>
      <c r="Z56" s="229" t="str">
        <f>IFERROR(__xludf.DUMMYFUNCTION("""COMPUTED_VALUE"""),"#N/A")</f>
        <v>#N/A</v>
      </c>
      <c r="AA56" s="229"/>
      <c r="AB56" s="229"/>
      <c r="AC56" s="229"/>
      <c r="AD56" s="232"/>
      <c r="AE56" s="233"/>
      <c r="AF56" s="54" t="str">
        <f>IFERROR(__xludf.DUMMYFUNCTION("""COMPUTED_VALUE"""),"Draft BA DROP")</f>
        <v>Draft BA DROP</v>
      </c>
      <c r="AG56" s="54"/>
      <c r="AH56" s="54"/>
      <c r="AI56" s="55" t="str">
        <f t="shared" si="27"/>
        <v/>
      </c>
      <c r="AW56" s="234"/>
      <c r="BP56" s="11"/>
    </row>
    <row r="57" ht="18.0" hidden="1" customHeight="1">
      <c r="A57" s="222">
        <f>IFERROR(__xludf.DUMMYFUNCTION("""COMPUTED_VALUE"""),2026.0)</f>
        <v>2026</v>
      </c>
      <c r="B57" s="221">
        <f>IFERROR(__xludf.DUMMYFUNCTION("""COMPUTED_VALUE"""),1.1902218E7)</f>
        <v>11902218</v>
      </c>
      <c r="C57" s="222" t="str">
        <f>IFERROR(__xludf.DUMMYFUNCTION("""COMPUTED_VALUE"""),"MDN PT3 LBP-FC DELI SERDANG_36762_MD25")</f>
        <v>MDN PT3 LBP-FC DELI SERDANG_36762_MD25</v>
      </c>
      <c r="D57" s="222" t="str">
        <f>IFERROR(__xludf.DUMMYFUNCTION("""COMPUTED_VALUE"""),"REGIONAL I")</f>
        <v>REGIONAL I</v>
      </c>
      <c r="E57" s="222" t="str">
        <f>IFERROR(__xludf.DUMMYFUNCTION("""COMPUTED_VALUE"""),"MEDAN")</f>
        <v>MEDAN</v>
      </c>
      <c r="F57" s="222" t="str">
        <f>IFERROR(__xludf.DUMMYFUNCTION("""COMPUTED_VALUE"""),"LBP")</f>
        <v>LBP</v>
      </c>
      <c r="G57" s="222" t="str">
        <f>IFERROR(__xludf.DUMMYFUNCTION("""COMPUTED_VALUE"""),"SUMBAGUT")</f>
        <v>SUMBAGUT</v>
      </c>
      <c r="H57" s="222" t="str">
        <f>IFERROR(__xludf.DUMMYFUNCTION("""COMPUTED_VALUE"""),"MEDAN")</f>
        <v>MEDAN</v>
      </c>
      <c r="I57" s="222" t="str">
        <f>IFERROR(__xludf.DUMMYFUNCTION("""COMPUTED_VALUE"""),"Batch 1")</f>
        <v>Batch 1</v>
      </c>
      <c r="J57" s="225">
        <f>IFERROR(__xludf.DUMMYFUNCTION("""COMPUTED_VALUE"""),4.0)</f>
        <v>4</v>
      </c>
      <c r="K57" s="224">
        <f>IFERROR(__xludf.DUMMYFUNCTION("""COMPUTED_VALUE"""),32.0)</f>
        <v>32</v>
      </c>
      <c r="L57" s="226">
        <f>IFERROR(__xludf.DUMMYFUNCTION("""COMPUTED_VALUE"""),899984.0)</f>
        <v>899984</v>
      </c>
      <c r="M57" s="227">
        <f>IFERROR(__xludf.DUMMYFUNCTION("""COMPUTED_VALUE"""),2.8799479E7)</f>
        <v>28799479</v>
      </c>
      <c r="N57" s="222" t="str">
        <f>IFERROR(__xludf.DUMMYFUNCTION("""COMPUTED_VALUE"""),"PT NIAGA NUSANTARA DIVA")</f>
        <v>PT NIAGA NUSANTARA DIVA</v>
      </c>
      <c r="O57" s="222" t="str">
        <f>IFERROR(__xludf.DUMMYFUNCTION("""COMPUTED_VALUE"""),"7. GOLIVE")</f>
        <v>7. GOLIVE</v>
      </c>
      <c r="P57" s="222" t="str">
        <f>IFERROR(__xludf.DUMMYFUNCTION("""COMPUTED_VALUE"""),"7.2 Golive Full / OA / DONE OTB")</f>
        <v>7.2 Golive Full / OA / DONE OTB</v>
      </c>
      <c r="Q57" s="222" t="str">
        <f>IFERROR(__xludf.DUMMYFUNCTION("""COMPUTED_VALUE"""),"07/03 golive sdi
06/03 pengecekan abd mancore
04/03 pemasangan odp &amp; terminasi
13/02 waiting apprv prelim comcase 1,5 JT
12/02 proses perizinan
(08/01) Doubel order dengan MD150 dan sudah gl  , Proses mapping mitra  (07/01) Persiapan")</f>
        <v>07/03 golive sdi
06/03 pengecekan abd mancore
04/03 pemasangan odp &amp; terminasi
13/02 waiting apprv prelim comcase 1,5 JT
12/02 proses perizinan
(08/01) Doubel order dengan MD150 dan sudah gl  , Proses mapping mitra  (07/01) Persiapan</v>
      </c>
      <c r="R57" s="228">
        <f>IFERROR(__xludf.DUMMYFUNCTION("""COMPUTED_VALUE"""),46087.0)</f>
        <v>46087</v>
      </c>
      <c r="S57" s="11" t="str">
        <f>IFERROR(__xludf.DUMMYFUNCTION("""COMPUTED_VALUE"""),"MAR")</f>
        <v>MAR</v>
      </c>
      <c r="T57" s="11"/>
      <c r="U57" s="11" t="str">
        <f>IFERROR(__xludf.DUMMYFUNCTION("""COMPUTED_VALUE"""),"TIF-2522/2026")</f>
        <v>TIF-2522/2026</v>
      </c>
      <c r="V57" s="229"/>
      <c r="W57" s="229"/>
      <c r="X57" s="229" t="str">
        <f>IFERROR(__xludf.DUMMYFUNCTION("""COMPUTED_VALUE"""),"GOLIVE")</f>
        <v>GOLIVE</v>
      </c>
      <c r="Y57" s="229" t="str">
        <f>IFERROR(__xludf.DUMMYFUNCTION("""COMPUTED_VALUE"""),"DONE")</f>
        <v>DONE</v>
      </c>
      <c r="Z57" s="229" t="str">
        <f>IFERROR(__xludf.DUMMYFUNCTION("""COMPUTED_VALUE"""),"#N/A")</f>
        <v>#N/A</v>
      </c>
      <c r="AA57" s="229">
        <f>IFERROR(__xludf.DUMMYFUNCTION("""COMPUTED_VALUE"""),4.0)</f>
        <v>4</v>
      </c>
      <c r="AB57" s="229"/>
      <c r="AC57" s="229" t="str">
        <f>IFERROR(__xludf.DUMMYFUNCTION("""COMPUTED_VALUE"""),"9185555#9185560")</f>
        <v>9185555#9185560</v>
      </c>
      <c r="AD57" s="232">
        <f>IFERROR(__xludf.DUMMYFUNCTION("""COMPUTED_VALUE"""),32.0)</f>
        <v>32</v>
      </c>
      <c r="AE57" s="233">
        <f>IFERROR(__xludf.DUMMYFUNCTION("""COMPUTED_VALUE"""),46087.0)</f>
        <v>46087</v>
      </c>
      <c r="AF57" s="54"/>
      <c r="AG57" s="54"/>
      <c r="AH57" s="54">
        <v>46087.0</v>
      </c>
      <c r="AI57" s="55">
        <f t="shared" si="27"/>
        <v>0</v>
      </c>
      <c r="AW57" s="234"/>
      <c r="BP57" s="11"/>
    </row>
    <row r="58" ht="18.0" hidden="1" customHeight="1">
      <c r="A58" s="222">
        <f>IFERROR(__xludf.DUMMYFUNCTION("""COMPUTED_VALUE"""),2026.0)</f>
        <v>2026</v>
      </c>
      <c r="B58" s="221">
        <f>IFERROR(__xludf.DUMMYFUNCTION("""COMPUTED_VALUE"""),1.1900383E7)</f>
        <v>11900383</v>
      </c>
      <c r="C58" s="222" t="str">
        <f>IFERROR(__xludf.DUMMYFUNCTION("""COMPUTED_VALUE"""),"PT3 LBP-FH DELI SERDANG_159194_H2_2025")</f>
        <v>PT3 LBP-FH DELI SERDANG_159194_H2_2025</v>
      </c>
      <c r="D58" s="222" t="str">
        <f>IFERROR(__xludf.DUMMYFUNCTION("""COMPUTED_VALUE"""),"REGIONAL I")</f>
        <v>REGIONAL I</v>
      </c>
      <c r="E58" s="222" t="str">
        <f>IFERROR(__xludf.DUMMYFUNCTION("""COMPUTED_VALUE"""),"MEDAN")</f>
        <v>MEDAN</v>
      </c>
      <c r="F58" s="222" t="str">
        <f>IFERROR(__xludf.DUMMYFUNCTION("""COMPUTED_VALUE"""),"LBP")</f>
        <v>LBP</v>
      </c>
      <c r="G58" s="222" t="str">
        <f>IFERROR(__xludf.DUMMYFUNCTION("""COMPUTED_VALUE"""),"SUMBAGUT")</f>
        <v>SUMBAGUT</v>
      </c>
      <c r="H58" s="222" t="str">
        <f>IFERROR(__xludf.DUMMYFUNCTION("""COMPUTED_VALUE"""),"MEDAN")</f>
        <v>MEDAN</v>
      </c>
      <c r="I58" s="222" t="str">
        <f>IFERROR(__xludf.DUMMYFUNCTION("""COMPUTED_VALUE"""),"Batch 1")</f>
        <v>Batch 1</v>
      </c>
      <c r="J58" s="225">
        <f>IFERROR(__xludf.DUMMYFUNCTION("""COMPUTED_VALUE"""),3.0)</f>
        <v>3</v>
      </c>
      <c r="K58" s="224">
        <f>IFERROR(__xludf.DUMMYFUNCTION("""COMPUTED_VALUE"""),24.0)</f>
        <v>24</v>
      </c>
      <c r="L58" s="226">
        <f>IFERROR(__xludf.DUMMYFUNCTION("""COMPUTED_VALUE"""),1145784.0)</f>
        <v>1145784</v>
      </c>
      <c r="M58" s="227">
        <f>IFERROR(__xludf.DUMMYFUNCTION("""COMPUTED_VALUE"""),2.7498808E7)</f>
        <v>27498808</v>
      </c>
      <c r="N58" s="222" t="str">
        <f>IFERROR(__xludf.DUMMYFUNCTION("""COMPUTED_VALUE"""),"PT NIAGA NUSANTARA DIVA")</f>
        <v>PT NIAGA NUSANTARA DIVA</v>
      </c>
      <c r="O58" s="222" t="str">
        <f>IFERROR(__xludf.DUMMYFUNCTION("""COMPUTED_VALUE"""),"7. GOLIVE")</f>
        <v>7. GOLIVE</v>
      </c>
      <c r="P58" s="222" t="str">
        <f>IFERROR(__xludf.DUMMYFUNCTION("""COMPUTED_VALUE"""),"7.2 Golive Full / OA / DONE OTB")</f>
        <v>7.2 Golive Full / OA / DONE OTB</v>
      </c>
      <c r="Q58" s="222" t="str">
        <f>IFERROR(__xludf.DUMMYFUNCTION("""COMPUTED_VALUE"""),"08/04 golive sdi
07/04 pemasangan odp
02/04 penarikan kabel
12/03 proses matrial
12/02 proses perizinan
(07/01) Persiapan")</f>
        <v>08/04 golive sdi
07/04 pemasangan odp
02/04 penarikan kabel
12/03 proses matrial
12/02 proses perizinan
(07/01) Persiapan</v>
      </c>
      <c r="R58" s="228">
        <f>IFERROR(__xludf.DUMMYFUNCTION("""COMPUTED_VALUE"""),46120.0)</f>
        <v>46120</v>
      </c>
      <c r="S58" s="11"/>
      <c r="T58" s="73"/>
      <c r="U58" s="11"/>
      <c r="V58" s="229"/>
      <c r="W58" s="229"/>
      <c r="X58" s="229" t="str">
        <f>IFERROR(__xludf.DUMMYFUNCTION("""COMPUTED_VALUE"""),"GOLIVE")</f>
        <v>GOLIVE</v>
      </c>
      <c r="Y58" s="229" t="str">
        <f>IFERROR(__xludf.DUMMYFUNCTION("""COMPUTED_VALUE"""),"DONE")</f>
        <v>DONE</v>
      </c>
      <c r="Z58" s="229" t="str">
        <f>IFERROR(__xludf.DUMMYFUNCTION("""COMPUTED_VALUE"""),"#N/A")</f>
        <v>#N/A</v>
      </c>
      <c r="AA58" s="229">
        <f>IFERROR(__xludf.DUMMYFUNCTION("""COMPUTED_VALUE"""),3.0)</f>
        <v>3</v>
      </c>
      <c r="AB58" s="229"/>
      <c r="AC58" s="229" t="str">
        <f>IFERROR(__xludf.DUMMYFUNCTION("""COMPUTED_VALUE"""),"9251408#9251413")</f>
        <v>9251408#9251413</v>
      </c>
      <c r="AD58" s="232">
        <f>IFERROR(__xludf.DUMMYFUNCTION("""COMPUTED_VALUE"""),24.0)</f>
        <v>24</v>
      </c>
      <c r="AE58" s="233">
        <f>IFERROR(__xludf.DUMMYFUNCTION("""COMPUTED_VALUE"""),46120.0)</f>
        <v>46120</v>
      </c>
      <c r="AF58" s="54"/>
      <c r="AG58" s="54"/>
      <c r="AH58" s="54">
        <v>46120.0</v>
      </c>
      <c r="AI58" s="55">
        <f t="shared" si="27"/>
        <v>0</v>
      </c>
      <c r="AW58" s="234"/>
      <c r="BP58" s="11"/>
    </row>
    <row r="59" ht="18.0" hidden="1" customHeight="1">
      <c r="A59" s="222">
        <f>IFERROR(__xludf.DUMMYFUNCTION("""COMPUTED_VALUE"""),2026.0)</f>
        <v>2026</v>
      </c>
      <c r="B59" s="221">
        <f>IFERROR(__xludf.DUMMYFUNCTION("""COMPUTED_VALUE"""),1.1900171E7)</f>
        <v>11900171</v>
      </c>
      <c r="C59" s="222" t="str">
        <f>IFERROR(__xludf.DUMMYFUNCTION("""COMPUTED_VALUE"""),"MDN PT3 LBP-FQ 250_1637_1729")</f>
        <v>MDN PT3 LBP-FQ 250_1637_1729</v>
      </c>
      <c r="D59" s="222" t="str">
        <f>IFERROR(__xludf.DUMMYFUNCTION("""COMPUTED_VALUE"""),"REGIONAL I")</f>
        <v>REGIONAL I</v>
      </c>
      <c r="E59" s="222" t="str">
        <f>IFERROR(__xludf.DUMMYFUNCTION("""COMPUTED_VALUE"""),"MEDAN")</f>
        <v>MEDAN</v>
      </c>
      <c r="F59" s="222" t="str">
        <f>IFERROR(__xludf.DUMMYFUNCTION("""COMPUTED_VALUE"""),"LBP")</f>
        <v>LBP</v>
      </c>
      <c r="G59" s="222" t="str">
        <f>IFERROR(__xludf.DUMMYFUNCTION("""COMPUTED_VALUE"""),"SUMBAGUT")</f>
        <v>SUMBAGUT</v>
      </c>
      <c r="H59" s="222" t="str">
        <f>IFERROR(__xludf.DUMMYFUNCTION("""COMPUTED_VALUE"""),"MEDAN")</f>
        <v>MEDAN</v>
      </c>
      <c r="I59" s="222" t="str">
        <f>IFERROR(__xludf.DUMMYFUNCTION("""COMPUTED_VALUE"""),"Batch 1")</f>
        <v>Batch 1</v>
      </c>
      <c r="J59" s="225">
        <f>IFERROR(__xludf.DUMMYFUNCTION("""COMPUTED_VALUE"""),3.0)</f>
        <v>3</v>
      </c>
      <c r="K59" s="224">
        <f>IFERROR(__xludf.DUMMYFUNCTION("""COMPUTED_VALUE"""),24.0)</f>
        <v>24</v>
      </c>
      <c r="L59" s="226">
        <f>IFERROR(__xludf.DUMMYFUNCTION("""COMPUTED_VALUE"""),606558.0)</f>
        <v>606558</v>
      </c>
      <c r="M59" s="227">
        <f>IFERROR(__xludf.DUMMYFUNCTION("""COMPUTED_VALUE"""),1.4557392E7)</f>
        <v>14557392</v>
      </c>
      <c r="N59" s="222" t="str">
        <f>IFERROR(__xludf.DUMMYFUNCTION("""COMPUTED_VALUE"""),"PT NIAGA NUSANTARA DIVA")</f>
        <v>PT NIAGA NUSANTARA DIVA</v>
      </c>
      <c r="O59" s="222" t="str">
        <f>IFERROR(__xludf.DUMMYFUNCTION("""COMPUTED_VALUE"""),"0. DROP")</f>
        <v>0. DROP</v>
      </c>
      <c r="P59" s="222" t="str">
        <f>IFERROR(__xludf.DUMMYFUNCTION("""COMPUTED_VALUE"""),"0.2 Tidak Dapat Izin Warga/Kades/Lurah/Developer")</f>
        <v>0.2 Tidak Dapat Izin Warga/Kades/Lurah/Developer</v>
      </c>
      <c r="Q59" s="222" t="str">
        <f>IFERROR(__xludf.DUMMYFUNCTION("""COMPUTED_VALUE"""),"02/04 tdk dapat izin dari warga (tdk ada space tanam tiang)
31/03 komitmen perizinan (01/04) 14/02 proses perizinan
(07/01) Persiapan")</f>
        <v>02/04 tdk dapat izin dari warga (tdk ada space tanam tiang)
31/03 komitmen perizinan (01/04) 14/02 proses perizinan
(07/01) Persiapan</v>
      </c>
      <c r="R59" s="228"/>
      <c r="S59" s="11"/>
      <c r="T59" s="11"/>
      <c r="U59" s="11"/>
      <c r="V59" s="229"/>
      <c r="W59" s="229"/>
      <c r="X59" s="229" t="str">
        <f>IFERROR(__xludf.DUMMYFUNCTION("""COMPUTED_VALUE"""),"BELUM GOLIVE")</f>
        <v>BELUM GOLIVE</v>
      </c>
      <c r="Y59" s="229"/>
      <c r="Z59" s="229" t="str">
        <f>IFERROR(__xludf.DUMMYFUNCTION("""COMPUTED_VALUE"""),"#N/A")</f>
        <v>#N/A</v>
      </c>
      <c r="AA59" s="229"/>
      <c r="AB59" s="229"/>
      <c r="AC59" s="229"/>
      <c r="AD59" s="232"/>
      <c r="AE59" s="233"/>
      <c r="AF59" s="54"/>
      <c r="AG59" s="54"/>
      <c r="AH59" s="54"/>
      <c r="AI59" s="55" t="str">
        <f t="shared" si="27"/>
        <v/>
      </c>
      <c r="AW59" s="234"/>
      <c r="BP59" s="11"/>
    </row>
    <row r="60" ht="18.0" hidden="1" customHeight="1">
      <c r="A60" s="222">
        <f>IFERROR(__xludf.DUMMYFUNCTION("""COMPUTED_VALUE"""),2026.0)</f>
        <v>2026</v>
      </c>
      <c r="B60" s="221">
        <f>IFERROR(__xludf.DUMMYFUNCTION("""COMPUTED_VALUE"""),1.1899667E7)</f>
        <v>11899667</v>
      </c>
      <c r="C60" s="222" t="str">
        <f>IFERROR(__xludf.DUMMYFUNCTION("""COMPUTED_VALUE"""),"MDN PT3 LBP-FA DELI SERDANG_55079_MD25")</f>
        <v>MDN PT3 LBP-FA DELI SERDANG_55079_MD25</v>
      </c>
      <c r="D60" s="222" t="str">
        <f>IFERROR(__xludf.DUMMYFUNCTION("""COMPUTED_VALUE"""),"REGIONAL I")</f>
        <v>REGIONAL I</v>
      </c>
      <c r="E60" s="222" t="str">
        <f>IFERROR(__xludf.DUMMYFUNCTION("""COMPUTED_VALUE"""),"MEDAN")</f>
        <v>MEDAN</v>
      </c>
      <c r="F60" s="222" t="str">
        <f>IFERROR(__xludf.DUMMYFUNCTION("""COMPUTED_VALUE"""),"LBP")</f>
        <v>LBP</v>
      </c>
      <c r="G60" s="222" t="str">
        <f>IFERROR(__xludf.DUMMYFUNCTION("""COMPUTED_VALUE"""),"SUMBAGUT")</f>
        <v>SUMBAGUT</v>
      </c>
      <c r="H60" s="222" t="str">
        <f>IFERROR(__xludf.DUMMYFUNCTION("""COMPUTED_VALUE"""),"MEDAN")</f>
        <v>MEDAN</v>
      </c>
      <c r="I60" s="222" t="str">
        <f>IFERROR(__xludf.DUMMYFUNCTION("""COMPUTED_VALUE"""),"Batch 1")</f>
        <v>Batch 1</v>
      </c>
      <c r="J60" s="225">
        <f>IFERROR(__xludf.DUMMYFUNCTION("""COMPUTED_VALUE"""),2.0)</f>
        <v>2</v>
      </c>
      <c r="K60" s="224">
        <f>IFERROR(__xludf.DUMMYFUNCTION("""COMPUTED_VALUE"""),16.0)</f>
        <v>16</v>
      </c>
      <c r="L60" s="226">
        <f>IFERROR(__xludf.DUMMYFUNCTION("""COMPUTED_VALUE"""),562442.0)</f>
        <v>562442</v>
      </c>
      <c r="M60" s="227">
        <f>IFERROR(__xludf.DUMMYFUNCTION("""COMPUTED_VALUE"""),8999059.0)</f>
        <v>8999059</v>
      </c>
      <c r="N60" s="222" t="str">
        <f>IFERROR(__xludf.DUMMYFUNCTION("""COMPUTED_VALUE"""),"PT NIAGA NUSANTARA DIVA")</f>
        <v>PT NIAGA NUSANTARA DIVA</v>
      </c>
      <c r="O60" s="222" t="str">
        <f>IFERROR(__xludf.DUMMYFUNCTION("""COMPUTED_VALUE"""),"0. DROP")</f>
        <v>0. DROP</v>
      </c>
      <c r="P60" s="222" t="str">
        <f>IFERROR(__xludf.DUMMYFUNCTION("""COMPUTED_VALUE"""),"0.1 Double Order")</f>
        <v>0.1 Double Order</v>
      </c>
      <c r="Q60" s="222" t="str">
        <f>IFERROR(__xludf.DUMMYFUNCTION("""COMPUTED_VALUE"""),"12/02 dist05 tidak tembus
(07/01) Persiapan")</f>
        <v>12/02 dist05 tidak tembus
(07/01) Persiapan</v>
      </c>
      <c r="R60" s="228"/>
      <c r="S60" s="11"/>
      <c r="T60" s="11"/>
      <c r="U60" s="11"/>
      <c r="V60" s="229"/>
      <c r="W60" s="229"/>
      <c r="X60" s="229" t="str">
        <f>IFERROR(__xludf.DUMMYFUNCTION("""COMPUTED_VALUE"""),"BELUM GOLIVE")</f>
        <v>BELUM GOLIVE</v>
      </c>
      <c r="Y60" s="229"/>
      <c r="Z60" s="229" t="str">
        <f>IFERROR(__xludf.DUMMYFUNCTION("""COMPUTED_VALUE"""),"#N/A")</f>
        <v>#N/A</v>
      </c>
      <c r="AA60" s="229"/>
      <c r="AB60" s="229"/>
      <c r="AC60" s="229"/>
      <c r="AD60" s="232"/>
      <c r="AE60" s="233"/>
      <c r="AF60" s="54"/>
      <c r="AG60" s="54"/>
      <c r="AH60" s="54"/>
      <c r="AI60" s="55" t="str">
        <f t="shared" si="27"/>
        <v/>
      </c>
      <c r="AW60" s="234"/>
      <c r="BP60" s="11"/>
    </row>
    <row r="61" ht="18.0" hidden="1" customHeight="1">
      <c r="A61" s="222">
        <f>IFERROR(__xludf.DUMMYFUNCTION("""COMPUTED_VALUE"""),2026.0)</f>
        <v>2026</v>
      </c>
      <c r="B61" s="221">
        <f>IFERROR(__xludf.DUMMYFUNCTION("""COMPUTED_VALUE"""),1.2445265E7)</f>
        <v>12445265</v>
      </c>
      <c r="C61" s="222" t="str">
        <f>IFERROR(__xludf.DUMMYFUNCTION("""COMPUTED_VALUE"""),"MDN PT3 BJI-FEG 250_1569_1568")</f>
        <v>MDN PT3 BJI-FEG 250_1569_1568</v>
      </c>
      <c r="D61" s="222" t="str">
        <f>IFERROR(__xludf.DUMMYFUNCTION("""COMPUTED_VALUE"""),"REGIONAL I")</f>
        <v>REGIONAL I</v>
      </c>
      <c r="E61" s="222" t="str">
        <f>IFERROR(__xludf.DUMMYFUNCTION("""COMPUTED_VALUE"""),"MEDAN")</f>
        <v>MEDAN</v>
      </c>
      <c r="F61" s="222" t="str">
        <f>IFERROR(__xludf.DUMMYFUNCTION("""COMPUTED_VALUE"""),"BJI")</f>
        <v>BJI</v>
      </c>
      <c r="G61" s="222" t="str">
        <f>IFERROR(__xludf.DUMMYFUNCTION("""COMPUTED_VALUE"""),"SUMBAGUT")</f>
        <v>SUMBAGUT</v>
      </c>
      <c r="H61" s="222" t="str">
        <f>IFERROR(__xludf.DUMMYFUNCTION("""COMPUTED_VALUE"""),"BINJAI")</f>
        <v>BINJAI</v>
      </c>
      <c r="I61" s="222" t="str">
        <f>IFERROR(__xludf.DUMMYFUNCTION("""COMPUTED_VALUE"""),"Batch 1")</f>
        <v>Batch 1</v>
      </c>
      <c r="J61" s="225">
        <f>IFERROR(__xludf.DUMMYFUNCTION("""COMPUTED_VALUE"""),2.0)</f>
        <v>2</v>
      </c>
      <c r="K61" s="224">
        <f>IFERROR(__xludf.DUMMYFUNCTION("""COMPUTED_VALUE"""),16.0)</f>
        <v>16</v>
      </c>
      <c r="L61" s="226">
        <f>IFERROR(__xludf.DUMMYFUNCTION("""COMPUTED_VALUE"""),716122.0)</f>
        <v>716122</v>
      </c>
      <c r="M61" s="227">
        <f>IFERROR(__xludf.DUMMYFUNCTION("""COMPUTED_VALUE"""),1.1457939E7)</f>
        <v>11457939</v>
      </c>
      <c r="N61" s="222" t="str">
        <f>IFERROR(__xludf.DUMMYFUNCTION("""COMPUTED_VALUE"""),"PT KENCANA RAYA INDONESIA")</f>
        <v>PT KENCANA RAYA INDONESIA</v>
      </c>
      <c r="O61" s="222" t="str">
        <f>IFERROR(__xludf.DUMMYFUNCTION("""COMPUTED_VALUE"""),"8. UJI TERIMA")</f>
        <v>8. UJI TERIMA</v>
      </c>
      <c r="P61" s="222" t="str">
        <f>IFERROR(__xludf.DUMMYFUNCTION("""COMPUTED_VALUE"""),"8.1 Proses UT")</f>
        <v>8.1 Proses UT</v>
      </c>
      <c r="Q61" s="222" t="str">
        <f>IFERROR(__xludf.DUMMYFUNCTION("""COMPUTED_VALUE"""),"20/02 golive
19/02 proses golive
8/02 instalasi odp dan terminasi odc udah selesai
17/02 penarikan kabel dan pasang acc done 
16/02 pengambilan material 
16/02 feeder distribusi ready 
(07/01) Persiapan")</f>
        <v>20/02 golive
19/02 proses golive
8/02 instalasi odp dan terminasi odc udah selesai
17/02 penarikan kabel dan pasang acc done 
16/02 pengambilan material 
16/02 feeder distribusi ready 
(07/01) Persiapan</v>
      </c>
      <c r="R61" s="228"/>
      <c r="S61" s="11"/>
      <c r="T61" s="11"/>
      <c r="U61" s="11" t="str">
        <f>IFERROR(__xludf.DUMMYFUNCTION("""COMPUTED_VALUE"""),"FALSE")</f>
        <v>FALSE</v>
      </c>
      <c r="V61" s="229"/>
      <c r="W61" s="229"/>
      <c r="X61" s="229" t="str">
        <f>IFERROR(__xludf.DUMMYFUNCTION("""COMPUTED_VALUE"""),"GOLIVE")</f>
        <v>GOLIVE</v>
      </c>
      <c r="Y61" s="229" t="str">
        <f>IFERROR(__xludf.DUMMYFUNCTION("""COMPUTED_VALUE"""),"DONE")</f>
        <v>DONE</v>
      </c>
      <c r="Z61" s="229" t="str">
        <f>IFERROR(__xludf.DUMMYFUNCTION("""COMPUTED_VALUE"""),"#N/A")</f>
        <v>#N/A</v>
      </c>
      <c r="AA61" s="229">
        <f>IFERROR(__xludf.DUMMYFUNCTION("""COMPUTED_VALUE"""),2.0)</f>
        <v>2</v>
      </c>
      <c r="AB61" s="229"/>
      <c r="AC61" s="229" t="str">
        <f>IFERROR(__xludf.DUMMYFUNCTION("""COMPUTED_VALUE"""),"9127032#9127037")</f>
        <v>9127032#9127037</v>
      </c>
      <c r="AD61" s="232">
        <f>IFERROR(__xludf.DUMMYFUNCTION("""COMPUTED_VALUE"""),16.0)</f>
        <v>16</v>
      </c>
      <c r="AE61" s="233">
        <f>IFERROR(__xludf.DUMMYFUNCTION("""COMPUTED_VALUE"""),46073.0)</f>
        <v>46073</v>
      </c>
      <c r="AF61" s="54"/>
      <c r="AG61" s="54"/>
      <c r="AH61" s="54"/>
      <c r="AI61" s="55" t="str">
        <f t="shared" si="27"/>
        <v/>
      </c>
      <c r="AW61" s="234"/>
      <c r="BP61" s="11"/>
    </row>
    <row r="62" ht="18.0" hidden="1" customHeight="1">
      <c r="A62" s="222">
        <f>IFERROR(__xludf.DUMMYFUNCTION("""COMPUTED_VALUE"""),2026.0)</f>
        <v>2026</v>
      </c>
      <c r="B62" s="221">
        <f>IFERROR(__xludf.DUMMYFUNCTION("""COMPUTED_VALUE"""),1.2446669E7)</f>
        <v>12446669</v>
      </c>
      <c r="C62" s="222" t="str">
        <f>IFERROR(__xludf.DUMMYFUNCTION("""COMPUTED_VALUE"""),"ACH TTN PT3 TTN-FC LHOK KEUTAPANG 2")</f>
        <v>ACH TTN PT3 TTN-FC LHOK KEUTAPANG 2</v>
      </c>
      <c r="D62" s="222" t="str">
        <f>IFERROR(__xludf.DUMMYFUNCTION("""COMPUTED_VALUE"""),"REGIONAL I")</f>
        <v>REGIONAL I</v>
      </c>
      <c r="E62" s="222" t="str">
        <f>IFERROR(__xludf.DUMMYFUNCTION("""COMPUTED_VALUE"""),"ACEH")</f>
        <v>ACEH</v>
      </c>
      <c r="F62" s="222" t="str">
        <f>IFERROR(__xludf.DUMMYFUNCTION("""COMPUTED_VALUE"""),"TTN")</f>
        <v>TTN</v>
      </c>
      <c r="G62" s="222" t="str">
        <f>IFERROR(__xludf.DUMMYFUNCTION("""COMPUTED_VALUE"""),"SUMBAGUT")</f>
        <v>SUMBAGUT</v>
      </c>
      <c r="H62" s="222" t="str">
        <f>IFERROR(__xludf.DUMMYFUNCTION("""COMPUTED_VALUE"""),"BANDA ACEH")</f>
        <v>BANDA ACEH</v>
      </c>
      <c r="I62" s="222" t="str">
        <f>IFERROR(__xludf.DUMMYFUNCTION("""COMPUTED_VALUE"""),"Batch 1")</f>
        <v>Batch 1</v>
      </c>
      <c r="J62" s="225">
        <f>IFERROR(__xludf.DUMMYFUNCTION("""COMPUTED_VALUE"""),10.0)</f>
        <v>10</v>
      </c>
      <c r="K62" s="224">
        <f>IFERROR(__xludf.DUMMYFUNCTION("""COMPUTED_VALUE"""),80.0)</f>
        <v>80</v>
      </c>
      <c r="L62" s="226">
        <f>IFERROR(__xludf.DUMMYFUNCTION("""COMPUTED_VALUE"""),996296.0)</f>
        <v>996296</v>
      </c>
      <c r="M62" s="227">
        <f>IFERROR(__xludf.DUMMYFUNCTION("""COMPUTED_VALUE"""),7.9703643E7)</f>
        <v>79703643</v>
      </c>
      <c r="N62" s="222" t="str">
        <f>IFERROR(__xludf.DUMMYFUNCTION("""COMPUTED_VALUE"""),"PT ASWA KARYA DIFA")</f>
        <v>PT ASWA KARYA DIFA</v>
      </c>
      <c r="O62" s="222" t="str">
        <f>IFERROR(__xludf.DUMMYFUNCTION("""COMPUTED_VALUE"""),"5. INSTALASI")</f>
        <v>5. INSTALASI</v>
      </c>
      <c r="P62" s="222" t="str">
        <f>IFERROR(__xludf.DUMMYFUNCTION("""COMPUTED_VALUE"""),"5.6 Proses Penarikan Kabel")</f>
        <v>5.6 Proses Penarikan Kabel</v>
      </c>
      <c r="Q62" s="222" t="str">
        <f>IFERROR(__xludf.DUMMYFUNCTION("""COMPUTED_VALUE"""),"23/04 redesain tidak dpt ijin TT, Kendala Modul sdg pengiriman dr Banda ke TTN
(20/04) Ada perubahan desain rubah rute kendala ijin tanam tiang 4btg, plan jovis tsel 21/04
(14/04) Penarikan Kabel (03/04) Tanam Tiang (25/03) MOS (10/03) Menunggu Material R"&amp;"eady (27/02) DelMat (11/02) proses po material (22/01) Done Aanwijzing  (07/01) Persiapan")</f>
        <v>23/04 redesain tidak dpt ijin TT, Kendala Modul sdg pengiriman dr Banda ke TTN
(20/04) Ada perubahan desain rubah rute kendala ijin tanam tiang 4btg, plan jovis tsel 21/04
(14/04) Penarikan Kabel (03/04) Tanam Tiang (25/03) MOS (10/03) Menunggu Material Ready (27/02) DelMat (11/02) proses po material (22/01) Done Aanwijzing  (07/01) Persiapan</v>
      </c>
      <c r="R62" s="228">
        <f>IFERROR(__xludf.DUMMYFUNCTION("""COMPUTED_VALUE"""),46135.0)</f>
        <v>46135</v>
      </c>
      <c r="S62" s="11" t="str">
        <f>IFERROR(__xludf.DUMMYFUNCTION("""COMPUTED_VALUE"""),"APR")</f>
        <v>APR</v>
      </c>
      <c r="T62" s="73"/>
      <c r="U62" s="11"/>
      <c r="V62" s="229"/>
      <c r="W62" s="229" t="str">
        <f>IFERROR(__xludf.DUMMYFUNCTION("""COMPUTED_VALUE"""),"#N/A")</f>
        <v>#N/A</v>
      </c>
      <c r="X62" s="229" t="str">
        <f>IFERROR(__xludf.DUMMYFUNCTION("""COMPUTED_VALUE"""),"BELUM GOLIVE")</f>
        <v>BELUM GOLIVE</v>
      </c>
      <c r="Y62" s="229"/>
      <c r="Z62" s="229" t="str">
        <f>IFERROR(__xludf.DUMMYFUNCTION("""COMPUTED_VALUE"""),"#N/A")</f>
        <v>#N/A</v>
      </c>
      <c r="AA62" s="229"/>
      <c r="AB62" s="229"/>
      <c r="AC62" s="229"/>
      <c r="AD62" s="232"/>
      <c r="AE62" s="233"/>
      <c r="AF62" s="54"/>
      <c r="AG62" s="54"/>
      <c r="AH62" s="54">
        <v>46128.0</v>
      </c>
      <c r="AI62" s="55" t="str">
        <f t="shared" si="27"/>
        <v/>
      </c>
      <c r="AW62" s="234"/>
      <c r="BP62" s="11"/>
    </row>
    <row r="63" ht="18.0" hidden="1" customHeight="1">
      <c r="A63" s="222">
        <f>IFERROR(__xludf.DUMMYFUNCTION("""COMPUTED_VALUE"""),2026.0)</f>
        <v>2026</v>
      </c>
      <c r="B63" s="221">
        <f>IFERROR(__xludf.DUMMYFUNCTION("""COMPUTED_VALUE"""),1.2446704E7)</f>
        <v>12446704</v>
      </c>
      <c r="C63" s="222" t="str">
        <f>IFERROR(__xludf.DUMMYFUNCTION("""COMPUTED_VALUE"""),"ACH PT3 TTN-FH UJUNG TANAH SAMADUA")</f>
        <v>ACH PT3 TTN-FH UJUNG TANAH SAMADUA</v>
      </c>
      <c r="D63" s="222" t="str">
        <f>IFERROR(__xludf.DUMMYFUNCTION("""COMPUTED_VALUE"""),"REGIONAL I")</f>
        <v>REGIONAL I</v>
      </c>
      <c r="E63" s="222" t="str">
        <f>IFERROR(__xludf.DUMMYFUNCTION("""COMPUTED_VALUE"""),"ACEH")</f>
        <v>ACEH</v>
      </c>
      <c r="F63" s="222" t="str">
        <f>IFERROR(__xludf.DUMMYFUNCTION("""COMPUTED_VALUE"""),"TTN")</f>
        <v>TTN</v>
      </c>
      <c r="G63" s="222" t="str">
        <f>IFERROR(__xludf.DUMMYFUNCTION("""COMPUTED_VALUE"""),"SUMBAGUT")</f>
        <v>SUMBAGUT</v>
      </c>
      <c r="H63" s="222" t="str">
        <f>IFERROR(__xludf.DUMMYFUNCTION("""COMPUTED_VALUE"""),"BANDA ACEH")</f>
        <v>BANDA ACEH</v>
      </c>
      <c r="I63" s="222" t="str">
        <f>IFERROR(__xludf.DUMMYFUNCTION("""COMPUTED_VALUE"""),"Batch 1")</f>
        <v>Batch 1</v>
      </c>
      <c r="J63" s="225">
        <f>IFERROR(__xludf.DUMMYFUNCTION("""COMPUTED_VALUE"""),6.0)</f>
        <v>6</v>
      </c>
      <c r="K63" s="224">
        <f>IFERROR(__xludf.DUMMYFUNCTION("""COMPUTED_VALUE"""),48.0)</f>
        <v>48</v>
      </c>
      <c r="L63" s="226">
        <f>IFERROR(__xludf.DUMMYFUNCTION("""COMPUTED_VALUE"""),625485.0)</f>
        <v>625485</v>
      </c>
      <c r="M63" s="227">
        <f>IFERROR(__xludf.DUMMYFUNCTION("""COMPUTED_VALUE"""),3.0023257E7)</f>
        <v>30023257</v>
      </c>
      <c r="N63" s="222" t="str">
        <f>IFERROR(__xludf.DUMMYFUNCTION("""COMPUTED_VALUE"""),"PT ASWA KARYA DIFA")</f>
        <v>PT ASWA KARYA DIFA</v>
      </c>
      <c r="O63" s="222" t="str">
        <f>IFERROR(__xludf.DUMMYFUNCTION("""COMPUTED_VALUE"""),"0. DROP")</f>
        <v>0. DROP</v>
      </c>
      <c r="P63" s="222" t="str">
        <f>IFERROR(__xludf.DUMMYFUNCTION("""COMPUTED_VALUE"""),"0.1 Double Order")</f>
        <v>0.1 Double Order</v>
      </c>
      <c r="Q63" s="222" t="str">
        <f>IFERROR(__xludf.DUMMYFUNCTION("""COMPUTED_VALUE"""),"(29/01) Done Aanwijzing , feeder tidak cukup (07/01) Persiapan")</f>
        <v>(29/01) Done Aanwijzing , feeder tidak cukup (07/01) Persiapan</v>
      </c>
      <c r="R63" s="228"/>
      <c r="S63" s="11"/>
      <c r="T63" s="11"/>
      <c r="U63" s="11"/>
      <c r="V63" s="229"/>
      <c r="W63" s="229"/>
      <c r="X63" s="229" t="str">
        <f>IFERROR(__xludf.DUMMYFUNCTION("""COMPUTED_VALUE"""),"BELUM GOLIVE")</f>
        <v>BELUM GOLIVE</v>
      </c>
      <c r="Y63" s="229"/>
      <c r="Z63" s="229" t="str">
        <f>IFERROR(__xludf.DUMMYFUNCTION("""COMPUTED_VALUE"""),"#N/A")</f>
        <v>#N/A</v>
      </c>
      <c r="AA63" s="229"/>
      <c r="AB63" s="229"/>
      <c r="AC63" s="229"/>
      <c r="AD63" s="232"/>
      <c r="AE63" s="233"/>
      <c r="AF63" s="54"/>
      <c r="AG63" s="54"/>
      <c r="AH63" s="54"/>
      <c r="AI63" s="55" t="str">
        <f t="shared" si="27"/>
        <v/>
      </c>
      <c r="AW63" s="234"/>
      <c r="BP63" s="11"/>
    </row>
    <row r="64" ht="18.0" hidden="1" customHeight="1">
      <c r="A64" s="222">
        <f>IFERROR(__xludf.DUMMYFUNCTION("""COMPUTED_VALUE"""),2026.0)</f>
        <v>2026</v>
      </c>
      <c r="B64" s="221">
        <f>IFERROR(__xludf.DUMMYFUNCTION("""COMPUTED_VALUE"""),1.2446732E7)</f>
        <v>12446732</v>
      </c>
      <c r="C64" s="222" t="str">
        <f>IFERROR(__xludf.DUMMYFUNCTION("""COMPUTED_VALUE"""),"ACH PT3 TTN-FB D08 LHOK BENGKUANG 3")</f>
        <v>ACH PT3 TTN-FB D08 LHOK BENGKUANG 3</v>
      </c>
      <c r="D64" s="222" t="str">
        <f>IFERROR(__xludf.DUMMYFUNCTION("""COMPUTED_VALUE"""),"REGIONAL I")</f>
        <v>REGIONAL I</v>
      </c>
      <c r="E64" s="222" t="str">
        <f>IFERROR(__xludf.DUMMYFUNCTION("""COMPUTED_VALUE"""),"ACEH")</f>
        <v>ACEH</v>
      </c>
      <c r="F64" s="222" t="str">
        <f>IFERROR(__xludf.DUMMYFUNCTION("""COMPUTED_VALUE"""),"TTN")</f>
        <v>TTN</v>
      </c>
      <c r="G64" s="222" t="str">
        <f>IFERROR(__xludf.DUMMYFUNCTION("""COMPUTED_VALUE"""),"SUMBAGUT")</f>
        <v>SUMBAGUT</v>
      </c>
      <c r="H64" s="222" t="str">
        <f>IFERROR(__xludf.DUMMYFUNCTION("""COMPUTED_VALUE"""),"BANDA ACEH")</f>
        <v>BANDA ACEH</v>
      </c>
      <c r="I64" s="222" t="str">
        <f>IFERROR(__xludf.DUMMYFUNCTION("""COMPUTED_VALUE"""),"Batch 1")</f>
        <v>Batch 1</v>
      </c>
      <c r="J64" s="225">
        <f>IFERROR(__xludf.DUMMYFUNCTION("""COMPUTED_VALUE"""),5.0)</f>
        <v>5</v>
      </c>
      <c r="K64" s="224">
        <f>IFERROR(__xludf.DUMMYFUNCTION("""COMPUTED_VALUE"""),40.0)</f>
        <v>40</v>
      </c>
      <c r="L64" s="226">
        <f>IFERROR(__xludf.DUMMYFUNCTION("""COMPUTED_VALUE"""),1221278.0)</f>
        <v>1221278</v>
      </c>
      <c r="M64" s="227">
        <f>IFERROR(__xludf.DUMMYFUNCTION("""COMPUTED_VALUE"""),4.8851083E7)</f>
        <v>48851083</v>
      </c>
      <c r="N64" s="222" t="str">
        <f>IFERROR(__xludf.DUMMYFUNCTION("""COMPUTED_VALUE"""),"PT ASWA KARYA DIFA")</f>
        <v>PT ASWA KARYA DIFA</v>
      </c>
      <c r="O64" s="222" t="str">
        <f>IFERROR(__xludf.DUMMYFUNCTION("""COMPUTED_VALUE"""),"7. GOLIVE")</f>
        <v>7. GOLIVE</v>
      </c>
      <c r="P64" s="222" t="str">
        <f>IFERROR(__xludf.DUMMYFUNCTION("""COMPUTED_VALUE"""),"7.2 Golive Full / OA / DONE OTB")</f>
        <v>7.2 Golive Full / OA / DONE OTB</v>
      </c>
      <c r="Q64" s="222" t="str">
        <f>IFERROR(__xludf.DUMMYFUNCTION("""COMPUTED_VALUE"""),"(10/03) Penarikan Kabel (27/02) Tanam Tiang (11/02) proses po material (22/01) Done Aanwijzing  (07/01) Persiapan")</f>
        <v>(10/03) Penarikan Kabel (27/02) Tanam Tiang (11/02) proses po material (22/01) Done Aanwijzing  (07/01) Persiapan</v>
      </c>
      <c r="R64" s="228">
        <f>IFERROR(__xludf.DUMMYFUNCTION("""COMPUTED_VALUE"""),46099.0)</f>
        <v>46099</v>
      </c>
      <c r="S64" s="11" t="str">
        <f>IFERROR(__xludf.DUMMYFUNCTION("""COMPUTED_VALUE"""),"MAR")</f>
        <v>MAR</v>
      </c>
      <c r="T64" s="11"/>
      <c r="U64" s="11"/>
      <c r="V64" s="229"/>
      <c r="W64" s="229"/>
      <c r="X64" s="229" t="str">
        <f>IFERROR(__xludf.DUMMYFUNCTION("""COMPUTED_VALUE"""),"GOLIVE")</f>
        <v>GOLIVE</v>
      </c>
      <c r="Y64" s="229" t="str">
        <f>IFERROR(__xludf.DUMMYFUNCTION("""COMPUTED_VALUE"""),"DONE")</f>
        <v>DONE</v>
      </c>
      <c r="Z64" s="229" t="str">
        <f>IFERROR(__xludf.DUMMYFUNCTION("""COMPUTED_VALUE"""),"#N/A")</f>
        <v>#N/A</v>
      </c>
      <c r="AA64" s="229">
        <f>IFERROR(__xludf.DUMMYFUNCTION("""COMPUTED_VALUE"""),5.0)</f>
        <v>5</v>
      </c>
      <c r="AB64" s="229"/>
      <c r="AC64" s="229" t="str">
        <f>IFERROR(__xludf.DUMMYFUNCTION("""COMPUTED_VALUE"""),"9203698#9203703")</f>
        <v>9203698#9203703</v>
      </c>
      <c r="AD64" s="232">
        <f>IFERROR(__xludf.DUMMYFUNCTION("""COMPUTED_VALUE"""),40.0)</f>
        <v>40</v>
      </c>
      <c r="AE64" s="233">
        <f>IFERROR(__xludf.DUMMYFUNCTION("""COMPUTED_VALUE"""),46094.0)</f>
        <v>46094</v>
      </c>
      <c r="AF64" s="54"/>
      <c r="AG64" s="54"/>
      <c r="AH64" s="54">
        <v>46099.0</v>
      </c>
      <c r="AI64" s="55">
        <f t="shared" si="27"/>
        <v>5</v>
      </c>
      <c r="AW64" s="234"/>
      <c r="BP64" s="11"/>
    </row>
    <row r="65" ht="18.0" hidden="1" customHeight="1">
      <c r="A65" s="222">
        <f>IFERROR(__xludf.DUMMYFUNCTION("""COMPUTED_VALUE"""),2026.0)</f>
        <v>2026</v>
      </c>
      <c r="B65" s="221">
        <f>IFERROR(__xludf.DUMMYFUNCTION("""COMPUTED_VALUE"""),1.2446758E7)</f>
        <v>12446758</v>
      </c>
      <c r="C65" s="222" t="str">
        <f>IFERROR(__xludf.DUMMYFUNCTION("""COMPUTED_VALUE"""),"ACH PT3 TTN-FB BR.D04 PASAR TTN")</f>
        <v>ACH PT3 TTN-FB BR.D04 PASAR TTN</v>
      </c>
      <c r="D65" s="222" t="str">
        <f>IFERROR(__xludf.DUMMYFUNCTION("""COMPUTED_VALUE"""),"REGIONAL I")</f>
        <v>REGIONAL I</v>
      </c>
      <c r="E65" s="222" t="str">
        <f>IFERROR(__xludf.DUMMYFUNCTION("""COMPUTED_VALUE"""),"ACEH")</f>
        <v>ACEH</v>
      </c>
      <c r="F65" s="222" t="str">
        <f>IFERROR(__xludf.DUMMYFUNCTION("""COMPUTED_VALUE"""),"TTN")</f>
        <v>TTN</v>
      </c>
      <c r="G65" s="222" t="str">
        <f>IFERROR(__xludf.DUMMYFUNCTION("""COMPUTED_VALUE"""),"SUMBAGUT")</f>
        <v>SUMBAGUT</v>
      </c>
      <c r="H65" s="222" t="str">
        <f>IFERROR(__xludf.DUMMYFUNCTION("""COMPUTED_VALUE"""),"BANDA ACEH")</f>
        <v>BANDA ACEH</v>
      </c>
      <c r="I65" s="222" t="str">
        <f>IFERROR(__xludf.DUMMYFUNCTION("""COMPUTED_VALUE"""),"Batch 1")</f>
        <v>Batch 1</v>
      </c>
      <c r="J65" s="225">
        <f>IFERROR(__xludf.DUMMYFUNCTION("""COMPUTED_VALUE"""),2.0)</f>
        <v>2</v>
      </c>
      <c r="K65" s="224">
        <f>IFERROR(__xludf.DUMMYFUNCTION("""COMPUTED_VALUE"""),16.0)</f>
        <v>16</v>
      </c>
      <c r="L65" s="226">
        <f>IFERROR(__xludf.DUMMYFUNCTION("""COMPUTED_VALUE"""),841229.0)</f>
        <v>841229</v>
      </c>
      <c r="M65" s="227">
        <f>IFERROR(__xludf.DUMMYFUNCTION("""COMPUTED_VALUE"""),1.3459661E7)</f>
        <v>13459661</v>
      </c>
      <c r="N65" s="222" t="str">
        <f>IFERROR(__xludf.DUMMYFUNCTION("""COMPUTED_VALUE"""),"PT ASWA KARYA DIFA")</f>
        <v>PT ASWA KARYA DIFA</v>
      </c>
      <c r="O65" s="222" t="str">
        <f>IFERROR(__xludf.DUMMYFUNCTION("""COMPUTED_VALUE"""),"7. GOLIVE")</f>
        <v>7. GOLIVE</v>
      </c>
      <c r="P65" s="222" t="str">
        <f>IFERROR(__xludf.DUMMYFUNCTION("""COMPUTED_VALUE"""),"7.2 Golive Full / OA / DONE OTB")</f>
        <v>7.2 Golive Full / OA / DONE OTB</v>
      </c>
      <c r="Q65" s="222" t="str">
        <f>IFERROR(__xludf.DUMMYFUNCTION("""COMPUTED_VALUE"""),"(10/03) Penarikan Kabel (03/03) proses tanam tiang (27/02) DelMat (11/02) proses po material (22/01) Done Aanwijzing  (07/01) Persiapan")</f>
        <v>(10/03) Penarikan Kabel (03/03) proses tanam tiang (27/02) DelMat (11/02) proses po material (22/01) Done Aanwijzing  (07/01) Persiapan</v>
      </c>
      <c r="R65" s="228">
        <f>IFERROR(__xludf.DUMMYFUNCTION("""COMPUTED_VALUE"""),46108.0)</f>
        <v>46108</v>
      </c>
      <c r="S65" s="11" t="str">
        <f>IFERROR(__xludf.DUMMYFUNCTION("""COMPUTED_VALUE"""),"MAR")</f>
        <v>MAR</v>
      </c>
      <c r="T65" s="11"/>
      <c r="U65" s="11"/>
      <c r="V65" s="229"/>
      <c r="W65" s="229"/>
      <c r="X65" s="229" t="str">
        <f>IFERROR(__xludf.DUMMYFUNCTION("""COMPUTED_VALUE"""),"GOLIVE")</f>
        <v>GOLIVE</v>
      </c>
      <c r="Y65" s="229" t="str">
        <f>IFERROR(__xludf.DUMMYFUNCTION("""COMPUTED_VALUE"""),"DONE")</f>
        <v>DONE</v>
      </c>
      <c r="Z65" s="229" t="str">
        <f>IFERROR(__xludf.DUMMYFUNCTION("""COMPUTED_VALUE"""),"#N/A")</f>
        <v>#N/A</v>
      </c>
      <c r="AA65" s="229">
        <f>IFERROR(__xludf.DUMMYFUNCTION("""COMPUTED_VALUE"""),2.0)</f>
        <v>2</v>
      </c>
      <c r="AB65" s="229"/>
      <c r="AC65" s="229" t="str">
        <f>IFERROR(__xludf.DUMMYFUNCTION("""COMPUTED_VALUE"""),"9209754#9209759")</f>
        <v>9209754#9209759</v>
      </c>
      <c r="AD65" s="232">
        <f>IFERROR(__xludf.DUMMYFUNCTION("""COMPUTED_VALUE"""),16.0)</f>
        <v>16</v>
      </c>
      <c r="AE65" s="233">
        <f>IFERROR(__xludf.DUMMYFUNCTION("""COMPUTED_VALUE"""),46097.0)</f>
        <v>46097</v>
      </c>
      <c r="AF65" s="54"/>
      <c r="AG65" s="54"/>
      <c r="AH65" s="54">
        <v>46108.0</v>
      </c>
      <c r="AI65" s="55">
        <f t="shared" si="27"/>
        <v>11</v>
      </c>
      <c r="AW65" s="234"/>
      <c r="BP65" s="11"/>
    </row>
    <row r="66" ht="18.0" hidden="1" customHeight="1">
      <c r="A66" s="222">
        <f>IFERROR(__xludf.DUMMYFUNCTION("""COMPUTED_VALUE"""),2026.0)</f>
        <v>2026</v>
      </c>
      <c r="B66" s="221">
        <f>IFERROR(__xludf.DUMMYFUNCTION("""COMPUTED_VALUE"""),1.2446918E7)</f>
        <v>12446918</v>
      </c>
      <c r="C66" s="222" t="str">
        <f>IFERROR(__xludf.DUMMYFUNCTION("""COMPUTED_VALUE"""),"MDN PT3 BJI-FTC 250_1599_1548")</f>
        <v>MDN PT3 BJI-FTC 250_1599_1548</v>
      </c>
      <c r="D66" s="222" t="str">
        <f>IFERROR(__xludf.DUMMYFUNCTION("""COMPUTED_VALUE"""),"REGIONAL I")</f>
        <v>REGIONAL I</v>
      </c>
      <c r="E66" s="222" t="str">
        <f>IFERROR(__xludf.DUMMYFUNCTION("""COMPUTED_VALUE"""),"MEDAN")</f>
        <v>MEDAN</v>
      </c>
      <c r="F66" s="222" t="str">
        <f>IFERROR(__xludf.DUMMYFUNCTION("""COMPUTED_VALUE"""),"BJI")</f>
        <v>BJI</v>
      </c>
      <c r="G66" s="222" t="str">
        <f>IFERROR(__xludf.DUMMYFUNCTION("""COMPUTED_VALUE"""),"SUMBAGUT")</f>
        <v>SUMBAGUT</v>
      </c>
      <c r="H66" s="222" t="str">
        <f>IFERROR(__xludf.DUMMYFUNCTION("""COMPUTED_VALUE"""),"BINJAI")</f>
        <v>BINJAI</v>
      </c>
      <c r="I66" s="222" t="str">
        <f>IFERROR(__xludf.DUMMYFUNCTION("""COMPUTED_VALUE"""),"Batch 1")</f>
        <v>Batch 1</v>
      </c>
      <c r="J66" s="225">
        <f>IFERROR(__xludf.DUMMYFUNCTION("""COMPUTED_VALUE"""),6.0)</f>
        <v>6</v>
      </c>
      <c r="K66" s="224">
        <f>IFERROR(__xludf.DUMMYFUNCTION("""COMPUTED_VALUE"""),48.0)</f>
        <v>48</v>
      </c>
      <c r="L66" s="226">
        <f>IFERROR(__xludf.DUMMYFUNCTION("""COMPUTED_VALUE"""),619900.0)</f>
        <v>619900</v>
      </c>
      <c r="M66" s="227">
        <f>IFERROR(__xludf.DUMMYFUNCTION("""COMPUTED_VALUE"""),2.9755185E7)</f>
        <v>29755185</v>
      </c>
      <c r="N66" s="222" t="str">
        <f>IFERROR(__xludf.DUMMYFUNCTION("""COMPUTED_VALUE"""),"PT KENCANA RAYA INDONESIA")</f>
        <v>PT KENCANA RAYA INDONESIA</v>
      </c>
      <c r="O66" s="222" t="str">
        <f>IFERROR(__xludf.DUMMYFUNCTION("""COMPUTED_VALUE"""),"0. DROP")</f>
        <v>0. DROP</v>
      </c>
      <c r="P66" s="222" t="str">
        <f>IFERROR(__xludf.DUMMYFUNCTION("""COMPUTED_VALUE"""),"0.1 Double Order")</f>
        <v>0.1 Double Order</v>
      </c>
      <c r="Q66" s="222" t="str">
        <f>IFERROR(__xludf.DUMMYFUNCTION("""COMPUTED_VALUE"""),"20/04 Sudah tercover alpro existing
14/02 feeder ready
(07/01) Persiapan")</f>
        <v>20/04 Sudah tercover alpro existing
14/02 feeder ready
(07/01) Persiapan</v>
      </c>
      <c r="R66" s="228"/>
      <c r="S66" s="11"/>
      <c r="T66" s="73"/>
      <c r="U66" s="11"/>
      <c r="V66" s="229" t="str">
        <f>IFERROR(__xludf.DUMMYFUNCTION("""COMPUTED_VALUE"""),"28/Apr/2026")</f>
        <v>28/Apr/2026</v>
      </c>
      <c r="W66" s="229"/>
      <c r="X66" s="229" t="str">
        <f>IFERROR(__xludf.DUMMYFUNCTION("""COMPUTED_VALUE"""),"BELUM GOLIVE")</f>
        <v>BELUM GOLIVE</v>
      </c>
      <c r="Y66" s="229"/>
      <c r="Z66" s="229" t="str">
        <f>IFERROR(__xludf.DUMMYFUNCTION("""COMPUTED_VALUE"""),"#N/A")</f>
        <v>#N/A</v>
      </c>
      <c r="AA66" s="229"/>
      <c r="AB66" s="229"/>
      <c r="AC66" s="229"/>
      <c r="AD66" s="232"/>
      <c r="AE66" s="233"/>
      <c r="AF66" s="54"/>
      <c r="AG66" s="54"/>
      <c r="AH66" s="54"/>
      <c r="AI66" s="55" t="str">
        <f t="shared" si="27"/>
        <v/>
      </c>
      <c r="AW66" s="234"/>
      <c r="BP66" s="11"/>
    </row>
    <row r="67" ht="21.0" hidden="1" customHeight="1">
      <c r="A67" s="222">
        <f>IFERROR(__xludf.DUMMYFUNCTION("""COMPUTED_VALUE"""),2026.0)</f>
        <v>2026</v>
      </c>
      <c r="B67" s="221">
        <f>IFERROR(__xludf.DUMMYFUNCTION("""COMPUTED_VALUE"""),1.24709E7)</f>
        <v>12470900</v>
      </c>
      <c r="C67" s="222" t="str">
        <f>IFERROR(__xludf.DUMMYFUNCTION("""COMPUTED_VALUE"""),"MDN PT3 TJR-FAN 250_1548_1693")</f>
        <v>MDN PT3 TJR-FAN 250_1548_1693</v>
      </c>
      <c r="D67" s="222" t="str">
        <f>IFERROR(__xludf.DUMMYFUNCTION("""COMPUTED_VALUE"""),"REGIONAL I")</f>
        <v>REGIONAL I</v>
      </c>
      <c r="E67" s="222" t="str">
        <f>IFERROR(__xludf.DUMMYFUNCTION("""COMPUTED_VALUE"""),"MEDAN")</f>
        <v>MEDAN</v>
      </c>
      <c r="F67" s="222" t="str">
        <f>IFERROR(__xludf.DUMMYFUNCTION("""COMPUTED_VALUE"""),"TJR")</f>
        <v>TJR</v>
      </c>
      <c r="G67" s="222" t="str">
        <f>IFERROR(__xludf.DUMMYFUNCTION("""COMPUTED_VALUE"""),"SUMBAGUT")</f>
        <v>SUMBAGUT</v>
      </c>
      <c r="H67" s="222" t="str">
        <f>IFERROR(__xludf.DUMMYFUNCTION("""COMPUTED_VALUE"""),"MEDAN")</f>
        <v>MEDAN</v>
      </c>
      <c r="I67" s="222" t="str">
        <f>IFERROR(__xludf.DUMMYFUNCTION("""COMPUTED_VALUE"""),"Batch 1")</f>
        <v>Batch 1</v>
      </c>
      <c r="J67" s="225">
        <f>IFERROR(__xludf.DUMMYFUNCTION("""COMPUTED_VALUE"""),2.0)</f>
        <v>2</v>
      </c>
      <c r="K67" s="224">
        <f>IFERROR(__xludf.DUMMYFUNCTION("""COMPUTED_VALUE"""),16.0)</f>
        <v>16</v>
      </c>
      <c r="L67" s="226">
        <f>IFERROR(__xludf.DUMMYFUNCTION("""COMPUTED_VALUE"""),596754.0)</f>
        <v>596754</v>
      </c>
      <c r="M67" s="227">
        <f>IFERROR(__xludf.DUMMYFUNCTION("""COMPUTED_VALUE"""),9548050.0)</f>
        <v>9548050</v>
      </c>
      <c r="N67" s="222" t="str">
        <f>IFERROR(__xludf.DUMMYFUNCTION("""COMPUTED_VALUE"""),"PT UPAYA TEKNIK")</f>
        <v>PT UPAYA TEKNIK</v>
      </c>
      <c r="O67" s="222" t="str">
        <f>IFERROR(__xludf.DUMMYFUNCTION("""COMPUTED_VALUE"""),"0. DROP")</f>
        <v>0. DROP</v>
      </c>
      <c r="P67" s="222" t="str">
        <f>IFERROR(__xludf.DUMMYFUNCTION("""COMPUTED_VALUE"""),"0.1 Double Order")</f>
        <v>0.1 Double Order</v>
      </c>
      <c r="Q67" s="222" t="str">
        <f>IFERROR(__xludf.DUMMYFUNCTION("""COMPUTED_VALUE"""),"25/02 TJR-FAN D02 tdk tembus
(07/01) Persiapan")</f>
        <v>25/02 TJR-FAN D02 tdk tembus
(07/01) Persiapan</v>
      </c>
      <c r="R67" s="228"/>
      <c r="S67" s="11"/>
      <c r="T67" s="11"/>
      <c r="U67" s="11"/>
      <c r="V67" s="229"/>
      <c r="W67" s="229"/>
      <c r="X67" s="229" t="str">
        <f>IFERROR(__xludf.DUMMYFUNCTION("""COMPUTED_VALUE"""),"BELUM GOLIVE")</f>
        <v>BELUM GOLIVE</v>
      </c>
      <c r="Y67" s="229"/>
      <c r="Z67" s="229" t="str">
        <f>IFERROR(__xludf.DUMMYFUNCTION("""COMPUTED_VALUE"""),"#N/A")</f>
        <v>#N/A</v>
      </c>
      <c r="AA67" s="229"/>
      <c r="AB67" s="229"/>
      <c r="AC67" s="229"/>
      <c r="AD67" s="232"/>
      <c r="AE67" s="233"/>
      <c r="AF67" s="54"/>
      <c r="AG67" s="54"/>
      <c r="AH67" s="54"/>
      <c r="AI67" s="55" t="str">
        <f t="shared" si="27"/>
        <v/>
      </c>
      <c r="AW67" s="234"/>
      <c r="BP67" s="11"/>
    </row>
    <row r="68" ht="18.0" hidden="1" customHeight="1">
      <c r="A68" s="222">
        <f>IFERROR(__xludf.DUMMYFUNCTION("""COMPUTED_VALUE"""),2026.0)</f>
        <v>2026</v>
      </c>
      <c r="B68" s="221">
        <f>IFERROR(__xludf.DUMMYFUNCTION("""COMPUTED_VALUE"""),1.2472617E7)</f>
        <v>12472617</v>
      </c>
      <c r="C68" s="222" t="str">
        <f>IFERROR(__xludf.DUMMYFUNCTION("""COMPUTED_VALUE"""),"SMU 250_1499_1716")</f>
        <v>SMU 250_1499_1716</v>
      </c>
      <c r="D68" s="222" t="str">
        <f>IFERROR(__xludf.DUMMYFUNCTION("""COMPUTED_VALUE"""),"REGIONAL I")</f>
        <v>REGIONAL I</v>
      </c>
      <c r="E68" s="222" t="str">
        <f>IFERROR(__xludf.DUMMYFUNCTION("""COMPUTED_VALUE"""),"MEDAN")</f>
        <v>MEDAN</v>
      </c>
      <c r="F68" s="222" t="str">
        <f>IFERROR(__xludf.DUMMYFUNCTION("""COMPUTED_VALUE"""),"GLG")</f>
        <v>GLG</v>
      </c>
      <c r="G68" s="222" t="str">
        <f>IFERROR(__xludf.DUMMYFUNCTION("""COMPUTED_VALUE"""),"SUMBAGUT")</f>
        <v>SUMBAGUT</v>
      </c>
      <c r="H68" s="222" t="str">
        <f>IFERROR(__xludf.DUMMYFUNCTION("""COMPUTED_VALUE"""),"MEDAN")</f>
        <v>MEDAN</v>
      </c>
      <c r="I68" s="222" t="str">
        <f>IFERROR(__xludf.DUMMYFUNCTION("""COMPUTED_VALUE"""),"Batch 1")</f>
        <v>Batch 1</v>
      </c>
      <c r="J68" s="225">
        <f>IFERROR(__xludf.DUMMYFUNCTION("""COMPUTED_VALUE"""),4.0)</f>
        <v>4</v>
      </c>
      <c r="K68" s="224">
        <f>IFERROR(__xludf.DUMMYFUNCTION("""COMPUTED_VALUE"""),32.0)</f>
        <v>32</v>
      </c>
      <c r="L68" s="226">
        <f>IFERROR(__xludf.DUMMYFUNCTION("""COMPUTED_VALUE"""),588744.0)</f>
        <v>588744</v>
      </c>
      <c r="M68" s="227">
        <f>IFERROR(__xludf.DUMMYFUNCTION("""COMPUTED_VALUE"""),1.88398E7)</f>
        <v>18839800</v>
      </c>
      <c r="N68" s="222" t="str">
        <f>IFERROR(__xludf.DUMMYFUNCTION("""COMPUTED_VALUE"""),"PT NIAGA NUSANTARA DIVA")</f>
        <v>PT NIAGA NUSANTARA DIVA</v>
      </c>
      <c r="O68" s="222" t="str">
        <f>IFERROR(__xludf.DUMMYFUNCTION("""COMPUTED_VALUE"""),"0. DROP")</f>
        <v>0. DROP</v>
      </c>
      <c r="P68" s="222" t="str">
        <f>IFERROR(__xludf.DUMMYFUNCTION("""COMPUTED_VALUE"""),"0.1 Double Order")</f>
        <v>0.1 Double Order</v>
      </c>
      <c r="Q68" s="222" t="str">
        <f>IFERROR(__xludf.DUMMYFUNCTION("""COMPUTED_VALUE"""),"05/02 GLG-FF feeder redti/rusak
(08/01) kendala feeder penuh.  BUTUH NEW FEEDER SLK-FE (07/01) Persiapan")</f>
        <v>05/02 GLG-FF feeder redti/rusak
(08/01) kendala feeder penuh.  BUTUH NEW FEEDER SLK-FE (07/01) Persiapan</v>
      </c>
      <c r="R68" s="228"/>
      <c r="S68" s="11"/>
      <c r="T68" s="11"/>
      <c r="U68" s="11"/>
      <c r="V68" s="229"/>
      <c r="W68" s="229"/>
      <c r="X68" s="229" t="str">
        <f>IFERROR(__xludf.DUMMYFUNCTION("""COMPUTED_VALUE"""),"BELUM GOLIVE")</f>
        <v>BELUM GOLIVE</v>
      </c>
      <c r="Y68" s="229"/>
      <c r="Z68" s="229" t="str">
        <f>IFERROR(__xludf.DUMMYFUNCTION("""COMPUTED_VALUE"""),"#N/A")</f>
        <v>#N/A</v>
      </c>
      <c r="AA68" s="229"/>
      <c r="AB68" s="229"/>
      <c r="AC68" s="229"/>
      <c r="AD68" s="232"/>
      <c r="AE68" s="233"/>
      <c r="AF68" s="54"/>
      <c r="AG68" s="54"/>
      <c r="AH68" s="54"/>
      <c r="AI68" s="55" t="str">
        <f t="shared" si="27"/>
        <v/>
      </c>
      <c r="AW68" s="234"/>
      <c r="BP68" s="11"/>
    </row>
    <row r="69" ht="18.0" hidden="1" customHeight="1">
      <c r="A69" s="222">
        <f>IFERROR(__xludf.DUMMYFUNCTION("""COMPUTED_VALUE"""),2026.0)</f>
        <v>2026</v>
      </c>
      <c r="B69" s="221">
        <f>IFERROR(__xludf.DUMMYFUNCTION("""COMPUTED_VALUE"""),1.2472802E7)</f>
        <v>12472802</v>
      </c>
      <c r="C69" s="222" t="str">
        <f>IFERROR(__xludf.DUMMYFUNCTION("""COMPUTED_VALUE"""),"SMU 250_1523_1757")</f>
        <v>SMU 250_1523_1757</v>
      </c>
      <c r="D69" s="222" t="str">
        <f>IFERROR(__xludf.DUMMYFUNCTION("""COMPUTED_VALUE"""),"REGIONAL I")</f>
        <v>REGIONAL I</v>
      </c>
      <c r="E69" s="222" t="str">
        <f>IFERROR(__xludf.DUMMYFUNCTION("""COMPUTED_VALUE"""),"MEDAN")</f>
        <v>MEDAN</v>
      </c>
      <c r="F69" s="222" t="str">
        <f>IFERROR(__xludf.DUMMYFUNCTION("""COMPUTED_VALUE"""),"GLG")</f>
        <v>GLG</v>
      </c>
      <c r="G69" s="222" t="str">
        <f>IFERROR(__xludf.DUMMYFUNCTION("""COMPUTED_VALUE"""),"SUMBAGUT")</f>
        <v>SUMBAGUT</v>
      </c>
      <c r="H69" s="222" t="str">
        <f>IFERROR(__xludf.DUMMYFUNCTION("""COMPUTED_VALUE"""),"MEDAN")</f>
        <v>MEDAN</v>
      </c>
      <c r="I69" s="222" t="str">
        <f>IFERROR(__xludf.DUMMYFUNCTION("""COMPUTED_VALUE"""),"Batch 1")</f>
        <v>Batch 1</v>
      </c>
      <c r="J69" s="225">
        <f>IFERROR(__xludf.DUMMYFUNCTION("""COMPUTED_VALUE"""),4.0)</f>
        <v>4</v>
      </c>
      <c r="K69" s="224">
        <f>IFERROR(__xludf.DUMMYFUNCTION("""COMPUTED_VALUE"""),32.0)</f>
        <v>32</v>
      </c>
      <c r="L69" s="226">
        <f>IFERROR(__xludf.DUMMYFUNCTION("""COMPUTED_VALUE"""),382858.0)</f>
        <v>382858</v>
      </c>
      <c r="M69" s="227">
        <f>IFERROR(__xludf.DUMMYFUNCTION("""COMPUTED_VALUE"""),1.2251447E7)</f>
        <v>12251447</v>
      </c>
      <c r="N69" s="222" t="str">
        <f>IFERROR(__xludf.DUMMYFUNCTION("""COMPUTED_VALUE"""),"PT NIAGA NUSANTARA DIVA")</f>
        <v>PT NIAGA NUSANTARA DIVA</v>
      </c>
      <c r="O69" s="222" t="str">
        <f>IFERROR(__xludf.DUMMYFUNCTION("""COMPUTED_VALUE"""),"0. DROP")</f>
        <v>0. DROP</v>
      </c>
      <c r="P69" s="222" t="str">
        <f>IFERROR(__xludf.DUMMYFUNCTION("""COMPUTED_VALUE"""),"0.3 Feeder Full")</f>
        <v>0.3 Feeder Full</v>
      </c>
      <c r="Q69" s="222" t="str">
        <f>IFERROR(__xludf.DUMMYFUNCTION("""COMPUTED_VALUE"""),"05/03 redisgn
05/02 dist ready 3 krg 1 core")</f>
        <v>05/03 redisgn
05/02 dist ready 3 krg 1 core</v>
      </c>
      <c r="R69" s="228"/>
      <c r="S69" s="11"/>
      <c r="T69" s="11"/>
      <c r="U69" s="11"/>
      <c r="V69" s="229"/>
      <c r="W69" s="229"/>
      <c r="X69" s="229" t="str">
        <f>IFERROR(__xludf.DUMMYFUNCTION("""COMPUTED_VALUE"""),"BELUM GOLIVE")</f>
        <v>BELUM GOLIVE</v>
      </c>
      <c r="Y69" s="229"/>
      <c r="Z69" s="229" t="str">
        <f>IFERROR(__xludf.DUMMYFUNCTION("""COMPUTED_VALUE"""),"#N/A")</f>
        <v>#N/A</v>
      </c>
      <c r="AA69" s="229"/>
      <c r="AB69" s="229"/>
      <c r="AC69" s="229"/>
      <c r="AD69" s="232"/>
      <c r="AE69" s="233"/>
      <c r="AF69" s="54"/>
      <c r="AG69" s="54"/>
      <c r="AH69" s="54"/>
      <c r="AI69" s="55" t="str">
        <f t="shared" si="27"/>
        <v/>
      </c>
      <c r="AW69" s="234"/>
      <c r="BP69" s="11"/>
    </row>
    <row r="70" ht="18.75" hidden="1" customHeight="1">
      <c r="A70" s="222">
        <f>IFERROR(__xludf.DUMMYFUNCTION("""COMPUTED_VALUE"""),2026.0)</f>
        <v>2026</v>
      </c>
      <c r="B70" s="221">
        <f>IFERROR(__xludf.DUMMYFUNCTION("""COMPUTED_VALUE"""),1.2187304E7)</f>
        <v>12187304</v>
      </c>
      <c r="C70" s="222" t="str">
        <f>IFERROR(__xludf.DUMMYFUNCTION("""COMPUTED_VALUE"""),"MDN PT3 PER-FF SERDANG BEDAGAI_117027")</f>
        <v>MDN PT3 PER-FF SERDANG BEDAGAI_117027</v>
      </c>
      <c r="D70" s="222" t="str">
        <f>IFERROR(__xludf.DUMMYFUNCTION("""COMPUTED_VALUE"""),"REGIONAL I")</f>
        <v>REGIONAL I</v>
      </c>
      <c r="E70" s="222" t="str">
        <f>IFERROR(__xludf.DUMMYFUNCTION("""COMPUTED_VALUE"""),"MEDAN")</f>
        <v>MEDAN</v>
      </c>
      <c r="F70" s="222" t="str">
        <f>IFERROR(__xludf.DUMMYFUNCTION("""COMPUTED_VALUE"""),"PER")</f>
        <v>PER</v>
      </c>
      <c r="G70" s="222" t="str">
        <f>IFERROR(__xludf.DUMMYFUNCTION("""COMPUTED_VALUE"""),"SUMBAGUT")</f>
        <v>SUMBAGUT</v>
      </c>
      <c r="H70" s="222" t="str">
        <f>IFERROR(__xludf.DUMMYFUNCTION("""COMPUTED_VALUE"""),"PEMATANG SIANTAR")</f>
        <v>PEMATANG SIANTAR</v>
      </c>
      <c r="I70" s="222" t="str">
        <f>IFERROR(__xludf.DUMMYFUNCTION("""COMPUTED_VALUE"""),"Batch 1")</f>
        <v>Batch 1</v>
      </c>
      <c r="J70" s="225">
        <f>IFERROR(__xludf.DUMMYFUNCTION("""COMPUTED_VALUE"""),4.0)</f>
        <v>4</v>
      </c>
      <c r="K70" s="224">
        <f>IFERROR(__xludf.DUMMYFUNCTION("""COMPUTED_VALUE"""),32.0)</f>
        <v>32</v>
      </c>
      <c r="L70" s="226">
        <f>IFERROR(__xludf.DUMMYFUNCTION("""COMPUTED_VALUE"""),1370907.0)</f>
        <v>1370907</v>
      </c>
      <c r="M70" s="227">
        <f>IFERROR(__xludf.DUMMYFUNCTION("""COMPUTED_VALUE"""),4.3869003E7)</f>
        <v>43869003</v>
      </c>
      <c r="N70" s="222" t="str">
        <f>IFERROR(__xludf.DUMMYFUNCTION("""COMPUTED_VALUE"""),"PT INNANDA INDAH")</f>
        <v>PT INNANDA INDAH</v>
      </c>
      <c r="O70" s="222" t="str">
        <f>IFERROR(__xludf.DUMMYFUNCTION("""COMPUTED_VALUE"""),"0. DROP")</f>
        <v>0. DROP</v>
      </c>
      <c r="P70" s="222" t="str">
        <f>IFERROR(__xludf.DUMMYFUNCTION("""COMPUTED_VALUE"""),"0.4 CPP Tinggi Acc ED TIF")</f>
        <v>0.4 CPP Tinggi Acc ED TIF</v>
      </c>
      <c r="Q70" s="222" t="str">
        <f>IFERROR(__xludf.DUMMYFUNCTION("""COMPUTED_VALUE"""),"3/3 meeting ED1-ED-RSBU-TA1: drop cpp tinggi 08/02 ODC pole tiang blum di cek mitra
(07/01) Persiapan")</f>
        <v>3/3 meeting ED1-ED-RSBU-TA1: drop cpp tinggi 08/02 ODC pole tiang blum di cek mitra
(07/01) Persiapan</v>
      </c>
      <c r="R70" s="228"/>
      <c r="S70" s="11"/>
      <c r="T70" s="11"/>
      <c r="U70" s="11"/>
      <c r="V70" s="229"/>
      <c r="W70" s="229"/>
      <c r="X70" s="229" t="str">
        <f>IFERROR(__xludf.DUMMYFUNCTION("""COMPUTED_VALUE"""),"BELUM GOLIVE")</f>
        <v>BELUM GOLIVE</v>
      </c>
      <c r="Y70" s="229"/>
      <c r="Z70" s="229" t="str">
        <f>IFERROR(__xludf.DUMMYFUNCTION("""COMPUTED_VALUE"""),"#N/A")</f>
        <v>#N/A</v>
      </c>
      <c r="AA70" s="229"/>
      <c r="AB70" s="229"/>
      <c r="AC70" s="229"/>
      <c r="AD70" s="232"/>
      <c r="AE70" s="233"/>
      <c r="AF70" s="54" t="str">
        <f>IFERROR(__xludf.DUMMYFUNCTION("""COMPUTED_VALUE"""),"Draft BA DROP")</f>
        <v>Draft BA DROP</v>
      </c>
      <c r="AG70" s="54"/>
      <c r="AH70" s="54"/>
      <c r="AI70" s="55" t="str">
        <f t="shared" si="27"/>
        <v/>
      </c>
      <c r="AW70" s="234"/>
      <c r="BP70" s="11"/>
    </row>
    <row r="71" hidden="1">
      <c r="A71" s="222">
        <f>IFERROR(__xludf.DUMMYFUNCTION("""COMPUTED_VALUE"""),2026.0)</f>
        <v>2026</v>
      </c>
      <c r="B71" s="221">
        <f>IFERROR(__xludf.DUMMYFUNCTION("""COMPUTED_VALUE"""),1.2187871E7)</f>
        <v>12187871</v>
      </c>
      <c r="C71" s="222" t="str">
        <f>IFERROR(__xludf.DUMMYFUNCTION("""COMPUTED_VALUE"""),"MDN PT3 PER-FAB SERDANG BEDAGAI_27507")</f>
        <v>MDN PT3 PER-FAB SERDANG BEDAGAI_27507</v>
      </c>
      <c r="D71" s="222" t="str">
        <f>IFERROR(__xludf.DUMMYFUNCTION("""COMPUTED_VALUE"""),"REGIONAL I")</f>
        <v>REGIONAL I</v>
      </c>
      <c r="E71" s="222" t="str">
        <f>IFERROR(__xludf.DUMMYFUNCTION("""COMPUTED_VALUE"""),"MEDAN")</f>
        <v>MEDAN</v>
      </c>
      <c r="F71" s="222" t="str">
        <f>IFERROR(__xludf.DUMMYFUNCTION("""COMPUTED_VALUE"""),"PER")</f>
        <v>PER</v>
      </c>
      <c r="G71" s="222" t="str">
        <f>IFERROR(__xludf.DUMMYFUNCTION("""COMPUTED_VALUE"""),"SUMBAGUT")</f>
        <v>SUMBAGUT</v>
      </c>
      <c r="H71" s="222" t="str">
        <f>IFERROR(__xludf.DUMMYFUNCTION("""COMPUTED_VALUE"""),"PEMATANG SIANTAR")</f>
        <v>PEMATANG SIANTAR</v>
      </c>
      <c r="I71" s="222" t="str">
        <f>IFERROR(__xludf.DUMMYFUNCTION("""COMPUTED_VALUE"""),"Batch 1")</f>
        <v>Batch 1</v>
      </c>
      <c r="J71" s="225">
        <f>IFERROR(__xludf.DUMMYFUNCTION("""COMPUTED_VALUE"""),8.0)</f>
        <v>8</v>
      </c>
      <c r="K71" s="224">
        <f>IFERROR(__xludf.DUMMYFUNCTION("""COMPUTED_VALUE"""),64.0)</f>
        <v>64</v>
      </c>
      <c r="L71" s="226">
        <f>IFERROR(__xludf.DUMMYFUNCTION("""COMPUTED_VALUE"""),1366255.0)</f>
        <v>1366255</v>
      </c>
      <c r="M71" s="227">
        <f>IFERROR(__xludf.DUMMYFUNCTION("""COMPUTED_VALUE"""),8.744028E7)</f>
        <v>87440280</v>
      </c>
      <c r="N71" s="222" t="str">
        <f>IFERROR(__xludf.DUMMYFUNCTION("""COMPUTED_VALUE"""),"PT INNANDA INDAH")</f>
        <v>PT INNANDA INDAH</v>
      </c>
      <c r="O71" s="222" t="str">
        <f>IFERROR(__xludf.DUMMYFUNCTION("""COMPUTED_VALUE"""),"0. DROP")</f>
        <v>0. DROP</v>
      </c>
      <c r="P71" s="222" t="str">
        <f>IFERROR(__xludf.DUMMYFUNCTION("""COMPUTED_VALUE"""),"0.4 CPP Tinggi Acc ED TIF")</f>
        <v>0.4 CPP Tinggi Acc ED TIF</v>
      </c>
      <c r="Q71" s="222" t="str">
        <f>IFERROR(__xludf.DUMMYFUNCTION("""COMPUTED_VALUE"""),"3/3 meeting ED1-ED-RSBU-TA1: drop cpp tinggi 09/02 feeder redti
(08/01) Menunggu PO HDPE dan pedestal , tanam tiang , tanam tiang , matdel WH ke site (07/01) valins (07/01) Persiapan")</f>
        <v>3/3 meeting ED1-ED-RSBU-TA1: drop cpp tinggi 09/02 feeder redti
(08/01) Menunggu PO HDPE dan pedestal , tanam tiang , tanam tiang , matdel WH ke site (07/01) valins (07/01) Persiapan</v>
      </c>
      <c r="R71" s="228"/>
      <c r="S71" s="11"/>
      <c r="T71" s="11"/>
      <c r="U71" s="11"/>
      <c r="V71" s="229"/>
      <c r="W71" s="229"/>
      <c r="X71" s="229" t="str">
        <f>IFERROR(__xludf.DUMMYFUNCTION("""COMPUTED_VALUE"""),"BELUM GOLIVE")</f>
        <v>BELUM GOLIVE</v>
      </c>
      <c r="Y71" s="229"/>
      <c r="Z71" s="229" t="str">
        <f>IFERROR(__xludf.DUMMYFUNCTION("""COMPUTED_VALUE"""),"#N/A")</f>
        <v>#N/A</v>
      </c>
      <c r="AA71" s="229"/>
      <c r="AB71" s="229"/>
      <c r="AC71" s="229"/>
      <c r="AD71" s="232"/>
      <c r="AE71" s="233"/>
      <c r="AF71" s="54" t="str">
        <f>IFERROR(__xludf.DUMMYFUNCTION("""COMPUTED_VALUE"""),"Draft BA DROP")</f>
        <v>Draft BA DROP</v>
      </c>
      <c r="AG71" s="54"/>
      <c r="AH71" s="54"/>
      <c r="AI71" s="55" t="str">
        <f t="shared" si="27"/>
        <v/>
      </c>
      <c r="AW71" s="234"/>
      <c r="BP71" s="11"/>
    </row>
    <row r="72" ht="18.0" hidden="1" customHeight="1">
      <c r="A72" s="222">
        <f>IFERROR(__xludf.DUMMYFUNCTION("""COMPUTED_VALUE"""),2026.0)</f>
        <v>2026</v>
      </c>
      <c r="B72" s="221">
        <f>IFERROR(__xludf.DUMMYFUNCTION("""COMPUTED_VALUE"""),1.2189254E7)</f>
        <v>12189254</v>
      </c>
      <c r="C72" s="222" t="str">
        <f>IFERROR(__xludf.DUMMYFUNCTION("""COMPUTED_VALUE"""),"MDN PT3 PER-FN SERDANG BEDAGAI_46094")</f>
        <v>MDN PT3 PER-FN SERDANG BEDAGAI_46094</v>
      </c>
      <c r="D72" s="222" t="str">
        <f>IFERROR(__xludf.DUMMYFUNCTION("""COMPUTED_VALUE"""),"REGIONAL I")</f>
        <v>REGIONAL I</v>
      </c>
      <c r="E72" s="222" t="str">
        <f>IFERROR(__xludf.DUMMYFUNCTION("""COMPUTED_VALUE"""),"MEDAN")</f>
        <v>MEDAN</v>
      </c>
      <c r="F72" s="222" t="str">
        <f>IFERROR(__xludf.DUMMYFUNCTION("""COMPUTED_VALUE"""),"PER")</f>
        <v>PER</v>
      </c>
      <c r="G72" s="222" t="str">
        <f>IFERROR(__xludf.DUMMYFUNCTION("""COMPUTED_VALUE"""),"SUMBAGUT")</f>
        <v>SUMBAGUT</v>
      </c>
      <c r="H72" s="222" t="str">
        <f>IFERROR(__xludf.DUMMYFUNCTION("""COMPUTED_VALUE"""),"PEMATANG SIANTAR")</f>
        <v>PEMATANG SIANTAR</v>
      </c>
      <c r="I72" s="222" t="str">
        <f>IFERROR(__xludf.DUMMYFUNCTION("""COMPUTED_VALUE"""),"Batch 1")</f>
        <v>Batch 1</v>
      </c>
      <c r="J72" s="225">
        <f>IFERROR(__xludf.DUMMYFUNCTION("""COMPUTED_VALUE"""),3.0)</f>
        <v>3</v>
      </c>
      <c r="K72" s="224">
        <f>IFERROR(__xludf.DUMMYFUNCTION("""COMPUTED_VALUE"""),24.0)</f>
        <v>24</v>
      </c>
      <c r="L72" s="226">
        <f>IFERROR(__xludf.DUMMYFUNCTION("""COMPUTED_VALUE"""),554240.0)</f>
        <v>554240</v>
      </c>
      <c r="M72" s="227">
        <f>IFERROR(__xludf.DUMMYFUNCTION("""COMPUTED_VALUE"""),1.3301754E7)</f>
        <v>13301754</v>
      </c>
      <c r="N72" s="222" t="str">
        <f>IFERROR(__xludf.DUMMYFUNCTION("""COMPUTED_VALUE"""),"PT INNANDA INDAH")</f>
        <v>PT INNANDA INDAH</v>
      </c>
      <c r="O72" s="222" t="str">
        <f>IFERROR(__xludf.DUMMYFUNCTION("""COMPUTED_VALUE"""),"0. DROP")</f>
        <v>0. DROP</v>
      </c>
      <c r="P72" s="222" t="str">
        <f>IFERROR(__xludf.DUMMYFUNCTION("""COMPUTED_VALUE"""),"0.3 Feeder Full")</f>
        <v>0.3 Feeder Full</v>
      </c>
      <c r="Q72" s="222" t="str">
        <f>IFERROR(__xludf.DUMMYFUNCTION("""COMPUTED_VALUE"""),"(08/01) feeder TRS-FA Full 02/10 : proses aanwijziing (07/01) Persiapan")</f>
        <v>(08/01) feeder TRS-FA Full 02/10 : proses aanwijziing (07/01) Persiapan</v>
      </c>
      <c r="R72" s="228"/>
      <c r="S72" s="11"/>
      <c r="T72" s="11"/>
      <c r="U72" s="11"/>
      <c r="V72" s="229"/>
      <c r="W72" s="229"/>
      <c r="X72" s="229" t="str">
        <f>IFERROR(__xludf.DUMMYFUNCTION("""COMPUTED_VALUE"""),"BELUM GOLIVE")</f>
        <v>BELUM GOLIVE</v>
      </c>
      <c r="Y72" s="229"/>
      <c r="Z72" s="229" t="str">
        <f>IFERROR(__xludf.DUMMYFUNCTION("""COMPUTED_VALUE"""),"#N/A")</f>
        <v>#N/A</v>
      </c>
      <c r="AA72" s="229"/>
      <c r="AB72" s="229"/>
      <c r="AC72" s="229"/>
      <c r="AD72" s="232"/>
      <c r="AE72" s="233"/>
      <c r="AF72" s="54"/>
      <c r="AG72" s="54"/>
      <c r="AH72" s="54"/>
      <c r="AI72" s="55" t="str">
        <f t="shared" si="27"/>
        <v/>
      </c>
      <c r="AW72" s="234"/>
      <c r="BP72" s="11"/>
    </row>
    <row r="73" ht="18.0" hidden="1" customHeight="1">
      <c r="A73" s="222">
        <f>IFERROR(__xludf.DUMMYFUNCTION("""COMPUTED_VALUE"""),2026.0)</f>
        <v>2026</v>
      </c>
      <c r="B73" s="221">
        <f>IFERROR(__xludf.DUMMYFUNCTION("""COMPUTED_VALUE"""),1.2189449E7)</f>
        <v>12189449</v>
      </c>
      <c r="C73" s="222" t="str">
        <f>IFERROR(__xludf.DUMMYFUNCTION("""COMPUTED_VALUE"""),"MDN PT3 PER-FF TELUK MENGKUDU_MD25")</f>
        <v>MDN PT3 PER-FF TELUK MENGKUDU_MD25</v>
      </c>
      <c r="D73" s="222" t="str">
        <f>IFERROR(__xludf.DUMMYFUNCTION("""COMPUTED_VALUE"""),"REGIONAL I")</f>
        <v>REGIONAL I</v>
      </c>
      <c r="E73" s="222" t="str">
        <f>IFERROR(__xludf.DUMMYFUNCTION("""COMPUTED_VALUE"""),"MEDAN")</f>
        <v>MEDAN</v>
      </c>
      <c r="F73" s="222" t="str">
        <f>IFERROR(__xludf.DUMMYFUNCTION("""COMPUTED_VALUE"""),"PER")</f>
        <v>PER</v>
      </c>
      <c r="G73" s="222" t="str">
        <f>IFERROR(__xludf.DUMMYFUNCTION("""COMPUTED_VALUE"""),"SUMBAGUT")</f>
        <v>SUMBAGUT</v>
      </c>
      <c r="H73" s="222" t="str">
        <f>IFERROR(__xludf.DUMMYFUNCTION("""COMPUTED_VALUE"""),"PEMATANG SIANTAR")</f>
        <v>PEMATANG SIANTAR</v>
      </c>
      <c r="I73" s="222" t="str">
        <f>IFERROR(__xludf.DUMMYFUNCTION("""COMPUTED_VALUE"""),"Batch 1")</f>
        <v>Batch 1</v>
      </c>
      <c r="J73" s="225">
        <f>IFERROR(__xludf.DUMMYFUNCTION("""COMPUTED_VALUE"""),4.0)</f>
        <v>4</v>
      </c>
      <c r="K73" s="224">
        <f>IFERROR(__xludf.DUMMYFUNCTION("""COMPUTED_VALUE"""),32.0)</f>
        <v>32</v>
      </c>
      <c r="L73" s="226">
        <f>IFERROR(__xludf.DUMMYFUNCTION("""COMPUTED_VALUE"""),888485.0)</f>
        <v>888485</v>
      </c>
      <c r="M73" s="227">
        <f>IFERROR(__xludf.DUMMYFUNCTION("""COMPUTED_VALUE"""),2.8431491E7)</f>
        <v>28431491</v>
      </c>
      <c r="N73" s="222" t="str">
        <f>IFERROR(__xludf.DUMMYFUNCTION("""COMPUTED_VALUE"""),"PT INNANDA INDAH")</f>
        <v>PT INNANDA INDAH</v>
      </c>
      <c r="O73" s="222" t="str">
        <f>IFERROR(__xludf.DUMMYFUNCTION("""COMPUTED_VALUE"""),"7. GOLIVE")</f>
        <v>7. GOLIVE</v>
      </c>
      <c r="P73" s="222" t="str">
        <f>IFERROR(__xludf.DUMMYFUNCTION("""COMPUTED_VALUE"""),"7.2 Golive Full / OA / DONE OTB")</f>
        <v>7.2 Golive Full / OA / DONE OTB</v>
      </c>
      <c r="Q73" s="222" t="str">
        <f>IFERROR(__xludf.DUMMYFUNCTION("""COMPUTED_VALUE"""),"23/04 FI, OGP mancore
22/04 pemasangan odp &amp; terminasi odp
20/04 komitmen golive 23/04
02/04 proses tanam tiang
05/03 proses material
27/02 comcase 2,5 Jt
08/02 ODC pole tiang blum di cek mitra
(07/01) Persiapan")</f>
        <v>23/04 FI, OGP mancore
22/04 pemasangan odp &amp; terminasi odp
20/04 komitmen golive 23/04
02/04 proses tanam tiang
05/03 proses material
27/02 comcase 2,5 Jt
08/02 ODC pole tiang blum di cek mitra
(07/01) Persiapan</v>
      </c>
      <c r="R73" s="228">
        <f>IFERROR(__xludf.DUMMYFUNCTION("""COMPUTED_VALUE"""),46137.0)</f>
        <v>46137</v>
      </c>
      <c r="S73" s="11" t="str">
        <f>IFERROR(__xludf.DUMMYFUNCTION("""COMPUTED_VALUE"""),"APR")</f>
        <v>APR</v>
      </c>
      <c r="T73" s="73"/>
      <c r="U73" s="11"/>
      <c r="V73" s="229" t="str">
        <f>IFERROR(__xludf.DUMMYFUNCTION("""COMPUTED_VALUE"""),"20/Apr/2026")</f>
        <v>20/Apr/2026</v>
      </c>
      <c r="W73" s="229"/>
      <c r="X73" s="229" t="str">
        <f>IFERROR(__xludf.DUMMYFUNCTION("""COMPUTED_VALUE"""),"GOLIVE")</f>
        <v>GOLIVE</v>
      </c>
      <c r="Y73" s="229" t="str">
        <f>IFERROR(__xludf.DUMMYFUNCTION("""COMPUTED_VALUE"""),"DONE")</f>
        <v>DONE</v>
      </c>
      <c r="Z73" s="229" t="str">
        <f>IFERROR(__xludf.DUMMYFUNCTION("""COMPUTED_VALUE"""),"#N/A")</f>
        <v>#N/A</v>
      </c>
      <c r="AA73" s="229">
        <f>IFERROR(__xludf.DUMMYFUNCTION("""COMPUTED_VALUE"""),5.0)</f>
        <v>5</v>
      </c>
      <c r="AB73" s="229"/>
      <c r="AC73" s="229" t="str">
        <f>IFERROR(__xludf.DUMMYFUNCTION("""COMPUTED_VALUE"""),"9309420#9309425")</f>
        <v>9309420#9309425</v>
      </c>
      <c r="AD73" s="232">
        <f>IFERROR(__xludf.DUMMYFUNCTION("""COMPUTED_VALUE"""),40.0)</f>
        <v>40</v>
      </c>
      <c r="AE73" s="233">
        <f>IFERROR(__xludf.DUMMYFUNCTION("""COMPUTED_VALUE"""),46137.0)</f>
        <v>46137</v>
      </c>
      <c r="AF73" s="54"/>
      <c r="AG73" s="54"/>
      <c r="AH73" s="54"/>
      <c r="AI73" s="55">
        <f t="shared" si="27"/>
        <v>0</v>
      </c>
      <c r="AW73" s="234"/>
      <c r="BP73" s="11"/>
    </row>
    <row r="74" ht="18.0" hidden="1" customHeight="1">
      <c r="A74" s="222">
        <f>IFERROR(__xludf.DUMMYFUNCTION("""COMPUTED_VALUE"""),2026.0)</f>
        <v>2026</v>
      </c>
      <c r="B74" s="221">
        <f>IFERROR(__xludf.DUMMYFUNCTION("""COMPUTED_VALUE"""),1.2194405E7)</f>
        <v>12194405</v>
      </c>
      <c r="C74" s="222" t="str">
        <f>IFERROR(__xludf.DUMMYFUNCTION("""COMPUTED_VALUE"""),"MDN PT3 PER-FQ SERDANG BEDAGAI_173")</f>
        <v>MDN PT3 PER-FQ SERDANG BEDAGAI_173</v>
      </c>
      <c r="D74" s="222" t="str">
        <f>IFERROR(__xludf.DUMMYFUNCTION("""COMPUTED_VALUE"""),"REGIONAL I")</f>
        <v>REGIONAL I</v>
      </c>
      <c r="E74" s="222" t="str">
        <f>IFERROR(__xludf.DUMMYFUNCTION("""COMPUTED_VALUE"""),"MEDAN")</f>
        <v>MEDAN</v>
      </c>
      <c r="F74" s="222" t="str">
        <f>IFERROR(__xludf.DUMMYFUNCTION("""COMPUTED_VALUE"""),"PER")</f>
        <v>PER</v>
      </c>
      <c r="G74" s="222" t="str">
        <f>IFERROR(__xludf.DUMMYFUNCTION("""COMPUTED_VALUE"""),"SUMBAGUT")</f>
        <v>SUMBAGUT</v>
      </c>
      <c r="H74" s="222" t="str">
        <f>IFERROR(__xludf.DUMMYFUNCTION("""COMPUTED_VALUE"""),"PEMATANG SIANTAR")</f>
        <v>PEMATANG SIANTAR</v>
      </c>
      <c r="I74" s="222" t="str">
        <f>IFERROR(__xludf.DUMMYFUNCTION("""COMPUTED_VALUE"""),"Batch 1")</f>
        <v>Batch 1</v>
      </c>
      <c r="J74" s="225">
        <f>IFERROR(__xludf.DUMMYFUNCTION("""COMPUTED_VALUE"""),22.0)</f>
        <v>22</v>
      </c>
      <c r="K74" s="224">
        <f>IFERROR(__xludf.DUMMYFUNCTION("""COMPUTED_VALUE"""),176.0)</f>
        <v>176</v>
      </c>
      <c r="L74" s="226">
        <f>IFERROR(__xludf.DUMMYFUNCTION("""COMPUTED_VALUE"""),1189979.0)</f>
        <v>1189979</v>
      </c>
      <c r="M74" s="227">
        <f>IFERROR(__xludf.DUMMYFUNCTION("""COMPUTED_VALUE"""),2.09436292E8)</f>
        <v>209436292</v>
      </c>
      <c r="N74" s="222" t="str">
        <f>IFERROR(__xludf.DUMMYFUNCTION("""COMPUTED_VALUE"""),"PT INNANDA INDAH")</f>
        <v>PT INNANDA INDAH</v>
      </c>
      <c r="O74" s="222" t="str">
        <f>IFERROR(__xludf.DUMMYFUNCTION("""COMPUTED_VALUE"""),"0. DROP")</f>
        <v>0. DROP</v>
      </c>
      <c r="P74" s="222" t="str">
        <f>IFERROR(__xludf.DUMMYFUNCTION("""COMPUTED_VALUE"""),"0.4 CPP Tinggi Acc ED TIF")</f>
        <v>0.4 CPP Tinggi Acc ED TIF</v>
      </c>
      <c r="Q74" s="222" t="str">
        <f>IFERROR(__xludf.DUMMYFUNCTION("""COMPUTED_VALUE"""),"27/02 commcase 7,5 Jt
17/02 proses perizinan desa
(07/01) Persiapan")</f>
        <v>27/02 commcase 7,5 Jt
17/02 proses perizinan desa
(07/01) Persiapan</v>
      </c>
      <c r="R74" s="228"/>
      <c r="S74" s="11"/>
      <c r="T74" s="11"/>
      <c r="U74" s="11"/>
      <c r="V74" s="229"/>
      <c r="W74" s="229"/>
      <c r="X74" s="229" t="str">
        <f>IFERROR(__xludf.DUMMYFUNCTION("""COMPUTED_VALUE"""),"BELUM GOLIVE")</f>
        <v>BELUM GOLIVE</v>
      </c>
      <c r="Y74" s="229"/>
      <c r="Z74" s="229" t="str">
        <f>IFERROR(__xludf.DUMMYFUNCTION("""COMPUTED_VALUE"""),"#N/A")</f>
        <v>#N/A</v>
      </c>
      <c r="AA74" s="229"/>
      <c r="AB74" s="229"/>
      <c r="AC74" s="229"/>
      <c r="AD74" s="232"/>
      <c r="AE74" s="233"/>
      <c r="AF74" s="54" t="str">
        <f>IFERROR(__xludf.DUMMYFUNCTION("""COMPUTED_VALUE"""),"Draft BA DROP")</f>
        <v>Draft BA DROP</v>
      </c>
      <c r="AG74" s="54"/>
      <c r="AH74" s="54"/>
      <c r="AI74" s="55" t="str">
        <f t="shared" si="27"/>
        <v/>
      </c>
      <c r="AW74" s="234"/>
      <c r="BP74" s="11"/>
    </row>
    <row r="75" ht="18.0" hidden="1" customHeight="1">
      <c r="A75" s="222">
        <f>IFERROR(__xludf.DUMMYFUNCTION("""COMPUTED_VALUE"""),2026.0)</f>
        <v>2026</v>
      </c>
      <c r="B75" s="221">
        <f>IFERROR(__xludf.DUMMYFUNCTION("""COMPUTED_VALUE"""),1.2194851E7)</f>
        <v>12194851</v>
      </c>
      <c r="C75" s="222" t="str">
        <f>IFERROR(__xludf.DUMMYFUNCTION("""COMPUTED_VALUE"""),"MDN PT3 PER-FE JL.VETERAN SERGAI_MD25")</f>
        <v>MDN PT3 PER-FE JL.VETERAN SERGAI_MD25</v>
      </c>
      <c r="D75" s="222" t="str">
        <f>IFERROR(__xludf.DUMMYFUNCTION("""COMPUTED_VALUE"""),"REGIONAL I")</f>
        <v>REGIONAL I</v>
      </c>
      <c r="E75" s="222" t="str">
        <f>IFERROR(__xludf.DUMMYFUNCTION("""COMPUTED_VALUE"""),"MEDAN")</f>
        <v>MEDAN</v>
      </c>
      <c r="F75" s="222" t="str">
        <f>IFERROR(__xludf.DUMMYFUNCTION("""COMPUTED_VALUE"""),"PER")</f>
        <v>PER</v>
      </c>
      <c r="G75" s="222" t="str">
        <f>IFERROR(__xludf.DUMMYFUNCTION("""COMPUTED_VALUE"""),"SUMBAGUT")</f>
        <v>SUMBAGUT</v>
      </c>
      <c r="H75" s="222" t="str">
        <f>IFERROR(__xludf.DUMMYFUNCTION("""COMPUTED_VALUE"""),"PEMATANG SIANTAR")</f>
        <v>PEMATANG SIANTAR</v>
      </c>
      <c r="I75" s="222" t="str">
        <f>IFERROR(__xludf.DUMMYFUNCTION("""COMPUTED_VALUE"""),"Batch 1")</f>
        <v>Batch 1</v>
      </c>
      <c r="J75" s="225">
        <f>IFERROR(__xludf.DUMMYFUNCTION("""COMPUTED_VALUE"""),8.0)</f>
        <v>8</v>
      </c>
      <c r="K75" s="224">
        <f>IFERROR(__xludf.DUMMYFUNCTION("""COMPUTED_VALUE"""),64.0)</f>
        <v>64</v>
      </c>
      <c r="L75" s="226">
        <f>IFERROR(__xludf.DUMMYFUNCTION("""COMPUTED_VALUE"""),1079678.0)</f>
        <v>1079678</v>
      </c>
      <c r="M75" s="227">
        <f>IFERROR(__xludf.DUMMYFUNCTION("""COMPUTED_VALUE"""),6.9099352E7)</f>
        <v>69099352</v>
      </c>
      <c r="N75" s="222" t="str">
        <f>IFERROR(__xludf.DUMMYFUNCTION("""COMPUTED_VALUE"""),"PT INNANDA INDAH")</f>
        <v>PT INNANDA INDAH</v>
      </c>
      <c r="O75" s="222" t="str">
        <f>IFERROR(__xludf.DUMMYFUNCTION("""COMPUTED_VALUE"""),"7. GOLIVE")</f>
        <v>7. GOLIVE</v>
      </c>
      <c r="P75" s="222" t="str">
        <f>IFERROR(__xludf.DUMMYFUNCTION("""COMPUTED_VALUE"""),"7.2 Golive Full / OA / DONE OTB")</f>
        <v>7.2 Golive Full / OA / DONE OTB</v>
      </c>
      <c r="Q75" s="222" t="str">
        <f>IFERROR(__xludf.DUMMYFUNCTION("""COMPUTED_VALUE"""),"14/04 golive sdi
08/04 pemasangan odp dan terminasi
01/04 proses tanam tiang
26/03 proses material
27/02 comcase 3,5 Jt
17/02 proses perizinan desa
(12/01) penunjukkan mitra, (07/01) Persiapan")</f>
        <v>14/04 golive sdi
08/04 pemasangan odp dan terminasi
01/04 proses tanam tiang
26/03 proses material
27/02 comcase 3,5 Jt
17/02 proses perizinan desa
(12/01) penunjukkan mitra, (07/01) Persiapan</v>
      </c>
      <c r="R75" s="228">
        <f>IFERROR(__xludf.DUMMYFUNCTION("""COMPUTED_VALUE"""),46127.0)</f>
        <v>46127</v>
      </c>
      <c r="S75" s="11"/>
      <c r="T75" s="73"/>
      <c r="U75" s="11"/>
      <c r="V75" s="229" t="str">
        <f>IFERROR(__xludf.DUMMYFUNCTION("""COMPUTED_VALUE"""),"15/Apr/2026")</f>
        <v>15/Apr/2026</v>
      </c>
      <c r="W75" s="229"/>
      <c r="X75" s="229" t="str">
        <f>IFERROR(__xludf.DUMMYFUNCTION("""COMPUTED_VALUE"""),"GOLIVE")</f>
        <v>GOLIVE</v>
      </c>
      <c r="Y75" s="229" t="str">
        <f>IFERROR(__xludf.DUMMYFUNCTION("""COMPUTED_VALUE"""),"DONE")</f>
        <v>DONE</v>
      </c>
      <c r="Z75" s="229" t="str">
        <f>IFERROR(__xludf.DUMMYFUNCTION("""COMPUTED_VALUE"""),"#N/A")</f>
        <v>#N/A</v>
      </c>
      <c r="AA75" s="229">
        <f>IFERROR(__xludf.DUMMYFUNCTION("""COMPUTED_VALUE"""),8.0)</f>
        <v>8</v>
      </c>
      <c r="AB75" s="229"/>
      <c r="AC75" s="229" t="str">
        <f>IFERROR(__xludf.DUMMYFUNCTION("""COMPUTED_VALUE"""),"9271968#9271973")</f>
        <v>9271968#9271973</v>
      </c>
      <c r="AD75" s="232">
        <f>IFERROR(__xludf.DUMMYFUNCTION("""COMPUTED_VALUE"""),64.0)</f>
        <v>64</v>
      </c>
      <c r="AE75" s="233">
        <f>IFERROR(__xludf.DUMMYFUNCTION("""COMPUTED_VALUE"""),46126.0)</f>
        <v>46126</v>
      </c>
      <c r="AF75" s="54"/>
      <c r="AG75" s="54"/>
      <c r="AH75" s="54">
        <v>46127.0</v>
      </c>
      <c r="AI75" s="55">
        <f t="shared" si="27"/>
        <v>1</v>
      </c>
      <c r="AW75" s="234"/>
      <c r="BP75" s="11"/>
    </row>
    <row r="76" ht="18.0" hidden="1" customHeight="1">
      <c r="A76" s="222">
        <f>IFERROR(__xludf.DUMMYFUNCTION("""COMPUTED_VALUE"""),2026.0)</f>
        <v>2026</v>
      </c>
      <c r="B76" s="221">
        <f>IFERROR(__xludf.DUMMYFUNCTION("""COMPUTED_VALUE"""),1.2196192E7)</f>
        <v>12196192</v>
      </c>
      <c r="C76" s="222" t="str">
        <f>IFERROR(__xludf.DUMMYFUNCTION("""COMPUTED_VALUE"""),"MDN PT3 PER-FS PERBAUNGAN MELATI DUA")</f>
        <v>MDN PT3 PER-FS PERBAUNGAN MELATI DUA</v>
      </c>
      <c r="D76" s="222" t="str">
        <f>IFERROR(__xludf.DUMMYFUNCTION("""COMPUTED_VALUE"""),"REGIONAL I")</f>
        <v>REGIONAL I</v>
      </c>
      <c r="E76" s="222" t="str">
        <f>IFERROR(__xludf.DUMMYFUNCTION("""COMPUTED_VALUE"""),"MEDAN")</f>
        <v>MEDAN</v>
      </c>
      <c r="F76" s="222" t="str">
        <f>IFERROR(__xludf.DUMMYFUNCTION("""COMPUTED_VALUE"""),"PER")</f>
        <v>PER</v>
      </c>
      <c r="G76" s="222" t="str">
        <f>IFERROR(__xludf.DUMMYFUNCTION("""COMPUTED_VALUE"""),"SUMBAGUT")</f>
        <v>SUMBAGUT</v>
      </c>
      <c r="H76" s="222" t="str">
        <f>IFERROR(__xludf.DUMMYFUNCTION("""COMPUTED_VALUE"""),"PEMATANG SIANTAR")</f>
        <v>PEMATANG SIANTAR</v>
      </c>
      <c r="I76" s="222" t="str">
        <f>IFERROR(__xludf.DUMMYFUNCTION("""COMPUTED_VALUE"""),"Batch 1")</f>
        <v>Batch 1</v>
      </c>
      <c r="J76" s="225">
        <f>IFERROR(__xludf.DUMMYFUNCTION("""COMPUTED_VALUE"""),14.0)</f>
        <v>14</v>
      </c>
      <c r="K76" s="224">
        <f>IFERROR(__xludf.DUMMYFUNCTION("""COMPUTED_VALUE"""),112.0)</f>
        <v>112</v>
      </c>
      <c r="L76" s="226">
        <f>IFERROR(__xludf.DUMMYFUNCTION("""COMPUTED_VALUE"""),1025778.0)</f>
        <v>1025778</v>
      </c>
      <c r="M76" s="227">
        <f>IFERROR(__xludf.DUMMYFUNCTION("""COMPUTED_VALUE"""),1.14887043E8)</f>
        <v>114887043</v>
      </c>
      <c r="N76" s="222" t="str">
        <f>IFERROR(__xludf.DUMMYFUNCTION("""COMPUTED_VALUE"""),"PT INNANDA INDAH")</f>
        <v>PT INNANDA INDAH</v>
      </c>
      <c r="O76" s="222" t="str">
        <f>IFERROR(__xludf.DUMMYFUNCTION("""COMPUTED_VALUE"""),"7. GOLIVE")</f>
        <v>7. GOLIVE</v>
      </c>
      <c r="P76" s="222" t="str">
        <f>IFERROR(__xludf.DUMMYFUNCTION("""COMPUTED_VALUE"""),"7.2 Golive Full / OA / DONE OTB")</f>
        <v>7.2 Golive Full / OA / DONE OTB</v>
      </c>
      <c r="Q76" s="222" t="str">
        <f>IFERROR(__xludf.DUMMYFUNCTION("""COMPUTED_VALUE"""),"09/04 golive sdi
08/04 pengecekan abd mancore
10/03 proses tanam tiang
17/02 proses perizinan desa
(07/01) Persiapan")</f>
        <v>09/04 golive sdi
08/04 pengecekan abd mancore
10/03 proses tanam tiang
17/02 proses perizinan desa
(07/01) Persiapan</v>
      </c>
      <c r="R76" s="228">
        <f>IFERROR(__xludf.DUMMYFUNCTION("""COMPUTED_VALUE"""),46121.0)</f>
        <v>46121</v>
      </c>
      <c r="S76" s="11"/>
      <c r="T76" s="73"/>
      <c r="U76" s="11"/>
      <c r="V76" s="229"/>
      <c r="W76" s="229" t="str">
        <f>IFERROR(__xludf.DUMMYFUNCTION("""COMPUTED_VALUE"""),"#N/A")</f>
        <v>#N/A</v>
      </c>
      <c r="X76" s="229" t="str">
        <f>IFERROR(__xludf.DUMMYFUNCTION("""COMPUTED_VALUE"""),"GOLIVE")</f>
        <v>GOLIVE</v>
      </c>
      <c r="Y76" s="229" t="str">
        <f>IFERROR(__xludf.DUMMYFUNCTION("""COMPUTED_VALUE"""),"DONE")</f>
        <v>DONE</v>
      </c>
      <c r="Z76" s="229" t="str">
        <f>IFERROR(__xludf.DUMMYFUNCTION("""COMPUTED_VALUE"""),"#N/A")</f>
        <v>#N/A</v>
      </c>
      <c r="AA76" s="229">
        <f>IFERROR(__xludf.DUMMYFUNCTION("""COMPUTED_VALUE"""),14.0)</f>
        <v>14</v>
      </c>
      <c r="AB76" s="229"/>
      <c r="AC76" s="229" t="str">
        <f>IFERROR(__xludf.DUMMYFUNCTION("""COMPUTED_VALUE"""),"9252024#9252030")</f>
        <v>9252024#9252030</v>
      </c>
      <c r="AD76" s="232">
        <f>IFERROR(__xludf.DUMMYFUNCTION("""COMPUTED_VALUE"""),112.0)</f>
        <v>112</v>
      </c>
      <c r="AE76" s="233">
        <f>IFERROR(__xludf.DUMMYFUNCTION("""COMPUTED_VALUE"""),46121.0)</f>
        <v>46121</v>
      </c>
      <c r="AF76" s="54"/>
      <c r="AG76" s="54"/>
      <c r="AH76" s="54">
        <v>46121.0</v>
      </c>
      <c r="AI76" s="55">
        <f t="shared" si="27"/>
        <v>0</v>
      </c>
      <c r="AW76" s="234"/>
      <c r="BP76" s="11"/>
    </row>
    <row r="77" ht="18.0" hidden="1" customHeight="1">
      <c r="A77" s="222">
        <f>IFERROR(__xludf.DUMMYFUNCTION("""COMPUTED_VALUE"""),2026.0)</f>
        <v>2026</v>
      </c>
      <c r="B77" s="221">
        <f>IFERROR(__xludf.DUMMYFUNCTION("""COMPUTED_VALUE"""),1.225987E7)</f>
        <v>12259870</v>
      </c>
      <c r="C77" s="222" t="str">
        <f>IFERROR(__xludf.DUMMYFUNCTION("""COMPUTED_VALUE"""),"MDN PT3 DELI SERDANG_36817_H2_2025")</f>
        <v>MDN PT3 DELI SERDANG_36817_H2_2025</v>
      </c>
      <c r="D77" s="222" t="str">
        <f>IFERROR(__xludf.DUMMYFUNCTION("""COMPUTED_VALUE"""),"REGIONAL I")</f>
        <v>REGIONAL I</v>
      </c>
      <c r="E77" s="222" t="str">
        <f>IFERROR(__xludf.DUMMYFUNCTION("""COMPUTED_VALUE"""),"MEDAN")</f>
        <v>MEDAN</v>
      </c>
      <c r="F77" s="222" t="str">
        <f>IFERROR(__xludf.DUMMYFUNCTION("""COMPUTED_VALUE"""),"LBP")</f>
        <v>LBP</v>
      </c>
      <c r="G77" s="222" t="str">
        <f>IFERROR(__xludf.DUMMYFUNCTION("""COMPUTED_VALUE"""),"SUMBAGUT")</f>
        <v>SUMBAGUT</v>
      </c>
      <c r="H77" s="222" t="str">
        <f>IFERROR(__xludf.DUMMYFUNCTION("""COMPUTED_VALUE"""),"MEDAN")</f>
        <v>MEDAN</v>
      </c>
      <c r="I77" s="222" t="str">
        <f>IFERROR(__xludf.DUMMYFUNCTION("""COMPUTED_VALUE"""),"Batch 1")</f>
        <v>Batch 1</v>
      </c>
      <c r="J77" s="225">
        <f>IFERROR(__xludf.DUMMYFUNCTION("""COMPUTED_VALUE"""),3.0)</f>
        <v>3</v>
      </c>
      <c r="K77" s="224">
        <f>IFERROR(__xludf.DUMMYFUNCTION("""COMPUTED_VALUE"""),24.0)</f>
        <v>24</v>
      </c>
      <c r="L77" s="226">
        <f>IFERROR(__xludf.DUMMYFUNCTION("""COMPUTED_VALUE"""),1282263.0)</f>
        <v>1282263</v>
      </c>
      <c r="M77" s="227">
        <f>IFERROR(__xludf.DUMMYFUNCTION("""COMPUTED_VALUE"""),3.0774295E7)</f>
        <v>30774295</v>
      </c>
      <c r="N77" s="222" t="str">
        <f>IFERROR(__xludf.DUMMYFUNCTION("""COMPUTED_VALUE"""),"PT NIAGA NUSANTARA DIVA")</f>
        <v>PT NIAGA NUSANTARA DIVA</v>
      </c>
      <c r="O77" s="222" t="str">
        <f>IFERROR(__xludf.DUMMYFUNCTION("""COMPUTED_VALUE"""),"0. DROP")</f>
        <v>0. DROP</v>
      </c>
      <c r="P77" s="222" t="str">
        <f>IFERROR(__xludf.DUMMYFUNCTION("""COMPUTED_VALUE"""),"0.4 CPP Tinggi Acc ED TIF")</f>
        <v>0.4 CPP Tinggi Acc ED TIF</v>
      </c>
      <c r="Q77" s="222" t="str">
        <f>IFERROR(__xludf.DUMMYFUNCTION("""COMPUTED_VALUE"""),"11/02 depedensi 11325934 MDN PT3 LBP-FT JL.KAMBOJA
(07/01) Persiapan")</f>
        <v>11/02 depedensi 11325934 MDN PT3 LBP-FT JL.KAMBOJA
(07/01) Persiapan</v>
      </c>
      <c r="R77" s="228"/>
      <c r="S77" s="11"/>
      <c r="T77" s="11"/>
      <c r="U77" s="11"/>
      <c r="V77" s="229"/>
      <c r="W77" s="229"/>
      <c r="X77" s="229" t="str">
        <f>IFERROR(__xludf.DUMMYFUNCTION("""COMPUTED_VALUE"""),"BELUM GOLIVE")</f>
        <v>BELUM GOLIVE</v>
      </c>
      <c r="Y77" s="229"/>
      <c r="Z77" s="229" t="str">
        <f>IFERROR(__xludf.DUMMYFUNCTION("""COMPUTED_VALUE"""),"#N/A")</f>
        <v>#N/A</v>
      </c>
      <c r="AA77" s="229"/>
      <c r="AB77" s="229"/>
      <c r="AC77" s="229"/>
      <c r="AD77" s="232"/>
      <c r="AE77" s="233"/>
      <c r="AF77" s="54" t="str">
        <f>IFERROR(__xludf.DUMMYFUNCTION("""COMPUTED_VALUE"""),"Draft BA DROP")</f>
        <v>Draft BA DROP</v>
      </c>
      <c r="AG77" s="54"/>
      <c r="AH77" s="54"/>
      <c r="AI77" s="55" t="str">
        <f t="shared" si="27"/>
        <v/>
      </c>
      <c r="AW77" s="234"/>
      <c r="BP77" s="11"/>
    </row>
    <row r="78" ht="18.0" hidden="1" customHeight="1">
      <c r="A78" s="222">
        <f>IFERROR(__xludf.DUMMYFUNCTION("""COMPUTED_VALUE"""),2026.0)</f>
        <v>2026</v>
      </c>
      <c r="B78" s="221">
        <f>IFERROR(__xludf.DUMMYFUNCTION("""COMPUTED_VALUE"""),1.2260051E7)</f>
        <v>12260051</v>
      </c>
      <c r="C78" s="222" t="str">
        <f>IFERROR(__xludf.DUMMYFUNCTION("""COMPUTED_VALUE"""),"MDN PT3 DELI SERDANG_55022_H2_2025")</f>
        <v>MDN PT3 DELI SERDANG_55022_H2_2025</v>
      </c>
      <c r="D78" s="222" t="str">
        <f>IFERROR(__xludf.DUMMYFUNCTION("""COMPUTED_VALUE"""),"REGIONAL I")</f>
        <v>REGIONAL I</v>
      </c>
      <c r="E78" s="222" t="str">
        <f>IFERROR(__xludf.DUMMYFUNCTION("""COMPUTED_VALUE"""),"MEDAN")</f>
        <v>MEDAN</v>
      </c>
      <c r="F78" s="222" t="str">
        <f>IFERROR(__xludf.DUMMYFUNCTION("""COMPUTED_VALUE"""),"TJR")</f>
        <v>TJR</v>
      </c>
      <c r="G78" s="222" t="str">
        <f>IFERROR(__xludf.DUMMYFUNCTION("""COMPUTED_VALUE"""),"SUMBAGUT")</f>
        <v>SUMBAGUT</v>
      </c>
      <c r="H78" s="222" t="str">
        <f>IFERROR(__xludf.DUMMYFUNCTION("""COMPUTED_VALUE"""),"MEDAN")</f>
        <v>MEDAN</v>
      </c>
      <c r="I78" s="222" t="str">
        <f>IFERROR(__xludf.DUMMYFUNCTION("""COMPUTED_VALUE"""),"Batch 1")</f>
        <v>Batch 1</v>
      </c>
      <c r="J78" s="225">
        <f>IFERROR(__xludf.DUMMYFUNCTION("""COMPUTED_VALUE"""),11.0)</f>
        <v>11</v>
      </c>
      <c r="K78" s="224">
        <f>IFERROR(__xludf.DUMMYFUNCTION("""COMPUTED_VALUE"""),88.0)</f>
        <v>88</v>
      </c>
      <c r="L78" s="226">
        <f>IFERROR(__xludf.DUMMYFUNCTION("""COMPUTED_VALUE"""),849592.0)</f>
        <v>849592</v>
      </c>
      <c r="M78" s="227">
        <f>IFERROR(__xludf.DUMMYFUNCTION("""COMPUTED_VALUE"""),7.4764016E7)</f>
        <v>74764016</v>
      </c>
      <c r="N78" s="222" t="str">
        <f>IFERROR(__xludf.DUMMYFUNCTION("""COMPUTED_VALUE"""),"PT NIAGA NUSANTARA DIVA")</f>
        <v>PT NIAGA NUSANTARA DIVA</v>
      </c>
      <c r="O78" s="222" t="str">
        <f>IFERROR(__xludf.DUMMYFUNCTION("""COMPUTED_VALUE"""),"0. DROP")</f>
        <v>0. DROP</v>
      </c>
      <c r="P78" s="222" t="str">
        <f>IFERROR(__xludf.DUMMYFUNCTION("""COMPUTED_VALUE"""),"0.1 Double Order")</f>
        <v>0.1 Double Order</v>
      </c>
      <c r="Q78" s="222" t="str">
        <f>IFERROR(__xludf.DUMMYFUNCTION("""COMPUTED_VALUE"""),"29/01 D01 habis
(07/01) Persiapan")</f>
        <v>29/01 D01 habis
(07/01) Persiapan</v>
      </c>
      <c r="R78" s="228"/>
      <c r="S78" s="11"/>
      <c r="T78" s="11"/>
      <c r="U78" s="11"/>
      <c r="V78" s="229"/>
      <c r="W78" s="229"/>
      <c r="X78" s="229" t="str">
        <f>IFERROR(__xludf.DUMMYFUNCTION("""COMPUTED_VALUE"""),"BELUM GOLIVE")</f>
        <v>BELUM GOLIVE</v>
      </c>
      <c r="Y78" s="229"/>
      <c r="Z78" s="229" t="str">
        <f>IFERROR(__xludf.DUMMYFUNCTION("""COMPUTED_VALUE"""),"#N/A")</f>
        <v>#N/A</v>
      </c>
      <c r="AA78" s="229"/>
      <c r="AB78" s="229"/>
      <c r="AC78" s="229"/>
      <c r="AD78" s="232"/>
      <c r="AE78" s="233"/>
      <c r="AF78" s="54"/>
      <c r="AG78" s="54"/>
      <c r="AH78" s="54"/>
      <c r="AI78" s="55" t="str">
        <f t="shared" si="27"/>
        <v/>
      </c>
      <c r="AW78" s="234"/>
      <c r="BP78" s="11"/>
    </row>
    <row r="79" ht="18.0" hidden="1" customHeight="1">
      <c r="A79" s="222">
        <f>IFERROR(__xludf.DUMMYFUNCTION("""COMPUTED_VALUE"""),2026.0)</f>
        <v>2026</v>
      </c>
      <c r="B79" s="221">
        <f>IFERROR(__xludf.DUMMYFUNCTION("""COMPUTED_VALUE"""),1.2444805E7)</f>
        <v>12444805</v>
      </c>
      <c r="C79" s="222" t="str">
        <f>IFERROR(__xludf.DUMMYFUNCTION("""COMPUTED_VALUE"""),"MDN PT3 BJI-FAC 250_1608_1579")</f>
        <v>MDN PT3 BJI-FAC 250_1608_1579</v>
      </c>
      <c r="D79" s="222" t="str">
        <f>IFERROR(__xludf.DUMMYFUNCTION("""COMPUTED_VALUE"""),"REGIONAL I")</f>
        <v>REGIONAL I</v>
      </c>
      <c r="E79" s="222" t="str">
        <f>IFERROR(__xludf.DUMMYFUNCTION("""COMPUTED_VALUE"""),"MEDAN")</f>
        <v>MEDAN</v>
      </c>
      <c r="F79" s="222" t="str">
        <f>IFERROR(__xludf.DUMMYFUNCTION("""COMPUTED_VALUE"""),"BJI")</f>
        <v>BJI</v>
      </c>
      <c r="G79" s="222" t="str">
        <f>IFERROR(__xludf.DUMMYFUNCTION("""COMPUTED_VALUE"""),"SUMBAGUT")</f>
        <v>SUMBAGUT</v>
      </c>
      <c r="H79" s="222" t="str">
        <f>IFERROR(__xludf.DUMMYFUNCTION("""COMPUTED_VALUE"""),"BINJAI")</f>
        <v>BINJAI</v>
      </c>
      <c r="I79" s="222" t="str">
        <f>IFERROR(__xludf.DUMMYFUNCTION("""COMPUTED_VALUE"""),"Batch 1")</f>
        <v>Batch 1</v>
      </c>
      <c r="J79" s="225">
        <f>IFERROR(__xludf.DUMMYFUNCTION("""COMPUTED_VALUE"""),6.0)</f>
        <v>6</v>
      </c>
      <c r="K79" s="224">
        <f>IFERROR(__xludf.DUMMYFUNCTION("""COMPUTED_VALUE"""),48.0)</f>
        <v>48</v>
      </c>
      <c r="L79" s="226">
        <f>IFERROR(__xludf.DUMMYFUNCTION("""COMPUTED_VALUE"""),878714.0)</f>
        <v>878714</v>
      </c>
      <c r="M79" s="227">
        <f>IFERROR(__xludf.DUMMYFUNCTION("""COMPUTED_VALUE"""),4.2178239E7)</f>
        <v>42178239</v>
      </c>
      <c r="N79" s="222" t="str">
        <f>IFERROR(__xludf.DUMMYFUNCTION("""COMPUTED_VALUE"""),"PT KENCANA RAYA INDONESIA")</f>
        <v>PT KENCANA RAYA INDONESIA</v>
      </c>
      <c r="O79" s="222" t="str">
        <f>IFERROR(__xludf.DUMMYFUNCTION("""COMPUTED_VALUE"""),"0. DROP")</f>
        <v>0. DROP</v>
      </c>
      <c r="P79" s="222" t="str">
        <f>IFERROR(__xludf.DUMMYFUNCTION("""COMPUTED_VALUE"""),"0.1 Double Order")</f>
        <v>0.1 Double Order</v>
      </c>
      <c r="Q79" s="222" t="str">
        <f>IFERROR(__xludf.DUMMYFUNCTION("""COMPUTED_VALUE"""),"20/04 Sudah tercover alpro existing
14/02 feeder distribusi ready
(07/01) Persiapan")</f>
        <v>20/04 Sudah tercover alpro existing
14/02 feeder distribusi ready
(07/01) Persiapan</v>
      </c>
      <c r="R79" s="228"/>
      <c r="S79" s="11"/>
      <c r="T79" s="73"/>
      <c r="U79" s="11"/>
      <c r="V79" s="229" t="str">
        <f>IFERROR(__xludf.DUMMYFUNCTION("""COMPUTED_VALUE"""),"28/Apr/2026")</f>
        <v>28/Apr/2026</v>
      </c>
      <c r="W79" s="229"/>
      <c r="X79" s="229" t="str">
        <f>IFERROR(__xludf.DUMMYFUNCTION("""COMPUTED_VALUE"""),"BELUM GOLIVE")</f>
        <v>BELUM GOLIVE</v>
      </c>
      <c r="Y79" s="229"/>
      <c r="Z79" s="229" t="str">
        <f>IFERROR(__xludf.DUMMYFUNCTION("""COMPUTED_VALUE"""),"#N/A")</f>
        <v>#N/A</v>
      </c>
      <c r="AA79" s="229"/>
      <c r="AB79" s="229"/>
      <c r="AC79" s="229"/>
      <c r="AD79" s="232"/>
      <c r="AE79" s="233"/>
      <c r="AF79" s="54"/>
      <c r="AG79" s="54"/>
      <c r="AH79" s="54"/>
      <c r="AI79" s="55" t="str">
        <f t="shared" si="27"/>
        <v/>
      </c>
      <c r="AW79" s="234"/>
      <c r="BP79" s="11"/>
    </row>
    <row r="80" ht="18.0" hidden="1" customHeight="1">
      <c r="A80" s="222">
        <f>IFERROR(__xludf.DUMMYFUNCTION("""COMPUTED_VALUE"""),2026.0)</f>
        <v>2026</v>
      </c>
      <c r="B80" s="221">
        <f>IFERROR(__xludf.DUMMYFUNCTION("""COMPUTED_VALUE"""),1.2150697E7)</f>
        <v>12150697</v>
      </c>
      <c r="C80" s="222" t="str">
        <f>IFERROR(__xludf.DUMMYFUNCTION("""COMPUTED_VALUE"""),"MDN PT3 PER-FAC SERDANG BEDAGAI_63976")</f>
        <v>MDN PT3 PER-FAC SERDANG BEDAGAI_63976</v>
      </c>
      <c r="D80" s="222" t="str">
        <f>IFERROR(__xludf.DUMMYFUNCTION("""COMPUTED_VALUE"""),"REGIONAL I")</f>
        <v>REGIONAL I</v>
      </c>
      <c r="E80" s="222" t="str">
        <f>IFERROR(__xludf.DUMMYFUNCTION("""COMPUTED_VALUE"""),"MEDAN")</f>
        <v>MEDAN</v>
      </c>
      <c r="F80" s="222" t="str">
        <f>IFERROR(__xludf.DUMMYFUNCTION("""COMPUTED_VALUE"""),"PER")</f>
        <v>PER</v>
      </c>
      <c r="G80" s="222" t="str">
        <f>IFERROR(__xludf.DUMMYFUNCTION("""COMPUTED_VALUE"""),"SUMBAGUT")</f>
        <v>SUMBAGUT</v>
      </c>
      <c r="H80" s="222" t="str">
        <f>IFERROR(__xludf.DUMMYFUNCTION("""COMPUTED_VALUE"""),"PEMATANG SIANTAR")</f>
        <v>PEMATANG SIANTAR</v>
      </c>
      <c r="I80" s="222" t="str">
        <f>IFERROR(__xludf.DUMMYFUNCTION("""COMPUTED_VALUE"""),"Batch 1")</f>
        <v>Batch 1</v>
      </c>
      <c r="J80" s="225">
        <f>IFERROR(__xludf.DUMMYFUNCTION("""COMPUTED_VALUE"""),3.0)</f>
        <v>3</v>
      </c>
      <c r="K80" s="224">
        <f>IFERROR(__xludf.DUMMYFUNCTION("""COMPUTED_VALUE"""),24.0)</f>
        <v>24</v>
      </c>
      <c r="L80" s="226">
        <f>IFERROR(__xludf.DUMMYFUNCTION("""COMPUTED_VALUE"""),1099993.0)</f>
        <v>1099993</v>
      </c>
      <c r="M80" s="227">
        <f>IFERROR(__xludf.DUMMYFUNCTION("""COMPUTED_VALUE"""),2.6399821E7)</f>
        <v>26399821</v>
      </c>
      <c r="N80" s="222" t="str">
        <f>IFERROR(__xludf.DUMMYFUNCTION("""COMPUTED_VALUE"""),"PT INNANDA INDAH")</f>
        <v>PT INNANDA INDAH</v>
      </c>
      <c r="O80" s="222" t="str">
        <f>IFERROR(__xludf.DUMMYFUNCTION("""COMPUTED_VALUE"""),"0. DROP")</f>
        <v>0. DROP</v>
      </c>
      <c r="P80" s="222" t="str">
        <f>IFERROR(__xludf.DUMMYFUNCTION("""COMPUTED_VALUE"""),"0.4 CPP Tinggi Acc ED TIF")</f>
        <v>0.4 CPP Tinggi Acc ED TIF</v>
      </c>
      <c r="Q80" s="222" t="str">
        <f>IFERROR(__xludf.DUMMYFUNCTION("""COMPUTED_VALUE"""),"27/02 menunggu eval 
09/02 feeder ok, dist ok
(12/01) menunggu aanwijzing, (07/01) Persiapan")</f>
        <v>27/02 menunggu eval 
09/02 feeder ok, dist ok
(12/01) menunggu aanwijzing, (07/01) Persiapan</v>
      </c>
      <c r="R80" s="228"/>
      <c r="S80" s="11"/>
      <c r="T80" s="11"/>
      <c r="U80" s="11"/>
      <c r="V80" s="229"/>
      <c r="W80" s="229"/>
      <c r="X80" s="229" t="str">
        <f>IFERROR(__xludf.DUMMYFUNCTION("""COMPUTED_VALUE"""),"BELUM GOLIVE")</f>
        <v>BELUM GOLIVE</v>
      </c>
      <c r="Y80" s="229"/>
      <c r="Z80" s="229" t="str">
        <f>IFERROR(__xludf.DUMMYFUNCTION("""COMPUTED_VALUE"""),"#N/A")</f>
        <v>#N/A</v>
      </c>
      <c r="AA80" s="229"/>
      <c r="AB80" s="229"/>
      <c r="AC80" s="229"/>
      <c r="AD80" s="232"/>
      <c r="AE80" s="233"/>
      <c r="AF80" s="54" t="str">
        <f>IFERROR(__xludf.DUMMYFUNCTION("""COMPUTED_VALUE"""),"Draft BA DROP")</f>
        <v>Draft BA DROP</v>
      </c>
      <c r="AG80" s="54"/>
      <c r="AH80" s="54"/>
      <c r="AI80" s="55" t="str">
        <f t="shared" si="27"/>
        <v/>
      </c>
      <c r="AW80" s="234"/>
      <c r="BP80" s="11"/>
    </row>
    <row r="81" ht="18.0" hidden="1" customHeight="1">
      <c r="A81" s="222">
        <f>IFERROR(__xludf.DUMMYFUNCTION("""COMPUTED_VALUE"""),2026.0)</f>
        <v>2026</v>
      </c>
      <c r="B81" s="221">
        <f>IFERROR(__xludf.DUMMYFUNCTION("""COMPUTED_VALUE"""),1.2444874E7)</f>
        <v>12444874</v>
      </c>
      <c r="C81" s="222" t="str">
        <f>IFERROR(__xludf.DUMMYFUNCTION("""COMPUTED_VALUE"""),"MDN PT3 BJI-FHA 250_1625_1579")</f>
        <v>MDN PT3 BJI-FHA 250_1625_1579</v>
      </c>
      <c r="D81" s="222" t="str">
        <f>IFERROR(__xludf.DUMMYFUNCTION("""COMPUTED_VALUE"""),"REGIONAL I")</f>
        <v>REGIONAL I</v>
      </c>
      <c r="E81" s="222" t="str">
        <f>IFERROR(__xludf.DUMMYFUNCTION("""COMPUTED_VALUE"""),"MEDAN")</f>
        <v>MEDAN</v>
      </c>
      <c r="F81" s="222" t="str">
        <f>IFERROR(__xludf.DUMMYFUNCTION("""COMPUTED_VALUE"""),"BJI")</f>
        <v>BJI</v>
      </c>
      <c r="G81" s="222" t="str">
        <f>IFERROR(__xludf.DUMMYFUNCTION("""COMPUTED_VALUE"""),"SUMBAGUT")</f>
        <v>SUMBAGUT</v>
      </c>
      <c r="H81" s="222" t="str">
        <f>IFERROR(__xludf.DUMMYFUNCTION("""COMPUTED_VALUE"""),"BINJAI")</f>
        <v>BINJAI</v>
      </c>
      <c r="I81" s="222" t="str">
        <f>IFERROR(__xludf.DUMMYFUNCTION("""COMPUTED_VALUE"""),"Batch 1")</f>
        <v>Batch 1</v>
      </c>
      <c r="J81" s="225">
        <f>IFERROR(__xludf.DUMMYFUNCTION("""COMPUTED_VALUE"""),5.0)</f>
        <v>5</v>
      </c>
      <c r="K81" s="224">
        <f>IFERROR(__xludf.DUMMYFUNCTION("""COMPUTED_VALUE"""),40.0)</f>
        <v>40</v>
      </c>
      <c r="L81" s="226">
        <f>IFERROR(__xludf.DUMMYFUNCTION("""COMPUTED_VALUE"""),653565.0)</f>
        <v>653565</v>
      </c>
      <c r="M81" s="227">
        <f>IFERROR(__xludf.DUMMYFUNCTION("""COMPUTED_VALUE"""),2.6142596E7)</f>
        <v>26142596</v>
      </c>
      <c r="N81" s="222" t="str">
        <f>IFERROR(__xludf.DUMMYFUNCTION("""COMPUTED_VALUE"""),"PT KENCANA RAYA INDONESIA")</f>
        <v>PT KENCANA RAYA INDONESIA</v>
      </c>
      <c r="O81" s="222" t="str">
        <f>IFERROR(__xludf.DUMMYFUNCTION("""COMPUTED_VALUE"""),"0. DROP")</f>
        <v>0. DROP</v>
      </c>
      <c r="P81" s="222" t="str">
        <f>IFERROR(__xludf.DUMMYFUNCTION("""COMPUTED_VALUE"""),"0.1 Double Order")</f>
        <v>0.1 Double Order</v>
      </c>
      <c r="Q81" s="222" t="str">
        <f>IFERROR(__xludf.DUMMYFUNCTION("""COMPUTED_VALUE"""),"20/04 Sudah tercover alpro existing
14/02 feeder distribusi ready 
(07/01) Persiapan")</f>
        <v>20/04 Sudah tercover alpro existing
14/02 feeder distribusi ready 
(07/01) Persiapan</v>
      </c>
      <c r="R81" s="228"/>
      <c r="S81" s="11"/>
      <c r="T81" s="73"/>
      <c r="U81" s="11"/>
      <c r="V81" s="229" t="str">
        <f>IFERROR(__xludf.DUMMYFUNCTION("""COMPUTED_VALUE"""),"28/Apr/2026")</f>
        <v>28/Apr/2026</v>
      </c>
      <c r="W81" s="229"/>
      <c r="X81" s="229" t="str">
        <f>IFERROR(__xludf.DUMMYFUNCTION("""COMPUTED_VALUE"""),"BELUM GOLIVE")</f>
        <v>BELUM GOLIVE</v>
      </c>
      <c r="Y81" s="229"/>
      <c r="Z81" s="229" t="str">
        <f>IFERROR(__xludf.DUMMYFUNCTION("""COMPUTED_VALUE"""),"#N/A")</f>
        <v>#N/A</v>
      </c>
      <c r="AA81" s="229"/>
      <c r="AB81" s="229"/>
      <c r="AC81" s="229"/>
      <c r="AD81" s="232"/>
      <c r="AE81" s="233"/>
      <c r="AF81" s="54"/>
      <c r="AG81" s="54"/>
      <c r="AH81" s="54"/>
      <c r="AI81" s="55" t="str">
        <f t="shared" si="27"/>
        <v/>
      </c>
      <c r="AW81" s="234"/>
      <c r="BP81" s="11"/>
    </row>
    <row r="82" ht="18.0" hidden="1" customHeight="1">
      <c r="A82" s="222">
        <f>IFERROR(__xludf.DUMMYFUNCTION("""COMPUTED_VALUE"""),2026.0)</f>
        <v>2026</v>
      </c>
      <c r="B82" s="221">
        <f>IFERROR(__xludf.DUMMYFUNCTION("""COMPUTED_VALUE"""),1.2445087E7)</f>
        <v>12445087</v>
      </c>
      <c r="C82" s="222" t="str">
        <f>IFERROR(__xludf.DUMMYFUNCTION("""COMPUTED_VALUE"""),"MDN PT3 BJI-FAB 250_1607_1582")</f>
        <v>MDN PT3 BJI-FAB 250_1607_1582</v>
      </c>
      <c r="D82" s="222" t="str">
        <f>IFERROR(__xludf.DUMMYFUNCTION("""COMPUTED_VALUE"""),"REGIONAL I")</f>
        <v>REGIONAL I</v>
      </c>
      <c r="E82" s="222" t="str">
        <f>IFERROR(__xludf.DUMMYFUNCTION("""COMPUTED_VALUE"""),"MEDAN")</f>
        <v>MEDAN</v>
      </c>
      <c r="F82" s="222" t="str">
        <f>IFERROR(__xludf.DUMMYFUNCTION("""COMPUTED_VALUE"""),"BJI")</f>
        <v>BJI</v>
      </c>
      <c r="G82" s="222" t="str">
        <f>IFERROR(__xludf.DUMMYFUNCTION("""COMPUTED_VALUE"""),"SUMBAGUT")</f>
        <v>SUMBAGUT</v>
      </c>
      <c r="H82" s="222" t="str">
        <f>IFERROR(__xludf.DUMMYFUNCTION("""COMPUTED_VALUE"""),"BINJAI")</f>
        <v>BINJAI</v>
      </c>
      <c r="I82" s="222" t="str">
        <f>IFERROR(__xludf.DUMMYFUNCTION("""COMPUTED_VALUE"""),"Batch 1")</f>
        <v>Batch 1</v>
      </c>
      <c r="J82" s="225">
        <f>IFERROR(__xludf.DUMMYFUNCTION("""COMPUTED_VALUE"""),2.0)</f>
        <v>2</v>
      </c>
      <c r="K82" s="224">
        <f>IFERROR(__xludf.DUMMYFUNCTION("""COMPUTED_VALUE"""),16.0)</f>
        <v>16</v>
      </c>
      <c r="L82" s="226">
        <f>IFERROR(__xludf.DUMMYFUNCTION("""COMPUTED_VALUE"""),703271.0)</f>
        <v>703271</v>
      </c>
      <c r="M82" s="227">
        <f>IFERROR(__xludf.DUMMYFUNCTION("""COMPUTED_VALUE"""),1.1252332E7)</f>
        <v>11252332</v>
      </c>
      <c r="N82" s="222" t="str">
        <f>IFERROR(__xludf.DUMMYFUNCTION("""COMPUTED_VALUE"""),"PT KENCANA RAYA INDONESIA")</f>
        <v>PT KENCANA RAYA INDONESIA</v>
      </c>
      <c r="O82" s="222" t="str">
        <f>IFERROR(__xludf.DUMMYFUNCTION("""COMPUTED_VALUE"""),"8. UJI TERIMA")</f>
        <v>8. UJI TERIMA</v>
      </c>
      <c r="P82" s="222" t="str">
        <f>IFERROR(__xludf.DUMMYFUNCTION("""COMPUTED_VALUE"""),"8.1 Proses UT")</f>
        <v>8.1 Proses UT</v>
      </c>
      <c r="Q82" s="222" t="str">
        <f>IFERROR(__xludf.DUMMYFUNCTION("""COMPUTED_VALUE"""),"24/02 proses pemasangan odp
23/02 penarikan KU
22/02 tanam tiang 
20/02 pengambilan material
14/02 feeder distribusi ready 
(07/01) Persiapan")</f>
        <v>24/02 proses pemasangan odp
23/02 penarikan KU
22/02 tanam tiang 
20/02 pengambilan material
14/02 feeder distribusi ready 
(07/01) Persiapan</v>
      </c>
      <c r="R82" s="228"/>
      <c r="S82" s="11"/>
      <c r="T82" s="11"/>
      <c r="U82" s="11" t="str">
        <f>IFERROR(__xludf.DUMMYFUNCTION("""COMPUTED_VALUE"""),"FALSE")</f>
        <v>FALSE</v>
      </c>
      <c r="V82" s="229"/>
      <c r="W82" s="229"/>
      <c r="X82" s="229" t="str">
        <f>IFERROR(__xludf.DUMMYFUNCTION("""COMPUTED_VALUE"""),"GOLIVE")</f>
        <v>GOLIVE</v>
      </c>
      <c r="Y82" s="229" t="str">
        <f>IFERROR(__xludf.DUMMYFUNCTION("""COMPUTED_VALUE"""),"DONE")</f>
        <v>DONE</v>
      </c>
      <c r="Z82" s="229" t="str">
        <f>IFERROR(__xludf.DUMMYFUNCTION("""COMPUTED_VALUE"""),"#N/A")</f>
        <v>#N/A</v>
      </c>
      <c r="AA82" s="229">
        <f>IFERROR(__xludf.DUMMYFUNCTION("""COMPUTED_VALUE"""),2.0)</f>
        <v>2</v>
      </c>
      <c r="AB82" s="229"/>
      <c r="AC82" s="229" t="str">
        <f>IFERROR(__xludf.DUMMYFUNCTION("""COMPUTED_VALUE"""),"9152998#9153015")</f>
        <v>9152998#9153015</v>
      </c>
      <c r="AD82" s="232">
        <f>IFERROR(__xludf.DUMMYFUNCTION("""COMPUTED_VALUE"""),16.0)</f>
        <v>16</v>
      </c>
      <c r="AE82" s="233">
        <f>IFERROR(__xludf.DUMMYFUNCTION("""COMPUTED_VALUE"""),46079.0)</f>
        <v>46079</v>
      </c>
      <c r="AF82" s="54"/>
      <c r="AG82" s="54"/>
      <c r="AH82" s="54"/>
      <c r="AI82" s="55" t="str">
        <f t="shared" si="27"/>
        <v/>
      </c>
      <c r="AW82" s="234"/>
      <c r="BP82" s="11"/>
    </row>
    <row r="83" ht="18.0" customHeight="1">
      <c r="A83" s="222">
        <f>IFERROR(__xludf.DUMMYFUNCTION("""COMPUTED_VALUE"""),2026.0)</f>
        <v>2026</v>
      </c>
      <c r="B83" s="221">
        <f>IFERROR(__xludf.DUMMYFUNCTION("""COMPUTED_VALUE"""),1.206156E7)</f>
        <v>12061560</v>
      </c>
      <c r="C83" s="222" t="str">
        <f>IFERROR(__xludf.DUMMYFUNCTION("""COMPUTED_VALUE"""),"SMB STTF Perumahan Huntap Talago")</f>
        <v>SMB STTF Perumahan Huntap Talago</v>
      </c>
      <c r="D83" s="222" t="str">
        <f>IFERROR(__xludf.DUMMYFUNCTION("""COMPUTED_VALUE"""),"REGIONAL I")</f>
        <v>REGIONAL I</v>
      </c>
      <c r="E83" s="222" t="str">
        <f>IFERROR(__xludf.DUMMYFUNCTION("""COMPUTED_VALUE"""),"SUMBAR")</f>
        <v>SUMBAR</v>
      </c>
      <c r="F83" s="222" t="str">
        <f>IFERROR(__xludf.DUMMYFUNCTION("""COMPUTED_VALUE"""),"LBB")</f>
        <v>LBB</v>
      </c>
      <c r="G83" s="222" t="str">
        <f>IFERROR(__xludf.DUMMYFUNCTION("""COMPUTED_VALUE"""),"SUMBAGTENG")</f>
        <v>SUMBAGTENG</v>
      </c>
      <c r="H83" s="222" t="str">
        <f>IFERROR(__xludf.DUMMYFUNCTION("""COMPUTED_VALUE"""),"BUKIT TINGGI")</f>
        <v>BUKIT TINGGI</v>
      </c>
      <c r="I83" s="222" t="str">
        <f>IFERROR(__xludf.DUMMYFUNCTION("""COMPUTED_VALUE"""),"Batch 1")</f>
        <v>Batch 1</v>
      </c>
      <c r="J83" s="225">
        <f>IFERROR(__xludf.DUMMYFUNCTION("""COMPUTED_VALUE"""),4.0)</f>
        <v>4</v>
      </c>
      <c r="K83" s="224">
        <f>IFERROR(__xludf.DUMMYFUNCTION("""COMPUTED_VALUE"""),32.0)</f>
        <v>32</v>
      </c>
      <c r="L83" s="226">
        <f>IFERROR(__xludf.DUMMYFUNCTION("""COMPUTED_VALUE"""),896532.0)</f>
        <v>896532</v>
      </c>
      <c r="M83" s="227">
        <f>IFERROR(__xludf.DUMMYFUNCTION("""COMPUTED_VALUE"""),2.8689024E7)</f>
        <v>28689024</v>
      </c>
      <c r="N83" s="222" t="str">
        <f>IFERROR(__xludf.DUMMYFUNCTION("""COMPUTED_VALUE"""),"PT TIGA AKSES MANDIRI")</f>
        <v>PT TIGA AKSES MANDIRI</v>
      </c>
      <c r="O83" s="222" t="str">
        <f>IFERROR(__xludf.DUMMYFUNCTION("""COMPUTED_VALUE"""),"8. UJI TERIMA")</f>
        <v>8. UJI TERIMA</v>
      </c>
      <c r="P83" s="222" t="str">
        <f>IFERROR(__xludf.DUMMYFUNCTION("""COMPUTED_VALUE"""),"8.1 Proses UT")</f>
        <v>8.1 Proses UT</v>
      </c>
      <c r="Q83" s="222" t="str">
        <f>IFERROR(__xludf.DUMMYFUNCTION("""COMPUTED_VALUE"""),"(04/02) menunggu UT, plan UT 05/02/2026 (01/02) : proses valins (29/01) proses delivery material  (21/01) proses CReate PID (07/01) Persiapan")</f>
        <v>(04/02) menunggu UT, plan UT 05/02/2026 (01/02) : proses valins (29/01) proses delivery material  (21/01) proses CReate PID (07/01) Persiapan</v>
      </c>
      <c r="R83" s="228">
        <f>IFERROR(__xludf.DUMMYFUNCTION("""COMPUTED_VALUE"""),46080.0)</f>
        <v>46080</v>
      </c>
      <c r="S83" s="11"/>
      <c r="T83" s="11"/>
      <c r="U83" s="11" t="str">
        <f>IFERROR(__xludf.DUMMYFUNCTION("""COMPUTED_VALUE"""),"TIF-2105/2026 26KT03R158-0019")</f>
        <v>TIF-2105/2026 26KT03R158-0019</v>
      </c>
      <c r="V83" s="229" t="str">
        <f>IFERROR(__xludf.DUMMYFUNCTION("""COMPUTED_VALUE"""),"JANUAR RIZAL")</f>
        <v>JANUAR RIZAL</v>
      </c>
      <c r="W83" s="229" t="str">
        <f>IFERROR(__xludf.DUMMYFUNCTION("""COMPUTED_VALUE"""),"MELKO NARWADI")</f>
        <v>MELKO NARWADI</v>
      </c>
      <c r="X83" s="229" t="str">
        <f>IFERROR(__xludf.DUMMYFUNCTION("""COMPUTED_VALUE"""),"GOLIVE")</f>
        <v>GOLIVE</v>
      </c>
      <c r="Y83" s="229" t="str">
        <f>IFERROR(__xludf.DUMMYFUNCTION("""COMPUTED_VALUE"""),"DONE")</f>
        <v>DONE</v>
      </c>
      <c r="Z83" s="229" t="str">
        <f>IFERROR(__xludf.DUMMYFUNCTION("""COMPUTED_VALUE"""),"#N/A")</f>
        <v>#N/A</v>
      </c>
      <c r="AA83" s="229">
        <f>IFERROR(__xludf.DUMMYFUNCTION("""COMPUTED_VALUE"""),4.0)</f>
        <v>4</v>
      </c>
      <c r="AB83" s="229"/>
      <c r="AC83" s="229" t="str">
        <f>IFERROR(__xludf.DUMMYFUNCTION("""COMPUTED_VALUE"""),"9052103#9052108")</f>
        <v>9052103#9052108</v>
      </c>
      <c r="AD83" s="232">
        <f>IFERROR(__xludf.DUMMYFUNCTION("""COMPUTED_VALUE"""),32.0)</f>
        <v>32</v>
      </c>
      <c r="AE83" s="233">
        <f>IFERROR(__xludf.DUMMYFUNCTION("""COMPUTED_VALUE"""),46060.0)</f>
        <v>46060</v>
      </c>
      <c r="AF83" s="54"/>
      <c r="AG83" s="54"/>
      <c r="AH83" s="54">
        <v>46080.0</v>
      </c>
      <c r="AI83" s="55">
        <f t="shared" si="27"/>
        <v>20</v>
      </c>
      <c r="AW83" s="234"/>
      <c r="BP83" s="11"/>
    </row>
    <row r="84" ht="18.0" customHeight="1">
      <c r="A84" s="222">
        <f>IFERROR(__xludf.DUMMYFUNCTION("""COMPUTED_VALUE"""),2026.0)</f>
        <v>2026</v>
      </c>
      <c r="B84" s="221">
        <f>IFERROR(__xludf.DUMMYFUNCTION("""COMPUTED_VALUE"""),1.2052763E7)</f>
        <v>12052763</v>
      </c>
      <c r="C84" s="222" t="str">
        <f>IFERROR(__xludf.DUMMYFUNCTION("""COMPUTED_VALUE"""),"SMB STTF Jorong Guci Muaro Pingai")</f>
        <v>SMB STTF Jorong Guci Muaro Pingai</v>
      </c>
      <c r="D84" s="222" t="str">
        <f>IFERROR(__xludf.DUMMYFUNCTION("""COMPUTED_VALUE"""),"REGIONAL I")</f>
        <v>REGIONAL I</v>
      </c>
      <c r="E84" s="222" t="str">
        <f>IFERROR(__xludf.DUMMYFUNCTION("""COMPUTED_VALUE"""),"SUMBAR")</f>
        <v>SUMBAR</v>
      </c>
      <c r="F84" s="222" t="str">
        <f>IFERROR(__xludf.DUMMYFUNCTION("""COMPUTED_VALUE"""),"SUM")</f>
        <v>SUM</v>
      </c>
      <c r="G84" s="222" t="str">
        <f>IFERROR(__xludf.DUMMYFUNCTION("""COMPUTED_VALUE"""),"SUMBAGTENG")</f>
        <v>SUMBAGTENG</v>
      </c>
      <c r="H84" s="222" t="str">
        <f>IFERROR(__xludf.DUMMYFUNCTION("""COMPUTED_VALUE"""),"PADANG")</f>
        <v>PADANG</v>
      </c>
      <c r="I84" s="222" t="str">
        <f>IFERROR(__xludf.DUMMYFUNCTION("""COMPUTED_VALUE"""),"Batch 1")</f>
        <v>Batch 1</v>
      </c>
      <c r="J84" s="225">
        <f>IFERROR(__xludf.DUMMYFUNCTION("""COMPUTED_VALUE"""),7.0)</f>
        <v>7</v>
      </c>
      <c r="K84" s="224">
        <f>IFERROR(__xludf.DUMMYFUNCTION("""COMPUTED_VALUE"""),56.0)</f>
        <v>56</v>
      </c>
      <c r="L84" s="226">
        <f>IFERROR(__xludf.DUMMYFUNCTION("""COMPUTED_VALUE"""),718533.0)</f>
        <v>718533</v>
      </c>
      <c r="M84" s="227">
        <f>IFERROR(__xludf.DUMMYFUNCTION("""COMPUTED_VALUE"""),4.0237818E7)</f>
        <v>40237818</v>
      </c>
      <c r="N84" s="222" t="str">
        <f>IFERROR(__xludf.DUMMYFUNCTION("""COMPUTED_VALUE"""),"PT TRI PENAMAS")</f>
        <v>PT TRI PENAMAS</v>
      </c>
      <c r="O84" s="222" t="str">
        <f>IFERROR(__xludf.DUMMYFUNCTION("""COMPUTED_VALUE"""),"8. UJI TERIMA")</f>
        <v>8. UJI TERIMA</v>
      </c>
      <c r="P84" s="222" t="str">
        <f>IFERROR(__xludf.DUMMYFUNCTION("""COMPUTED_VALUE"""),"8.1 Proses UT")</f>
        <v>8.1 Proses UT</v>
      </c>
      <c r="Q84" s="222" t="str">
        <f>IFERROR(__xludf.DUMMYFUNCTION("""COMPUTED_VALUE"""),"(18/02) DOne ABD masuk HI ke SDI 18/02 (05/02) proses tanam tiang (29/01) proses delivery material  (21/01) proses CReate PID (07/01) Persiapan")</f>
        <v>(18/02) DOne ABD masuk HI ke SDI 18/02 (05/02) proses tanam tiang (29/01) proses delivery material  (21/01) proses CReate PID (07/01) Persiapan</v>
      </c>
      <c r="R84" s="228">
        <f>IFERROR(__xludf.DUMMYFUNCTION("""COMPUTED_VALUE"""),46065.0)</f>
        <v>46065</v>
      </c>
      <c r="S84" s="11"/>
      <c r="T84" s="11"/>
      <c r="U84" s="11" t="str">
        <f>IFERROR(__xludf.DUMMYFUNCTION("""COMPUTED_VALUE"""),"TIF-2271/2026 26KT03R158-0023")</f>
        <v>TIF-2271/2026 26KT03R158-0023</v>
      </c>
      <c r="V84" s="229" t="str">
        <f>IFERROR(__xludf.DUMMYFUNCTION("""COMPUTED_VALUE"""),"FABIO RAHMAN")</f>
        <v>FABIO RAHMAN</v>
      </c>
      <c r="W84" s="229" t="str">
        <f>IFERROR(__xludf.DUMMYFUNCTION("""COMPUTED_VALUE"""),"MELKO NARWADI")</f>
        <v>MELKO NARWADI</v>
      </c>
      <c r="X84" s="229" t="str">
        <f>IFERROR(__xludf.DUMMYFUNCTION("""COMPUTED_VALUE"""),"GOLIVE")</f>
        <v>GOLIVE</v>
      </c>
      <c r="Y84" s="229" t="str">
        <f>IFERROR(__xludf.DUMMYFUNCTION("""COMPUTED_VALUE"""),"DONE")</f>
        <v>DONE</v>
      </c>
      <c r="Z84" s="229" t="str">
        <f>IFERROR(__xludf.DUMMYFUNCTION("""COMPUTED_VALUE"""),"#N/A")</f>
        <v>#N/A</v>
      </c>
      <c r="AA84" s="229">
        <f>IFERROR(__xludf.DUMMYFUNCTION("""COMPUTED_VALUE"""),4.0)</f>
        <v>4</v>
      </c>
      <c r="AB84" s="229"/>
      <c r="AC84" s="229" t="str">
        <f>IFERROR(__xludf.DUMMYFUNCTION("""COMPUTED_VALUE"""),"9123219#9123224  ")</f>
        <v>9123219#9123224  </v>
      </c>
      <c r="AD84" s="232">
        <f>IFERROR(__xludf.DUMMYFUNCTION("""COMPUTED_VALUE"""),32.0)</f>
        <v>32</v>
      </c>
      <c r="AE84" s="233">
        <f>IFERROR(__xludf.DUMMYFUNCTION("""COMPUTED_VALUE"""),46072.0)</f>
        <v>46072</v>
      </c>
      <c r="AF84" s="54"/>
      <c r="AG84" s="54"/>
      <c r="AH84" s="54">
        <v>46065.0</v>
      </c>
      <c r="AI84" s="55">
        <f t="shared" si="27"/>
        <v>-7</v>
      </c>
      <c r="AW84" s="234"/>
      <c r="BP84" s="11"/>
    </row>
    <row r="85" ht="18.0" customHeight="1">
      <c r="A85" s="222">
        <f>IFERROR(__xludf.DUMMYFUNCTION("""COMPUTED_VALUE"""),2026.0)</f>
        <v>2026</v>
      </c>
      <c r="B85" s="221">
        <f>IFERROR(__xludf.DUMMYFUNCTION("""COMPUTED_VALUE"""),1.2131945E7)</f>
        <v>12131945</v>
      </c>
      <c r="C85" s="222" t="str">
        <f>IFERROR(__xludf.DUMMYFUNCTION("""COMPUTED_VALUE"""),"SMB STTF Pamuatan PDS")</f>
        <v>SMB STTF Pamuatan PDS</v>
      </c>
      <c r="D85" s="222" t="str">
        <f>IFERROR(__xludf.DUMMYFUNCTION("""COMPUTED_VALUE"""),"REGIONAL I")</f>
        <v>REGIONAL I</v>
      </c>
      <c r="E85" s="222" t="str">
        <f>IFERROR(__xludf.DUMMYFUNCTION("""COMPUTED_VALUE"""),"SUMBAR")</f>
        <v>SUMBAR</v>
      </c>
      <c r="F85" s="222" t="str">
        <f>IFERROR(__xludf.DUMMYFUNCTION("""COMPUTED_VALUE"""),"PDS")</f>
        <v>PDS</v>
      </c>
      <c r="G85" s="222" t="str">
        <f>IFERROR(__xludf.DUMMYFUNCTION("""COMPUTED_VALUE"""),"SUMBAGTENG")</f>
        <v>SUMBAGTENG</v>
      </c>
      <c r="H85" s="222" t="str">
        <f>IFERROR(__xludf.DUMMYFUNCTION("""COMPUTED_VALUE"""),"PADANG")</f>
        <v>PADANG</v>
      </c>
      <c r="I85" s="222" t="str">
        <f>IFERROR(__xludf.DUMMYFUNCTION("""COMPUTED_VALUE"""),"Batch 1")</f>
        <v>Batch 1</v>
      </c>
      <c r="J85" s="225">
        <f>IFERROR(__xludf.DUMMYFUNCTION("""COMPUTED_VALUE"""),5.0)</f>
        <v>5</v>
      </c>
      <c r="K85" s="224">
        <f>IFERROR(__xludf.DUMMYFUNCTION("""COMPUTED_VALUE"""),40.0)</f>
        <v>40</v>
      </c>
      <c r="L85" s="226">
        <f>IFERROR(__xludf.DUMMYFUNCTION("""COMPUTED_VALUE"""),1026040.0)</f>
        <v>1026040</v>
      </c>
      <c r="M85" s="227">
        <f>IFERROR(__xludf.DUMMYFUNCTION("""COMPUTED_VALUE"""),4.1041571E7)</f>
        <v>41041571</v>
      </c>
      <c r="N85" s="222" t="str">
        <f>IFERROR(__xludf.DUMMYFUNCTION("""COMPUTED_VALUE"""),"PT TANJUNG PUTRA PRIMA")</f>
        <v>PT TANJUNG PUTRA PRIMA</v>
      </c>
      <c r="O85" s="222" t="str">
        <f>IFERROR(__xludf.DUMMYFUNCTION("""COMPUTED_VALUE"""),"0. DROP")</f>
        <v>0. DROP</v>
      </c>
      <c r="P85" s="222" t="str">
        <f>IFERROR(__xludf.DUMMYFUNCTION("""COMPUTED_VALUE"""),"0.1 Double Order")</f>
        <v>0.1 Double Order</v>
      </c>
      <c r="Q85" s="222" t="str">
        <f>IFERROR(__xludf.DUMMYFUNCTION("""COMPUTED_VALUE"""),"(27/01) kendala feeder ODC-PDS-FB rusak")</f>
        <v>(27/01) kendala feeder ODC-PDS-FB rusak</v>
      </c>
      <c r="R85" s="228"/>
      <c r="S85" s="11"/>
      <c r="T85" s="11"/>
      <c r="U85" s="11"/>
      <c r="V85" s="229" t="str">
        <f>IFERROR(__xludf.DUMMYFUNCTION("""COMPUTED_VALUE"""),"FABIO RAHMAN")</f>
        <v>FABIO RAHMAN</v>
      </c>
      <c r="W85" s="229" t="str">
        <f>IFERROR(__xludf.DUMMYFUNCTION("""COMPUTED_VALUE"""),"MELKO NARWADI")</f>
        <v>MELKO NARWADI</v>
      </c>
      <c r="X85" s="229" t="str">
        <f>IFERROR(__xludf.DUMMYFUNCTION("""COMPUTED_VALUE"""),"BELUM GOLIVE")</f>
        <v>BELUM GOLIVE</v>
      </c>
      <c r="Y85" s="229"/>
      <c r="Z85" s="229" t="str">
        <f>IFERROR(__xludf.DUMMYFUNCTION("""COMPUTED_VALUE"""),"#N/A")</f>
        <v>#N/A</v>
      </c>
      <c r="AA85" s="229"/>
      <c r="AB85" s="229"/>
      <c r="AC85" s="229"/>
      <c r="AD85" s="232"/>
      <c r="AE85" s="233"/>
      <c r="AF85" s="54"/>
      <c r="AG85" s="54"/>
      <c r="AH85" s="54"/>
      <c r="AI85" s="55" t="str">
        <f t="shared" si="27"/>
        <v/>
      </c>
      <c r="AW85" s="234"/>
      <c r="BP85" s="11"/>
    </row>
    <row r="86" ht="18.0" hidden="1" customHeight="1">
      <c r="A86" s="222">
        <f>IFERROR(__xludf.DUMMYFUNCTION("""COMPUTED_VALUE"""),2026.0)</f>
        <v>2026</v>
      </c>
      <c r="B86" s="221">
        <f>IFERROR(__xludf.DUMMYFUNCTION("""COMPUTED_VALUE"""),1.2108734E7)</f>
        <v>12108734</v>
      </c>
      <c r="C86" s="222" t="str">
        <f>IFERROR(__xludf.DUMMYFUNCTION("""COMPUTED_VALUE"""),"MDN PT3 TJR-FK GG.SABLON_MD25")</f>
        <v>MDN PT3 TJR-FK GG.SABLON_MD25</v>
      </c>
      <c r="D86" s="222" t="str">
        <f>IFERROR(__xludf.DUMMYFUNCTION("""COMPUTED_VALUE"""),"REGIONAL I")</f>
        <v>REGIONAL I</v>
      </c>
      <c r="E86" s="222" t="str">
        <f>IFERROR(__xludf.DUMMYFUNCTION("""COMPUTED_VALUE"""),"MEDAN")</f>
        <v>MEDAN</v>
      </c>
      <c r="F86" s="222" t="str">
        <f>IFERROR(__xludf.DUMMYFUNCTION("""COMPUTED_VALUE"""),"TJR")</f>
        <v>TJR</v>
      </c>
      <c r="G86" s="222" t="str">
        <f>IFERROR(__xludf.DUMMYFUNCTION("""COMPUTED_VALUE"""),"SUMBAGUT")</f>
        <v>SUMBAGUT</v>
      </c>
      <c r="H86" s="222" t="str">
        <f>IFERROR(__xludf.DUMMYFUNCTION("""COMPUTED_VALUE"""),"MEDAN")</f>
        <v>MEDAN</v>
      </c>
      <c r="I86" s="222" t="str">
        <f>IFERROR(__xludf.DUMMYFUNCTION("""COMPUTED_VALUE"""),"Batch 1")</f>
        <v>Batch 1</v>
      </c>
      <c r="J86" s="225">
        <f>IFERROR(__xludf.DUMMYFUNCTION("""COMPUTED_VALUE"""),7.0)</f>
        <v>7</v>
      </c>
      <c r="K86" s="224">
        <f>IFERROR(__xludf.DUMMYFUNCTION("""COMPUTED_VALUE"""),56.0)</f>
        <v>56</v>
      </c>
      <c r="L86" s="226">
        <f>IFERROR(__xludf.DUMMYFUNCTION("""COMPUTED_VALUE"""),1167599.0)</f>
        <v>1167599</v>
      </c>
      <c r="M86" s="227">
        <f>IFERROR(__xludf.DUMMYFUNCTION("""COMPUTED_VALUE"""),6.5385505E7)</f>
        <v>65385505</v>
      </c>
      <c r="N86" s="222" t="str">
        <f>IFERROR(__xludf.DUMMYFUNCTION("""COMPUTED_VALUE"""),"PT NIAGA NUSANTARA DIVA")</f>
        <v>PT NIAGA NUSANTARA DIVA</v>
      </c>
      <c r="O86" s="222" t="str">
        <f>IFERROR(__xludf.DUMMYFUNCTION("""COMPUTED_VALUE"""),"7. GOLIVE")</f>
        <v>7. GOLIVE</v>
      </c>
      <c r="P86" s="222" t="str">
        <f>IFERROR(__xludf.DUMMYFUNCTION("""COMPUTED_VALUE"""),"7.2 Golive Full / OA / DONE OTB")</f>
        <v>7.2 Golive Full / OA / DONE OTB</v>
      </c>
      <c r="Q86" s="222" t="str">
        <f>IFERROR(__xludf.DUMMYFUNCTION("""COMPUTED_VALUE"""),"22/04 golive sdi
21/04 pengecekan abd mancore
13/04 penarikan kabel
02/04 proses matrial terkendala overbudget
13/03 proses matrial
12/02 Survey lapangan dan core idle OK, proses ijin
29/01 pengecekan feeder ready, distribusi new
(07/01) Persiapan")</f>
        <v>22/04 golive sdi
21/04 pengecekan abd mancore
13/04 penarikan kabel
02/04 proses matrial terkendala overbudget
13/03 proses matrial
12/02 Survey lapangan dan core idle OK, proses ijin
29/01 pengecekan feeder ready, distribusi new
(07/01) Persiapan</v>
      </c>
      <c r="R86" s="228">
        <f>IFERROR(__xludf.DUMMYFUNCTION("""COMPUTED_VALUE"""),46133.0)</f>
        <v>46133</v>
      </c>
      <c r="S86" s="11" t="str">
        <f>IFERROR(__xludf.DUMMYFUNCTION("""COMPUTED_VALUE"""),"APR")</f>
        <v>APR</v>
      </c>
      <c r="T86" s="73"/>
      <c r="U86" s="11"/>
      <c r="V86" s="229" t="str">
        <f>IFERROR(__xludf.DUMMYFUNCTION("""COMPUTED_VALUE"""),"16/Apr/2026")</f>
        <v>16/Apr/2026</v>
      </c>
      <c r="W86" s="229"/>
      <c r="X86" s="229" t="str">
        <f>IFERROR(__xludf.DUMMYFUNCTION("""COMPUTED_VALUE"""),"GOLIVE")</f>
        <v>GOLIVE</v>
      </c>
      <c r="Y86" s="229" t="str">
        <f>IFERROR(__xludf.DUMMYFUNCTION("""COMPUTED_VALUE"""),"DONE")</f>
        <v>DONE</v>
      </c>
      <c r="Z86" s="229" t="str">
        <f>IFERROR(__xludf.DUMMYFUNCTION("""COMPUTED_VALUE"""),"#N/A")</f>
        <v>#N/A</v>
      </c>
      <c r="AA86" s="229">
        <f>IFERROR(__xludf.DUMMYFUNCTION("""COMPUTED_VALUE"""),7.0)</f>
        <v>7</v>
      </c>
      <c r="AB86" s="229"/>
      <c r="AC86" s="229" t="str">
        <f>IFERROR(__xludf.DUMMYFUNCTION("""COMPUTED_VALUE"""),"9295563#9295568")</f>
        <v>9295563#9295568</v>
      </c>
      <c r="AD86" s="232">
        <f>IFERROR(__xludf.DUMMYFUNCTION("""COMPUTED_VALUE"""),56.0)</f>
        <v>56</v>
      </c>
      <c r="AE86" s="233">
        <f>IFERROR(__xludf.DUMMYFUNCTION("""COMPUTED_VALUE"""),46133.0)</f>
        <v>46133</v>
      </c>
      <c r="AF86" s="54"/>
      <c r="AG86" s="54"/>
      <c r="AH86" s="54"/>
      <c r="AI86" s="55">
        <f t="shared" si="27"/>
        <v>0</v>
      </c>
      <c r="AW86" s="234"/>
      <c r="BP86" s="11"/>
    </row>
    <row r="87" ht="18.0" hidden="1" customHeight="1">
      <c r="A87" s="222">
        <f>IFERROR(__xludf.DUMMYFUNCTION("""COMPUTED_VALUE"""),2026.0)</f>
        <v>2026</v>
      </c>
      <c r="B87" s="221">
        <f>IFERROR(__xludf.DUMMYFUNCTION("""COMPUTED_VALUE"""),1.2109123E7)</f>
        <v>12109123</v>
      </c>
      <c r="C87" s="222" t="str">
        <f>IFERROR(__xludf.DUMMYFUNCTION("""COMPUTED_VALUE"""),"MDN PT3 TJR-FV GG.SEGITIGA_MD25")</f>
        <v>MDN PT3 TJR-FV GG.SEGITIGA_MD25</v>
      </c>
      <c r="D87" s="222" t="str">
        <f>IFERROR(__xludf.DUMMYFUNCTION("""COMPUTED_VALUE"""),"REGIONAL I")</f>
        <v>REGIONAL I</v>
      </c>
      <c r="E87" s="222" t="str">
        <f>IFERROR(__xludf.DUMMYFUNCTION("""COMPUTED_VALUE"""),"MEDAN")</f>
        <v>MEDAN</v>
      </c>
      <c r="F87" s="222" t="str">
        <f>IFERROR(__xludf.DUMMYFUNCTION("""COMPUTED_VALUE"""),"TJR")</f>
        <v>TJR</v>
      </c>
      <c r="G87" s="222" t="str">
        <f>IFERROR(__xludf.DUMMYFUNCTION("""COMPUTED_VALUE"""),"SUMBAGUT")</f>
        <v>SUMBAGUT</v>
      </c>
      <c r="H87" s="222" t="str">
        <f>IFERROR(__xludf.DUMMYFUNCTION("""COMPUTED_VALUE"""),"MEDAN")</f>
        <v>MEDAN</v>
      </c>
      <c r="I87" s="222" t="str">
        <f>IFERROR(__xludf.DUMMYFUNCTION("""COMPUTED_VALUE"""),"Batch 1")</f>
        <v>Batch 1</v>
      </c>
      <c r="J87" s="225">
        <f>IFERROR(__xludf.DUMMYFUNCTION("""COMPUTED_VALUE"""),2.0)</f>
        <v>2</v>
      </c>
      <c r="K87" s="224">
        <f>IFERROR(__xludf.DUMMYFUNCTION("""COMPUTED_VALUE"""),16.0)</f>
        <v>16</v>
      </c>
      <c r="L87" s="226">
        <f>IFERROR(__xludf.DUMMYFUNCTION("""COMPUTED_VALUE"""),760806.0)</f>
        <v>760806</v>
      </c>
      <c r="M87" s="227">
        <f>IFERROR(__xludf.DUMMYFUNCTION("""COMPUTED_VALUE"""),1.2172893E7)</f>
        <v>12172893</v>
      </c>
      <c r="N87" s="222" t="str">
        <f>IFERROR(__xludf.DUMMYFUNCTION("""COMPUTED_VALUE"""),"PT NIAGA NUSANTARA DIVA")</f>
        <v>PT NIAGA NUSANTARA DIVA</v>
      </c>
      <c r="O87" s="222" t="str">
        <f>IFERROR(__xludf.DUMMYFUNCTION("""COMPUTED_VALUE"""),"0. DROP")</f>
        <v>0. DROP</v>
      </c>
      <c r="P87" s="222" t="str">
        <f>IFERROR(__xludf.DUMMYFUNCTION("""COMPUTED_VALUE"""),"0.2 Tidak Dapat Izin Warga/Kades/Lurah/Developer")</f>
        <v>0.2 Tidak Dapat Izin Warga/Kades/Lurah/Developer</v>
      </c>
      <c r="Q87" s="222" t="str">
        <f>IFERROR(__xludf.DUMMYFUNCTION("""COMPUTED_VALUE"""),"29/01 survey lokasi tdk ada space tanam tiang
(07/01) Persiapan")</f>
        <v>29/01 survey lokasi tdk ada space tanam tiang
(07/01) Persiapan</v>
      </c>
      <c r="R87" s="228"/>
      <c r="S87" s="11"/>
      <c r="T87" s="11"/>
      <c r="U87" s="11"/>
      <c r="V87" s="229"/>
      <c r="W87" s="229"/>
      <c r="X87" s="229" t="str">
        <f>IFERROR(__xludf.DUMMYFUNCTION("""COMPUTED_VALUE"""),"BELUM GOLIVE")</f>
        <v>BELUM GOLIVE</v>
      </c>
      <c r="Y87" s="229"/>
      <c r="Z87" s="229" t="str">
        <f>IFERROR(__xludf.DUMMYFUNCTION("""COMPUTED_VALUE"""),"#N/A")</f>
        <v>#N/A</v>
      </c>
      <c r="AA87" s="229"/>
      <c r="AB87" s="229"/>
      <c r="AC87" s="229"/>
      <c r="AD87" s="232"/>
      <c r="AE87" s="233"/>
      <c r="AF87" s="54" t="str">
        <f>IFERROR(__xludf.DUMMYFUNCTION("""COMPUTED_VALUE"""),"Draft BA DROP")</f>
        <v>Draft BA DROP</v>
      </c>
      <c r="AG87" s="54"/>
      <c r="AH87" s="54"/>
      <c r="AI87" s="55" t="str">
        <f t="shared" si="27"/>
        <v/>
      </c>
      <c r="AW87" s="234"/>
      <c r="BP87" s="11"/>
    </row>
    <row r="88" ht="18.0" hidden="1" customHeight="1">
      <c r="A88" s="222">
        <f>IFERROR(__xludf.DUMMYFUNCTION("""COMPUTED_VALUE"""),2026.0)</f>
        <v>2026</v>
      </c>
      <c r="B88" s="221">
        <f>IFERROR(__xludf.DUMMYFUNCTION("""COMPUTED_VALUE"""),1.2110315E7)</f>
        <v>12110315</v>
      </c>
      <c r="C88" s="222" t="str">
        <f>IFERROR(__xludf.DUMMYFUNCTION("""COMPUTED_VALUE"""),"MDN PT3 BJI-FYA KOTA BINJAI_36804")</f>
        <v>MDN PT3 BJI-FYA KOTA BINJAI_36804</v>
      </c>
      <c r="D88" s="222" t="str">
        <f>IFERROR(__xludf.DUMMYFUNCTION("""COMPUTED_VALUE"""),"REGIONAL I")</f>
        <v>REGIONAL I</v>
      </c>
      <c r="E88" s="222" t="str">
        <f>IFERROR(__xludf.DUMMYFUNCTION("""COMPUTED_VALUE"""),"MEDAN")</f>
        <v>MEDAN</v>
      </c>
      <c r="F88" s="222" t="str">
        <f>IFERROR(__xludf.DUMMYFUNCTION("""COMPUTED_VALUE"""),"BJI")</f>
        <v>BJI</v>
      </c>
      <c r="G88" s="222" t="str">
        <f>IFERROR(__xludf.DUMMYFUNCTION("""COMPUTED_VALUE"""),"SUMBAGUT")</f>
        <v>SUMBAGUT</v>
      </c>
      <c r="H88" s="222" t="str">
        <f>IFERROR(__xludf.DUMMYFUNCTION("""COMPUTED_VALUE"""),"BINJAI")</f>
        <v>BINJAI</v>
      </c>
      <c r="I88" s="222" t="str">
        <f>IFERROR(__xludf.DUMMYFUNCTION("""COMPUTED_VALUE"""),"Batch 1")</f>
        <v>Batch 1</v>
      </c>
      <c r="J88" s="225">
        <f>IFERROR(__xludf.DUMMYFUNCTION("""COMPUTED_VALUE"""),3.0)</f>
        <v>3</v>
      </c>
      <c r="K88" s="224">
        <f>IFERROR(__xludf.DUMMYFUNCTION("""COMPUTED_VALUE"""),24.0)</f>
        <v>24</v>
      </c>
      <c r="L88" s="226">
        <f>IFERROR(__xludf.DUMMYFUNCTION("""COMPUTED_VALUE"""),613256.0)</f>
        <v>613256</v>
      </c>
      <c r="M88" s="227">
        <f>IFERROR(__xludf.DUMMYFUNCTION("""COMPUTED_VALUE"""),1.4718135E7)</f>
        <v>14718135</v>
      </c>
      <c r="N88" s="222" t="str">
        <f>IFERROR(__xludf.DUMMYFUNCTION("""COMPUTED_VALUE"""),"PT KENCANA RAYA INDONESIA")</f>
        <v>PT KENCANA RAYA INDONESIA</v>
      </c>
      <c r="O88" s="222" t="str">
        <f>IFERROR(__xludf.DUMMYFUNCTION("""COMPUTED_VALUE"""),"0. DROP")</f>
        <v>0. DROP</v>
      </c>
      <c r="P88" s="222" t="str">
        <f>IFERROR(__xludf.DUMMYFUNCTION("""COMPUTED_VALUE"""),"0.1 Double Order")</f>
        <v>0.1 Double Order</v>
      </c>
      <c r="Q88" s="222" t="str">
        <f>IFERROR(__xludf.DUMMYFUNCTION("""COMPUTED_VALUE"""),"20/04 SUDAH TERCOVER ALPRO EKSISTING 14/02 feeder distribusi ready
(07/01) Persiapan")</f>
        <v>20/04 SUDAH TERCOVER ALPRO EKSISTING 14/02 feeder distribusi ready
(07/01) Persiapan</v>
      </c>
      <c r="R88" s="228"/>
      <c r="S88" s="11"/>
      <c r="T88" s="73"/>
      <c r="U88" s="11"/>
      <c r="V88" s="229" t="str">
        <f>IFERROR(__xludf.DUMMYFUNCTION("""COMPUTED_VALUE"""),"28/Apr/2026")</f>
        <v>28/Apr/2026</v>
      </c>
      <c r="W88" s="229"/>
      <c r="X88" s="229" t="str">
        <f>IFERROR(__xludf.DUMMYFUNCTION("""COMPUTED_VALUE"""),"BELUM GOLIVE")</f>
        <v>BELUM GOLIVE</v>
      </c>
      <c r="Y88" s="229"/>
      <c r="Z88" s="229" t="str">
        <f>IFERROR(__xludf.DUMMYFUNCTION("""COMPUTED_VALUE"""),"#N/A")</f>
        <v>#N/A</v>
      </c>
      <c r="AA88" s="229"/>
      <c r="AB88" s="229"/>
      <c r="AC88" s="229"/>
      <c r="AD88" s="232"/>
      <c r="AE88" s="233"/>
      <c r="AF88" s="54"/>
      <c r="AG88" s="54"/>
      <c r="AH88" s="54"/>
      <c r="AI88" s="55" t="str">
        <f t="shared" si="27"/>
        <v/>
      </c>
      <c r="AW88" s="234"/>
      <c r="BP88" s="11"/>
    </row>
    <row r="89" ht="18.0" customHeight="1">
      <c r="A89" s="222">
        <f>IFERROR(__xludf.DUMMYFUNCTION("""COMPUTED_VALUE"""),2026.0)</f>
        <v>2026</v>
      </c>
      <c r="B89" s="221">
        <f>IFERROR(__xludf.DUMMYFUNCTION("""COMPUTED_VALUE"""),1.2268086E7)</f>
        <v>12268086</v>
      </c>
      <c r="C89" s="222" t="str">
        <f>IFERROR(__xludf.DUMMYFUNCTION("""COMPUTED_VALUE"""),"SMB PT3 Pratama Residence")</f>
        <v>SMB PT3 Pratama Residence</v>
      </c>
      <c r="D89" s="222" t="str">
        <f>IFERROR(__xludf.DUMMYFUNCTION("""COMPUTED_VALUE"""),"REGIONAL I")</f>
        <v>REGIONAL I</v>
      </c>
      <c r="E89" s="222" t="str">
        <f>IFERROR(__xludf.DUMMYFUNCTION("""COMPUTED_VALUE"""),"SUMBAR")</f>
        <v>SUMBAR</v>
      </c>
      <c r="F89" s="222" t="str">
        <f>IFERROR(__xludf.DUMMYFUNCTION("""COMPUTED_VALUE"""),"TLB")</f>
        <v>TLB</v>
      </c>
      <c r="G89" s="222" t="str">
        <f>IFERROR(__xludf.DUMMYFUNCTION("""COMPUTED_VALUE"""),"SUMBAGTENG")</f>
        <v>SUMBAGTENG</v>
      </c>
      <c r="H89" s="222" t="str">
        <f>IFERROR(__xludf.DUMMYFUNCTION("""COMPUTED_VALUE"""),"PADANG")</f>
        <v>PADANG</v>
      </c>
      <c r="I89" s="222" t="str">
        <f>IFERROR(__xludf.DUMMYFUNCTION("""COMPUTED_VALUE"""),"Batch 1")</f>
        <v>Batch 1</v>
      </c>
      <c r="J89" s="225">
        <f>IFERROR(__xludf.DUMMYFUNCTION("""COMPUTED_VALUE"""),4.0)</f>
        <v>4</v>
      </c>
      <c r="K89" s="224">
        <f>IFERROR(__xludf.DUMMYFUNCTION("""COMPUTED_VALUE"""),32.0)</f>
        <v>32</v>
      </c>
      <c r="L89" s="226">
        <f>IFERROR(__xludf.DUMMYFUNCTION("""COMPUTED_VALUE"""),873088.0)</f>
        <v>873088</v>
      </c>
      <c r="M89" s="227">
        <f>IFERROR(__xludf.DUMMYFUNCTION("""COMPUTED_VALUE"""),2.7938795E7)</f>
        <v>27938795</v>
      </c>
      <c r="N89" s="222" t="str">
        <f>IFERROR(__xludf.DUMMYFUNCTION("""COMPUTED_VALUE"""),"PT ALAM UTAMA MULIA")</f>
        <v>PT ALAM UTAMA MULIA</v>
      </c>
      <c r="O89" s="222" t="str">
        <f>IFERROR(__xludf.DUMMYFUNCTION("""COMPUTED_VALUE"""),"0. DROP")</f>
        <v>0. DROP</v>
      </c>
      <c r="P89" s="222" t="str">
        <f>IFERROR(__xludf.DUMMYFUNCTION("""COMPUTED_VALUE"""),"0.3 Feeder Full")</f>
        <v>0.3 Feeder Full</v>
      </c>
      <c r="Q89" s="222" t="str">
        <f>IFERROR(__xludf.DUMMYFUNCTION("""COMPUTED_VALUE"""),"(21/01) FEEDER ODC-TLB-FD FULL (08/01) Proses aanwijziing (07/01) Persiapan")</f>
        <v>(21/01) FEEDER ODC-TLB-FD FULL (08/01) Proses aanwijziing (07/01) Persiapan</v>
      </c>
      <c r="R89" s="228"/>
      <c r="S89" s="11"/>
      <c r="T89" s="11"/>
      <c r="U89" s="11"/>
      <c r="V89" s="229" t="str">
        <f>IFERROR(__xludf.DUMMYFUNCTION("""COMPUTED_VALUE"""),"ALDI EFENDI")</f>
        <v>ALDI EFENDI</v>
      </c>
      <c r="W89" s="229" t="str">
        <f>IFERROR(__xludf.DUMMYFUNCTION("""COMPUTED_VALUE"""),"MELKO NARWADI")</f>
        <v>MELKO NARWADI</v>
      </c>
      <c r="X89" s="229" t="str">
        <f>IFERROR(__xludf.DUMMYFUNCTION("""COMPUTED_VALUE"""),"BELUM GOLIVE")</f>
        <v>BELUM GOLIVE</v>
      </c>
      <c r="Y89" s="229"/>
      <c r="Z89" s="229" t="str">
        <f>IFERROR(__xludf.DUMMYFUNCTION("""COMPUTED_VALUE"""),"#N/A")</f>
        <v>#N/A</v>
      </c>
      <c r="AA89" s="229"/>
      <c r="AB89" s="229"/>
      <c r="AC89" s="229"/>
      <c r="AD89" s="232"/>
      <c r="AE89" s="233"/>
      <c r="AF89" s="54" t="str">
        <f>IFERROR(__xludf.DUMMYFUNCTION("""COMPUTED_VALUE"""),"Draft BA DROP")</f>
        <v>Draft BA DROP</v>
      </c>
      <c r="AG89" s="54"/>
      <c r="AH89" s="54"/>
      <c r="AI89" s="55" t="str">
        <f t="shared" si="27"/>
        <v/>
      </c>
      <c r="AW89" s="234"/>
      <c r="BP89" s="11"/>
    </row>
    <row r="90" ht="18.0" hidden="1" customHeight="1">
      <c r="A90" s="222">
        <f>IFERROR(__xludf.DUMMYFUNCTION("""COMPUTED_VALUE"""),2026.0)</f>
        <v>2026</v>
      </c>
      <c r="B90" s="221">
        <f>IFERROR(__xludf.DUMMYFUNCTION("""COMPUTED_VALUE"""),1.191169E7)</f>
        <v>11911690</v>
      </c>
      <c r="C90" s="222" t="str">
        <f>IFERROR(__xludf.DUMMYFUNCTION("""COMPUTED_VALUE"""),"MDN PT3 TJR-FQ 250_1560_1705")</f>
        <v>MDN PT3 TJR-FQ 250_1560_1705</v>
      </c>
      <c r="D90" s="222" t="str">
        <f>IFERROR(__xludf.DUMMYFUNCTION("""COMPUTED_VALUE"""),"REGIONAL I")</f>
        <v>REGIONAL I</v>
      </c>
      <c r="E90" s="222" t="str">
        <f>IFERROR(__xludf.DUMMYFUNCTION("""COMPUTED_VALUE"""),"MEDAN")</f>
        <v>MEDAN</v>
      </c>
      <c r="F90" s="222" t="str">
        <f>IFERROR(__xludf.DUMMYFUNCTION("""COMPUTED_VALUE"""),"TJR")</f>
        <v>TJR</v>
      </c>
      <c r="G90" s="222" t="str">
        <f>IFERROR(__xludf.DUMMYFUNCTION("""COMPUTED_VALUE"""),"SUMBAGUT")</f>
        <v>SUMBAGUT</v>
      </c>
      <c r="H90" s="222" t="str">
        <f>IFERROR(__xludf.DUMMYFUNCTION("""COMPUTED_VALUE"""),"MEDAN")</f>
        <v>MEDAN</v>
      </c>
      <c r="I90" s="222" t="str">
        <f>IFERROR(__xludf.DUMMYFUNCTION("""COMPUTED_VALUE"""),"Batch 1")</f>
        <v>Batch 1</v>
      </c>
      <c r="J90" s="225">
        <f>IFERROR(__xludf.DUMMYFUNCTION("""COMPUTED_VALUE"""),2.0)</f>
        <v>2</v>
      </c>
      <c r="K90" s="224">
        <f>IFERROR(__xludf.DUMMYFUNCTION("""COMPUTED_VALUE"""),16.0)</f>
        <v>16</v>
      </c>
      <c r="L90" s="226">
        <f>IFERROR(__xludf.DUMMYFUNCTION("""COMPUTED_VALUE"""),817340.0)</f>
        <v>817340</v>
      </c>
      <c r="M90" s="227">
        <f>IFERROR(__xludf.DUMMYFUNCTION("""COMPUTED_VALUE"""),1.3077425E7)</f>
        <v>13077425</v>
      </c>
      <c r="N90" s="222" t="str">
        <f>IFERROR(__xludf.DUMMYFUNCTION("""COMPUTED_VALUE"""),"PT NIAGA NUSANTARA DIVA")</f>
        <v>PT NIAGA NUSANTARA DIVA</v>
      </c>
      <c r="O90" s="222" t="str">
        <f>IFERROR(__xludf.DUMMYFUNCTION("""COMPUTED_VALUE"""),"7. GOLIVE")</f>
        <v>7. GOLIVE</v>
      </c>
      <c r="P90" s="222" t="str">
        <f>IFERROR(__xludf.DUMMYFUNCTION("""COMPUTED_VALUE"""),"7.2 Golive Full / OA / DONE OTB")</f>
        <v>7.2 Golive Full / OA / DONE OTB</v>
      </c>
      <c r="Q90" s="222" t="str">
        <f>IFERROR(__xludf.DUMMYFUNCTION("""COMPUTED_VALUE"""),"25/02 pengecekan abd mancore
20/02 pemasangan odp
18/02 input matrial
29/01 feeder ok ,dist ok
(07/01) Persiapan")</f>
        <v>25/02 pengecekan abd mancore
20/02 pemasangan odp
18/02 input matrial
29/01 feeder ok ,dist ok
(07/01) Persiapan</v>
      </c>
      <c r="R90" s="228"/>
      <c r="S90" s="11"/>
      <c r="T90" s="11"/>
      <c r="U90" s="11" t="str">
        <f>IFERROR(__xludf.DUMMYFUNCTION("""COMPUTED_VALUE"""),"TIF-5876/2026")</f>
        <v>TIF-5876/2026</v>
      </c>
      <c r="V90" s="229"/>
      <c r="W90" s="229"/>
      <c r="X90" s="229" t="str">
        <f>IFERROR(__xludf.DUMMYFUNCTION("""COMPUTED_VALUE"""),"GOLIVE")</f>
        <v>GOLIVE</v>
      </c>
      <c r="Y90" s="229" t="str">
        <f>IFERROR(__xludf.DUMMYFUNCTION("""COMPUTED_VALUE"""),"DONE")</f>
        <v>DONE</v>
      </c>
      <c r="Z90" s="229" t="str">
        <f>IFERROR(__xludf.DUMMYFUNCTION("""COMPUTED_VALUE"""),"#N/A")</f>
        <v>#N/A</v>
      </c>
      <c r="AA90" s="229">
        <f>IFERROR(__xludf.DUMMYFUNCTION("""COMPUTED_VALUE"""),2.0)</f>
        <v>2</v>
      </c>
      <c r="AB90" s="229"/>
      <c r="AC90" s="229" t="str">
        <f>IFERROR(__xludf.DUMMYFUNCTION("""COMPUTED_VALUE"""),"9152472#9152477")</f>
        <v>9152472#9152477</v>
      </c>
      <c r="AD90" s="232">
        <f>IFERROR(__xludf.DUMMYFUNCTION("""COMPUTED_VALUE"""),16.0)</f>
        <v>16</v>
      </c>
      <c r="AE90" s="233">
        <f>IFERROR(__xludf.DUMMYFUNCTION("""COMPUTED_VALUE"""),46079.0)</f>
        <v>46079</v>
      </c>
      <c r="AF90" s="54"/>
      <c r="AG90" s="54"/>
      <c r="AH90" s="54"/>
      <c r="AI90" s="55" t="str">
        <f t="shared" si="27"/>
        <v/>
      </c>
      <c r="AW90" s="234"/>
      <c r="BP90" s="11"/>
      <c r="BQ90" s="11"/>
      <c r="BR90" s="235"/>
      <c r="BV90" s="158"/>
      <c r="BY90" s="236"/>
      <c r="CB90" s="158"/>
    </row>
    <row r="91" ht="18.0" hidden="1" customHeight="1">
      <c r="A91" s="222">
        <f>IFERROR(__xludf.DUMMYFUNCTION("""COMPUTED_VALUE"""),2026.0)</f>
        <v>2026</v>
      </c>
      <c r="B91" s="221">
        <f>IFERROR(__xludf.DUMMYFUNCTION("""COMPUTED_VALUE"""),1.191173E7)</f>
        <v>11911730</v>
      </c>
      <c r="C91" s="222" t="str">
        <f>IFERROR(__xludf.DUMMYFUNCTION("""COMPUTED_VALUE"""),"MDN PT3 GLG-FE DELI SERDANG_108112_MD25")</f>
        <v>MDN PT3 GLG-FE DELI SERDANG_108112_MD25</v>
      </c>
      <c r="D91" s="222" t="str">
        <f>IFERROR(__xludf.DUMMYFUNCTION("""COMPUTED_VALUE"""),"REGIONAL I")</f>
        <v>REGIONAL I</v>
      </c>
      <c r="E91" s="222" t="str">
        <f>IFERROR(__xludf.DUMMYFUNCTION("""COMPUTED_VALUE"""),"MEDAN")</f>
        <v>MEDAN</v>
      </c>
      <c r="F91" s="222" t="str">
        <f>IFERROR(__xludf.DUMMYFUNCTION("""COMPUTED_VALUE"""),"GLG")</f>
        <v>GLG</v>
      </c>
      <c r="G91" s="222" t="str">
        <f>IFERROR(__xludf.DUMMYFUNCTION("""COMPUTED_VALUE"""),"SUMBAGUT")</f>
        <v>SUMBAGUT</v>
      </c>
      <c r="H91" s="222" t="str">
        <f>IFERROR(__xludf.DUMMYFUNCTION("""COMPUTED_VALUE"""),"MEDAN")</f>
        <v>MEDAN</v>
      </c>
      <c r="I91" s="222" t="str">
        <f>IFERROR(__xludf.DUMMYFUNCTION("""COMPUTED_VALUE"""),"Batch 1")</f>
        <v>Batch 1</v>
      </c>
      <c r="J91" s="225">
        <f>IFERROR(__xludf.DUMMYFUNCTION("""COMPUTED_VALUE"""),2.0)</f>
        <v>2</v>
      </c>
      <c r="K91" s="224">
        <f>IFERROR(__xludf.DUMMYFUNCTION("""COMPUTED_VALUE"""),16.0)</f>
        <v>16</v>
      </c>
      <c r="L91" s="226">
        <f>IFERROR(__xludf.DUMMYFUNCTION("""COMPUTED_VALUE"""),887615.0)</f>
        <v>887615</v>
      </c>
      <c r="M91" s="227">
        <f>IFERROR(__xludf.DUMMYFUNCTION("""COMPUTED_VALUE"""),1.4201837E7)</f>
        <v>14201837</v>
      </c>
      <c r="N91" s="222" t="str">
        <f>IFERROR(__xludf.DUMMYFUNCTION("""COMPUTED_VALUE"""),"PT NIAGA NUSANTARA DIVA")</f>
        <v>PT NIAGA NUSANTARA DIVA</v>
      </c>
      <c r="O91" s="222" t="str">
        <f>IFERROR(__xludf.DUMMYFUNCTION("""COMPUTED_VALUE"""),"0. DROP")</f>
        <v>0. DROP</v>
      </c>
      <c r="P91" s="222" t="str">
        <f>IFERROR(__xludf.DUMMYFUNCTION("""COMPUTED_VALUE"""),"0.1 Double Order")</f>
        <v>0.1 Double Order</v>
      </c>
      <c r="Q91" s="222" t="str">
        <f>IFERROR(__xludf.DUMMYFUNCTION("""COMPUTED_VALUE"""),"05/02 feeder penuh
(07/01) Persiapan")</f>
        <v>05/02 feeder penuh
(07/01) Persiapan</v>
      </c>
      <c r="R91" s="228"/>
      <c r="S91" s="11"/>
      <c r="T91" s="11"/>
      <c r="U91" s="11"/>
      <c r="V91" s="229"/>
      <c r="W91" s="229"/>
      <c r="X91" s="229" t="str">
        <f>IFERROR(__xludf.DUMMYFUNCTION("""COMPUTED_VALUE"""),"BELUM GOLIVE")</f>
        <v>BELUM GOLIVE</v>
      </c>
      <c r="Y91" s="229"/>
      <c r="Z91" s="229" t="str">
        <f>IFERROR(__xludf.DUMMYFUNCTION("""COMPUTED_VALUE"""),"#N/A")</f>
        <v>#N/A</v>
      </c>
      <c r="AA91" s="229"/>
      <c r="AB91" s="229"/>
      <c r="AC91" s="229"/>
      <c r="AD91" s="232"/>
      <c r="AE91" s="233"/>
      <c r="AF91" s="54"/>
      <c r="AG91" s="54"/>
      <c r="AH91" s="54"/>
      <c r="AI91" s="55" t="str">
        <f t="shared" si="27"/>
        <v/>
      </c>
      <c r="AW91" s="234"/>
      <c r="BP91" s="11"/>
      <c r="BQ91" s="11"/>
      <c r="BR91" s="235"/>
      <c r="BV91" s="158"/>
      <c r="BY91" s="158"/>
      <c r="CB91" s="158"/>
    </row>
    <row r="92" ht="18.0" hidden="1" customHeight="1">
      <c r="A92" s="222">
        <f>IFERROR(__xludf.DUMMYFUNCTION("""COMPUTED_VALUE"""),2026.0)</f>
        <v>2026</v>
      </c>
      <c r="B92" s="221">
        <f>IFERROR(__xludf.DUMMYFUNCTION("""COMPUTED_VALUE"""),1.2085501E7)</f>
        <v>12085501</v>
      </c>
      <c r="C92" s="222" t="str">
        <f>IFERROR(__xludf.DUMMYFUNCTION("""COMPUTED_VALUE"""),"MDN PT3 LBP-FQ DELI SERDANG_108228")</f>
        <v>MDN PT3 LBP-FQ DELI SERDANG_108228</v>
      </c>
      <c r="D92" s="222" t="str">
        <f>IFERROR(__xludf.DUMMYFUNCTION("""COMPUTED_VALUE"""),"REGIONAL I")</f>
        <v>REGIONAL I</v>
      </c>
      <c r="E92" s="222" t="str">
        <f>IFERROR(__xludf.DUMMYFUNCTION("""COMPUTED_VALUE"""),"MEDAN")</f>
        <v>MEDAN</v>
      </c>
      <c r="F92" s="222" t="str">
        <f>IFERROR(__xludf.DUMMYFUNCTION("""COMPUTED_VALUE"""),"LBP")</f>
        <v>LBP</v>
      </c>
      <c r="G92" s="222" t="str">
        <f>IFERROR(__xludf.DUMMYFUNCTION("""COMPUTED_VALUE"""),"SUMBAGUT")</f>
        <v>SUMBAGUT</v>
      </c>
      <c r="H92" s="222" t="str">
        <f>IFERROR(__xludf.DUMMYFUNCTION("""COMPUTED_VALUE"""),"MEDAN")</f>
        <v>MEDAN</v>
      </c>
      <c r="I92" s="222" t="str">
        <f>IFERROR(__xludf.DUMMYFUNCTION("""COMPUTED_VALUE"""),"Batch 1")</f>
        <v>Batch 1</v>
      </c>
      <c r="J92" s="225">
        <f>IFERROR(__xludf.DUMMYFUNCTION("""COMPUTED_VALUE"""),2.0)</f>
        <v>2</v>
      </c>
      <c r="K92" s="224">
        <f>IFERROR(__xludf.DUMMYFUNCTION("""COMPUTED_VALUE"""),16.0)</f>
        <v>16</v>
      </c>
      <c r="L92" s="226">
        <f>IFERROR(__xludf.DUMMYFUNCTION("""COMPUTED_VALUE"""),1370538.0)</f>
        <v>1370538</v>
      </c>
      <c r="M92" s="227">
        <f>IFERROR(__xludf.DUMMYFUNCTION("""COMPUTED_VALUE"""),2.19286E7)</f>
        <v>21928600</v>
      </c>
      <c r="N92" s="222" t="str">
        <f>IFERROR(__xludf.DUMMYFUNCTION("""COMPUTED_VALUE"""),"PT NIAGA NUSANTARA DIVA")</f>
        <v>PT NIAGA NUSANTARA DIVA</v>
      </c>
      <c r="O92" s="222" t="str">
        <f>IFERROR(__xludf.DUMMYFUNCTION("""COMPUTED_VALUE"""),"0. DROP")</f>
        <v>0. DROP</v>
      </c>
      <c r="P92" s="222" t="str">
        <f>IFERROR(__xludf.DUMMYFUNCTION("""COMPUTED_VALUE"""),"0.4 CPP Tinggi Acc ED TIF")</f>
        <v>0.4 CPP Tinggi Acc ED TIF</v>
      </c>
      <c r="Q92" s="222" t="str">
        <f>IFERROR(__xludf.DUMMYFUNCTION("""COMPUTED_VALUE"""),"11/02 depedensi 11389460 MDN PT3 LBP-FQ DESA PEMATANG BIARA
(07/01) Persiapan")</f>
        <v>11/02 depedensi 11389460 MDN PT3 LBP-FQ DESA PEMATANG BIARA
(07/01) Persiapan</v>
      </c>
      <c r="R92" s="228"/>
      <c r="S92" s="11"/>
      <c r="T92" s="11"/>
      <c r="U92" s="11"/>
      <c r="V92" s="229"/>
      <c r="W92" s="229"/>
      <c r="X92" s="229" t="str">
        <f>IFERROR(__xludf.DUMMYFUNCTION("""COMPUTED_VALUE"""),"BELUM GOLIVE")</f>
        <v>BELUM GOLIVE</v>
      </c>
      <c r="Y92" s="229"/>
      <c r="Z92" s="229" t="str">
        <f>IFERROR(__xludf.DUMMYFUNCTION("""COMPUTED_VALUE"""),"#N/A")</f>
        <v>#N/A</v>
      </c>
      <c r="AA92" s="229"/>
      <c r="AB92" s="229"/>
      <c r="AC92" s="229"/>
      <c r="AD92" s="232"/>
      <c r="AE92" s="233"/>
      <c r="AF92" s="54" t="str">
        <f>IFERROR(__xludf.DUMMYFUNCTION("""COMPUTED_VALUE"""),"Draft BA DROP")</f>
        <v>Draft BA DROP</v>
      </c>
      <c r="AG92" s="54"/>
      <c r="AH92" s="54"/>
      <c r="AI92" s="55" t="str">
        <f t="shared" si="27"/>
        <v/>
      </c>
      <c r="AW92" s="234"/>
      <c r="BP92" s="11"/>
      <c r="BQ92" s="11"/>
      <c r="BR92" s="235"/>
      <c r="BV92" s="158"/>
      <c r="BY92" s="158"/>
      <c r="CB92" s="158"/>
    </row>
    <row r="93" ht="18.0" hidden="1" customHeight="1">
      <c r="A93" s="222">
        <f>IFERROR(__xludf.DUMMYFUNCTION("""COMPUTED_VALUE"""),2026.0)</f>
        <v>2026</v>
      </c>
      <c r="B93" s="221">
        <f>IFERROR(__xludf.DUMMYFUNCTION("""COMPUTED_VALUE"""),1.0991341E7)</f>
        <v>10991341</v>
      </c>
      <c r="C93" s="222" t="str">
        <f>IFERROR(__xludf.DUMMYFUNCTION("""COMPUTED_VALUE"""),"MDN PT3 P7I2 GLG-FQ PERUM ABDILLAND II")</f>
        <v>MDN PT3 P7I2 GLG-FQ PERUM ABDILLAND II</v>
      </c>
      <c r="D93" s="222" t="str">
        <f>IFERROR(__xludf.DUMMYFUNCTION("""COMPUTED_VALUE"""),"REGIONAL I")</f>
        <v>REGIONAL I</v>
      </c>
      <c r="E93" s="222" t="str">
        <f>IFERROR(__xludf.DUMMYFUNCTION("""COMPUTED_VALUE"""),"MEDAN")</f>
        <v>MEDAN</v>
      </c>
      <c r="F93" s="222" t="str">
        <f>IFERROR(__xludf.DUMMYFUNCTION("""COMPUTED_VALUE"""),"GLG")</f>
        <v>GLG</v>
      </c>
      <c r="G93" s="222" t="str">
        <f>IFERROR(__xludf.DUMMYFUNCTION("""COMPUTED_VALUE"""),"SUMBAGUT")</f>
        <v>SUMBAGUT</v>
      </c>
      <c r="H93" s="222" t="str">
        <f>IFERROR(__xludf.DUMMYFUNCTION("""COMPUTED_VALUE"""),"MEDAN")</f>
        <v>MEDAN</v>
      </c>
      <c r="I93" s="222" t="str">
        <f>IFERROR(__xludf.DUMMYFUNCTION("""COMPUTED_VALUE"""),"Batch 1")</f>
        <v>Batch 1</v>
      </c>
      <c r="J93" s="225">
        <f>IFERROR(__xludf.DUMMYFUNCTION("""COMPUTED_VALUE"""),3.0)</f>
        <v>3</v>
      </c>
      <c r="K93" s="224">
        <f>IFERROR(__xludf.DUMMYFUNCTION("""COMPUTED_VALUE"""),24.0)</f>
        <v>24</v>
      </c>
      <c r="L93" s="226">
        <f>IFERROR(__xludf.DUMMYFUNCTION("""COMPUTED_VALUE"""),652695.0)</f>
        <v>652695</v>
      </c>
      <c r="M93" s="227">
        <f>IFERROR(__xludf.DUMMYFUNCTION("""COMPUTED_VALUE"""),1.566466E7)</f>
        <v>15664660</v>
      </c>
      <c r="N93" s="222" t="str">
        <f>IFERROR(__xludf.DUMMYFUNCTION("""COMPUTED_VALUE"""),"PT UPAYA TEKNIK")</f>
        <v>PT UPAYA TEKNIK</v>
      </c>
      <c r="O93" s="222" t="str">
        <f>IFERROR(__xludf.DUMMYFUNCTION("""COMPUTED_VALUE"""),"0. DROP")</f>
        <v>0. DROP</v>
      </c>
      <c r="P93" s="222" t="str">
        <f>IFERROR(__xludf.DUMMYFUNCTION("""COMPUTED_VALUE"""),"0.1 Double Order")</f>
        <v>0.1 Double Order</v>
      </c>
      <c r="Q93" s="222" t="str">
        <f>IFERROR(__xludf.DUMMYFUNCTION("""COMPUTED_VALUE"""),"09/03 GLG-FQ feeder redting
(07/01) Persiapan")</f>
        <v>09/03 GLG-FQ feeder redting
(07/01) Persiapan</v>
      </c>
      <c r="R93" s="228"/>
      <c r="S93" s="11"/>
      <c r="T93" s="11"/>
      <c r="U93" s="11"/>
      <c r="V93" s="229"/>
      <c r="W93" s="229"/>
      <c r="X93" s="229" t="str">
        <f>IFERROR(__xludf.DUMMYFUNCTION("""COMPUTED_VALUE"""),"BELUM GOLIVE")</f>
        <v>BELUM GOLIVE</v>
      </c>
      <c r="Y93" s="229"/>
      <c r="Z93" s="229" t="str">
        <f>IFERROR(__xludf.DUMMYFUNCTION("""COMPUTED_VALUE"""),"#N/A")</f>
        <v>#N/A</v>
      </c>
      <c r="AA93" s="229"/>
      <c r="AB93" s="229"/>
      <c r="AC93" s="229"/>
      <c r="AD93" s="232"/>
      <c r="AE93" s="233"/>
      <c r="AF93" s="54"/>
      <c r="AG93" s="54"/>
      <c r="AH93" s="54"/>
      <c r="AI93" s="55" t="str">
        <f t="shared" si="27"/>
        <v/>
      </c>
      <c r="AW93" s="234"/>
      <c r="BP93" s="11"/>
      <c r="BQ93" s="11"/>
      <c r="BR93" s="235"/>
      <c r="BV93" s="158"/>
      <c r="BY93" s="158"/>
      <c r="CB93" s="158"/>
    </row>
    <row r="94" ht="18.0" hidden="1" customHeight="1">
      <c r="A94" s="222">
        <f>IFERROR(__xludf.DUMMYFUNCTION("""COMPUTED_VALUE"""),2026.0)</f>
        <v>2026</v>
      </c>
      <c r="B94" s="221">
        <f>IFERROR(__xludf.DUMMYFUNCTION("""COMPUTED_VALUE"""),1.2408402E7)</f>
        <v>12408402</v>
      </c>
      <c r="C94" s="222" t="str">
        <f>IFERROR(__xludf.DUMMYFUNCTION("""COMPUTED_VALUE"""),"SMU ODC-PMS-FBB D06 54864")</f>
        <v>SMU ODC-PMS-FBB D06 54864</v>
      </c>
      <c r="D94" s="222" t="str">
        <f>IFERROR(__xludf.DUMMYFUNCTION("""COMPUTED_VALUE"""),"REGIONAL I")</f>
        <v>REGIONAL I</v>
      </c>
      <c r="E94" s="222" t="str">
        <f>IFERROR(__xludf.DUMMYFUNCTION("""COMPUTED_VALUE"""),"SUMUT")</f>
        <v>SUMUT</v>
      </c>
      <c r="F94" s="222" t="str">
        <f>IFERROR(__xludf.DUMMYFUNCTION("""COMPUTED_VALUE"""),"PMS")</f>
        <v>PMS</v>
      </c>
      <c r="G94" s="222" t="str">
        <f>IFERROR(__xludf.DUMMYFUNCTION("""COMPUTED_VALUE"""),"SUMBAGUT")</f>
        <v>SUMBAGUT</v>
      </c>
      <c r="H94" s="222" t="str">
        <f>IFERROR(__xludf.DUMMYFUNCTION("""COMPUTED_VALUE"""),"PEMATANG SIANTAR")</f>
        <v>PEMATANG SIANTAR</v>
      </c>
      <c r="I94" s="222" t="str">
        <f>IFERROR(__xludf.DUMMYFUNCTION("""COMPUTED_VALUE"""),"Batch 1")</f>
        <v>Batch 1</v>
      </c>
      <c r="J94" s="225">
        <f>IFERROR(__xludf.DUMMYFUNCTION("""COMPUTED_VALUE"""),24.0)</f>
        <v>24</v>
      </c>
      <c r="K94" s="224">
        <f>IFERROR(__xludf.DUMMYFUNCTION("""COMPUTED_VALUE"""),192.0)</f>
        <v>192</v>
      </c>
      <c r="L94" s="226">
        <f>IFERROR(__xludf.DUMMYFUNCTION("""COMPUTED_VALUE"""),1392427.0)</f>
        <v>1392427</v>
      </c>
      <c r="M94" s="227">
        <f>IFERROR(__xludf.DUMMYFUNCTION("""COMPUTED_VALUE"""),2.67345912E8)</f>
        <v>267345912</v>
      </c>
      <c r="N94" s="222" t="str">
        <f>IFERROR(__xludf.DUMMYFUNCTION("""COMPUTED_VALUE"""),"PT CAHAYA PERMATA MANDIRI")</f>
        <v>PT CAHAYA PERMATA MANDIRI</v>
      </c>
      <c r="O94" s="222" t="str">
        <f>IFERROR(__xludf.DUMMYFUNCTION("""COMPUTED_VALUE"""),"0. DROP")</f>
        <v>0. DROP</v>
      </c>
      <c r="P94" s="222" t="str">
        <f>IFERROR(__xludf.DUMMYFUNCTION("""COMPUTED_VALUE"""),"0.4 CPP Tinggi Acc ED TIF")</f>
        <v>0.4 CPP Tinggi Acc ED TIF</v>
      </c>
      <c r="Q94" s="222" t="str">
        <f>IFERROR(__xludf.DUMMYFUNCTION("""COMPUTED_VALUE"""),"3/3 meeting ED1-ED-RSBU-TA1: drop cpp tinggi 2/3 kenaikan cpp dari 1,2 ke 1,4,   27/2 kenaikan cpp dari 1,2 ke 1,4,  25/2 kenaikan cpp dari 1,2 ke 1,4,  24/2 kenaikan cpp dari 1,2 ke 1,4,  23/2 kenaikan cpp dari 1,2 ke 1,4, 20/2 plan submit boq hari ini, "&amp;"19/2 plan subit boq redesign besok 20 feb, 18/2 menunggu boq kml hasil redesign , 16/2 menunggu boq kml hasil redesign, 13/2 menunggu boq kml hasil redesign, 12/2 menunggu boq kml hasil redesign, 11/2 menunggu boq kml hasil redesign, 10/2 menunggu boq kml"&amp;" hasil redesign, 9/2 menunggu boq kmlm redesign dari tif/sdi, 6/2 menunggu boq kmlm redesign dari tif/sdi,  5/2 menunggu boq kmlm redesign dari tif/sdi, 4/2 menunggu boq kml  hasil redesign, 3/2 prepair team untuk survey hasil redesign, 2/2 prepair team u"&amp;"ntuk survey hasil redesign,  1/2 prepair team untuk survey hasil redesign, 30/1 prepair team untuk survey hasil redesign, 28/1 plan besok 29/1 survey ulamng terkait redesign, 27/1 menunggu boq kml survey, plan pengurangan 2 odp, incloude kebutuhan qe ( fe"&amp;"eder sisa 5 , 1 c19 cut di 3km, stub pasif idle 2 , kebutuhan feder 6 core), 26/1 menunggu boq kml survey, plan pengurangan 2 odp, incloude kebutuhan qe ( feeder sisa 5 , 1 c19 cut di 3km, stub pasif idle 2 , kebutuhan feder 6 core), 23/1 menunggu boq kml"&amp;" survey, plan pengurangan 2 odp, incloude kebutuhan qe ( feeder sisa 5 , 1 c19 cut di 3km, stub pasif idle 2 , kebutuhan feder 6 core), 22/1 menunggu boq kml survey, plan pengurangan 2 odp, incloude kebutuhan qe ( feeder sisa 5 , 1 c19 cut di 3km, stub pa"&amp;"sif idle 2 , kebutuhan feder 6 core),  21/1 menunggu boq kml survey, plan pengurangan 2 odp, proses boq kml hasil survey incloude kebutuhan qe ( feeder sisa 5 , 1 c19 cut di 3km, stub pasif idle 2 , kebutuhan feder 6 core), 20/1 (menunggu info tif dan tse"&amp;"l) plan pengurangan 2 odp, proses boq kml hasil survey incloude kebutuhan qe ( feeder sisa 5 , 1 c19 cut di 3km, stub pasif idle 2 , kebutuhan feder 6 core), 19/1 proses boq kml hasil survey incloude kebutuhan qe ( feeder sisa 5 , 1 c19 cut di 3km, kebutu"&amp;"han feder 6 core), 15/1 plan survey 19/1, 14/1 PLAN SURVEY TANGGAL 19/01, 13/1 plan survey senin 19/1, (07/01) Persiapan")</f>
        <v>3/3 meeting ED1-ED-RSBU-TA1: drop cpp tinggi 2/3 kenaikan cpp dari 1,2 ke 1,4,   27/2 kenaikan cpp dari 1,2 ke 1,4,  25/2 kenaikan cpp dari 1,2 ke 1,4,  24/2 kenaikan cpp dari 1,2 ke 1,4,  23/2 kenaikan cpp dari 1,2 ke 1,4, 20/2 plan submit boq hari ini, 19/2 plan subit boq redesign besok 20 feb, 18/2 menunggu boq kml hasil redesign , 16/2 menunggu boq kml hasil redesign, 13/2 menunggu boq kml hasil redesign, 12/2 menunggu boq kml hasil redesign, 11/2 menunggu boq kml hasil redesign, 10/2 menunggu boq kml hasil redesign, 9/2 menunggu boq kmlm redesign dari tif/sdi, 6/2 menunggu boq kmlm redesign dari tif/sdi,  5/2 menunggu boq kmlm redesign dari tif/sdi, 4/2 menunggu boq kml  hasil redesign, 3/2 prepair team untuk survey hasil redesign, 2/2 prepair team untuk survey hasil redesign,  1/2 prepair team untuk survey hasil redesign, 30/1 prepair team untuk survey hasil redesign, 28/1 plan besok 29/1 survey ulamng terkait redesign, 27/1 menunggu boq kml survey, plan pengurangan 2 odp, incloude kebutuhan qe ( feeder sisa 5 , 1 c19 cut di 3km, stub pasif idle 2 , kebutuhan feder 6 core), 26/1 menunggu boq kml survey, plan pengurangan 2 odp, incloude kebutuhan qe ( feeder sisa 5 , 1 c19 cut di 3km, stub pasif idle 2 , kebutuhan feder 6 core), 23/1 menunggu boq kml survey, plan pengurangan 2 odp, incloude kebutuhan qe ( feeder sisa 5 , 1 c19 cut di 3km, stub pasif idle 2 , kebutuhan feder 6 core), 22/1 menunggu boq kml survey, plan pengurangan 2 odp, incloude kebutuhan qe ( feeder sisa 5 , 1 c19 cut di 3km, stub pasif idle 2 , kebutuhan feder 6 core),  21/1 menunggu boq kml survey, plan pengurangan 2 odp, proses boq kml hasil survey incloude kebutuhan qe ( feeder sisa 5 , 1 c19 cut di 3km, stub pasif idle 2 , kebutuhan feder 6 core), 20/1 (menunggu info tif dan tsel) plan pengurangan 2 odp, proses boq kml hasil survey incloude kebutuhan qe ( feeder sisa 5 , 1 c19 cut di 3km, stub pasif idle 2 , kebutuhan feder 6 core), 19/1 proses boq kml hasil survey incloude kebutuhan qe ( feeder sisa 5 , 1 c19 cut di 3km, kebutuhan feder 6 core), 15/1 plan survey 19/1, 14/1 PLAN SURVEY TANGGAL 19/01, 13/1 plan survey senin 19/1, (07/01) Persiapan</v>
      </c>
      <c r="R94" s="228"/>
      <c r="S94" s="11"/>
      <c r="T94" s="11"/>
      <c r="U94" s="11" t="str">
        <f>IFERROR(__xludf.DUMMYFUNCTION("""COMPUTED_VALUE"""),"TIF-2276/2026")</f>
        <v>TIF-2276/2026</v>
      </c>
      <c r="V94" s="229"/>
      <c r="W94" s="229"/>
      <c r="X94" s="229" t="str">
        <f>IFERROR(__xludf.DUMMYFUNCTION("""COMPUTED_VALUE"""),"BELUM GOLIVE")</f>
        <v>BELUM GOLIVE</v>
      </c>
      <c r="Y94" s="229"/>
      <c r="Z94" s="229" t="str">
        <f>IFERROR(__xludf.DUMMYFUNCTION("""COMPUTED_VALUE"""),"#N/A")</f>
        <v>#N/A</v>
      </c>
      <c r="AA94" s="229"/>
      <c r="AB94" s="229"/>
      <c r="AC94" s="229"/>
      <c r="AD94" s="232"/>
      <c r="AE94" s="233"/>
      <c r="AF94" s="54" t="str">
        <f>IFERROR(__xludf.DUMMYFUNCTION("""COMPUTED_VALUE"""),"Draft BA DROP")</f>
        <v>Draft BA DROP</v>
      </c>
      <c r="AG94" s="54"/>
      <c r="AH94" s="54"/>
      <c r="AI94" s="55" t="str">
        <f t="shared" si="27"/>
        <v/>
      </c>
      <c r="AW94" s="234"/>
      <c r="BP94" s="11"/>
      <c r="BQ94" s="11"/>
      <c r="BR94" s="235"/>
      <c r="BV94" s="158"/>
      <c r="BY94" s="158"/>
      <c r="CB94" s="158"/>
    </row>
    <row r="95" ht="18.0" hidden="1" customHeight="1">
      <c r="A95" s="222">
        <f>IFERROR(__xludf.DUMMYFUNCTION("""COMPUTED_VALUE"""),2026.0)</f>
        <v>2026</v>
      </c>
      <c r="B95" s="221">
        <f>IFERROR(__xludf.DUMMYFUNCTION("""COMPUTED_VALUE"""),1.2445095E7)</f>
        <v>12445095</v>
      </c>
      <c r="C95" s="222" t="str">
        <f>IFERROR(__xludf.DUMMYFUNCTION("""COMPUTED_VALUE"""),"SMU PT3 KPI-FAH CLUST PASIR TUNTUNG")</f>
        <v>SMU PT3 KPI-FAH CLUST PASIR TUNTUNG</v>
      </c>
      <c r="D95" s="222" t="str">
        <f>IFERROR(__xludf.DUMMYFUNCTION("""COMPUTED_VALUE"""),"REGIONAL I")</f>
        <v>REGIONAL I</v>
      </c>
      <c r="E95" s="222" t="str">
        <f>IFERROR(__xludf.DUMMYFUNCTION("""COMPUTED_VALUE"""),"SUMUT")</f>
        <v>SUMUT</v>
      </c>
      <c r="F95" s="222" t="str">
        <f>IFERROR(__xludf.DUMMYFUNCTION("""COMPUTED_VALUE"""),"KPI")</f>
        <v>KPI</v>
      </c>
      <c r="G95" s="222" t="str">
        <f>IFERROR(__xludf.DUMMYFUNCTION("""COMPUTED_VALUE"""),"SUMBAGUT")</f>
        <v>SUMBAGUT</v>
      </c>
      <c r="H95" s="222" t="str">
        <f>IFERROR(__xludf.DUMMYFUNCTION("""COMPUTED_VALUE"""),"RANTAU PRAPAT")</f>
        <v>RANTAU PRAPAT</v>
      </c>
      <c r="I95" s="222" t="str">
        <f>IFERROR(__xludf.DUMMYFUNCTION("""COMPUTED_VALUE"""),"Batch 1")</f>
        <v>Batch 1</v>
      </c>
      <c r="J95" s="225">
        <f>IFERROR(__xludf.DUMMYFUNCTION("""COMPUTED_VALUE"""),8.0)</f>
        <v>8</v>
      </c>
      <c r="K95" s="224">
        <f>IFERROR(__xludf.DUMMYFUNCTION("""COMPUTED_VALUE"""),64.0)</f>
        <v>64</v>
      </c>
      <c r="L95" s="226">
        <f>IFERROR(__xludf.DUMMYFUNCTION("""COMPUTED_VALUE"""),1085053.0)</f>
        <v>1085053</v>
      </c>
      <c r="M95" s="227">
        <f>IFERROR(__xludf.DUMMYFUNCTION("""COMPUTED_VALUE"""),6.9443372E7)</f>
        <v>69443372</v>
      </c>
      <c r="N95" s="222" t="str">
        <f>IFERROR(__xludf.DUMMYFUNCTION("""COMPUTED_VALUE"""),"PT FIBERHOME TECHNOLOGIES INDONESIA")</f>
        <v>PT FIBERHOME TECHNOLOGIES INDONESIA</v>
      </c>
      <c r="O95" s="222" t="str">
        <f>IFERROR(__xludf.DUMMYFUNCTION("""COMPUTED_VALUE"""),"7. GOLIVE")</f>
        <v>7. GOLIVE</v>
      </c>
      <c r="P95" s="222" t="str">
        <f>IFERROR(__xludf.DUMMYFUNCTION("""COMPUTED_VALUE"""),"7.2 Golive Full / OA / DONE OTB")</f>
        <v>7.2 Golive Full / OA / DONE OTB</v>
      </c>
      <c r="Q95" s="222" t="str">
        <f>IFERROR(__xludf.DUMMYFUNCTION("""COMPUTED_VALUE"""),"Golive, 10/3 8 odp sudah submit sisa 1 odp kendala perijinan plan ganti rute, 5/3 terminasi 6 odp sisa 2 odp lanjut hari ini, 4/3 terminasi 6 odp sisa 2 odp lanjut hari ini,  3/3 sisa terminasi odc plan besok fi sampai ada redaman dan valins, 2/3 plan har"&amp;"i ini lanjut proses instal 8 odp, ku12 (1762) selesai, tiang 24 selesai,
25/2 sisa instal 8 odp, ku12 (1762) selesai, tiang 24 selesai, 23/2 menunggu appprove terkait cpp 1,180,  20/2 menunggu appprove terkait cpp 1,180, 20/2 menunggu appprove terkait cpp"&amp;" 1,180, 19/2 proses req matrial mitra, 18/2 menunggu approv regional mengenai kendala prelim dan cpp,  16/2 menunggu approv regional mengenai kendala prelim dan cpp,  13/2 menunggu approv reginal mengenai kendala prelim dan cpp, 12/2 nilai realisasi lebih"&amp;" kecil dari nilai survey tetapi cpp masih masuk (1,1), 11/2 nilai realisasi lebih kecil dari nilai survey tetapi cpp masih masuk (1,1), 10/2 proses req pengantar ijin desa paralel req matrial, 9/2 proses req pengantar ijin desa paralel req matrial, 6/2 pr"&amp;"oses req pengantar ijin desa paralel req matrial,  5/2 proses req pengantar ijin desa paralel req matrial,  3/2 proses req pengantar ijin desa paralel req matrial, 2/2 proses req pengantar ijin desa paralel req matrial, 1/2 proses req pengantar ijin desa "&amp;"paralel req matrial, 30/1 proses req pengantar ijin desa paralel req matrial, 28/1 proses req pengantar ijin desa paralel req matrial,27/1 menunggu revisi boq kml survey, 26/1 menunggu revisi kml boq survey dan kebutuhan qe distribusi 23/1 menunggu boq km"&amp;"l survey,   22/1 menunggu boq kml survey,  21/1 menunggu boq kml survey, 20/1 plan survey 23/1 , 19/1 plan survey 23/1 , 15/1 plan survey 23/1 , 14/1 menunggu info mitra, 13/1 menunggu info mitra, (07/01) Persiapan")</f>
        <v>Golive, 10/3 8 odp sudah submit sisa 1 odp kendala perijinan plan ganti rute, 5/3 terminasi 6 odp sisa 2 odp lanjut hari ini, 4/3 terminasi 6 odp sisa 2 odp lanjut hari ini,  3/3 sisa terminasi odc plan besok fi sampai ada redaman dan valins, 2/3 plan hari ini lanjut proses instal 8 odp, ku12 (1762) selesai, tiang 24 selesai,
25/2 sisa instal 8 odp, ku12 (1762) selesai, tiang 24 selesai, 23/2 menunggu appprove terkait cpp 1,180,  20/2 menunggu appprove terkait cpp 1,180, 20/2 menunggu appprove terkait cpp 1,180, 19/2 proses req matrial mitra, 18/2 menunggu approv regional mengenai kendala prelim dan cpp,  16/2 menunggu approv regional mengenai kendala prelim dan cpp,  13/2 menunggu approv reginal mengenai kendala prelim dan cpp, 12/2 nilai realisasi lebih kecil dari nilai survey tetapi cpp masih masuk (1,1), 11/2 nilai realisasi lebih kecil dari nilai survey tetapi cpp masih masuk (1,1), 10/2 proses req pengantar ijin desa paralel req matrial, 9/2 proses req pengantar ijin desa paralel req matrial, 6/2 proses req pengantar ijin desa paralel req matrial,  5/2 proses req pengantar ijin desa paralel req matrial,  3/2 proses req pengantar ijin desa paralel req matrial, 2/2 proses req pengantar ijin desa paralel req matrial, 1/2 proses req pengantar ijin desa paralel req matrial, 30/1 proses req pengantar ijin desa paralel req matrial, 28/1 proses req pengantar ijin desa paralel req matrial,27/1 menunggu revisi boq kml survey, 26/1 menunggu revisi kml boq survey dan kebutuhan qe distribusi 23/1 menunggu boq kml survey,   22/1 menunggu boq kml survey,  21/1 menunggu boq kml survey, 20/1 plan survey 23/1 , 19/1 plan survey 23/1 , 15/1 plan survey 23/1 , 14/1 menunggu info mitra, 13/1 menunggu info mitra, (07/01) Persiapan</v>
      </c>
      <c r="R95" s="228">
        <f>IFERROR(__xludf.DUMMYFUNCTION("""COMPUTED_VALUE"""),46088.0)</f>
        <v>46088</v>
      </c>
      <c r="S95" s="11" t="str">
        <f>IFERROR(__xludf.DUMMYFUNCTION("""COMPUTED_VALUE"""),"MAR")</f>
        <v>MAR</v>
      </c>
      <c r="T95" s="11"/>
      <c r="U95" s="11" t="str">
        <f>IFERROR(__xludf.DUMMYFUNCTION("""COMPUTED_VALUE"""),"TIF-1369/2026")</f>
        <v>TIF-1369/2026</v>
      </c>
      <c r="V95" s="229"/>
      <c r="W95" s="229"/>
      <c r="X95" s="229" t="str">
        <f>IFERROR(__xludf.DUMMYFUNCTION("""COMPUTED_VALUE"""),"GOLIVE")</f>
        <v>GOLIVE</v>
      </c>
      <c r="Y95" s="229" t="str">
        <f>IFERROR(__xludf.DUMMYFUNCTION("""COMPUTED_VALUE"""),"DONE")</f>
        <v>DONE</v>
      </c>
      <c r="Z95" s="229" t="str">
        <f>IFERROR(__xludf.DUMMYFUNCTION("""COMPUTED_VALUE"""),"#N/A")</f>
        <v>#N/A</v>
      </c>
      <c r="AA95" s="229">
        <f>IFERROR(__xludf.DUMMYFUNCTION("""COMPUTED_VALUE"""),8.0)</f>
        <v>8</v>
      </c>
      <c r="AB95" s="229"/>
      <c r="AC95" s="229" t="str">
        <f>IFERROR(__xludf.DUMMYFUNCTION("""COMPUTED_VALUE"""),"9195014#9195019")</f>
        <v>9195014#9195019</v>
      </c>
      <c r="AD95" s="232">
        <f>IFERROR(__xludf.DUMMYFUNCTION("""COMPUTED_VALUE"""),64.0)</f>
        <v>64</v>
      </c>
      <c r="AE95" s="233">
        <f>IFERROR(__xludf.DUMMYFUNCTION("""COMPUTED_VALUE"""),46091.0)</f>
        <v>46091</v>
      </c>
      <c r="AF95" s="54"/>
      <c r="AG95" s="54"/>
      <c r="AH95" s="54">
        <v>46088.0</v>
      </c>
      <c r="AI95" s="55">
        <f t="shared" si="27"/>
        <v>-3</v>
      </c>
      <c r="AW95" s="234"/>
      <c r="BP95" s="11"/>
      <c r="BQ95" s="11"/>
      <c r="BR95" s="235"/>
      <c r="BV95" s="158"/>
      <c r="BY95" s="158"/>
      <c r="CB95" s="158"/>
    </row>
    <row r="96" ht="18.0" hidden="1" customHeight="1">
      <c r="A96" s="222">
        <f>IFERROR(__xludf.DUMMYFUNCTION("""COMPUTED_VALUE"""),2026.0)</f>
        <v>2026</v>
      </c>
      <c r="B96" s="221">
        <f>IFERROR(__xludf.DUMMYFUNCTION("""COMPUTED_VALUE"""),1.1521822E7)</f>
        <v>11521822</v>
      </c>
      <c r="C96" s="222" t="str">
        <f>IFERROR(__xludf.DUMMYFUNCTION("""COMPUTED_VALUE"""),"SMU ODC-PMY-FAD DO6 D07 SARIBUDOLOK UPG")</f>
        <v>SMU ODC-PMY-FAD DO6 D07 SARIBUDOLOK UPG</v>
      </c>
      <c r="D96" s="222" t="str">
        <f>IFERROR(__xludf.DUMMYFUNCTION("""COMPUTED_VALUE"""),"REGIONAL I")</f>
        <v>REGIONAL I</v>
      </c>
      <c r="E96" s="222" t="str">
        <f>IFERROR(__xludf.DUMMYFUNCTION("""COMPUTED_VALUE"""),"SUMUT")</f>
        <v>SUMUT</v>
      </c>
      <c r="F96" s="222" t="str">
        <f>IFERROR(__xludf.DUMMYFUNCTION("""COMPUTED_VALUE"""),"PMY")</f>
        <v>PMY</v>
      </c>
      <c r="G96" s="222" t="str">
        <f>IFERROR(__xludf.DUMMYFUNCTION("""COMPUTED_VALUE"""),"SUMBAGUT")</f>
        <v>SUMBAGUT</v>
      </c>
      <c r="H96" s="222" t="str">
        <f>IFERROR(__xludf.DUMMYFUNCTION("""COMPUTED_VALUE"""),"PEMATANG SIANTAR")</f>
        <v>PEMATANG SIANTAR</v>
      </c>
      <c r="I96" s="222" t="str">
        <f>IFERROR(__xludf.DUMMYFUNCTION("""COMPUTED_VALUE"""),"Batch 1")</f>
        <v>Batch 1</v>
      </c>
      <c r="J96" s="225">
        <f>IFERROR(__xludf.DUMMYFUNCTION("""COMPUTED_VALUE"""),32.0)</f>
        <v>32</v>
      </c>
      <c r="K96" s="224">
        <f>IFERROR(__xludf.DUMMYFUNCTION("""COMPUTED_VALUE"""),256.0)</f>
        <v>256</v>
      </c>
      <c r="L96" s="226">
        <f>IFERROR(__xludf.DUMMYFUNCTION("""COMPUTED_VALUE"""),1386833.0)</f>
        <v>1386833</v>
      </c>
      <c r="M96" s="227">
        <f>IFERROR(__xludf.DUMMYFUNCTION("""COMPUTED_VALUE"""),3.55029101E8)</f>
        <v>355029101</v>
      </c>
      <c r="N96" s="222" t="str">
        <f>IFERROR(__xludf.DUMMYFUNCTION("""COMPUTED_VALUE"""),"PT ARTHA MANDIRI BERSAMA")</f>
        <v>PT ARTHA MANDIRI BERSAMA</v>
      </c>
      <c r="O96" s="222" t="str">
        <f>IFERROR(__xludf.DUMMYFUNCTION("""COMPUTED_VALUE"""),"0. DROP")</f>
        <v>0. DROP</v>
      </c>
      <c r="P96" s="222" t="str">
        <f>IFERROR(__xludf.DUMMYFUNCTION("""COMPUTED_VALUE"""),"0.1 Double Order")</f>
        <v>0.1 Double Order</v>
      </c>
      <c r="Q96" s="222" t="str">
        <f>IFERROR(__xludf.DUMMYFUNCTION("""COMPUTED_VALUE"""),"sudha golive 2025 (07/01) Persiapan")</f>
        <v>sudha golive 2025 (07/01) Persiapan</v>
      </c>
      <c r="R96" s="228"/>
      <c r="S96" s="11"/>
      <c r="T96" s="11"/>
      <c r="U96" s="11" t="str">
        <f>IFERROR(__xludf.DUMMYFUNCTION("""COMPUTED_VALUE"""),"W03-1734/2025")</f>
        <v>W03-1734/2025</v>
      </c>
      <c r="V96" s="229"/>
      <c r="W96" s="229"/>
      <c r="X96" s="229"/>
      <c r="Y96" s="229" t="str">
        <f>IFERROR(__xludf.DUMMYFUNCTION("""COMPUTED_VALUE"""),"DONE")</f>
        <v>DONE</v>
      </c>
      <c r="Z96" s="229" t="str">
        <f>IFERROR(__xludf.DUMMYFUNCTION("""COMPUTED_VALUE"""),"#N/A")</f>
        <v>#N/A</v>
      </c>
      <c r="AA96" s="229"/>
      <c r="AB96" s="229"/>
      <c r="AC96" s="229"/>
      <c r="AD96" s="232"/>
      <c r="AE96" s="233"/>
      <c r="AF96" s="54" t="str">
        <f>IFERROR(__xludf.DUMMYFUNCTION("""COMPUTED_VALUE"""),"Draft BA DROP")</f>
        <v>Draft BA DROP</v>
      </c>
      <c r="AG96" s="54"/>
      <c r="AH96" s="54"/>
      <c r="AI96" s="55" t="str">
        <f t="shared" si="27"/>
        <v/>
      </c>
      <c r="AW96" s="234"/>
      <c r="BP96" s="11"/>
      <c r="BQ96" s="11"/>
      <c r="BR96" s="235"/>
      <c r="BV96" s="158"/>
      <c r="BY96" s="158"/>
      <c r="CB96" s="158"/>
    </row>
    <row r="97" ht="18.0" customHeight="1">
      <c r="A97" s="222">
        <f>IFERROR(__xludf.DUMMYFUNCTION("""COMPUTED_VALUE"""),2026.0)</f>
        <v>2026</v>
      </c>
      <c r="B97" s="221">
        <f>IFERROR(__xludf.DUMMYFUNCTION("""COMPUTED_VALUE"""),1.2367747E7)</f>
        <v>12367747</v>
      </c>
      <c r="C97" s="222" t="str">
        <f>IFERROR(__xludf.DUMMYFUNCTION("""COMPUTED_VALUE"""),"SMB SCATTER JL.JAMBAK KETAPING")</f>
        <v>SMB SCATTER JL.JAMBAK KETAPING</v>
      </c>
      <c r="D97" s="222" t="str">
        <f>IFERROR(__xludf.DUMMYFUNCTION("""COMPUTED_VALUE"""),"REGIONAL I")</f>
        <v>REGIONAL I</v>
      </c>
      <c r="E97" s="222" t="str">
        <f>IFERROR(__xludf.DUMMYFUNCTION("""COMPUTED_VALUE"""),"SUMBAR")</f>
        <v>SUMBAR</v>
      </c>
      <c r="F97" s="222" t="str">
        <f>IFERROR(__xludf.DUMMYFUNCTION("""COMPUTED_VALUE"""),"LBA")</f>
        <v>LBA</v>
      </c>
      <c r="G97" s="222" t="str">
        <f>IFERROR(__xludf.DUMMYFUNCTION("""COMPUTED_VALUE"""),"SUMBAGTENG")</f>
        <v>SUMBAGTENG</v>
      </c>
      <c r="H97" s="222" t="str">
        <f>IFERROR(__xludf.DUMMYFUNCTION("""COMPUTED_VALUE"""),"BUKIT TINGGI")</f>
        <v>BUKIT TINGGI</v>
      </c>
      <c r="I97" s="222" t="str">
        <f>IFERROR(__xludf.DUMMYFUNCTION("""COMPUTED_VALUE"""),"Batch 1")</f>
        <v>Batch 1</v>
      </c>
      <c r="J97" s="225">
        <f>IFERROR(__xludf.DUMMYFUNCTION("""COMPUTED_VALUE"""),3.0)</f>
        <v>3</v>
      </c>
      <c r="K97" s="224">
        <f>IFERROR(__xludf.DUMMYFUNCTION("""COMPUTED_VALUE"""),24.0)</f>
        <v>24</v>
      </c>
      <c r="L97" s="226">
        <f>IFERROR(__xludf.DUMMYFUNCTION("""COMPUTED_VALUE"""),430198.0)</f>
        <v>430198</v>
      </c>
      <c r="M97" s="227">
        <f>IFERROR(__xludf.DUMMYFUNCTION("""COMPUTED_VALUE"""),1.032473E7)</f>
        <v>10324730</v>
      </c>
      <c r="N97" s="222" t="str">
        <f>IFERROR(__xludf.DUMMYFUNCTION("""COMPUTED_VALUE"""),"PT PUTRI JAYA AKSES")</f>
        <v>PT PUTRI JAYA AKSES</v>
      </c>
      <c r="O97" s="222" t="str">
        <f>IFERROR(__xludf.DUMMYFUNCTION("""COMPUTED_VALUE"""),"0. DROP")</f>
        <v>0. DROP</v>
      </c>
      <c r="P97" s="222" t="str">
        <f>IFERROR(__xludf.DUMMYFUNCTION("""COMPUTED_VALUE"""),"0.3 Feeder Full")</f>
        <v>0.3 Feeder Full</v>
      </c>
      <c r="Q97" s="222" t="str">
        <f>IFERROR(__xludf.DUMMYFUNCTION("""COMPUTED_VALUE"""),"(23/01) kendala feeder LBB-FA FULL, butuh tambah feeder (21/01) Penjadwalan Anwizing (07/01) Persiapan ")</f>
        <v>(23/01) kendala feeder LBB-FA FULL, butuh tambah feeder (21/01) Penjadwalan Anwizing (07/01) Persiapan </v>
      </c>
      <c r="R97" s="228"/>
      <c r="S97" s="11"/>
      <c r="T97" s="11"/>
      <c r="U97" s="11"/>
      <c r="V97" s="229" t="str">
        <f>IFERROR(__xludf.DUMMYFUNCTION("""COMPUTED_VALUE"""),"JANUAR RIZAL")</f>
        <v>JANUAR RIZAL</v>
      </c>
      <c r="W97" s="229" t="str">
        <f>IFERROR(__xludf.DUMMYFUNCTION("""COMPUTED_VALUE"""),"MELKO NARWADI")</f>
        <v>MELKO NARWADI</v>
      </c>
      <c r="X97" s="229" t="str">
        <f>IFERROR(__xludf.DUMMYFUNCTION("""COMPUTED_VALUE"""),"BELUM GOLIVE")</f>
        <v>BELUM GOLIVE</v>
      </c>
      <c r="Y97" s="229"/>
      <c r="Z97" s="229" t="str">
        <f>IFERROR(__xludf.DUMMYFUNCTION("""COMPUTED_VALUE"""),"#N/A")</f>
        <v>#N/A</v>
      </c>
      <c r="AA97" s="229"/>
      <c r="AB97" s="229"/>
      <c r="AC97" s="229"/>
      <c r="AD97" s="232"/>
      <c r="AE97" s="233"/>
      <c r="AF97" s="54" t="str">
        <f>IFERROR(__xludf.DUMMYFUNCTION("""COMPUTED_VALUE"""),"Draft BA DROP")</f>
        <v>Draft BA DROP</v>
      </c>
      <c r="AG97" s="54"/>
      <c r="AH97" s="54"/>
      <c r="AI97" s="55" t="str">
        <f t="shared" si="27"/>
        <v/>
      </c>
      <c r="AW97" s="234"/>
      <c r="BP97" s="11"/>
      <c r="BQ97" s="11"/>
      <c r="BR97" s="235"/>
      <c r="BV97" s="158"/>
      <c r="BY97" s="158"/>
      <c r="CB97" s="158"/>
    </row>
    <row r="98" ht="18.0" customHeight="1">
      <c r="A98" s="222">
        <f>IFERROR(__xludf.DUMMYFUNCTION("""COMPUTED_VALUE"""),2026.0)</f>
        <v>2026</v>
      </c>
      <c r="B98" s="221">
        <f>IFERROR(__xludf.DUMMYFUNCTION("""COMPUTED_VALUE"""),1.2367705E7)</f>
        <v>12367705</v>
      </c>
      <c r="C98" s="222" t="str">
        <f>IFERROR(__xludf.DUMMYFUNCTION("""COMPUTED_VALUE"""),"SMB TANDIKAT PATAMUAN")</f>
        <v>SMB TANDIKAT PATAMUAN</v>
      </c>
      <c r="D98" s="222" t="str">
        <f>IFERROR(__xludf.DUMMYFUNCTION("""COMPUTED_VALUE"""),"REGIONAL I")</f>
        <v>REGIONAL I</v>
      </c>
      <c r="E98" s="222" t="str">
        <f>IFERROR(__xludf.DUMMYFUNCTION("""COMPUTED_VALUE"""),"SUMBAR")</f>
        <v>SUMBAR</v>
      </c>
      <c r="F98" s="222" t="str">
        <f>IFERROR(__xludf.DUMMYFUNCTION("""COMPUTED_VALUE"""),"SCC")</f>
        <v>SCC</v>
      </c>
      <c r="G98" s="222" t="str">
        <f>IFERROR(__xludf.DUMMYFUNCTION("""COMPUTED_VALUE"""),"SUMBAGTENG")</f>
        <v>SUMBAGTENG</v>
      </c>
      <c r="H98" s="222" t="str">
        <f>IFERROR(__xludf.DUMMYFUNCTION("""COMPUTED_VALUE"""),"BUKIT TINGGI")</f>
        <v>BUKIT TINGGI</v>
      </c>
      <c r="I98" s="222" t="str">
        <f>IFERROR(__xludf.DUMMYFUNCTION("""COMPUTED_VALUE"""),"Batch 1")</f>
        <v>Batch 1</v>
      </c>
      <c r="J98" s="225">
        <f>IFERROR(__xludf.DUMMYFUNCTION("""COMPUTED_VALUE"""),3.0)</f>
        <v>3</v>
      </c>
      <c r="K98" s="224">
        <f>IFERROR(__xludf.DUMMYFUNCTION("""COMPUTED_VALUE"""),24.0)</f>
        <v>24</v>
      </c>
      <c r="L98" s="226">
        <f>IFERROR(__xludf.DUMMYFUNCTION("""COMPUTED_VALUE"""),325646.0)</f>
        <v>325646</v>
      </c>
      <c r="M98" s="227">
        <f>IFERROR(__xludf.DUMMYFUNCTION("""COMPUTED_VALUE"""),7815491.0)</f>
        <v>7815491</v>
      </c>
      <c r="N98" s="222" t="str">
        <f>IFERROR(__xludf.DUMMYFUNCTION("""COMPUTED_VALUE"""),"PT PUTRI JAYA AKSES")</f>
        <v>PT PUTRI JAYA AKSES</v>
      </c>
      <c r="O98" s="222" t="str">
        <f>IFERROR(__xludf.DUMMYFUNCTION("""COMPUTED_VALUE"""),"8. UJI TERIMA")</f>
        <v>8. UJI TERIMA</v>
      </c>
      <c r="P98" s="222" t="str">
        <f>IFERROR(__xludf.DUMMYFUNCTION("""COMPUTED_VALUE"""),"8.1 Proses UT")</f>
        <v>8.1 Proses UT</v>
      </c>
      <c r="Q98" s="222" t="str">
        <f>IFERROR(__xludf.DUMMYFUNCTION("""COMPUTED_VALUE"""),"(29/01) Proses golive (21/01) ABD mancore , kendala karena butuh data lurus setelah co ftm (08/01) valins ,terminasi ,: matdel ke site  (07/01) Persiapan")</f>
        <v>(29/01) Proses golive (21/01) ABD mancore , kendala karena butuh data lurus setelah co ftm (08/01) valins ,terminasi ,: matdel ke site  (07/01) Persiapan</v>
      </c>
      <c r="R98" s="228"/>
      <c r="S98" s="11"/>
      <c r="T98" s="11"/>
      <c r="U98" s="11" t="str">
        <f>IFERROR(__xludf.DUMMYFUNCTION("""COMPUTED_VALUE"""),"W10-1820/2025 25KT03R158-0558")</f>
        <v>W10-1820/2025 25KT03R158-0558</v>
      </c>
      <c r="V98" s="229" t="str">
        <f>IFERROR(__xludf.DUMMYFUNCTION("""COMPUTED_VALUE"""),"JANUAR RIZAL")</f>
        <v>JANUAR RIZAL</v>
      </c>
      <c r="W98" s="229" t="str">
        <f>IFERROR(__xludf.DUMMYFUNCTION("""COMPUTED_VALUE"""),"MELKO NARWADI")</f>
        <v>MELKO NARWADI</v>
      </c>
      <c r="X98" s="229" t="str">
        <f>IFERROR(__xludf.DUMMYFUNCTION("""COMPUTED_VALUE"""),"GOLIVE")</f>
        <v>GOLIVE</v>
      </c>
      <c r="Y98" s="229" t="str">
        <f>IFERROR(__xludf.DUMMYFUNCTION("""COMPUTED_VALUE"""),"DONE")</f>
        <v>DONE</v>
      </c>
      <c r="Z98" s="229" t="str">
        <f>IFERROR(__xludf.DUMMYFUNCTION("""COMPUTED_VALUE"""),"#N/A")</f>
        <v>#N/A</v>
      </c>
      <c r="AA98" s="229">
        <f>IFERROR(__xludf.DUMMYFUNCTION("""COMPUTED_VALUE"""),2.0)</f>
        <v>2</v>
      </c>
      <c r="AB98" s="229"/>
      <c r="AC98" s="229" t="str">
        <f>IFERROR(__xludf.DUMMYFUNCTION("""COMPUTED_VALUE"""),"8754756#8754761")</f>
        <v>8754756#8754761</v>
      </c>
      <c r="AD98" s="232">
        <f>IFERROR(__xludf.DUMMYFUNCTION("""COMPUTED_VALUE"""),16.0)</f>
        <v>16</v>
      </c>
      <c r="AE98" s="233">
        <f>IFERROR(__xludf.DUMMYFUNCTION("""COMPUTED_VALUE"""),46051.0)</f>
        <v>46051</v>
      </c>
      <c r="AF98" s="54"/>
      <c r="AG98" s="54"/>
      <c r="AH98" s="54"/>
      <c r="AI98" s="55" t="str">
        <f t="shared" si="27"/>
        <v/>
      </c>
      <c r="AW98" s="234"/>
      <c r="BP98" s="11"/>
      <c r="BQ98" s="11"/>
      <c r="BR98" s="235"/>
      <c r="BV98" s="158"/>
      <c r="BY98" s="158"/>
      <c r="CB98" s="158"/>
    </row>
    <row r="99" ht="18.0" customHeight="1">
      <c r="A99" s="222">
        <f>IFERROR(__xludf.DUMMYFUNCTION("""COMPUTED_VALUE"""),2026.0)</f>
        <v>2026</v>
      </c>
      <c r="B99" s="221">
        <f>IFERROR(__xludf.DUMMYFUNCTION("""COMPUTED_VALUE"""),1.2268169E7)</f>
        <v>12268169</v>
      </c>
      <c r="C99" s="222" t="str">
        <f>IFERROR(__xludf.DUMMYFUNCTION("""COMPUTED_VALUE"""),"SMB PT3 Tpn TK bunda sejati")</f>
        <v>SMB PT3 Tpn TK bunda sejati</v>
      </c>
      <c r="D99" s="222" t="str">
        <f>IFERROR(__xludf.DUMMYFUNCTION("""COMPUTED_VALUE"""),"REGIONAL I")</f>
        <v>REGIONAL I</v>
      </c>
      <c r="E99" s="222" t="str">
        <f>IFERROR(__xludf.DUMMYFUNCTION("""COMPUTED_VALUE"""),"SUMBAR")</f>
        <v>SUMBAR</v>
      </c>
      <c r="F99" s="222" t="str">
        <f>IFERROR(__xludf.DUMMYFUNCTION("""COMPUTED_VALUE"""),"TPN")</f>
        <v>TPN</v>
      </c>
      <c r="G99" s="222" t="str">
        <f>IFERROR(__xludf.DUMMYFUNCTION("""COMPUTED_VALUE"""),"SUMBAGTENG")</f>
        <v>SUMBAGTENG</v>
      </c>
      <c r="H99" s="222" t="str">
        <f>IFERROR(__xludf.DUMMYFUNCTION("""COMPUTED_VALUE"""),"PADANG")</f>
        <v>PADANG</v>
      </c>
      <c r="I99" s="222" t="str">
        <f>IFERROR(__xludf.DUMMYFUNCTION("""COMPUTED_VALUE"""),"Batch 1")</f>
        <v>Batch 1</v>
      </c>
      <c r="J99" s="225">
        <f>IFERROR(__xludf.DUMMYFUNCTION("""COMPUTED_VALUE"""),1.0)</f>
        <v>1</v>
      </c>
      <c r="K99" s="224">
        <f>IFERROR(__xludf.DUMMYFUNCTION("""COMPUTED_VALUE"""),8.0)</f>
        <v>8</v>
      </c>
      <c r="L99" s="226">
        <f>IFERROR(__xludf.DUMMYFUNCTION("""COMPUTED_VALUE"""),946511.0)</f>
        <v>946511</v>
      </c>
      <c r="M99" s="227">
        <f>IFERROR(__xludf.DUMMYFUNCTION("""COMPUTED_VALUE"""),7572087.0)</f>
        <v>7572087</v>
      </c>
      <c r="N99" s="222" t="str">
        <f>IFERROR(__xludf.DUMMYFUNCTION("""COMPUTED_VALUE"""),"PT ALAM UTAMA MULIA")</f>
        <v>PT ALAM UTAMA MULIA</v>
      </c>
      <c r="O99" s="222" t="str">
        <f>IFERROR(__xludf.DUMMYFUNCTION("""COMPUTED_VALUE"""),"8. UJI TERIMA")</f>
        <v>8. UJI TERIMA</v>
      </c>
      <c r="P99" s="222" t="str">
        <f>IFERROR(__xludf.DUMMYFUNCTION("""COMPUTED_VALUE"""),"8.1 Proses UT")</f>
        <v>8.1 Proses UT</v>
      </c>
      <c r="Q99" s="222" t="str">
        <f>IFERROR(__xludf.DUMMYFUNCTION("""COMPUTED_VALUE"""),"(03/02) Proses valins (29/01) proses Tanam tiang  (21/01) proses CReate PID (07/01) Persiapan")</f>
        <v>(03/02) Proses valins (29/01) proses Tanam tiang  (21/01) proses CReate PID (07/01) Persiapan</v>
      </c>
      <c r="R99" s="228">
        <f>IFERROR(__xludf.DUMMYFUNCTION("""COMPUTED_VALUE"""),46062.0)</f>
        <v>46062</v>
      </c>
      <c r="S99" s="11"/>
      <c r="T99" s="11"/>
      <c r="U99" s="11" t="str">
        <f>IFERROR(__xludf.DUMMYFUNCTION("""COMPUTED_VALUE"""),"TIF-1803/2026 26KT03R158-0001")</f>
        <v>TIF-1803/2026 26KT03R158-0001</v>
      </c>
      <c r="V99" s="229" t="str">
        <f>IFERROR(__xludf.DUMMYFUNCTION("""COMPUTED_VALUE"""),"PRAMADIO SEPWILMAN")</f>
        <v>PRAMADIO SEPWILMAN</v>
      </c>
      <c r="W99" s="229" t="str">
        <f>IFERROR(__xludf.DUMMYFUNCTION("""COMPUTED_VALUE"""),"MELKO NARWADI")</f>
        <v>MELKO NARWADI</v>
      </c>
      <c r="X99" s="229" t="str">
        <f>IFERROR(__xludf.DUMMYFUNCTION("""COMPUTED_VALUE"""),"GOLIVE")</f>
        <v>GOLIVE</v>
      </c>
      <c r="Y99" s="229" t="str">
        <f>IFERROR(__xludf.DUMMYFUNCTION("""COMPUTED_VALUE"""),"DONE")</f>
        <v>DONE</v>
      </c>
      <c r="Z99" s="229" t="str">
        <f>IFERROR(__xludf.DUMMYFUNCTION("""COMPUTED_VALUE"""),"#N/A")</f>
        <v>#N/A</v>
      </c>
      <c r="AA99" s="229">
        <f>IFERROR(__xludf.DUMMYFUNCTION("""COMPUTED_VALUE"""),1.0)</f>
        <v>1</v>
      </c>
      <c r="AB99" s="229"/>
      <c r="AC99" s="229" t="str">
        <f>IFERROR(__xludf.DUMMYFUNCTION("""COMPUTED_VALUE"""),"9059978#9059983")</f>
        <v>9059978#9059983</v>
      </c>
      <c r="AD99" s="232">
        <f>IFERROR(__xludf.DUMMYFUNCTION("""COMPUTED_VALUE"""),8.0)</f>
        <v>8</v>
      </c>
      <c r="AE99" s="233">
        <f>IFERROR(__xludf.DUMMYFUNCTION("""COMPUTED_VALUE"""),46064.0)</f>
        <v>46064</v>
      </c>
      <c r="AF99" s="54"/>
      <c r="AG99" s="54"/>
      <c r="AH99" s="54">
        <v>46062.0</v>
      </c>
      <c r="AI99" s="55">
        <f t="shared" si="27"/>
        <v>-2</v>
      </c>
      <c r="AW99" s="234"/>
      <c r="BP99" s="11"/>
      <c r="BQ99" s="11"/>
      <c r="BR99" s="235"/>
      <c r="BV99" s="158"/>
      <c r="BY99" s="158"/>
      <c r="CB99" s="158"/>
    </row>
    <row r="100" ht="18.0" customHeight="1">
      <c r="A100" s="222">
        <f>IFERROR(__xludf.DUMMYFUNCTION("""COMPUTED_VALUE"""),2026.0)</f>
        <v>2026</v>
      </c>
      <c r="B100" s="221">
        <f>IFERROR(__xludf.DUMMYFUNCTION("""COMPUTED_VALUE"""),1.2268256E7)</f>
        <v>12268256</v>
      </c>
      <c r="C100" s="222" t="str">
        <f>IFERROR(__xludf.DUMMYFUNCTION("""COMPUTED_VALUE"""),"SMB PT3 Lalang Panjang-L ubay-Air batu")</f>
        <v>SMB PT3 Lalang Panjang-L ubay-Air batu</v>
      </c>
      <c r="D100" s="222" t="str">
        <f>IFERROR(__xludf.DUMMYFUNCTION("""COMPUTED_VALUE"""),"REGIONAL I")</f>
        <v>REGIONAL I</v>
      </c>
      <c r="E100" s="222" t="str">
        <f>IFERROR(__xludf.DUMMYFUNCTION("""COMPUTED_VALUE"""),"SUMBAR")</f>
        <v>SUMBAR</v>
      </c>
      <c r="F100" s="222" t="str">
        <f>IFERROR(__xludf.DUMMYFUNCTION("""COMPUTED_VALUE"""),"TPN")</f>
        <v>TPN</v>
      </c>
      <c r="G100" s="222" t="str">
        <f>IFERROR(__xludf.DUMMYFUNCTION("""COMPUTED_VALUE"""),"SUMBAGTENG")</f>
        <v>SUMBAGTENG</v>
      </c>
      <c r="H100" s="222" t="str">
        <f>IFERROR(__xludf.DUMMYFUNCTION("""COMPUTED_VALUE"""),"PADANG")</f>
        <v>PADANG</v>
      </c>
      <c r="I100" s="222" t="str">
        <f>IFERROR(__xludf.DUMMYFUNCTION("""COMPUTED_VALUE"""),"Batch 1")</f>
        <v>Batch 1</v>
      </c>
      <c r="J100" s="225">
        <f>IFERROR(__xludf.DUMMYFUNCTION("""COMPUTED_VALUE"""),4.0)</f>
        <v>4</v>
      </c>
      <c r="K100" s="224">
        <f>IFERROR(__xludf.DUMMYFUNCTION("""COMPUTED_VALUE"""),32.0)</f>
        <v>32</v>
      </c>
      <c r="L100" s="226">
        <f>IFERROR(__xludf.DUMMYFUNCTION("""COMPUTED_VALUE"""),897345.0)</f>
        <v>897345</v>
      </c>
      <c r="M100" s="227">
        <f>IFERROR(__xludf.DUMMYFUNCTION("""COMPUTED_VALUE"""),2.8715031E7)</f>
        <v>28715031</v>
      </c>
      <c r="N100" s="222" t="str">
        <f>IFERROR(__xludf.DUMMYFUNCTION("""COMPUTED_VALUE"""),"PT ALAM UTAMA MULIA")</f>
        <v>PT ALAM UTAMA MULIA</v>
      </c>
      <c r="O100" s="222" t="str">
        <f>IFERROR(__xludf.DUMMYFUNCTION("""COMPUTED_VALUE"""),"8. UJI TERIMA")</f>
        <v>8. UJI TERIMA</v>
      </c>
      <c r="P100" s="222" t="str">
        <f>IFERROR(__xludf.DUMMYFUNCTION("""COMPUTED_VALUE"""),"8.1 Proses UT")</f>
        <v>8.1 Proses UT</v>
      </c>
      <c r="Q100" s="222" t="str">
        <f>IFERROR(__xludf.DUMMYFUNCTION("""COMPUTED_VALUE"""),"(29/01) proses Tanam tiang  (21/01) proses CReate PID (07/01) Persiapan")</f>
        <v>(29/01) proses Tanam tiang  (21/01) proses CReate PID (07/01) Persiapan</v>
      </c>
      <c r="R100" s="228">
        <f>IFERROR(__xludf.DUMMYFUNCTION("""COMPUTED_VALUE"""),46063.0)</f>
        <v>46063</v>
      </c>
      <c r="S100" s="11"/>
      <c r="T100" s="11"/>
      <c r="U100" s="11" t="str">
        <f>IFERROR(__xludf.DUMMYFUNCTION("""COMPUTED_VALUE"""),"TIF-1810/2026 26KT03R158-0007")</f>
        <v>TIF-1810/2026 26KT03R158-0007</v>
      </c>
      <c r="V100" s="229" t="str">
        <f>IFERROR(__xludf.DUMMYFUNCTION("""COMPUTED_VALUE"""),"PRAMADIO SEPWILMAN")</f>
        <v>PRAMADIO SEPWILMAN</v>
      </c>
      <c r="W100" s="229" t="str">
        <f>IFERROR(__xludf.DUMMYFUNCTION("""COMPUTED_VALUE"""),"MELKO NARWADI")</f>
        <v>MELKO NARWADI</v>
      </c>
      <c r="X100" s="229" t="str">
        <f>IFERROR(__xludf.DUMMYFUNCTION("""COMPUTED_VALUE"""),"GOLIVE")</f>
        <v>GOLIVE</v>
      </c>
      <c r="Y100" s="229" t="str">
        <f>IFERROR(__xludf.DUMMYFUNCTION("""COMPUTED_VALUE"""),"DONE")</f>
        <v>DONE</v>
      </c>
      <c r="Z100" s="229" t="str">
        <f>IFERROR(__xludf.DUMMYFUNCTION("""COMPUTED_VALUE"""),"#N/A")</f>
        <v>#N/A</v>
      </c>
      <c r="AA100" s="229">
        <f>IFERROR(__xludf.DUMMYFUNCTION("""COMPUTED_VALUE"""),3.0)</f>
        <v>3</v>
      </c>
      <c r="AB100" s="229"/>
      <c r="AC100" s="229" t="str">
        <f>IFERROR(__xludf.DUMMYFUNCTION("""COMPUTED_VALUE"""),"9110124#9110129")</f>
        <v>9110124#9110129</v>
      </c>
      <c r="AD100" s="232">
        <f>IFERROR(__xludf.DUMMYFUNCTION("""COMPUTED_VALUE"""),24.0)</f>
        <v>24</v>
      </c>
      <c r="AE100" s="233">
        <f>IFERROR(__xludf.DUMMYFUNCTION("""COMPUTED_VALUE"""),46066.0)</f>
        <v>46066</v>
      </c>
      <c r="AF100" s="54"/>
      <c r="AG100" s="54"/>
      <c r="AH100" s="54">
        <v>46063.0</v>
      </c>
      <c r="AI100" s="55">
        <f t="shared" si="27"/>
        <v>-3</v>
      </c>
      <c r="AW100" s="234"/>
      <c r="BP100" s="11"/>
      <c r="BQ100" s="11"/>
      <c r="BR100" s="235"/>
      <c r="BV100" s="158"/>
      <c r="BY100" s="158"/>
      <c r="CB100" s="158"/>
    </row>
    <row r="101" ht="18.0" customHeight="1">
      <c r="A101" s="222">
        <f>IFERROR(__xludf.DUMMYFUNCTION("""COMPUTED_VALUE"""),2026.0)</f>
        <v>2026</v>
      </c>
      <c r="B101" s="221">
        <f>IFERROR(__xludf.DUMMYFUNCTION("""COMPUTED_VALUE"""),1.206177E7)</f>
        <v>12061770</v>
      </c>
      <c r="C101" s="222" t="str">
        <f>IFERROR(__xludf.DUMMYFUNCTION("""COMPUTED_VALUE"""),"SMB STTF Sampan Asri Residence")</f>
        <v>SMB STTF Sampan Asri Residence</v>
      </c>
      <c r="D101" s="222" t="str">
        <f>IFERROR(__xludf.DUMMYFUNCTION("""COMPUTED_VALUE"""),"REGIONAL I")</f>
        <v>REGIONAL I</v>
      </c>
      <c r="E101" s="222" t="str">
        <f>IFERROR(__xludf.DUMMYFUNCTION("""COMPUTED_VALUE"""),"SUMBAR")</f>
        <v>SUMBAR</v>
      </c>
      <c r="F101" s="222" t="str">
        <f>IFERROR(__xludf.DUMMYFUNCTION("""COMPUTED_VALUE"""),"LBB")</f>
        <v>LBB</v>
      </c>
      <c r="G101" s="222" t="str">
        <f>IFERROR(__xludf.DUMMYFUNCTION("""COMPUTED_VALUE"""),"SUMBAGTENG")</f>
        <v>SUMBAGTENG</v>
      </c>
      <c r="H101" s="222" t="str">
        <f>IFERROR(__xludf.DUMMYFUNCTION("""COMPUTED_VALUE"""),"BUKIT TINGGI")</f>
        <v>BUKIT TINGGI</v>
      </c>
      <c r="I101" s="222" t="str">
        <f>IFERROR(__xludf.DUMMYFUNCTION("""COMPUTED_VALUE"""),"Batch 1")</f>
        <v>Batch 1</v>
      </c>
      <c r="J101" s="225">
        <f>IFERROR(__xludf.DUMMYFUNCTION("""COMPUTED_VALUE"""),2.0)</f>
        <v>2</v>
      </c>
      <c r="K101" s="224">
        <f>IFERROR(__xludf.DUMMYFUNCTION("""COMPUTED_VALUE"""),16.0)</f>
        <v>16</v>
      </c>
      <c r="L101" s="226">
        <f>IFERROR(__xludf.DUMMYFUNCTION("""COMPUTED_VALUE"""),824175.0)</f>
        <v>824175</v>
      </c>
      <c r="M101" s="227">
        <f>IFERROR(__xludf.DUMMYFUNCTION("""COMPUTED_VALUE"""),1.3186797E7)</f>
        <v>13186797</v>
      </c>
      <c r="N101" s="222" t="str">
        <f>IFERROR(__xludf.DUMMYFUNCTION("""COMPUTED_VALUE"""),"PT TIGA AKSES MANDIRI")</f>
        <v>PT TIGA AKSES MANDIRI</v>
      </c>
      <c r="O101" s="222" t="str">
        <f>IFERROR(__xludf.DUMMYFUNCTION("""COMPUTED_VALUE"""),"0. DROP")</f>
        <v>0. DROP</v>
      </c>
      <c r="P101" s="222" t="str">
        <f>IFERROR(__xludf.DUMMYFUNCTION("""COMPUTED_VALUE"""),"0.3 Feeder Full")</f>
        <v>0.3 Feeder Full</v>
      </c>
      <c r="Q101" s="222" t="str">
        <f>IFERROR(__xludf.DUMMYFUNCTION("""COMPUTED_VALUE"""),"(23/01) Kendala feeder SPE-FB FULL dan butuh UP ODC KE 576 (21/01) proses aanwijziing (07/01) Persiapan")</f>
        <v>(23/01) Kendala feeder SPE-FB FULL dan butuh UP ODC KE 576 (21/01) proses aanwijziing (07/01) Persiapan</v>
      </c>
      <c r="R101" s="228"/>
      <c r="S101" s="11"/>
      <c r="T101" s="11"/>
      <c r="U101" s="11"/>
      <c r="V101" s="229" t="str">
        <f>IFERROR(__xludf.DUMMYFUNCTION("""COMPUTED_VALUE"""),"JANUAR RIZAL")</f>
        <v>JANUAR RIZAL</v>
      </c>
      <c r="W101" s="229" t="str">
        <f>IFERROR(__xludf.DUMMYFUNCTION("""COMPUTED_VALUE"""),"MELKO NARWADI")</f>
        <v>MELKO NARWADI</v>
      </c>
      <c r="X101" s="229" t="str">
        <f>IFERROR(__xludf.DUMMYFUNCTION("""COMPUTED_VALUE"""),"BELUM GOLIVE")</f>
        <v>BELUM GOLIVE</v>
      </c>
      <c r="Y101" s="229"/>
      <c r="Z101" s="229" t="str">
        <f>IFERROR(__xludf.DUMMYFUNCTION("""COMPUTED_VALUE"""),"#N/A")</f>
        <v>#N/A</v>
      </c>
      <c r="AA101" s="229"/>
      <c r="AB101" s="229"/>
      <c r="AC101" s="229"/>
      <c r="AD101" s="232"/>
      <c r="AE101" s="233"/>
      <c r="AF101" s="54" t="str">
        <f>IFERROR(__xludf.DUMMYFUNCTION("""COMPUTED_VALUE"""),"Draft BA DROP")</f>
        <v>Draft BA DROP</v>
      </c>
      <c r="AG101" s="54"/>
      <c r="AH101" s="54"/>
      <c r="AI101" s="55" t="str">
        <f t="shared" si="27"/>
        <v/>
      </c>
      <c r="AW101" s="234"/>
      <c r="BP101" s="11"/>
      <c r="BQ101" s="11"/>
      <c r="BR101" s="235"/>
      <c r="BV101" s="158"/>
      <c r="BY101" s="158"/>
      <c r="CB101" s="158"/>
    </row>
    <row r="102" ht="18.0" customHeight="1">
      <c r="A102" s="222">
        <f>IFERROR(__xludf.DUMMYFUNCTION("""COMPUTED_VALUE"""),2026.0)</f>
        <v>2026</v>
      </c>
      <c r="B102" s="221">
        <f>IFERROR(__xludf.DUMMYFUNCTION("""COMPUTED_VALUE"""),1.206163E7)</f>
        <v>12061630</v>
      </c>
      <c r="C102" s="222" t="str">
        <f>IFERROR(__xludf.DUMMYFUNCTION("""COMPUTED_VALUE"""),"SMB STTF Paramadina Residence")</f>
        <v>SMB STTF Paramadina Residence</v>
      </c>
      <c r="D102" s="222" t="str">
        <f>IFERROR(__xludf.DUMMYFUNCTION("""COMPUTED_VALUE"""),"REGIONAL I")</f>
        <v>REGIONAL I</v>
      </c>
      <c r="E102" s="222" t="str">
        <f>IFERROR(__xludf.DUMMYFUNCTION("""COMPUTED_VALUE"""),"SUMBAR")</f>
        <v>SUMBAR</v>
      </c>
      <c r="F102" s="222" t="str">
        <f>IFERROR(__xludf.DUMMYFUNCTION("""COMPUTED_VALUE"""),"LBB")</f>
        <v>LBB</v>
      </c>
      <c r="G102" s="222" t="str">
        <f>IFERROR(__xludf.DUMMYFUNCTION("""COMPUTED_VALUE"""),"SUMBAGTENG")</f>
        <v>SUMBAGTENG</v>
      </c>
      <c r="H102" s="222" t="str">
        <f>IFERROR(__xludf.DUMMYFUNCTION("""COMPUTED_VALUE"""),"BUKIT TINGGI")</f>
        <v>BUKIT TINGGI</v>
      </c>
      <c r="I102" s="222" t="str">
        <f>IFERROR(__xludf.DUMMYFUNCTION("""COMPUTED_VALUE"""),"Batch 1")</f>
        <v>Batch 1</v>
      </c>
      <c r="J102" s="225">
        <f>IFERROR(__xludf.DUMMYFUNCTION("""COMPUTED_VALUE"""),2.0)</f>
        <v>2</v>
      </c>
      <c r="K102" s="224">
        <f>IFERROR(__xludf.DUMMYFUNCTION("""COMPUTED_VALUE"""),16.0)</f>
        <v>16</v>
      </c>
      <c r="L102" s="226">
        <f>IFERROR(__xludf.DUMMYFUNCTION("""COMPUTED_VALUE"""),1381042.0)</f>
        <v>1381042</v>
      </c>
      <c r="M102" s="227">
        <f>IFERROR(__xludf.DUMMYFUNCTION("""COMPUTED_VALUE"""),2.2096657E7)</f>
        <v>22096657</v>
      </c>
      <c r="N102" s="222" t="str">
        <f>IFERROR(__xludf.DUMMYFUNCTION("""COMPUTED_VALUE"""),"PT TIGA AKSES MANDIRI")</f>
        <v>PT TIGA AKSES MANDIRI</v>
      </c>
      <c r="O102" s="222" t="str">
        <f>IFERROR(__xludf.DUMMYFUNCTION("""COMPUTED_VALUE"""),"8. UJI TERIMA")</f>
        <v>8. UJI TERIMA</v>
      </c>
      <c r="P102" s="222" t="str">
        <f>IFERROR(__xludf.DUMMYFUNCTION("""COMPUTED_VALUE"""),"8.1 Proses UT")</f>
        <v>8.1 Proses UT</v>
      </c>
      <c r="Q102" s="222" t="str">
        <f>IFERROR(__xludf.DUMMYFUNCTION("""COMPUTED_VALUE"""),"(04/02) menunggu UT, plan UT 05/02/2026  (03/02) Proses valins (29/01) proses delivery material  (21/01) proses CReate PID (07/01) Persiapan")</f>
        <v>(04/02) menunggu UT, plan UT 05/02/2026  (03/02) Proses valins (29/01) proses delivery material  (21/01) proses CReate PID (07/01) Persiapan</v>
      </c>
      <c r="R102" s="228">
        <f>IFERROR(__xludf.DUMMYFUNCTION("""COMPUTED_VALUE"""),46080.0)</f>
        <v>46080</v>
      </c>
      <c r="S102" s="11"/>
      <c r="T102" s="11"/>
      <c r="U102" s="11" t="str">
        <f>IFERROR(__xludf.DUMMYFUNCTION("""COMPUTED_VALUE"""),"TIF-2107/2026 26KT03R158-0018")</f>
        <v>TIF-2107/2026 26KT03R158-0018</v>
      </c>
      <c r="V102" s="229" t="str">
        <f>IFERROR(__xludf.DUMMYFUNCTION("""COMPUTED_VALUE"""),"JANUAR RIZAL")</f>
        <v>JANUAR RIZAL</v>
      </c>
      <c r="W102" s="229" t="str">
        <f>IFERROR(__xludf.DUMMYFUNCTION("""COMPUTED_VALUE"""),"MELKO NARWADI")</f>
        <v>MELKO NARWADI</v>
      </c>
      <c r="X102" s="229" t="str">
        <f>IFERROR(__xludf.DUMMYFUNCTION("""COMPUTED_VALUE"""),"GOLIVE")</f>
        <v>GOLIVE</v>
      </c>
      <c r="Y102" s="229" t="str">
        <f>IFERROR(__xludf.DUMMYFUNCTION("""COMPUTED_VALUE"""),"DONE")</f>
        <v>DONE</v>
      </c>
      <c r="Z102" s="229" t="str">
        <f>IFERROR(__xludf.DUMMYFUNCTION("""COMPUTED_VALUE"""),"#N/A")</f>
        <v>#N/A</v>
      </c>
      <c r="AA102" s="229">
        <f>IFERROR(__xludf.DUMMYFUNCTION("""COMPUTED_VALUE"""),2.0)</f>
        <v>2</v>
      </c>
      <c r="AB102" s="229"/>
      <c r="AC102" s="229" t="str">
        <f>IFERROR(__xludf.DUMMYFUNCTION("""COMPUTED_VALUE"""),"9059760#9059765")</f>
        <v>9059760#9059765</v>
      </c>
      <c r="AD102" s="232">
        <f>IFERROR(__xludf.DUMMYFUNCTION("""COMPUTED_VALUE"""),16.0)</f>
        <v>16</v>
      </c>
      <c r="AE102" s="233">
        <f>IFERROR(__xludf.DUMMYFUNCTION("""COMPUTED_VALUE"""),46060.0)</f>
        <v>46060</v>
      </c>
      <c r="AF102" s="54"/>
      <c r="AG102" s="54"/>
      <c r="AH102" s="54">
        <v>46080.0</v>
      </c>
      <c r="AI102" s="55">
        <f t="shared" si="27"/>
        <v>20</v>
      </c>
      <c r="AW102" s="234"/>
      <c r="BP102" s="11"/>
      <c r="BQ102" s="11"/>
      <c r="BR102" s="235"/>
      <c r="BV102" s="158"/>
      <c r="BY102" s="158"/>
      <c r="CB102" s="158"/>
    </row>
    <row r="103" ht="18.0" customHeight="1">
      <c r="A103" s="222">
        <f>IFERROR(__xludf.DUMMYFUNCTION("""COMPUTED_VALUE"""),2026.0)</f>
        <v>2026</v>
      </c>
      <c r="B103" s="221">
        <f>IFERROR(__xludf.DUMMYFUNCTION("""COMPUTED_VALUE"""),1.137952E7)</f>
        <v>11379520</v>
      </c>
      <c r="C103" s="222" t="str">
        <f>IFERROR(__xludf.DUMMYFUNCTION("""COMPUTED_VALUE"""),"RDR PPN PT4 P2I2 DALU DALU PEKAN TEBI")</f>
        <v>RDR PPN PT4 P2I2 DALU DALU PEKAN TEBI</v>
      </c>
      <c r="D103" s="222" t="str">
        <f>IFERROR(__xludf.DUMMYFUNCTION("""COMPUTED_VALUE"""),"REGIONAL I")</f>
        <v>REGIONAL I</v>
      </c>
      <c r="E103" s="222" t="str">
        <f>IFERROR(__xludf.DUMMYFUNCTION("""COMPUTED_VALUE"""),"RIDAR")</f>
        <v>RIDAR</v>
      </c>
      <c r="F103" s="222" t="str">
        <f>IFERROR(__xludf.DUMMYFUNCTION("""COMPUTED_VALUE"""),"PPN")</f>
        <v>PPN</v>
      </c>
      <c r="G103" s="222" t="str">
        <f>IFERROR(__xludf.DUMMYFUNCTION("""COMPUTED_VALUE"""),"SUMBAGTENG")</f>
        <v>SUMBAGTENG</v>
      </c>
      <c r="H103" s="222" t="str">
        <f>IFERROR(__xludf.DUMMYFUNCTION("""COMPUTED_VALUE"""),"DUMAI")</f>
        <v>DUMAI</v>
      </c>
      <c r="I103" s="222" t="str">
        <f>IFERROR(__xludf.DUMMYFUNCTION("""COMPUTED_VALUE"""),"Batch 2")</f>
        <v>Batch 2</v>
      </c>
      <c r="J103" s="225">
        <f>IFERROR(__xludf.DUMMYFUNCTION("""COMPUTED_VALUE"""),24.0)</f>
        <v>24</v>
      </c>
      <c r="K103" s="224">
        <f>IFERROR(__xludf.DUMMYFUNCTION("""COMPUTED_VALUE"""),184.0)</f>
        <v>184</v>
      </c>
      <c r="L103" s="226">
        <f>IFERROR(__xludf.DUMMYFUNCTION("""COMPUTED_VALUE"""),1100133.0)</f>
        <v>1100133</v>
      </c>
      <c r="M103" s="227">
        <f>IFERROR(__xludf.DUMMYFUNCTION("""COMPUTED_VALUE"""),2.02424421E8)</f>
        <v>202424421</v>
      </c>
      <c r="N103" s="222" t="str">
        <f>IFERROR(__xludf.DUMMYFUNCTION("""COMPUTED_VALUE"""),"PT LIBER PERSADA MANDIRI")</f>
        <v>PT LIBER PERSADA MANDIRI</v>
      </c>
      <c r="O103" s="222" t="str">
        <f>IFERROR(__xludf.DUMMYFUNCTION("""COMPUTED_VALUE"""),"7. GOLIVE")</f>
        <v>7. GOLIVE</v>
      </c>
      <c r="P103" s="222" t="str">
        <f>IFERROR(__xludf.DUMMYFUNCTION("""COMPUTED_VALUE"""),"7.2 Golive Full / OA / DONE OTB")</f>
        <v>7.2 Golive Full / OA / DONE OTB</v>
      </c>
      <c r="Q103" s="222" t="str">
        <f>IFERROR(__xludf.DUMMYFUNCTION("""COMPUTED_VALUE"""),"04/03 Menunggu Discovery Mini OLT 02/03 Menunggu Mini OLT PPN224 20/02 Plan Selesai Fisik 27 Feb 10/02 Pengitiman material ke Lokasi 29/01 Menunggu Order Mini OLT (07/01) Persiapan")</f>
        <v>04/03 Menunggu Discovery Mini OLT 02/03 Menunggu Mini OLT PPN224 20/02 Plan Selesai Fisik 27 Feb 10/02 Pengitiman material ke Lokasi 29/01 Menunggu Order Mini OLT (07/01) Persiapan</v>
      </c>
      <c r="R103" s="228">
        <f>IFERROR(__xludf.DUMMYFUNCTION("""COMPUTED_VALUE"""),46112.0)</f>
        <v>46112</v>
      </c>
      <c r="S103" s="11" t="str">
        <f>IFERROR(__xludf.DUMMYFUNCTION("""COMPUTED_VALUE"""),"MAR")</f>
        <v>MAR</v>
      </c>
      <c r="T103" s="11"/>
      <c r="U103" s="11" t="str">
        <f>IFERROR(__xludf.DUMMYFUNCTION("""COMPUTED_VALUE"""),"W08-1590/2025")</f>
        <v>W08-1590/2025</v>
      </c>
      <c r="V103" s="229" t="str">
        <f>IFERROR(__xludf.DUMMYFUNCTION("""COMPUTED_VALUE"""),"ONDI EKA SAPUTRA")</f>
        <v>ONDI EKA SAPUTRA</v>
      </c>
      <c r="W103" s="229" t="str">
        <f>IFERROR(__xludf.DUMMYFUNCTION("""COMPUTED_VALUE"""),"DESLITA RAHMADANI")</f>
        <v>DESLITA RAHMADANI</v>
      </c>
      <c r="X103" s="229" t="str">
        <f>IFERROR(__xludf.DUMMYFUNCTION("""COMPUTED_VALUE"""),"GOLIVE")</f>
        <v>GOLIVE</v>
      </c>
      <c r="Y103" s="229" t="str">
        <f>IFERROR(__xludf.DUMMYFUNCTION("""COMPUTED_VALUE"""),"DONE")</f>
        <v>DONE</v>
      </c>
      <c r="Z103" s="229"/>
      <c r="AA103" s="229">
        <f>IFERROR(__xludf.DUMMYFUNCTION("""COMPUTED_VALUE"""),23.0)</f>
        <v>23</v>
      </c>
      <c r="AB103" s="229"/>
      <c r="AC103" s="229" t="str">
        <f>IFERROR(__xludf.DUMMYFUNCTION("""COMPUTED_VALUE"""),"9183711#9183716")</f>
        <v>9183711#9183716</v>
      </c>
      <c r="AD103" s="232">
        <f>IFERROR(__xludf.DUMMYFUNCTION("""COMPUTED_VALUE"""),184.0)</f>
        <v>184</v>
      </c>
      <c r="AE103" s="233">
        <f>IFERROR(__xludf.DUMMYFUNCTION("""COMPUTED_VALUE"""),46089.0)</f>
        <v>46089</v>
      </c>
      <c r="AF103" s="54"/>
      <c r="AG103" s="54"/>
      <c r="AH103" s="54">
        <v>46112.0</v>
      </c>
      <c r="AI103" s="55">
        <f>IF(OR(AH103="",AE103=""),"",AH103-AE103)</f>
        <v>23</v>
      </c>
      <c r="AW103" s="234"/>
      <c r="BP103" s="11"/>
      <c r="BQ103" s="11"/>
      <c r="BR103" s="235"/>
      <c r="BV103" s="158"/>
      <c r="BY103" s="158"/>
      <c r="CB103" s="158"/>
    </row>
    <row r="104" ht="18.0" hidden="1" customHeight="1">
      <c r="A104" s="222">
        <f>IFERROR(__xludf.DUMMYFUNCTION("""COMPUTED_VALUE"""),2026.0)</f>
        <v>2026</v>
      </c>
      <c r="B104" s="221">
        <f>IFERROR(__xludf.DUMMYFUNCTION("""COMPUTED_VALUE"""),1.1206491E7)</f>
        <v>11206491</v>
      </c>
      <c r="C104" s="222" t="str">
        <f>IFERROR(__xludf.DUMMYFUNCTION("""COMPUTED_VALUE"""),"MDN PT3 P7I12 CTD-FCQ G MENCIRIM GLUGUR")</f>
        <v>MDN PT3 P7I12 CTD-FCQ G MENCIRIM GLUGUR</v>
      </c>
      <c r="D104" s="222" t="str">
        <f>IFERROR(__xludf.DUMMYFUNCTION("""COMPUTED_VALUE"""),"REGIONAL I")</f>
        <v>REGIONAL I</v>
      </c>
      <c r="E104" s="222" t="str">
        <f>IFERROR(__xludf.DUMMYFUNCTION("""COMPUTED_VALUE"""),"MEDAN")</f>
        <v>MEDAN</v>
      </c>
      <c r="F104" s="222" t="str">
        <f>IFERROR(__xludf.DUMMYFUNCTION("""COMPUTED_VALUE"""),"CTD")</f>
        <v>CTD</v>
      </c>
      <c r="G104" s="222" t="str">
        <f>IFERROR(__xludf.DUMMYFUNCTION("""COMPUTED_VALUE"""),"SUMBAGUT")</f>
        <v>SUMBAGUT</v>
      </c>
      <c r="H104" s="222" t="str">
        <f>IFERROR(__xludf.DUMMYFUNCTION("""COMPUTED_VALUE"""),"MEDAN")</f>
        <v>MEDAN</v>
      </c>
      <c r="I104" s="222" t="str">
        <f>IFERROR(__xludf.DUMMYFUNCTION("""COMPUTED_VALUE"""),"Batch 2")</f>
        <v>Batch 2</v>
      </c>
      <c r="J104" s="225">
        <f>IFERROR(__xludf.DUMMYFUNCTION("""COMPUTED_VALUE"""),5.0)</f>
        <v>5</v>
      </c>
      <c r="K104" s="224">
        <f>IFERROR(__xludf.DUMMYFUNCTION("""COMPUTED_VALUE"""),40.0)</f>
        <v>40</v>
      </c>
      <c r="L104" s="226">
        <f>IFERROR(__xludf.DUMMYFUNCTION("""COMPUTED_VALUE"""),1114760.0)</f>
        <v>1114760</v>
      </c>
      <c r="M104" s="227">
        <f>IFERROR(__xludf.DUMMYFUNCTION("""COMPUTED_VALUE"""),4.4590374E7)</f>
        <v>44590374</v>
      </c>
      <c r="N104" s="222" t="str">
        <f>IFERROR(__xludf.DUMMYFUNCTION("""COMPUTED_VALUE"""),"SWAKELOLA")</f>
        <v>SWAKELOLA</v>
      </c>
      <c r="O104" s="222" t="str">
        <f>IFERROR(__xludf.DUMMYFUNCTION("""COMPUTED_VALUE"""),"2. DONE AANWIJZING")</f>
        <v>2. DONE AANWIJZING</v>
      </c>
      <c r="P104" s="222" t="str">
        <f>IFERROR(__xludf.DUMMYFUNCTION("""COMPUTED_VALUE"""),"2.10 Kendala - Feeder Rusak")</f>
        <v>2.10 Kendala - Feeder Rusak</v>
      </c>
      <c r="Q104" s="222" t="str">
        <f>IFERROR(__xludf.DUMMYFUNCTION("""COMPUTED_VALUE"""),"22/04 pengecekan tipus butuh QE
(21/08) Core idle Feeder LOS/Redti CTD-FCQ")</f>
        <v>22/04 pengecekan tipus butuh QE
(21/08) Core idle Feeder LOS/Redti CTD-FCQ</v>
      </c>
      <c r="R104" s="228"/>
      <c r="S104" s="11"/>
      <c r="T104" s="11"/>
      <c r="U104" s="11"/>
      <c r="V104" s="229"/>
      <c r="W104" s="229"/>
      <c r="X104" s="229" t="str">
        <f>IFERROR(__xludf.DUMMYFUNCTION("""COMPUTED_VALUE"""),"BELUM GOLIVE")</f>
        <v>BELUM GOLIVE</v>
      </c>
      <c r="Y104" s="229"/>
      <c r="Z104" s="229" t="str">
        <f>IFERROR(__xludf.DUMMYFUNCTION("""COMPUTED_VALUE"""),"#N/A")</f>
        <v>#N/A</v>
      </c>
      <c r="AA104" s="229"/>
      <c r="AB104" s="229"/>
      <c r="AC104" s="229"/>
      <c r="AD104" s="232"/>
      <c r="AE104" s="233"/>
      <c r="AF104" s="54"/>
      <c r="AG104" s="54"/>
      <c r="AH104" s="54"/>
      <c r="AI104" s="55" t="str">
        <f t="shared" ref="AI104:AI140" si="28">IF(OR(R104="",AE104=""),"",R104-AE104)</f>
        <v/>
      </c>
      <c r="AW104" s="234"/>
      <c r="BP104" s="11"/>
      <c r="BQ104" s="11"/>
      <c r="BR104" s="235"/>
      <c r="BV104" s="158"/>
      <c r="BY104" s="158"/>
      <c r="CB104" s="158"/>
    </row>
    <row r="105" ht="18.0" hidden="1" customHeight="1">
      <c r="A105" s="222">
        <f>IFERROR(__xludf.DUMMYFUNCTION("""COMPUTED_VALUE"""),2026.0)</f>
        <v>2026</v>
      </c>
      <c r="B105" s="221">
        <f>IFERROR(__xludf.DUMMYFUNCTION("""COMPUTED_VALUE"""),1.0269503E7)</f>
        <v>10269503</v>
      </c>
      <c r="C105" s="222" t="str">
        <f>IFERROR(__xludf.DUMMYFUNCTION("""COMPUTED_VALUE"""),"LPG PT3 JPP KELUNGU KOT")</f>
        <v>LPG PT3 JPP KELUNGU KOT</v>
      </c>
      <c r="D105" s="222" t="str">
        <f>IFERROR(__xludf.DUMMYFUNCTION("""COMPUTED_VALUE"""),"REGIONAL I")</f>
        <v>REGIONAL I</v>
      </c>
      <c r="E105" s="222" t="str">
        <f>IFERROR(__xludf.DUMMYFUNCTION("""COMPUTED_VALUE"""),"LAMPUNG")</f>
        <v>LAMPUNG</v>
      </c>
      <c r="F105" s="222" t="str">
        <f>IFERROR(__xludf.DUMMYFUNCTION("""COMPUTED_VALUE"""),"KOT")</f>
        <v>KOT</v>
      </c>
      <c r="G105" s="222" t="str">
        <f>IFERROR(__xludf.DUMMYFUNCTION("""COMPUTED_VALUE"""),"SUMBAGSEL")</f>
        <v>SUMBAGSEL</v>
      </c>
      <c r="H105" s="222" t="str">
        <f>IFERROR(__xludf.DUMMYFUNCTION("""COMPUTED_VALUE"""),"LAMPUNG")</f>
        <v>LAMPUNG</v>
      </c>
      <c r="I105" s="222" t="str">
        <f>IFERROR(__xludf.DUMMYFUNCTION("""COMPUTED_VALUE"""),"Batch 2")</f>
        <v>Batch 2</v>
      </c>
      <c r="J105" s="225">
        <f>IFERROR(__xludf.DUMMYFUNCTION("""COMPUTED_VALUE"""),10.0)</f>
        <v>10</v>
      </c>
      <c r="K105" s="224">
        <f>IFERROR(__xludf.DUMMYFUNCTION("""COMPUTED_VALUE"""),80.0)</f>
        <v>80</v>
      </c>
      <c r="L105" s="226">
        <f>IFERROR(__xludf.DUMMYFUNCTION("""COMPUTED_VALUE"""),1499842.0)</f>
        <v>1499842</v>
      </c>
      <c r="M105" s="227">
        <f>IFERROR(__xludf.DUMMYFUNCTION("""COMPUTED_VALUE"""),1.19987296E8)</f>
        <v>119987296</v>
      </c>
      <c r="N105" s="222" t="str">
        <f>IFERROR(__xludf.DUMMYFUNCTION("""COMPUTED_VALUE"""),"PT GARINDO TECHNO MANDIRI")</f>
        <v>PT GARINDO TECHNO MANDIRI</v>
      </c>
      <c r="O105" s="222" t="str">
        <f>IFERROR(__xludf.DUMMYFUNCTION("""COMPUTED_VALUE"""),"0. DROP")</f>
        <v>0. DROP</v>
      </c>
      <c r="P105" s="222" t="str">
        <f>IFERROR(__xludf.DUMMYFUNCTION("""COMPUTED_VALUE"""),"0.2 Tidak Dapat Izin Warga/Kades/Lurah/Developer")</f>
        <v>0.2 Tidak Dapat Izin Warga/Kades/Lurah/Developer</v>
      </c>
      <c r="Q105" s="222" t="str">
        <f>IFERROR(__xludf.DUMMYFUNCTION("""COMPUTED_VALUE"""),"28/2 tidak diizikan warga karena tidak ada space tanam tiang 14/1 tidak dapat izin dari kepala pekon""")</f>
        <v>28/2 tidak diizikan warga karena tidak ada space tanam tiang 14/1 tidak dapat izin dari kepala pekon"</v>
      </c>
      <c r="R105" s="228"/>
      <c r="S105" s="11"/>
      <c r="T105" s="11"/>
      <c r="U105" s="11"/>
      <c r="V105" s="229"/>
      <c r="W105" s="229"/>
      <c r="X105" s="229" t="str">
        <f>IFERROR(__xludf.DUMMYFUNCTION("""COMPUTED_VALUE"""),"BELUM GOLIVE")</f>
        <v>BELUM GOLIVE</v>
      </c>
      <c r="Y105" s="229"/>
      <c r="Z105" s="229" t="str">
        <f>IFERROR(__xludf.DUMMYFUNCTION("""COMPUTED_VALUE"""),"#N/A")</f>
        <v>#N/A</v>
      </c>
      <c r="AA105" s="229"/>
      <c r="AB105" s="229"/>
      <c r="AC105" s="229"/>
      <c r="AD105" s="232"/>
      <c r="AE105" s="233"/>
      <c r="AF105" s="54" t="str">
        <f>IFERROR(__xludf.DUMMYFUNCTION("""COMPUTED_VALUE"""),"Draft BA DROP")</f>
        <v>Draft BA DROP</v>
      </c>
      <c r="AG105" s="54"/>
      <c r="AH105" s="54"/>
      <c r="AI105" s="55" t="str">
        <f t="shared" si="28"/>
        <v/>
      </c>
      <c r="AW105" s="234"/>
      <c r="BP105" s="11"/>
      <c r="BQ105" s="11"/>
      <c r="BR105" s="235"/>
      <c r="BV105" s="158"/>
      <c r="BY105" s="158"/>
      <c r="CB105" s="158"/>
    </row>
    <row r="106" ht="18.0" customHeight="1">
      <c r="A106" s="222">
        <f>IFERROR(__xludf.DUMMYFUNCTION("""COMPUTED_VALUE"""),2026.0)</f>
        <v>2026</v>
      </c>
      <c r="B106" s="221">
        <f>IFERROR(__xludf.DUMMYFUNCTION("""COMPUTED_VALUE"""),1.128793E7)</f>
        <v>11287930</v>
      </c>
      <c r="C106" s="222" t="str">
        <f>IFERROR(__xludf.DUMMYFUNCTION("""COMPUTED_VALUE"""),"SMB MD SOLOK_1507")</f>
        <v>SMB MD SOLOK_1507</v>
      </c>
      <c r="D106" s="222" t="str">
        <f>IFERROR(__xludf.DUMMYFUNCTION("""COMPUTED_VALUE"""),"REGIONAL I")</f>
        <v>REGIONAL I</v>
      </c>
      <c r="E106" s="222" t="str">
        <f>IFERROR(__xludf.DUMMYFUNCTION("""COMPUTED_VALUE"""),"SUMBAR")</f>
        <v>SUMBAR</v>
      </c>
      <c r="F106" s="222" t="str">
        <f>IFERROR(__xludf.DUMMYFUNCTION("""COMPUTED_VALUE"""),"SUM")</f>
        <v>SUM</v>
      </c>
      <c r="G106" s="222" t="str">
        <f>IFERROR(__xludf.DUMMYFUNCTION("""COMPUTED_VALUE"""),"SUMBAGTENG")</f>
        <v>SUMBAGTENG</v>
      </c>
      <c r="H106" s="222" t="str">
        <f>IFERROR(__xludf.DUMMYFUNCTION("""COMPUTED_VALUE"""),"PADANG")</f>
        <v>PADANG</v>
      </c>
      <c r="I106" s="222" t="str">
        <f>IFERROR(__xludf.DUMMYFUNCTION("""COMPUTED_VALUE"""),"Batch 2")</f>
        <v>Batch 2</v>
      </c>
      <c r="J106" s="225">
        <f>IFERROR(__xludf.DUMMYFUNCTION("""COMPUTED_VALUE"""),8.0)</f>
        <v>8</v>
      </c>
      <c r="K106" s="224">
        <f>IFERROR(__xludf.DUMMYFUNCTION("""COMPUTED_VALUE"""),64.0)</f>
        <v>64</v>
      </c>
      <c r="L106" s="226">
        <f>IFERROR(__xludf.DUMMYFUNCTION("""COMPUTED_VALUE"""),1499775.0)</f>
        <v>1499775</v>
      </c>
      <c r="M106" s="227">
        <f>IFERROR(__xludf.DUMMYFUNCTION("""COMPUTED_VALUE"""),9.5985546E7)</f>
        <v>95985546</v>
      </c>
      <c r="N106" s="222" t="str">
        <f>IFERROR(__xludf.DUMMYFUNCTION("""COMPUTED_VALUE"""),"PT TRI PENAMAS")</f>
        <v>PT TRI PENAMAS</v>
      </c>
      <c r="O106" s="222" t="str">
        <f>IFERROR(__xludf.DUMMYFUNCTION("""COMPUTED_VALUE"""),"0. DROP")</f>
        <v>0. DROP</v>
      </c>
      <c r="P106" s="222" t="str">
        <f>IFERROR(__xludf.DUMMYFUNCTION("""COMPUTED_VALUE"""),"0.5 DROP TSEL - Acc ED TIF")</f>
        <v>0.5 DROP TSEL - Acc ED TIF</v>
      </c>
      <c r="Q106" s="222" t="str">
        <f>IFERROR(__xludf.DUMMYFUNCTION("""COMPUTED_VALUE"""),"(09/03) proses create PID (05/03) proses aanwijziing plan selesai 07/03 (02/03) proses aanwijziing (26/01) DROP, permintaan tsel (tidak potensial) ")</f>
        <v>(09/03) proses create PID (05/03) proses aanwijziing plan selesai 07/03 (02/03) proses aanwijziing (26/01) DROP, permintaan tsel (tidak potensial) </v>
      </c>
      <c r="R106" s="228"/>
      <c r="S106" s="11"/>
      <c r="T106" s="11"/>
      <c r="U106" s="11" t="str">
        <f>IFERROR(__xludf.DUMMYFUNCTION("""COMPUTED_VALUE"""),"TIF-5961/2026  26KT03R158-0078")</f>
        <v>TIF-5961/2026  26KT03R158-0078</v>
      </c>
      <c r="V106" s="229" t="str">
        <f>IFERROR(__xludf.DUMMYFUNCTION("""COMPUTED_VALUE"""),"FABIO RAHMAN")</f>
        <v>FABIO RAHMAN</v>
      </c>
      <c r="W106" s="229" t="str">
        <f>IFERROR(__xludf.DUMMYFUNCTION("""COMPUTED_VALUE"""),"MELKO NARWADI")</f>
        <v>MELKO NARWADI</v>
      </c>
      <c r="X106" s="229" t="str">
        <f>IFERROR(__xludf.DUMMYFUNCTION("""COMPUTED_VALUE"""),"BELUM GOLIVE")</f>
        <v>BELUM GOLIVE</v>
      </c>
      <c r="Y106" s="229"/>
      <c r="Z106" s="229" t="str">
        <f>IFERROR(__xludf.DUMMYFUNCTION("""COMPUTED_VALUE"""),"#N/A")</f>
        <v>#N/A</v>
      </c>
      <c r="AA106" s="229"/>
      <c r="AB106" s="229"/>
      <c r="AC106" s="229"/>
      <c r="AD106" s="232"/>
      <c r="AE106" s="233"/>
      <c r="AF106" s="54"/>
      <c r="AG106" s="54"/>
      <c r="AH106" s="54"/>
      <c r="AI106" s="55" t="str">
        <f t="shared" si="28"/>
        <v/>
      </c>
      <c r="AW106" s="234"/>
      <c r="BP106" s="11"/>
      <c r="BQ106" s="11"/>
      <c r="BR106" s="235"/>
      <c r="BV106" s="158"/>
      <c r="BY106" s="158"/>
      <c r="CB106" s="158"/>
    </row>
    <row r="107" ht="18.0" customHeight="1">
      <c r="A107" s="222">
        <f>IFERROR(__xludf.DUMMYFUNCTION("""COMPUTED_VALUE"""),2026.0)</f>
        <v>2026</v>
      </c>
      <c r="B107" s="221">
        <f>IFERROR(__xludf.DUMMYFUNCTION("""COMPUTED_VALUE"""),1.2148329E7)</f>
        <v>12148329</v>
      </c>
      <c r="C107" s="222" t="str">
        <f>IFERROR(__xludf.DUMMYFUNCTION("""COMPUTED_VALUE"""),"RKP PT3 APC BTC-FBK AZURE BAY (2)")</f>
        <v>RKP PT3 APC BTC-FBK AZURE BAY (2)</v>
      </c>
      <c r="D107" s="222" t="str">
        <f>IFERROR(__xludf.DUMMYFUNCTION("""COMPUTED_VALUE"""),"REGIONAL I")</f>
        <v>REGIONAL I</v>
      </c>
      <c r="E107" s="222" t="str">
        <f>IFERROR(__xludf.DUMMYFUNCTION("""COMPUTED_VALUE"""),"RIKEP")</f>
        <v>RIKEP</v>
      </c>
      <c r="F107" s="222" t="str">
        <f>IFERROR(__xludf.DUMMYFUNCTION("""COMPUTED_VALUE"""),"BTC")</f>
        <v>BTC</v>
      </c>
      <c r="G107" s="222" t="str">
        <f>IFERROR(__xludf.DUMMYFUNCTION("""COMPUTED_VALUE"""),"SUMBAGTENG")</f>
        <v>SUMBAGTENG</v>
      </c>
      <c r="H107" s="222" t="str">
        <f>IFERROR(__xludf.DUMMYFUNCTION("""COMPUTED_VALUE"""),"BATAM")</f>
        <v>BATAM</v>
      </c>
      <c r="I107" s="222" t="str">
        <f>IFERROR(__xludf.DUMMYFUNCTION("""COMPUTED_VALUE"""),"Batch 2")</f>
        <v>Batch 2</v>
      </c>
      <c r="J107" s="225">
        <f>IFERROR(__xludf.DUMMYFUNCTION("""COMPUTED_VALUE"""),2.0)</f>
        <v>2</v>
      </c>
      <c r="K107" s="224">
        <f>IFERROR(__xludf.DUMMYFUNCTION("""COMPUTED_VALUE"""),32.0)</f>
        <v>32</v>
      </c>
      <c r="L107" s="226">
        <f>IFERROR(__xludf.DUMMYFUNCTION("""COMPUTED_VALUE"""),1499410.0)</f>
        <v>1499410</v>
      </c>
      <c r="M107" s="227">
        <f>IFERROR(__xludf.DUMMYFUNCTION("""COMPUTED_VALUE"""),4.7981101E7)</f>
        <v>47981101</v>
      </c>
      <c r="N107" s="222" t="str">
        <f>IFERROR(__xludf.DUMMYFUNCTION("""COMPUTED_VALUE"""),"PT ALTONG JAYA ABADI")</f>
        <v>PT ALTONG JAYA ABADI</v>
      </c>
      <c r="O107" s="222" t="str">
        <f>IFERROR(__xludf.DUMMYFUNCTION("""COMPUTED_VALUE"""),"0. DROP")</f>
        <v>0. DROP</v>
      </c>
      <c r="P107" s="222" t="str">
        <f>IFERROR(__xludf.DUMMYFUNCTION("""COMPUTED_VALUE"""),"0.2 Tidak Dapat Izin Warga/Kades/Lurah/Developer")</f>
        <v>0.2 Tidak Dapat Izin Warga/Kades/Lurah/Developer</v>
      </c>
      <c r="Q107" s="222" t="str">
        <f>IFERROR(__xludf.DUMMYFUNCTION("""COMPUTED_VALUE"""),"23/02 Galian Open jalur pedestal masih banyak puing puing bangunan dan scafolding karena rumah masih dalam tahap pembangunan. 09/02 Plan progres rabu 11 Feb 2026. 06/02 Permintaan developer di mulai senin minggu depan bareng dengan utilitas lain. 04/02 OD"&amp;"P berkurang, CPP berlebih, sedang eval AOM. 28/01 Izin OK, anwijzing OK, boq kml di eval hari ini karena ODP berkurang. 26/01 LOP sudah di survey namun Mitra PT Altong menolak order alasan MP, peralihan mitra. 21/01 plan fu perizinan tanggal 26 Jan")</f>
        <v>23/02 Galian Open jalur pedestal masih banyak puing puing bangunan dan scafolding karena rumah masih dalam tahap pembangunan. 09/02 Plan progres rabu 11 Feb 2026. 06/02 Permintaan developer di mulai senin minggu depan bareng dengan utilitas lain. 04/02 ODP berkurang, CPP berlebih, sedang eval AOM. 28/01 Izin OK, anwijzing OK, boq kml di eval hari ini karena ODP berkurang. 26/01 LOP sudah di survey namun Mitra PT Altong menolak order alasan MP, peralihan mitra. 21/01 plan fu perizinan tanggal 26 Jan</v>
      </c>
      <c r="R107" s="228"/>
      <c r="S107" s="11"/>
      <c r="T107" s="11"/>
      <c r="U107" s="11" t="str">
        <f>IFERROR(__xludf.DUMMYFUNCTION("""COMPUTED_VALUE"""),"W09-144/2026")</f>
        <v>W09-144/2026</v>
      </c>
      <c r="V107" s="229" t="str">
        <f>IFERROR(__xludf.DUMMYFUNCTION("""COMPUTED_VALUE"""),"GANI PRASTYO")</f>
        <v>GANI PRASTYO</v>
      </c>
      <c r="W107" s="229" t="str">
        <f>IFERROR(__xludf.DUMMYFUNCTION("""COMPUTED_VALUE"""),"LEVITA INDRIYANI")</f>
        <v>LEVITA INDRIYANI</v>
      </c>
      <c r="X107" s="229" t="str">
        <f>IFERROR(__xludf.DUMMYFUNCTION("""COMPUTED_VALUE"""),"BELUM GOLIVE")</f>
        <v>BELUM GOLIVE</v>
      </c>
      <c r="Y107" s="229"/>
      <c r="Z107" s="229" t="str">
        <f>IFERROR(__xludf.DUMMYFUNCTION("""COMPUTED_VALUE"""),"#N/A")</f>
        <v>#N/A</v>
      </c>
      <c r="AA107" s="229"/>
      <c r="AB107" s="229"/>
      <c r="AC107" s="229"/>
      <c r="AD107" s="232"/>
      <c r="AE107" s="233"/>
      <c r="AF107" s="54" t="str">
        <f>IFERROR(__xludf.DUMMYFUNCTION("""COMPUTED_VALUE"""),"Draft BA DROP")</f>
        <v>Draft BA DROP</v>
      </c>
      <c r="AG107" s="54"/>
      <c r="AH107" s="54"/>
      <c r="AI107" s="55" t="str">
        <f t="shared" si="28"/>
        <v/>
      </c>
      <c r="AW107" s="234"/>
      <c r="BP107" s="11"/>
      <c r="BQ107" s="11"/>
      <c r="BR107" s="235"/>
      <c r="BV107" s="158"/>
      <c r="BY107" s="158"/>
      <c r="CB107" s="158"/>
    </row>
    <row r="108" ht="18.0" hidden="1" customHeight="1">
      <c r="A108" s="222">
        <f>IFERROR(__xludf.DUMMYFUNCTION("""COMPUTED_VALUE"""),2026.0)</f>
        <v>2026</v>
      </c>
      <c r="B108" s="221">
        <f>IFERROR(__xludf.DUMMYFUNCTION("""COMPUTED_VALUE"""),1.2438665E7)</f>
        <v>12438665</v>
      </c>
      <c r="C108" s="222" t="str">
        <f>IFERROR(__xludf.DUMMYFUNCTION("""COMPUTED_VALUE"""),"BBL PT3 P4I4 DAMAI LESTARI 6")</f>
        <v>BBL PT3 P4I4 DAMAI LESTARI 6</v>
      </c>
      <c r="D108" s="222" t="str">
        <f>IFERROR(__xludf.DUMMYFUNCTION("""COMPUTED_VALUE"""),"REGIONAL I")</f>
        <v>REGIONAL I</v>
      </c>
      <c r="E108" s="222" t="str">
        <f>IFERROR(__xludf.DUMMYFUNCTION("""COMPUTED_VALUE"""),"BABEL")</f>
        <v>BABEL</v>
      </c>
      <c r="F108" s="222" t="str">
        <f>IFERROR(__xludf.DUMMYFUNCTION("""COMPUTED_VALUE"""),"PGP")</f>
        <v>PGP</v>
      </c>
      <c r="G108" s="222" t="str">
        <f>IFERROR(__xludf.DUMMYFUNCTION("""COMPUTED_VALUE"""),"SUMBAGSEL")</f>
        <v>SUMBAGSEL</v>
      </c>
      <c r="H108" s="222" t="str">
        <f>IFERROR(__xludf.DUMMYFUNCTION("""COMPUTED_VALUE"""),"PANGKAL PINANG")</f>
        <v>PANGKAL PINANG</v>
      </c>
      <c r="I108" s="222" t="str">
        <f>IFERROR(__xludf.DUMMYFUNCTION("""COMPUTED_VALUE"""),"Batch 2")</f>
        <v>Batch 2</v>
      </c>
      <c r="J108" s="225">
        <f>IFERROR(__xludf.DUMMYFUNCTION("""COMPUTED_VALUE"""),2.0)</f>
        <v>2</v>
      </c>
      <c r="K108" s="224">
        <f>IFERROR(__xludf.DUMMYFUNCTION("""COMPUTED_VALUE"""),16.0)</f>
        <v>16</v>
      </c>
      <c r="L108" s="226">
        <f>IFERROR(__xludf.DUMMYFUNCTION("""COMPUTED_VALUE"""),1498539.0)</f>
        <v>1498539</v>
      </c>
      <c r="M108" s="227">
        <f>IFERROR(__xludf.DUMMYFUNCTION("""COMPUTED_VALUE"""),2.3976611E7)</f>
        <v>23976611</v>
      </c>
      <c r="N108" s="222" t="str">
        <f>IFERROR(__xludf.DUMMYFUNCTION("""COMPUTED_VALUE"""),"PT FEDRON SOLUSINDO UTAMA")</f>
        <v>PT FEDRON SOLUSINDO UTAMA</v>
      </c>
      <c r="O108" s="222" t="str">
        <f>IFERROR(__xludf.DUMMYFUNCTION("""COMPUTED_VALUE"""),"7. GOLIVE")</f>
        <v>7. GOLIVE</v>
      </c>
      <c r="P108" s="222" t="str">
        <f>IFERROR(__xludf.DUMMYFUNCTION("""COMPUTED_VALUE"""),"7.2 Golive Full / OA / DONE OTB")</f>
        <v>7.2 Golive Full / OA / DONE OTB</v>
      </c>
      <c r="Q108" s="222" t="str">
        <f>IFERROR(__xludf.DUMMYFUNCTION("""COMPUTED_VALUE"""),"(08/01) Done Go Live (7/1)  V4 DONE SETOR 31/12 Finish Instalasi 29/11 tanam 4 tiang done (28/11) pengambilan material (27/11) sudah request material 25/11 sudah bisa request (24/11) progres pr po (21/11) progres DRM mitra 17/11 sudah created PID (15/11) "&amp;"anwijzing ke lokasi 5/11 Penunjukan mitra")</f>
        <v>(08/01) Done Go Live (7/1)  V4 DONE SETOR 31/12 Finish Instalasi 29/11 tanam 4 tiang done (28/11) pengambilan material (27/11) sudah request material 25/11 sudah bisa request (24/11) progres pr po (21/11) progres DRM mitra 17/11 sudah created PID (15/11) anwijzing ke lokasi 5/11 Penunjukan mitra</v>
      </c>
      <c r="R108" s="228"/>
      <c r="S108" s="11"/>
      <c r="T108" s="11"/>
      <c r="U108" s="11"/>
      <c r="V108" s="229"/>
      <c r="W108" s="229"/>
      <c r="X108" s="229" t="str">
        <f>IFERROR(__xludf.DUMMYFUNCTION("""COMPUTED_VALUE"""),"GOLIVE")</f>
        <v>GOLIVE</v>
      </c>
      <c r="Y108" s="229" t="str">
        <f>IFERROR(__xludf.DUMMYFUNCTION("""COMPUTED_VALUE"""),"DONE")</f>
        <v>DONE</v>
      </c>
      <c r="Z108" s="229" t="str">
        <f>IFERROR(__xludf.DUMMYFUNCTION("""COMPUTED_VALUE"""),"#N/A")</f>
        <v>#N/A</v>
      </c>
      <c r="AA108" s="229">
        <f>IFERROR(__xludf.DUMMYFUNCTION("""COMPUTED_VALUE"""),1.0)</f>
        <v>1</v>
      </c>
      <c r="AB108" s="229">
        <f>IFERROR(__xludf.DUMMYFUNCTION("""COMPUTED_VALUE"""),1.0)</f>
        <v>1</v>
      </c>
      <c r="AC108" s="229" t="str">
        <f>IFERROR(__xludf.DUMMYFUNCTION("""COMPUTED_VALUE"""),"8856727#8856732")</f>
        <v>8856727#8856732</v>
      </c>
      <c r="AD108" s="232">
        <f>IFERROR(__xludf.DUMMYFUNCTION("""COMPUTED_VALUE"""),24.0)</f>
        <v>24</v>
      </c>
      <c r="AE108" s="233">
        <f>IFERROR(__xludf.DUMMYFUNCTION("""COMPUTED_VALUE"""),46029.0)</f>
        <v>46029</v>
      </c>
      <c r="AF108" s="54" t="str">
        <f>IFERROR(__xludf.DUMMYFUNCTION("""COMPUTED_VALUE"""),"DONE")</f>
        <v>DONE</v>
      </c>
      <c r="AG108" s="54"/>
      <c r="AH108" s="54"/>
      <c r="AI108" s="55" t="str">
        <f t="shared" si="28"/>
        <v/>
      </c>
      <c r="AW108" s="234"/>
      <c r="BP108" s="11"/>
      <c r="BQ108" s="11"/>
      <c r="BR108" s="235"/>
      <c r="BV108" s="158"/>
      <c r="BY108" s="158"/>
      <c r="CB108" s="158"/>
    </row>
    <row r="109" ht="18.0" hidden="1" customHeight="1">
      <c r="A109" s="222">
        <f>IFERROR(__xludf.DUMMYFUNCTION("""COMPUTED_VALUE"""),2026.0)</f>
        <v>2026</v>
      </c>
      <c r="B109" s="221">
        <f>IFERROR(__xludf.DUMMYFUNCTION("""COMPUTED_VALUE"""),1.116158E7)</f>
        <v>11161580</v>
      </c>
      <c r="C109" s="222" t="str">
        <f>IFERROR(__xludf.DUMMYFUNCTION("""COMPUTED_VALUE"""),"MDN PT3 TJR-FA JL.SULTAN SRDNG GG BUNTU")</f>
        <v>MDN PT3 TJR-FA JL.SULTAN SRDNG GG BUNTU</v>
      </c>
      <c r="D109" s="222" t="str">
        <f>IFERROR(__xludf.DUMMYFUNCTION("""COMPUTED_VALUE"""),"REGIONAL I")</f>
        <v>REGIONAL I</v>
      </c>
      <c r="E109" s="222" t="str">
        <f>IFERROR(__xludf.DUMMYFUNCTION("""COMPUTED_VALUE"""),"MEDAN")</f>
        <v>MEDAN</v>
      </c>
      <c r="F109" s="222" t="str">
        <f>IFERROR(__xludf.DUMMYFUNCTION("""COMPUTED_VALUE"""),"TJR")</f>
        <v>TJR</v>
      </c>
      <c r="G109" s="222" t="str">
        <f>IFERROR(__xludf.DUMMYFUNCTION("""COMPUTED_VALUE"""),"SUMBAGUT")</f>
        <v>SUMBAGUT</v>
      </c>
      <c r="H109" s="222" t="str">
        <f>IFERROR(__xludf.DUMMYFUNCTION("""COMPUTED_VALUE"""),"MEDAN")</f>
        <v>MEDAN</v>
      </c>
      <c r="I109" s="222" t="str">
        <f>IFERROR(__xludf.DUMMYFUNCTION("""COMPUTED_VALUE"""),"Batch 2")</f>
        <v>Batch 2</v>
      </c>
      <c r="J109" s="225">
        <f>IFERROR(__xludf.DUMMYFUNCTION("""COMPUTED_VALUE"""),3.0)</f>
        <v>3</v>
      </c>
      <c r="K109" s="224">
        <f>IFERROR(__xludf.DUMMYFUNCTION("""COMPUTED_VALUE"""),24.0)</f>
        <v>24</v>
      </c>
      <c r="L109" s="226">
        <f>IFERROR(__xludf.DUMMYFUNCTION("""COMPUTED_VALUE"""),867279.0)</f>
        <v>867279</v>
      </c>
      <c r="M109" s="227">
        <f>IFERROR(__xludf.DUMMYFUNCTION("""COMPUTED_VALUE"""),2.0814681E7)</f>
        <v>20814681</v>
      </c>
      <c r="N109" s="222" t="str">
        <f>IFERROR(__xludf.DUMMYFUNCTION("""COMPUTED_VALUE"""),"PT UPAYA TEKNIK")</f>
        <v>PT UPAYA TEKNIK</v>
      </c>
      <c r="O109" s="222" t="str">
        <f>IFERROR(__xludf.DUMMYFUNCTION("""COMPUTED_VALUE"""),"0. DROP")</f>
        <v>0. DROP</v>
      </c>
      <c r="P109" s="222" t="str">
        <f>IFERROR(__xludf.DUMMYFUNCTION("""COMPUTED_VALUE"""),"0.2 Tidak Dapat Izin Warga/Kades/Lurah/Developer")</f>
        <v>0.2 Tidak Dapat Izin Warga/Kades/Lurah/Developer</v>
      </c>
      <c r="Q109" s="222" t="str">
        <f>IFERROR(__xludf.DUMMYFUNCTION("""COMPUTED_VALUE"""),"31/03 tidak dapat izin tanam tiang di lahan warga
(07/01) Persiapan")</f>
        <v>31/03 tidak dapat izin tanam tiang di lahan warga
(07/01) Persiapan</v>
      </c>
      <c r="R109" s="228"/>
      <c r="S109" s="11"/>
      <c r="T109" s="11"/>
      <c r="U109" s="11"/>
      <c r="V109" s="229"/>
      <c r="W109" s="229"/>
      <c r="X109" s="229" t="str">
        <f>IFERROR(__xludf.DUMMYFUNCTION("""COMPUTED_VALUE"""),"BELUM GOLIVE")</f>
        <v>BELUM GOLIVE</v>
      </c>
      <c r="Y109" s="229"/>
      <c r="Z109" s="229" t="str">
        <f>IFERROR(__xludf.DUMMYFUNCTION("""COMPUTED_VALUE"""),"#N/A")</f>
        <v>#N/A</v>
      </c>
      <c r="AA109" s="229"/>
      <c r="AB109" s="229"/>
      <c r="AC109" s="229"/>
      <c r="AD109" s="232"/>
      <c r="AE109" s="233"/>
      <c r="AF109" s="54"/>
      <c r="AG109" s="54"/>
      <c r="AH109" s="54"/>
      <c r="AI109" s="55" t="str">
        <f t="shared" si="28"/>
        <v/>
      </c>
      <c r="AW109" s="234"/>
      <c r="BP109" s="11"/>
      <c r="BQ109" s="11"/>
      <c r="BR109" s="235"/>
      <c r="BV109" s="158"/>
      <c r="BY109" s="158"/>
      <c r="CB109" s="158"/>
    </row>
    <row r="110" ht="18.0" hidden="1" customHeight="1">
      <c r="A110" s="222">
        <f>IFERROR(__xludf.DUMMYFUNCTION("""COMPUTED_VALUE"""),2026.0)</f>
        <v>2026</v>
      </c>
      <c r="B110" s="221">
        <f>IFERROR(__xludf.DUMMYFUNCTION("""COMPUTED_VALUE"""),1.1380122E7)</f>
        <v>11380122</v>
      </c>
      <c r="C110" s="222" t="str">
        <f>IFERROR(__xludf.DUMMYFUNCTION("""COMPUTED_VALUE"""),"MDN PT3 CTD-FAF DELI SERDANG_502")</f>
        <v>MDN PT3 CTD-FAF DELI SERDANG_502</v>
      </c>
      <c r="D110" s="222" t="str">
        <f>IFERROR(__xludf.DUMMYFUNCTION("""COMPUTED_VALUE"""),"REGIONAL I")</f>
        <v>REGIONAL I</v>
      </c>
      <c r="E110" s="222" t="str">
        <f>IFERROR(__xludf.DUMMYFUNCTION("""COMPUTED_VALUE"""),"MEDAN")</f>
        <v>MEDAN</v>
      </c>
      <c r="F110" s="222" t="str">
        <f>IFERROR(__xludf.DUMMYFUNCTION("""COMPUTED_VALUE"""),"CTD")</f>
        <v>CTD</v>
      </c>
      <c r="G110" s="222" t="str">
        <f>IFERROR(__xludf.DUMMYFUNCTION("""COMPUTED_VALUE"""),"SUMBAGUT")</f>
        <v>SUMBAGUT</v>
      </c>
      <c r="H110" s="222" t="str">
        <f>IFERROR(__xludf.DUMMYFUNCTION("""COMPUTED_VALUE"""),"MEDAN")</f>
        <v>MEDAN</v>
      </c>
      <c r="I110" s="222" t="str">
        <f>IFERROR(__xludf.DUMMYFUNCTION("""COMPUTED_VALUE"""),"Batch 2")</f>
        <v>Batch 2</v>
      </c>
      <c r="J110" s="225">
        <f>IFERROR(__xludf.DUMMYFUNCTION("""COMPUTED_VALUE"""),4.0)</f>
        <v>4</v>
      </c>
      <c r="K110" s="224">
        <f>IFERROR(__xludf.DUMMYFUNCTION("""COMPUTED_VALUE"""),32.0)</f>
        <v>32</v>
      </c>
      <c r="L110" s="226">
        <f>IFERROR(__xludf.DUMMYFUNCTION("""COMPUTED_VALUE"""),1321562.0)</f>
        <v>1321562</v>
      </c>
      <c r="M110" s="227">
        <f>IFERROR(__xludf.DUMMYFUNCTION("""COMPUTED_VALUE"""),4.2289962E7)</f>
        <v>42289962</v>
      </c>
      <c r="N110" s="222" t="str">
        <f>IFERROR(__xludf.DUMMYFUNCTION("""COMPUTED_VALUE"""),"PT TRIPOLA PANATA")</f>
        <v>PT TRIPOLA PANATA</v>
      </c>
      <c r="O110" s="222" t="str">
        <f>IFERROR(__xludf.DUMMYFUNCTION("""COMPUTED_VALUE"""),"8. UJI TERIMA")</f>
        <v>8. UJI TERIMA</v>
      </c>
      <c r="P110" s="222" t="str">
        <f>IFERROR(__xludf.DUMMYFUNCTION("""COMPUTED_VALUE"""),"8.1 Proses UT")</f>
        <v>8.1 Proses UT</v>
      </c>
      <c r="Q110" s="222" t="str">
        <f>IFERROR(__xludf.DUMMYFUNCTION("""COMPUTED_VALUE"""),"(07/01) Persiapan")</f>
        <v>(07/01) Persiapan</v>
      </c>
      <c r="R110" s="228">
        <f>IFERROR(__xludf.DUMMYFUNCTION("""COMPUTED_VALUE"""),46061.0)</f>
        <v>46061</v>
      </c>
      <c r="S110" s="11"/>
      <c r="T110" s="11"/>
      <c r="U110" s="11" t="str">
        <f>IFERROR(__xludf.DUMMYFUNCTION("""COMPUTED_VALUE"""),"FALSE")</f>
        <v>FALSE</v>
      </c>
      <c r="V110" s="229"/>
      <c r="W110" s="229"/>
      <c r="X110" s="229" t="str">
        <f>IFERROR(__xludf.DUMMYFUNCTION("""COMPUTED_VALUE"""),"GOLIVE")</f>
        <v>GOLIVE</v>
      </c>
      <c r="Y110" s="229" t="str">
        <f>IFERROR(__xludf.DUMMYFUNCTION("""COMPUTED_VALUE"""),"DONE")</f>
        <v>DONE</v>
      </c>
      <c r="Z110" s="229" t="str">
        <f>IFERROR(__xludf.DUMMYFUNCTION("""COMPUTED_VALUE"""),"#N/A")</f>
        <v>#N/A</v>
      </c>
      <c r="AA110" s="229">
        <f>IFERROR(__xludf.DUMMYFUNCTION("""COMPUTED_VALUE"""),3.0)</f>
        <v>3</v>
      </c>
      <c r="AB110" s="229"/>
      <c r="AC110" s="229" t="str">
        <f>IFERROR(__xludf.DUMMYFUNCTION("""COMPUTED_VALUE"""),"9083699#9083704")</f>
        <v>9083699#9083704</v>
      </c>
      <c r="AD110" s="232">
        <f>IFERROR(__xludf.DUMMYFUNCTION("""COMPUTED_VALUE"""),24.0)</f>
        <v>24</v>
      </c>
      <c r="AE110" s="233">
        <f>IFERROR(__xludf.DUMMYFUNCTION("""COMPUTED_VALUE"""),46061.0)</f>
        <v>46061</v>
      </c>
      <c r="AF110" s="54"/>
      <c r="AG110" s="54"/>
      <c r="AH110" s="54">
        <v>46061.0</v>
      </c>
      <c r="AI110" s="55">
        <f t="shared" si="28"/>
        <v>0</v>
      </c>
      <c r="AW110" s="234"/>
      <c r="BP110" s="11"/>
      <c r="BQ110" s="11"/>
      <c r="BR110" s="235"/>
      <c r="BV110" s="158"/>
      <c r="BY110" s="158"/>
      <c r="CB110" s="158"/>
    </row>
    <row r="111" ht="18.0" customHeight="1">
      <c r="A111" s="222">
        <f>IFERROR(__xludf.DUMMYFUNCTION("""COMPUTED_VALUE"""),2026.0)</f>
        <v>2026</v>
      </c>
      <c r="B111" s="221">
        <f>IFERROR(__xludf.DUMMYFUNCTION("""COMPUTED_VALUE"""),1.1360803E7)</f>
        <v>11360803</v>
      </c>
      <c r="C111" s="222" t="str">
        <f>IFERROR(__xludf.DUMMYFUNCTION("""COMPUTED_VALUE"""),"SMB P2I2 Alana Residence 4-3LOP")</f>
        <v>SMB P2I2 Alana Residence 4-3LOP</v>
      </c>
      <c r="D111" s="222" t="str">
        <f>IFERROR(__xludf.DUMMYFUNCTION("""COMPUTED_VALUE"""),"REGIONAL I")</f>
        <v>REGIONAL I</v>
      </c>
      <c r="E111" s="222" t="str">
        <f>IFERROR(__xludf.DUMMYFUNCTION("""COMPUTED_VALUE"""),"SUMBAR")</f>
        <v>SUMBAR</v>
      </c>
      <c r="F111" s="222" t="str">
        <f>IFERROR(__xludf.DUMMYFUNCTION("""COMPUTED_VALUE"""),"LBY")</f>
        <v>LBY</v>
      </c>
      <c r="G111" s="222" t="str">
        <f>IFERROR(__xludf.DUMMYFUNCTION("""COMPUTED_VALUE"""),"SUMBAGTENG")</f>
        <v>SUMBAGTENG</v>
      </c>
      <c r="H111" s="222" t="str">
        <f>IFERROR(__xludf.DUMMYFUNCTION("""COMPUTED_VALUE"""),"PADANG")</f>
        <v>PADANG</v>
      </c>
      <c r="I111" s="222" t="str">
        <f>IFERROR(__xludf.DUMMYFUNCTION("""COMPUTED_VALUE"""),"Batch 2")</f>
        <v>Batch 2</v>
      </c>
      <c r="J111" s="225">
        <f>IFERROR(__xludf.DUMMYFUNCTION("""COMPUTED_VALUE"""),15.0)</f>
        <v>15</v>
      </c>
      <c r="K111" s="224">
        <f>IFERROR(__xludf.DUMMYFUNCTION("""COMPUTED_VALUE"""),120.0)</f>
        <v>120</v>
      </c>
      <c r="L111" s="226">
        <f>IFERROR(__xludf.DUMMYFUNCTION("""COMPUTED_VALUE"""),1495272.0)</f>
        <v>1495272</v>
      </c>
      <c r="M111" s="227">
        <f>IFERROR(__xludf.DUMMYFUNCTION("""COMPUTED_VALUE"""),1.79432551E8)</f>
        <v>179432551</v>
      </c>
      <c r="N111" s="222" t="str">
        <f>IFERROR(__xludf.DUMMYFUNCTION("""COMPUTED_VALUE"""),"PT PUTRI JAYA AKSES")</f>
        <v>PT PUTRI JAYA AKSES</v>
      </c>
      <c r="O111" s="222" t="str">
        <f>IFERROR(__xludf.DUMMYFUNCTION("""COMPUTED_VALUE"""),"0. DROP")</f>
        <v>0. DROP</v>
      </c>
      <c r="P111" s="222" t="str">
        <f>IFERROR(__xludf.DUMMYFUNCTION("""COMPUTED_VALUE"""),"0.5 DROP TSEL - Acc ED TIF")</f>
        <v>0.5 DROP TSEL - Acc ED TIF</v>
      </c>
      <c r="Q111" s="222" t="str">
        <f>IFERROR(__xludf.DUMMYFUNCTION("""COMPUTED_VALUE"""),"(06/03) Proses create PID  (04/03) Kendala dist 3 core sisa 8 , yg tembus 2 core, butuh 15 core, solusi new dist cpp jdi 1,7 (02/03) proses aanwijziing (26/01) DROP, permintaan tsel (tidak potensial) ")</f>
        <v>(06/03) Proses create PID  (04/03) Kendala dist 3 core sisa 8 , yg tembus 2 core, butuh 15 core, solusi new dist cpp jdi 1,7 (02/03) proses aanwijziing (26/01) DROP, permintaan tsel (tidak potensial) </v>
      </c>
      <c r="R111" s="228"/>
      <c r="S111" s="11"/>
      <c r="T111" s="11"/>
      <c r="U111" s="11" t="str">
        <f>IFERROR(__xludf.DUMMYFUNCTION("""COMPUTED_VALUE"""),"TIF-5550/2026  26KT03R107-0019 ")</f>
        <v>TIF-5550/2026  26KT03R107-0019 </v>
      </c>
      <c r="V111" s="229" t="str">
        <f>IFERROR(__xludf.DUMMYFUNCTION("""COMPUTED_VALUE"""),"JANUAR RIZAL")</f>
        <v>JANUAR RIZAL</v>
      </c>
      <c r="W111" s="229" t="str">
        <f>IFERROR(__xludf.DUMMYFUNCTION("""COMPUTED_VALUE"""),"MELKO NARWADI")</f>
        <v>MELKO NARWADI</v>
      </c>
      <c r="X111" s="229" t="str">
        <f>IFERROR(__xludf.DUMMYFUNCTION("""COMPUTED_VALUE"""),"BELUM GOLIVE")</f>
        <v>BELUM GOLIVE</v>
      </c>
      <c r="Y111" s="229"/>
      <c r="Z111" s="229" t="str">
        <f>IFERROR(__xludf.DUMMYFUNCTION("""COMPUTED_VALUE"""),"#N/A")</f>
        <v>#N/A</v>
      </c>
      <c r="AA111" s="229"/>
      <c r="AB111" s="229"/>
      <c r="AC111" s="229"/>
      <c r="AD111" s="232"/>
      <c r="AE111" s="233"/>
      <c r="AF111" s="54"/>
      <c r="AG111" s="54"/>
      <c r="AH111" s="54"/>
      <c r="AI111" s="55" t="str">
        <f t="shared" si="28"/>
        <v/>
      </c>
      <c r="AW111" s="234"/>
      <c r="BP111" s="11"/>
      <c r="BQ111" s="11"/>
      <c r="BR111" s="235"/>
      <c r="BV111" s="158"/>
      <c r="BY111" s="158"/>
      <c r="CB111" s="158"/>
    </row>
    <row r="112" ht="18.0" hidden="1" customHeight="1">
      <c r="A112" s="222">
        <f>IFERROR(__xludf.DUMMYFUNCTION("""COMPUTED_VALUE"""),2026.0)</f>
        <v>2026</v>
      </c>
      <c r="B112" s="221">
        <f>IFERROR(__xludf.DUMMYFUNCTION("""COMPUTED_VALUE"""),1.1785279E7)</f>
        <v>11785279</v>
      </c>
      <c r="C112" s="222" t="str">
        <f>IFERROR(__xludf.DUMMYFUNCTION("""COMPUTED_VALUE"""),"LPG PT3 JPP Fayakun JL. Udang 2 TJK")</f>
        <v>LPG PT3 JPP Fayakun JL. Udang 2 TJK</v>
      </c>
      <c r="D112" s="222" t="str">
        <f>IFERROR(__xludf.DUMMYFUNCTION("""COMPUTED_VALUE"""),"REGIONAL I")</f>
        <v>REGIONAL I</v>
      </c>
      <c r="E112" s="222" t="str">
        <f>IFERROR(__xludf.DUMMYFUNCTION("""COMPUTED_VALUE"""),"LAMPUNG")</f>
        <v>LAMPUNG</v>
      </c>
      <c r="F112" s="222" t="str">
        <f>IFERROR(__xludf.DUMMYFUNCTION("""COMPUTED_VALUE"""),"TJK")</f>
        <v>TJK</v>
      </c>
      <c r="G112" s="222" t="str">
        <f>IFERROR(__xludf.DUMMYFUNCTION("""COMPUTED_VALUE"""),"SUMBAGSEL")</f>
        <v>SUMBAGSEL</v>
      </c>
      <c r="H112" s="222" t="str">
        <f>IFERROR(__xludf.DUMMYFUNCTION("""COMPUTED_VALUE"""),"LAMPUNG")</f>
        <v>LAMPUNG</v>
      </c>
      <c r="I112" s="222" t="str">
        <f>IFERROR(__xludf.DUMMYFUNCTION("""COMPUTED_VALUE"""),"Batch 2")</f>
        <v>Batch 2</v>
      </c>
      <c r="J112" s="225">
        <f>IFERROR(__xludf.DUMMYFUNCTION("""COMPUTED_VALUE"""),15.0)</f>
        <v>15</v>
      </c>
      <c r="K112" s="224">
        <f>IFERROR(__xludf.DUMMYFUNCTION("""COMPUTED_VALUE"""),120.0)</f>
        <v>120</v>
      </c>
      <c r="L112" s="226">
        <f>IFERROR(__xludf.DUMMYFUNCTION("""COMPUTED_VALUE"""),1494004.0)</f>
        <v>1494004</v>
      </c>
      <c r="M112" s="227">
        <f>IFERROR(__xludf.DUMMYFUNCTION("""COMPUTED_VALUE"""),1.79280405E8)</f>
        <v>179280405</v>
      </c>
      <c r="N112" s="222" t="str">
        <f>IFERROR(__xludf.DUMMYFUNCTION("""COMPUTED_VALUE"""),"PT CINA COMSERVICE INDONESIA")</f>
        <v>PT CINA COMSERVICE INDONESIA</v>
      </c>
      <c r="O112" s="222" t="str">
        <f>IFERROR(__xludf.DUMMYFUNCTION("""COMPUTED_VALUE"""),"4. MATDEL")</f>
        <v>4. MATDEL</v>
      </c>
      <c r="P112" s="222" t="str">
        <f>IFERROR(__xludf.DUMMYFUNCTION("""COMPUTED_VALUE"""),"4.2 Sudah Request Material (Alista)")</f>
        <v>4.2 Sudah Request Material (Alista)</v>
      </c>
      <c r="Q112" s="222" t="str">
        <f>IFERROR(__xludf.DUMMYFUNCTION("""COMPUTED_VALUE"""),"24/4 plan matdel,kendala kabel adss12 25/4, 22/4 plan matdel 24/4,,15/4 proses pengajuan pr/po bisa (ba manual), 13/04 belum ada feedback dari lurah dan perkim sudah kelokasi 8 Apr.  8/4 proses perizinan pihak lurah 
06/04 Proses Perizinan piha Kelurahan "&amp;"&amp; perkim 2/4  progres perizinan dan pengecekan core
31/3  progres perizinan dan pengecekan core")</f>
        <v>24/4 plan matdel,kendala kabel adss12 25/4, 22/4 plan matdel 24/4,,15/4 proses pengajuan pr/po bisa (ba manual), 13/04 belum ada feedback dari lurah dan perkim sudah kelokasi 8 Apr.  8/4 proses perizinan pihak lurah 
06/04 Proses Perizinan piha Kelurahan &amp; perkim 2/4  progres perizinan dan pengecekan core
31/3  progres perizinan dan pengecekan core</v>
      </c>
      <c r="R112" s="228">
        <f>IFERROR(__xludf.DUMMYFUNCTION("""COMPUTED_VALUE"""),46142.0)</f>
        <v>46142</v>
      </c>
      <c r="S112" s="11" t="str">
        <f>IFERROR(__xludf.DUMMYFUNCTION("""COMPUTED_VALUE"""),"APR")</f>
        <v>APR</v>
      </c>
      <c r="T112" s="11" t="str">
        <f>IFERROR(__xludf.DUMMYFUNCTION("""COMPUTED_VALUE"""),"P1")</f>
        <v>P1</v>
      </c>
      <c r="U112" s="11"/>
      <c r="V112" s="229"/>
      <c r="W112" s="229"/>
      <c r="X112" s="229" t="str">
        <f>IFERROR(__xludf.DUMMYFUNCTION("""COMPUTED_VALUE"""),"BELUM GOLIVE")</f>
        <v>BELUM GOLIVE</v>
      </c>
      <c r="Y112" s="229"/>
      <c r="Z112" s="229" t="str">
        <f>IFERROR(__xludf.DUMMYFUNCTION("""COMPUTED_VALUE"""),"#N/A")</f>
        <v>#N/A</v>
      </c>
      <c r="AA112" s="229"/>
      <c r="AB112" s="229"/>
      <c r="AC112" s="229"/>
      <c r="AD112" s="232"/>
      <c r="AE112" s="233"/>
      <c r="AF112" s="54"/>
      <c r="AG112" s="54"/>
      <c r="AH112" s="54"/>
      <c r="AI112" s="55" t="str">
        <f t="shared" si="28"/>
        <v/>
      </c>
      <c r="AW112" s="234"/>
      <c r="BP112" s="11"/>
      <c r="BQ112" s="11"/>
      <c r="BR112" s="235"/>
      <c r="BV112" s="158"/>
      <c r="BY112" s="158"/>
      <c r="CB112" s="158"/>
    </row>
    <row r="113" ht="18.0" customHeight="1">
      <c r="A113" s="222">
        <f>IFERROR(__xludf.DUMMYFUNCTION("""COMPUTED_VALUE"""),2026.0)</f>
        <v>2026</v>
      </c>
      <c r="B113" s="221">
        <f>IFERROR(__xludf.DUMMYFUNCTION("""COMPUTED_VALUE"""),1.1549389E7)</f>
        <v>11549389</v>
      </c>
      <c r="C113" s="222" t="str">
        <f>IFERROR(__xludf.DUMMYFUNCTION("""COMPUTED_VALUE"""),"RKP TSEL PT3 LBJ-FAN BUGIS JUNCTION")</f>
        <v>RKP TSEL PT3 LBJ-FAN BUGIS JUNCTION</v>
      </c>
      <c r="D113" s="222" t="str">
        <f>IFERROR(__xludf.DUMMYFUNCTION("""COMPUTED_VALUE"""),"REGIONAL I")</f>
        <v>REGIONAL I</v>
      </c>
      <c r="E113" s="222" t="str">
        <f>IFERROR(__xludf.DUMMYFUNCTION("""COMPUTED_VALUE"""),"RIKEP")</f>
        <v>RIKEP</v>
      </c>
      <c r="F113" s="222" t="str">
        <f>IFERROR(__xludf.DUMMYFUNCTION("""COMPUTED_VALUE"""),"LBJ")</f>
        <v>LBJ</v>
      </c>
      <c r="G113" s="222" t="str">
        <f>IFERROR(__xludf.DUMMYFUNCTION("""COMPUTED_VALUE"""),"SUMBAGTENG")</f>
        <v>SUMBAGTENG</v>
      </c>
      <c r="H113" s="222" t="str">
        <f>IFERROR(__xludf.DUMMYFUNCTION("""COMPUTED_VALUE"""),"BATAM")</f>
        <v>BATAM</v>
      </c>
      <c r="I113" s="222" t="str">
        <f>IFERROR(__xludf.DUMMYFUNCTION("""COMPUTED_VALUE"""),"Batch 2")</f>
        <v>Batch 2</v>
      </c>
      <c r="J113" s="225">
        <f>IFERROR(__xludf.DUMMYFUNCTION("""COMPUTED_VALUE"""),1.0)</f>
        <v>1</v>
      </c>
      <c r="K113" s="224">
        <f>IFERROR(__xludf.DUMMYFUNCTION("""COMPUTED_VALUE"""),8.0)</f>
        <v>8</v>
      </c>
      <c r="L113" s="226">
        <f>IFERROR(__xludf.DUMMYFUNCTION("""COMPUTED_VALUE"""),1100549.0)</f>
        <v>1100549</v>
      </c>
      <c r="M113" s="227">
        <f>IFERROR(__xludf.DUMMYFUNCTION("""COMPUTED_VALUE"""),8804386.0)</f>
        <v>8804386</v>
      </c>
      <c r="N113" s="222" t="str">
        <f>IFERROR(__xludf.DUMMYFUNCTION("""COMPUTED_VALUE"""),"PT. JARI TRIMINDO")</f>
        <v>PT. JARI TRIMINDO</v>
      </c>
      <c r="O113" s="222" t="str">
        <f>IFERROR(__xludf.DUMMYFUNCTION("""COMPUTED_VALUE"""),"0. DROP")</f>
        <v>0. DROP</v>
      </c>
      <c r="P113" s="222" t="str">
        <f>IFERROR(__xludf.DUMMYFUNCTION("""COMPUTED_VALUE"""),"0.2 Tidak Dapat Izin Warga/Kades/Lurah/Developer")</f>
        <v>0.2 Tidak Dapat Izin Warga/Kades/Lurah/Developer</v>
      </c>
      <c r="Q113" s="222" t="str">
        <f>IFERROR(__xludf.DUMMYFUNCTION("""COMPUTED_VALUE"""),"05/02 ODP pedestal branchingan sudah ketimbun teras warga, tidak di izinkan untuk cutting jalan. 23/01 Plan anwijzing 26 Jan, PIC mitra belum sampai. 21/01 proses penunjukan mitra ")</f>
        <v>05/02 ODP pedestal branchingan sudah ketimbun teras warga, tidak di izinkan untuk cutting jalan. 23/01 Plan anwijzing 26 Jan, PIC mitra belum sampai. 21/01 proses penunjukan mitra </v>
      </c>
      <c r="R113" s="228"/>
      <c r="S113" s="11"/>
      <c r="T113" s="11"/>
      <c r="U113" s="11"/>
      <c r="V113" s="229" t="str">
        <f>IFERROR(__xludf.DUMMYFUNCTION("""COMPUTED_VALUE"""),"RONALDO LEO INFANTRI")</f>
        <v>RONALDO LEO INFANTRI</v>
      </c>
      <c r="W113" s="229" t="str">
        <f>IFERROR(__xludf.DUMMYFUNCTION("""COMPUTED_VALUE"""),"LEVITA INDRIYANI")</f>
        <v>LEVITA INDRIYANI</v>
      </c>
      <c r="X113" s="229" t="str">
        <f>IFERROR(__xludf.DUMMYFUNCTION("""COMPUTED_VALUE"""),"BELUM GOLIVE")</f>
        <v>BELUM GOLIVE</v>
      </c>
      <c r="Y113" s="229"/>
      <c r="Z113" s="229" t="str">
        <f>IFERROR(__xludf.DUMMYFUNCTION("""COMPUTED_VALUE"""),"#N/A")</f>
        <v>#N/A</v>
      </c>
      <c r="AA113" s="229"/>
      <c r="AB113" s="229"/>
      <c r="AC113" s="229"/>
      <c r="AD113" s="232"/>
      <c r="AE113" s="233"/>
      <c r="AF113" s="54" t="str">
        <f>IFERROR(__xludf.DUMMYFUNCTION("""COMPUTED_VALUE"""),"Draft BA DROP")</f>
        <v>Draft BA DROP</v>
      </c>
      <c r="AG113" s="54"/>
      <c r="AH113" s="54"/>
      <c r="AI113" s="55" t="str">
        <f t="shared" si="28"/>
        <v/>
      </c>
      <c r="AW113" s="234"/>
      <c r="BP113" s="11"/>
      <c r="BQ113" s="11"/>
      <c r="BR113" s="235"/>
      <c r="BV113" s="158"/>
      <c r="BY113" s="158"/>
      <c r="CB113" s="158"/>
    </row>
    <row r="114" ht="18.0" hidden="1" customHeight="1">
      <c r="A114" s="222">
        <f>IFERROR(__xludf.DUMMYFUNCTION("""COMPUTED_VALUE"""),2026.0)</f>
        <v>2026</v>
      </c>
      <c r="B114" s="221">
        <f>IFERROR(__xludf.DUMMYFUNCTION("""COMPUTED_VALUE"""),1.1272072E7)</f>
        <v>11272072</v>
      </c>
      <c r="C114" s="222" t="str">
        <f>IFERROR(__xludf.DUMMYFUNCTION("""COMPUTED_VALUE"""),"MDN PT3 P1I1 BJI-FYB GG.MAKMUR")</f>
        <v>MDN PT3 P1I1 BJI-FYB GG.MAKMUR</v>
      </c>
      <c r="D114" s="222" t="str">
        <f>IFERROR(__xludf.DUMMYFUNCTION("""COMPUTED_VALUE"""),"REGIONAL I")</f>
        <v>REGIONAL I</v>
      </c>
      <c r="E114" s="222" t="str">
        <f>IFERROR(__xludf.DUMMYFUNCTION("""COMPUTED_VALUE"""),"MEDAN")</f>
        <v>MEDAN</v>
      </c>
      <c r="F114" s="222" t="str">
        <f>IFERROR(__xludf.DUMMYFUNCTION("""COMPUTED_VALUE"""),"BJI")</f>
        <v>BJI</v>
      </c>
      <c r="G114" s="222" t="str">
        <f>IFERROR(__xludf.DUMMYFUNCTION("""COMPUTED_VALUE"""),"SUMBAGUT")</f>
        <v>SUMBAGUT</v>
      </c>
      <c r="H114" s="222" t="str">
        <f>IFERROR(__xludf.DUMMYFUNCTION("""COMPUTED_VALUE"""),"BINJAI")</f>
        <v>BINJAI</v>
      </c>
      <c r="I114" s="222" t="str">
        <f>IFERROR(__xludf.DUMMYFUNCTION("""COMPUTED_VALUE"""),"Batch 2")</f>
        <v>Batch 2</v>
      </c>
      <c r="J114" s="225">
        <f>IFERROR(__xludf.DUMMYFUNCTION("""COMPUTED_VALUE"""),11.0)</f>
        <v>11</v>
      </c>
      <c r="K114" s="224">
        <f>IFERROR(__xludf.DUMMYFUNCTION("""COMPUTED_VALUE"""),88.0)</f>
        <v>88</v>
      </c>
      <c r="L114" s="226">
        <f>IFERROR(__xludf.DUMMYFUNCTION("""COMPUTED_VALUE"""),1101075.0)</f>
        <v>1101075</v>
      </c>
      <c r="M114" s="227">
        <f>IFERROR(__xludf.DUMMYFUNCTION("""COMPUTED_VALUE"""),9.6894578E7)</f>
        <v>96894578</v>
      </c>
      <c r="N114" s="222" t="str">
        <f>IFERROR(__xludf.DUMMYFUNCTION("""COMPUTED_VALUE"""),"PT FIBERHOME TECHNOLOGIES INDONESIA")</f>
        <v>PT FIBERHOME TECHNOLOGIES INDONESIA</v>
      </c>
      <c r="O114" s="222" t="str">
        <f>IFERROR(__xludf.DUMMYFUNCTION("""COMPUTED_VALUE"""),"0. DROP")</f>
        <v>0. DROP</v>
      </c>
      <c r="P114" s="222" t="str">
        <f>IFERROR(__xludf.DUMMYFUNCTION("""COMPUTED_VALUE"""),"0.2 Tidak Dapat Izin Warga/Kades/Lurah/Developer")</f>
        <v>0.2 Tidak Dapat Izin Warga/Kades/Lurah/Developer</v>
      </c>
      <c r="Q114" s="222" t="str">
        <f>IFERROR(__xludf.DUMMYFUNCTION("""COMPUTED_VALUE"""),"(09/02) pihak PU belum bisa di temui (05/02) permit on going, feeder oke, (07/01) Persiapan")</f>
        <v>(09/02) pihak PU belum bisa di temui (05/02) permit on going, feeder oke, (07/01) Persiapan</v>
      </c>
      <c r="R114" s="228"/>
      <c r="S114" s="11"/>
      <c r="T114" s="11"/>
      <c r="U114" s="11"/>
      <c r="V114" s="229"/>
      <c r="W114" s="229"/>
      <c r="X114" s="229" t="str">
        <f>IFERROR(__xludf.DUMMYFUNCTION("""COMPUTED_VALUE"""),"BELUM GOLIVE")</f>
        <v>BELUM GOLIVE</v>
      </c>
      <c r="Y114" s="229"/>
      <c r="Z114" s="229" t="str">
        <f>IFERROR(__xludf.DUMMYFUNCTION("""COMPUTED_VALUE"""),"#N/A")</f>
        <v>#N/A</v>
      </c>
      <c r="AA114" s="229"/>
      <c r="AB114" s="229"/>
      <c r="AC114" s="229"/>
      <c r="AD114" s="232"/>
      <c r="AE114" s="233"/>
      <c r="AF114" s="54" t="str">
        <f>IFERROR(__xludf.DUMMYFUNCTION("""COMPUTED_VALUE"""),"Draft BA DROP")</f>
        <v>Draft BA DROP</v>
      </c>
      <c r="AG114" s="54"/>
      <c r="AH114" s="54"/>
      <c r="AI114" s="55" t="str">
        <f t="shared" si="28"/>
        <v/>
      </c>
      <c r="AW114" s="234"/>
      <c r="BP114" s="11"/>
      <c r="BQ114" s="11"/>
      <c r="BR114" s="235"/>
      <c r="BV114" s="158"/>
      <c r="BY114" s="158"/>
      <c r="CB114" s="158"/>
    </row>
    <row r="115" ht="18.0" hidden="1" customHeight="1">
      <c r="A115" s="222">
        <f>IFERROR(__xludf.DUMMYFUNCTION("""COMPUTED_VALUE"""),2026.0)</f>
        <v>2026</v>
      </c>
      <c r="B115" s="221">
        <f>IFERROR(__xludf.DUMMYFUNCTION("""COMPUTED_VALUE"""),1.1383809E7)</f>
        <v>11383809</v>
      </c>
      <c r="C115" s="222" t="str">
        <f>IFERROR(__xludf.DUMMYFUNCTION("""COMPUTED_VALUE"""),"SMS P3I1 PT4 LLG FXX DESA PETUNANG")</f>
        <v>SMS P3I1 PT4 LLG FXX DESA PETUNANG</v>
      </c>
      <c r="D115" s="222" t="str">
        <f>IFERROR(__xludf.DUMMYFUNCTION("""COMPUTED_VALUE"""),"REGIONAL I")</f>
        <v>REGIONAL I</v>
      </c>
      <c r="E115" s="222" t="str">
        <f>IFERROR(__xludf.DUMMYFUNCTION("""COMPUTED_VALUE"""),"SUMSEL")</f>
        <v>SUMSEL</v>
      </c>
      <c r="F115" s="222" t="str">
        <f>IFERROR(__xludf.DUMMYFUNCTION("""COMPUTED_VALUE"""),"LLG")</f>
        <v>LLG</v>
      </c>
      <c r="G115" s="222" t="str">
        <f>IFERROR(__xludf.DUMMYFUNCTION("""COMPUTED_VALUE"""),"SUMBAGSEL")</f>
        <v>SUMBAGSEL</v>
      </c>
      <c r="H115" s="222" t="str">
        <f>IFERROR(__xludf.DUMMYFUNCTION("""COMPUTED_VALUE"""),"BENGKULU")</f>
        <v>BENGKULU</v>
      </c>
      <c r="I115" s="222" t="str">
        <f>IFERROR(__xludf.DUMMYFUNCTION("""COMPUTED_VALUE"""),"Batch 2")</f>
        <v>Batch 2</v>
      </c>
      <c r="J115" s="225">
        <f>IFERROR(__xludf.DUMMYFUNCTION("""COMPUTED_VALUE"""),20.0)</f>
        <v>20</v>
      </c>
      <c r="K115" s="224">
        <f>IFERROR(__xludf.DUMMYFUNCTION("""COMPUTED_VALUE"""),152.0)</f>
        <v>152</v>
      </c>
      <c r="L115" s="226">
        <f>IFERROR(__xludf.DUMMYFUNCTION("""COMPUTED_VALUE"""),1101146.0)</f>
        <v>1101146</v>
      </c>
      <c r="M115" s="227">
        <f>IFERROR(__xludf.DUMMYFUNCTION("""COMPUTED_VALUE"""),1.6737411E8)</f>
        <v>167374110</v>
      </c>
      <c r="N115" s="222" t="str">
        <f>IFERROR(__xludf.DUMMYFUNCTION("""COMPUTED_VALUE"""),"PT GITA PRIMA TAMBA PERKASA")</f>
        <v>PT GITA PRIMA TAMBA PERKASA</v>
      </c>
      <c r="O115" s="222" t="str">
        <f>IFERROR(__xludf.DUMMYFUNCTION("""COMPUTED_VALUE"""),"2. DONE AANWIJZING")</f>
        <v>2. DONE AANWIJZING</v>
      </c>
      <c r="P115" s="222" t="str">
        <f>IFERROR(__xludf.DUMMYFUNCTION("""COMPUTED_VALUE"""),"2.3 Sudah Aanwidjzing - Tunggu hasil Eval")</f>
        <v>2.3 Sudah Aanwidjzing - Tunggu hasil Eval</v>
      </c>
      <c r="Q115" s="222" t="str">
        <f>IFERROR(__xludf.DUMMYFUNCTION("""COMPUTED_VALUE"""),"16/04: Kordinasi dengan tim bb terkait core bb ruas muara beliti-muara kelingi // 13/04 masih Pencariam Uplink Mini olt 08/04 Done Aanwidzing Menunggu evaluasi 31/03 PERGANTIAN MITRA DARI HANSUNG KE GPTP, 25/03 masih mencari core UPlink - belum ada info, "&amp;"09/03 masih mencari core UPlink - belum ada info, 08/03 KOORDINASI DG MITRA TERKAIT LOP INI YG MASUK KE BENGKULU, 03/03 masih mencari core UPlink - belum ada info, 27/02masih mencari core UPlink, 24/02masih mencari core UPlink 22/2 masih mencari core UPli"&amp;"nk 06/02 HASIL REVIEW TSEL BLM ADA KEPUTUSAN, 15/01 done aanwizjing 2025, mau berkoordinasi dg tif untuk lanjut tidak nya lokasi ini 31/1 update dikirim mitra 2 FEB, tim OGP cek ke lokasi 29/01 Mini OLT Not Ready perlu dipastikan ketersediaan uplink untuk"&amp;" request mini OLT, (24/1) menungggu kepastian core untuk UPlink , plan 26 Jan (21/01) done aanwizjing, menunggu kelanjutan dri TIF untuk lanjut pekerjaan ini, karena CSF dan masuk ke ruas pu nasional(12/01) menunggu kelanjutan dri TIF untuk lanjut pekerja"&amp;"an ini, karena CSF dan masuk ke ruas pu nasional, (07/01) Persiapan (06/01)order JPP batch-2 2026 (04/11 hold (butuh mini olt) 5/10 aanwizjing done, pembuatan data update lapangan
 08/10 menunggu jadwal aanwizjing
 (01/10) menunggu jadwal aanwijzing
 14/0"&amp;"1 sudah penunjukan mitra oleh procurement\")</f>
        <v>16/04: Kordinasi dengan tim bb terkait core bb ruas muara beliti-muara kelingi // 13/04 masih Pencariam Uplink Mini olt 08/04 Done Aanwidzing Menunggu evaluasi 31/03 PERGANTIAN MITRA DARI HANSUNG KE GPTP, 25/03 masih mencari core UPlink - belum ada info, 09/03 masih mencari core UPlink - belum ada info, 08/03 KOORDINASI DG MITRA TERKAIT LOP INI YG MASUK KE BENGKULU, 03/03 masih mencari core UPlink - belum ada info, 27/02masih mencari core UPlink, 24/02masih mencari core UPlink 22/2 masih mencari core UPlink 06/02 HASIL REVIEW TSEL BLM ADA KEPUTUSAN, 15/01 done aanwizjing 2025, mau berkoordinasi dg tif untuk lanjut tidak nya lokasi ini 31/1 update dikirim mitra 2 FEB, tim OGP cek ke lokasi 29/01 Mini OLT Not Ready perlu dipastikan ketersediaan uplink untuk request mini OLT, (24/1) menungggu kepastian core untuk UPlink , plan 26 Jan (21/01) done aanwizjing, menunggu kelanjutan dri TIF untuk lanjut pekerjaan ini, karena CSF dan masuk ke ruas pu nasional(12/01) menunggu kelanjutan dri TIF untuk lanjut pekerjaan ini, karena CSF dan masuk ke ruas pu nasional, (07/01) Persiapan (06/01)order JPP batch-2 2026 (04/11 hold (butuh mini olt) 5/10 aanwizjing done, pembuatan data update lapangan
 08/10 menunggu jadwal aanwizjing
 (01/10) menunggu jadwal aanwijzing
 14/01 sudah penunjukan mitra oleh procurement\</v>
      </c>
      <c r="R115" s="228"/>
      <c r="S115" s="11"/>
      <c r="T115" s="11"/>
      <c r="U115" s="11"/>
      <c r="V115" s="229" t="str">
        <f>IFERROR(__xludf.DUMMYFUNCTION("""COMPUTED_VALUE"""),"PUTRA")</f>
        <v>PUTRA</v>
      </c>
      <c r="W115" s="229"/>
      <c r="X115" s="229" t="str">
        <f>IFERROR(__xludf.DUMMYFUNCTION("""COMPUTED_VALUE"""),"BELUM GOLIVE")</f>
        <v>BELUM GOLIVE</v>
      </c>
      <c r="Y115" s="229" t="str">
        <f>IFERROR(__xludf.DUMMYFUNCTION("""COMPUTED_VALUE"""),"Mini OLT Not Ready")</f>
        <v>Mini OLT Not Ready</v>
      </c>
      <c r="Z115" s="229"/>
      <c r="AA115" s="229"/>
      <c r="AB115" s="229"/>
      <c r="AC115" s="229"/>
      <c r="AD115" s="232"/>
      <c r="AE115" s="233"/>
      <c r="AF115" s="54"/>
      <c r="AG115" s="54"/>
      <c r="AH115" s="54"/>
      <c r="AI115" s="55" t="str">
        <f t="shared" si="28"/>
        <v/>
      </c>
      <c r="AW115" s="234"/>
      <c r="BP115" s="11"/>
      <c r="BQ115" s="11"/>
      <c r="BR115" s="235"/>
      <c r="BV115" s="158"/>
      <c r="BY115" s="158"/>
      <c r="CB115" s="158"/>
    </row>
    <row r="116" ht="18.0" hidden="1" customHeight="1">
      <c r="A116" s="222">
        <f>IFERROR(__xludf.DUMMYFUNCTION("""COMPUTED_VALUE"""),2026.0)</f>
        <v>2026</v>
      </c>
      <c r="B116" s="221">
        <f>IFERROR(__xludf.DUMMYFUNCTION("""COMPUTED_VALUE"""),1.1920298E7)</f>
        <v>11920298</v>
      </c>
      <c r="C116" s="222" t="str">
        <f>IFERROR(__xludf.DUMMYFUNCTION("""COMPUTED_VALUE"""),"SMS P4I1 PT3 KAG FAB D05 SETINGKAR RSD")</f>
        <v>SMS P4I1 PT3 KAG FAB D05 SETINGKAR RSD</v>
      </c>
      <c r="D116" s="222" t="str">
        <f>IFERROR(__xludf.DUMMYFUNCTION("""COMPUTED_VALUE"""),"REGIONAL I")</f>
        <v>REGIONAL I</v>
      </c>
      <c r="E116" s="222" t="str">
        <f>IFERROR(__xludf.DUMMYFUNCTION("""COMPUTED_VALUE"""),"SUMSEL")</f>
        <v>SUMSEL</v>
      </c>
      <c r="F116" s="222" t="str">
        <f>IFERROR(__xludf.DUMMYFUNCTION("""COMPUTED_VALUE"""),"KAG")</f>
        <v>KAG</v>
      </c>
      <c r="G116" s="222" t="str">
        <f>IFERROR(__xludf.DUMMYFUNCTION("""COMPUTED_VALUE"""),"SUMBAGSEL")</f>
        <v>SUMBAGSEL</v>
      </c>
      <c r="H116" s="222" t="str">
        <f>IFERROR(__xludf.DUMMYFUNCTION("""COMPUTED_VALUE"""),"PALEMBANG")</f>
        <v>PALEMBANG</v>
      </c>
      <c r="I116" s="222" t="str">
        <f>IFERROR(__xludf.DUMMYFUNCTION("""COMPUTED_VALUE"""),"Batch 2")</f>
        <v>Batch 2</v>
      </c>
      <c r="J116" s="225">
        <f>IFERROR(__xludf.DUMMYFUNCTION("""COMPUTED_VALUE"""),3.0)</f>
        <v>3</v>
      </c>
      <c r="K116" s="224">
        <f>IFERROR(__xludf.DUMMYFUNCTION("""COMPUTED_VALUE"""),24.0)</f>
        <v>24</v>
      </c>
      <c r="L116" s="226">
        <f>IFERROR(__xludf.DUMMYFUNCTION("""COMPUTED_VALUE"""),1491466.0)</f>
        <v>1491466</v>
      </c>
      <c r="M116" s="227">
        <f>IFERROR(__xludf.DUMMYFUNCTION("""COMPUTED_VALUE"""),3.5795167E7)</f>
        <v>35795167</v>
      </c>
      <c r="N116" s="222" t="str">
        <f>IFERROR(__xludf.DUMMYFUNCTION("""COMPUTED_VALUE"""),"PT SARANA MITRA PERSADA")</f>
        <v>PT SARANA MITRA PERSADA</v>
      </c>
      <c r="O116" s="222" t="str">
        <f>IFERROR(__xludf.DUMMYFUNCTION("""COMPUTED_VALUE"""),"0. DROP")</f>
        <v>0. DROP</v>
      </c>
      <c r="P116" s="222" t="str">
        <f>IFERROR(__xludf.DUMMYFUNCTION("""COMPUTED_VALUE"""),"0.2 Tidak Dapat Izin Warga/Kades/Lurah/Developer")</f>
        <v>0.2 Tidak Dapat Izin Warga/Kades/Lurah/Developer</v>
      </c>
      <c r="Q116" s="222" t="str">
        <f>IFERROR(__xludf.DUMMYFUNCTION("""COMPUTED_VALUE"""),"24/02 DROP COMCASE 20JT, 06/02 HASIL REVIEW TSEL DROP HIGH COMCASE, 30/01 , PIHAK DEPLOVER MEMINTA 20 JT, 27/01 pada saat aanwizjing dan perizinan , dri pihak deplover meminta kompenasi 20 jt dan di lokasi sdh ada kontrak dg kompetitor lain 30/01 DROP PIH"&amp;"AK DEVELOPER MEMINTA KOMPENSASI KERJA SAMA 20 JUTA , KARNA SUDAH ADA KESEPAKATAN DENGAN PROVIDER/KOMPETITOR LAIN, 22/01 AANWIDJZING, (15/1) ORDER DITERIMA 14/1, PLAN AANWIJDZING 22 JAN 26 (06/01)order JPP batch-2 2026 ((14/11)HOLD- tidak masuk target Opti"&amp;"mis 2025 ((08/11) plan ganti mitra , lokasi diluar area pt han sung (23/10) penunjukan mitra
 14/01 penunjukan mitra oleh procurement")</f>
        <v>24/02 DROP COMCASE 20JT, 06/02 HASIL REVIEW TSEL DROP HIGH COMCASE, 30/01 , PIHAK DEPLOVER MEMINTA 20 JT, 27/01 pada saat aanwizjing dan perizinan , dri pihak deplover meminta kompenasi 20 jt dan di lokasi sdh ada kontrak dg kompetitor lain 30/01 DROP PIHAK DEVELOPER MEMINTA KOMPENSASI KERJA SAMA 20 JUTA , KARNA SUDAH ADA KESEPAKATAN DENGAN PROVIDER/KOMPETITOR LAIN, 22/01 AANWIDJZING, (15/1) ORDER DITERIMA 14/1, PLAN AANWIJDZING 22 JAN 26 (06/01)order JPP batch-2 2026 ((14/11)HOLD- tidak masuk target Optimis 2025 ((08/11) plan ganti mitra , lokasi diluar area pt han sung (23/10) penunjukan mitra
 14/01 penunjukan mitra oleh procurement</v>
      </c>
      <c r="R116" s="228"/>
      <c r="S116" s="11"/>
      <c r="T116" s="11"/>
      <c r="U116" s="11"/>
      <c r="V116" s="229" t="str">
        <f>IFERROR(__xludf.DUMMYFUNCTION("""COMPUTED_VALUE"""),"RENALDO")</f>
        <v>RENALDO</v>
      </c>
      <c r="W116" s="229"/>
      <c r="X116" s="229" t="str">
        <f>IFERROR(__xludf.DUMMYFUNCTION("""COMPUTED_VALUE"""),"BELUM GOLIVE")</f>
        <v>BELUM GOLIVE</v>
      </c>
      <c r="Y116" s="229"/>
      <c r="Z116" s="229" t="str">
        <f>IFERROR(__xludf.DUMMYFUNCTION("""COMPUTED_VALUE"""),"#N/A")</f>
        <v>#N/A</v>
      </c>
      <c r="AA116" s="229"/>
      <c r="AB116" s="229"/>
      <c r="AC116" s="229"/>
      <c r="AD116" s="232"/>
      <c r="AE116" s="233"/>
      <c r="AF116" s="54" t="str">
        <f>IFERROR(__xludf.DUMMYFUNCTION("""COMPUTED_VALUE"""),"Draft BA DROP")</f>
        <v>Draft BA DROP</v>
      </c>
      <c r="AG116" s="54"/>
      <c r="AH116" s="54"/>
      <c r="AI116" s="55" t="str">
        <f t="shared" si="28"/>
        <v/>
      </c>
      <c r="AW116" s="234"/>
      <c r="BP116" s="11"/>
      <c r="BQ116" s="11"/>
      <c r="BR116" s="235"/>
      <c r="BV116" s="158"/>
      <c r="BY116" s="158"/>
      <c r="CB116" s="158"/>
    </row>
    <row r="117" ht="18.0" hidden="1" customHeight="1">
      <c r="A117" s="222">
        <f>IFERROR(__xludf.DUMMYFUNCTION("""COMPUTED_VALUE"""),2026.0)</f>
        <v>2026</v>
      </c>
      <c r="B117" s="221">
        <f>IFERROR(__xludf.DUMMYFUNCTION("""COMPUTED_VALUE"""),1.2386378E7)</f>
        <v>12386378</v>
      </c>
      <c r="C117" s="222" t="str">
        <f>IFERROR(__xludf.DUMMYFUNCTION("""COMPUTED_VALUE"""),"BBL PT3 P4I3 Tambahan Tebat Permai")</f>
        <v>BBL PT3 P4I3 Tambahan Tebat Permai</v>
      </c>
      <c r="D117" s="222" t="str">
        <f>IFERROR(__xludf.DUMMYFUNCTION("""COMPUTED_VALUE"""),"REGIONAL I")</f>
        <v>REGIONAL I</v>
      </c>
      <c r="E117" s="222" t="str">
        <f>IFERROR(__xludf.DUMMYFUNCTION("""COMPUTED_VALUE"""),"BABEL")</f>
        <v>BABEL</v>
      </c>
      <c r="F117" s="222" t="str">
        <f>IFERROR(__xludf.DUMMYFUNCTION("""COMPUTED_VALUE"""),"TJN")</f>
        <v>TJN</v>
      </c>
      <c r="G117" s="222" t="str">
        <f>IFERROR(__xludf.DUMMYFUNCTION("""COMPUTED_VALUE"""),"SUMBAGSEL")</f>
        <v>SUMBAGSEL</v>
      </c>
      <c r="H117" s="222" t="str">
        <f>IFERROR(__xludf.DUMMYFUNCTION("""COMPUTED_VALUE"""),"PANGKAL PINANG")</f>
        <v>PANGKAL PINANG</v>
      </c>
      <c r="I117" s="222" t="str">
        <f>IFERROR(__xludf.DUMMYFUNCTION("""COMPUTED_VALUE"""),"Batch 2")</f>
        <v>Batch 2</v>
      </c>
      <c r="J117" s="225">
        <f>IFERROR(__xludf.DUMMYFUNCTION("""COMPUTED_VALUE"""),2.0)</f>
        <v>2</v>
      </c>
      <c r="K117" s="224">
        <f>IFERROR(__xludf.DUMMYFUNCTION("""COMPUTED_VALUE"""),16.0)</f>
        <v>16</v>
      </c>
      <c r="L117" s="226">
        <f>IFERROR(__xludf.DUMMYFUNCTION("""COMPUTED_VALUE"""),1489918.0)</f>
        <v>1489918</v>
      </c>
      <c r="M117" s="227">
        <f>IFERROR(__xludf.DUMMYFUNCTION("""COMPUTED_VALUE"""),2.3838678E7)</f>
        <v>23838678</v>
      </c>
      <c r="N117" s="222" t="str">
        <f>IFERROR(__xludf.DUMMYFUNCTION("""COMPUTED_VALUE"""),"PT BAYUMI CAHAYA NUSANTARA")</f>
        <v>PT BAYUMI CAHAYA NUSANTARA</v>
      </c>
      <c r="O117" s="222" t="str">
        <f>IFERROR(__xludf.DUMMYFUNCTION("""COMPUTED_VALUE"""),"8. UJI TERIMA")</f>
        <v>8. UJI TERIMA</v>
      </c>
      <c r="P117" s="222" t="str">
        <f>IFERROR(__xludf.DUMMYFUNCTION("""COMPUTED_VALUE"""),"8.1 Proses UT")</f>
        <v>8.1 Proses UT</v>
      </c>
      <c r="Q117" s="222" t="str">
        <f>IFERROR(__xludf.DUMMYFUNCTION("""COMPUTED_VALUE"""),"14/01 golive (13/01)  Penarikan Kabel dan Rekap V4 (7/1) REKAP V4 31/12 finish instalasi (16/12) hold, finish instalasi 28/11 proses instalasi ODP 18/11 fisik done 17/11 mitra masih mengerjakan pekerjaan lain  (15/11) KABEL 1200/1200 , TIANG 1/1 (14/11) p"&amp;"erapian tiang 1/1 done (13/11) Proses Penanaman Tiang 1/1 (12/11) matdel (10/11) progres DRM mitra (29/10) done anwijzing (28/10) Penunjukan mitra")</f>
        <v>14/01 golive (13/01)  Penarikan Kabel dan Rekap V4 (7/1) REKAP V4 31/12 finish instalasi (16/12) hold, finish instalasi 28/11 proses instalasi ODP 18/11 fisik done 17/11 mitra masih mengerjakan pekerjaan lain  (15/11) KABEL 1200/1200 , TIANG 1/1 (14/11) perapian tiang 1/1 done (13/11) Proses Penanaman Tiang 1/1 (12/11) matdel (10/11) progres DRM mitra (29/10) done anwijzing (28/10) Penunjukan mitra</v>
      </c>
      <c r="R117" s="228"/>
      <c r="S117" s="11"/>
      <c r="T117" s="11"/>
      <c r="U117" s="11"/>
      <c r="V117" s="229"/>
      <c r="W117" s="229"/>
      <c r="X117" s="229" t="str">
        <f>IFERROR(__xludf.DUMMYFUNCTION("""COMPUTED_VALUE"""),"GOLIVE")</f>
        <v>GOLIVE</v>
      </c>
      <c r="Y117" s="229" t="str">
        <f>IFERROR(__xludf.DUMMYFUNCTION("""COMPUTED_VALUE"""),"DONE")</f>
        <v>DONE</v>
      </c>
      <c r="Z117" s="229" t="str">
        <f>IFERROR(__xludf.DUMMYFUNCTION("""COMPUTED_VALUE"""),"#N/A")</f>
        <v>#N/A</v>
      </c>
      <c r="AA117" s="229">
        <f>IFERROR(__xludf.DUMMYFUNCTION("""COMPUTED_VALUE"""),4.0)</f>
        <v>4</v>
      </c>
      <c r="AB117" s="229"/>
      <c r="AC117" s="229" t="str">
        <f>IFERROR(__xludf.DUMMYFUNCTION("""COMPUTED_VALUE"""),"8963319#8963325")</f>
        <v>8963319#8963325</v>
      </c>
      <c r="AD117" s="232">
        <f>IFERROR(__xludf.DUMMYFUNCTION("""COMPUTED_VALUE"""),32.0)</f>
        <v>32</v>
      </c>
      <c r="AE117" s="233">
        <f>IFERROR(__xludf.DUMMYFUNCTION("""COMPUTED_VALUE"""),46036.0)</f>
        <v>46036</v>
      </c>
      <c r="AF117" s="54" t="str">
        <f>IFERROR(__xludf.DUMMYFUNCTION("""COMPUTED_VALUE"""),"DONE")</f>
        <v>DONE</v>
      </c>
      <c r="AG117" s="54"/>
      <c r="AH117" s="54"/>
      <c r="AI117" s="55" t="str">
        <f t="shared" si="28"/>
        <v/>
      </c>
      <c r="AW117" s="234"/>
      <c r="BP117" s="11"/>
      <c r="BQ117" s="11"/>
      <c r="BR117" s="235"/>
      <c r="BV117" s="158"/>
      <c r="BY117" s="158"/>
      <c r="CB117" s="158"/>
    </row>
    <row r="118" ht="18.0" hidden="1" customHeight="1">
      <c r="A118" s="222">
        <f>IFERROR(__xludf.DUMMYFUNCTION("""COMPUTED_VALUE"""),2026.0)</f>
        <v>2026</v>
      </c>
      <c r="B118" s="221">
        <f>IFERROR(__xludf.DUMMYFUNCTION("""COMPUTED_VALUE"""),1.2127633E7)</f>
        <v>12127633</v>
      </c>
      <c r="C118" s="222" t="str">
        <f>IFERROR(__xludf.DUMMYFUNCTION("""COMPUTED_VALUE"""),"LPG PT3 JPP JL DIPONEROGO SIDOMULYO KLA")</f>
        <v>LPG PT3 JPP JL DIPONEROGO SIDOMULYO KLA</v>
      </c>
      <c r="D118" s="222" t="str">
        <f>IFERROR(__xludf.DUMMYFUNCTION("""COMPUTED_VALUE"""),"REGIONAL I")</f>
        <v>REGIONAL I</v>
      </c>
      <c r="E118" s="222" t="str">
        <f>IFERROR(__xludf.DUMMYFUNCTION("""COMPUTED_VALUE"""),"LAMPUNG")</f>
        <v>LAMPUNG</v>
      </c>
      <c r="F118" s="222" t="str">
        <f>IFERROR(__xludf.DUMMYFUNCTION("""COMPUTED_VALUE"""),"KLA")</f>
        <v>KLA</v>
      </c>
      <c r="G118" s="222" t="str">
        <f>IFERROR(__xludf.DUMMYFUNCTION("""COMPUTED_VALUE"""),"SUMBAGSEL")</f>
        <v>SUMBAGSEL</v>
      </c>
      <c r="H118" s="222" t="str">
        <f>IFERROR(__xludf.DUMMYFUNCTION("""COMPUTED_VALUE"""),"LAMPUNG")</f>
        <v>LAMPUNG</v>
      </c>
      <c r="I118" s="222" t="str">
        <f>IFERROR(__xludf.DUMMYFUNCTION("""COMPUTED_VALUE"""),"Batch 2")</f>
        <v>Batch 2</v>
      </c>
      <c r="J118" s="225">
        <f>IFERROR(__xludf.DUMMYFUNCTION("""COMPUTED_VALUE"""),10.0)</f>
        <v>10</v>
      </c>
      <c r="K118" s="224">
        <f>IFERROR(__xludf.DUMMYFUNCTION("""COMPUTED_VALUE"""),80.0)</f>
        <v>80</v>
      </c>
      <c r="L118" s="226">
        <f>IFERROR(__xludf.DUMMYFUNCTION("""COMPUTED_VALUE"""),1489761.0)</f>
        <v>1489761</v>
      </c>
      <c r="M118" s="227">
        <f>IFERROR(__xludf.DUMMYFUNCTION("""COMPUTED_VALUE"""),1.19180824E8)</f>
        <v>119180824</v>
      </c>
      <c r="N118" s="222" t="str">
        <f>IFERROR(__xludf.DUMMYFUNCTION("""COMPUTED_VALUE"""),"PT ACERO CETHA METALINDO")</f>
        <v>PT ACERO CETHA METALINDO</v>
      </c>
      <c r="O118" s="222" t="str">
        <f>IFERROR(__xludf.DUMMYFUNCTION("""COMPUTED_VALUE"""),"8. UJI TERIMA")</f>
        <v>8. UJI TERIMA</v>
      </c>
      <c r="P118" s="222" t="str">
        <f>IFERROR(__xludf.DUMMYFUNCTION("""COMPUTED_VALUE"""),"8.1 Proses UT")</f>
        <v>8.1 Proses UT</v>
      </c>
      <c r="Q118" s="222" t="str">
        <f>IFERROR(__xludf.DUMMYFUNCTION("""COMPUTED_VALUE"""),"11/2 proses abd+valins , plan besok data sudah di Sumbit 9/2 masih progres QE team sektor ,6/2 progres finis intalasi ,kendala core distribusi butuh qe 9/2
4/2 plan fi 4/2  plan abd+valins 5/2 plan golive 7/2, 
30/1 progres tarik kabel 
3/2 finish intalas"&amp;"i, 
23/1 butuh repair kabel distribusi 
15/1 bbutuh repair kabel distribusi cut di 4,6KM""")</f>
        <v>11/2 proses abd+valins , plan besok data sudah di Sumbit 9/2 masih progres QE team sektor ,6/2 progres finis intalasi ,kendala core distribusi butuh qe 9/2
4/2 plan fi 4/2  plan abd+valins 5/2 plan golive 7/2, 
30/1 progres tarik kabel 
3/2 finish intalasi, 
23/1 butuh repair kabel distribusi 
15/1 bbutuh repair kabel distribusi cut di 4,6KM"</v>
      </c>
      <c r="R118" s="228">
        <f>IFERROR(__xludf.DUMMYFUNCTION("""COMPUTED_VALUE"""),46064.0)</f>
        <v>46064</v>
      </c>
      <c r="S118" s="11"/>
      <c r="T118" s="11"/>
      <c r="U118" s="11" t="str">
        <f>IFERROR(__xludf.DUMMYFUNCTION("""COMPUTED_VALUE"""),"W02-26/2026")</f>
        <v>W02-26/2026</v>
      </c>
      <c r="V118" s="229"/>
      <c r="W118" s="229"/>
      <c r="X118" s="229" t="str">
        <f>IFERROR(__xludf.DUMMYFUNCTION("""COMPUTED_VALUE"""),"GOLIVE")</f>
        <v>GOLIVE</v>
      </c>
      <c r="Y118" s="229" t="str">
        <f>IFERROR(__xludf.DUMMYFUNCTION("""COMPUTED_VALUE"""),"DONE")</f>
        <v>DONE</v>
      </c>
      <c r="Z118" s="229" t="str">
        <f>IFERROR(__xludf.DUMMYFUNCTION("""COMPUTED_VALUE"""),"#N/A")</f>
        <v>#N/A</v>
      </c>
      <c r="AA118" s="229">
        <f>IFERROR(__xludf.DUMMYFUNCTION("""COMPUTED_VALUE"""),10.0)</f>
        <v>10</v>
      </c>
      <c r="AB118" s="229"/>
      <c r="AC118" s="229" t="str">
        <f>IFERROR(__xludf.DUMMYFUNCTION("""COMPUTED_VALUE"""),"9036071#9036076")</f>
        <v>9036071#9036076</v>
      </c>
      <c r="AD118" s="232">
        <f>IFERROR(__xludf.DUMMYFUNCTION("""COMPUTED_VALUE"""),80.0)</f>
        <v>80</v>
      </c>
      <c r="AE118" s="233">
        <f>IFERROR(__xludf.DUMMYFUNCTION("""COMPUTED_VALUE"""),46065.0)</f>
        <v>46065</v>
      </c>
      <c r="AF118" s="54" t="str">
        <f>IFERROR(__xludf.DUMMYFUNCTION("""COMPUTED_VALUE"""),"DONE")</f>
        <v>DONE</v>
      </c>
      <c r="AG118" s="54"/>
      <c r="AH118" s="54">
        <v>46064.0</v>
      </c>
      <c r="AI118" s="55">
        <f t="shared" si="28"/>
        <v>-1</v>
      </c>
      <c r="AW118" s="234"/>
      <c r="BP118" s="11"/>
      <c r="BQ118" s="11"/>
      <c r="BR118" s="235"/>
      <c r="BV118" s="158"/>
      <c r="BY118" s="158"/>
      <c r="CB118" s="158"/>
    </row>
    <row r="119" ht="18.0" customHeight="1">
      <c r="A119" s="222">
        <f>IFERROR(__xludf.DUMMYFUNCTION("""COMPUTED_VALUE"""),2026.0)</f>
        <v>2026</v>
      </c>
      <c r="B119" s="221">
        <f>IFERROR(__xludf.DUMMYFUNCTION("""COMPUTED_VALUE"""),1.1338072E7)</f>
        <v>11338072</v>
      </c>
      <c r="C119" s="222" t="str">
        <f>IFERROR(__xludf.DUMMYFUNCTION("""COMPUTED_VALUE"""),"SMB P2I1 BALAI MANSIRO RUSDI")</f>
        <v>SMB P2I1 BALAI MANSIRO RUSDI</v>
      </c>
      <c r="D119" s="222" t="str">
        <f>IFERROR(__xludf.DUMMYFUNCTION("""COMPUTED_VALUE"""),"REGIONAL I")</f>
        <v>REGIONAL I</v>
      </c>
      <c r="E119" s="222" t="str">
        <f>IFERROR(__xludf.DUMMYFUNCTION("""COMPUTED_VALUE"""),"SUMBAR")</f>
        <v>SUMBAR</v>
      </c>
      <c r="F119" s="222" t="str">
        <f>IFERROR(__xludf.DUMMYFUNCTION("""COMPUTED_VALUE"""),"PDJ")</f>
        <v>PDJ</v>
      </c>
      <c r="G119" s="222" t="str">
        <f>IFERROR(__xludf.DUMMYFUNCTION("""COMPUTED_VALUE"""),"SUMBAGTENG")</f>
        <v>SUMBAGTENG</v>
      </c>
      <c r="H119" s="222" t="str">
        <f>IFERROR(__xludf.DUMMYFUNCTION("""COMPUTED_VALUE"""),"BUKIT TINGGI")</f>
        <v>BUKIT TINGGI</v>
      </c>
      <c r="I119" s="222" t="str">
        <f>IFERROR(__xludf.DUMMYFUNCTION("""COMPUTED_VALUE"""),"Batch 2")</f>
        <v>Batch 2</v>
      </c>
      <c r="J119" s="225">
        <f>IFERROR(__xludf.DUMMYFUNCTION("""COMPUTED_VALUE"""),3.0)</f>
        <v>3</v>
      </c>
      <c r="K119" s="224">
        <f>IFERROR(__xludf.DUMMYFUNCTION("""COMPUTED_VALUE"""),24.0)</f>
        <v>24</v>
      </c>
      <c r="L119" s="226">
        <f>IFERROR(__xludf.DUMMYFUNCTION("""COMPUTED_VALUE"""),1489517.0)</f>
        <v>1489517</v>
      </c>
      <c r="M119" s="227">
        <f>IFERROR(__xludf.DUMMYFUNCTION("""COMPUTED_VALUE"""),3.5748391E7)</f>
        <v>35748391</v>
      </c>
      <c r="N119" s="222" t="str">
        <f>IFERROR(__xludf.DUMMYFUNCTION("""COMPUTED_VALUE"""),"PT TSUIKA BERKAH RAYA")</f>
        <v>PT TSUIKA BERKAH RAYA</v>
      </c>
      <c r="O119" s="222" t="str">
        <f>IFERROR(__xludf.DUMMYFUNCTION("""COMPUTED_VALUE"""),"0. DROP")</f>
        <v>0. DROP</v>
      </c>
      <c r="P119" s="222" t="str">
        <f>IFERROR(__xludf.DUMMYFUNCTION("""COMPUTED_VALUE"""),"0.3 Feeder Full")</f>
        <v>0.3 Feeder Full</v>
      </c>
      <c r="Q119" s="222" t="str">
        <f>IFERROR(__xludf.DUMMYFUNCTION("""COMPUTED_VALUE"""),"08/01 : kendala feeder PDJ-FE FULL (07/01) Persiapan")</f>
        <v>08/01 : kendala feeder PDJ-FE FULL (07/01) Persiapan</v>
      </c>
      <c r="R119" s="228"/>
      <c r="S119" s="11"/>
      <c r="T119" s="11"/>
      <c r="U119" s="11"/>
      <c r="V119" s="229"/>
      <c r="W119" s="229"/>
      <c r="X119" s="229" t="str">
        <f>IFERROR(__xludf.DUMMYFUNCTION("""COMPUTED_VALUE"""),"BELUM GOLIVE")</f>
        <v>BELUM GOLIVE</v>
      </c>
      <c r="Y119" s="229"/>
      <c r="Z119" s="229" t="str">
        <f>IFERROR(__xludf.DUMMYFUNCTION("""COMPUTED_VALUE"""),"#N/A")</f>
        <v>#N/A</v>
      </c>
      <c r="AA119" s="229"/>
      <c r="AB119" s="229"/>
      <c r="AC119" s="229"/>
      <c r="AD119" s="232"/>
      <c r="AE119" s="233"/>
      <c r="AF119" s="54" t="str">
        <f>IFERROR(__xludf.DUMMYFUNCTION("""COMPUTED_VALUE"""),"Draft BA DROP")</f>
        <v>Draft BA DROP</v>
      </c>
      <c r="AG119" s="54"/>
      <c r="AH119" s="54"/>
      <c r="AI119" s="55" t="str">
        <f t="shared" si="28"/>
        <v/>
      </c>
      <c r="AW119" s="234"/>
      <c r="BP119" s="11"/>
      <c r="BQ119" s="11"/>
      <c r="BR119" s="235"/>
      <c r="BV119" s="158"/>
      <c r="BY119" s="158"/>
      <c r="CB119" s="158"/>
    </row>
    <row r="120" ht="18.0" customHeight="1">
      <c r="A120" s="222">
        <f>IFERROR(__xludf.DUMMYFUNCTION("""COMPUTED_VALUE"""),2026.0)</f>
        <v>2026</v>
      </c>
      <c r="B120" s="221">
        <f>IFERROR(__xludf.DUMMYFUNCTION("""COMPUTED_VALUE"""),1.2089239E7)</f>
        <v>12089239</v>
      </c>
      <c r="C120" s="222" t="str">
        <f>IFERROR(__xludf.DUMMYFUNCTION("""COMPUTED_VALUE"""),"RKP TSEL PT3 TBK-FAE PERUM_NUPUS")</f>
        <v>RKP TSEL PT3 TBK-FAE PERUM_NUPUS</v>
      </c>
      <c r="D120" s="222" t="str">
        <f>IFERROR(__xludf.DUMMYFUNCTION("""COMPUTED_VALUE"""),"REGIONAL I")</f>
        <v>REGIONAL I</v>
      </c>
      <c r="E120" s="222" t="str">
        <f>IFERROR(__xludf.DUMMYFUNCTION("""COMPUTED_VALUE"""),"RIKEP")</f>
        <v>RIKEP</v>
      </c>
      <c r="F120" s="222" t="str">
        <f>IFERROR(__xludf.DUMMYFUNCTION("""COMPUTED_VALUE"""),"TBK")</f>
        <v>TBK</v>
      </c>
      <c r="G120" s="222" t="str">
        <f>IFERROR(__xludf.DUMMYFUNCTION("""COMPUTED_VALUE"""),"SUMBAGTENG")</f>
        <v>SUMBAGTENG</v>
      </c>
      <c r="H120" s="222" t="str">
        <f>IFERROR(__xludf.DUMMYFUNCTION("""COMPUTED_VALUE"""),"BATAM")</f>
        <v>BATAM</v>
      </c>
      <c r="I120" s="222" t="str">
        <f>IFERROR(__xludf.DUMMYFUNCTION("""COMPUTED_VALUE"""),"Batch 2")</f>
        <v>Batch 2</v>
      </c>
      <c r="J120" s="225">
        <f>IFERROR(__xludf.DUMMYFUNCTION("""COMPUTED_VALUE"""),1.0)</f>
        <v>1</v>
      </c>
      <c r="K120" s="224">
        <f>IFERROR(__xludf.DUMMYFUNCTION("""COMPUTED_VALUE"""),8.0)</f>
        <v>8</v>
      </c>
      <c r="L120" s="226">
        <f>IFERROR(__xludf.DUMMYFUNCTION("""COMPUTED_VALUE"""),1489424.0)</f>
        <v>1489424</v>
      </c>
      <c r="M120" s="227">
        <f>IFERROR(__xludf.DUMMYFUNCTION("""COMPUTED_VALUE"""),1.1915389E7)</f>
        <v>11915389</v>
      </c>
      <c r="N120" s="222" t="str">
        <f>IFERROR(__xludf.DUMMYFUNCTION("""COMPUTED_VALUE"""),"PT DWI MITRA JAYA UTAMA")</f>
        <v>PT DWI MITRA JAYA UTAMA</v>
      </c>
      <c r="O120" s="222" t="str">
        <f>IFERROR(__xludf.DUMMYFUNCTION("""COMPUTED_VALUE"""),"2. DONE AANWIJZING")</f>
        <v>2. DONE AANWIJZING</v>
      </c>
      <c r="P120" s="222" t="str">
        <f>IFERROR(__xludf.DUMMYFUNCTION("""COMPUTED_VALUE"""),"2.9 Kendala - Distribusi Penuh / Rusak")</f>
        <v>2.9 Kendala - Distribusi Penuh / Rusak</v>
      </c>
      <c r="Q120" s="222" t="str">
        <f>IFERROR(__xludf.DUMMYFUNCTION("""COMPUTED_VALUE"""),"12/02 Dist rusak, tidak memungkinkan di repair ex gamas. 09/02 MP mengerjakan LOP sei bati. 06/02 MP mengerjakan LOP sei bati. 28/01 Anwijzing OK, proses perizinan ke RT, 30 Jan")</f>
        <v>12/02 Dist rusak, tidak memungkinkan di repair ex gamas. 09/02 MP mengerjakan LOP sei bati. 06/02 MP mengerjakan LOP sei bati. 28/01 Anwijzing OK, proses perizinan ke RT, 30 Jan</v>
      </c>
      <c r="R120" s="228"/>
      <c r="S120" s="11"/>
      <c r="T120" s="11"/>
      <c r="U120" s="11"/>
      <c r="V120" s="229" t="str">
        <f>IFERROR(__xludf.DUMMYFUNCTION("""COMPUTED_VALUE"""),"MOHAMMAD FAUZY")</f>
        <v>MOHAMMAD FAUZY</v>
      </c>
      <c r="W120" s="229" t="str">
        <f>IFERROR(__xludf.DUMMYFUNCTION("""COMPUTED_VALUE"""),"LEVITA INDRIYANI")</f>
        <v>LEVITA INDRIYANI</v>
      </c>
      <c r="X120" s="229" t="str">
        <f>IFERROR(__xludf.DUMMYFUNCTION("""COMPUTED_VALUE"""),"BELUM GOLIVE")</f>
        <v>BELUM GOLIVE</v>
      </c>
      <c r="Y120" s="229"/>
      <c r="Z120" s="229" t="str">
        <f>IFERROR(__xludf.DUMMYFUNCTION("""COMPUTED_VALUE"""),"#N/A")</f>
        <v>#N/A</v>
      </c>
      <c r="AA120" s="229"/>
      <c r="AB120" s="229"/>
      <c r="AC120" s="229"/>
      <c r="AD120" s="232"/>
      <c r="AE120" s="233"/>
      <c r="AF120" s="54" t="str">
        <f>IFERROR(__xludf.DUMMYFUNCTION("""COMPUTED_VALUE"""),"Draft BA DROP")</f>
        <v>Draft BA DROP</v>
      </c>
      <c r="AG120" s="54"/>
      <c r="AH120" s="54"/>
      <c r="AI120" s="55" t="str">
        <f t="shared" si="28"/>
        <v/>
      </c>
      <c r="AW120" s="234"/>
      <c r="BP120" s="11"/>
      <c r="BQ120" s="11"/>
      <c r="BR120" s="235"/>
      <c r="BV120" s="158"/>
      <c r="BY120" s="158"/>
      <c r="CB120" s="158"/>
    </row>
    <row r="121" ht="18.0" hidden="1" customHeight="1">
      <c r="A121" s="222">
        <f>IFERROR(__xludf.DUMMYFUNCTION("""COMPUTED_VALUE"""),2026.0)</f>
        <v>2026</v>
      </c>
      <c r="B121" s="221">
        <f>IFERROR(__xludf.DUMMYFUNCTION("""COMPUTED_VALUE"""),1.1482124E7)</f>
        <v>11482124</v>
      </c>
      <c r="C121" s="222" t="str">
        <f>IFERROR(__xludf.DUMMYFUNCTION("""COMPUTED_VALUE"""),"ACH PT3 KGH-FB D08 ULEE PULO")</f>
        <v>ACH PT3 KGH-FB D08 ULEE PULO</v>
      </c>
      <c r="D121" s="222" t="str">
        <f>IFERROR(__xludf.DUMMYFUNCTION("""COMPUTED_VALUE"""),"REGIONAL I")</f>
        <v>REGIONAL I</v>
      </c>
      <c r="E121" s="222" t="str">
        <f>IFERROR(__xludf.DUMMYFUNCTION("""COMPUTED_VALUE"""),"ACEH")</f>
        <v>ACEH</v>
      </c>
      <c r="F121" s="222" t="str">
        <f>IFERROR(__xludf.DUMMYFUNCTION("""COMPUTED_VALUE"""),"KGH")</f>
        <v>KGH</v>
      </c>
      <c r="G121" s="222" t="str">
        <f>IFERROR(__xludf.DUMMYFUNCTION("""COMPUTED_VALUE"""),"SUMBAGUT")</f>
        <v>SUMBAGUT</v>
      </c>
      <c r="H121" s="222" t="str">
        <f>IFERROR(__xludf.DUMMYFUNCTION("""COMPUTED_VALUE"""),"BINJAI")</f>
        <v>BINJAI</v>
      </c>
      <c r="I121" s="222" t="str">
        <f>IFERROR(__xludf.DUMMYFUNCTION("""COMPUTED_VALUE"""),"Batch 2")</f>
        <v>Batch 2</v>
      </c>
      <c r="J121" s="225">
        <f>IFERROR(__xludf.DUMMYFUNCTION("""COMPUTED_VALUE"""),18.0)</f>
        <v>18</v>
      </c>
      <c r="K121" s="224">
        <f>IFERROR(__xludf.DUMMYFUNCTION("""COMPUTED_VALUE"""),144.0)</f>
        <v>144</v>
      </c>
      <c r="L121" s="226">
        <f>IFERROR(__xludf.DUMMYFUNCTION("""COMPUTED_VALUE"""),1487359.0)</f>
        <v>1487359</v>
      </c>
      <c r="M121" s="227">
        <f>IFERROR(__xludf.DUMMYFUNCTION("""COMPUTED_VALUE"""),2.14179597E8)</f>
        <v>214179597</v>
      </c>
      <c r="N121" s="222" t="str">
        <f>IFERROR(__xludf.DUMMYFUNCTION("""COMPUTED_VALUE"""),"PT MITRA AKSES INSANI")</f>
        <v>PT MITRA AKSES INSANI</v>
      </c>
      <c r="O121" s="222" t="str">
        <f>IFERROR(__xludf.DUMMYFUNCTION("""COMPUTED_VALUE"""),"0. DROP")</f>
        <v>0. DROP</v>
      </c>
      <c r="P121" s="222" t="str">
        <f>IFERROR(__xludf.DUMMYFUNCTION("""COMPUTED_VALUE"""),"0.4 CPP Tinggi Acc ED TIF")</f>
        <v>0.4 CPP Tinggi Acc ED TIF</v>
      </c>
      <c r="Q121" s="222" t="str">
        <f>IFERROR(__xludf.DUMMYFUNCTION("""COMPUTED_VALUE"""),"(16/02) Proses Nego dgn Warga Desa, PO Material (07/01) Persiapan")</f>
        <v>(16/02) Proses Nego dgn Warga Desa, PO Material (07/01) Persiapan</v>
      </c>
      <c r="R121" s="228"/>
      <c r="S121" s="11"/>
      <c r="T121" s="11"/>
      <c r="U121" s="11"/>
      <c r="V121" s="229"/>
      <c r="W121" s="229"/>
      <c r="X121" s="229" t="str">
        <f>IFERROR(__xludf.DUMMYFUNCTION("""COMPUTED_VALUE"""),"BELUM GOLIVE")</f>
        <v>BELUM GOLIVE</v>
      </c>
      <c r="Y121" s="229"/>
      <c r="Z121" s="229" t="str">
        <f>IFERROR(__xludf.DUMMYFUNCTION("""COMPUTED_VALUE"""),"#N/A")</f>
        <v>#N/A</v>
      </c>
      <c r="AA121" s="229"/>
      <c r="AB121" s="229"/>
      <c r="AC121" s="229"/>
      <c r="AD121" s="232"/>
      <c r="AE121" s="233"/>
      <c r="AF121" s="54" t="str">
        <f>IFERROR(__xludf.DUMMYFUNCTION("""COMPUTED_VALUE"""),"Draft BA DROP")</f>
        <v>Draft BA DROP</v>
      </c>
      <c r="AG121" s="54"/>
      <c r="AH121" s="54"/>
      <c r="AI121" s="55" t="str">
        <f t="shared" si="28"/>
        <v/>
      </c>
      <c r="AW121" s="234"/>
      <c r="BP121" s="11"/>
      <c r="BQ121" s="11"/>
      <c r="BR121" s="235"/>
      <c r="BV121" s="158"/>
      <c r="BY121" s="158"/>
      <c r="CB121" s="158"/>
    </row>
    <row r="122" ht="18.0" hidden="1" customHeight="1">
      <c r="A122" s="222">
        <f>IFERROR(__xludf.DUMMYFUNCTION("""COMPUTED_VALUE"""),2026.0)</f>
        <v>2026</v>
      </c>
      <c r="B122" s="221">
        <f>IFERROR(__xludf.DUMMYFUNCTION("""COMPUTED_VALUE"""),1.1160406E7)</f>
        <v>11160406</v>
      </c>
      <c r="C122" s="222" t="str">
        <f>IFERROR(__xludf.DUMMYFUNCTION("""COMPUTED_VALUE"""),"JBI-PT3 BRANCHING-PAP-FG-M IRMANSAH")</f>
        <v>JBI-PT3 BRANCHING-PAP-FG-M IRMANSAH</v>
      </c>
      <c r="D122" s="222" t="str">
        <f>IFERROR(__xludf.DUMMYFUNCTION("""COMPUTED_VALUE"""),"REGIONAL I")</f>
        <v>REGIONAL I</v>
      </c>
      <c r="E122" s="222" t="str">
        <f>IFERROR(__xludf.DUMMYFUNCTION("""COMPUTED_VALUE"""),"JAMBI")</f>
        <v>JAMBI</v>
      </c>
      <c r="F122" s="222" t="str">
        <f>IFERROR(__xludf.DUMMYFUNCTION("""COMPUTED_VALUE"""),"PAP")</f>
        <v>PAP</v>
      </c>
      <c r="G122" s="222" t="str">
        <f>IFERROR(__xludf.DUMMYFUNCTION("""COMPUTED_VALUE"""),"SUMBAGSEL")</f>
        <v>SUMBAGSEL</v>
      </c>
      <c r="H122" s="222" t="str">
        <f>IFERROR(__xludf.DUMMYFUNCTION("""COMPUTED_VALUE"""),"JAMBI")</f>
        <v>JAMBI</v>
      </c>
      <c r="I122" s="222" t="str">
        <f>IFERROR(__xludf.DUMMYFUNCTION("""COMPUTED_VALUE"""),"Batch 2")</f>
        <v>Batch 2</v>
      </c>
      <c r="J122" s="225">
        <f>IFERROR(__xludf.DUMMYFUNCTION("""COMPUTED_VALUE"""),2.0)</f>
        <v>2</v>
      </c>
      <c r="K122" s="224">
        <f>IFERROR(__xludf.DUMMYFUNCTION("""COMPUTED_VALUE"""),16.0)</f>
        <v>16</v>
      </c>
      <c r="L122" s="226">
        <f>IFERROR(__xludf.DUMMYFUNCTION("""COMPUTED_VALUE"""),1487174.0)</f>
        <v>1487174</v>
      </c>
      <c r="M122" s="227">
        <f>IFERROR(__xludf.DUMMYFUNCTION("""COMPUTED_VALUE"""),2.3794779E7)</f>
        <v>23794779</v>
      </c>
      <c r="N122" s="222"/>
      <c r="O122" s="222" t="str">
        <f>IFERROR(__xludf.DUMMYFUNCTION("""COMPUTED_VALUE"""),"0. DROP")</f>
        <v>0. DROP</v>
      </c>
      <c r="P122" s="222" t="str">
        <f>IFERROR(__xludf.DUMMYFUNCTION("""COMPUTED_VALUE"""),"0.1 Double Order")</f>
        <v>0.1 Double Order</v>
      </c>
      <c r="Q122" s="222" t="str">
        <f>IFERROR(__xludf.DUMMYFUNCTION("""COMPUTED_VALUE"""),"(12/1) BA Drop Sirkulir  (06/01)order JPP batch-2 2026 (22/10 Duplikat dengan Order lama / JBI-PT3 BRANCHING-PAP-FG-M IRMASAH  
11157210")</f>
        <v>(12/1) BA Drop Sirkulir  (06/01)order JPP batch-2 2026 (22/10 Duplikat dengan Order lama / JBI-PT3 BRANCHING-PAP-FG-M IRMASAH  
11157210</v>
      </c>
      <c r="R122" s="228"/>
      <c r="S122" s="11"/>
      <c r="T122" s="11"/>
      <c r="U122" s="11"/>
      <c r="V122" s="229"/>
      <c r="W122" s="229"/>
      <c r="X122" s="229" t="str">
        <f>IFERROR(__xludf.DUMMYFUNCTION("""COMPUTED_VALUE"""),"BELUM GOLIVE")</f>
        <v>BELUM GOLIVE</v>
      </c>
      <c r="Y122" s="229"/>
      <c r="Z122" s="229" t="str">
        <f>IFERROR(__xludf.DUMMYFUNCTION("""COMPUTED_VALUE"""),"#N/A")</f>
        <v>#N/A</v>
      </c>
      <c r="AA122" s="229"/>
      <c r="AB122" s="229"/>
      <c r="AC122" s="229"/>
      <c r="AD122" s="232"/>
      <c r="AE122" s="233"/>
      <c r="AF122" s="54" t="str">
        <f>IFERROR(__xludf.DUMMYFUNCTION("""COMPUTED_VALUE"""),"Draft BA DROP")</f>
        <v>Draft BA DROP</v>
      </c>
      <c r="AG122" s="54"/>
      <c r="AH122" s="54"/>
      <c r="AI122" s="55" t="str">
        <f t="shared" si="28"/>
        <v/>
      </c>
      <c r="AW122" s="234"/>
      <c r="BP122" s="11"/>
      <c r="BQ122" s="11"/>
      <c r="BR122" s="235"/>
      <c r="BV122" s="158"/>
      <c r="BY122" s="158"/>
      <c r="CB122" s="158"/>
    </row>
    <row r="123" ht="18.0" hidden="1" customHeight="1">
      <c r="A123" s="222">
        <f>IFERROR(__xludf.DUMMYFUNCTION("""COMPUTED_VALUE"""),2026.0)</f>
        <v>2026</v>
      </c>
      <c r="B123" s="221">
        <f>IFERROR(__xludf.DUMMYFUNCTION("""COMPUTED_VALUE"""),1.1862236E7)</f>
        <v>11862236</v>
      </c>
      <c r="C123" s="222" t="str">
        <f>IFERROR(__xludf.DUMMYFUNCTION("""COMPUTED_VALUE"""),"LPG PT4 JPP WIRA BANGUN MESUJI CSF UNT")</f>
        <v>LPG PT4 JPP WIRA BANGUN MESUJI CSF UNT</v>
      </c>
      <c r="D123" s="222" t="str">
        <f>IFERROR(__xludf.DUMMYFUNCTION("""COMPUTED_VALUE"""),"REGIONAL I")</f>
        <v>REGIONAL I</v>
      </c>
      <c r="E123" s="222" t="str">
        <f>IFERROR(__xludf.DUMMYFUNCTION("""COMPUTED_VALUE"""),"LAMPUNG")</f>
        <v>LAMPUNG</v>
      </c>
      <c r="F123" s="222" t="str">
        <f>IFERROR(__xludf.DUMMYFUNCTION("""COMPUTED_VALUE"""),"UNT")</f>
        <v>UNT</v>
      </c>
      <c r="G123" s="222" t="str">
        <f>IFERROR(__xludf.DUMMYFUNCTION("""COMPUTED_VALUE"""),"SUMBAGSEL")</f>
        <v>SUMBAGSEL</v>
      </c>
      <c r="H123" s="222" t="str">
        <f>IFERROR(__xludf.DUMMYFUNCTION("""COMPUTED_VALUE"""),"PALEMBANG")</f>
        <v>PALEMBANG</v>
      </c>
      <c r="I123" s="222" t="str">
        <f>IFERROR(__xludf.DUMMYFUNCTION("""COMPUTED_VALUE"""),"Batch 2")</f>
        <v>Batch 2</v>
      </c>
      <c r="J123" s="225">
        <f>IFERROR(__xludf.DUMMYFUNCTION("""COMPUTED_VALUE"""),24.0)</f>
        <v>24</v>
      </c>
      <c r="K123" s="224">
        <f>IFERROR(__xludf.DUMMYFUNCTION("""COMPUTED_VALUE"""),184.0)</f>
        <v>184</v>
      </c>
      <c r="L123" s="226">
        <f>IFERROR(__xludf.DUMMYFUNCTION("""COMPUTED_VALUE"""),1486933.0)</f>
        <v>1486933</v>
      </c>
      <c r="M123" s="227">
        <f>IFERROR(__xludf.DUMMYFUNCTION("""COMPUTED_VALUE"""),2.73595587E8)</f>
        <v>273595587</v>
      </c>
      <c r="N123" s="222" t="str">
        <f>IFERROR(__xludf.DUMMYFUNCTION("""COMPUTED_VALUE"""),"SWAKELOLA")</f>
        <v>SWAKELOLA</v>
      </c>
      <c r="O123" s="222" t="str">
        <f>IFERROR(__xludf.DUMMYFUNCTION("""COMPUTED_VALUE"""),"0. DROP")</f>
        <v>0. DROP</v>
      </c>
      <c r="P123" s="222" t="str">
        <f>IFERROR(__xludf.DUMMYFUNCTION("""COMPUTED_VALUE"""),"0.5 DROP TSEL - Acc ED TIF")</f>
        <v>0.5 DROP TSEL - Acc ED TIF</v>
      </c>
      <c r="Q123" s="222" t="str">
        <f>IFERROR(__xludf.DUMMYFUNCTION("""COMPUTED_VALUE"""),"09/04 drop Nilai CPP naik 08/04 HASIL PERIZINAN KADES MEMINTA WIFI GRATIS 3 TITIK DI DESA SEUMUR HIDUP, PENANAMAN TIANG 1 BTG 200RB (ADA 136BTG) DAN PENJAGA KEAMANAN 2 ORG UTK JAGA PROJECT 1 BULAN DG GAJI 3JT/BULAN, 30/03 HASIL AANWIDJZING  HOLD, CPP PLAN"&amp;"&amp;AANWIZING 1,6 JT TIDAK BANYAK PERUBAHAN DESIGN PLAN &amp; AANWIZING, ADA COME CASE TAPI KADES BELUM KASIH NOMINAL, 27/03 LANJUT EVAL DG TIF EST TGL 30 MAR, 21/03 MENUNGGU EVAL SETELAH LEBARAN, 13/03 DONE AANWIDJZING -  ADA COMCASE TP KADES BELUM KASIH NOMINA"&amp;"L BRPA, 09/03 Sudah kordinasi dengan sumsel. Mulai Aanwizing 5/3 masuk area sumsel,, kendala OLT di status Terakhir  (18/2) konfirmasi ke tif  terkait penambahan mini OLT (11/2) masuk lop sumsel (6/2) butuh penambahan mini OLT
14/1 butuh penambahan mini O"&amp;"LT")</f>
        <v>09/04 drop Nilai CPP naik 08/04 HASIL PERIZINAN KADES MEMINTA WIFI GRATIS 3 TITIK DI DESA SEUMUR HIDUP, PENANAMAN TIANG 1 BTG 200RB (ADA 136BTG) DAN PENJAGA KEAMANAN 2 ORG UTK JAGA PROJECT 1 BULAN DG GAJI 3JT/BULAN, 30/03 HASIL AANWIDJZING  HOLD, CPP PLAN&amp;AANWIZING 1,6 JT TIDAK BANYAK PERUBAHAN DESIGN PLAN &amp; AANWIZING, ADA COME CASE TAPI KADES BELUM KASIH NOMINAL, 27/03 LANJUT EVAL DG TIF EST TGL 30 MAR, 21/03 MENUNGGU EVAL SETELAH LEBARAN, 13/03 DONE AANWIDJZING -  ADA COMCASE TP KADES BELUM KASIH NOMINAL BRPA, 09/03 Sudah kordinasi dengan sumsel. Mulai Aanwizing 5/3 masuk area sumsel,, kendala OLT di status Terakhir  (18/2) konfirmasi ke tif  terkait penambahan mini OLT (11/2) masuk lop sumsel (6/2) butuh penambahan mini OLT
14/1 butuh penambahan mini OLT</v>
      </c>
      <c r="R123" s="228"/>
      <c r="S123" s="11"/>
      <c r="T123" s="11"/>
      <c r="U123" s="11" t="str">
        <f>IFERROR(__xludf.DUMMYFUNCTION("""COMPUTED_VALUE"""),"W02-639/2025")</f>
        <v>W02-639/2025</v>
      </c>
      <c r="V123" s="229"/>
      <c r="W123" s="229"/>
      <c r="X123" s="229" t="str">
        <f>IFERROR(__xludf.DUMMYFUNCTION("""COMPUTED_VALUE"""),"BELUM GOLIVE")</f>
        <v>BELUM GOLIVE</v>
      </c>
      <c r="Y123" s="229" t="str">
        <f>IFERROR(__xludf.DUMMYFUNCTION("""COMPUTED_VALUE"""),"Mini OLT Not Ready")</f>
        <v>Mini OLT Not Ready</v>
      </c>
      <c r="Z123" s="229"/>
      <c r="AA123" s="229"/>
      <c r="AB123" s="229"/>
      <c r="AC123" s="229"/>
      <c r="AD123" s="232"/>
      <c r="AE123" s="233"/>
      <c r="AF123" s="54"/>
      <c r="AG123" s="54"/>
      <c r="AH123" s="54"/>
      <c r="AI123" s="55" t="str">
        <f t="shared" si="28"/>
        <v/>
      </c>
      <c r="AW123" s="234"/>
      <c r="BP123" s="11"/>
      <c r="BQ123" s="11"/>
      <c r="BR123" s="235"/>
      <c r="BV123" s="158"/>
      <c r="BY123" s="158"/>
      <c r="CB123" s="158"/>
    </row>
    <row r="124" ht="18.0" customHeight="1">
      <c r="A124" s="222">
        <f>IFERROR(__xludf.DUMMYFUNCTION("""COMPUTED_VALUE"""),2026.0)</f>
        <v>2026</v>
      </c>
      <c r="B124" s="221">
        <f>IFERROR(__xludf.DUMMYFUNCTION("""COMPUTED_VALUE"""),1.0721409E7)</f>
        <v>10721409</v>
      </c>
      <c r="C124" s="222" t="str">
        <f>IFERROR(__xludf.DUMMYFUNCTION("""COMPUTED_VALUE"""),"SMB P1I1 PT3 EKSPANSI PYK FM_csf")</f>
        <v>SMB P1I1 PT3 EKSPANSI PYK FM_csf</v>
      </c>
      <c r="D124" s="222" t="str">
        <f>IFERROR(__xludf.DUMMYFUNCTION("""COMPUTED_VALUE"""),"REGIONAL I")</f>
        <v>REGIONAL I</v>
      </c>
      <c r="E124" s="222" t="str">
        <f>IFERROR(__xludf.DUMMYFUNCTION("""COMPUTED_VALUE"""),"SUMBAR")</f>
        <v>SUMBAR</v>
      </c>
      <c r="F124" s="222" t="str">
        <f>IFERROR(__xludf.DUMMYFUNCTION("""COMPUTED_VALUE"""),"PYK")</f>
        <v>PYK</v>
      </c>
      <c r="G124" s="222" t="str">
        <f>IFERROR(__xludf.DUMMYFUNCTION("""COMPUTED_VALUE"""),"SUMBAGTENG")</f>
        <v>SUMBAGTENG</v>
      </c>
      <c r="H124" s="222" t="str">
        <f>IFERROR(__xludf.DUMMYFUNCTION("""COMPUTED_VALUE"""),"BUKIT TINGGI")</f>
        <v>BUKIT TINGGI</v>
      </c>
      <c r="I124" s="222" t="str">
        <f>IFERROR(__xludf.DUMMYFUNCTION("""COMPUTED_VALUE"""),"Batch 2")</f>
        <v>Batch 2</v>
      </c>
      <c r="J124" s="225">
        <f>IFERROR(__xludf.DUMMYFUNCTION("""COMPUTED_VALUE"""),10.0)</f>
        <v>10</v>
      </c>
      <c r="K124" s="224">
        <f>IFERROR(__xludf.DUMMYFUNCTION("""COMPUTED_VALUE"""),80.0)</f>
        <v>80</v>
      </c>
      <c r="L124" s="226">
        <f>IFERROR(__xludf.DUMMYFUNCTION("""COMPUTED_VALUE"""),1483431.0)</f>
        <v>1483431</v>
      </c>
      <c r="M124" s="227">
        <f>IFERROR(__xludf.DUMMYFUNCTION("""COMPUTED_VALUE"""),1.18674479E8)</f>
        <v>118674479</v>
      </c>
      <c r="N124" s="222" t="str">
        <f>IFERROR(__xludf.DUMMYFUNCTION("""COMPUTED_VALUE"""),"PT RATRI PRIMA MANDIRI")</f>
        <v>PT RATRI PRIMA MANDIRI</v>
      </c>
      <c r="O124" s="222" t="str">
        <f>IFERROR(__xludf.DUMMYFUNCTION("""COMPUTED_VALUE"""),"0. DROP")</f>
        <v>0. DROP</v>
      </c>
      <c r="P124" s="222" t="str">
        <f>IFERROR(__xludf.DUMMYFUNCTION("""COMPUTED_VALUE"""),"0.1 Double Order")</f>
        <v>0.1 Double Order</v>
      </c>
      <c r="Q124" s="222" t="str">
        <f>IFERROR(__xludf.DUMMYFUNCTION("""COMPUTED_VALUE"""),"(14/04) doubel dengan LOP SMB P1I1 PT3 EKSPANSI PYK FM PEK 2024 , ODP MASIH BANYAK KOSONG (10/04) Proses aanwijziing , LOP HOLD FEEDER FULL ACC GO 08/01 : Kendala feeder PYK-FM full (07/01) Persiapan")</f>
        <v>(14/04) doubel dengan LOP SMB P1I1 PT3 EKSPANSI PYK FM PEK 2024 , ODP MASIH BANYAK KOSONG (10/04) Proses aanwijziing , LOP HOLD FEEDER FULL ACC GO 08/01 : Kendala feeder PYK-FM full (07/01) Persiapan</v>
      </c>
      <c r="R124" s="228"/>
      <c r="S124" s="11"/>
      <c r="T124" s="11"/>
      <c r="U124" s="11"/>
      <c r="V124" s="229" t="str">
        <f>IFERROR(__xludf.DUMMYFUNCTION("""COMPUTED_VALUE"""),"M. ARIF HAMADI")</f>
        <v>M. ARIF HAMADI</v>
      </c>
      <c r="W124" s="229" t="str">
        <f>IFERROR(__xludf.DUMMYFUNCTION("""COMPUTED_VALUE"""),"MELKO NARWADI")</f>
        <v>MELKO NARWADI</v>
      </c>
      <c r="X124" s="229" t="str">
        <f>IFERROR(__xludf.DUMMYFUNCTION("""COMPUTED_VALUE"""),"BELUM GOLIVE")</f>
        <v>BELUM GOLIVE</v>
      </c>
      <c r="Y124" s="229"/>
      <c r="Z124" s="229" t="str">
        <f>IFERROR(__xludf.DUMMYFUNCTION("""COMPUTED_VALUE"""),"#N/A")</f>
        <v>#N/A</v>
      </c>
      <c r="AA124" s="229"/>
      <c r="AB124" s="229"/>
      <c r="AC124" s="229"/>
      <c r="AD124" s="232"/>
      <c r="AE124" s="233"/>
      <c r="AF124" s="54" t="str">
        <f>IFERROR(__xludf.DUMMYFUNCTION("""COMPUTED_VALUE"""),"Draft BA DROP")</f>
        <v>Draft BA DROP</v>
      </c>
      <c r="AG124" s="54"/>
      <c r="AH124" s="54"/>
      <c r="AI124" s="55" t="str">
        <f t="shared" si="28"/>
        <v/>
      </c>
      <c r="AW124" s="234"/>
      <c r="BP124" s="11"/>
      <c r="BQ124" s="11"/>
      <c r="BR124" s="235"/>
      <c r="BV124" s="158"/>
      <c r="BY124" s="158"/>
      <c r="CB124" s="158"/>
    </row>
    <row r="125" ht="18.0" hidden="1" customHeight="1">
      <c r="A125" s="222">
        <f>IFERROR(__xludf.DUMMYFUNCTION("""COMPUTED_VALUE"""),2026.0)</f>
        <v>2026</v>
      </c>
      <c r="B125" s="221">
        <f>IFERROR(__xludf.DUMMYFUNCTION("""COMPUTED_VALUE"""),1.1977192E7)</f>
        <v>11977192</v>
      </c>
      <c r="C125" s="222" t="str">
        <f>IFERROR(__xludf.DUMMYFUNCTION("""COMPUTED_VALUE"""),"SMS P4I1 PT3 TLK FK D07 GOLDEN CANYON")</f>
        <v>SMS P4I1 PT3 TLK FK D07 GOLDEN CANYON</v>
      </c>
      <c r="D125" s="222" t="str">
        <f>IFERROR(__xludf.DUMMYFUNCTION("""COMPUTED_VALUE"""),"REGIONAL I")</f>
        <v>REGIONAL I</v>
      </c>
      <c r="E125" s="222" t="str">
        <f>IFERROR(__xludf.DUMMYFUNCTION("""COMPUTED_VALUE"""),"SUMSEL")</f>
        <v>SUMSEL</v>
      </c>
      <c r="F125" s="222" t="str">
        <f>IFERROR(__xludf.DUMMYFUNCTION("""COMPUTED_VALUE"""),"TLK")</f>
        <v>TLK</v>
      </c>
      <c r="G125" s="222" t="str">
        <f>IFERROR(__xludf.DUMMYFUNCTION("""COMPUTED_VALUE"""),"SUMBAGSEL")</f>
        <v>SUMBAGSEL</v>
      </c>
      <c r="H125" s="222" t="str">
        <f>IFERROR(__xludf.DUMMYFUNCTION("""COMPUTED_VALUE"""),"PALEMBANG")</f>
        <v>PALEMBANG</v>
      </c>
      <c r="I125" s="222" t="str">
        <f>IFERROR(__xludf.DUMMYFUNCTION("""COMPUTED_VALUE"""),"Batch 2")</f>
        <v>Batch 2</v>
      </c>
      <c r="J125" s="225">
        <f>IFERROR(__xludf.DUMMYFUNCTION("""COMPUTED_VALUE"""),7.0)</f>
        <v>7</v>
      </c>
      <c r="K125" s="224">
        <f>IFERROR(__xludf.DUMMYFUNCTION("""COMPUTED_VALUE"""),56.0)</f>
        <v>56</v>
      </c>
      <c r="L125" s="226">
        <f>IFERROR(__xludf.DUMMYFUNCTION("""COMPUTED_VALUE"""),1483122.0)</f>
        <v>1483122</v>
      </c>
      <c r="M125" s="227">
        <f>IFERROR(__xludf.DUMMYFUNCTION("""COMPUTED_VALUE"""),8.3054812E7)</f>
        <v>83054812</v>
      </c>
      <c r="N125" s="222" t="str">
        <f>IFERROR(__xludf.DUMMYFUNCTION("""COMPUTED_VALUE"""),"PT ACERO CETHA METALINDO")</f>
        <v>PT ACERO CETHA METALINDO</v>
      </c>
      <c r="O125" s="222" t="str">
        <f>IFERROR(__xludf.DUMMYFUNCTION("""COMPUTED_VALUE"""),"0. DROP")</f>
        <v>0. DROP</v>
      </c>
      <c r="P125" s="222" t="str">
        <f>IFERROR(__xludf.DUMMYFUNCTION("""COMPUTED_VALUE"""),"0.3 Feeder Full")</f>
        <v>0.3 Feeder Full</v>
      </c>
      <c r="Q125" s="222" t="str">
        <f>IFERROR(__xludf.DUMMYFUNCTION("""COMPUTED_VALUE"""),"09/03 STUB CORE HABIS, 27/02 STUB CORE HABIS, 23/02 DROP - STUB CORE FEEDER HABIS, 06/02 drop kesepakatan sales karena habis srub core feeder, 30/01 PROSES AANWIDJZING, (20/01) HI aanwijzing ke lokasi, (15/1) ORDER DITERIMA MITRA 14/1, plan Aanwijdzing 19"&amp;" Jan (06/01)order JPP batch-2 2026 ((18/11) tidak masuk target optimis 2025 ((14/11) KAP FEEDER 48 , TERPAKAI , UKUR ULANG 17 NOV (13/11) masih kendala di feeder, 12/11 masih kendala feeder, 11/11 belum dapet feeder (08/11) survey core idle 5/11 baru sele"&amp;"sai aanwidzjing 23/10 penunjukan mitra")</f>
        <v>09/03 STUB CORE HABIS, 27/02 STUB CORE HABIS, 23/02 DROP - STUB CORE FEEDER HABIS, 06/02 drop kesepakatan sales karena habis srub core feeder, 30/01 PROSES AANWIDJZING, (20/01) HI aanwijzing ke lokasi, (15/1) ORDER DITERIMA MITRA 14/1, plan Aanwijdzing 19 Jan (06/01)order JPP batch-2 2026 ((18/11) tidak masuk target optimis 2025 ((14/11) KAP FEEDER 48 , TERPAKAI , UKUR ULANG 17 NOV (13/11) masih kendala di feeder, 12/11 masih kendala feeder, 11/11 belum dapet feeder (08/11) survey core idle 5/11 baru selesai aanwidzjing 23/10 penunjukan mitra</v>
      </c>
      <c r="R125" s="228"/>
      <c r="S125" s="11"/>
      <c r="T125" s="11"/>
      <c r="U125" s="11"/>
      <c r="V125" s="229" t="str">
        <f>IFERROR(__xludf.DUMMYFUNCTION("""COMPUTED_VALUE"""),"TEGAR")</f>
        <v>TEGAR</v>
      </c>
      <c r="W125" s="229"/>
      <c r="X125" s="229" t="str">
        <f>IFERROR(__xludf.DUMMYFUNCTION("""COMPUTED_VALUE"""),"BELUM GOLIVE")</f>
        <v>BELUM GOLIVE</v>
      </c>
      <c r="Y125" s="229"/>
      <c r="Z125" s="229" t="str">
        <f>IFERROR(__xludf.DUMMYFUNCTION("""COMPUTED_VALUE"""),"#N/A")</f>
        <v>#N/A</v>
      </c>
      <c r="AA125" s="229"/>
      <c r="AB125" s="229"/>
      <c r="AC125" s="229"/>
      <c r="AD125" s="232"/>
      <c r="AE125" s="233"/>
      <c r="AF125" s="54" t="str">
        <f>IFERROR(__xludf.DUMMYFUNCTION("""COMPUTED_VALUE"""),"Draft BA DROP")</f>
        <v>Draft BA DROP</v>
      </c>
      <c r="AG125" s="54"/>
      <c r="AH125" s="54"/>
      <c r="AI125" s="55" t="str">
        <f t="shared" si="28"/>
        <v/>
      </c>
      <c r="AW125" s="234"/>
      <c r="BP125" s="11"/>
      <c r="BQ125" s="11"/>
      <c r="BR125" s="235"/>
      <c r="BV125" s="158"/>
      <c r="BY125" s="158"/>
      <c r="CB125" s="158"/>
    </row>
    <row r="126" ht="18.0" hidden="1" customHeight="1">
      <c r="A126" s="222">
        <f>IFERROR(__xludf.DUMMYFUNCTION("""COMPUTED_VALUE"""),2026.0)</f>
        <v>2026</v>
      </c>
      <c r="B126" s="221">
        <f>IFERROR(__xludf.DUMMYFUNCTION("""COMPUTED_VALUE"""),1.1580237E7)</f>
        <v>11580237</v>
      </c>
      <c r="C126" s="222" t="str">
        <f>IFERROR(__xludf.DUMMYFUNCTION("""COMPUTED_VALUE"""),"SMS P3I1 PT3 BKS FP D05 MACAN KUMBANG")</f>
        <v>SMS P3I1 PT3 BKS FP D05 MACAN KUMBANG</v>
      </c>
      <c r="D126" s="222" t="str">
        <f>IFERROR(__xludf.DUMMYFUNCTION("""COMPUTED_VALUE"""),"REGIONAL I")</f>
        <v>REGIONAL I</v>
      </c>
      <c r="E126" s="222" t="str">
        <f>IFERROR(__xludf.DUMMYFUNCTION("""COMPUTED_VALUE"""),"SUMSEL")</f>
        <v>SUMSEL</v>
      </c>
      <c r="F126" s="222" t="str">
        <f>IFERROR(__xludf.DUMMYFUNCTION("""COMPUTED_VALUE"""),"BKS")</f>
        <v>BKS</v>
      </c>
      <c r="G126" s="222" t="str">
        <f>IFERROR(__xludf.DUMMYFUNCTION("""COMPUTED_VALUE"""),"SUMBAGSEL")</f>
        <v>SUMBAGSEL</v>
      </c>
      <c r="H126" s="222" t="str">
        <f>IFERROR(__xludf.DUMMYFUNCTION("""COMPUTED_VALUE"""),"PALEMBANG")</f>
        <v>PALEMBANG</v>
      </c>
      <c r="I126" s="222" t="str">
        <f>IFERROR(__xludf.DUMMYFUNCTION("""COMPUTED_VALUE"""),"Batch 2")</f>
        <v>Batch 2</v>
      </c>
      <c r="J126" s="225">
        <f>IFERROR(__xludf.DUMMYFUNCTION("""COMPUTED_VALUE"""),8.0)</f>
        <v>8</v>
      </c>
      <c r="K126" s="224">
        <f>IFERROR(__xludf.DUMMYFUNCTION("""COMPUTED_VALUE"""),64.0)</f>
        <v>64</v>
      </c>
      <c r="L126" s="226">
        <f>IFERROR(__xludf.DUMMYFUNCTION("""COMPUTED_VALUE"""),1482984.0)</f>
        <v>1482984</v>
      </c>
      <c r="M126" s="227">
        <f>IFERROR(__xludf.DUMMYFUNCTION("""COMPUTED_VALUE"""),9.4910934E7)</f>
        <v>94910934</v>
      </c>
      <c r="N126" s="222" t="str">
        <f>IFERROR(__xludf.DUMMYFUNCTION("""COMPUTED_VALUE"""),"PT GARINDO TECHNO MANDIRI")</f>
        <v>PT GARINDO TECHNO MANDIRI</v>
      </c>
      <c r="O126" s="222" t="str">
        <f>IFERROR(__xludf.DUMMYFUNCTION("""COMPUTED_VALUE"""),"8. UJI TERIMA")</f>
        <v>8. UJI TERIMA</v>
      </c>
      <c r="P126" s="222" t="str">
        <f>IFERROR(__xludf.DUMMYFUNCTION("""COMPUTED_VALUE"""),"8.1 Proses UT")</f>
        <v>8.1 Proses UT</v>
      </c>
      <c r="Q126" s="222" t="str">
        <f>IFERROR(__xludf.DUMMYFUNCTION("""COMPUTED_VALUE"""),"(21/01) GOLIVE, tgl 19/01/26,
 14/01 GOLIVE, 08/12 sudah selesai fisik dan submit abd  (24/11) dari plan 13 batang tiang , 6 blm tanam - redesign  (18/11) selesai penarikan kabel, tinggal pasang ODP, 14/11 on progress tanam tiang dan tarik kabel, 13/11 ta"&amp;"nam tiang dan tarik kabel, 04/11 sudah aanwizjing 04/23/10 penunjukan mitra
15/10 proses penunjukan mitra
(08/10) penunjukan mitra")</f>
        <v>(21/01) GOLIVE, tgl 19/01/26,
 14/01 GOLIVE, 08/12 sudah selesai fisik dan submit abd  (24/11) dari plan 13 batang tiang , 6 blm tanam - redesign  (18/11) selesai penarikan kabel, tinggal pasang ODP, 14/11 on progress tanam tiang dan tarik kabel, 13/11 tanam tiang dan tarik kabel, 04/11 sudah aanwizjing 04/23/10 penunjukan mitra
15/10 proses penunjukan mitra
(08/10) penunjukan mitra</v>
      </c>
      <c r="R126" s="228"/>
      <c r="S126" s="11"/>
      <c r="T126" s="11"/>
      <c r="U126" s="11"/>
      <c r="V126" s="229" t="str">
        <f>IFERROR(__xludf.DUMMYFUNCTION("""COMPUTED_VALUE"""),"PRIGUS")</f>
        <v>PRIGUS</v>
      </c>
      <c r="W126" s="229"/>
      <c r="X126" s="229" t="str">
        <f>IFERROR(__xludf.DUMMYFUNCTION("""COMPUTED_VALUE"""),"GOLIVE")</f>
        <v>GOLIVE</v>
      </c>
      <c r="Y126" s="229" t="str">
        <f>IFERROR(__xludf.DUMMYFUNCTION("""COMPUTED_VALUE"""),"DONE")</f>
        <v>DONE</v>
      </c>
      <c r="Z126" s="229" t="str">
        <f>IFERROR(__xludf.DUMMYFUNCTION("""COMPUTED_VALUE"""),"#N/A")</f>
        <v>#N/A</v>
      </c>
      <c r="AA126" s="229">
        <f>IFERROR(__xludf.DUMMYFUNCTION("""COMPUTED_VALUE"""),8.0)</f>
        <v>8</v>
      </c>
      <c r="AB126" s="229"/>
      <c r="AC126" s="229" t="str">
        <f>IFERROR(__xludf.DUMMYFUNCTION("""COMPUTED_VALUE"""),"8524330#8524335")</f>
        <v>8524330#8524335</v>
      </c>
      <c r="AD126" s="232">
        <f>IFERROR(__xludf.DUMMYFUNCTION("""COMPUTED_VALUE"""),64.0)</f>
        <v>64</v>
      </c>
      <c r="AE126" s="233">
        <f>IFERROR(__xludf.DUMMYFUNCTION("""COMPUTED_VALUE"""),46036.0)</f>
        <v>46036</v>
      </c>
      <c r="AF126" s="54"/>
      <c r="AG126" s="54"/>
      <c r="AH126" s="54"/>
      <c r="AI126" s="55" t="str">
        <f t="shared" si="28"/>
        <v/>
      </c>
      <c r="AW126" s="234"/>
      <c r="BP126" s="11"/>
      <c r="BQ126" s="11"/>
      <c r="BR126" s="235"/>
      <c r="BV126" s="158"/>
      <c r="BY126" s="158"/>
      <c r="CB126" s="158"/>
    </row>
    <row r="127" ht="18.0" hidden="1" customHeight="1">
      <c r="A127" s="222">
        <f>IFERROR(__xludf.DUMMYFUNCTION("""COMPUTED_VALUE"""),2026.0)</f>
        <v>2026</v>
      </c>
      <c r="B127" s="221">
        <f>IFERROR(__xludf.DUMMYFUNCTION("""COMPUTED_VALUE"""),1.1580392E7)</f>
        <v>11580392</v>
      </c>
      <c r="C127" s="222" t="str">
        <f>IFERROR(__xludf.DUMMYFUNCTION("""COMPUTED_VALUE"""),"SMS P3I1 PT3 BKS FAG D04 LE GRAND 3 THP2")</f>
        <v>SMS P3I1 PT3 BKS FAG D04 LE GRAND 3 THP2</v>
      </c>
      <c r="D127" s="222" t="str">
        <f>IFERROR(__xludf.DUMMYFUNCTION("""COMPUTED_VALUE"""),"REGIONAL I")</f>
        <v>REGIONAL I</v>
      </c>
      <c r="E127" s="222" t="str">
        <f>IFERROR(__xludf.DUMMYFUNCTION("""COMPUTED_VALUE"""),"SUMSEL")</f>
        <v>SUMSEL</v>
      </c>
      <c r="F127" s="222" t="str">
        <f>IFERROR(__xludf.DUMMYFUNCTION("""COMPUTED_VALUE"""),"BKS")</f>
        <v>BKS</v>
      </c>
      <c r="G127" s="222" t="str">
        <f>IFERROR(__xludf.DUMMYFUNCTION("""COMPUTED_VALUE"""),"SUMBAGSEL")</f>
        <v>SUMBAGSEL</v>
      </c>
      <c r="H127" s="222" t="str">
        <f>IFERROR(__xludf.DUMMYFUNCTION("""COMPUTED_VALUE"""),"PALEMBANG")</f>
        <v>PALEMBANG</v>
      </c>
      <c r="I127" s="222" t="str">
        <f>IFERROR(__xludf.DUMMYFUNCTION("""COMPUTED_VALUE"""),"Batch 2")</f>
        <v>Batch 2</v>
      </c>
      <c r="J127" s="225">
        <f>IFERROR(__xludf.DUMMYFUNCTION("""COMPUTED_VALUE"""),3.0)</f>
        <v>3</v>
      </c>
      <c r="K127" s="224">
        <f>IFERROR(__xludf.DUMMYFUNCTION("""COMPUTED_VALUE"""),24.0)</f>
        <v>24</v>
      </c>
      <c r="L127" s="226">
        <f>IFERROR(__xludf.DUMMYFUNCTION("""COMPUTED_VALUE"""),1482120.0)</f>
        <v>1482120</v>
      </c>
      <c r="M127" s="227">
        <f>IFERROR(__xludf.DUMMYFUNCTION("""COMPUTED_VALUE"""),3.5570873E7)</f>
        <v>35570873</v>
      </c>
      <c r="N127" s="222" t="str">
        <f>IFERROR(__xludf.DUMMYFUNCTION("""COMPUTED_VALUE"""),"PT GARINDO TECHNO MANDIRI")</f>
        <v>PT GARINDO TECHNO MANDIRI</v>
      </c>
      <c r="O127" s="222" t="str">
        <f>IFERROR(__xludf.DUMMYFUNCTION("""COMPUTED_VALUE"""),"8. UJI TERIMA")</f>
        <v>8. UJI TERIMA</v>
      </c>
      <c r="P127" s="222" t="str">
        <f>IFERROR(__xludf.DUMMYFUNCTION("""COMPUTED_VALUE"""),"8.1 Proses UT")</f>
        <v>8.1 Proses UT</v>
      </c>
      <c r="Q127" s="222" t="str">
        <f>IFERROR(__xludf.DUMMYFUNCTION("""COMPUTED_VALUE"""),"(21/01) GOLIVE, tgl 19/01/26, (12/01) selesai fisik, menunggu golive (08/12) submit abd ke sdi (24/11) KENDALA DISTOP WARGA , PERLU KETEMU DENGAN TIM WASPANG (19/11) tiang done 4/4 , kabel done 250/250 18/11 menunggu antrian progress PERUM B RESIDEN, 13/1"&amp;"1 masih menunggu jadwal aanwidjzing, 5/11 menunggu jadwal aanwidzjing  23/10 penunjukan mitra")</f>
        <v>(21/01) GOLIVE, tgl 19/01/26, (12/01) selesai fisik, menunggu golive (08/12) submit abd ke sdi (24/11) KENDALA DISTOP WARGA , PERLU KETEMU DENGAN TIM WASPANG (19/11) tiang done 4/4 , kabel done 250/250 18/11 menunggu antrian progress PERUM B RESIDEN, 13/11 masih menunggu jadwal aanwidjzing, 5/11 menunggu jadwal aanwidzjing  23/10 penunjukan mitra</v>
      </c>
      <c r="R127" s="228"/>
      <c r="S127" s="11"/>
      <c r="T127" s="11"/>
      <c r="U127" s="11"/>
      <c r="V127" s="229" t="str">
        <f>IFERROR(__xludf.DUMMYFUNCTION("""COMPUTED_VALUE"""),"PRIGUS")</f>
        <v>PRIGUS</v>
      </c>
      <c r="W127" s="229"/>
      <c r="X127" s="229" t="str">
        <f>IFERROR(__xludf.DUMMYFUNCTION("""COMPUTED_VALUE"""),"GOLIVE")</f>
        <v>GOLIVE</v>
      </c>
      <c r="Y127" s="229" t="str">
        <f>IFERROR(__xludf.DUMMYFUNCTION("""COMPUTED_VALUE"""),"DONE")</f>
        <v>DONE</v>
      </c>
      <c r="Z127" s="229" t="str">
        <f>IFERROR(__xludf.DUMMYFUNCTION("""COMPUTED_VALUE"""),"#N/A")</f>
        <v>#N/A</v>
      </c>
      <c r="AA127" s="229">
        <f>IFERROR(__xludf.DUMMYFUNCTION("""COMPUTED_VALUE"""),3.0)</f>
        <v>3</v>
      </c>
      <c r="AB127" s="229"/>
      <c r="AC127" s="229" t="str">
        <f>IFERROR(__xludf.DUMMYFUNCTION("""COMPUTED_VALUE"""),"8532552#8532557")</f>
        <v>8532552#8532557</v>
      </c>
      <c r="AD127" s="232">
        <f>IFERROR(__xludf.DUMMYFUNCTION("""COMPUTED_VALUE"""),24.0)</f>
        <v>24</v>
      </c>
      <c r="AE127" s="233">
        <f>IFERROR(__xludf.DUMMYFUNCTION("""COMPUTED_VALUE"""),46036.0)</f>
        <v>46036</v>
      </c>
      <c r="AF127" s="54"/>
      <c r="AG127" s="54"/>
      <c r="AH127" s="54"/>
      <c r="AI127" s="55" t="str">
        <f t="shared" si="28"/>
        <v/>
      </c>
      <c r="AW127" s="234"/>
      <c r="BP127" s="11"/>
      <c r="BQ127" s="11"/>
      <c r="BR127" s="235"/>
      <c r="BV127" s="158"/>
      <c r="BY127" s="158"/>
      <c r="CB127" s="158"/>
    </row>
    <row r="128" ht="18.0" hidden="1" customHeight="1">
      <c r="A128" s="222">
        <f>IFERROR(__xludf.DUMMYFUNCTION("""COMPUTED_VALUE"""),2026.0)</f>
        <v>2026</v>
      </c>
      <c r="B128" s="221">
        <f>IFERROR(__xludf.DUMMYFUNCTION("""COMPUTED_VALUE"""),1.1987359E7)</f>
        <v>11987359</v>
      </c>
      <c r="C128" s="222" t="str">
        <f>IFERROR(__xludf.DUMMYFUNCTION("""COMPUTED_VALUE"""),"ACH SGI PT3 SGI-FV MEUNASAH JURONG BAMBI")</f>
        <v>ACH SGI PT3 SGI-FV MEUNASAH JURONG BAMBI</v>
      </c>
      <c r="D128" s="222" t="str">
        <f>IFERROR(__xludf.DUMMYFUNCTION("""COMPUTED_VALUE"""),"REGIONAL I")</f>
        <v>REGIONAL I</v>
      </c>
      <c r="E128" s="222" t="str">
        <f>IFERROR(__xludf.DUMMYFUNCTION("""COMPUTED_VALUE"""),"ACEH")</f>
        <v>ACEH</v>
      </c>
      <c r="F128" s="222" t="str">
        <f>IFERROR(__xludf.DUMMYFUNCTION("""COMPUTED_VALUE"""),"SGI")</f>
        <v>SGI</v>
      </c>
      <c r="G128" s="222" t="str">
        <f>IFERROR(__xludf.DUMMYFUNCTION("""COMPUTED_VALUE"""),"SUMBAGUT")</f>
        <v>SUMBAGUT</v>
      </c>
      <c r="H128" s="222" t="str">
        <f>IFERROR(__xludf.DUMMYFUNCTION("""COMPUTED_VALUE"""),"BANDA ACEH")</f>
        <v>BANDA ACEH</v>
      </c>
      <c r="I128" s="222" t="str">
        <f>IFERROR(__xludf.DUMMYFUNCTION("""COMPUTED_VALUE"""),"Batch 2")</f>
        <v>Batch 2</v>
      </c>
      <c r="J128" s="225">
        <f>IFERROR(__xludf.DUMMYFUNCTION("""COMPUTED_VALUE"""),2.0)</f>
        <v>2</v>
      </c>
      <c r="K128" s="224">
        <f>IFERROR(__xludf.DUMMYFUNCTION("""COMPUTED_VALUE"""),16.0)</f>
        <v>16</v>
      </c>
      <c r="L128" s="226">
        <f>IFERROR(__xludf.DUMMYFUNCTION("""COMPUTED_VALUE"""),1482083.0)</f>
        <v>1482083</v>
      </c>
      <c r="M128" s="227">
        <f>IFERROR(__xludf.DUMMYFUNCTION("""COMPUTED_VALUE"""),2.3713319E7)</f>
        <v>23713319</v>
      </c>
      <c r="N128" s="222" t="str">
        <f>IFERROR(__xludf.DUMMYFUNCTION("""COMPUTED_VALUE"""),"PT NIAGA NUSANTARA DIVA")</f>
        <v>PT NIAGA NUSANTARA DIVA</v>
      </c>
      <c r="O128" s="222" t="str">
        <f>IFERROR(__xludf.DUMMYFUNCTION("""COMPUTED_VALUE"""),"7. GOLIVE")</f>
        <v>7. GOLIVE</v>
      </c>
      <c r="P128" s="222" t="str">
        <f>IFERROR(__xludf.DUMMYFUNCTION("""COMPUTED_VALUE"""),"7.2 Golive Full / OA / DONE OTB")</f>
        <v>7.2 Golive Full / OA / DONE OTB</v>
      </c>
      <c r="Q128" s="222" t="str">
        <f>IFERROR(__xludf.DUMMYFUNCTION("""COMPUTED_VALUE"""),"(04/02) ABD Mancore (29/01) Penarikan Kabel (07/01) Persiapan")</f>
        <v>(04/02) ABD Mancore (29/01) Penarikan Kabel (07/01) Persiapan</v>
      </c>
      <c r="R128" s="228">
        <f>IFERROR(__xludf.DUMMYFUNCTION("""COMPUTED_VALUE"""),46059.0)</f>
        <v>46059</v>
      </c>
      <c r="S128" s="11"/>
      <c r="T128" s="11"/>
      <c r="U128" s="11" t="str">
        <f>IFERROR(__xludf.DUMMYFUNCTION("""COMPUTED_VALUE"""),"W04-978/2025")</f>
        <v>W04-978/2025</v>
      </c>
      <c r="V128" s="229"/>
      <c r="W128" s="229"/>
      <c r="X128" s="229" t="str">
        <f>IFERROR(__xludf.DUMMYFUNCTION("""COMPUTED_VALUE"""),"GOLIVE")</f>
        <v>GOLIVE</v>
      </c>
      <c r="Y128" s="229" t="str">
        <f>IFERROR(__xludf.DUMMYFUNCTION("""COMPUTED_VALUE"""),"DONE")</f>
        <v>DONE</v>
      </c>
      <c r="Z128" s="229" t="str">
        <f>IFERROR(__xludf.DUMMYFUNCTION("""COMPUTED_VALUE"""),"#N/A")</f>
        <v>#N/A</v>
      </c>
      <c r="AA128" s="229">
        <f>IFERROR(__xludf.DUMMYFUNCTION("""COMPUTED_VALUE"""),2.0)</f>
        <v>2</v>
      </c>
      <c r="AB128" s="229"/>
      <c r="AC128" s="229" t="str">
        <f>IFERROR(__xludf.DUMMYFUNCTION("""COMPUTED_VALUE"""),"9067339#9067344")</f>
        <v>9067339#9067344</v>
      </c>
      <c r="AD128" s="232">
        <f>IFERROR(__xludf.DUMMYFUNCTION("""COMPUTED_VALUE"""),16.0)</f>
        <v>16</v>
      </c>
      <c r="AE128" s="233">
        <f>IFERROR(__xludf.DUMMYFUNCTION("""COMPUTED_VALUE"""),46059.0)</f>
        <v>46059</v>
      </c>
      <c r="AF128" s="54"/>
      <c r="AG128" s="54"/>
      <c r="AH128" s="54">
        <v>46059.0</v>
      </c>
      <c r="AI128" s="55">
        <f t="shared" si="28"/>
        <v>0</v>
      </c>
      <c r="AW128" s="234"/>
      <c r="BP128" s="11"/>
      <c r="BQ128" s="11"/>
      <c r="BR128" s="235"/>
      <c r="BV128" s="158"/>
      <c r="BY128" s="158"/>
      <c r="CB128" s="158"/>
    </row>
    <row r="129" ht="18.0" hidden="1" customHeight="1">
      <c r="A129" s="222">
        <f>IFERROR(__xludf.DUMMYFUNCTION("""COMPUTED_VALUE"""),2026.0)</f>
        <v>2026</v>
      </c>
      <c r="B129" s="221">
        <f>IFERROR(__xludf.DUMMYFUNCTION("""COMPUTED_VALUE"""),1.119695E7)</f>
        <v>11196950</v>
      </c>
      <c r="C129" s="222" t="str">
        <f>IFERROR(__xludf.DUMMYFUNCTION("""COMPUTED_VALUE"""),"MDN PT3 TJR-FAM JL.RAHAYU GG.PANCASILA")</f>
        <v>MDN PT3 TJR-FAM JL.RAHAYU GG.PANCASILA</v>
      </c>
      <c r="D129" s="222" t="str">
        <f>IFERROR(__xludf.DUMMYFUNCTION("""COMPUTED_VALUE"""),"REGIONAL I")</f>
        <v>REGIONAL I</v>
      </c>
      <c r="E129" s="222" t="str">
        <f>IFERROR(__xludf.DUMMYFUNCTION("""COMPUTED_VALUE"""),"MEDAN")</f>
        <v>MEDAN</v>
      </c>
      <c r="F129" s="222" t="str">
        <f>IFERROR(__xludf.DUMMYFUNCTION("""COMPUTED_VALUE"""),"TJR")</f>
        <v>TJR</v>
      </c>
      <c r="G129" s="222" t="str">
        <f>IFERROR(__xludf.DUMMYFUNCTION("""COMPUTED_VALUE"""),"SUMBAGUT")</f>
        <v>SUMBAGUT</v>
      </c>
      <c r="H129" s="222" t="str">
        <f>IFERROR(__xludf.DUMMYFUNCTION("""COMPUTED_VALUE"""),"MEDAN")</f>
        <v>MEDAN</v>
      </c>
      <c r="I129" s="222" t="str">
        <f>IFERROR(__xludf.DUMMYFUNCTION("""COMPUTED_VALUE"""),"Batch 2")</f>
        <v>Batch 2</v>
      </c>
      <c r="J129" s="225">
        <f>IFERROR(__xludf.DUMMYFUNCTION("""COMPUTED_VALUE"""),4.0)</f>
        <v>4</v>
      </c>
      <c r="K129" s="224">
        <f>IFERROR(__xludf.DUMMYFUNCTION("""COMPUTED_VALUE"""),32.0)</f>
        <v>32</v>
      </c>
      <c r="L129" s="226">
        <f>IFERROR(__xludf.DUMMYFUNCTION("""COMPUTED_VALUE"""),1263781.0)</f>
        <v>1263781</v>
      </c>
      <c r="M129" s="227">
        <f>IFERROR(__xludf.DUMMYFUNCTION("""COMPUTED_VALUE"""),4.0440968E7)</f>
        <v>40440968</v>
      </c>
      <c r="N129" s="222" t="str">
        <f>IFERROR(__xludf.DUMMYFUNCTION("""COMPUTED_VALUE"""),"PT UPAYA TEKNIK")</f>
        <v>PT UPAYA TEKNIK</v>
      </c>
      <c r="O129" s="222" t="str">
        <f>IFERROR(__xludf.DUMMYFUNCTION("""COMPUTED_VALUE"""),"0. DROP")</f>
        <v>0. DROP</v>
      </c>
      <c r="P129" s="222" t="str">
        <f>IFERROR(__xludf.DUMMYFUNCTION("""COMPUTED_VALUE"""),"0.4 CPP Tinggi Acc ED TIF")</f>
        <v>0.4 CPP Tinggi Acc ED TIF</v>
      </c>
      <c r="Q129" s="222" t="str">
        <f>IFERROR(__xludf.DUMMYFUNCTION("""COMPUTED_VALUE"""),"12/02 proses perizinan
09/02 feeder ok
(07/01) Persiapan")</f>
        <v>12/02 proses perizinan
09/02 feeder ok
(07/01) Persiapan</v>
      </c>
      <c r="R129" s="228"/>
      <c r="S129" s="11"/>
      <c r="T129" s="11"/>
      <c r="U129" s="11"/>
      <c r="V129" s="229"/>
      <c r="W129" s="229"/>
      <c r="X129" s="229" t="str">
        <f>IFERROR(__xludf.DUMMYFUNCTION("""COMPUTED_VALUE"""),"BELUM GOLIVE")</f>
        <v>BELUM GOLIVE</v>
      </c>
      <c r="Y129" s="229"/>
      <c r="Z129" s="229" t="str">
        <f>IFERROR(__xludf.DUMMYFUNCTION("""COMPUTED_VALUE"""),"#N/A")</f>
        <v>#N/A</v>
      </c>
      <c r="AA129" s="229"/>
      <c r="AB129" s="229"/>
      <c r="AC129" s="229"/>
      <c r="AD129" s="232"/>
      <c r="AE129" s="233"/>
      <c r="AF129" s="54" t="str">
        <f>IFERROR(__xludf.DUMMYFUNCTION("""COMPUTED_VALUE"""),"Draft BA DROP")</f>
        <v>Draft BA DROP</v>
      </c>
      <c r="AG129" s="54"/>
      <c r="AH129" s="54"/>
      <c r="AI129" s="55" t="str">
        <f t="shared" si="28"/>
        <v/>
      </c>
      <c r="AW129" s="234"/>
      <c r="BP129" s="11"/>
      <c r="BQ129" s="11"/>
      <c r="BR129" s="235"/>
      <c r="BV129" s="158"/>
      <c r="BY129" s="158"/>
      <c r="CB129" s="158"/>
    </row>
    <row r="130" ht="18.0" customHeight="1">
      <c r="A130" s="222">
        <f>IFERROR(__xludf.DUMMYFUNCTION("""COMPUTED_VALUE"""),2026.0)</f>
        <v>2026</v>
      </c>
      <c r="B130" s="221">
        <f>IFERROR(__xludf.DUMMYFUNCTION("""COMPUTED_VALUE"""),1.0905827E7)</f>
        <v>10905827</v>
      </c>
      <c r="C130" s="222" t="str">
        <f>IFERROR(__xludf.DUMMYFUNCTION("""COMPUTED_VALUE"""),"RDR JPP P4I1 PT3 KANDIS KM 73")</f>
        <v>RDR JPP P4I1 PT3 KANDIS KM 73</v>
      </c>
      <c r="D130" s="222" t="str">
        <f>IFERROR(__xludf.DUMMYFUNCTION("""COMPUTED_VALUE"""),"REGIONAL I")</f>
        <v>REGIONAL I</v>
      </c>
      <c r="E130" s="222" t="str">
        <f>IFERROR(__xludf.DUMMYFUNCTION("""COMPUTED_VALUE"""),"RIDAR")</f>
        <v>RIDAR</v>
      </c>
      <c r="F130" s="222" t="str">
        <f>IFERROR(__xludf.DUMMYFUNCTION("""COMPUTED_VALUE"""),"MIS")</f>
        <v>MIS</v>
      </c>
      <c r="G130" s="222" t="str">
        <f>IFERROR(__xludf.DUMMYFUNCTION("""COMPUTED_VALUE"""),"SUMBAGTENG")</f>
        <v>SUMBAGTENG</v>
      </c>
      <c r="H130" s="222" t="str">
        <f>IFERROR(__xludf.DUMMYFUNCTION("""COMPUTED_VALUE"""),"PEKANBARU")</f>
        <v>PEKANBARU</v>
      </c>
      <c r="I130" s="222" t="str">
        <f>IFERROR(__xludf.DUMMYFUNCTION("""COMPUTED_VALUE"""),"Batch 2")</f>
        <v>Batch 2</v>
      </c>
      <c r="J130" s="225">
        <f>IFERROR(__xludf.DUMMYFUNCTION("""COMPUTED_VALUE"""),10.0)</f>
        <v>10</v>
      </c>
      <c r="K130" s="224">
        <f>IFERROR(__xludf.DUMMYFUNCTION("""COMPUTED_VALUE"""),80.0)</f>
        <v>80</v>
      </c>
      <c r="L130" s="226">
        <f>IFERROR(__xludf.DUMMYFUNCTION("""COMPUTED_VALUE"""),1481844.0)</f>
        <v>1481844</v>
      </c>
      <c r="M130" s="227">
        <f>IFERROR(__xludf.DUMMYFUNCTION("""COMPUTED_VALUE"""),1.18547465E8)</f>
        <v>118547465</v>
      </c>
      <c r="N130" s="222"/>
      <c r="O130" s="222" t="str">
        <f>IFERROR(__xludf.DUMMYFUNCTION("""COMPUTED_VALUE"""),"0. DROP")</f>
        <v>0. DROP</v>
      </c>
      <c r="P130" s="222" t="str">
        <f>IFERROR(__xludf.DUMMYFUNCTION("""COMPUTED_VALUE"""),"0.2 Tidak Dapat Izin Warga/Kades/Lurah/Developer")</f>
        <v>0.2 Tidak Dapat Izin Warga/Kades/Lurah/Developer</v>
      </c>
      <c r="Q130" s="222" t="str">
        <f>IFERROR(__xludf.DUMMYFUNCTION("""COMPUTED_VALUE"""),"20/01 Tidak dapat izin oleh RT/RW dan Warga setempat (07/01) Persiapan")</f>
        <v>20/01 Tidak dapat izin oleh RT/RW dan Warga setempat (07/01) Persiapan</v>
      </c>
      <c r="R130" s="228"/>
      <c r="S130" s="11"/>
      <c r="T130" s="11"/>
      <c r="U130" s="11"/>
      <c r="V130" s="229"/>
      <c r="W130" s="229"/>
      <c r="X130" s="229" t="str">
        <f>IFERROR(__xludf.DUMMYFUNCTION("""COMPUTED_VALUE"""),"BELUM GOLIVE")</f>
        <v>BELUM GOLIVE</v>
      </c>
      <c r="Y130" s="229"/>
      <c r="Z130" s="229" t="str">
        <f>IFERROR(__xludf.DUMMYFUNCTION("""COMPUTED_VALUE"""),"#N/A")</f>
        <v>#N/A</v>
      </c>
      <c r="AA130" s="229"/>
      <c r="AB130" s="229"/>
      <c r="AC130" s="229"/>
      <c r="AD130" s="232"/>
      <c r="AE130" s="233"/>
      <c r="AF130" s="54" t="str">
        <f>IFERROR(__xludf.DUMMYFUNCTION("""COMPUTED_VALUE"""),"Draft BA DROP")</f>
        <v>Draft BA DROP</v>
      </c>
      <c r="AG130" s="54"/>
      <c r="AH130" s="54"/>
      <c r="AI130" s="55" t="str">
        <f t="shared" si="28"/>
        <v/>
      </c>
      <c r="AW130" s="234"/>
      <c r="BP130" s="11"/>
      <c r="BQ130" s="11"/>
      <c r="BR130" s="235"/>
      <c r="BV130" s="158"/>
      <c r="BY130" s="158"/>
      <c r="CB130" s="158"/>
    </row>
    <row r="131" ht="18.0" hidden="1" customHeight="1">
      <c r="A131" s="222">
        <f>IFERROR(__xludf.DUMMYFUNCTION("""COMPUTED_VALUE"""),2026.0)</f>
        <v>2026</v>
      </c>
      <c r="B131" s="221">
        <f>IFERROR(__xludf.DUMMYFUNCTION("""COMPUTED_VALUE"""),1.127246E7)</f>
        <v>11272460</v>
      </c>
      <c r="C131" s="222" t="str">
        <f>IFERROR(__xludf.DUMMYFUNCTION("""COMPUTED_VALUE"""),"MDN PT3 P1I1 TMU-FS JL.ANGGREK III")</f>
        <v>MDN PT3 P1I1 TMU-FS JL.ANGGREK III</v>
      </c>
      <c r="D131" s="222" t="str">
        <f>IFERROR(__xludf.DUMMYFUNCTION("""COMPUTED_VALUE"""),"REGIONAL I")</f>
        <v>REGIONAL I</v>
      </c>
      <c r="E131" s="222" t="str">
        <f>IFERROR(__xludf.DUMMYFUNCTION("""COMPUTED_VALUE"""),"MEDAN")</f>
        <v>MEDAN</v>
      </c>
      <c r="F131" s="222" t="str">
        <f>IFERROR(__xludf.DUMMYFUNCTION("""COMPUTED_VALUE"""),"TMU")</f>
        <v>TMU</v>
      </c>
      <c r="G131" s="222" t="str">
        <f>IFERROR(__xludf.DUMMYFUNCTION("""COMPUTED_VALUE"""),"SUMBAGUT")</f>
        <v>SUMBAGUT</v>
      </c>
      <c r="H131" s="222" t="str">
        <f>IFERROR(__xludf.DUMMYFUNCTION("""COMPUTED_VALUE"""),"MEDAN")</f>
        <v>MEDAN</v>
      </c>
      <c r="I131" s="222" t="str">
        <f>IFERROR(__xludf.DUMMYFUNCTION("""COMPUTED_VALUE"""),"Batch 2")</f>
        <v>Batch 2</v>
      </c>
      <c r="J131" s="225">
        <f>IFERROR(__xludf.DUMMYFUNCTION("""COMPUTED_VALUE"""),2.0)</f>
        <v>2</v>
      </c>
      <c r="K131" s="224">
        <f>IFERROR(__xludf.DUMMYFUNCTION("""COMPUTED_VALUE"""),16.0)</f>
        <v>16</v>
      </c>
      <c r="L131" s="226">
        <f>IFERROR(__xludf.DUMMYFUNCTION("""COMPUTED_VALUE"""),1151906.0)</f>
        <v>1151906</v>
      </c>
      <c r="M131" s="227">
        <f>IFERROR(__xludf.DUMMYFUNCTION("""COMPUTED_VALUE"""),1.8430495E7)</f>
        <v>18430495</v>
      </c>
      <c r="N131" s="222" t="str">
        <f>IFERROR(__xludf.DUMMYFUNCTION("""COMPUTED_VALUE"""),"PT DUL JAYA TAMA")</f>
        <v>PT DUL JAYA TAMA</v>
      </c>
      <c r="O131" s="222" t="str">
        <f>IFERROR(__xludf.DUMMYFUNCTION("""COMPUTED_VALUE"""),"7. GOLIVE")</f>
        <v>7. GOLIVE</v>
      </c>
      <c r="P131" s="222" t="str">
        <f>IFERROR(__xludf.DUMMYFUNCTION("""COMPUTED_VALUE"""),"7.2 Golive Full / OA / DONE OTB")</f>
        <v>7.2 Golive Full / OA / DONE OTB</v>
      </c>
      <c r="Q131" s="222" t="str">
        <f>IFERROR(__xludf.DUMMYFUNCTION("""COMPUTED_VALUE"""),"25/04 golive sdi
24/04 pengecekan abd mancore
22/04 pemasangan odp &amp; terminasi
20/04 OGP tanam tiang
14/04 Pengambilan material
09/04 approval prelim 2,5jt 02/03 sudah redesign pengurusan izin 12/02 Tidak ada DS dilokasi, Pengajuan ReDesign 29/01 Done Ord"&amp;"er, lnjut Aanwidzing")</f>
        <v>25/04 golive sdi
24/04 pengecekan abd mancore
22/04 pemasangan odp &amp; terminasi
20/04 OGP tanam tiang
14/04 Pengambilan material
09/04 approval prelim 2,5jt 02/03 sudah redesign pengurusan izin 12/02 Tidak ada DS dilokasi, Pengajuan ReDesign 29/01 Done Order, lnjut Aanwidzing</v>
      </c>
      <c r="R131" s="228">
        <f>IFERROR(__xludf.DUMMYFUNCTION("""COMPUTED_VALUE"""),46136.0)</f>
        <v>46136</v>
      </c>
      <c r="S131" s="11" t="str">
        <f>IFERROR(__xludf.DUMMYFUNCTION("""COMPUTED_VALUE"""),"APR")</f>
        <v>APR</v>
      </c>
      <c r="T131" s="73"/>
      <c r="U131" s="11"/>
      <c r="V131" s="229" t="str">
        <f>IFERROR(__xludf.DUMMYFUNCTION("""COMPUTED_VALUE"""),"28/Apr/2026")</f>
        <v>28/Apr/2026</v>
      </c>
      <c r="W131" s="229"/>
      <c r="X131" s="229" t="str">
        <f>IFERROR(__xludf.DUMMYFUNCTION("""COMPUTED_VALUE"""),"GOLIVE")</f>
        <v>GOLIVE</v>
      </c>
      <c r="Y131" s="229" t="str">
        <f>IFERROR(__xludf.DUMMYFUNCTION("""COMPUTED_VALUE"""),"DONE")</f>
        <v>DONE</v>
      </c>
      <c r="Z131" s="229" t="str">
        <f>IFERROR(__xludf.DUMMYFUNCTION("""COMPUTED_VALUE"""),"#N/A")</f>
        <v>#N/A</v>
      </c>
      <c r="AA131" s="229">
        <f>IFERROR(__xludf.DUMMYFUNCTION("""COMPUTED_VALUE"""),2.0)</f>
        <v>2</v>
      </c>
      <c r="AB131" s="229"/>
      <c r="AC131" s="229" t="str">
        <f>IFERROR(__xludf.DUMMYFUNCTION("""COMPUTED_VALUE"""),"9309221#9309226")</f>
        <v>9309221#9309226</v>
      </c>
      <c r="AD131" s="232">
        <f>IFERROR(__xludf.DUMMYFUNCTION("""COMPUTED_VALUE"""),16.0)</f>
        <v>16</v>
      </c>
      <c r="AE131" s="233">
        <f>IFERROR(__xludf.DUMMYFUNCTION("""COMPUTED_VALUE"""),46136.0)</f>
        <v>46136</v>
      </c>
      <c r="AF131" s="54"/>
      <c r="AG131" s="54"/>
      <c r="AH131" s="54"/>
      <c r="AI131" s="55">
        <f t="shared" si="28"/>
        <v>0</v>
      </c>
      <c r="AW131" s="234"/>
      <c r="BP131" s="11"/>
      <c r="BQ131" s="11"/>
      <c r="BR131" s="235"/>
      <c r="BV131" s="158"/>
      <c r="BY131" s="158"/>
      <c r="CB131" s="158"/>
    </row>
    <row r="132" ht="18.0" hidden="1" customHeight="1">
      <c r="A132" s="222">
        <f>IFERROR(__xludf.DUMMYFUNCTION("""COMPUTED_VALUE"""),2026.0)</f>
        <v>2026</v>
      </c>
      <c r="B132" s="221">
        <f>IFERROR(__xludf.DUMMYFUNCTION("""COMPUTED_VALUE"""),1.1206683E7)</f>
        <v>11206683</v>
      </c>
      <c r="C132" s="222" t="str">
        <f>IFERROR(__xludf.DUMMYFUNCTION("""COMPUTED_VALUE"""),"MDN PT3 P7I12 PRT-FE JL.CINTA DAMAI")</f>
        <v>MDN PT3 P7I12 PRT-FE JL.CINTA DAMAI</v>
      </c>
      <c r="D132" s="222" t="str">
        <f>IFERROR(__xludf.DUMMYFUNCTION("""COMPUTED_VALUE"""),"REGIONAL I")</f>
        <v>REGIONAL I</v>
      </c>
      <c r="E132" s="222" t="str">
        <f>IFERROR(__xludf.DUMMYFUNCTION("""COMPUTED_VALUE"""),"MEDAN")</f>
        <v>MEDAN</v>
      </c>
      <c r="F132" s="222" t="str">
        <f>IFERROR(__xludf.DUMMYFUNCTION("""COMPUTED_VALUE"""),"PRT")</f>
        <v>PRT</v>
      </c>
      <c r="G132" s="222" t="str">
        <f>IFERROR(__xludf.DUMMYFUNCTION("""COMPUTED_VALUE"""),"SUMBAGUT")</f>
        <v>SUMBAGUT</v>
      </c>
      <c r="H132" s="222" t="str">
        <f>IFERROR(__xludf.DUMMYFUNCTION("""COMPUTED_VALUE"""),"MEDAN")</f>
        <v>MEDAN</v>
      </c>
      <c r="I132" s="222" t="str">
        <f>IFERROR(__xludf.DUMMYFUNCTION("""COMPUTED_VALUE"""),"Batch 2")</f>
        <v>Batch 2</v>
      </c>
      <c r="J132" s="225">
        <f>IFERROR(__xludf.DUMMYFUNCTION("""COMPUTED_VALUE"""),13.0)</f>
        <v>13</v>
      </c>
      <c r="K132" s="224">
        <f>IFERROR(__xludf.DUMMYFUNCTION("""COMPUTED_VALUE"""),104.0)</f>
        <v>104</v>
      </c>
      <c r="L132" s="226">
        <f>IFERROR(__xludf.DUMMYFUNCTION("""COMPUTED_VALUE"""),1782408.0)</f>
        <v>1782408</v>
      </c>
      <c r="M132" s="227">
        <f>IFERROR(__xludf.DUMMYFUNCTION("""COMPUTED_VALUE"""),1.85370376E8)</f>
        <v>185370376</v>
      </c>
      <c r="N132" s="222" t="str">
        <f>IFERROR(__xludf.DUMMYFUNCTION("""COMPUTED_VALUE"""),"PT BENWA  MITRA PRATAMA")</f>
        <v>PT BENWA  MITRA PRATAMA</v>
      </c>
      <c r="O132" s="222" t="str">
        <f>IFERROR(__xludf.DUMMYFUNCTION("""COMPUTED_VALUE"""),"0. DROP")</f>
        <v>0. DROP</v>
      </c>
      <c r="P132" s="222" t="str">
        <f>IFERROR(__xludf.DUMMYFUNCTION("""COMPUTED_VALUE"""),"0.4 CPP Tinggi Acc ED TIF")</f>
        <v>0.4 CPP Tinggi Acc ED TIF</v>
      </c>
      <c r="Q132" s="222" t="str">
        <f>IFERROR(__xludf.DUMMYFUNCTION("""COMPUTED_VALUE"""),"30/01 Done Aanwidzing, Lanjut perizinan")</f>
        <v>30/01 Done Aanwidzing, Lanjut perizinan</v>
      </c>
      <c r="R132" s="228"/>
      <c r="S132" s="11"/>
      <c r="T132" s="11"/>
      <c r="U132" s="11"/>
      <c r="V132" s="229"/>
      <c r="W132" s="229"/>
      <c r="X132" s="229" t="str">
        <f>IFERROR(__xludf.DUMMYFUNCTION("""COMPUTED_VALUE"""),"BELUM GOLIVE")</f>
        <v>BELUM GOLIVE</v>
      </c>
      <c r="Y132" s="229"/>
      <c r="Z132" s="229" t="str">
        <f>IFERROR(__xludf.DUMMYFUNCTION("""COMPUTED_VALUE"""),"#N/A")</f>
        <v>#N/A</v>
      </c>
      <c r="AA132" s="229"/>
      <c r="AB132" s="229"/>
      <c r="AC132" s="229"/>
      <c r="AD132" s="232"/>
      <c r="AE132" s="233"/>
      <c r="AF132" s="54" t="str">
        <f>IFERROR(__xludf.DUMMYFUNCTION("""COMPUTED_VALUE"""),"Draft BA DROP")</f>
        <v>Draft BA DROP</v>
      </c>
      <c r="AG132" s="54"/>
      <c r="AH132" s="54"/>
      <c r="AI132" s="55" t="str">
        <f t="shared" si="28"/>
        <v/>
      </c>
      <c r="AW132" s="234"/>
      <c r="BP132" s="11"/>
      <c r="BQ132" s="11"/>
      <c r="BR132" s="235"/>
      <c r="BV132" s="158"/>
      <c r="BY132" s="158"/>
      <c r="CB132" s="158"/>
    </row>
    <row r="133" ht="18.0" hidden="1" customHeight="1">
      <c r="A133" s="222">
        <f>IFERROR(__xludf.DUMMYFUNCTION("""COMPUTED_VALUE"""),2026.0)</f>
        <v>2026</v>
      </c>
      <c r="B133" s="221">
        <f>IFERROR(__xludf.DUMMYFUNCTION("""COMPUTED_VALUE"""),1.1511784E7)</f>
        <v>11511784</v>
      </c>
      <c r="C133" s="222" t="str">
        <f>IFERROR(__xludf.DUMMYFUNCTION("""COMPUTED_VALUE"""),"ACH PT3 BPD-FP D03 LABUHAN HAJI BARAT")</f>
        <v>ACH PT3 BPD-FP D03 LABUHAN HAJI BARAT</v>
      </c>
      <c r="D133" s="222" t="str">
        <f>IFERROR(__xludf.DUMMYFUNCTION("""COMPUTED_VALUE"""),"REGIONAL I")</f>
        <v>REGIONAL I</v>
      </c>
      <c r="E133" s="222" t="str">
        <f>IFERROR(__xludf.DUMMYFUNCTION("""COMPUTED_VALUE"""),"ACEH")</f>
        <v>ACEH</v>
      </c>
      <c r="F133" s="222" t="str">
        <f>IFERROR(__xludf.DUMMYFUNCTION("""COMPUTED_VALUE"""),"BPD")</f>
        <v>BPD</v>
      </c>
      <c r="G133" s="222" t="str">
        <f>IFERROR(__xludf.DUMMYFUNCTION("""COMPUTED_VALUE"""),"SUMBAGUT")</f>
        <v>SUMBAGUT</v>
      </c>
      <c r="H133" s="222" t="str">
        <f>IFERROR(__xludf.DUMMYFUNCTION("""COMPUTED_VALUE"""),"BANDA ACEH")</f>
        <v>BANDA ACEH</v>
      </c>
      <c r="I133" s="222" t="str">
        <f>IFERROR(__xludf.DUMMYFUNCTION("""COMPUTED_VALUE"""),"Batch 2")</f>
        <v>Batch 2</v>
      </c>
      <c r="J133" s="225">
        <f>IFERROR(__xludf.DUMMYFUNCTION("""COMPUTED_VALUE"""),19.0)</f>
        <v>19</v>
      </c>
      <c r="K133" s="224">
        <f>IFERROR(__xludf.DUMMYFUNCTION("""COMPUTED_VALUE"""),160.0)</f>
        <v>160</v>
      </c>
      <c r="L133" s="226">
        <f>IFERROR(__xludf.DUMMYFUNCTION("""COMPUTED_VALUE"""),1480783.0)</f>
        <v>1480783</v>
      </c>
      <c r="M133" s="227">
        <f>IFERROR(__xludf.DUMMYFUNCTION("""COMPUTED_VALUE"""),2.36925234E8)</f>
        <v>236925234</v>
      </c>
      <c r="N133" s="222" t="str">
        <f>IFERROR(__xludf.DUMMYFUNCTION("""COMPUTED_VALUE"""),"PT NURISA JAYA PERKASA")</f>
        <v>PT NURISA JAYA PERKASA</v>
      </c>
      <c r="O133" s="222" t="str">
        <f>IFERROR(__xludf.DUMMYFUNCTION("""COMPUTED_VALUE"""),"6. FINISH INSTALASI")</f>
        <v>6. FINISH INSTALASI</v>
      </c>
      <c r="P133" s="222" t="str">
        <f>IFERROR(__xludf.DUMMYFUNCTION("""COMPUTED_VALUE"""),"6.1 Selesai Fisik/RFS/L0/Perapihan")</f>
        <v>6.1 Selesai Fisik/RFS/L0/Perapihan</v>
      </c>
      <c r="Q133" s="222" t="str">
        <f>IFERROR(__xludf.DUMMYFUNCTION("""COMPUTED_VALUE"""),"(21/04) Persiapan Terminasi (14/04) Penarikan Kabel (26/03) Tanam Tiang (14/02) Proses Negosiasi dgn Warga (02/02) Done Aanwijzing (07/01) Persiapan")</f>
        <v>(21/04) Persiapan Terminasi (14/04) Penarikan Kabel (26/03) Tanam Tiang (14/02) Proses Negosiasi dgn Warga (02/02) Done Aanwijzing (07/01) Persiapan</v>
      </c>
      <c r="R133" s="228">
        <f>IFERROR(__xludf.DUMMYFUNCTION("""COMPUTED_VALUE"""),46139.0)</f>
        <v>46139</v>
      </c>
      <c r="S133" s="11" t="str">
        <f>IFERROR(__xludf.DUMMYFUNCTION("""COMPUTED_VALUE"""),"APR")</f>
        <v>APR</v>
      </c>
      <c r="T133" s="73"/>
      <c r="U133" s="11"/>
      <c r="V133" s="229" t="str">
        <f>IFERROR(__xludf.DUMMYFUNCTION("""COMPUTED_VALUE"""),"12/Apr/2026")</f>
        <v>12/Apr/2026</v>
      </c>
      <c r="W133" s="229"/>
      <c r="X133" s="229" t="str">
        <f>IFERROR(__xludf.DUMMYFUNCTION("""COMPUTED_VALUE"""),"BELUM GOLIVE")</f>
        <v>BELUM GOLIVE</v>
      </c>
      <c r="Y133" s="229"/>
      <c r="Z133" s="229"/>
      <c r="AA133" s="229"/>
      <c r="AB133" s="229"/>
      <c r="AC133" s="229"/>
      <c r="AD133" s="232"/>
      <c r="AE133" s="233"/>
      <c r="AF133" s="54"/>
      <c r="AG133" s="54"/>
      <c r="AH133" s="54"/>
      <c r="AI133" s="55" t="str">
        <f t="shared" si="28"/>
        <v/>
      </c>
      <c r="AW133" s="234"/>
      <c r="BP133" s="11"/>
      <c r="BQ133" s="11"/>
      <c r="BR133" s="235"/>
      <c r="BV133" s="158"/>
      <c r="BY133" s="158"/>
      <c r="CB133" s="158"/>
    </row>
    <row r="134" ht="18.0" hidden="1" customHeight="1">
      <c r="A134" s="222">
        <f>IFERROR(__xludf.DUMMYFUNCTION("""COMPUTED_VALUE"""),2026.0)</f>
        <v>2026</v>
      </c>
      <c r="B134" s="221">
        <f>IFERROR(__xludf.DUMMYFUNCTION("""COMPUTED_VALUE"""),1.1272367E7)</f>
        <v>11272367</v>
      </c>
      <c r="C134" s="222" t="str">
        <f>IFERROR(__xludf.DUMMYFUNCTION("""COMPUTED_VALUE"""),"MDN PT3 P1I1 SPM-FE GG.EKA HANDAYANI")</f>
        <v>MDN PT3 P1I1 SPM-FE GG.EKA HANDAYANI</v>
      </c>
      <c r="D134" s="222" t="str">
        <f>IFERROR(__xludf.DUMMYFUNCTION("""COMPUTED_VALUE"""),"REGIONAL I")</f>
        <v>REGIONAL I</v>
      </c>
      <c r="E134" s="222" t="str">
        <f>IFERROR(__xludf.DUMMYFUNCTION("""COMPUTED_VALUE"""),"MEDAN")</f>
        <v>MEDAN</v>
      </c>
      <c r="F134" s="222" t="str">
        <f>IFERROR(__xludf.DUMMYFUNCTION("""COMPUTED_VALUE"""),"SPM")</f>
        <v>SPM</v>
      </c>
      <c r="G134" s="222" t="str">
        <f>IFERROR(__xludf.DUMMYFUNCTION("""COMPUTED_VALUE"""),"SUMBAGUT")</f>
        <v>SUMBAGUT</v>
      </c>
      <c r="H134" s="222" t="str">
        <f>IFERROR(__xludf.DUMMYFUNCTION("""COMPUTED_VALUE"""),"MEDAN")</f>
        <v>MEDAN</v>
      </c>
      <c r="I134" s="222" t="str">
        <f>IFERROR(__xludf.DUMMYFUNCTION("""COMPUTED_VALUE"""),"Batch 2")</f>
        <v>Batch 2</v>
      </c>
      <c r="J134" s="225">
        <f>IFERROR(__xludf.DUMMYFUNCTION("""COMPUTED_VALUE"""),3.0)</f>
        <v>3</v>
      </c>
      <c r="K134" s="224">
        <f>IFERROR(__xludf.DUMMYFUNCTION("""COMPUTED_VALUE"""),24.0)</f>
        <v>24</v>
      </c>
      <c r="L134" s="226">
        <f>IFERROR(__xludf.DUMMYFUNCTION("""COMPUTED_VALUE"""),747900.0)</f>
        <v>747900</v>
      </c>
      <c r="M134" s="227">
        <f>IFERROR(__xludf.DUMMYFUNCTION("""COMPUTED_VALUE"""),1.7949586E7)</f>
        <v>17949586</v>
      </c>
      <c r="N134" s="222" t="str">
        <f>IFERROR(__xludf.DUMMYFUNCTION("""COMPUTED_VALUE"""),"PT SINAR KEPRI SEJAHTERA")</f>
        <v>PT SINAR KEPRI SEJAHTERA</v>
      </c>
      <c r="O134" s="222" t="str">
        <f>IFERROR(__xludf.DUMMYFUNCTION("""COMPUTED_VALUE"""),"0. DROP")</f>
        <v>0. DROP</v>
      </c>
      <c r="P134" s="222" t="str">
        <f>IFERROR(__xludf.DUMMYFUNCTION("""COMPUTED_VALUE"""),"0.3 Feeder Full")</f>
        <v>0.3 Feeder Full</v>
      </c>
      <c r="Q134" s="222" t="str">
        <f>IFERROR(__xludf.DUMMYFUNCTION("""COMPUTED_VALUE"""),"5/11 Feeder Habis
15/09 proses aanwijzing")</f>
        <v>5/11 Feeder Habis
15/09 proses aanwijzing</v>
      </c>
      <c r="R134" s="228"/>
      <c r="S134" s="11"/>
      <c r="T134" s="11"/>
      <c r="U134" s="11"/>
      <c r="V134" s="229"/>
      <c r="W134" s="229"/>
      <c r="X134" s="229" t="str">
        <f>IFERROR(__xludf.DUMMYFUNCTION("""COMPUTED_VALUE"""),"BELUM GOLIVE")</f>
        <v>BELUM GOLIVE</v>
      </c>
      <c r="Y134" s="229"/>
      <c r="Z134" s="229" t="str">
        <f>IFERROR(__xludf.DUMMYFUNCTION("""COMPUTED_VALUE"""),"#N/A")</f>
        <v>#N/A</v>
      </c>
      <c r="AA134" s="229"/>
      <c r="AB134" s="229"/>
      <c r="AC134" s="229"/>
      <c r="AD134" s="232"/>
      <c r="AE134" s="233"/>
      <c r="AF134" s="54"/>
      <c r="AG134" s="54"/>
      <c r="AH134" s="54"/>
      <c r="AI134" s="55" t="str">
        <f t="shared" si="28"/>
        <v/>
      </c>
      <c r="AW134" s="234"/>
      <c r="BP134" s="11"/>
      <c r="BQ134" s="11"/>
      <c r="BR134" s="235"/>
      <c r="BV134" s="158"/>
      <c r="BY134" s="158"/>
      <c r="CB134" s="158"/>
    </row>
    <row r="135" ht="18.0" customHeight="1">
      <c r="A135" s="222">
        <f>IFERROR(__xludf.DUMMYFUNCTION("""COMPUTED_VALUE"""),2026.0)</f>
        <v>2026</v>
      </c>
      <c r="B135" s="221">
        <f>IFERROR(__xludf.DUMMYFUNCTION("""COMPUTED_VALUE"""),1.1481907E7)</f>
        <v>11481907</v>
      </c>
      <c r="C135" s="222" t="str">
        <f>IFERROR(__xludf.DUMMYFUNCTION("""COMPUTED_VALUE"""),"SMB P3I1 VINA AMELLA-ADELA BINA BUSTARI")</f>
        <v>SMB P3I1 VINA AMELLA-ADELA BINA BUSTARI</v>
      </c>
      <c r="D135" s="222" t="str">
        <f>IFERROR(__xludf.DUMMYFUNCTION("""COMPUTED_VALUE"""),"REGIONAL I")</f>
        <v>REGIONAL I</v>
      </c>
      <c r="E135" s="222" t="str">
        <f>IFERROR(__xludf.DUMMYFUNCTION("""COMPUTED_VALUE"""),"SUMBAR")</f>
        <v>SUMBAR</v>
      </c>
      <c r="F135" s="222" t="str">
        <f>IFERROR(__xludf.DUMMYFUNCTION("""COMPUTED_VALUE"""),"TPN")</f>
        <v>TPN</v>
      </c>
      <c r="G135" s="222" t="str">
        <f>IFERROR(__xludf.DUMMYFUNCTION("""COMPUTED_VALUE"""),"SUMBAGTENG")</f>
        <v>SUMBAGTENG</v>
      </c>
      <c r="H135" s="222" t="str">
        <f>IFERROR(__xludf.DUMMYFUNCTION("""COMPUTED_VALUE"""),"PADANG")</f>
        <v>PADANG</v>
      </c>
      <c r="I135" s="222" t="str">
        <f>IFERROR(__xludf.DUMMYFUNCTION("""COMPUTED_VALUE"""),"Batch 2")</f>
        <v>Batch 2</v>
      </c>
      <c r="J135" s="225">
        <f>IFERROR(__xludf.DUMMYFUNCTION("""COMPUTED_VALUE"""),14.0)</f>
        <v>14</v>
      </c>
      <c r="K135" s="224">
        <f>IFERROR(__xludf.DUMMYFUNCTION("""COMPUTED_VALUE"""),112.0)</f>
        <v>112</v>
      </c>
      <c r="L135" s="226">
        <f>IFERROR(__xludf.DUMMYFUNCTION("""COMPUTED_VALUE"""),1479841.0)</f>
        <v>1479841</v>
      </c>
      <c r="M135" s="227">
        <f>IFERROR(__xludf.DUMMYFUNCTION("""COMPUTED_VALUE"""),1.65742082E8)</f>
        <v>165742082</v>
      </c>
      <c r="N135" s="222" t="str">
        <f>IFERROR(__xludf.DUMMYFUNCTION("""COMPUTED_VALUE"""),"PT ACERO CETHA METALINDO")</f>
        <v>PT ACERO CETHA METALINDO</v>
      </c>
      <c r="O135" s="222" t="str">
        <f>IFERROR(__xludf.DUMMYFUNCTION("""COMPUTED_VALUE"""),"4. MATDEL")</f>
        <v>4. MATDEL</v>
      </c>
      <c r="P135" s="222" t="str">
        <f>IFERROR(__xludf.DUMMYFUNCTION("""COMPUTED_VALUE"""),"4.4 Proses Pengiriman Pabribak ke WH")</f>
        <v>4.4 Proses Pengiriman Pabribak ke WH</v>
      </c>
      <c r="Q135" s="222" t="str">
        <f>IFERROR(__xludf.DUMMYFUNCTION("""COMPUTED_VALUE"""),"(27/04) menunggu PO kabel 24 ADSS  (20/04) Doubel dengan LOP SMB P3I1 MD - DARWIN EFENDI 14 LOP  (10/04) Proses aanwijziing , LOP HOLD FEEDER FULL ACC GO 08/01 : KENDALA FEEDER TPN-FA FULL, BUTUH NEW FEEDER DAN UP ODC (07/01) Persiapan")</f>
        <v>(27/04) menunggu PO kabel 24 ADSS  (20/04) Doubel dengan LOP SMB P3I1 MD - DARWIN EFENDI 14 LOP  (10/04) Proses aanwijziing , LOP HOLD FEEDER FULL ACC GO 08/01 : KENDALA FEEDER TPN-FA FULL, BUTUH NEW FEEDER DAN UP ODC (07/01) Persiapan</v>
      </c>
      <c r="R135" s="228"/>
      <c r="S135" s="11"/>
      <c r="T135" s="11"/>
      <c r="U135" s="11"/>
      <c r="V135" s="229" t="str">
        <f>IFERROR(__xludf.DUMMYFUNCTION("""COMPUTED_VALUE"""),"PRAMADIO SEPWILMAN")</f>
        <v>PRAMADIO SEPWILMAN</v>
      </c>
      <c r="W135" s="229" t="str">
        <f>IFERROR(__xludf.DUMMYFUNCTION("""COMPUTED_VALUE"""),"MELKO NARWADI")</f>
        <v>MELKO NARWADI</v>
      </c>
      <c r="X135" s="229" t="str">
        <f>IFERROR(__xludf.DUMMYFUNCTION("""COMPUTED_VALUE"""),"BELUM GOLIVE")</f>
        <v>BELUM GOLIVE</v>
      </c>
      <c r="Y135" s="229"/>
      <c r="Z135" s="229" t="str">
        <f>IFERROR(__xludf.DUMMYFUNCTION("""COMPUTED_VALUE"""),"#N/A")</f>
        <v>#N/A</v>
      </c>
      <c r="AA135" s="229"/>
      <c r="AB135" s="229"/>
      <c r="AC135" s="229"/>
      <c r="AD135" s="232"/>
      <c r="AE135" s="233"/>
      <c r="AF135" s="54" t="str">
        <f>IFERROR(__xludf.DUMMYFUNCTION("""COMPUTED_VALUE"""),"Draft BA DROP")</f>
        <v>Draft BA DROP</v>
      </c>
      <c r="AG135" s="54"/>
      <c r="AH135" s="54"/>
      <c r="AI135" s="55" t="str">
        <f t="shared" si="28"/>
        <v/>
      </c>
      <c r="AW135" s="234"/>
      <c r="BP135" s="11"/>
      <c r="BQ135" s="11"/>
      <c r="BR135" s="235"/>
      <c r="BV135" s="158"/>
      <c r="BY135" s="158"/>
      <c r="CB135" s="158"/>
    </row>
    <row r="136" ht="18.0" customHeight="1">
      <c r="A136" s="222">
        <f>IFERROR(__xludf.DUMMYFUNCTION("""COMPUTED_VALUE"""),2026.0)</f>
        <v>2026</v>
      </c>
      <c r="B136" s="221">
        <f>IFERROR(__xludf.DUMMYFUNCTION("""COMPUTED_VALUE"""),1.1513777E7)</f>
        <v>11513777</v>
      </c>
      <c r="C136" s="222" t="str">
        <f>IFERROR(__xludf.DUMMYFUNCTION("""COMPUTED_VALUE"""),"SMB P3I1 Jl. Kp. Baru Gantung Ciri SLK")</f>
        <v>SMB P3I1 Jl. Kp. Baru Gantung Ciri SLK</v>
      </c>
      <c r="D136" s="222" t="str">
        <f>IFERROR(__xludf.DUMMYFUNCTION("""COMPUTED_VALUE"""),"REGIONAL I")</f>
        <v>REGIONAL I</v>
      </c>
      <c r="E136" s="222" t="str">
        <f>IFERROR(__xludf.DUMMYFUNCTION("""COMPUTED_VALUE"""),"SUMBAR")</f>
        <v>SUMBAR</v>
      </c>
      <c r="F136" s="222" t="str">
        <f>IFERROR(__xludf.DUMMYFUNCTION("""COMPUTED_VALUE"""),"SLK")</f>
        <v>SLK</v>
      </c>
      <c r="G136" s="222" t="str">
        <f>IFERROR(__xludf.DUMMYFUNCTION("""COMPUTED_VALUE"""),"SUMBAGTENG")</f>
        <v>SUMBAGTENG</v>
      </c>
      <c r="H136" s="222" t="str">
        <f>IFERROR(__xludf.DUMMYFUNCTION("""COMPUTED_VALUE"""),"PADANG")</f>
        <v>PADANG</v>
      </c>
      <c r="I136" s="222" t="str">
        <f>IFERROR(__xludf.DUMMYFUNCTION("""COMPUTED_VALUE"""),"Batch 2")</f>
        <v>Batch 2</v>
      </c>
      <c r="J136" s="225">
        <f>IFERROR(__xludf.DUMMYFUNCTION("""COMPUTED_VALUE"""),2.0)</f>
        <v>2</v>
      </c>
      <c r="K136" s="224">
        <f>IFERROR(__xludf.DUMMYFUNCTION("""COMPUTED_VALUE"""),16.0)</f>
        <v>16</v>
      </c>
      <c r="L136" s="226">
        <f>IFERROR(__xludf.DUMMYFUNCTION("""COMPUTED_VALUE"""),1476096.0)</f>
        <v>1476096</v>
      </c>
      <c r="M136" s="227">
        <f>IFERROR(__xludf.DUMMYFUNCTION("""COMPUTED_VALUE"""),2.3617533E7)</f>
        <v>23617533</v>
      </c>
      <c r="N136" s="222" t="str">
        <f>IFERROR(__xludf.DUMMYFUNCTION("""COMPUTED_VALUE"""),"PT TRI PENAMAS")</f>
        <v>PT TRI PENAMAS</v>
      </c>
      <c r="O136" s="222" t="str">
        <f>IFERROR(__xludf.DUMMYFUNCTION("""COMPUTED_VALUE"""),"8. UJI TERIMA")</f>
        <v>8. UJI TERIMA</v>
      </c>
      <c r="P136" s="222" t="str">
        <f>IFERROR(__xludf.DUMMYFUNCTION("""COMPUTED_VALUE"""),"8.1 Proses UT")</f>
        <v>8.1 Proses UT</v>
      </c>
      <c r="Q136" s="222" t="str">
        <f>IFERROR(__xludf.DUMMYFUNCTION("""COMPUTED_VALUE"""),"(07/01) ABD mancore  (07/01) Persiapan")</f>
        <v>(07/01) ABD mancore  (07/01) Persiapan</v>
      </c>
      <c r="R136" s="228"/>
      <c r="S136" s="11"/>
      <c r="T136" s="11"/>
      <c r="U136" s="11" t="str">
        <f>IFERROR(__xludf.DUMMYFUNCTION("""COMPUTED_VALUE"""),"W10-1817/2025 25KT03R158-0556")</f>
        <v>W10-1817/2025 25KT03R158-0556</v>
      </c>
      <c r="V136" s="229" t="str">
        <f>IFERROR(__xludf.DUMMYFUNCTION("""COMPUTED_VALUE"""),"FABIO RAHMAN")</f>
        <v>FABIO RAHMAN</v>
      </c>
      <c r="W136" s="229" t="str">
        <f>IFERROR(__xludf.DUMMYFUNCTION("""COMPUTED_VALUE"""),"MELKO NARWADI")</f>
        <v>MELKO NARWADI</v>
      </c>
      <c r="X136" s="229" t="str">
        <f>IFERROR(__xludf.DUMMYFUNCTION("""COMPUTED_VALUE"""),"GOLIVE")</f>
        <v>GOLIVE</v>
      </c>
      <c r="Y136" s="229" t="str">
        <f>IFERROR(__xludf.DUMMYFUNCTION("""COMPUTED_VALUE"""),"DONE")</f>
        <v>DONE</v>
      </c>
      <c r="Z136" s="229" t="str">
        <f>IFERROR(__xludf.DUMMYFUNCTION("""COMPUTED_VALUE"""),"#N/A")</f>
        <v>#N/A</v>
      </c>
      <c r="AA136" s="229">
        <f>IFERROR(__xludf.DUMMYFUNCTION("""COMPUTED_VALUE"""),2.0)</f>
        <v>2</v>
      </c>
      <c r="AB136" s="229"/>
      <c r="AC136" s="229" t="str">
        <f>IFERROR(__xludf.DUMMYFUNCTION("""COMPUTED_VALUE"""),"8935348#8935353")</f>
        <v>8935348#8935353</v>
      </c>
      <c r="AD136" s="232">
        <f>IFERROR(__xludf.DUMMYFUNCTION("""COMPUTED_VALUE"""),16.0)</f>
        <v>16</v>
      </c>
      <c r="AE136" s="233">
        <f>IFERROR(__xludf.DUMMYFUNCTION("""COMPUTED_VALUE"""),46030.0)</f>
        <v>46030</v>
      </c>
      <c r="AF136" s="54"/>
      <c r="AG136" s="54"/>
      <c r="AH136" s="54"/>
      <c r="AI136" s="55" t="str">
        <f t="shared" si="28"/>
        <v/>
      </c>
      <c r="AW136" s="234"/>
      <c r="BP136" s="11"/>
      <c r="BQ136" s="11"/>
      <c r="BR136" s="235"/>
      <c r="BV136" s="158"/>
      <c r="BY136" s="158"/>
      <c r="CB136" s="158"/>
    </row>
    <row r="137" ht="18.0" hidden="1" customHeight="1">
      <c r="A137" s="222">
        <f>IFERROR(__xludf.DUMMYFUNCTION("""COMPUTED_VALUE"""),2026.0)</f>
        <v>2026</v>
      </c>
      <c r="B137" s="221">
        <f>IFERROR(__xludf.DUMMYFUNCTION("""COMPUTED_VALUE"""),1.1481688E7)</f>
        <v>11481688</v>
      </c>
      <c r="C137" s="222" t="str">
        <f>IFERROR(__xludf.DUMMYFUNCTION("""COMPUTED_VALUE"""),"ACH PT3 GEU-FL D03 BR MEUNASAH NGA")</f>
        <v>ACH PT3 GEU-FL D03 BR MEUNASAH NGA</v>
      </c>
      <c r="D137" s="222" t="str">
        <f>IFERROR(__xludf.DUMMYFUNCTION("""COMPUTED_VALUE"""),"REGIONAL I")</f>
        <v>REGIONAL I</v>
      </c>
      <c r="E137" s="222" t="str">
        <f>IFERROR(__xludf.DUMMYFUNCTION("""COMPUTED_VALUE"""),"ACEH")</f>
        <v>ACEH</v>
      </c>
      <c r="F137" s="222" t="str">
        <f>IFERROR(__xludf.DUMMYFUNCTION("""COMPUTED_VALUE"""),"GEU")</f>
        <v>GEU</v>
      </c>
      <c r="G137" s="222" t="str">
        <f>IFERROR(__xludf.DUMMYFUNCTION("""COMPUTED_VALUE"""),"SUMBAGUT")</f>
        <v>SUMBAGUT</v>
      </c>
      <c r="H137" s="222" t="str">
        <f>IFERROR(__xludf.DUMMYFUNCTION("""COMPUTED_VALUE"""),"BINJAI")</f>
        <v>BINJAI</v>
      </c>
      <c r="I137" s="222" t="str">
        <f>IFERROR(__xludf.DUMMYFUNCTION("""COMPUTED_VALUE"""),"Batch 2")</f>
        <v>Batch 2</v>
      </c>
      <c r="J137" s="225">
        <f>IFERROR(__xludf.DUMMYFUNCTION("""COMPUTED_VALUE"""),7.0)</f>
        <v>7</v>
      </c>
      <c r="K137" s="224">
        <f>IFERROR(__xludf.DUMMYFUNCTION("""COMPUTED_VALUE"""),56.0)</f>
        <v>56</v>
      </c>
      <c r="L137" s="226">
        <f>IFERROR(__xludf.DUMMYFUNCTION("""COMPUTED_VALUE"""),1474422.0)</f>
        <v>1474422</v>
      </c>
      <c r="M137" s="227">
        <f>IFERROR(__xludf.DUMMYFUNCTION("""COMPUTED_VALUE"""),8.256761E7)</f>
        <v>82567610</v>
      </c>
      <c r="N137" s="222" t="str">
        <f>IFERROR(__xludf.DUMMYFUNCTION("""COMPUTED_VALUE"""),"PT ARA PAYA INTAN")</f>
        <v>PT ARA PAYA INTAN</v>
      </c>
      <c r="O137" s="222" t="str">
        <f>IFERROR(__xludf.DUMMYFUNCTION("""COMPUTED_VALUE"""),"0. DROP")</f>
        <v>0. DROP</v>
      </c>
      <c r="P137" s="222" t="str">
        <f>IFERROR(__xludf.DUMMYFUNCTION("""COMPUTED_VALUE"""),"0.4 CPP Tinggi Acc ED TIF")</f>
        <v>0.4 CPP Tinggi Acc ED TIF</v>
      </c>
      <c r="Q137" s="222" t="str">
        <f>IFERROR(__xludf.DUMMYFUNCTION("""COMPUTED_VALUE"""),"3/3 hasil meeting ED TIF- Area dan Region CPP Tinggi (acc DROP ED TIF) (05/02) Proses po material  (07/01) Persiapan")</f>
        <v>3/3 hasil meeting ED TIF- Area dan Region CPP Tinggi (acc DROP ED TIF) (05/02) Proses po material  (07/01) Persiapan</v>
      </c>
      <c r="R137" s="228"/>
      <c r="S137" s="11"/>
      <c r="T137" s="11"/>
      <c r="U137" s="11"/>
      <c r="V137" s="229"/>
      <c r="W137" s="229"/>
      <c r="X137" s="229" t="str">
        <f>IFERROR(__xludf.DUMMYFUNCTION("""COMPUTED_VALUE"""),"BELUM GOLIVE")</f>
        <v>BELUM GOLIVE</v>
      </c>
      <c r="Y137" s="229"/>
      <c r="Z137" s="229" t="str">
        <f>IFERROR(__xludf.DUMMYFUNCTION("""COMPUTED_VALUE"""),"#N/A")</f>
        <v>#N/A</v>
      </c>
      <c r="AA137" s="229"/>
      <c r="AB137" s="229"/>
      <c r="AC137" s="229"/>
      <c r="AD137" s="232"/>
      <c r="AE137" s="233"/>
      <c r="AF137" s="54" t="str">
        <f>IFERROR(__xludf.DUMMYFUNCTION("""COMPUTED_VALUE"""),"Draft BA DROP")</f>
        <v>Draft BA DROP</v>
      </c>
      <c r="AG137" s="54"/>
      <c r="AH137" s="54"/>
      <c r="AI137" s="55" t="str">
        <f t="shared" si="28"/>
        <v/>
      </c>
      <c r="AW137" s="234"/>
      <c r="BP137" s="11"/>
      <c r="BQ137" s="11"/>
      <c r="BR137" s="235"/>
      <c r="BV137" s="158"/>
      <c r="BY137" s="158"/>
      <c r="CB137" s="158"/>
    </row>
    <row r="138" ht="18.0" customHeight="1">
      <c r="A138" s="222">
        <f>IFERROR(__xludf.DUMMYFUNCTION("""COMPUTED_VALUE"""),2026.0)</f>
        <v>2026</v>
      </c>
      <c r="B138" s="221">
        <f>IFERROR(__xludf.DUMMYFUNCTION("""COMPUTED_VALUE"""),1.1095641E7)</f>
        <v>11095641</v>
      </c>
      <c r="C138" s="222" t="str">
        <f>IFERROR(__xludf.DUMMYFUNCTION("""COMPUTED_VALUE"""),"RDR JPP PT3 PERUM GRIYA HARMONI")</f>
        <v>RDR JPP PT3 PERUM GRIYA HARMONI</v>
      </c>
      <c r="D138" s="222" t="str">
        <f>IFERROR(__xludf.DUMMYFUNCTION("""COMPUTED_VALUE"""),"REGIONAL I")</f>
        <v>REGIONAL I</v>
      </c>
      <c r="E138" s="222" t="str">
        <f>IFERROR(__xludf.DUMMYFUNCTION("""COMPUTED_VALUE"""),"RIDAR")</f>
        <v>RIDAR</v>
      </c>
      <c r="F138" s="222" t="str">
        <f>IFERROR(__xludf.DUMMYFUNCTION("""COMPUTED_VALUE"""),"PWG")</f>
        <v>PWG</v>
      </c>
      <c r="G138" s="222" t="str">
        <f>IFERROR(__xludf.DUMMYFUNCTION("""COMPUTED_VALUE"""),"SUMBAGTENG")</f>
        <v>SUMBAGTENG</v>
      </c>
      <c r="H138" s="222" t="str">
        <f>IFERROR(__xludf.DUMMYFUNCTION("""COMPUTED_VALUE"""),"PEKANBARU")</f>
        <v>PEKANBARU</v>
      </c>
      <c r="I138" s="222" t="str">
        <f>IFERROR(__xludf.DUMMYFUNCTION("""COMPUTED_VALUE"""),"Batch 2")</f>
        <v>Batch 2</v>
      </c>
      <c r="J138" s="225">
        <f>IFERROR(__xludf.DUMMYFUNCTION("""COMPUTED_VALUE"""),3.0)</f>
        <v>3</v>
      </c>
      <c r="K138" s="224">
        <f>IFERROR(__xludf.DUMMYFUNCTION("""COMPUTED_VALUE"""),24.0)</f>
        <v>24</v>
      </c>
      <c r="L138" s="226">
        <f>IFERROR(__xludf.DUMMYFUNCTION("""COMPUTED_VALUE"""),1474307.0)</f>
        <v>1474307</v>
      </c>
      <c r="M138" s="227">
        <f>IFERROR(__xludf.DUMMYFUNCTION("""COMPUTED_VALUE"""),3.5383364E7)</f>
        <v>35383364</v>
      </c>
      <c r="N138" s="222"/>
      <c r="O138" s="222" t="str">
        <f>IFERROR(__xludf.DUMMYFUNCTION("""COMPUTED_VALUE"""),"0. DROP")</f>
        <v>0. DROP</v>
      </c>
      <c r="P138" s="222" t="str">
        <f>IFERROR(__xludf.DUMMYFUNCTION("""COMPUTED_VALUE"""),"0.2 Tidak Dapat Izin Warga/Kades/Lurah/Developer")</f>
        <v>0.2 Tidak Dapat Izin Warga/Kades/Lurah/Developer</v>
      </c>
      <c r="Q138" s="222" t="str">
        <f>IFERROR(__xludf.DUMMYFUNCTION("""COMPUTED_VALUE"""),"20/01 Sudah pernah di drop sebelum nya (07/01) Persiapan")</f>
        <v>20/01 Sudah pernah di drop sebelum nya (07/01) Persiapan</v>
      </c>
      <c r="R138" s="228"/>
      <c r="S138" s="11"/>
      <c r="T138" s="11"/>
      <c r="U138" s="11"/>
      <c r="V138" s="229"/>
      <c r="W138" s="229"/>
      <c r="X138" s="229" t="str">
        <f>IFERROR(__xludf.DUMMYFUNCTION("""COMPUTED_VALUE"""),"BELUM GOLIVE")</f>
        <v>BELUM GOLIVE</v>
      </c>
      <c r="Y138" s="229"/>
      <c r="Z138" s="229" t="str">
        <f>IFERROR(__xludf.DUMMYFUNCTION("""COMPUTED_VALUE"""),"#N/A")</f>
        <v>#N/A</v>
      </c>
      <c r="AA138" s="229"/>
      <c r="AB138" s="229"/>
      <c r="AC138" s="229"/>
      <c r="AD138" s="232"/>
      <c r="AE138" s="233"/>
      <c r="AF138" s="54" t="str">
        <f>IFERROR(__xludf.DUMMYFUNCTION("""COMPUTED_VALUE"""),"Draft BA DROP")</f>
        <v>Draft BA DROP</v>
      </c>
      <c r="AG138" s="54"/>
      <c r="AH138" s="54"/>
      <c r="AI138" s="55" t="str">
        <f t="shared" si="28"/>
        <v/>
      </c>
      <c r="AW138" s="234"/>
      <c r="BP138" s="11"/>
      <c r="BQ138" s="11"/>
      <c r="BR138" s="235"/>
      <c r="BV138" s="158"/>
      <c r="BY138" s="158"/>
      <c r="CB138" s="158"/>
    </row>
    <row r="139" ht="18.0" hidden="1" customHeight="1">
      <c r="A139" s="222">
        <f>IFERROR(__xludf.DUMMYFUNCTION("""COMPUTED_VALUE"""),2026.0)</f>
        <v>2026</v>
      </c>
      <c r="B139" s="221">
        <f>IFERROR(__xludf.DUMMYFUNCTION("""COMPUTED_VALUE"""),1.1569107E7)</f>
        <v>11569107</v>
      </c>
      <c r="C139" s="222" t="str">
        <f>IFERROR(__xludf.DUMMYFUNCTION("""COMPUTED_VALUE"""),"SMS P3I1 PT3 OKI FC D04 SLAMET")</f>
        <v>SMS P3I1 PT3 OKI FC D04 SLAMET</v>
      </c>
      <c r="D139" s="222" t="str">
        <f>IFERROR(__xludf.DUMMYFUNCTION("""COMPUTED_VALUE"""),"REGIONAL I")</f>
        <v>REGIONAL I</v>
      </c>
      <c r="E139" s="222" t="str">
        <f>IFERROR(__xludf.DUMMYFUNCTION("""COMPUTED_VALUE"""),"SUMSEL")</f>
        <v>SUMSEL</v>
      </c>
      <c r="F139" s="222" t="str">
        <f>IFERROR(__xludf.DUMMYFUNCTION("""COMPUTED_VALUE"""),"OKI")</f>
        <v>OKI</v>
      </c>
      <c r="G139" s="222" t="str">
        <f>IFERROR(__xludf.DUMMYFUNCTION("""COMPUTED_VALUE"""),"SUMBAGSEL")</f>
        <v>SUMBAGSEL</v>
      </c>
      <c r="H139" s="222" t="str">
        <f>IFERROR(__xludf.DUMMYFUNCTION("""COMPUTED_VALUE"""),"PALEMBANG")</f>
        <v>PALEMBANG</v>
      </c>
      <c r="I139" s="222" t="str">
        <f>IFERROR(__xludf.DUMMYFUNCTION("""COMPUTED_VALUE"""),"Batch 2")</f>
        <v>Batch 2</v>
      </c>
      <c r="J139" s="225">
        <f>IFERROR(__xludf.DUMMYFUNCTION("""COMPUTED_VALUE"""),3.0)</f>
        <v>3</v>
      </c>
      <c r="K139" s="224">
        <f>IFERROR(__xludf.DUMMYFUNCTION("""COMPUTED_VALUE"""),24.0)</f>
        <v>24</v>
      </c>
      <c r="L139" s="226">
        <f>IFERROR(__xludf.DUMMYFUNCTION("""COMPUTED_VALUE"""),1473265.0)</f>
        <v>1473265</v>
      </c>
      <c r="M139" s="227">
        <f>IFERROR(__xludf.DUMMYFUNCTION("""COMPUTED_VALUE"""),3.535836E7)</f>
        <v>35358360</v>
      </c>
      <c r="N139" s="222" t="str">
        <f>IFERROR(__xludf.DUMMYFUNCTION("""COMPUTED_VALUE"""),"PT SARANA MITRA PERSADA")</f>
        <v>PT SARANA MITRA PERSADA</v>
      </c>
      <c r="O139" s="222" t="str">
        <f>IFERROR(__xludf.DUMMYFUNCTION("""COMPUTED_VALUE"""),"4. MATDEL")</f>
        <v>4. MATDEL</v>
      </c>
      <c r="P139" s="222" t="str">
        <f>IFERROR(__xludf.DUMMYFUNCTION("""COMPUTED_VALUE"""),"4.1 Belum Request Material (Alista)")</f>
        <v>4.1 Belum Request Material (Alista)</v>
      </c>
      <c r="Q139" s="222" t="str">
        <f>IFERROR(__xludf.DUMMYFUNCTION("""COMPUTED_VALUE"""),"27/04 MASIH MENUNGGU PO KABEL KRNA MATERIAL KABEL ADSS-12 MASIH KOSONG DI GUDANG, 24/04 MENUNGGU PO KABEL KRNA MATERIAL KABEL ADSS-12 MASIH KOSONG DI GUDANG, 22/04 material kabel adss-12 kosong d gudang palembang, jdi tim pindah ke lokasi lain, 16/04 PROS"&amp;"ES PELUBANGAN UTK TANAM TIANG 17/04 EST TGL 20 APRIL AMBIL MATERIAL,  13/04 Kirim material 15 April 2026 09/04 proses input material plan matdel  10 APR  08/04 DONE INPUT MATERIAL 06/04 PLAN TGL 6 INPUT MATERIAL, 02/04 OGP INPUT MATERIAL, 31/03 EST KIRIM "&amp;"MATERIAL TGL 6 APRIL, 30/03 MASIH KOORDINASI DG MITRA TERKAIT PENGINPUTAN ULANG MATERIAL, 27/03 INPUT ULANG MATERIAL - MSIH KOORDINASI DG MITRA, 26/03 INPUT ULANG MATERIAL - MSIH KOORDINASI DG MITRA, 21/03 DONE PR PO - EST TGL 30 MAR AMBIL MATERIAL, 13/03"&amp;" MITRA MENGAMBIL MATERIAL EST 30 MAR, 27/02 MITRA MENGAMBIL MATERIAL SETELAH LEBARAN, 26/02 MENUNGGU APPROVE RFC, 25/02 MSH MENUNGGU APPROVE, 24/02 MENUNGGU APPROVE MATERIAL, 22/2 menunggu material TIANG  20/02 DONE AMD TP BLM DI APPROVE KRNA MASIH MENUNG"&amp;"GU TIANG DIGUDANG YG KOSONG, 17/02 PROSES INPUT MATERIAL - KENDALA OVER BUDGET,  10/2 perubahan design menunggu confirm dari sales TSEL. , plan Matdel 13 FEB  09/02 DONE DRM, 6/2 proses create PID  31/01 menunggu DRM 30/01 DONE EVAL, NILAI TURUN DRI PLAN "&amp;"TAPI CPP MASIH 1,4 JT, TETAP LANJUT PROGRES LAPANGAN, 23/01 DONE AANWIDJZING - PERIZINAN OK, (21/01) HI aanwjizng ke lokasi, (15/1) ORDER DITERIMA 14/1, PLAN AANWIJDZING 23 JAN 26 (06/01)order JPP batch-2 2026 ((14/11)HOLD-  tidak masuk target Optimis 202"&amp;"5 (23/10 penunjukan mitra
14/01 penunjukan mitra oleh procurement")</f>
        <v>27/04 MASIH MENUNGGU PO KABEL KRNA MATERIAL KABEL ADSS-12 MASIH KOSONG DI GUDANG, 24/04 MENUNGGU PO KABEL KRNA MATERIAL KABEL ADSS-12 MASIH KOSONG DI GUDANG, 22/04 material kabel adss-12 kosong d gudang palembang, jdi tim pindah ke lokasi lain, 16/04 PROSES PELUBANGAN UTK TANAM TIANG 17/04 EST TGL 20 APRIL AMBIL MATERIAL,  13/04 Kirim material 15 April 2026 09/04 proses input material plan matdel  10 APR  08/04 DONE INPUT MATERIAL 06/04 PLAN TGL 6 INPUT MATERIAL, 02/04 OGP INPUT MATERIAL, 31/03 EST KIRIM MATERIAL TGL 6 APRIL, 30/03 MASIH KOORDINASI DG MITRA TERKAIT PENGINPUTAN ULANG MATERIAL, 27/03 INPUT ULANG MATERIAL - MSIH KOORDINASI DG MITRA, 26/03 INPUT ULANG MATERIAL - MSIH KOORDINASI DG MITRA, 21/03 DONE PR PO - EST TGL 30 MAR AMBIL MATERIAL, 13/03 MITRA MENGAMBIL MATERIAL EST 30 MAR, 27/02 MITRA MENGAMBIL MATERIAL SETELAH LEBARAN, 26/02 MENUNGGU APPROVE RFC, 25/02 MSH MENUNGGU APPROVE, 24/02 MENUNGGU APPROVE MATERIAL, 22/2 menunggu material TIANG  20/02 DONE AMD TP BLM DI APPROVE KRNA MASIH MENUNGGU TIANG DIGUDANG YG KOSONG, 17/02 PROSES INPUT MATERIAL - KENDALA OVER BUDGET,  10/2 perubahan design menunggu confirm dari sales TSEL. , plan Matdel 13 FEB  09/02 DONE DRM, 6/2 proses create PID  31/01 menunggu DRM 30/01 DONE EVAL, NILAI TURUN DRI PLAN TAPI CPP MASIH 1,4 JT, TETAP LANJUT PROGRES LAPANGAN, 23/01 DONE AANWIDJZING - PERIZINAN OK, (21/01) HI aanwjizng ke lokasi, (15/1) ORDER DITERIMA 14/1, PLAN AANWIJDZING 23 JAN 26 (06/01)order JPP batch-2 2026 ((14/11)HOLD-  tidak masuk target Optimis 2025 (23/10 penunjukan mitra
14/01 penunjukan mitra oleh procurement</v>
      </c>
      <c r="R139" s="228">
        <f>IFERROR(__xludf.DUMMYFUNCTION("""COMPUTED_VALUE"""),46169.0)</f>
        <v>46169</v>
      </c>
      <c r="S139" s="11"/>
      <c r="T139" s="73" t="str">
        <f>IFERROR(__xludf.DUMMYFUNCTION("""COMPUTED_VALUE"""),"P1")</f>
        <v>P1</v>
      </c>
      <c r="U139" s="11"/>
      <c r="V139" s="229" t="str">
        <f>IFERROR(__xludf.DUMMYFUNCTION("""COMPUTED_VALUE"""),"RENALDO")</f>
        <v>RENALDO</v>
      </c>
      <c r="W139" s="229"/>
      <c r="X139" s="229" t="str">
        <f>IFERROR(__xludf.DUMMYFUNCTION("""COMPUTED_VALUE"""),"BELUM GOLIVE")</f>
        <v>BELUM GOLIVE</v>
      </c>
      <c r="Y139" s="229"/>
      <c r="Z139" s="229" t="str">
        <f>IFERROR(__xludf.DUMMYFUNCTION("""COMPUTED_VALUE"""),"#N/A")</f>
        <v>#N/A</v>
      </c>
      <c r="AA139" s="229"/>
      <c r="AB139" s="229"/>
      <c r="AC139" s="229"/>
      <c r="AD139" s="232"/>
      <c r="AE139" s="233"/>
      <c r="AF139" s="54"/>
      <c r="AG139" s="54"/>
      <c r="AH139" s="54">
        <v>46142.0</v>
      </c>
      <c r="AI139" s="55" t="str">
        <f t="shared" si="28"/>
        <v/>
      </c>
      <c r="AW139" s="234"/>
      <c r="BP139" s="11"/>
      <c r="BQ139" s="11"/>
      <c r="BR139" s="235"/>
      <c r="BV139" s="158"/>
      <c r="BY139" s="158"/>
      <c r="CB139" s="158"/>
    </row>
    <row r="140" ht="18.0" hidden="1" customHeight="1">
      <c r="A140" s="222">
        <f>IFERROR(__xludf.DUMMYFUNCTION("""COMPUTED_VALUE"""),2026.0)</f>
        <v>2026</v>
      </c>
      <c r="B140" s="221">
        <f>IFERROR(__xludf.DUMMYFUNCTION("""COMPUTED_VALUE"""),1.2384563E7)</f>
        <v>12384563</v>
      </c>
      <c r="C140" s="222" t="str">
        <f>IFERROR(__xludf.DUMMYFUNCTION("""COMPUTED_VALUE"""),"JBI-PT3 BRANCH-BKO-FAB-SUMBER AGUNG")</f>
        <v>JBI-PT3 BRANCH-BKO-FAB-SUMBER AGUNG</v>
      </c>
      <c r="D140" s="222" t="str">
        <f>IFERROR(__xludf.DUMMYFUNCTION("""COMPUTED_VALUE"""),"REGIONAL I")</f>
        <v>REGIONAL I</v>
      </c>
      <c r="E140" s="222" t="str">
        <f>IFERROR(__xludf.DUMMYFUNCTION("""COMPUTED_VALUE"""),"JAMBI")</f>
        <v>JAMBI</v>
      </c>
      <c r="F140" s="222" t="str">
        <f>IFERROR(__xludf.DUMMYFUNCTION("""COMPUTED_VALUE"""),"BKO")</f>
        <v>BKO</v>
      </c>
      <c r="G140" s="222" t="str">
        <f>IFERROR(__xludf.DUMMYFUNCTION("""COMPUTED_VALUE"""),"SUMBAGSEL")</f>
        <v>SUMBAGSEL</v>
      </c>
      <c r="H140" s="222" t="str">
        <f>IFERROR(__xludf.DUMMYFUNCTION("""COMPUTED_VALUE"""),"JAMBI")</f>
        <v>JAMBI</v>
      </c>
      <c r="I140" s="222" t="str">
        <f>IFERROR(__xludf.DUMMYFUNCTION("""COMPUTED_VALUE"""),"Batch 2")</f>
        <v>Batch 2</v>
      </c>
      <c r="J140" s="225">
        <f>IFERROR(__xludf.DUMMYFUNCTION("""COMPUTED_VALUE"""),2.0)</f>
        <v>2</v>
      </c>
      <c r="K140" s="224">
        <f>IFERROR(__xludf.DUMMYFUNCTION("""COMPUTED_VALUE"""),16.0)</f>
        <v>16</v>
      </c>
      <c r="L140" s="226">
        <f>IFERROR(__xludf.DUMMYFUNCTION("""COMPUTED_VALUE"""),1472219.0)</f>
        <v>1472219</v>
      </c>
      <c r="M140" s="227">
        <f>IFERROR(__xludf.DUMMYFUNCTION("""COMPUTED_VALUE"""),2.3555498E7)</f>
        <v>23555498</v>
      </c>
      <c r="N140" s="222" t="str">
        <f>IFERROR(__xludf.DUMMYFUNCTION("""COMPUTED_VALUE"""),"PT TSUIKA BERKAH RAYA")</f>
        <v>PT TSUIKA BERKAH RAYA</v>
      </c>
      <c r="O140" s="222" t="str">
        <f>IFERROR(__xludf.DUMMYFUNCTION("""COMPUTED_VALUE"""),"7. GOLIVE")</f>
        <v>7. GOLIVE</v>
      </c>
      <c r="P140" s="222" t="str">
        <f>IFERROR(__xludf.DUMMYFUNCTION("""COMPUTED_VALUE"""),"7.2 Golive Full / OA / DONE OTB")</f>
        <v>7.2 Golive Full / OA / DONE OTB</v>
      </c>
      <c r="Q140" s="222" t="str">
        <f>IFERROR(__xludf.DUMMYFUNCTION("""COMPUTED_VALUE"""),"(16/2) golive sdi 14 feb (5/2) MENUNGGU ANTRIAN PEKERJAAN LOKASI LAIN (29/1) MATDEL (22/01) PID Done ogp Apv PM Area (12/1) Proses aanwidjizing 7/1 DRM  (06/01)order JPP batch-2 2026 ((18/11)HOLD-  tidak masuk target Optimis 2025(17/11) kendala mitra10/11"&amp;" mapping mitra")</f>
        <v>(16/2) golive sdi 14 feb (5/2) MENUNGGU ANTRIAN PEKERJAAN LOKASI LAIN (29/1) MATDEL (22/01) PID Done ogp Apv PM Area (12/1) Proses aanwidjizing 7/1 DRM  (06/01)order JPP batch-2 2026 ((18/11)HOLD-  tidak masuk target Optimis 2025(17/11) kendala mitra10/11 mapping mitra</v>
      </c>
      <c r="R140" s="228">
        <f>IFERROR(__xludf.DUMMYFUNCTION("""COMPUTED_VALUE"""),46069.0)</f>
        <v>46069</v>
      </c>
      <c r="S140" s="11"/>
      <c r="T140" s="11"/>
      <c r="U140" s="11"/>
      <c r="V140" s="229" t="str">
        <f>IFERROR(__xludf.DUMMYFUNCTION("""COMPUTED_VALUE"""),"RUDI PRAYITNO")</f>
        <v>RUDI PRAYITNO</v>
      </c>
      <c r="W140" s="229"/>
      <c r="X140" s="229" t="str">
        <f>IFERROR(__xludf.DUMMYFUNCTION("""COMPUTED_VALUE"""),"GOLIVE")</f>
        <v>GOLIVE</v>
      </c>
      <c r="Y140" s="229" t="str">
        <f>IFERROR(__xludf.DUMMYFUNCTION("""COMPUTED_VALUE"""),"DONE")</f>
        <v>DONE</v>
      </c>
      <c r="Z140" s="229" t="str">
        <f>IFERROR(__xludf.DUMMYFUNCTION("""COMPUTED_VALUE"""),"#N/A")</f>
        <v>#N/A</v>
      </c>
      <c r="AA140" s="229">
        <f>IFERROR(__xludf.DUMMYFUNCTION("""COMPUTED_VALUE"""),2.0)</f>
        <v>2</v>
      </c>
      <c r="AB140" s="229"/>
      <c r="AC140" s="229" t="str">
        <f>IFERROR(__xludf.DUMMYFUNCTION("""COMPUTED_VALUE"""),"9110466#9110471")</f>
        <v>9110466#9110471</v>
      </c>
      <c r="AD140" s="232">
        <f>IFERROR(__xludf.DUMMYFUNCTION("""COMPUTED_VALUE"""),16.0)</f>
        <v>16</v>
      </c>
      <c r="AE140" s="233">
        <f>IFERROR(__xludf.DUMMYFUNCTION("""COMPUTED_VALUE"""),46067.0)</f>
        <v>46067</v>
      </c>
      <c r="AF140" s="54"/>
      <c r="AG140" s="54"/>
      <c r="AH140" s="54">
        <v>46069.0</v>
      </c>
      <c r="AI140" s="55">
        <f t="shared" si="28"/>
        <v>2</v>
      </c>
      <c r="AW140" s="234"/>
      <c r="BP140" s="11"/>
      <c r="BQ140" s="11"/>
      <c r="BR140" s="235"/>
      <c r="BV140" s="158"/>
      <c r="BY140" s="158"/>
      <c r="CB140" s="158"/>
    </row>
    <row r="141" ht="18.0" hidden="1" customHeight="1">
      <c r="A141" s="222">
        <f>IFERROR(__xludf.DUMMYFUNCTION("""COMPUTED_VALUE"""),2026.0)</f>
        <v>2026</v>
      </c>
      <c r="B141" s="221">
        <f>IFERROR(__xludf.DUMMYFUNCTION("""COMPUTED_VALUE"""),1.2330655E7)</f>
        <v>12330655</v>
      </c>
      <c r="C141" s="222" t="str">
        <f>IFERROR(__xludf.DUMMYFUNCTION("""COMPUTED_VALUE"""),"JBI-PT3-MAB-FU-SIMPANG BANDARA MAB")</f>
        <v>JBI-PT3-MAB-FU-SIMPANG BANDARA MAB</v>
      </c>
      <c r="D141" s="222" t="str">
        <f>IFERROR(__xludf.DUMMYFUNCTION("""COMPUTED_VALUE"""),"REGIONAL I")</f>
        <v>REGIONAL I</v>
      </c>
      <c r="E141" s="222" t="str">
        <f>IFERROR(__xludf.DUMMYFUNCTION("""COMPUTED_VALUE"""),"JAMBI")</f>
        <v>JAMBI</v>
      </c>
      <c r="F141" s="222" t="str">
        <f>IFERROR(__xludf.DUMMYFUNCTION("""COMPUTED_VALUE"""),"MAB")</f>
        <v>MAB</v>
      </c>
      <c r="G141" s="222" t="str">
        <f>IFERROR(__xludf.DUMMYFUNCTION("""COMPUTED_VALUE"""),"SUMBAGSEL")</f>
        <v>SUMBAGSEL</v>
      </c>
      <c r="H141" s="222" t="str">
        <f>IFERROR(__xludf.DUMMYFUNCTION("""COMPUTED_VALUE"""),"JAMBI")</f>
        <v>JAMBI</v>
      </c>
      <c r="I141" s="222" t="str">
        <f>IFERROR(__xludf.DUMMYFUNCTION("""COMPUTED_VALUE"""),"Batch 2")</f>
        <v>Batch 2</v>
      </c>
      <c r="J141" s="225">
        <f>IFERROR(__xludf.DUMMYFUNCTION("""COMPUTED_VALUE"""),4.0)</f>
        <v>4</v>
      </c>
      <c r="K141" s="224">
        <f>IFERROR(__xludf.DUMMYFUNCTION("""COMPUTED_VALUE"""),32.0)</f>
        <v>32</v>
      </c>
      <c r="L141" s="226">
        <f>IFERROR(__xludf.DUMMYFUNCTION("""COMPUTED_VALUE"""),1470960.0)</f>
        <v>1470960</v>
      </c>
      <c r="M141" s="227">
        <f>IFERROR(__xludf.DUMMYFUNCTION("""COMPUTED_VALUE"""),4.7070696E7)</f>
        <v>47070696</v>
      </c>
      <c r="N141" s="222" t="str">
        <f>IFERROR(__xludf.DUMMYFUNCTION("""COMPUTED_VALUE"""),"PT HAN SUNG INDONESIA")</f>
        <v>PT HAN SUNG INDONESIA</v>
      </c>
      <c r="O141" s="222" t="str">
        <f>IFERROR(__xludf.DUMMYFUNCTION("""COMPUTED_VALUE"""),"7. GOLIVE")</f>
        <v>7. GOLIVE</v>
      </c>
      <c r="P141" s="222" t="str">
        <f>IFERROR(__xludf.DUMMYFUNCTION("""COMPUTED_VALUE"""),"7.2 Golive Full / OA / DONE OTB")</f>
        <v>7.2 Golive Full / OA / DONE OTB</v>
      </c>
      <c r="Q141" s="222" t="str">
        <f>IFERROR(__xludf.DUMMYFUNCTION("""COMPUTED_VALUE"""),"(19/02) Golive (16/2) sisa tiang 9 = 6 batang , kabel sudah ok (5/2) MENUNGGU ANTRIAN LOKASI LAIN (29/1) MATDEL (22/01) PID Done ogp Apv PM Area (12/1) sudah aanwidjizing, menunggu PID  7/1 DRM  (06/01)order JPP batch-2 2026 (17/11 create PID 10/11 mappin"&amp;"g mitra")</f>
        <v>(19/02) Golive (16/2) sisa tiang 9 = 6 batang , kabel sudah ok (5/2) MENUNGGU ANTRIAN LOKASI LAIN (29/1) MATDEL (22/01) PID Done ogp Apv PM Area (12/1) sudah aanwidjizing, menunggu PID  7/1 DRM  (06/01)order JPP batch-2 2026 (17/11 create PID 10/11 mapping mitra</v>
      </c>
      <c r="R141" s="228">
        <f>IFERROR(__xludf.DUMMYFUNCTION("""COMPUTED_VALUE"""),46072.0)</f>
        <v>46072</v>
      </c>
      <c r="S141" s="11"/>
      <c r="T141" s="11"/>
      <c r="U141" s="11"/>
      <c r="V141" s="229"/>
      <c r="W141" s="229"/>
      <c r="X141" s="229" t="str">
        <f>IFERROR(__xludf.DUMMYFUNCTION("""COMPUTED_VALUE"""),"GOLIVE")</f>
        <v>GOLIVE</v>
      </c>
      <c r="Y141" s="229" t="str">
        <f>IFERROR(__xludf.DUMMYFUNCTION("""COMPUTED_VALUE"""),"DONE")</f>
        <v>DONE</v>
      </c>
      <c r="Z141" s="229" t="str">
        <f>IFERROR(__xludf.DUMMYFUNCTION("""COMPUTED_VALUE"""),"#N/A")</f>
        <v>#N/A</v>
      </c>
      <c r="AA141" s="229">
        <f>IFERROR(__xludf.DUMMYFUNCTION("""COMPUTED_VALUE"""),4.0)</f>
        <v>4</v>
      </c>
      <c r="AB141" s="229"/>
      <c r="AC141" s="229" t="str">
        <f>IFERROR(__xludf.DUMMYFUNCTION("""COMPUTED_VALUE"""),"8618779#8618784")</f>
        <v>8618779#8618784</v>
      </c>
      <c r="AD141" s="232">
        <f>IFERROR(__xludf.DUMMYFUNCTION("""COMPUTED_VALUE"""),32.0)</f>
        <v>32</v>
      </c>
      <c r="AE141" s="233">
        <f>IFERROR(__xludf.DUMMYFUNCTION("""COMPUTED_VALUE"""),46072.0)</f>
        <v>46072</v>
      </c>
      <c r="AF141" s="54"/>
      <c r="AG141" s="54"/>
      <c r="AH141" s="54">
        <v>46131.0</v>
      </c>
      <c r="AI141" s="237">
        <f>AH141-NOW()</f>
        <v>-9.377989873</v>
      </c>
      <c r="AJ141" s="229" t="str">
        <f>if(AI141&gt;=0,"Gl in Komitmen","Gl out Komitmen")</f>
        <v>Gl out Komitmen</v>
      </c>
      <c r="AK141" s="229" t="s">
        <v>199</v>
      </c>
      <c r="AW141" s="234"/>
      <c r="BP141" s="11"/>
      <c r="BQ141" s="11"/>
      <c r="BR141" s="235"/>
      <c r="BV141" s="158"/>
      <c r="BY141" s="158"/>
      <c r="CB141" s="158"/>
    </row>
    <row r="142" ht="18.0" customHeight="1">
      <c r="A142" s="222">
        <f>IFERROR(__xludf.DUMMYFUNCTION("""COMPUTED_VALUE"""),2026.0)</f>
        <v>2026</v>
      </c>
      <c r="B142" s="221">
        <f>IFERROR(__xludf.DUMMYFUNCTION("""COMPUTED_VALUE"""),1.1358638E7)</f>
        <v>11358638</v>
      </c>
      <c r="C142" s="222" t="str">
        <f>IFERROR(__xludf.DUMMYFUNCTION("""COMPUTED_VALUE"""),"SMB P2I2 MD sumatera barat_599")</f>
        <v>SMB P2I2 MD sumatera barat_599</v>
      </c>
      <c r="D142" s="222" t="str">
        <f>IFERROR(__xludf.DUMMYFUNCTION("""COMPUTED_VALUE"""),"REGIONAL I")</f>
        <v>REGIONAL I</v>
      </c>
      <c r="E142" s="222" t="str">
        <f>IFERROR(__xludf.DUMMYFUNCTION("""COMPUTED_VALUE"""),"SUMBAR")</f>
        <v>SUMBAR</v>
      </c>
      <c r="F142" s="222" t="str">
        <f>IFERROR(__xludf.DUMMYFUNCTION("""COMPUTED_VALUE"""),"UGD")</f>
        <v>UGD</v>
      </c>
      <c r="G142" s="222" t="str">
        <f>IFERROR(__xludf.DUMMYFUNCTION("""COMPUTED_VALUE"""),"SUMBAGTENG")</f>
        <v>SUMBAGTENG</v>
      </c>
      <c r="H142" s="222" t="str">
        <f>IFERROR(__xludf.DUMMYFUNCTION("""COMPUTED_VALUE"""),"BUKIT TINGGI")</f>
        <v>BUKIT TINGGI</v>
      </c>
      <c r="I142" s="222" t="str">
        <f>IFERROR(__xludf.DUMMYFUNCTION("""COMPUTED_VALUE"""),"Batch 2")</f>
        <v>Batch 2</v>
      </c>
      <c r="J142" s="225">
        <f>IFERROR(__xludf.DUMMYFUNCTION("""COMPUTED_VALUE"""),24.0)</f>
        <v>24</v>
      </c>
      <c r="K142" s="224">
        <f>IFERROR(__xludf.DUMMYFUNCTION("""COMPUTED_VALUE"""),184.0)</f>
        <v>184</v>
      </c>
      <c r="L142" s="226">
        <f>IFERROR(__xludf.DUMMYFUNCTION("""COMPUTED_VALUE"""),1470120.0)</f>
        <v>1470120</v>
      </c>
      <c r="M142" s="227">
        <f>IFERROR(__xludf.DUMMYFUNCTION("""COMPUTED_VALUE"""),2.70501968E8)</f>
        <v>270501968</v>
      </c>
      <c r="N142" s="222" t="str">
        <f>IFERROR(__xludf.DUMMYFUNCTION("""COMPUTED_VALUE"""),"PT TIGA AKSES MANDIRI")</f>
        <v>PT TIGA AKSES MANDIRI</v>
      </c>
      <c r="O142" s="222" t="str">
        <f>IFERROR(__xludf.DUMMYFUNCTION("""COMPUTED_VALUE"""),"6. FINISH INSTALASI")</f>
        <v>6. FINISH INSTALASI</v>
      </c>
      <c r="P142" s="222" t="str">
        <f>IFERROR(__xludf.DUMMYFUNCTION("""COMPUTED_VALUE"""),"6.7 Belum Submit ABD")</f>
        <v>6.7 Belum Submit ABD</v>
      </c>
      <c r="Q142" s="222" t="str">
        <f>IFERROR(__xludf.DUMMYFUNCTION("""COMPUTED_VALUE"""),"(27/04) plan masuk ABD ke SDI hI (20/04) penarikan kabel (13/04) Tanam tiang   (06/04) Tanam tiang  (30/03) material onsite (16/03) proses matdel KE SITE (05/03) proses create PID  3/3 Meeting ED1 - TAREGION - TA AREA ACC CPP Tinggi LANJUT (02/02) cpp 1,7"&amp;" kbutuh tambah ODP dan new dist (29/01) Done aanwijziing  , proses eval")</f>
        <v>(27/04) plan masuk ABD ke SDI hI (20/04) penarikan kabel (13/04) Tanam tiang   (06/04) Tanam tiang  (30/03) material onsite (16/03) proses matdel KE SITE (05/03) proses create PID  3/3 Meeting ED1 - TAREGION - TA AREA ACC CPP Tinggi LANJUT (02/02) cpp 1,7 kbutuh tambah ODP dan new dist (29/01) Done aanwijziing  , proses eval</v>
      </c>
      <c r="R142" s="228">
        <f>IFERROR(__xludf.DUMMYFUNCTION("""COMPUTED_VALUE"""),46142.0)</f>
        <v>46142</v>
      </c>
      <c r="S142" s="11" t="str">
        <f>IFERROR(__xludf.DUMMYFUNCTION("""COMPUTED_VALUE"""),"MAR")</f>
        <v>MAR</v>
      </c>
      <c r="T142" s="73"/>
      <c r="U142" s="11" t="str">
        <f>IFERROR(__xludf.DUMMYFUNCTION("""COMPUTED_VALUE"""),"TIF-5465/2026  26KT03R107-0020")</f>
        <v>TIF-5465/2026  26KT03R107-0020</v>
      </c>
      <c r="V142" s="229" t="str">
        <f>IFERROR(__xludf.DUMMYFUNCTION("""COMPUTED_VALUE"""),"JANUAR RIZAL")</f>
        <v>JANUAR RIZAL</v>
      </c>
      <c r="W142" s="229" t="str">
        <f>IFERROR(__xludf.DUMMYFUNCTION("""COMPUTED_VALUE"""),"MELKO NARWADI")</f>
        <v>MELKO NARWADI</v>
      </c>
      <c r="X142" s="229" t="str">
        <f>IFERROR(__xludf.DUMMYFUNCTION("""COMPUTED_VALUE"""),"BELUM GOLIVE")</f>
        <v>BELUM GOLIVE</v>
      </c>
      <c r="Y142" s="229"/>
      <c r="Z142" s="229" t="str">
        <f>IFERROR(__xludf.DUMMYFUNCTION("""COMPUTED_VALUE"""),"#N/A")</f>
        <v>#N/A</v>
      </c>
      <c r="AA142" s="229"/>
      <c r="AB142" s="229"/>
      <c r="AC142" s="229"/>
      <c r="AD142" s="232"/>
      <c r="AE142" s="233"/>
      <c r="AF142" s="54"/>
      <c r="AG142" s="54"/>
      <c r="AH142" s="54">
        <v>46131.0</v>
      </c>
      <c r="AI142" s="55">
        <f>AH142-TODAY()</f>
        <v>-9</v>
      </c>
      <c r="AJ142" s="229" t="str">
        <f>if(AI142&gt;=0,"In Komitmen","Out Komitmen")</f>
        <v>Out Komitmen</v>
      </c>
      <c r="AK142" s="231" t="s">
        <v>199</v>
      </c>
      <c r="AW142" s="234"/>
      <c r="BP142" s="11"/>
      <c r="BQ142" s="11"/>
      <c r="BR142" s="235"/>
      <c r="BV142" s="158"/>
      <c r="BY142" s="158"/>
      <c r="CB142" s="158"/>
    </row>
    <row r="143" ht="18.0" customHeight="1">
      <c r="A143" s="222">
        <f>IFERROR(__xludf.DUMMYFUNCTION("""COMPUTED_VALUE"""),2026.0)</f>
        <v>2026</v>
      </c>
      <c r="B143" s="221">
        <f>IFERROR(__xludf.DUMMYFUNCTION("""COMPUTED_VALUE"""),1.2078001E7)</f>
        <v>12078001</v>
      </c>
      <c r="C143" s="222" t="str">
        <f>IFERROR(__xludf.DUMMYFUNCTION("""COMPUTED_VALUE"""),"RKP TSEL PT3 LBJ-FBF 250_511_4043")</f>
        <v>RKP TSEL PT3 LBJ-FBF 250_511_4043</v>
      </c>
      <c r="D143" s="222" t="str">
        <f>IFERROR(__xludf.DUMMYFUNCTION("""COMPUTED_VALUE"""),"REGIONAL I")</f>
        <v>REGIONAL I</v>
      </c>
      <c r="E143" s="222" t="str">
        <f>IFERROR(__xludf.DUMMYFUNCTION("""COMPUTED_VALUE"""),"RIKEP")</f>
        <v>RIKEP</v>
      </c>
      <c r="F143" s="222" t="str">
        <f>IFERROR(__xludf.DUMMYFUNCTION("""COMPUTED_VALUE"""),"LBJ")</f>
        <v>LBJ</v>
      </c>
      <c r="G143" s="222" t="str">
        <f>IFERROR(__xludf.DUMMYFUNCTION("""COMPUTED_VALUE"""),"SUMBAGTENG")</f>
        <v>SUMBAGTENG</v>
      </c>
      <c r="H143" s="222" t="str">
        <f>IFERROR(__xludf.DUMMYFUNCTION("""COMPUTED_VALUE"""),"BATAM")</f>
        <v>BATAM</v>
      </c>
      <c r="I143" s="222" t="str">
        <f>IFERROR(__xludf.DUMMYFUNCTION("""COMPUTED_VALUE"""),"Batch 2")</f>
        <v>Batch 2</v>
      </c>
      <c r="J143" s="225">
        <f>IFERROR(__xludf.DUMMYFUNCTION("""COMPUTED_VALUE"""),3.0)</f>
        <v>3</v>
      </c>
      <c r="K143" s="224">
        <f>IFERROR(__xludf.DUMMYFUNCTION("""COMPUTED_VALUE"""),24.0)</f>
        <v>24</v>
      </c>
      <c r="L143" s="226">
        <f>IFERROR(__xludf.DUMMYFUNCTION("""COMPUTED_VALUE"""),1468510.0)</f>
        <v>1468510</v>
      </c>
      <c r="M143" s="227">
        <f>IFERROR(__xludf.DUMMYFUNCTION("""COMPUTED_VALUE"""),3.5244238E7)</f>
        <v>35244238</v>
      </c>
      <c r="N143" s="222" t="str">
        <f>IFERROR(__xludf.DUMMYFUNCTION("""COMPUTED_VALUE"""),"PT HDUA PUTRA PRAJODA")</f>
        <v>PT HDUA PUTRA PRAJODA</v>
      </c>
      <c r="O143" s="222" t="str">
        <f>IFERROR(__xludf.DUMMYFUNCTION("""COMPUTED_VALUE"""),"0. DROP")</f>
        <v>0. DROP</v>
      </c>
      <c r="P143" s="222" t="str">
        <f>IFERROR(__xludf.DUMMYFUNCTION("""COMPUTED_VALUE"""),"0.2 Tidak Dapat Izin Warga/Kades/Lurah/Developer")</f>
        <v>0.2 Tidak Dapat Izin Warga/Kades/Lurah/Developer</v>
      </c>
      <c r="Q143" s="222" t="str">
        <f>IFERROR(__xludf.DUMMYFUNCTION("""COMPUTED_VALUE"""),"09/03 Dari 3 RT yang di ajukan surat semua tidak acc. 
04/03 RW meminta ODC di pindah dan meminta kompensasi. 20/02 Perijinan RT 5 / RW 3( RW 03 meminta menyelesaikan pengajuan pemindahan atau penggeseran Box Odc yg ada di RT 1 RW 3
• RT 2,3,5 / RW 12 ( R"&amp;"T menyerahkan izin ke RW, pak RW tidak ada di rumah. Belum mendapat jadwal untuk bertemu) 
16/02 Plan anwijzing 17 Feb.  11/02 Peralihan mitra. 28/01 Plan survey 29 Jan. 28/01 Mitra tripola belum ada PIC untuk anwijzing. 23/01 Plan anwijzing 26 Jan, pic m"&amp;"itra ada pertanggal 25 jan. 21/01 proses penunjukan mitra ")</f>
        <v>09/03 Dari 3 RT yang di ajukan surat semua tidak acc. 
04/03 RW meminta ODC di pindah dan meminta kompensasi. 20/02 Perijinan RT 5 / RW 3( RW 03 meminta menyelesaikan pengajuan pemindahan atau penggeseran Box Odc yg ada di RT 1 RW 3
• RT 2,3,5 / RW 12 ( RT menyerahkan izin ke RW, pak RW tidak ada di rumah. Belum mendapat jadwal untuk bertemu) 
16/02 Plan anwijzing 17 Feb.  11/02 Peralihan mitra. 28/01 Plan survey 29 Jan. 28/01 Mitra tripola belum ada PIC untuk anwijzing. 23/01 Plan anwijzing 26 Jan, pic mitra ada pertanggal 25 jan. 21/01 proses penunjukan mitra </v>
      </c>
      <c r="R143" s="228"/>
      <c r="S143" s="11"/>
      <c r="T143" s="11"/>
      <c r="U143" s="11"/>
      <c r="V143" s="229" t="str">
        <f>IFERROR(__xludf.DUMMYFUNCTION("""COMPUTED_VALUE"""),"RONALDO LEO INFANTRI")</f>
        <v>RONALDO LEO INFANTRI</v>
      </c>
      <c r="W143" s="229" t="str">
        <f>IFERROR(__xludf.DUMMYFUNCTION("""COMPUTED_VALUE"""),"LEVITA INDRIYANI")</f>
        <v>LEVITA INDRIYANI</v>
      </c>
      <c r="X143" s="229" t="str">
        <f>IFERROR(__xludf.DUMMYFUNCTION("""COMPUTED_VALUE"""),"BELUM GOLIVE")</f>
        <v>BELUM GOLIVE</v>
      </c>
      <c r="Y143" s="229"/>
      <c r="Z143" s="229" t="str">
        <f>IFERROR(__xludf.DUMMYFUNCTION("""COMPUTED_VALUE"""),"#N/A")</f>
        <v>#N/A</v>
      </c>
      <c r="AA143" s="229"/>
      <c r="AB143" s="229"/>
      <c r="AC143" s="229"/>
      <c r="AD143" s="232"/>
      <c r="AE143" s="233"/>
      <c r="AF143" s="54"/>
      <c r="AG143" s="54"/>
      <c r="AH143" s="54"/>
      <c r="AI143" s="55" t="str">
        <f t="shared" ref="AI143:AI146" si="29">IF(OR(R143="",AE143=""),"",R143-AE143)</f>
        <v/>
      </c>
      <c r="AW143" s="234"/>
      <c r="BP143" s="11"/>
      <c r="BQ143" s="11"/>
      <c r="BR143" s="235"/>
      <c r="BV143" s="158"/>
      <c r="BY143" s="158"/>
      <c r="CB143" s="158"/>
    </row>
    <row r="144" ht="18.0" hidden="1" customHeight="1">
      <c r="A144" s="222">
        <f>IFERROR(__xludf.DUMMYFUNCTION("""COMPUTED_VALUE"""),2026.0)</f>
        <v>2026</v>
      </c>
      <c r="B144" s="221">
        <f>IFERROR(__xludf.DUMMYFUNCTION("""COMPUTED_VALUE"""),1.1393235E7)</f>
        <v>11393235</v>
      </c>
      <c r="C144" s="222" t="str">
        <f>IFERROR(__xludf.DUMMYFUNCTION("""COMPUTED_VALUE"""),"LPG PT3 JPP LAMPUNG UTARA_10051 KBI")</f>
        <v>LPG PT3 JPP LAMPUNG UTARA_10051 KBI</v>
      </c>
      <c r="D144" s="222" t="str">
        <f>IFERROR(__xludf.DUMMYFUNCTION("""COMPUTED_VALUE"""),"REGIONAL I")</f>
        <v>REGIONAL I</v>
      </c>
      <c r="E144" s="222" t="str">
        <f>IFERROR(__xludf.DUMMYFUNCTION("""COMPUTED_VALUE"""),"LAMPUNG")</f>
        <v>LAMPUNG</v>
      </c>
      <c r="F144" s="222" t="str">
        <f>IFERROR(__xludf.DUMMYFUNCTION("""COMPUTED_VALUE"""),"KBI")</f>
        <v>KBI</v>
      </c>
      <c r="G144" s="222" t="str">
        <f>IFERROR(__xludf.DUMMYFUNCTION("""COMPUTED_VALUE"""),"SUMBAGSEL")</f>
        <v>SUMBAGSEL</v>
      </c>
      <c r="H144" s="222" t="str">
        <f>IFERROR(__xludf.DUMMYFUNCTION("""COMPUTED_VALUE"""),"LAMPUNG")</f>
        <v>LAMPUNG</v>
      </c>
      <c r="I144" s="222" t="str">
        <f>IFERROR(__xludf.DUMMYFUNCTION("""COMPUTED_VALUE"""),"Batch 2")</f>
        <v>Batch 2</v>
      </c>
      <c r="J144" s="225">
        <f>IFERROR(__xludf.DUMMYFUNCTION("""COMPUTED_VALUE"""),3.0)</f>
        <v>3</v>
      </c>
      <c r="K144" s="224">
        <f>IFERROR(__xludf.DUMMYFUNCTION("""COMPUTED_VALUE"""),24.0)</f>
        <v>24</v>
      </c>
      <c r="L144" s="226">
        <f>IFERROR(__xludf.DUMMYFUNCTION("""COMPUTED_VALUE"""),1463578.0)</f>
        <v>1463578</v>
      </c>
      <c r="M144" s="227">
        <f>IFERROR(__xludf.DUMMYFUNCTION("""COMPUTED_VALUE"""),3.5125861E7)</f>
        <v>35125861</v>
      </c>
      <c r="N144" s="222" t="str">
        <f>IFERROR(__xludf.DUMMYFUNCTION("""COMPUTED_VALUE"""),"PT ALAM UTAMA MULIA")</f>
        <v>PT ALAM UTAMA MULIA</v>
      </c>
      <c r="O144" s="222" t="str">
        <f>IFERROR(__xludf.DUMMYFUNCTION("""COMPUTED_VALUE"""),"7. GOLIVE")</f>
        <v>7. GOLIVE</v>
      </c>
      <c r="P144" s="222" t="str">
        <f>IFERROR(__xludf.DUMMYFUNCTION("""COMPUTED_VALUE"""),"7.2 Golive Full / OA / DONE OTB")</f>
        <v>7.2 Golive Full / OA / DONE OTB</v>
      </c>
      <c r="Q144" s="222" t="str">
        <f>IFERROR(__xludf.DUMMYFUNCTION("""COMPUTED_VALUE"""),"18/2 Mitra sudah kirim ABD V4 - 18 FEB Golive 11/2 material onsite - plan progress 13 FEB   9/2 MATDEL 6/2 plan matdel ,ambil material 9/2 plan fi 17/2
4/2 stok material kosong ,estimasi tiba 07/2 
30/1 pengajuan pid
28/1 estimasi pengambilan material 
26"&amp;"/01  ambil material di gudang 
19/1 proses pengacekan core dan perizinan")</f>
        <v>18/2 Mitra sudah kirim ABD V4 - 18 FEB Golive 11/2 material onsite - plan progress 13 FEB   9/2 MATDEL 6/2 plan matdel ,ambil material 9/2 plan fi 17/2
4/2 stok material kosong ,estimasi tiba 07/2 
30/1 pengajuan pid
28/1 estimasi pengambilan material 
26/01  ambil material di gudang 
19/1 proses pengacekan core dan perizinan</v>
      </c>
      <c r="R144" s="228">
        <f>IFERROR(__xludf.DUMMYFUNCTION("""COMPUTED_VALUE"""),46073.0)</f>
        <v>46073</v>
      </c>
      <c r="S144" s="11"/>
      <c r="T144" s="11"/>
      <c r="U144" s="11" t="str">
        <f>IFERROR(__xludf.DUMMYFUNCTION("""COMPUTED_VALUE"""),"W02-561/2025")</f>
        <v>W02-561/2025</v>
      </c>
      <c r="V144" s="229"/>
      <c r="W144" s="229"/>
      <c r="X144" s="229" t="str">
        <f>IFERROR(__xludf.DUMMYFUNCTION("""COMPUTED_VALUE"""),"GOLIVE")</f>
        <v>GOLIVE</v>
      </c>
      <c r="Y144" s="229" t="str">
        <f>IFERROR(__xludf.DUMMYFUNCTION("""COMPUTED_VALUE"""),"DONE")</f>
        <v>DONE</v>
      </c>
      <c r="Z144" s="229" t="str">
        <f>IFERROR(__xludf.DUMMYFUNCTION("""COMPUTED_VALUE"""),"#N/A")</f>
        <v>#N/A</v>
      </c>
      <c r="AA144" s="229">
        <f>IFERROR(__xludf.DUMMYFUNCTION("""COMPUTED_VALUE"""),3.0)</f>
        <v>3</v>
      </c>
      <c r="AB144" s="229"/>
      <c r="AC144" s="229" t="str">
        <f>IFERROR(__xludf.DUMMYFUNCTION("""COMPUTED_VALUE"""),"9117801#9117806")</f>
        <v>9117801#9117806</v>
      </c>
      <c r="AD144" s="232">
        <f>IFERROR(__xludf.DUMMYFUNCTION("""COMPUTED_VALUE"""),24.0)</f>
        <v>24</v>
      </c>
      <c r="AE144" s="233">
        <f>IFERROR(__xludf.DUMMYFUNCTION("""COMPUTED_VALUE"""),46071.0)</f>
        <v>46071</v>
      </c>
      <c r="AF144" s="54"/>
      <c r="AG144" s="54"/>
      <c r="AH144" s="54">
        <v>46073.0</v>
      </c>
      <c r="AI144" s="55">
        <f t="shared" si="29"/>
        <v>2</v>
      </c>
      <c r="AW144" s="234"/>
      <c r="BP144" s="11"/>
      <c r="BQ144" s="11"/>
      <c r="BR144" s="235"/>
      <c r="BV144" s="158"/>
      <c r="BY144" s="158"/>
      <c r="CB144" s="158"/>
    </row>
    <row r="145" ht="18.0" hidden="1" customHeight="1">
      <c r="A145" s="222">
        <f>IFERROR(__xludf.DUMMYFUNCTION("""COMPUTED_VALUE"""),2026.0)</f>
        <v>2026</v>
      </c>
      <c r="B145" s="221">
        <f>IFERROR(__xludf.DUMMYFUNCTION("""COMPUTED_VALUE"""),1.1533092E7)</f>
        <v>11533092</v>
      </c>
      <c r="C145" s="222" t="str">
        <f>IFERROR(__xludf.DUMMYFUNCTION("""COMPUTED_VALUE"""),"MDN PT4 TMU-FV ODP PRIORITAS")</f>
        <v>MDN PT4 TMU-FV ODP PRIORITAS</v>
      </c>
      <c r="D145" s="222" t="str">
        <f>IFERROR(__xludf.DUMMYFUNCTION("""COMPUTED_VALUE"""),"REGIONAL I")</f>
        <v>REGIONAL I</v>
      </c>
      <c r="E145" s="222" t="str">
        <f>IFERROR(__xludf.DUMMYFUNCTION("""COMPUTED_VALUE"""),"MEDAN")</f>
        <v>MEDAN</v>
      </c>
      <c r="F145" s="222" t="str">
        <f>IFERROR(__xludf.DUMMYFUNCTION("""COMPUTED_VALUE"""),"TMU")</f>
        <v>TMU</v>
      </c>
      <c r="G145" s="222" t="str">
        <f>IFERROR(__xludf.DUMMYFUNCTION("""COMPUTED_VALUE"""),"SUMBAGUT")</f>
        <v>SUMBAGUT</v>
      </c>
      <c r="H145" s="222" t="str">
        <f>IFERROR(__xludf.DUMMYFUNCTION("""COMPUTED_VALUE"""),"MEDAN")</f>
        <v>MEDAN</v>
      </c>
      <c r="I145" s="222" t="str">
        <f>IFERROR(__xludf.DUMMYFUNCTION("""COMPUTED_VALUE"""),"Batch 2")</f>
        <v>Batch 2</v>
      </c>
      <c r="J145" s="225">
        <f>IFERROR(__xludf.DUMMYFUNCTION("""COMPUTED_VALUE"""),15.0)</f>
        <v>15</v>
      </c>
      <c r="K145" s="224">
        <f>IFERROR(__xludf.DUMMYFUNCTION("""COMPUTED_VALUE"""),120.0)</f>
        <v>120</v>
      </c>
      <c r="L145" s="226">
        <f>IFERROR(__xludf.DUMMYFUNCTION("""COMPUTED_VALUE"""),1462741.0)</f>
        <v>1462741</v>
      </c>
      <c r="M145" s="227">
        <f>IFERROR(__xludf.DUMMYFUNCTION("""COMPUTED_VALUE"""),1.75528876E8)</f>
        <v>175528876</v>
      </c>
      <c r="N145" s="222" t="str">
        <f>IFERROR(__xludf.DUMMYFUNCTION("""COMPUTED_VALUE"""),"PT FIBERHOME TECHNOLOGIES INDONESIA")</f>
        <v>PT FIBERHOME TECHNOLOGIES INDONESIA</v>
      </c>
      <c r="O145" s="222" t="str">
        <f>IFERROR(__xludf.DUMMYFUNCTION("""COMPUTED_VALUE"""),"0. DROP")</f>
        <v>0. DROP</v>
      </c>
      <c r="P145" s="222" t="str">
        <f>IFERROR(__xludf.DUMMYFUNCTION("""COMPUTED_VALUE"""),"0.4 CPP Tinggi Acc ED TIF")</f>
        <v>0.4 CPP Tinggi Acc ED TIF</v>
      </c>
      <c r="Q145" s="222" t="str">
        <f>IFERROR(__xludf.DUMMYFUNCTION("""COMPUTED_VALUE"""),"(24/01) ODC Berantakan")</f>
        <v>(24/01) ODC Berantakan</v>
      </c>
      <c r="R145" s="228"/>
      <c r="S145" s="11"/>
      <c r="T145" s="11"/>
      <c r="U145" s="11"/>
      <c r="V145" s="229"/>
      <c r="W145" s="229"/>
      <c r="X145" s="229" t="str">
        <f>IFERROR(__xludf.DUMMYFUNCTION("""COMPUTED_VALUE"""),"BELUM GOLIVE")</f>
        <v>BELUM GOLIVE</v>
      </c>
      <c r="Y145" s="229"/>
      <c r="Z145" s="229" t="str">
        <f>IFERROR(__xludf.DUMMYFUNCTION("""COMPUTED_VALUE"""),"#N/A")</f>
        <v>#N/A</v>
      </c>
      <c r="AA145" s="229"/>
      <c r="AB145" s="229"/>
      <c r="AC145" s="229"/>
      <c r="AD145" s="232"/>
      <c r="AE145" s="233"/>
      <c r="AF145" s="54" t="str">
        <f>IFERROR(__xludf.DUMMYFUNCTION("""COMPUTED_VALUE"""),"Draft BA DROP")</f>
        <v>Draft BA DROP</v>
      </c>
      <c r="AG145" s="54"/>
      <c r="AH145" s="54"/>
      <c r="AI145" s="55" t="str">
        <f t="shared" si="29"/>
        <v/>
      </c>
      <c r="AW145" s="234"/>
      <c r="BP145" s="11"/>
      <c r="BQ145" s="11"/>
      <c r="BR145" s="235"/>
      <c r="BV145" s="158"/>
      <c r="BY145" s="158"/>
      <c r="CB145" s="158"/>
    </row>
    <row r="146" ht="18.0" hidden="1" customHeight="1">
      <c r="A146" s="222">
        <f>IFERROR(__xludf.DUMMYFUNCTION("""COMPUTED_VALUE"""),2026.0)</f>
        <v>2026</v>
      </c>
      <c r="B146" s="221">
        <f>IFERROR(__xludf.DUMMYFUNCTION("""COMPUTED_VALUE"""),1.1800939E7)</f>
        <v>11800939</v>
      </c>
      <c r="C146" s="222" t="str">
        <f>IFERROR(__xludf.DUMMYFUNCTION("""COMPUTED_VALUE"""),"SMS P4I1 PT4 KAG XXX DESA SRINANTI NEW")</f>
        <v>SMS P4I1 PT4 KAG XXX DESA SRINANTI NEW</v>
      </c>
      <c r="D146" s="222" t="str">
        <f>IFERROR(__xludf.DUMMYFUNCTION("""COMPUTED_VALUE"""),"REGIONAL I")</f>
        <v>REGIONAL I</v>
      </c>
      <c r="E146" s="222" t="str">
        <f>IFERROR(__xludf.DUMMYFUNCTION("""COMPUTED_VALUE"""),"SUMSEL")</f>
        <v>SUMSEL</v>
      </c>
      <c r="F146" s="222" t="str">
        <f>IFERROR(__xludf.DUMMYFUNCTION("""COMPUTED_VALUE"""),"KAG")</f>
        <v>KAG</v>
      </c>
      <c r="G146" s="222" t="str">
        <f>IFERROR(__xludf.DUMMYFUNCTION("""COMPUTED_VALUE"""),"SUMBAGSEL")</f>
        <v>SUMBAGSEL</v>
      </c>
      <c r="H146" s="222" t="str">
        <f>IFERROR(__xludf.DUMMYFUNCTION("""COMPUTED_VALUE"""),"PALEMBANG")</f>
        <v>PALEMBANG</v>
      </c>
      <c r="I146" s="222" t="str">
        <f>IFERROR(__xludf.DUMMYFUNCTION("""COMPUTED_VALUE"""),"Batch 2")</f>
        <v>Batch 2</v>
      </c>
      <c r="J146" s="225">
        <f>IFERROR(__xludf.DUMMYFUNCTION("""COMPUTED_VALUE"""),16.0)</f>
        <v>16</v>
      </c>
      <c r="K146" s="224">
        <f>IFERROR(__xludf.DUMMYFUNCTION("""COMPUTED_VALUE"""),120.0)</f>
        <v>120</v>
      </c>
      <c r="L146" s="226">
        <f>IFERROR(__xludf.DUMMYFUNCTION("""COMPUTED_VALUE"""),1462208.0)</f>
        <v>1462208</v>
      </c>
      <c r="M146" s="227">
        <f>IFERROR(__xludf.DUMMYFUNCTION("""COMPUTED_VALUE"""),1.75464848E8)</f>
        <v>175464848</v>
      </c>
      <c r="N146" s="222" t="str">
        <f>IFERROR(__xludf.DUMMYFUNCTION("""COMPUTED_VALUE"""),"PT SARANA MITRA PERSADA")</f>
        <v>PT SARANA MITRA PERSADA</v>
      </c>
      <c r="O146" s="222" t="str">
        <f>IFERROR(__xludf.DUMMYFUNCTION("""COMPUTED_VALUE"""),"2. DONE AANWIJZING")</f>
        <v>2. DONE AANWIJZING</v>
      </c>
      <c r="P146" s="222" t="str">
        <f>IFERROR(__xludf.DUMMYFUNCTION("""COMPUTED_VALUE"""),"2.5 Proses Create PID")</f>
        <v>2.5 Proses Create PID</v>
      </c>
      <c r="Q146" s="222" t="str">
        <f>IFERROR(__xludf.DUMMYFUNCTION("""COMPUTED_VALUE"""),"27/04 MENUNGGU TTD DRM MITRA, 24/04 PROSES DRM MITRA, 23/04 HASIL KOORDINASI TIF, TA DAN MTEL SDH DI APPROVE TERKAIT TIANG MTEL, 22/04 menunggu koordinasi antara tif, ta dan mtel terkait penggunaan tiang mterl secara bersama-sama, 13/04 Perizinan kepala d"&amp;"esa, sdh di approve terkait tiang mtel 09/04 MASIH BLM ADA INFO LANJUT TERKAIT TIANG MTEL,08/04 MASIH BLM ADA INFO LANJUT TERKAIT TIANG MTEL, 01/04 MASIH BLM ADA INFO LANJUT TERKAIT TIANG MTEL, 25/03 MASIH BLM ADA INFO KELANJUTAN TERKAIT TIANG MTEL, 21/03"&amp;" BLM ADA UPDATE INFO TERKAIT TIANG MTEL, 13/03 SDH DI FU TRS TP MSI BLM ADA INFO TERKAIT TIANG MTEL, 10/03 MSH BLM ADA INFO TERKAIT TIANG MTEL, 27/02 MSH BLM ADA INFO TERKAIT TIANG MTEL, 24/02 BLM ADA UPDATE TERKAIT TIANG MTEL, 22/2 konffirmasi terkait pe"&amp;"nggunaan tiang MTEL 06/02 HASIL REVIEW TSEL - NEED FU TIF PENGGUNAAN TIANG MTEL, 30/01 MENGGUNAKAN TIANG MTEL D RUAS PU NASIONAL, DI HITUNG ULANG MENGGUNAKAN TIANG BARU 02/02 HOLD MENGGUNAKAN TIANG MTEL D RUAS PU NASIONAL, DI HITUNG ULANG MENGGUNAKAN TIAN"&amp;"G BARU,, 31/01 menunggu DRM 30/01 DONE EVAL, MENGGUNAKAN TIANG MTEL D RUAS PU NASIONAL, DI HITUNG ULANG MENGGUNAKAN TIANG BARU, (26/1) tim TIF belum bisa EVAL hasil anwijzing karena lagi diluar kota , estimasi 29 jan baru kembali ke Palembang(25/01) MENUN"&amp;"GGU EVAL - KOMPENSASI 3 KADES 6JT, 22/01 AANWIDJZING, (15/1) ORDER DITERIMA 14/1, PLAN AANWIJDZING 22 JAN 26 (06/01)order JPP batch-2 2026 ((14/11)HOLD- tidak masuk target Optimis 2025 (
 14/01 penunjukan mitra oleh procurement")</f>
        <v>27/04 MENUNGGU TTD DRM MITRA, 24/04 PROSES DRM MITRA, 23/04 HASIL KOORDINASI TIF, TA DAN MTEL SDH DI APPROVE TERKAIT TIANG MTEL, 22/04 menunggu koordinasi antara tif, ta dan mtel terkait penggunaan tiang mterl secara bersama-sama, 13/04 Perizinan kepala desa, sdh di approve terkait tiang mtel 09/04 MASIH BLM ADA INFO LANJUT TERKAIT TIANG MTEL,08/04 MASIH BLM ADA INFO LANJUT TERKAIT TIANG MTEL, 01/04 MASIH BLM ADA INFO LANJUT TERKAIT TIANG MTEL, 25/03 MASIH BLM ADA INFO KELANJUTAN TERKAIT TIANG MTEL, 21/03 BLM ADA UPDATE INFO TERKAIT TIANG MTEL, 13/03 SDH DI FU TRS TP MSI BLM ADA INFO TERKAIT TIANG MTEL, 10/03 MSH BLM ADA INFO TERKAIT TIANG MTEL, 27/02 MSH BLM ADA INFO TERKAIT TIANG MTEL, 24/02 BLM ADA UPDATE TERKAIT TIANG MTEL, 22/2 konffirmasi terkait penggunaan tiang MTEL 06/02 HASIL REVIEW TSEL - NEED FU TIF PENGGUNAAN TIANG MTEL, 30/01 MENGGUNAKAN TIANG MTEL D RUAS PU NASIONAL, DI HITUNG ULANG MENGGUNAKAN TIANG BARU 02/02 HOLD MENGGUNAKAN TIANG MTEL D RUAS PU NASIONAL, DI HITUNG ULANG MENGGUNAKAN TIANG BARU,, 31/01 menunggu DRM 30/01 DONE EVAL, MENGGUNAKAN TIANG MTEL D RUAS PU NASIONAL, DI HITUNG ULANG MENGGUNAKAN TIANG BARU, (26/1) tim TIF belum bisa EVAL hasil anwijzing karena lagi diluar kota , estimasi 29 jan baru kembali ke Palembang(25/01) MENUNGGU EVAL - KOMPENSASI 3 KADES 6JT, 22/01 AANWIDJZING, (15/1) ORDER DITERIMA 14/1, PLAN AANWIJDZING 22 JAN 26 (06/01)order JPP batch-2 2026 ((14/11)HOLD- tidak masuk target Optimis 2025 (
 14/01 penunjukan mitra oleh procurement</v>
      </c>
      <c r="R146" s="228"/>
      <c r="S146" s="11"/>
      <c r="T146" s="11"/>
      <c r="U146" s="11"/>
      <c r="V146" s="229" t="str">
        <f>IFERROR(__xludf.DUMMYFUNCTION("""COMPUTED_VALUE"""),"RENALDO")</f>
        <v>RENALDO</v>
      </c>
      <c r="W146" s="229"/>
      <c r="X146" s="229" t="str">
        <f>IFERROR(__xludf.DUMMYFUNCTION("""COMPUTED_VALUE"""),"BELUM GOLIVE")</f>
        <v>BELUM GOLIVE</v>
      </c>
      <c r="Y146" s="229"/>
      <c r="Z146" s="229"/>
      <c r="AA146" s="229"/>
      <c r="AB146" s="229"/>
      <c r="AC146" s="229"/>
      <c r="AD146" s="232"/>
      <c r="AE146" s="233"/>
      <c r="AF146" s="54"/>
      <c r="AG146" s="54"/>
      <c r="AH146" s="54"/>
      <c r="AI146" s="55" t="str">
        <f t="shared" si="29"/>
        <v/>
      </c>
      <c r="AW146" s="234"/>
      <c r="BP146" s="11"/>
      <c r="BQ146" s="11"/>
      <c r="BR146" s="235"/>
      <c r="BV146" s="158"/>
      <c r="BY146" s="158"/>
      <c r="CB146" s="158"/>
    </row>
    <row r="147" ht="18.0" customHeight="1">
      <c r="A147" s="222">
        <f>IFERROR(__xludf.DUMMYFUNCTION("""COMPUTED_VALUE"""),2026.0)</f>
        <v>2026</v>
      </c>
      <c r="B147" s="221">
        <f>IFERROR(__xludf.DUMMYFUNCTION("""COMPUTED_VALUE"""),1.1363241E7)</f>
        <v>11363241</v>
      </c>
      <c r="C147" s="222" t="str">
        <f>IFERROR(__xludf.DUMMYFUNCTION("""COMPUTED_VALUE"""),"RDR TAK PT3 P2I2 TAMBAHAN SUNGAI PAKU")</f>
        <v>RDR TAK PT3 P2I2 TAMBAHAN SUNGAI PAKU</v>
      </c>
      <c r="D147" s="222" t="str">
        <f>IFERROR(__xludf.DUMMYFUNCTION("""COMPUTED_VALUE"""),"REGIONAL I")</f>
        <v>REGIONAL I</v>
      </c>
      <c r="E147" s="222" t="str">
        <f>IFERROR(__xludf.DUMMYFUNCTION("""COMPUTED_VALUE"""),"RIDAR")</f>
        <v>RIDAR</v>
      </c>
      <c r="F147" s="222" t="str">
        <f>IFERROR(__xludf.DUMMYFUNCTION("""COMPUTED_VALUE"""),"TAK")</f>
        <v>TAK</v>
      </c>
      <c r="G147" s="222" t="str">
        <f>IFERROR(__xludf.DUMMYFUNCTION("""COMPUTED_VALUE"""),"SUMBAGTENG")</f>
        <v>SUMBAGTENG</v>
      </c>
      <c r="H147" s="222" t="str">
        <f>IFERROR(__xludf.DUMMYFUNCTION("""COMPUTED_VALUE"""),"DUMAI")</f>
        <v>DUMAI</v>
      </c>
      <c r="I147" s="222" t="str">
        <f>IFERROR(__xludf.DUMMYFUNCTION("""COMPUTED_VALUE"""),"Batch 2")</f>
        <v>Batch 2</v>
      </c>
      <c r="J147" s="225">
        <f>IFERROR(__xludf.DUMMYFUNCTION("""COMPUTED_VALUE"""),14.0)</f>
        <v>14</v>
      </c>
      <c r="K147" s="224">
        <f>IFERROR(__xludf.DUMMYFUNCTION("""COMPUTED_VALUE"""),112.0)</f>
        <v>112</v>
      </c>
      <c r="L147" s="226">
        <f>IFERROR(__xludf.DUMMYFUNCTION("""COMPUTED_VALUE"""),1461991.0)</f>
        <v>1461991</v>
      </c>
      <c r="M147" s="227">
        <f>IFERROR(__xludf.DUMMYFUNCTION("""COMPUTED_VALUE"""),1.6374298E8)</f>
        <v>163742980</v>
      </c>
      <c r="N147" s="222" t="str">
        <f>IFERROR(__xludf.DUMMYFUNCTION("""COMPUTED_VALUE"""),"PT TRIPOLA PANATA")</f>
        <v>PT TRIPOLA PANATA</v>
      </c>
      <c r="O147" s="222" t="str">
        <f>IFERROR(__xludf.DUMMYFUNCTION("""COMPUTED_VALUE"""),"7. GOLIVE")</f>
        <v>7. GOLIVE</v>
      </c>
      <c r="P147" s="222" t="str">
        <f>IFERROR(__xludf.DUMMYFUNCTION("""COMPUTED_VALUE"""),"7.2 Golive Full / OA / DONE OTB")</f>
        <v>7.2 Golive Full / OA / DONE OTB</v>
      </c>
      <c r="Q147" s="222" t="str">
        <f>IFERROR(__xludf.DUMMYFUNCTION("""COMPUTED_VALUE"""),"16/03 Proses jumper dan valins 05/03 Penanaman tiang dan penarikan kabel 10/02 Antrian Tim Mitra 29/01 Antrian Review hasil anwidzing 21/01 Terget selesai survey 24 Jan (07/01) Persiapan")</f>
        <v>16/03 Proses jumper dan valins 05/03 Penanaman tiang dan penarikan kabel 10/02 Antrian Tim Mitra 29/01 Antrian Review hasil anwidzing 21/01 Terget selesai survey 24 Jan (07/01) Persiapan</v>
      </c>
      <c r="R147" s="228">
        <f>IFERROR(__xludf.DUMMYFUNCTION("""COMPUTED_VALUE"""),46097.0)</f>
        <v>46097</v>
      </c>
      <c r="S147" s="11" t="str">
        <f>IFERROR(__xludf.DUMMYFUNCTION("""COMPUTED_VALUE"""),"MAR")</f>
        <v>MAR</v>
      </c>
      <c r="T147" s="11" t="str">
        <f>IFERROR(__xludf.DUMMYFUNCTION("""COMPUTED_VALUE"""),"P1")</f>
        <v>P1</v>
      </c>
      <c r="U147" s="11" t="str">
        <f>IFERROR(__xludf.DUMMYFUNCTION("""COMPUTED_VALUE"""),"W08-2136/2025")</f>
        <v>W08-2136/2025</v>
      </c>
      <c r="V147" s="229" t="str">
        <f>IFERROR(__xludf.DUMMYFUNCTION("""COMPUTED_VALUE"""),"SYAFRIAL")</f>
        <v>SYAFRIAL</v>
      </c>
      <c r="W147" s="229" t="str">
        <f>IFERROR(__xludf.DUMMYFUNCTION("""COMPUTED_VALUE"""),"ANZALA SAKINAH")</f>
        <v>ANZALA SAKINAH</v>
      </c>
      <c r="X147" s="229" t="str">
        <f>IFERROR(__xludf.DUMMYFUNCTION("""COMPUTED_VALUE"""),"GOLIVE")</f>
        <v>GOLIVE</v>
      </c>
      <c r="Y147" s="229" t="str">
        <f>IFERROR(__xludf.DUMMYFUNCTION("""COMPUTED_VALUE"""),"DONE")</f>
        <v>DONE</v>
      </c>
      <c r="Z147" s="229" t="str">
        <f>IFERROR(__xludf.DUMMYFUNCTION("""COMPUTED_VALUE"""),"#N/A")</f>
        <v>#N/A</v>
      </c>
      <c r="AA147" s="229">
        <f>IFERROR(__xludf.DUMMYFUNCTION("""COMPUTED_VALUE"""),14.0)</f>
        <v>14</v>
      </c>
      <c r="AB147" s="229"/>
      <c r="AC147" s="229" t="str">
        <f>IFERROR(__xludf.DUMMYFUNCTION("""COMPUTED_VALUE"""),"8835826#8835831")</f>
        <v>8835826#8835831</v>
      </c>
      <c r="AD147" s="232">
        <f>IFERROR(__xludf.DUMMYFUNCTION("""COMPUTED_VALUE"""),112.0)</f>
        <v>112</v>
      </c>
      <c r="AE147" s="233">
        <f>IFERROR(__xludf.DUMMYFUNCTION("""COMPUTED_VALUE"""),46099.0)</f>
        <v>46099</v>
      </c>
      <c r="AF147" s="54"/>
      <c r="AG147" s="54"/>
      <c r="AH147" s="54">
        <v>46097.0</v>
      </c>
      <c r="AI147" s="55">
        <f>IF(OR(AH147="",AE147=""),"",AH147-AE147)</f>
        <v>-2</v>
      </c>
      <c r="AW147" s="234"/>
      <c r="BP147" s="11"/>
      <c r="BQ147" s="11"/>
      <c r="BR147" s="235"/>
      <c r="BV147" s="158"/>
      <c r="BY147" s="158"/>
      <c r="CB147" s="158"/>
    </row>
    <row r="148" ht="18.0" hidden="1" customHeight="1">
      <c r="A148" s="222">
        <f>IFERROR(__xludf.DUMMYFUNCTION("""COMPUTED_VALUE"""),2026.0)</f>
        <v>2026</v>
      </c>
      <c r="B148" s="221">
        <f>IFERROR(__xludf.DUMMYFUNCTION("""COMPUTED_VALUE"""),1.1393369E7)</f>
        <v>11393369</v>
      </c>
      <c r="C148" s="222" t="str">
        <f>IFERROR(__xludf.DUMMYFUNCTION("""COMPUTED_VALUE"""),"MDN PT3 KUL-FJ LANGKAT_11246")</f>
        <v>MDN PT3 KUL-FJ LANGKAT_11246</v>
      </c>
      <c r="D148" s="222" t="str">
        <f>IFERROR(__xludf.DUMMYFUNCTION("""COMPUTED_VALUE"""),"REGIONAL I")</f>
        <v>REGIONAL I</v>
      </c>
      <c r="E148" s="222" t="str">
        <f>IFERROR(__xludf.DUMMYFUNCTION("""COMPUTED_VALUE"""),"MEDAN")</f>
        <v>MEDAN</v>
      </c>
      <c r="F148" s="222" t="str">
        <f>IFERROR(__xludf.DUMMYFUNCTION("""COMPUTED_VALUE"""),"KUL")</f>
        <v>KUL</v>
      </c>
      <c r="G148" s="222" t="str">
        <f>IFERROR(__xludf.DUMMYFUNCTION("""COMPUTED_VALUE"""),"SUMBAGUT")</f>
        <v>SUMBAGUT</v>
      </c>
      <c r="H148" s="222" t="str">
        <f>IFERROR(__xludf.DUMMYFUNCTION("""COMPUTED_VALUE"""),"BINJAI")</f>
        <v>BINJAI</v>
      </c>
      <c r="I148" s="222" t="str">
        <f>IFERROR(__xludf.DUMMYFUNCTION("""COMPUTED_VALUE"""),"Batch 2")</f>
        <v>Batch 2</v>
      </c>
      <c r="J148" s="225">
        <f>IFERROR(__xludf.DUMMYFUNCTION("""COMPUTED_VALUE"""),2.0)</f>
        <v>2</v>
      </c>
      <c r="K148" s="224">
        <f>IFERROR(__xludf.DUMMYFUNCTION("""COMPUTED_VALUE"""),16.0)</f>
        <v>16</v>
      </c>
      <c r="L148" s="226">
        <f>IFERROR(__xludf.DUMMYFUNCTION("""COMPUTED_VALUE"""),1325329.0)</f>
        <v>1325329</v>
      </c>
      <c r="M148" s="227">
        <f>IFERROR(__xludf.DUMMYFUNCTION("""COMPUTED_VALUE"""),2.120525E7)</f>
        <v>21205250</v>
      </c>
      <c r="N148" s="222" t="str">
        <f>IFERROR(__xludf.DUMMYFUNCTION("""COMPUTED_VALUE"""),"PT KENCANA RAYA INDONESIA")</f>
        <v>PT KENCANA RAYA INDONESIA</v>
      </c>
      <c r="O148" s="222" t="str">
        <f>IFERROR(__xludf.DUMMYFUNCTION("""COMPUTED_VALUE"""),"0. DROP")</f>
        <v>0. DROP</v>
      </c>
      <c r="P148" s="222" t="str">
        <f>IFERROR(__xludf.DUMMYFUNCTION("""COMPUTED_VALUE"""),"0.4 CPP Tinggi Acc ED TIF")</f>
        <v>0.4 CPP Tinggi Acc ED TIF</v>
      </c>
      <c r="Q148" s="222" t="str">
        <f>IFERROR(__xludf.DUMMYFUNCTION("""COMPUTED_VALUE"""),"14/02 feeder redaman tinggi 
(07/01) Persiapan")</f>
        <v>14/02 feeder redaman tinggi 
(07/01) Persiapan</v>
      </c>
      <c r="R148" s="228"/>
      <c r="S148" s="11"/>
      <c r="T148" s="11"/>
      <c r="U148" s="11"/>
      <c r="V148" s="229"/>
      <c r="W148" s="229"/>
      <c r="X148" s="229" t="str">
        <f>IFERROR(__xludf.DUMMYFUNCTION("""COMPUTED_VALUE"""),"BELUM GOLIVE")</f>
        <v>BELUM GOLIVE</v>
      </c>
      <c r="Y148" s="229"/>
      <c r="Z148" s="229" t="str">
        <f>IFERROR(__xludf.DUMMYFUNCTION("""COMPUTED_VALUE"""),"#N/A")</f>
        <v>#N/A</v>
      </c>
      <c r="AA148" s="229"/>
      <c r="AB148" s="229"/>
      <c r="AC148" s="229"/>
      <c r="AD148" s="232"/>
      <c r="AE148" s="233"/>
      <c r="AF148" s="54" t="str">
        <f>IFERROR(__xludf.DUMMYFUNCTION("""COMPUTED_VALUE"""),"Draft BA DROP")</f>
        <v>Draft BA DROP</v>
      </c>
      <c r="AG148" s="54"/>
      <c r="AH148" s="54"/>
      <c r="AI148" s="55" t="str">
        <f t="shared" ref="AI148:AI150" si="30">IF(OR(R148="",AE148=""),"",R148-AE148)</f>
        <v/>
      </c>
      <c r="AW148" s="234"/>
      <c r="BP148" s="11"/>
      <c r="BQ148" s="11"/>
      <c r="BR148" s="235"/>
      <c r="BV148" s="158"/>
      <c r="BY148" s="158"/>
      <c r="CB148" s="158"/>
    </row>
    <row r="149" ht="18.0" hidden="1" customHeight="1">
      <c r="A149" s="222">
        <f>IFERROR(__xludf.DUMMYFUNCTION("""COMPUTED_VALUE"""),2026.0)</f>
        <v>2026</v>
      </c>
      <c r="B149" s="221">
        <f>IFERROR(__xludf.DUMMYFUNCTION("""COMPUTED_VALUE"""),1.1131352E7)</f>
        <v>11131352</v>
      </c>
      <c r="C149" s="222" t="str">
        <f>IFERROR(__xludf.DUMMYFUNCTION("""COMPUTED_VALUE"""),"MDN PT3 P7I6 TMU-FAB JL.KOLAM BELAKANG")</f>
        <v>MDN PT3 P7I6 TMU-FAB JL.KOLAM BELAKANG</v>
      </c>
      <c r="D149" s="222" t="str">
        <f>IFERROR(__xludf.DUMMYFUNCTION("""COMPUTED_VALUE"""),"REGIONAL I")</f>
        <v>REGIONAL I</v>
      </c>
      <c r="E149" s="222" t="str">
        <f>IFERROR(__xludf.DUMMYFUNCTION("""COMPUTED_VALUE"""),"MEDAN")</f>
        <v>MEDAN</v>
      </c>
      <c r="F149" s="222" t="str">
        <f>IFERROR(__xludf.DUMMYFUNCTION("""COMPUTED_VALUE"""),"TMU")</f>
        <v>TMU</v>
      </c>
      <c r="G149" s="222" t="str">
        <f>IFERROR(__xludf.DUMMYFUNCTION("""COMPUTED_VALUE"""),"SUMBAGUT")</f>
        <v>SUMBAGUT</v>
      </c>
      <c r="H149" s="222" t="str">
        <f>IFERROR(__xludf.DUMMYFUNCTION("""COMPUTED_VALUE"""),"MEDAN")</f>
        <v>MEDAN</v>
      </c>
      <c r="I149" s="222" t="str">
        <f>IFERROR(__xludf.DUMMYFUNCTION("""COMPUTED_VALUE"""),"Batch 2")</f>
        <v>Batch 2</v>
      </c>
      <c r="J149" s="225">
        <f>IFERROR(__xludf.DUMMYFUNCTION("""COMPUTED_VALUE"""),3.0)</f>
        <v>3</v>
      </c>
      <c r="K149" s="224">
        <f>IFERROR(__xludf.DUMMYFUNCTION("""COMPUTED_VALUE"""),24.0)</f>
        <v>24</v>
      </c>
      <c r="L149" s="226">
        <f>IFERROR(__xludf.DUMMYFUNCTION("""COMPUTED_VALUE"""),1212224.0)</f>
        <v>1212224</v>
      </c>
      <c r="M149" s="227">
        <f>IFERROR(__xludf.DUMMYFUNCTION("""COMPUTED_VALUE"""),2.9093353E7)</f>
        <v>29093353</v>
      </c>
      <c r="N149" s="222" t="str">
        <f>IFERROR(__xludf.DUMMYFUNCTION("""COMPUTED_VALUE"""),"PT DUL JAYA TAMA")</f>
        <v>PT DUL JAYA TAMA</v>
      </c>
      <c r="O149" s="222" t="str">
        <f>IFERROR(__xludf.DUMMYFUNCTION("""COMPUTED_VALUE"""),"7. GOLIVE")</f>
        <v>7. GOLIVE</v>
      </c>
      <c r="P149" s="222" t="str">
        <f>IFERROR(__xludf.DUMMYFUNCTION("""COMPUTED_VALUE"""),"7.2 Golive Full / OA / DONE OTB")</f>
        <v>7.2 Golive Full / OA / DONE OTB</v>
      </c>
      <c r="Q149" s="222" t="str">
        <f>IFERROR(__xludf.DUMMYFUNCTION("""COMPUTED_VALUE"""),"16/03 done abd 06/03 jumper ODC 09/03 03/03 penanaman tiang 03/02 pengambilan material 25/02 Pengajuan commcase 3.5 jt 25/02 cek perizinan ada sisa kaki feeder 13/02 menunggu LoP MDN PT4 TMU-FAB ODP PRIORITAS 02/02 Feeder Tidak Tembus")</f>
        <v>16/03 done abd 06/03 jumper ODC 09/03 03/03 penanaman tiang 03/02 pengambilan material 25/02 Pengajuan commcase 3.5 jt 25/02 cek perizinan ada sisa kaki feeder 13/02 menunggu LoP MDN PT4 TMU-FAB ODP PRIORITAS 02/02 Feeder Tidak Tembus</v>
      </c>
      <c r="R149" s="228">
        <f>IFERROR(__xludf.DUMMYFUNCTION("""COMPUTED_VALUE"""),46097.0)</f>
        <v>46097</v>
      </c>
      <c r="S149" s="11" t="str">
        <f>IFERROR(__xludf.DUMMYFUNCTION("""COMPUTED_VALUE"""),"MAR")</f>
        <v>MAR</v>
      </c>
      <c r="T149" s="11"/>
      <c r="U149" s="11"/>
      <c r="V149" s="229"/>
      <c r="W149" s="229"/>
      <c r="X149" s="229" t="str">
        <f>IFERROR(__xludf.DUMMYFUNCTION("""COMPUTED_VALUE"""),"GOLIVE")</f>
        <v>GOLIVE</v>
      </c>
      <c r="Y149" s="229" t="str">
        <f>IFERROR(__xludf.DUMMYFUNCTION("""COMPUTED_VALUE"""),"DONE")</f>
        <v>DONE</v>
      </c>
      <c r="Z149" s="229" t="str">
        <f>IFERROR(__xludf.DUMMYFUNCTION("""COMPUTED_VALUE"""),"#N/A")</f>
        <v>#N/A</v>
      </c>
      <c r="AA149" s="229">
        <f>IFERROR(__xludf.DUMMYFUNCTION("""COMPUTED_VALUE"""),3.0)</f>
        <v>3</v>
      </c>
      <c r="AB149" s="229"/>
      <c r="AC149" s="229" t="str">
        <f>IFERROR(__xludf.DUMMYFUNCTION("""COMPUTED_VALUE"""),"9214060#9214065")</f>
        <v>9214060#9214065</v>
      </c>
      <c r="AD149" s="232">
        <f>IFERROR(__xludf.DUMMYFUNCTION("""COMPUTED_VALUE"""),24.0)</f>
        <v>24</v>
      </c>
      <c r="AE149" s="233">
        <f>IFERROR(__xludf.DUMMYFUNCTION("""COMPUTED_VALUE"""),46098.0)</f>
        <v>46098</v>
      </c>
      <c r="AF149" s="54"/>
      <c r="AG149" s="54"/>
      <c r="AH149" s="54">
        <v>46097.0</v>
      </c>
      <c r="AI149" s="55">
        <f t="shared" si="30"/>
        <v>-1</v>
      </c>
      <c r="AW149" s="234"/>
      <c r="BP149" s="11"/>
      <c r="BQ149" s="11"/>
      <c r="BR149" s="235"/>
      <c r="BV149" s="158"/>
      <c r="BY149" s="158"/>
      <c r="CB149" s="158"/>
    </row>
    <row r="150" ht="18.0" customHeight="1">
      <c r="A150" s="222">
        <f>IFERROR(__xludf.DUMMYFUNCTION("""COMPUTED_VALUE"""),2026.0)</f>
        <v>2026</v>
      </c>
      <c r="B150" s="221">
        <f>IFERROR(__xludf.DUMMYFUNCTION("""COMPUTED_VALUE"""),1.1353478E7)</f>
        <v>11353478</v>
      </c>
      <c r="C150" s="222" t="str">
        <f>IFERROR(__xludf.DUMMYFUNCTION("""COMPUTED_VALUE"""),"SMB P2I2 Gunung Sarik 1")</f>
        <v>SMB P2I2 Gunung Sarik 1</v>
      </c>
      <c r="D150" s="222" t="str">
        <f>IFERROR(__xludf.DUMMYFUNCTION("""COMPUTED_VALUE"""),"REGIONAL I")</f>
        <v>REGIONAL I</v>
      </c>
      <c r="E150" s="222" t="str">
        <f>IFERROR(__xludf.DUMMYFUNCTION("""COMPUTED_VALUE"""),"SUMBAR")</f>
        <v>SUMBAR</v>
      </c>
      <c r="F150" s="222" t="str">
        <f>IFERROR(__xludf.DUMMYFUNCTION("""COMPUTED_VALUE"""),"KJI")</f>
        <v>KJI</v>
      </c>
      <c r="G150" s="222" t="str">
        <f>IFERROR(__xludf.DUMMYFUNCTION("""COMPUTED_VALUE"""),"SUMBAGTENG")</f>
        <v>SUMBAGTENG</v>
      </c>
      <c r="H150" s="222" t="str">
        <f>IFERROR(__xludf.DUMMYFUNCTION("""COMPUTED_VALUE"""),"PADANG")</f>
        <v>PADANG</v>
      </c>
      <c r="I150" s="222" t="str">
        <f>IFERROR(__xludf.DUMMYFUNCTION("""COMPUTED_VALUE"""),"Batch 2")</f>
        <v>Batch 2</v>
      </c>
      <c r="J150" s="225">
        <f>IFERROR(__xludf.DUMMYFUNCTION("""COMPUTED_VALUE"""),8.0)</f>
        <v>8</v>
      </c>
      <c r="K150" s="224">
        <f>IFERROR(__xludf.DUMMYFUNCTION("""COMPUTED_VALUE"""),64.0)</f>
        <v>64</v>
      </c>
      <c r="L150" s="226">
        <f>IFERROR(__xludf.DUMMYFUNCTION("""COMPUTED_VALUE"""),1461293.0)</f>
        <v>1461293</v>
      </c>
      <c r="M150" s="227">
        <f>IFERROR(__xludf.DUMMYFUNCTION("""COMPUTED_VALUE"""),9.3522724E7)</f>
        <v>93522724</v>
      </c>
      <c r="N150" s="222" t="str">
        <f>IFERROR(__xludf.DUMMYFUNCTION("""COMPUTED_VALUE"""),"PT TRI PENAMAS")</f>
        <v>PT TRI PENAMAS</v>
      </c>
      <c r="O150" s="222" t="str">
        <f>IFERROR(__xludf.DUMMYFUNCTION("""COMPUTED_VALUE"""),"4. MATDEL")</f>
        <v>4. MATDEL</v>
      </c>
      <c r="P150" s="222" t="str">
        <f>IFERROR(__xludf.DUMMYFUNCTION("""COMPUTED_VALUE"""),"4.4 Proses Pengiriman Pabribak ke WH")</f>
        <v>4.4 Proses Pengiriman Pabribak ke WH</v>
      </c>
      <c r="Q150" s="222" t="str">
        <f>IFERROR(__xludf.DUMMYFUNCTION("""COMPUTED_VALUE"""),"(27/04) menunggu PO kabel 24 ADSS dan KU 96 ADSS  (20/04) sudah aanwijziing, proses eval  (10/04) Proses aanwijziing , LOP HOLD FEEDER FULL ACC GO 08/01 KENDALA FEEDER KJI-FN FULL (07/01) Persiapan")</f>
        <v>(27/04) menunggu PO kabel 24 ADSS dan KU 96 ADSS  (20/04) sudah aanwijziing, proses eval  (10/04) Proses aanwijziing , LOP HOLD FEEDER FULL ACC GO 08/01 KENDALA FEEDER KJI-FN FULL (07/01) Persiapan</v>
      </c>
      <c r="R150" s="228"/>
      <c r="S150" s="11"/>
      <c r="T150" s="11"/>
      <c r="U150" s="11"/>
      <c r="V150" s="229" t="str">
        <f>IFERROR(__xludf.DUMMYFUNCTION("""COMPUTED_VALUE"""),"FABIO RAHMAN")</f>
        <v>FABIO RAHMAN</v>
      </c>
      <c r="W150" s="229" t="str">
        <f>IFERROR(__xludf.DUMMYFUNCTION("""COMPUTED_VALUE"""),"MELKO NARWADI")</f>
        <v>MELKO NARWADI</v>
      </c>
      <c r="X150" s="229" t="str">
        <f>IFERROR(__xludf.DUMMYFUNCTION("""COMPUTED_VALUE"""),"BELUM GOLIVE")</f>
        <v>BELUM GOLIVE</v>
      </c>
      <c r="Y150" s="229"/>
      <c r="Z150" s="229" t="str">
        <f>IFERROR(__xludf.DUMMYFUNCTION("""COMPUTED_VALUE"""),"#N/A")</f>
        <v>#N/A</v>
      </c>
      <c r="AA150" s="229"/>
      <c r="AB150" s="229"/>
      <c r="AC150" s="229"/>
      <c r="AD150" s="232"/>
      <c r="AE150" s="233"/>
      <c r="AF150" s="54"/>
      <c r="AG150" s="54"/>
      <c r="AH150" s="54"/>
      <c r="AI150" s="55" t="str">
        <f t="shared" si="30"/>
        <v/>
      </c>
      <c r="AW150" s="234"/>
      <c r="BP150" s="11"/>
      <c r="BQ150" s="11"/>
      <c r="BR150" s="235"/>
      <c r="BV150" s="158"/>
      <c r="BY150" s="158"/>
      <c r="CB150" s="158"/>
    </row>
    <row r="151" ht="18.0" customHeight="1">
      <c r="A151" s="222">
        <f>IFERROR(__xludf.DUMMYFUNCTION("""COMPUTED_VALUE"""),2026.0)</f>
        <v>2026</v>
      </c>
      <c r="B151" s="221">
        <f>IFERROR(__xludf.DUMMYFUNCTION("""COMPUTED_VALUE"""),1.2089411E7)</f>
        <v>12089411</v>
      </c>
      <c r="C151" s="222" t="str">
        <f>IFERROR(__xludf.DUMMYFUNCTION("""COMPUTED_VALUE"""),"RKP TSEL PT3 TUB-FJ 250_475_4125")</f>
        <v>RKP TSEL PT3 TUB-FJ 250_475_4125</v>
      </c>
      <c r="D151" s="222" t="str">
        <f>IFERROR(__xludf.DUMMYFUNCTION("""COMPUTED_VALUE"""),"REGIONAL I")</f>
        <v>REGIONAL I</v>
      </c>
      <c r="E151" s="222" t="str">
        <f>IFERROR(__xludf.DUMMYFUNCTION("""COMPUTED_VALUE"""),"RIKEP")</f>
        <v>RIKEP</v>
      </c>
      <c r="F151" s="222" t="str">
        <f>IFERROR(__xludf.DUMMYFUNCTION("""COMPUTED_VALUE"""),"TUB")</f>
        <v>TUB</v>
      </c>
      <c r="G151" s="222" t="str">
        <f>IFERROR(__xludf.DUMMYFUNCTION("""COMPUTED_VALUE"""),"SUMBAGTENG")</f>
        <v>SUMBAGTENG</v>
      </c>
      <c r="H151" s="222" t="str">
        <f>IFERROR(__xludf.DUMMYFUNCTION("""COMPUTED_VALUE"""),"BATAM")</f>
        <v>BATAM</v>
      </c>
      <c r="I151" s="222" t="str">
        <f>IFERROR(__xludf.DUMMYFUNCTION("""COMPUTED_VALUE"""),"Batch 2")</f>
        <v>Batch 2</v>
      </c>
      <c r="J151" s="225">
        <f>IFERROR(__xludf.DUMMYFUNCTION("""COMPUTED_VALUE"""),1.0)</f>
        <v>1</v>
      </c>
      <c r="K151" s="224">
        <f>IFERROR(__xludf.DUMMYFUNCTION("""COMPUTED_VALUE"""),8.0)</f>
        <v>8</v>
      </c>
      <c r="L151" s="226">
        <f>IFERROR(__xludf.DUMMYFUNCTION("""COMPUTED_VALUE"""),1460362.0)</f>
        <v>1460362</v>
      </c>
      <c r="M151" s="227">
        <f>IFERROR(__xludf.DUMMYFUNCTION("""COMPUTED_VALUE"""),1.1682894E7)</f>
        <v>11682894</v>
      </c>
      <c r="N151" s="222" t="str">
        <f>IFERROR(__xludf.DUMMYFUNCTION("""COMPUTED_VALUE"""),"PT SALTTEK DUMPANG JAYA")</f>
        <v>PT SALTTEK DUMPANG JAYA</v>
      </c>
      <c r="O151" s="222" t="str">
        <f>IFERROR(__xludf.DUMMYFUNCTION("""COMPUTED_VALUE"""),"7. GOLIVE")</f>
        <v>7. GOLIVE</v>
      </c>
      <c r="P151" s="222" t="str">
        <f>IFERROR(__xludf.DUMMYFUNCTION("""COMPUTED_VALUE"""),"7.2 Golive Full / OA / DONE OTB")</f>
        <v>7.2 Golive Full / OA / DONE OTB</v>
      </c>
      <c r="Q151" s="222" t="str">
        <f>IFERROR(__xludf.DUMMYFUNCTION("""COMPUTED_VALUE"""),"27/02 Progres tanam tiang. 25/02 plan installasi tanggal 4 Maret Plan FI tanggal 6 Maret. 12/02 Plan progres 24 Feb, Plan FI tanggal, 26 Feb.  12/02 Plan progres tanjung uban tanggal 23, 04/02 Plan Progres, setelah selesai mengerjakan LOP di STO KMS. 28/0"&amp;"1 Anwijzing OK nilai survey turun, proses perizinan. 21/01 Plan anwijzing di minggu depan 27 jan")</f>
        <v>27/02 Progres tanam tiang. 25/02 plan installasi tanggal 4 Maret Plan FI tanggal 6 Maret. 12/02 Plan progres 24 Feb, Plan FI tanggal, 26 Feb.  12/02 Plan progres tanjung uban tanggal 23, 04/02 Plan Progres, setelah selesai mengerjakan LOP di STO KMS. 28/01 Anwijzing OK nilai survey turun, proses perizinan. 21/01 Plan anwijzing di minggu depan 27 jan</v>
      </c>
      <c r="R151" s="228">
        <f>IFERROR(__xludf.DUMMYFUNCTION("""COMPUTED_VALUE"""),46084.0)</f>
        <v>46084</v>
      </c>
      <c r="S151" s="11" t="str">
        <f>IFERROR(__xludf.DUMMYFUNCTION("""COMPUTED_VALUE"""),"MAR")</f>
        <v>MAR</v>
      </c>
      <c r="T151" s="11"/>
      <c r="U151" s="11" t="str">
        <f>IFERROR(__xludf.DUMMYFUNCTION("""COMPUTED_VALUE"""),"W09-107/2026")</f>
        <v>W09-107/2026</v>
      </c>
      <c r="V151" s="229" t="str">
        <f>IFERROR(__xludf.DUMMYFUNCTION("""COMPUTED_VALUE"""),"DEDY IRAWAN")</f>
        <v>DEDY IRAWAN</v>
      </c>
      <c r="W151" s="229" t="str">
        <f>IFERROR(__xludf.DUMMYFUNCTION("""COMPUTED_VALUE"""),"LEVITA INDRIYANI")</f>
        <v>LEVITA INDRIYANI</v>
      </c>
      <c r="X151" s="229" t="str">
        <f>IFERROR(__xludf.DUMMYFUNCTION("""COMPUTED_VALUE"""),"GOLIVE")</f>
        <v>GOLIVE</v>
      </c>
      <c r="Y151" s="229" t="str">
        <f>IFERROR(__xludf.DUMMYFUNCTION("""COMPUTED_VALUE"""),"DONE")</f>
        <v>DONE</v>
      </c>
      <c r="Z151" s="229" t="str">
        <f>IFERROR(__xludf.DUMMYFUNCTION("""COMPUTED_VALUE"""),"#N/A")</f>
        <v>#N/A</v>
      </c>
      <c r="AA151" s="229">
        <f>IFERROR(__xludf.DUMMYFUNCTION("""COMPUTED_VALUE"""),1.0)</f>
        <v>1</v>
      </c>
      <c r="AB151" s="229"/>
      <c r="AC151" s="229" t="str">
        <f>IFERROR(__xludf.DUMMYFUNCTION("""COMPUTED_VALUE"""),"9041972#9041977")</f>
        <v>9041972#9041977</v>
      </c>
      <c r="AD151" s="232">
        <f>IFERROR(__xludf.DUMMYFUNCTION("""COMPUTED_VALUE"""),8.0)</f>
        <v>8</v>
      </c>
      <c r="AE151" s="233">
        <f>IFERROR(__xludf.DUMMYFUNCTION("""COMPUTED_VALUE"""),46084.0)</f>
        <v>46084</v>
      </c>
      <c r="AF151" s="54"/>
      <c r="AG151" s="54"/>
      <c r="AH151" s="54">
        <v>46084.0</v>
      </c>
      <c r="AI151" s="55">
        <f>IF(OR(AH151="",AE151=""),"",AH151-AE151)</f>
        <v>0</v>
      </c>
      <c r="AW151" s="234"/>
      <c r="BP151" s="11"/>
      <c r="BQ151" s="11"/>
      <c r="BR151" s="235"/>
      <c r="BV151" s="158"/>
      <c r="BY151" s="158"/>
      <c r="CB151" s="158"/>
    </row>
    <row r="152" ht="18.0" hidden="1" customHeight="1">
      <c r="A152" s="222">
        <f>IFERROR(__xludf.DUMMYFUNCTION("""COMPUTED_VALUE"""),2026.0)</f>
        <v>2026</v>
      </c>
      <c r="B152" s="221">
        <f>IFERROR(__xludf.DUMMYFUNCTION("""COMPUTED_VALUE"""),1.1843092E7)</f>
        <v>11843092</v>
      </c>
      <c r="C152" s="222" t="str">
        <f>IFERROR(__xludf.DUMMYFUNCTION("""COMPUTED_VALUE"""),"MDN PT3 PRT-FD JL.PS 3 GG.PERMUS_MD25")</f>
        <v>MDN PT3 PRT-FD JL.PS 3 GG.PERMUS_MD25</v>
      </c>
      <c r="D152" s="222" t="str">
        <f>IFERROR(__xludf.DUMMYFUNCTION("""COMPUTED_VALUE"""),"REGIONAL I")</f>
        <v>REGIONAL I</v>
      </c>
      <c r="E152" s="222" t="str">
        <f>IFERROR(__xludf.DUMMYFUNCTION("""COMPUTED_VALUE"""),"MEDAN")</f>
        <v>MEDAN</v>
      </c>
      <c r="F152" s="222" t="str">
        <f>IFERROR(__xludf.DUMMYFUNCTION("""COMPUTED_VALUE"""),"PRT")</f>
        <v>PRT</v>
      </c>
      <c r="G152" s="222" t="str">
        <f>IFERROR(__xludf.DUMMYFUNCTION("""COMPUTED_VALUE"""),"SUMBAGUT")</f>
        <v>SUMBAGUT</v>
      </c>
      <c r="H152" s="222" t="str">
        <f>IFERROR(__xludf.DUMMYFUNCTION("""COMPUTED_VALUE"""),"MEDAN")</f>
        <v>MEDAN</v>
      </c>
      <c r="I152" s="222" t="str">
        <f>IFERROR(__xludf.DUMMYFUNCTION("""COMPUTED_VALUE"""),"Batch 2")</f>
        <v>Batch 2</v>
      </c>
      <c r="J152" s="225">
        <f>IFERROR(__xludf.DUMMYFUNCTION("""COMPUTED_VALUE"""),1.0)</f>
        <v>1</v>
      </c>
      <c r="K152" s="224">
        <f>IFERROR(__xludf.DUMMYFUNCTION("""COMPUTED_VALUE"""),8.0)</f>
        <v>8</v>
      </c>
      <c r="L152" s="226">
        <f>IFERROR(__xludf.DUMMYFUNCTION("""COMPUTED_VALUE"""),1460050.0)</f>
        <v>1460050</v>
      </c>
      <c r="M152" s="227">
        <f>IFERROR(__xludf.DUMMYFUNCTION("""COMPUTED_VALUE"""),1.1680399E7)</f>
        <v>11680399</v>
      </c>
      <c r="N152" s="222" t="str">
        <f>IFERROR(__xludf.DUMMYFUNCTION("""COMPUTED_VALUE"""),"PT BENWA  MITRA PRATAMA")</f>
        <v>PT BENWA  MITRA PRATAMA</v>
      </c>
      <c r="O152" s="222" t="str">
        <f>IFERROR(__xludf.DUMMYFUNCTION("""COMPUTED_VALUE"""),"0. DROP")</f>
        <v>0. DROP</v>
      </c>
      <c r="P152" s="222" t="str">
        <f>IFERROR(__xludf.DUMMYFUNCTION("""COMPUTED_VALUE"""),"0.4 CPP Tinggi Acc ED TIF")</f>
        <v>0.4 CPP Tinggi Acc ED TIF</v>
      </c>
      <c r="Q152" s="222" t="str">
        <f>IFERROR(__xludf.DUMMYFUNCTION("""COMPUTED_VALUE"""),"10/02 Komitmen Aanwidzing 13/02/2026 26/01 Done Order, lnjut Aanwidzing")</f>
        <v>10/02 Komitmen Aanwidzing 13/02/2026 26/01 Done Order, lnjut Aanwidzing</v>
      </c>
      <c r="R152" s="228"/>
      <c r="S152" s="11"/>
      <c r="T152" s="11"/>
      <c r="U152" s="11"/>
      <c r="V152" s="229"/>
      <c r="W152" s="229"/>
      <c r="X152" s="229" t="str">
        <f>IFERROR(__xludf.DUMMYFUNCTION("""COMPUTED_VALUE"""),"BELUM GOLIVE")</f>
        <v>BELUM GOLIVE</v>
      </c>
      <c r="Y152" s="229"/>
      <c r="Z152" s="229" t="str">
        <f>IFERROR(__xludf.DUMMYFUNCTION("""COMPUTED_VALUE"""),"#N/A")</f>
        <v>#N/A</v>
      </c>
      <c r="AA152" s="229"/>
      <c r="AB152" s="229"/>
      <c r="AC152" s="229"/>
      <c r="AD152" s="232"/>
      <c r="AE152" s="233"/>
      <c r="AF152" s="54" t="str">
        <f>IFERROR(__xludf.DUMMYFUNCTION("""COMPUTED_VALUE"""),"Draft BA DROP")</f>
        <v>Draft BA DROP</v>
      </c>
      <c r="AG152" s="54"/>
      <c r="AH152" s="54"/>
      <c r="AI152" s="55" t="str">
        <f t="shared" ref="AI152:AI167" si="31">IF(OR(R152="",AE152=""),"",R152-AE152)</f>
        <v/>
      </c>
      <c r="AW152" s="234"/>
      <c r="BP152" s="11"/>
      <c r="BQ152" s="11"/>
      <c r="BR152" s="235"/>
      <c r="BV152" s="158"/>
      <c r="BY152" s="158"/>
      <c r="CB152" s="158"/>
    </row>
    <row r="153" ht="18.0" hidden="1" customHeight="1">
      <c r="A153" s="222">
        <f>IFERROR(__xludf.DUMMYFUNCTION("""COMPUTED_VALUE"""),2026.0)</f>
        <v>2026</v>
      </c>
      <c r="B153" s="221">
        <f>IFERROR(__xludf.DUMMYFUNCTION("""COMPUTED_VALUE"""),1.1272361E7)</f>
        <v>11272361</v>
      </c>
      <c r="C153" s="222" t="str">
        <f>IFERROR(__xludf.DUMMYFUNCTION("""COMPUTED_VALUE"""),"MDN PT3 P1I1 SPM-FBV JL.TERATAI")</f>
        <v>MDN PT3 P1I1 SPM-FBV JL.TERATAI</v>
      </c>
      <c r="D153" s="222" t="str">
        <f>IFERROR(__xludf.DUMMYFUNCTION("""COMPUTED_VALUE"""),"REGIONAL I")</f>
        <v>REGIONAL I</v>
      </c>
      <c r="E153" s="222" t="str">
        <f>IFERROR(__xludf.DUMMYFUNCTION("""COMPUTED_VALUE"""),"MEDAN")</f>
        <v>MEDAN</v>
      </c>
      <c r="F153" s="222" t="str">
        <f>IFERROR(__xludf.DUMMYFUNCTION("""COMPUTED_VALUE"""),"SPM")</f>
        <v>SPM</v>
      </c>
      <c r="G153" s="222" t="str">
        <f>IFERROR(__xludf.DUMMYFUNCTION("""COMPUTED_VALUE"""),"SUMBAGUT")</f>
        <v>SUMBAGUT</v>
      </c>
      <c r="H153" s="222" t="str">
        <f>IFERROR(__xludf.DUMMYFUNCTION("""COMPUTED_VALUE"""),"MEDAN")</f>
        <v>MEDAN</v>
      </c>
      <c r="I153" s="222" t="str">
        <f>IFERROR(__xludf.DUMMYFUNCTION("""COMPUTED_VALUE"""),"Batch 2")</f>
        <v>Batch 2</v>
      </c>
      <c r="J153" s="225">
        <f>IFERROR(__xludf.DUMMYFUNCTION("""COMPUTED_VALUE"""),2.0)</f>
        <v>2</v>
      </c>
      <c r="K153" s="224">
        <f>IFERROR(__xludf.DUMMYFUNCTION("""COMPUTED_VALUE"""),16.0)</f>
        <v>16</v>
      </c>
      <c r="L153" s="226">
        <f>IFERROR(__xludf.DUMMYFUNCTION("""COMPUTED_VALUE"""),710627.0)</f>
        <v>710627</v>
      </c>
      <c r="M153" s="227">
        <f>IFERROR(__xludf.DUMMYFUNCTION("""COMPUTED_VALUE"""),1.1370025E7)</f>
        <v>11370025</v>
      </c>
      <c r="N153" s="222" t="str">
        <f>IFERROR(__xludf.DUMMYFUNCTION("""COMPUTED_VALUE"""),"PT UPENTEL INTERNASIONAL")</f>
        <v>PT UPENTEL INTERNASIONAL</v>
      </c>
      <c r="O153" s="222" t="str">
        <f>IFERROR(__xludf.DUMMYFUNCTION("""COMPUTED_VALUE"""),"8. UJI TERIMA")</f>
        <v>8. UJI TERIMA</v>
      </c>
      <c r="P153" s="222" t="str">
        <f>IFERROR(__xludf.DUMMYFUNCTION("""COMPUTED_VALUE"""),"8.1 Proses UT")</f>
        <v>8.1 Proses UT</v>
      </c>
      <c r="Q153" s="222" t="str">
        <f>IFERROR(__xludf.DUMMYFUNCTION("""COMPUTED_VALUE"""),"21/02 Penarikan KU 18/02 Req Material 06/02 Pengajuan biaya kompensasi kelurahan Sari Rejo
07/02 Done Order, Lnjut Aanwidzing")</f>
        <v>21/02 Penarikan KU 18/02 Req Material 06/02 Pengajuan biaya kompensasi kelurahan Sari Rejo
07/02 Done Order, Lnjut Aanwidzing</v>
      </c>
      <c r="R153" s="228"/>
      <c r="S153" s="11"/>
      <c r="T153" s="11"/>
      <c r="U153" s="11" t="str">
        <f>IFERROR(__xludf.DUMMYFUNCTION("""COMPUTED_VALUE"""),"FALSE")</f>
        <v>FALSE</v>
      </c>
      <c r="V153" s="229"/>
      <c r="W153" s="229"/>
      <c r="X153" s="229" t="str">
        <f>IFERROR(__xludf.DUMMYFUNCTION("""COMPUTED_VALUE"""),"GOLIVE")</f>
        <v>GOLIVE</v>
      </c>
      <c r="Y153" s="229" t="str">
        <f>IFERROR(__xludf.DUMMYFUNCTION("""COMPUTED_VALUE"""),"DONE")</f>
        <v>DONE</v>
      </c>
      <c r="Z153" s="229" t="str">
        <f>IFERROR(__xludf.DUMMYFUNCTION("""COMPUTED_VALUE"""),"#N/A")</f>
        <v>#N/A</v>
      </c>
      <c r="AA153" s="229">
        <f>IFERROR(__xludf.DUMMYFUNCTION("""COMPUTED_VALUE"""),2.0)</f>
        <v>2</v>
      </c>
      <c r="AB153" s="229"/>
      <c r="AC153" s="229" t="str">
        <f>IFERROR(__xludf.DUMMYFUNCTION("""COMPUTED_VALUE"""),"9162854#9162859")</f>
        <v>9162854#9162859</v>
      </c>
      <c r="AD153" s="232">
        <f>IFERROR(__xludf.DUMMYFUNCTION("""COMPUTED_VALUE"""),16.0)</f>
        <v>16</v>
      </c>
      <c r="AE153" s="233">
        <f>IFERROR(__xludf.DUMMYFUNCTION("""COMPUTED_VALUE"""),46081.0)</f>
        <v>46081</v>
      </c>
      <c r="AF153" s="54"/>
      <c r="AG153" s="54"/>
      <c r="AH153" s="54"/>
      <c r="AI153" s="55" t="str">
        <f t="shared" si="31"/>
        <v/>
      </c>
      <c r="AW153" s="234"/>
      <c r="BP153" s="11"/>
      <c r="BQ153" s="11"/>
      <c r="BR153" s="235"/>
      <c r="BV153" s="158"/>
      <c r="BY153" s="158"/>
      <c r="CB153" s="158"/>
    </row>
    <row r="154" ht="18.0" hidden="1" customHeight="1">
      <c r="A154" s="222">
        <f>IFERROR(__xludf.DUMMYFUNCTION("""COMPUTED_VALUE"""),2026.0)</f>
        <v>2026</v>
      </c>
      <c r="B154" s="221">
        <f>IFERROR(__xludf.DUMMYFUNCTION("""COMPUTED_VALUE"""),1.1272408E7)</f>
        <v>11272408</v>
      </c>
      <c r="C154" s="222" t="str">
        <f>IFERROR(__xludf.DUMMYFUNCTION("""COMPUTED_VALUE"""),"MDN PT3 P1I1 TMU-FAD JL.RAHAYU GG.DAMAI")</f>
        <v>MDN PT3 P1I1 TMU-FAD JL.RAHAYU GG.DAMAI</v>
      </c>
      <c r="D154" s="222" t="str">
        <f>IFERROR(__xludf.DUMMYFUNCTION("""COMPUTED_VALUE"""),"REGIONAL I")</f>
        <v>REGIONAL I</v>
      </c>
      <c r="E154" s="222" t="str">
        <f>IFERROR(__xludf.DUMMYFUNCTION("""COMPUTED_VALUE"""),"MEDAN")</f>
        <v>MEDAN</v>
      </c>
      <c r="F154" s="222" t="str">
        <f>IFERROR(__xludf.DUMMYFUNCTION("""COMPUTED_VALUE"""),"TMU")</f>
        <v>TMU</v>
      </c>
      <c r="G154" s="222" t="str">
        <f>IFERROR(__xludf.DUMMYFUNCTION("""COMPUTED_VALUE"""),"SUMBAGUT")</f>
        <v>SUMBAGUT</v>
      </c>
      <c r="H154" s="222" t="str">
        <f>IFERROR(__xludf.DUMMYFUNCTION("""COMPUTED_VALUE"""),"MEDAN")</f>
        <v>MEDAN</v>
      </c>
      <c r="I154" s="222" t="str">
        <f>IFERROR(__xludf.DUMMYFUNCTION("""COMPUTED_VALUE"""),"Batch 2")</f>
        <v>Batch 2</v>
      </c>
      <c r="J154" s="225">
        <f>IFERROR(__xludf.DUMMYFUNCTION("""COMPUTED_VALUE"""),5.0)</f>
        <v>5</v>
      </c>
      <c r="K154" s="224">
        <f>IFERROR(__xludf.DUMMYFUNCTION("""COMPUTED_VALUE"""),40.0)</f>
        <v>40</v>
      </c>
      <c r="L154" s="226">
        <f>IFERROR(__xludf.DUMMYFUNCTION("""COMPUTED_VALUE"""),728910.0)</f>
        <v>728910</v>
      </c>
      <c r="M154" s="227">
        <f>IFERROR(__xludf.DUMMYFUNCTION("""COMPUTED_VALUE"""),2.9156363E7)</f>
        <v>29156363</v>
      </c>
      <c r="N154" s="222" t="str">
        <f>IFERROR(__xludf.DUMMYFUNCTION("""COMPUTED_VALUE"""),"PT DUL JAYA TAMA")</f>
        <v>PT DUL JAYA TAMA</v>
      </c>
      <c r="O154" s="222" t="str">
        <f>IFERROR(__xludf.DUMMYFUNCTION("""COMPUTED_VALUE"""),"7. GOLIVE")</f>
        <v>7. GOLIVE</v>
      </c>
      <c r="P154" s="222" t="str">
        <f>IFERROR(__xludf.DUMMYFUNCTION("""COMPUTED_VALUE"""),"7.2 Golive Full / OA / DONE OTB")</f>
        <v>7.2 Golive Full / OA / DONE OTB</v>
      </c>
      <c r="Q154" s="222" t="str">
        <f>IFERROR(__xludf.DUMMYFUNCTION("""COMPUTED_VALUE"""),"03/03 valins 24/02 penarikan dan pemasangan ODP 11/02 Prelim Approved TIF 04/02 Aanwidzing OK, lanjut perizinan")</f>
        <v>03/03 valins 24/02 penarikan dan pemasangan ODP 11/02 Prelim Approved TIF 04/02 Aanwidzing OK, lanjut perizinan</v>
      </c>
      <c r="R154" s="228">
        <f>IFERROR(__xludf.DUMMYFUNCTION("""COMPUTED_VALUE"""),46087.0)</f>
        <v>46087</v>
      </c>
      <c r="S154" s="11" t="str">
        <f>IFERROR(__xludf.DUMMYFUNCTION("""COMPUTED_VALUE"""),"MAR")</f>
        <v>MAR</v>
      </c>
      <c r="T154" s="11"/>
      <c r="U154" s="11" t="str">
        <f>IFERROR(__xludf.DUMMYFUNCTION("""COMPUTED_VALUE"""),"TIF-3887/2026")</f>
        <v>TIF-3887/2026</v>
      </c>
      <c r="V154" s="229"/>
      <c r="W154" s="229"/>
      <c r="X154" s="229" t="str">
        <f>IFERROR(__xludf.DUMMYFUNCTION("""COMPUTED_VALUE"""),"GOLIVE")</f>
        <v>GOLIVE</v>
      </c>
      <c r="Y154" s="229" t="str">
        <f>IFERROR(__xludf.DUMMYFUNCTION("""COMPUTED_VALUE"""),"DONE")</f>
        <v>DONE</v>
      </c>
      <c r="Z154" s="229" t="str">
        <f>IFERROR(__xludf.DUMMYFUNCTION("""COMPUTED_VALUE"""),"#N/A")</f>
        <v>#N/A</v>
      </c>
      <c r="AA154" s="229">
        <f>IFERROR(__xludf.DUMMYFUNCTION("""COMPUTED_VALUE"""),5.0)</f>
        <v>5</v>
      </c>
      <c r="AB154" s="229"/>
      <c r="AC154" s="229" t="str">
        <f>IFERROR(__xludf.DUMMYFUNCTION("""COMPUTED_VALUE"""),"9178501#9178514")</f>
        <v>9178501#9178514</v>
      </c>
      <c r="AD154" s="232">
        <f>IFERROR(__xludf.DUMMYFUNCTION("""COMPUTED_VALUE"""),40.0)</f>
        <v>40</v>
      </c>
      <c r="AE154" s="233">
        <f>IFERROR(__xludf.DUMMYFUNCTION("""COMPUTED_VALUE"""),46086.0)</f>
        <v>46086</v>
      </c>
      <c r="AF154" s="54"/>
      <c r="AG154" s="54"/>
      <c r="AH154" s="54">
        <v>46087.0</v>
      </c>
      <c r="AI154" s="55">
        <f t="shared" si="31"/>
        <v>1</v>
      </c>
      <c r="AW154" s="234"/>
      <c r="BP154" s="11"/>
      <c r="BQ154" s="11"/>
      <c r="BR154" s="235"/>
      <c r="BV154" s="158"/>
      <c r="BY154" s="158"/>
      <c r="CB154" s="158"/>
    </row>
    <row r="155" ht="18.0" hidden="1" customHeight="1">
      <c r="A155" s="222">
        <f>IFERROR(__xludf.DUMMYFUNCTION("""COMPUTED_VALUE"""),2026.0)</f>
        <v>2026</v>
      </c>
      <c r="B155" s="221">
        <f>IFERROR(__xludf.DUMMYFUNCTION("""COMPUTED_VALUE"""),1.1272614E7)</f>
        <v>11272614</v>
      </c>
      <c r="C155" s="222" t="str">
        <f>IFERROR(__xludf.DUMMYFUNCTION("""COMPUTED_VALUE"""),"MDN PT3 TTG-FBN JL.PANCUR SIWA")</f>
        <v>MDN PT3 TTG-FBN JL.PANCUR SIWA</v>
      </c>
      <c r="D155" s="222" t="str">
        <f>IFERROR(__xludf.DUMMYFUNCTION("""COMPUTED_VALUE"""),"REGIONAL I")</f>
        <v>REGIONAL I</v>
      </c>
      <c r="E155" s="222" t="str">
        <f>IFERROR(__xludf.DUMMYFUNCTION("""COMPUTED_VALUE"""),"MEDAN")</f>
        <v>MEDAN</v>
      </c>
      <c r="F155" s="222" t="str">
        <f>IFERROR(__xludf.DUMMYFUNCTION("""COMPUTED_VALUE"""),"TTG")</f>
        <v>TTG</v>
      </c>
      <c r="G155" s="222" t="str">
        <f>IFERROR(__xludf.DUMMYFUNCTION("""COMPUTED_VALUE"""),"SUMBAGUT")</f>
        <v>SUMBAGUT</v>
      </c>
      <c r="H155" s="222" t="str">
        <f>IFERROR(__xludf.DUMMYFUNCTION("""COMPUTED_VALUE"""),"MEDAN")</f>
        <v>MEDAN</v>
      </c>
      <c r="I155" s="222" t="str">
        <f>IFERROR(__xludf.DUMMYFUNCTION("""COMPUTED_VALUE"""),"Batch 2")</f>
        <v>Batch 2</v>
      </c>
      <c r="J155" s="225">
        <f>IFERROR(__xludf.DUMMYFUNCTION("""COMPUTED_VALUE"""),2.0)</f>
        <v>2</v>
      </c>
      <c r="K155" s="224">
        <f>IFERROR(__xludf.DUMMYFUNCTION("""COMPUTED_VALUE"""),16.0)</f>
        <v>16</v>
      </c>
      <c r="L155" s="226">
        <f>IFERROR(__xludf.DUMMYFUNCTION("""COMPUTED_VALUE"""),713316.0)</f>
        <v>713316</v>
      </c>
      <c r="M155" s="227">
        <f>IFERROR(__xludf.DUMMYFUNCTION("""COMPUTED_VALUE"""),1.1413056E7)</f>
        <v>11413056</v>
      </c>
      <c r="N155" s="222" t="str">
        <f>IFERROR(__xludf.DUMMYFUNCTION("""COMPUTED_VALUE"""),"PT SALTTEK DUMPANG JAYA")</f>
        <v>PT SALTTEK DUMPANG JAYA</v>
      </c>
      <c r="O155" s="222" t="str">
        <f>IFERROR(__xludf.DUMMYFUNCTION("""COMPUTED_VALUE"""),"0. DROP")</f>
        <v>0. DROP</v>
      </c>
      <c r="P155" s="222" t="str">
        <f>IFERROR(__xludf.DUMMYFUNCTION("""COMPUTED_VALUE"""),"0.2 Tidak Dapat Izin Warga/Kades/Lurah/Developer")</f>
        <v>0.2 Tidak Dapat Izin Warga/Kades/Lurah/Developer</v>
      </c>
      <c r="Q155" s="222" t="str">
        <f>IFERROR(__xludf.DUMMYFUNCTION("""COMPUTED_VALUE"""),"06/03 Kenaikan BOQ 50% Commcase 7jt 02/03 Estimasi Perizinan 03/03 05/02 Pengurusan izin warga perihal tanam tiang")</f>
        <v>06/03 Kenaikan BOQ 50% Commcase 7jt 02/03 Estimasi Perizinan 03/03 05/02 Pengurusan izin warga perihal tanam tiang</v>
      </c>
      <c r="R155" s="228"/>
      <c r="S155" s="11" t="str">
        <f>IFERROR(__xludf.DUMMYFUNCTION("""COMPUTED_VALUE"""),"-")</f>
        <v>-</v>
      </c>
      <c r="T155" s="11"/>
      <c r="U155" s="11"/>
      <c r="V155" s="229"/>
      <c r="W155" s="229"/>
      <c r="X155" s="229" t="str">
        <f>IFERROR(__xludf.DUMMYFUNCTION("""COMPUTED_VALUE"""),"BELUM GOLIVE")</f>
        <v>BELUM GOLIVE</v>
      </c>
      <c r="Y155" s="229"/>
      <c r="Z155" s="229" t="str">
        <f>IFERROR(__xludf.DUMMYFUNCTION("""COMPUTED_VALUE"""),"#N/A")</f>
        <v>#N/A</v>
      </c>
      <c r="AA155" s="229"/>
      <c r="AB155" s="229"/>
      <c r="AC155" s="229"/>
      <c r="AD155" s="232"/>
      <c r="AE155" s="233"/>
      <c r="AF155" s="54"/>
      <c r="AG155" s="54"/>
      <c r="AH155" s="54"/>
      <c r="AI155" s="55" t="str">
        <f t="shared" si="31"/>
        <v/>
      </c>
      <c r="AW155" s="234"/>
      <c r="BP155" s="11"/>
      <c r="BQ155" s="11"/>
      <c r="BR155" s="235"/>
      <c r="BV155" s="158"/>
      <c r="BY155" s="158"/>
      <c r="CB155" s="158"/>
    </row>
    <row r="156" ht="18.0" hidden="1" customHeight="1">
      <c r="A156" s="222">
        <f>IFERROR(__xludf.DUMMYFUNCTION("""COMPUTED_VALUE"""),2026.0)</f>
        <v>2026</v>
      </c>
      <c r="B156" s="221">
        <f>IFERROR(__xludf.DUMMYFUNCTION("""COMPUTED_VALUE"""),1.2090667E7)</f>
        <v>12090667</v>
      </c>
      <c r="C156" s="222" t="str">
        <f>IFERROR(__xludf.DUMMYFUNCTION("""COMPUTED_VALUE"""),"JBI-PT3-MAB-FV-BUNGO_27035_H2_2025")</f>
        <v>JBI-PT3-MAB-FV-BUNGO_27035_H2_2025</v>
      </c>
      <c r="D156" s="222" t="str">
        <f>IFERROR(__xludf.DUMMYFUNCTION("""COMPUTED_VALUE"""),"REGIONAL I")</f>
        <v>REGIONAL I</v>
      </c>
      <c r="E156" s="222" t="str">
        <f>IFERROR(__xludf.DUMMYFUNCTION("""COMPUTED_VALUE"""),"JAMBI")</f>
        <v>JAMBI</v>
      </c>
      <c r="F156" s="222" t="str">
        <f>IFERROR(__xludf.DUMMYFUNCTION("""COMPUTED_VALUE"""),"MAB")</f>
        <v>MAB</v>
      </c>
      <c r="G156" s="222" t="str">
        <f>IFERROR(__xludf.DUMMYFUNCTION("""COMPUTED_VALUE"""),"SUMBAGSEL")</f>
        <v>SUMBAGSEL</v>
      </c>
      <c r="H156" s="222" t="str">
        <f>IFERROR(__xludf.DUMMYFUNCTION("""COMPUTED_VALUE"""),"JAMBI")</f>
        <v>JAMBI</v>
      </c>
      <c r="I156" s="222" t="str">
        <f>IFERROR(__xludf.DUMMYFUNCTION("""COMPUTED_VALUE"""),"Batch 2")</f>
        <v>Batch 2</v>
      </c>
      <c r="J156" s="225">
        <f>IFERROR(__xludf.DUMMYFUNCTION("""COMPUTED_VALUE"""),8.0)</f>
        <v>8</v>
      </c>
      <c r="K156" s="224">
        <f>IFERROR(__xludf.DUMMYFUNCTION("""COMPUTED_VALUE"""),64.0)</f>
        <v>64</v>
      </c>
      <c r="L156" s="226">
        <f>IFERROR(__xludf.DUMMYFUNCTION("""COMPUTED_VALUE"""),1460039.0)</f>
        <v>1460039</v>
      </c>
      <c r="M156" s="227">
        <f>IFERROR(__xludf.DUMMYFUNCTION("""COMPUTED_VALUE"""),9.3442487E7)</f>
        <v>93442487</v>
      </c>
      <c r="N156" s="222" t="str">
        <f>IFERROR(__xludf.DUMMYFUNCTION("""COMPUTED_VALUE"""),"PT TRIPUTRA ANDALAN")</f>
        <v>PT TRIPUTRA ANDALAN</v>
      </c>
      <c r="O156" s="222" t="str">
        <f>IFERROR(__xludf.DUMMYFUNCTION("""COMPUTED_VALUE"""),"0. DROP")</f>
        <v>0. DROP</v>
      </c>
      <c r="P156" s="222" t="str">
        <f>IFERROR(__xludf.DUMMYFUNCTION("""COMPUTED_VALUE"""),"0.5 DROP TSEL - Acc ED TIF")</f>
        <v>0.5 DROP TSEL - Acc ED TIF</v>
      </c>
      <c r="Q156" s="222" t="str">
        <f>IFERROR(__xludf.DUMMYFUNCTION("""COMPUTED_VALUE"""),"09/04 BA Drop Sirkulir - Permintaan Tsel Market tidak OK  (12/1) BA Drop Sirkulir - Permintaan Tsel Market tidak OK  (06/01)order JPP batch-2 2026 (Drop Permintaan Tsel")</f>
        <v>09/04 BA Drop Sirkulir - Permintaan Tsel Market tidak OK  (12/1) BA Drop Sirkulir - Permintaan Tsel Market tidak OK  (06/01)order JPP batch-2 2026 (Drop Permintaan Tsel</v>
      </c>
      <c r="R156" s="228"/>
      <c r="S156" s="11"/>
      <c r="T156" s="11"/>
      <c r="U156" s="11"/>
      <c r="V156" s="229"/>
      <c r="W156" s="229"/>
      <c r="X156" s="229" t="str">
        <f>IFERROR(__xludf.DUMMYFUNCTION("""COMPUTED_VALUE"""),"BELUM GOLIVE")</f>
        <v>BELUM GOLIVE</v>
      </c>
      <c r="Y156" s="229"/>
      <c r="Z156" s="229" t="str">
        <f>IFERROR(__xludf.DUMMYFUNCTION("""COMPUTED_VALUE"""),"#N/A")</f>
        <v>#N/A</v>
      </c>
      <c r="AA156" s="229"/>
      <c r="AB156" s="229"/>
      <c r="AC156" s="229"/>
      <c r="AD156" s="232"/>
      <c r="AE156" s="233"/>
      <c r="AF156" s="54"/>
      <c r="AG156" s="54"/>
      <c r="AH156" s="54"/>
      <c r="AI156" s="55" t="str">
        <f t="shared" si="31"/>
        <v/>
      </c>
      <c r="AW156" s="234"/>
      <c r="BP156" s="11"/>
      <c r="BQ156" s="11"/>
      <c r="BR156" s="235"/>
      <c r="BV156" s="158"/>
      <c r="BY156" s="158"/>
      <c r="CB156" s="158"/>
    </row>
    <row r="157" ht="18.0" hidden="1" customHeight="1">
      <c r="A157" s="222">
        <f>IFERROR(__xludf.DUMMYFUNCTION("""COMPUTED_VALUE"""),2026.0)</f>
        <v>2026</v>
      </c>
      <c r="B157" s="221">
        <f>IFERROR(__xludf.DUMMYFUNCTION("""COMPUTED_VALUE"""),1.1396115E7)</f>
        <v>11396115</v>
      </c>
      <c r="C157" s="222" t="str">
        <f>IFERROR(__xludf.DUMMYFUNCTION("""COMPUTED_VALUE"""),"LPG PT3 JPP JL KOLONEL ARIFIN SKD")</f>
        <v>LPG PT3 JPP JL KOLONEL ARIFIN SKD</v>
      </c>
      <c r="D157" s="222" t="str">
        <f>IFERROR(__xludf.DUMMYFUNCTION("""COMPUTED_VALUE"""),"REGIONAL I")</f>
        <v>REGIONAL I</v>
      </c>
      <c r="E157" s="222" t="str">
        <f>IFERROR(__xludf.DUMMYFUNCTION("""COMPUTED_VALUE"""),"LAMPUNG")</f>
        <v>LAMPUNG</v>
      </c>
      <c r="F157" s="222" t="str">
        <f>IFERROR(__xludf.DUMMYFUNCTION("""COMPUTED_VALUE"""),"SKD")</f>
        <v>SKD</v>
      </c>
      <c r="G157" s="222" t="str">
        <f>IFERROR(__xludf.DUMMYFUNCTION("""COMPUTED_VALUE"""),"SUMBAGSEL")</f>
        <v>SUMBAGSEL</v>
      </c>
      <c r="H157" s="222" t="str">
        <f>IFERROR(__xludf.DUMMYFUNCTION("""COMPUTED_VALUE"""),"LAMPUNG")</f>
        <v>LAMPUNG</v>
      </c>
      <c r="I157" s="222" t="str">
        <f>IFERROR(__xludf.DUMMYFUNCTION("""COMPUTED_VALUE"""),"Batch 2")</f>
        <v>Batch 2</v>
      </c>
      <c r="J157" s="225">
        <f>IFERROR(__xludf.DUMMYFUNCTION("""COMPUTED_VALUE"""),5.0)</f>
        <v>5</v>
      </c>
      <c r="K157" s="224">
        <f>IFERROR(__xludf.DUMMYFUNCTION("""COMPUTED_VALUE"""),40.0)</f>
        <v>40</v>
      </c>
      <c r="L157" s="226">
        <f>IFERROR(__xludf.DUMMYFUNCTION("""COMPUTED_VALUE"""),1459972.0)</f>
        <v>1459972</v>
      </c>
      <c r="M157" s="227">
        <f>IFERROR(__xludf.DUMMYFUNCTION("""COMPUTED_VALUE"""),5.8398858E7)</f>
        <v>58398858</v>
      </c>
      <c r="N157" s="222" t="str">
        <f>IFERROR(__xludf.DUMMYFUNCTION("""COMPUTED_VALUE"""),"PT FAJAR MITRA KRIDA ABADI")</f>
        <v>PT FAJAR MITRA KRIDA ABADI</v>
      </c>
      <c r="O157" s="222" t="str">
        <f>IFERROR(__xludf.DUMMYFUNCTION("""COMPUTED_VALUE"""),"0. DROP")</f>
        <v>0. DROP</v>
      </c>
      <c r="P157" s="222" t="str">
        <f>IFERROR(__xludf.DUMMYFUNCTION("""COMPUTED_VALUE"""),"0.2 Tidak Dapat Izin Warga/Kades/Lurah/Developer")</f>
        <v>0.2 Tidak Dapat Izin Warga/Kades/Lurah/Developer</v>
      </c>
      <c r="Q157" s="222" t="str">
        <f>IFERROR(__xludf.DUMMYFUNCTION("""COMPUTED_VALUE"""),"30/3 tidak dapat izin dari warga ( all ready by tsel sales )
13/3 progres d stop warga terkait comcase tiang exsistinmg di permasalhkan sama warga (meminta kompensasi 500rb/ tiang) , 4/3 plan matdel ,9/3 plan fi 14/3 ,paln golive 16/3
2/3 BARU MENDAPAT PO"&amp;"RT OLT masih kordinasi k tif terkait nilai proyek naik &gt;7%
27/2 BARU MENDAPAT PORT OLT masih kordinasi k tif terkait nilai proyek naik &gt;7%
23/2 prose pengajuan PR/PO, 20/ 2 progres pengecekan core 
18/2 proses pelurusan core - hasi; nya 19 /2 6/2 butuh pe"&amp;"nambahan modul olt skd 
28/1 butuh penambahan modul olt skd 
23/ 1 plan matdel 28/1, 
21 /01 pengecekan eletriical sisi sto 
19/1 proses pengacekan core dan perizinan")</f>
        <v>30/3 tidak dapat izin dari warga ( all ready by tsel sales )
13/3 progres d stop warga terkait comcase tiang exsistinmg di permasalhkan sama warga (meminta kompensasi 500rb/ tiang) , 4/3 plan matdel ,9/3 plan fi 14/3 ,paln golive 16/3
2/3 BARU MENDAPAT PORT OLT masih kordinasi k tif terkait nilai proyek naik &gt;7%
27/2 BARU MENDAPAT PORT OLT masih kordinasi k tif terkait nilai proyek naik &gt;7%
23/2 prose pengajuan PR/PO, 20/ 2 progres pengecekan core 
18/2 proses pelurusan core - hasi; nya 19 /2 6/2 butuh penambahan modul olt skd 
28/1 butuh penambahan modul olt skd 
23/ 1 plan matdel 28/1, 
21 /01 pengecekan eletriical sisi sto 
19/1 proses pengacekan core dan perizinan</v>
      </c>
      <c r="R157" s="228"/>
      <c r="S157" s="11"/>
      <c r="T157" s="11"/>
      <c r="U157" s="11" t="str">
        <f>IFERROR(__xludf.DUMMYFUNCTION("""COMPUTED_VALUE"""),"TIF-1994/2026")</f>
        <v>TIF-1994/2026</v>
      </c>
      <c r="V157" s="229"/>
      <c r="W157" s="229"/>
      <c r="X157" s="229" t="str">
        <f>IFERROR(__xludf.DUMMYFUNCTION("""COMPUTED_VALUE"""),"BELUM GOLIVE")</f>
        <v>BELUM GOLIVE</v>
      </c>
      <c r="Y157" s="229" t="str">
        <f>IFERROR(__xludf.DUMMYFUNCTION("""COMPUTED_VALUE"""),"PORT OLT Penuh")</f>
        <v>PORT OLT Penuh</v>
      </c>
      <c r="Z157" s="229" t="str">
        <f>IFERROR(__xludf.DUMMYFUNCTION("""COMPUTED_VALUE"""),"#N/A")</f>
        <v>#N/A</v>
      </c>
      <c r="AA157" s="229"/>
      <c r="AB157" s="229"/>
      <c r="AC157" s="229"/>
      <c r="AD157" s="232"/>
      <c r="AE157" s="233"/>
      <c r="AF157" s="54"/>
      <c r="AG157" s="54"/>
      <c r="AH157" s="54"/>
      <c r="AI157" s="55" t="str">
        <f t="shared" si="31"/>
        <v/>
      </c>
      <c r="AW157" s="234"/>
      <c r="BP157" s="11"/>
      <c r="BQ157" s="11"/>
      <c r="BR157" s="235"/>
      <c r="BV157" s="158"/>
      <c r="BY157" s="158"/>
      <c r="CB157" s="158"/>
    </row>
    <row r="158" ht="18.0" hidden="1" customHeight="1">
      <c r="A158" s="222">
        <f>IFERROR(__xludf.DUMMYFUNCTION("""COMPUTED_VALUE"""),2026.0)</f>
        <v>2026</v>
      </c>
      <c r="B158" s="221">
        <f>IFERROR(__xludf.DUMMYFUNCTION("""COMPUTED_VALUE"""),1.1531763E7)</f>
        <v>11531763</v>
      </c>
      <c r="C158" s="222" t="str">
        <f>IFERROR(__xludf.DUMMYFUNCTION("""COMPUTED_VALUE"""),"JBI-PT3+UPGRADE-MBN-FS-MUARA JANGGA")</f>
        <v>JBI-PT3+UPGRADE-MBN-FS-MUARA JANGGA</v>
      </c>
      <c r="D158" s="222" t="str">
        <f>IFERROR(__xludf.DUMMYFUNCTION("""COMPUTED_VALUE"""),"REGIONAL I")</f>
        <v>REGIONAL I</v>
      </c>
      <c r="E158" s="222" t="str">
        <f>IFERROR(__xludf.DUMMYFUNCTION("""COMPUTED_VALUE"""),"JAMBI")</f>
        <v>JAMBI</v>
      </c>
      <c r="F158" s="222" t="str">
        <f>IFERROR(__xludf.DUMMYFUNCTION("""COMPUTED_VALUE"""),"MBN")</f>
        <v>MBN</v>
      </c>
      <c r="G158" s="222" t="str">
        <f>IFERROR(__xludf.DUMMYFUNCTION("""COMPUTED_VALUE"""),"SUMBAGSEL")</f>
        <v>SUMBAGSEL</v>
      </c>
      <c r="H158" s="222" t="str">
        <f>IFERROR(__xludf.DUMMYFUNCTION("""COMPUTED_VALUE"""),"JAMBI")</f>
        <v>JAMBI</v>
      </c>
      <c r="I158" s="222" t="str">
        <f>IFERROR(__xludf.DUMMYFUNCTION("""COMPUTED_VALUE"""),"Batch 2")</f>
        <v>Batch 2</v>
      </c>
      <c r="J158" s="225">
        <f>IFERROR(__xludf.DUMMYFUNCTION("""COMPUTED_VALUE"""),28.0)</f>
        <v>28</v>
      </c>
      <c r="K158" s="224">
        <f>IFERROR(__xludf.DUMMYFUNCTION("""COMPUTED_VALUE"""),224.0)</f>
        <v>224</v>
      </c>
      <c r="L158" s="226">
        <f>IFERROR(__xludf.DUMMYFUNCTION("""COMPUTED_VALUE"""),1456492.0)</f>
        <v>1456492</v>
      </c>
      <c r="M158" s="227">
        <f>IFERROR(__xludf.DUMMYFUNCTION("""COMPUTED_VALUE"""),3.2625399E8)</f>
        <v>326253990</v>
      </c>
      <c r="N158" s="222" t="str">
        <f>IFERROR(__xludf.DUMMYFUNCTION("""COMPUTED_VALUE"""),"PT TRIPUTRA ANDALAN")</f>
        <v>PT TRIPUTRA ANDALAN</v>
      </c>
      <c r="O158" s="222" t="str">
        <f>IFERROR(__xludf.DUMMYFUNCTION("""COMPUTED_VALUE"""),"3. PERIZINAN")</f>
        <v>3. PERIZINAN</v>
      </c>
      <c r="P158" s="222" t="str">
        <f>IFERROR(__xludf.DUMMYFUNCTION("""COMPUTED_VALUE"""),"3.1 Submit permohon ke PU")</f>
        <v>3.1 Submit permohon ke PU</v>
      </c>
      <c r="Q158" s="222" t="str">
        <f>IFERROR(__xludf.DUMMYFUNCTION("""COMPUTED_VALUE"""),"22/04 done submit OSS Menunggu Jadwal Pemaparan PU 13/4 masih pendaftaran user  APP OSS oleh TIF 09/04 Berkas tinggal Upload, namun APP OSS masih pendaftaran user oleh TIF 08/04 Sirkulir Tif berkas surat permohonan Izin 06/04 Draf Perizinan PU Nasional 22"&amp;"/2 Tahap negoisasi  (12/1) plan sumbit Perizininan ke ED 19 Jan 17/11 BELUM OPTIMIS NOV25 , HOLD TIF (08/11) 29 SEP SUDAH SUBMIT KE PU , BLM ADA INFO (03/11) 27 okt sudah kirim file ke PED(OBET) , (15/10) PERIZINAN PU NAS 7795m , PENGAJUAN BERKAS 08/10 Do"&amp;"ne Aanwijzing 06/10 Penjadwalan aanwijzing (16/09) Mapping mitra")</f>
        <v>22/04 done submit OSS Menunggu Jadwal Pemaparan PU 13/4 masih pendaftaran user  APP OSS oleh TIF 09/04 Berkas tinggal Upload, namun APP OSS masih pendaftaran user oleh TIF 08/04 Sirkulir Tif berkas surat permohonan Izin 06/04 Draf Perizinan PU Nasional 22/2 Tahap negoisasi  (12/1) plan sumbit Perizininan ke ED 19 Jan 17/11 BELUM OPTIMIS NOV25 , HOLD TIF (08/11) 29 SEP SUDAH SUBMIT KE PU , BLM ADA INFO (03/11) 27 okt sudah kirim file ke PED(OBET) , (15/10) PERIZINAN PU NAS 7795m , PENGAJUAN BERKAS 08/10 Done Aanwijzing 06/10 Penjadwalan aanwijzing (16/09) Mapping mitra</v>
      </c>
      <c r="R158" s="228"/>
      <c r="S158" s="11"/>
      <c r="T158" s="11" t="str">
        <f>IFERROR(__xludf.DUMMYFUNCTION("""COMPUTED_VALUE"""),"P1")</f>
        <v>P1</v>
      </c>
      <c r="U158" s="11"/>
      <c r="V158" s="229"/>
      <c r="W158" s="229"/>
      <c r="X158" s="229" t="str">
        <f>IFERROR(__xludf.DUMMYFUNCTION("""COMPUTED_VALUE"""),"BELUM GOLIVE")</f>
        <v>BELUM GOLIVE</v>
      </c>
      <c r="Y158" s="229"/>
      <c r="Z158" s="229" t="str">
        <f>IFERROR(__xludf.DUMMYFUNCTION("""COMPUTED_VALUE"""),"#N/A")</f>
        <v>#N/A</v>
      </c>
      <c r="AA158" s="229"/>
      <c r="AB158" s="229"/>
      <c r="AC158" s="229"/>
      <c r="AD158" s="232"/>
      <c r="AE158" s="233"/>
      <c r="AF158" s="54"/>
      <c r="AG158" s="54"/>
      <c r="AH158" s="54"/>
      <c r="AI158" s="55" t="str">
        <f t="shared" si="31"/>
        <v/>
      </c>
      <c r="AW158" s="234"/>
      <c r="BP158" s="11"/>
      <c r="BQ158" s="11"/>
      <c r="BR158" s="235"/>
      <c r="BV158" s="158"/>
      <c r="BY158" s="158"/>
      <c r="CB158" s="158"/>
    </row>
    <row r="159" ht="18.0" customHeight="1">
      <c r="A159" s="222">
        <f>IFERROR(__xludf.DUMMYFUNCTION("""COMPUTED_VALUE"""),2026.0)</f>
        <v>2026</v>
      </c>
      <c r="B159" s="221">
        <f>IFERROR(__xludf.DUMMYFUNCTION("""COMPUTED_VALUE"""),1.1243768E7)</f>
        <v>11243768</v>
      </c>
      <c r="C159" s="222" t="str">
        <f>IFERROR(__xludf.DUMMYFUNCTION("""COMPUTED_VALUE"""),"SMB P3I1 SCATTER GUNUNG PADANG ALAI NRS")</f>
        <v>SMB P3I1 SCATTER GUNUNG PADANG ALAI NRS</v>
      </c>
      <c r="D159" s="222" t="str">
        <f>IFERROR(__xludf.DUMMYFUNCTION("""COMPUTED_VALUE"""),"REGIONAL I")</f>
        <v>REGIONAL I</v>
      </c>
      <c r="E159" s="222" t="str">
        <f>IFERROR(__xludf.DUMMYFUNCTION("""COMPUTED_VALUE"""),"SUMBAR")</f>
        <v>SUMBAR</v>
      </c>
      <c r="F159" s="222" t="str">
        <f>IFERROR(__xludf.DUMMYFUNCTION("""COMPUTED_VALUE"""),"NRS")</f>
        <v>NRS</v>
      </c>
      <c r="G159" s="222" t="str">
        <f>IFERROR(__xludf.DUMMYFUNCTION("""COMPUTED_VALUE"""),"SUMBAGTENG")</f>
        <v>SUMBAGTENG</v>
      </c>
      <c r="H159" s="222" t="str">
        <f>IFERROR(__xludf.DUMMYFUNCTION("""COMPUTED_VALUE"""),"BUKIT TINGGI")</f>
        <v>BUKIT TINGGI</v>
      </c>
      <c r="I159" s="222" t="str">
        <f>IFERROR(__xludf.DUMMYFUNCTION("""COMPUTED_VALUE"""),"Batch 2")</f>
        <v>Batch 2</v>
      </c>
      <c r="J159" s="225">
        <f>IFERROR(__xludf.DUMMYFUNCTION("""COMPUTED_VALUE"""),33.0)</f>
        <v>33</v>
      </c>
      <c r="K159" s="224">
        <f>IFERROR(__xludf.DUMMYFUNCTION("""COMPUTED_VALUE"""),264.0)</f>
        <v>264</v>
      </c>
      <c r="L159" s="226">
        <f>IFERROR(__xludf.DUMMYFUNCTION("""COMPUTED_VALUE"""),1455407.0)</f>
        <v>1455407</v>
      </c>
      <c r="M159" s="227">
        <f>IFERROR(__xludf.DUMMYFUNCTION("""COMPUTED_VALUE"""),3.84227406E8)</f>
        <v>384227406</v>
      </c>
      <c r="N159" s="222" t="str">
        <f>IFERROR(__xludf.DUMMYFUNCTION("""COMPUTED_VALUE"""),"PT TIGA AKSES MANDIRI")</f>
        <v>PT TIGA AKSES MANDIRI</v>
      </c>
      <c r="O159" s="222" t="str">
        <f>IFERROR(__xludf.DUMMYFUNCTION("""COMPUTED_VALUE"""),"0. DROP")</f>
        <v>0. DROP</v>
      </c>
      <c r="P159" s="222" t="str">
        <f>IFERROR(__xludf.DUMMYFUNCTION("""COMPUTED_VALUE"""),"0.4 CPP Tinggi Acc ED TIF")</f>
        <v>0.4 CPP Tinggi Acc ED TIF</v>
      </c>
      <c r="Q159" s="222" t="str">
        <f>IFERROR(__xludf.DUMMYFUNCTION("""COMPUTED_VALUE"""),"(02/03) CPP 4,3 jta, info bg deny drop (27/01) 13/11 : Proses aanwijziing (23/01) CPP Tinggi 4jta butuh tambah 20 ODP lagi (21/01) proses aanwijziing (07/01) Persiapan")</f>
        <v>(02/03) CPP 4,3 jta, info bg deny drop (27/01) 13/11 : Proses aanwijziing (23/01) CPP Tinggi 4jta butuh tambah 20 ODP lagi (21/01) proses aanwijziing (07/01) Persiapan</v>
      </c>
      <c r="R159" s="228"/>
      <c r="S159" s="11"/>
      <c r="T159" s="11"/>
      <c r="U159" s="11"/>
      <c r="V159" s="229" t="str">
        <f>IFERROR(__xludf.DUMMYFUNCTION("""COMPUTED_VALUE"""),"JANUAR RIZAL")</f>
        <v>JANUAR RIZAL</v>
      </c>
      <c r="W159" s="229" t="str">
        <f>IFERROR(__xludf.DUMMYFUNCTION("""COMPUTED_VALUE"""),"MELKO NARWADI")</f>
        <v>MELKO NARWADI</v>
      </c>
      <c r="X159" s="229" t="str">
        <f>IFERROR(__xludf.DUMMYFUNCTION("""COMPUTED_VALUE"""),"BELUM GOLIVE")</f>
        <v>BELUM GOLIVE</v>
      </c>
      <c r="Y159" s="229"/>
      <c r="Z159" s="229" t="str">
        <f>IFERROR(__xludf.DUMMYFUNCTION("""COMPUTED_VALUE"""),"#N/A")</f>
        <v>#N/A</v>
      </c>
      <c r="AA159" s="229"/>
      <c r="AB159" s="229"/>
      <c r="AC159" s="229"/>
      <c r="AD159" s="232"/>
      <c r="AE159" s="233"/>
      <c r="AF159" s="54" t="str">
        <f>IFERROR(__xludf.DUMMYFUNCTION("""COMPUTED_VALUE"""),"Draft BA DROP")</f>
        <v>Draft BA DROP</v>
      </c>
      <c r="AG159" s="54"/>
      <c r="AH159" s="54"/>
      <c r="AI159" s="55" t="str">
        <f t="shared" si="31"/>
        <v/>
      </c>
      <c r="AW159" s="234"/>
      <c r="BP159" s="11"/>
      <c r="BQ159" s="11"/>
      <c r="BR159" s="235"/>
      <c r="BV159" s="158"/>
      <c r="BY159" s="158"/>
      <c r="CB159" s="158"/>
    </row>
    <row r="160" ht="18.0" hidden="1" customHeight="1">
      <c r="A160" s="222">
        <f>IFERROR(__xludf.DUMMYFUNCTION("""COMPUTED_VALUE"""),2026.0)</f>
        <v>2026</v>
      </c>
      <c r="B160" s="221">
        <f>IFERROR(__xludf.DUMMYFUNCTION("""COMPUTED_VALUE"""),1.1405291E7)</f>
        <v>11405291</v>
      </c>
      <c r="C160" s="222" t="str">
        <f>IFERROR(__xludf.DUMMYFUNCTION("""COMPUTED_VALUE"""),"LPG PT3 JPP GANG MASJID AL-MUBAROKAH PJN")</f>
        <v>LPG PT3 JPP GANG MASJID AL-MUBAROKAH PJN</v>
      </c>
      <c r="D160" s="222" t="str">
        <f>IFERROR(__xludf.DUMMYFUNCTION("""COMPUTED_VALUE"""),"REGIONAL I")</f>
        <v>REGIONAL I</v>
      </c>
      <c r="E160" s="222" t="str">
        <f>IFERROR(__xludf.DUMMYFUNCTION("""COMPUTED_VALUE"""),"LAMPUNG")</f>
        <v>LAMPUNG</v>
      </c>
      <c r="F160" s="222" t="str">
        <f>IFERROR(__xludf.DUMMYFUNCTION("""COMPUTED_VALUE"""),"PJN")</f>
        <v>PJN</v>
      </c>
      <c r="G160" s="222" t="str">
        <f>IFERROR(__xludf.DUMMYFUNCTION("""COMPUTED_VALUE"""),"SUMBAGSEL")</f>
        <v>SUMBAGSEL</v>
      </c>
      <c r="H160" s="222" t="str">
        <f>IFERROR(__xludf.DUMMYFUNCTION("""COMPUTED_VALUE"""),"LAMPUNG")</f>
        <v>LAMPUNG</v>
      </c>
      <c r="I160" s="222" t="str">
        <f>IFERROR(__xludf.DUMMYFUNCTION("""COMPUTED_VALUE"""),"Batch 2")</f>
        <v>Batch 2</v>
      </c>
      <c r="J160" s="225">
        <f>IFERROR(__xludf.DUMMYFUNCTION("""COMPUTED_VALUE"""),3.0)</f>
        <v>3</v>
      </c>
      <c r="K160" s="224">
        <f>IFERROR(__xludf.DUMMYFUNCTION("""COMPUTED_VALUE"""),24.0)</f>
        <v>24</v>
      </c>
      <c r="L160" s="226">
        <f>IFERROR(__xludf.DUMMYFUNCTION("""COMPUTED_VALUE"""),1454945.0)</f>
        <v>1454945</v>
      </c>
      <c r="M160" s="227">
        <f>IFERROR(__xludf.DUMMYFUNCTION("""COMPUTED_VALUE"""),3.4918672E7)</f>
        <v>34918672</v>
      </c>
      <c r="N160" s="222" t="str">
        <f>IFERROR(__xludf.DUMMYFUNCTION("""COMPUTED_VALUE"""),"PT CINA COMSERVICE INDONESIA")</f>
        <v>PT CINA COMSERVICE INDONESIA</v>
      </c>
      <c r="O160" s="222" t="str">
        <f>IFERROR(__xludf.DUMMYFUNCTION("""COMPUTED_VALUE"""),"0. DROP")</f>
        <v>0. DROP</v>
      </c>
      <c r="P160" s="222" t="str">
        <f>IFERROR(__xludf.DUMMYFUNCTION("""COMPUTED_VALUE"""),"0.3 Feeder Full")</f>
        <v>0.3 Feeder Full</v>
      </c>
      <c r="Q160" s="222" t="str">
        <f>IFERROR(__xludf.DUMMYFUNCTION("""COMPUTED_VALUE"""),"24/4 odc penuh (sudah request k tsel unutk pembangunan cfs untuk cover 6 lop di lokasi sekitar),, 22/4 plan matdel 24/4,, 15/4 proses pengajuan pr/po bisa (ba manual), 13/04 Plan kirim Material 09/04  plan matdel dengan BA Manual 06/04 Proses Perizinan do"&amp;"ne, lanjut PR PO  2/4  progres perizinan dan pengecekan core
31/3  progres perizinan dan pengecekan core")</f>
        <v>24/4 odc penuh (sudah request k tsel unutk pembangunan cfs untuk cover 6 lop di lokasi sekitar),, 22/4 plan matdel 24/4,, 15/4 proses pengajuan pr/po bisa (ba manual), 13/04 Plan kirim Material 09/04  plan matdel dengan BA Manual 06/04 Proses Perizinan done, lanjut PR PO  2/4  progres perizinan dan pengecekan core
31/3  progres perizinan dan pengecekan core</v>
      </c>
      <c r="R160" s="228">
        <f>IFERROR(__xludf.DUMMYFUNCTION("""COMPUTED_VALUE"""),46142.0)</f>
        <v>46142</v>
      </c>
      <c r="S160" s="11" t="str">
        <f>IFERROR(__xludf.DUMMYFUNCTION("""COMPUTED_VALUE"""),"APR")</f>
        <v>APR</v>
      </c>
      <c r="T160" s="11" t="str">
        <f>IFERROR(__xludf.DUMMYFUNCTION("""COMPUTED_VALUE"""),"P1")</f>
        <v>P1</v>
      </c>
      <c r="U160" s="11" t="str">
        <f>IFERROR(__xludf.DUMMYFUNCTION("""COMPUTED_VALUE"""),"W02-472/2025")</f>
        <v>W02-472/2025</v>
      </c>
      <c r="V160" s="229"/>
      <c r="W160" s="229"/>
      <c r="X160" s="229" t="str">
        <f>IFERROR(__xludf.DUMMYFUNCTION("""COMPUTED_VALUE"""),"BELUM GOLIVE")</f>
        <v>BELUM GOLIVE</v>
      </c>
      <c r="Y160" s="229"/>
      <c r="Z160" s="229" t="str">
        <f>IFERROR(__xludf.DUMMYFUNCTION("""COMPUTED_VALUE"""),"#N/A")</f>
        <v>#N/A</v>
      </c>
      <c r="AA160" s="229"/>
      <c r="AB160" s="229"/>
      <c r="AC160" s="229"/>
      <c r="AD160" s="232"/>
      <c r="AE160" s="233"/>
      <c r="AF160" s="54"/>
      <c r="AG160" s="54"/>
      <c r="AH160" s="54"/>
      <c r="AI160" s="55" t="str">
        <f t="shared" si="31"/>
        <v/>
      </c>
      <c r="AW160" s="234"/>
      <c r="BP160" s="11"/>
      <c r="BQ160" s="11"/>
      <c r="BR160" s="235"/>
      <c r="BV160" s="158"/>
      <c r="BY160" s="158"/>
      <c r="CB160" s="158"/>
    </row>
    <row r="161" ht="18.0" hidden="1" customHeight="1">
      <c r="A161" s="222">
        <f>IFERROR(__xludf.DUMMYFUNCTION("""COMPUTED_VALUE"""),2026.0)</f>
        <v>2026</v>
      </c>
      <c r="B161" s="221">
        <f>IFERROR(__xludf.DUMMYFUNCTION("""COMPUTED_VALUE"""),1.1784995E7)</f>
        <v>11784995</v>
      </c>
      <c r="C161" s="222" t="str">
        <f>IFERROR(__xludf.DUMMYFUNCTION("""COMPUTED_VALUE"""),"LPG PT3 JPP SUNGKAI SELATAN KETAPANG KBI")</f>
        <v>LPG PT3 JPP SUNGKAI SELATAN KETAPANG KBI</v>
      </c>
      <c r="D161" s="222" t="str">
        <f>IFERROR(__xludf.DUMMYFUNCTION("""COMPUTED_VALUE"""),"REGIONAL I")</f>
        <v>REGIONAL I</v>
      </c>
      <c r="E161" s="222" t="str">
        <f>IFERROR(__xludf.DUMMYFUNCTION("""COMPUTED_VALUE"""),"LAMPUNG")</f>
        <v>LAMPUNG</v>
      </c>
      <c r="F161" s="222" t="str">
        <f>IFERROR(__xludf.DUMMYFUNCTION("""COMPUTED_VALUE"""),"KBI")</f>
        <v>KBI</v>
      </c>
      <c r="G161" s="222" t="str">
        <f>IFERROR(__xludf.DUMMYFUNCTION("""COMPUTED_VALUE"""),"SUMBAGSEL")</f>
        <v>SUMBAGSEL</v>
      </c>
      <c r="H161" s="222" t="str">
        <f>IFERROR(__xludf.DUMMYFUNCTION("""COMPUTED_VALUE"""),"LAMPUNG")</f>
        <v>LAMPUNG</v>
      </c>
      <c r="I161" s="222" t="str">
        <f>IFERROR(__xludf.DUMMYFUNCTION("""COMPUTED_VALUE"""),"Batch 2")</f>
        <v>Batch 2</v>
      </c>
      <c r="J161" s="225">
        <f>IFERROR(__xludf.DUMMYFUNCTION("""COMPUTED_VALUE"""),17.0)</f>
        <v>17</v>
      </c>
      <c r="K161" s="224">
        <f>IFERROR(__xludf.DUMMYFUNCTION("""COMPUTED_VALUE"""),136.0)</f>
        <v>136</v>
      </c>
      <c r="L161" s="226">
        <f>IFERROR(__xludf.DUMMYFUNCTION("""COMPUTED_VALUE"""),1454831.0)</f>
        <v>1454831</v>
      </c>
      <c r="M161" s="227">
        <f>IFERROR(__xludf.DUMMYFUNCTION("""COMPUTED_VALUE"""),1.97856988E8)</f>
        <v>197856988</v>
      </c>
      <c r="N161" s="222" t="str">
        <f>IFERROR(__xludf.DUMMYFUNCTION("""COMPUTED_VALUE"""),"PT SARANA MITRA PERSADA")</f>
        <v>PT SARANA MITRA PERSADA</v>
      </c>
      <c r="O161" s="222" t="str">
        <f>IFERROR(__xludf.DUMMYFUNCTION("""COMPUTED_VALUE"""),"0. DROP")</f>
        <v>0. DROP</v>
      </c>
      <c r="P161" s="222" t="str">
        <f>IFERROR(__xludf.DUMMYFUNCTION("""COMPUTED_VALUE"""),"0.2 Tidak Dapat Izin Warga/Kades/Lurah/Developer")</f>
        <v>0.2 Tidak Dapat Izin Warga/Kades/Lurah/Developer</v>
      </c>
      <c r="Q161" s="222" t="str">
        <f>IFERROR(__xludf.DUMMYFUNCTION("""COMPUTED_VALUE"""),"14/1 tidak dapat izin dari lurah")</f>
        <v>14/1 tidak dapat izin dari lurah</v>
      </c>
      <c r="R161" s="228"/>
      <c r="S161" s="11"/>
      <c r="T161" s="11"/>
      <c r="U161" s="11" t="str">
        <f>IFERROR(__xludf.DUMMYFUNCTION("""COMPUTED_VALUE"""),"W02-545/2025")</f>
        <v>W02-545/2025</v>
      </c>
      <c r="V161" s="229"/>
      <c r="W161" s="229"/>
      <c r="X161" s="229" t="str">
        <f>IFERROR(__xludf.DUMMYFUNCTION("""COMPUTED_VALUE"""),"BELUM GOLIVE")</f>
        <v>BELUM GOLIVE</v>
      </c>
      <c r="Y161" s="229"/>
      <c r="Z161" s="229" t="str">
        <f>IFERROR(__xludf.DUMMYFUNCTION("""COMPUTED_VALUE"""),"#N/A")</f>
        <v>#N/A</v>
      </c>
      <c r="AA161" s="229"/>
      <c r="AB161" s="229"/>
      <c r="AC161" s="229"/>
      <c r="AD161" s="232"/>
      <c r="AE161" s="233"/>
      <c r="AF161" s="54" t="str">
        <f>IFERROR(__xludf.DUMMYFUNCTION("""COMPUTED_VALUE"""),"Draft BA DROP")</f>
        <v>Draft BA DROP</v>
      </c>
      <c r="AG161" s="54"/>
      <c r="AH161" s="54"/>
      <c r="AI161" s="55" t="str">
        <f t="shared" si="31"/>
        <v/>
      </c>
      <c r="AW161" s="234"/>
      <c r="BP161" s="11"/>
      <c r="BQ161" s="11"/>
      <c r="BR161" s="235"/>
      <c r="BV161" s="158"/>
      <c r="BY161" s="158"/>
      <c r="CB161" s="158"/>
    </row>
    <row r="162" ht="18.0" customHeight="1">
      <c r="A162" s="222">
        <f>IFERROR(__xludf.DUMMYFUNCTION("""COMPUTED_VALUE"""),2026.0)</f>
        <v>2026</v>
      </c>
      <c r="B162" s="221">
        <f>IFERROR(__xludf.DUMMYFUNCTION("""COMPUTED_VALUE"""),1.1095645E7)</f>
        <v>11095645</v>
      </c>
      <c r="C162" s="222" t="str">
        <f>IFERROR(__xludf.DUMMYFUNCTION("""COMPUTED_VALUE"""),"RDR JPP PT3 GRIYA PADAT KARYA 4")</f>
        <v>RDR JPP PT3 GRIYA PADAT KARYA 4</v>
      </c>
      <c r="D162" s="222" t="str">
        <f>IFERROR(__xludf.DUMMYFUNCTION("""COMPUTED_VALUE"""),"REGIONAL I")</f>
        <v>REGIONAL I</v>
      </c>
      <c r="E162" s="222" t="str">
        <f>IFERROR(__xludf.DUMMYFUNCTION("""COMPUTED_VALUE"""),"RIDAR")</f>
        <v>RIDAR</v>
      </c>
      <c r="F162" s="222" t="str">
        <f>IFERROR(__xludf.DUMMYFUNCTION("""COMPUTED_VALUE"""),"RBI")</f>
        <v>RBI</v>
      </c>
      <c r="G162" s="222" t="str">
        <f>IFERROR(__xludf.DUMMYFUNCTION("""COMPUTED_VALUE"""),"SUMBAGTENG")</f>
        <v>SUMBAGTENG</v>
      </c>
      <c r="H162" s="222" t="str">
        <f>IFERROR(__xludf.DUMMYFUNCTION("""COMPUTED_VALUE"""),"PEKANBARU")</f>
        <v>PEKANBARU</v>
      </c>
      <c r="I162" s="222" t="str">
        <f>IFERROR(__xludf.DUMMYFUNCTION("""COMPUTED_VALUE"""),"Batch 2")</f>
        <v>Batch 2</v>
      </c>
      <c r="J162" s="225">
        <f>IFERROR(__xludf.DUMMYFUNCTION("""COMPUTED_VALUE"""),4.0)</f>
        <v>4</v>
      </c>
      <c r="K162" s="224">
        <f>IFERROR(__xludf.DUMMYFUNCTION("""COMPUTED_VALUE"""),32.0)</f>
        <v>32</v>
      </c>
      <c r="L162" s="226">
        <f>IFERROR(__xludf.DUMMYFUNCTION("""COMPUTED_VALUE"""),1453981.0)</f>
        <v>1453981</v>
      </c>
      <c r="M162" s="227">
        <f>IFERROR(__xludf.DUMMYFUNCTION("""COMPUTED_VALUE"""),4.6527373E7)</f>
        <v>46527373</v>
      </c>
      <c r="N162" s="222"/>
      <c r="O162" s="222" t="str">
        <f>IFERROR(__xludf.DUMMYFUNCTION("""COMPUTED_VALUE"""),"0. DROP")</f>
        <v>0. DROP</v>
      </c>
      <c r="P162" s="222" t="str">
        <f>IFERROR(__xludf.DUMMYFUNCTION("""COMPUTED_VALUE"""),"0.2 Tidak Dapat Izin Warga/Kades/Lurah/Developer")</f>
        <v>0.2 Tidak Dapat Izin Warga/Kades/Lurah/Developer</v>
      </c>
      <c r="Q162" s="222" t="str">
        <f>IFERROR(__xludf.DUMMYFUNCTION("""COMPUTED_VALUE"""),"20/01 Tidak dapat izin oleh RT/RW dan Warga setempat (07/01) Persiapan")</f>
        <v>20/01 Tidak dapat izin oleh RT/RW dan Warga setempat (07/01) Persiapan</v>
      </c>
      <c r="R162" s="228"/>
      <c r="S162" s="11"/>
      <c r="T162" s="11"/>
      <c r="U162" s="11"/>
      <c r="V162" s="229"/>
      <c r="W162" s="229"/>
      <c r="X162" s="229" t="str">
        <f>IFERROR(__xludf.DUMMYFUNCTION("""COMPUTED_VALUE"""),"BELUM GOLIVE")</f>
        <v>BELUM GOLIVE</v>
      </c>
      <c r="Y162" s="229"/>
      <c r="Z162" s="229" t="str">
        <f>IFERROR(__xludf.DUMMYFUNCTION("""COMPUTED_VALUE"""),"#N/A")</f>
        <v>#N/A</v>
      </c>
      <c r="AA162" s="229"/>
      <c r="AB162" s="229"/>
      <c r="AC162" s="229"/>
      <c r="AD162" s="232"/>
      <c r="AE162" s="233"/>
      <c r="AF162" s="54" t="str">
        <f>IFERROR(__xludf.DUMMYFUNCTION("""COMPUTED_VALUE"""),"Draft BA DROP")</f>
        <v>Draft BA DROP</v>
      </c>
      <c r="AG162" s="54"/>
      <c r="AH162" s="54"/>
      <c r="AI162" s="55" t="str">
        <f t="shared" si="31"/>
        <v/>
      </c>
      <c r="AW162" s="234"/>
      <c r="BP162" s="11"/>
      <c r="BQ162" s="11"/>
      <c r="BR162" s="235"/>
      <c r="BV162" s="158"/>
      <c r="BY162" s="158"/>
      <c r="CB162" s="158"/>
    </row>
    <row r="163" ht="18.0" hidden="1" customHeight="1">
      <c r="A163" s="222">
        <f>IFERROR(__xludf.DUMMYFUNCTION("""COMPUTED_VALUE"""),2026.0)</f>
        <v>2026</v>
      </c>
      <c r="B163" s="221">
        <f>IFERROR(__xludf.DUMMYFUNCTION("""COMPUTED_VALUE"""),1.1438176E7)</f>
        <v>11438176</v>
      </c>
      <c r="C163" s="222" t="str">
        <f>IFERROR(__xludf.DUMMYFUNCTION("""COMPUTED_VALUE"""),"BNK-PT4-PDW-JPPTSEL- PADANG SERAI")</f>
        <v>BNK-PT4-PDW-JPPTSEL- PADANG SERAI</v>
      </c>
      <c r="D163" s="222" t="str">
        <f>IFERROR(__xludf.DUMMYFUNCTION("""COMPUTED_VALUE"""),"REGIONAL I")</f>
        <v>REGIONAL I</v>
      </c>
      <c r="E163" s="222" t="str">
        <f>IFERROR(__xludf.DUMMYFUNCTION("""COMPUTED_VALUE"""),"BENGKULU")</f>
        <v>BENGKULU</v>
      </c>
      <c r="F163" s="222" t="str">
        <f>IFERROR(__xludf.DUMMYFUNCTION("""COMPUTED_VALUE"""),"PDW")</f>
        <v>PDW</v>
      </c>
      <c r="G163" s="222" t="str">
        <f>IFERROR(__xludf.DUMMYFUNCTION("""COMPUTED_VALUE"""),"SUMBAGSEL")</f>
        <v>SUMBAGSEL</v>
      </c>
      <c r="H163" s="222" t="str">
        <f>IFERROR(__xludf.DUMMYFUNCTION("""COMPUTED_VALUE"""),"BENGKULU")</f>
        <v>BENGKULU</v>
      </c>
      <c r="I163" s="222" t="str">
        <f>IFERROR(__xludf.DUMMYFUNCTION("""COMPUTED_VALUE"""),"Batch 2")</f>
        <v>Batch 2</v>
      </c>
      <c r="J163" s="225">
        <f>IFERROR(__xludf.DUMMYFUNCTION("""COMPUTED_VALUE"""),57.0)</f>
        <v>57</v>
      </c>
      <c r="K163" s="224">
        <f>IFERROR(__xludf.DUMMYFUNCTION("""COMPUTED_VALUE"""),456.0)</f>
        <v>456</v>
      </c>
      <c r="L163" s="226">
        <f>IFERROR(__xludf.DUMMYFUNCTION("""COMPUTED_VALUE"""),1453613.0)</f>
        <v>1453613</v>
      </c>
      <c r="M163" s="227">
        <f>IFERROR(__xludf.DUMMYFUNCTION("""COMPUTED_VALUE"""),6.62847149E8)</f>
        <v>662847149</v>
      </c>
      <c r="N163" s="222" t="str">
        <f>IFERROR(__xludf.DUMMYFUNCTION("""COMPUTED_VALUE"""),"PT GITA PRIMA TAMBA PERKASA")</f>
        <v>PT GITA PRIMA TAMBA PERKASA</v>
      </c>
      <c r="O163" s="222" t="str">
        <f>IFERROR(__xludf.DUMMYFUNCTION("""COMPUTED_VALUE"""),"0. DROP")</f>
        <v>0. DROP</v>
      </c>
      <c r="P163" s="222" t="str">
        <f>IFERROR(__xludf.DUMMYFUNCTION("""COMPUTED_VALUE"""),"0.2 Tidak Dapat Izin Warga/Kades/Lurah/Developer")</f>
        <v>0.2 Tidak Dapat Izin Warga/Kades/Lurah/Developer</v>
      </c>
      <c r="Q163" s="222" t="str">
        <f>IFERROR(__xludf.DUMMYFUNCTION("""COMPUTED_VALUE"""),"22/01 : TIDAK ADA IZIN RT RW, COMCASE 20 JT  RW DAN RT 5JT IMBAS DARI PEMBANGUNAN KOMPETITOR//PERIZINAN PU NASIONAL ")</f>
        <v>22/01 : TIDAK ADA IZIN RT RW, COMCASE 20 JT  RW DAN RT 5JT IMBAS DARI PEMBANGUNAN KOMPETITOR//PERIZINAN PU NASIONAL </v>
      </c>
      <c r="R163" s="228"/>
      <c r="S163" s="11"/>
      <c r="T163" s="11"/>
      <c r="U163" s="11"/>
      <c r="V163" s="229"/>
      <c r="W163" s="229"/>
      <c r="X163" s="229" t="str">
        <f>IFERROR(__xludf.DUMMYFUNCTION("""COMPUTED_VALUE"""),"BELUM GOLIVE")</f>
        <v>BELUM GOLIVE</v>
      </c>
      <c r="Y163" s="229"/>
      <c r="Z163" s="229" t="str">
        <f>IFERROR(__xludf.DUMMYFUNCTION("""COMPUTED_VALUE"""),"#N/A")</f>
        <v>#N/A</v>
      </c>
      <c r="AA163" s="229"/>
      <c r="AB163" s="229"/>
      <c r="AC163" s="229"/>
      <c r="AD163" s="232"/>
      <c r="AE163" s="233"/>
      <c r="AF163" s="54" t="str">
        <f>IFERROR(__xludf.DUMMYFUNCTION("""COMPUTED_VALUE"""),"Draft BA DROP")</f>
        <v>Draft BA DROP</v>
      </c>
      <c r="AG163" s="54"/>
      <c r="AH163" s="54"/>
      <c r="AI163" s="55" t="str">
        <f t="shared" si="31"/>
        <v/>
      </c>
      <c r="AW163" s="234"/>
      <c r="BP163" s="11"/>
      <c r="BQ163" s="11"/>
      <c r="BR163" s="235"/>
      <c r="BV163" s="158"/>
      <c r="BY163" s="158"/>
      <c r="CB163" s="158"/>
    </row>
    <row r="164" ht="18.0" customHeight="1">
      <c r="A164" s="222">
        <f>IFERROR(__xludf.DUMMYFUNCTION("""COMPUTED_VALUE"""),2026.0)</f>
        <v>2026</v>
      </c>
      <c r="B164" s="221">
        <f>IFERROR(__xludf.DUMMYFUNCTION("""COMPUTED_VALUE"""),1.2075822E7)</f>
        <v>12075822</v>
      </c>
      <c r="C164" s="222" t="str">
        <f>IFERROR(__xludf.DUMMYFUNCTION("""COMPUTED_VALUE"""),"RKP TSEL PT3 SLU-FBC KAV. SEI LEKOP")</f>
        <v>RKP TSEL PT3 SLU-FBC KAV. SEI LEKOP</v>
      </c>
      <c r="D164" s="222" t="str">
        <f>IFERROR(__xludf.DUMMYFUNCTION("""COMPUTED_VALUE"""),"REGIONAL I")</f>
        <v>REGIONAL I</v>
      </c>
      <c r="E164" s="222" t="str">
        <f>IFERROR(__xludf.DUMMYFUNCTION("""COMPUTED_VALUE"""),"RIKEP")</f>
        <v>RIKEP</v>
      </c>
      <c r="F164" s="222" t="str">
        <f>IFERROR(__xludf.DUMMYFUNCTION("""COMPUTED_VALUE"""),"SLU")</f>
        <v>SLU</v>
      </c>
      <c r="G164" s="222" t="str">
        <f>IFERROR(__xludf.DUMMYFUNCTION("""COMPUTED_VALUE"""),"SUMBAGTENG")</f>
        <v>SUMBAGTENG</v>
      </c>
      <c r="H164" s="222" t="str">
        <f>IFERROR(__xludf.DUMMYFUNCTION("""COMPUTED_VALUE"""),"BATAM")</f>
        <v>BATAM</v>
      </c>
      <c r="I164" s="222" t="str">
        <f>IFERROR(__xludf.DUMMYFUNCTION("""COMPUTED_VALUE"""),"Batch 2")</f>
        <v>Batch 2</v>
      </c>
      <c r="J164" s="225">
        <f>IFERROR(__xludf.DUMMYFUNCTION("""COMPUTED_VALUE"""),2.0)</f>
        <v>2</v>
      </c>
      <c r="K164" s="224">
        <f>IFERROR(__xludf.DUMMYFUNCTION("""COMPUTED_VALUE"""),16.0)</f>
        <v>16</v>
      </c>
      <c r="L164" s="226">
        <f>IFERROR(__xludf.DUMMYFUNCTION("""COMPUTED_VALUE"""),1452638.0)</f>
        <v>1452638</v>
      </c>
      <c r="M164" s="227">
        <f>IFERROR(__xludf.DUMMYFUNCTION("""COMPUTED_VALUE"""),2.3242201E7)</f>
        <v>23242201</v>
      </c>
      <c r="N164" s="222" t="str">
        <f>IFERROR(__xludf.DUMMYFUNCTION("""COMPUTED_VALUE"""),"PT MITRA SETIA INDONESIA")</f>
        <v>PT MITRA SETIA INDONESIA</v>
      </c>
      <c r="O164" s="222" t="str">
        <f>IFERROR(__xludf.DUMMYFUNCTION("""COMPUTED_VALUE"""),"0. DROP")</f>
        <v>0. DROP</v>
      </c>
      <c r="P164" s="222" t="str">
        <f>IFERROR(__xludf.DUMMYFUNCTION("""COMPUTED_VALUE"""),"0.2 Tidak Dapat Izin Warga/Kades/Lurah/Developer")</f>
        <v>0.2 Tidak Dapat Izin Warga/Kades/Lurah/Developer</v>
      </c>
      <c r="Q164" s="222" t="str">
        <f>IFERROR(__xludf.DUMMYFUNCTION("""COMPUTED_VALUE"""),"02/04 Saat ingin di progres, warga info ke RT untuk menolak pekerjaan tanam tiang, karena pernah bermasalah saat penanaman tiang di provider lain. 31/03 plan installasi tanggal 03 April, Plan GL, 10 April 2026. 30/03 tim mitra serial. 27/03 MP mitra cuma "&amp;"ada 1 masih mengerjakan LOP lain / tematik lain. 05/03 MP mitra masih progres LOP lain.  06/02 Izin OK, anwijzing OK. 28/01 Plan survey 29 Jan. 21/01 plan survey minggu depan tgl 26")</f>
        <v>02/04 Saat ingin di progres, warga info ke RT untuk menolak pekerjaan tanam tiang, karena pernah bermasalah saat penanaman tiang di provider lain. 31/03 plan installasi tanggal 03 April, Plan GL, 10 April 2026. 30/03 tim mitra serial. 27/03 MP mitra cuma ada 1 masih mengerjakan LOP lain / tematik lain. 05/03 MP mitra masih progres LOP lain.  06/02 Izin OK, anwijzing OK. 28/01 Plan survey 29 Jan. 21/01 plan survey minggu depan tgl 26</v>
      </c>
      <c r="R164" s="228"/>
      <c r="S164" s="11"/>
      <c r="T164" s="11"/>
      <c r="U164" s="11" t="str">
        <f>IFERROR(__xludf.DUMMYFUNCTION("""COMPUTED_VALUE"""),"W09-151/2026")</f>
        <v>W09-151/2026</v>
      </c>
      <c r="V164" s="229" t="str">
        <f>IFERROR(__xludf.DUMMYFUNCTION("""COMPUTED_VALUE"""),"MUHAMMAD RIDHO FALFO")</f>
        <v>MUHAMMAD RIDHO FALFO</v>
      </c>
      <c r="W164" s="229" t="str">
        <f>IFERROR(__xludf.DUMMYFUNCTION("""COMPUTED_VALUE"""),"LEVITA INDRIYANI")</f>
        <v>LEVITA INDRIYANI</v>
      </c>
      <c r="X164" s="229" t="str">
        <f>IFERROR(__xludf.DUMMYFUNCTION("""COMPUTED_VALUE"""),"BELUM GOLIVE")</f>
        <v>BELUM GOLIVE</v>
      </c>
      <c r="Y164" s="229"/>
      <c r="Z164" s="229" t="str">
        <f>IFERROR(__xludf.DUMMYFUNCTION("""COMPUTED_VALUE"""),"#N/A")</f>
        <v>#N/A</v>
      </c>
      <c r="AA164" s="229"/>
      <c r="AB164" s="229"/>
      <c r="AC164" s="229"/>
      <c r="AD164" s="232"/>
      <c r="AE164" s="233"/>
      <c r="AF164" s="54"/>
      <c r="AG164" s="54"/>
      <c r="AH164" s="54"/>
      <c r="AI164" s="55" t="str">
        <f t="shared" si="31"/>
        <v/>
      </c>
      <c r="AW164" s="234"/>
      <c r="BP164" s="11"/>
      <c r="BQ164" s="11"/>
      <c r="BR164" s="235"/>
      <c r="BV164" s="158"/>
      <c r="BY164" s="158"/>
      <c r="CB164" s="158"/>
    </row>
    <row r="165" ht="18.0" hidden="1" customHeight="1">
      <c r="A165" s="222">
        <f>IFERROR(__xludf.DUMMYFUNCTION("""COMPUTED_VALUE"""),2026.0)</f>
        <v>2026</v>
      </c>
      <c r="B165" s="221">
        <f>IFERROR(__xludf.DUMMYFUNCTION("""COMPUTED_VALUE"""),1.1469105E7)</f>
        <v>11469105</v>
      </c>
      <c r="C165" s="222" t="str">
        <f>IFERROR(__xludf.DUMMYFUNCTION("""COMPUTED_VALUE"""),"BNK-PT3-JPPTSEL-PAGAR DEAWA 4-PDW-FDG")</f>
        <v>BNK-PT3-JPPTSEL-PAGAR DEAWA 4-PDW-FDG</v>
      </c>
      <c r="D165" s="222" t="str">
        <f>IFERROR(__xludf.DUMMYFUNCTION("""COMPUTED_VALUE"""),"REGIONAL I")</f>
        <v>REGIONAL I</v>
      </c>
      <c r="E165" s="222" t="str">
        <f>IFERROR(__xludf.DUMMYFUNCTION("""COMPUTED_VALUE"""),"BENGKULU")</f>
        <v>BENGKULU</v>
      </c>
      <c r="F165" s="222" t="str">
        <f>IFERROR(__xludf.DUMMYFUNCTION("""COMPUTED_VALUE"""),"PDW")</f>
        <v>PDW</v>
      </c>
      <c r="G165" s="222" t="str">
        <f>IFERROR(__xludf.DUMMYFUNCTION("""COMPUTED_VALUE"""),"SUMBAGSEL")</f>
        <v>SUMBAGSEL</v>
      </c>
      <c r="H165" s="222" t="str">
        <f>IFERROR(__xludf.DUMMYFUNCTION("""COMPUTED_VALUE"""),"BENGKULU")</f>
        <v>BENGKULU</v>
      </c>
      <c r="I165" s="222" t="str">
        <f>IFERROR(__xludf.DUMMYFUNCTION("""COMPUTED_VALUE"""),"Batch 2")</f>
        <v>Batch 2</v>
      </c>
      <c r="J165" s="225">
        <f>IFERROR(__xludf.DUMMYFUNCTION("""COMPUTED_VALUE"""),12.0)</f>
        <v>12</v>
      </c>
      <c r="K165" s="224">
        <f>IFERROR(__xludf.DUMMYFUNCTION("""COMPUTED_VALUE"""),96.0)</f>
        <v>96</v>
      </c>
      <c r="L165" s="226">
        <f>IFERROR(__xludf.DUMMYFUNCTION("""COMPUTED_VALUE"""),1452187.0)</f>
        <v>1452187</v>
      </c>
      <c r="M165" s="227">
        <f>IFERROR(__xludf.DUMMYFUNCTION("""COMPUTED_VALUE"""),1.39409914E8)</f>
        <v>139409914</v>
      </c>
      <c r="N165" s="222" t="str">
        <f>IFERROR(__xludf.DUMMYFUNCTION("""COMPUTED_VALUE"""),"PT TUGU PRIMA SEJAHTERA")</f>
        <v>PT TUGU PRIMA SEJAHTERA</v>
      </c>
      <c r="O165" s="222" t="str">
        <f>IFERROR(__xludf.DUMMYFUNCTION("""COMPUTED_VALUE"""),"0. DROP")</f>
        <v>0. DROP</v>
      </c>
      <c r="P165" s="222" t="str">
        <f>IFERROR(__xludf.DUMMYFUNCTION("""COMPUTED_VALUE"""),"0.2 Tidak Dapat Izin Warga/Kades/Lurah/Developer")</f>
        <v>0.2 Tidak Dapat Izin Warga/Kades/Lurah/Developer</v>
      </c>
      <c r="Q165" s="222" t="str">
        <f>IFERROR(__xludf.DUMMYFUNCTION("""COMPUTED_VALUE"""),"22/2 tidak mendapat IZIN 23/01 :Drop TSEL
")</f>
        <v>22/2 tidak mendapat IZIN 23/01 :Drop TSEL
</v>
      </c>
      <c r="R165" s="228"/>
      <c r="S165" s="11"/>
      <c r="T165" s="11"/>
      <c r="U165" s="11"/>
      <c r="V165" s="229"/>
      <c r="W165" s="229"/>
      <c r="X165" s="229" t="str">
        <f>IFERROR(__xludf.DUMMYFUNCTION("""COMPUTED_VALUE"""),"BELUM GOLIVE")</f>
        <v>BELUM GOLIVE</v>
      </c>
      <c r="Y165" s="229"/>
      <c r="Z165" s="229" t="str">
        <f>IFERROR(__xludf.DUMMYFUNCTION("""COMPUTED_VALUE"""),"#N/A")</f>
        <v>#N/A</v>
      </c>
      <c r="AA165" s="229"/>
      <c r="AB165" s="229"/>
      <c r="AC165" s="229"/>
      <c r="AD165" s="232"/>
      <c r="AE165" s="233"/>
      <c r="AF165" s="54" t="str">
        <f>IFERROR(__xludf.DUMMYFUNCTION("""COMPUTED_VALUE"""),"Draft BA DROP")</f>
        <v>Draft BA DROP</v>
      </c>
      <c r="AG165" s="54"/>
      <c r="AH165" s="54"/>
      <c r="AI165" s="55" t="str">
        <f t="shared" si="31"/>
        <v/>
      </c>
      <c r="AW165" s="234"/>
      <c r="BP165" s="11"/>
      <c r="BQ165" s="11"/>
      <c r="BR165" s="235"/>
      <c r="BV165" s="158"/>
      <c r="BY165" s="158"/>
      <c r="CB165" s="158"/>
    </row>
    <row r="166" ht="18.0" customHeight="1">
      <c r="A166" s="222">
        <f>IFERROR(__xludf.DUMMYFUNCTION("""COMPUTED_VALUE"""),2026.0)</f>
        <v>2026</v>
      </c>
      <c r="B166" s="221">
        <f>IFERROR(__xludf.DUMMYFUNCTION("""COMPUTED_VALUE"""),1.1063736E7)</f>
        <v>11063736</v>
      </c>
      <c r="C166" s="222" t="str">
        <f>IFERROR(__xludf.DUMMYFUNCTION("""COMPUTED_VALUE"""),"SMB P7I6 Jl. Karya Mulia Korong Gadang")</f>
        <v>SMB P7I6 Jl. Karya Mulia Korong Gadang</v>
      </c>
      <c r="D166" s="222" t="str">
        <f>IFERROR(__xludf.DUMMYFUNCTION("""COMPUTED_VALUE"""),"REGIONAL I")</f>
        <v>REGIONAL I</v>
      </c>
      <c r="E166" s="222" t="str">
        <f>IFERROR(__xludf.DUMMYFUNCTION("""COMPUTED_VALUE"""),"SUMBAR")</f>
        <v>SUMBAR</v>
      </c>
      <c r="F166" s="222" t="str">
        <f>IFERROR(__xludf.DUMMYFUNCTION("""COMPUTED_VALUE"""),"KJI")</f>
        <v>KJI</v>
      </c>
      <c r="G166" s="222" t="str">
        <f>IFERROR(__xludf.DUMMYFUNCTION("""COMPUTED_VALUE"""),"SUMBAGTENG")</f>
        <v>SUMBAGTENG</v>
      </c>
      <c r="H166" s="222" t="str">
        <f>IFERROR(__xludf.DUMMYFUNCTION("""COMPUTED_VALUE"""),"PADANG")</f>
        <v>PADANG</v>
      </c>
      <c r="I166" s="222" t="str">
        <f>IFERROR(__xludf.DUMMYFUNCTION("""COMPUTED_VALUE"""),"Batch 2")</f>
        <v>Batch 2</v>
      </c>
      <c r="J166" s="225">
        <f>IFERROR(__xludf.DUMMYFUNCTION("""COMPUTED_VALUE"""),4.0)</f>
        <v>4</v>
      </c>
      <c r="K166" s="224">
        <f>IFERROR(__xludf.DUMMYFUNCTION("""COMPUTED_VALUE"""),32.0)</f>
        <v>32</v>
      </c>
      <c r="L166" s="226">
        <f>IFERROR(__xludf.DUMMYFUNCTION("""COMPUTED_VALUE"""),1451324.0)</f>
        <v>1451324</v>
      </c>
      <c r="M166" s="227">
        <f>IFERROR(__xludf.DUMMYFUNCTION("""COMPUTED_VALUE"""),4.6442343E7)</f>
        <v>46442343</v>
      </c>
      <c r="N166" s="222" t="str">
        <f>IFERROR(__xludf.DUMMYFUNCTION("""COMPUTED_VALUE"""),"PT TRI PENAMAS")</f>
        <v>PT TRI PENAMAS</v>
      </c>
      <c r="O166" s="222" t="str">
        <f>IFERROR(__xludf.DUMMYFUNCTION("""COMPUTED_VALUE"""),"0. DROP")</f>
        <v>0. DROP</v>
      </c>
      <c r="P166" s="222" t="str">
        <f>IFERROR(__xludf.DUMMYFUNCTION("""COMPUTED_VALUE"""),"0.2 Tidak Dapat Izin Warga/Kades/Lurah/Developer")</f>
        <v>0.2 Tidak Dapat Izin Warga/Kades/Lurah/Developer</v>
      </c>
      <c r="Q166" s="222" t="str">
        <f>IFERROR(__xludf.DUMMYFUNCTION("""COMPUTED_VALUE"""),"08/01 kendala Tidak dapat izin tanam tiang sama pemilik lahan")</f>
        <v>08/01 kendala Tidak dapat izin tanam tiang sama pemilik lahan</v>
      </c>
      <c r="R166" s="228"/>
      <c r="S166" s="11"/>
      <c r="T166" s="11"/>
      <c r="U166" s="11"/>
      <c r="V166" s="229"/>
      <c r="W166" s="229"/>
      <c r="X166" s="229" t="str">
        <f>IFERROR(__xludf.DUMMYFUNCTION("""COMPUTED_VALUE"""),"BELUM GOLIVE")</f>
        <v>BELUM GOLIVE</v>
      </c>
      <c r="Y166" s="229"/>
      <c r="Z166" s="229" t="str">
        <f>IFERROR(__xludf.DUMMYFUNCTION("""COMPUTED_VALUE"""),"#N/A")</f>
        <v>#N/A</v>
      </c>
      <c r="AA166" s="229"/>
      <c r="AB166" s="229"/>
      <c r="AC166" s="229"/>
      <c r="AD166" s="232"/>
      <c r="AE166" s="233"/>
      <c r="AF166" s="54" t="str">
        <f>IFERROR(__xludf.DUMMYFUNCTION("""COMPUTED_VALUE"""),"Draft BA DROP")</f>
        <v>Draft BA DROP</v>
      </c>
      <c r="AG166" s="54"/>
      <c r="AH166" s="54"/>
      <c r="AI166" s="55" t="str">
        <f t="shared" si="31"/>
        <v/>
      </c>
      <c r="AW166" s="234"/>
      <c r="BP166" s="11"/>
      <c r="BQ166" s="11"/>
      <c r="BR166" s="235"/>
      <c r="BV166" s="158"/>
      <c r="BY166" s="158"/>
      <c r="CB166" s="158"/>
    </row>
    <row r="167" ht="18.0" hidden="1" customHeight="1">
      <c r="A167" s="222">
        <f>IFERROR(__xludf.DUMMYFUNCTION("""COMPUTED_VALUE"""),2026.0)</f>
        <v>2026</v>
      </c>
      <c r="B167" s="221">
        <f>IFERROR(__xludf.DUMMYFUNCTION("""COMPUTED_VALUE"""),1.1389531E7)</f>
        <v>11389531</v>
      </c>
      <c r="C167" s="222" t="str">
        <f>IFERROR(__xludf.DUMMYFUNCTION("""COMPUTED_VALUE"""),"MDN PT3 TTG-FD JL.SEROJA PERMAI")</f>
        <v>MDN PT3 TTG-FD JL.SEROJA PERMAI</v>
      </c>
      <c r="D167" s="222" t="str">
        <f>IFERROR(__xludf.DUMMYFUNCTION("""COMPUTED_VALUE"""),"REGIONAL I")</f>
        <v>REGIONAL I</v>
      </c>
      <c r="E167" s="222" t="str">
        <f>IFERROR(__xludf.DUMMYFUNCTION("""COMPUTED_VALUE"""),"MEDAN")</f>
        <v>MEDAN</v>
      </c>
      <c r="F167" s="222" t="str">
        <f>IFERROR(__xludf.DUMMYFUNCTION("""COMPUTED_VALUE"""),"TTG")</f>
        <v>TTG</v>
      </c>
      <c r="G167" s="222" t="str">
        <f>IFERROR(__xludf.DUMMYFUNCTION("""COMPUTED_VALUE"""),"SUMBAGUT")</f>
        <v>SUMBAGUT</v>
      </c>
      <c r="H167" s="222" t="str">
        <f>IFERROR(__xludf.DUMMYFUNCTION("""COMPUTED_VALUE"""),"MEDAN")</f>
        <v>MEDAN</v>
      </c>
      <c r="I167" s="222" t="str">
        <f>IFERROR(__xludf.DUMMYFUNCTION("""COMPUTED_VALUE"""),"Batch 2")</f>
        <v>Batch 2</v>
      </c>
      <c r="J167" s="225">
        <f>IFERROR(__xludf.DUMMYFUNCTION("""COMPUTED_VALUE"""),8.0)</f>
        <v>8</v>
      </c>
      <c r="K167" s="224">
        <f>IFERROR(__xludf.DUMMYFUNCTION("""COMPUTED_VALUE"""),64.0)</f>
        <v>64</v>
      </c>
      <c r="L167" s="226">
        <f>IFERROR(__xludf.DUMMYFUNCTION("""COMPUTED_VALUE"""),909668.0)</f>
        <v>909668</v>
      </c>
      <c r="M167" s="227">
        <f>IFERROR(__xludf.DUMMYFUNCTION("""COMPUTED_VALUE"""),5.8218703E7)</f>
        <v>58218703</v>
      </c>
      <c r="N167" s="222" t="str">
        <f>IFERROR(__xludf.DUMMYFUNCTION("""COMPUTED_VALUE"""),"SWAKELOLA")</f>
        <v>SWAKELOLA</v>
      </c>
      <c r="O167" s="222" t="str">
        <f>IFERROR(__xludf.DUMMYFUNCTION("""COMPUTED_VALUE"""),"1. AANWIJZING")</f>
        <v>1. AANWIJZING</v>
      </c>
      <c r="P167" s="222" t="str">
        <f>IFERROR(__xludf.DUMMYFUNCTION("""COMPUTED_VALUE"""),"1.6 Ongoing Aanwidjzing")</f>
        <v>1.6 Ongoing Aanwidjzing</v>
      </c>
      <c r="Q167" s="222" t="str">
        <f>IFERROR(__xludf.DUMMYFUNCTION("""COMPUTED_VALUE"""),"20/04 identifikasi titik masalah ulang 01/11 Feeder Loss
(24/09) Perizinan Warga dan Kades / Lurah
(23/09) Perizinan Warga dan Kades / Lurah
15/09 proses aanwijzing")</f>
        <v>20/04 identifikasi titik masalah ulang 01/11 Feeder Loss
(24/09) Perizinan Warga dan Kades / Lurah
(23/09) Perizinan Warga dan Kades / Lurah
15/09 proses aanwijzing</v>
      </c>
      <c r="R167" s="228"/>
      <c r="S167" s="11"/>
      <c r="T167" s="11"/>
      <c r="U167" s="11"/>
      <c r="V167" s="229"/>
      <c r="W167" s="229"/>
      <c r="X167" s="229" t="str">
        <f>IFERROR(__xludf.DUMMYFUNCTION("""COMPUTED_VALUE"""),"BELUM GOLIVE")</f>
        <v>BELUM GOLIVE</v>
      </c>
      <c r="Y167" s="229"/>
      <c r="Z167" s="229" t="str">
        <f>IFERROR(__xludf.DUMMYFUNCTION("""COMPUTED_VALUE"""),"#N/A")</f>
        <v>#N/A</v>
      </c>
      <c r="AA167" s="229"/>
      <c r="AB167" s="229"/>
      <c r="AC167" s="229"/>
      <c r="AD167" s="232"/>
      <c r="AE167" s="233"/>
      <c r="AF167" s="54"/>
      <c r="AG167" s="54"/>
      <c r="AH167" s="54"/>
      <c r="AI167" s="55" t="str">
        <f t="shared" si="31"/>
        <v/>
      </c>
      <c r="AW167" s="234"/>
      <c r="BP167" s="11"/>
      <c r="BQ167" s="11"/>
      <c r="BR167" s="235"/>
      <c r="BV167" s="158"/>
      <c r="BY167" s="158"/>
      <c r="CB167" s="158"/>
    </row>
    <row r="168" ht="18.0" customHeight="1">
      <c r="A168" s="222">
        <f>IFERROR(__xludf.DUMMYFUNCTION("""COMPUTED_VALUE"""),2026.0)</f>
        <v>2026</v>
      </c>
      <c r="B168" s="221">
        <f>IFERROR(__xludf.DUMMYFUNCTION("""COMPUTED_VALUE"""),1.1196971E7)</f>
        <v>11196971</v>
      </c>
      <c r="C168" s="222" t="str">
        <f>IFERROR(__xludf.DUMMYFUNCTION("""COMPUTED_VALUE"""),"RKP PT3 TSEL TBK-FAF JL. SEI BATI")</f>
        <v>RKP PT3 TSEL TBK-FAF JL. SEI BATI</v>
      </c>
      <c r="D168" s="222" t="str">
        <f>IFERROR(__xludf.DUMMYFUNCTION("""COMPUTED_VALUE"""),"REGIONAL I")</f>
        <v>REGIONAL I</v>
      </c>
      <c r="E168" s="222" t="str">
        <f>IFERROR(__xludf.DUMMYFUNCTION("""COMPUTED_VALUE"""),"RIKEP")</f>
        <v>RIKEP</v>
      </c>
      <c r="F168" s="222" t="str">
        <f>IFERROR(__xludf.DUMMYFUNCTION("""COMPUTED_VALUE"""),"TBK")</f>
        <v>TBK</v>
      </c>
      <c r="G168" s="222" t="str">
        <f>IFERROR(__xludf.DUMMYFUNCTION("""COMPUTED_VALUE"""),"SUMBAGTENG")</f>
        <v>SUMBAGTENG</v>
      </c>
      <c r="H168" s="222" t="str">
        <f>IFERROR(__xludf.DUMMYFUNCTION("""COMPUTED_VALUE"""),"BATAM")</f>
        <v>BATAM</v>
      </c>
      <c r="I168" s="222" t="str">
        <f>IFERROR(__xludf.DUMMYFUNCTION("""COMPUTED_VALUE"""),"Batch 2")</f>
        <v>Batch 2</v>
      </c>
      <c r="J168" s="225">
        <f>IFERROR(__xludf.DUMMYFUNCTION("""COMPUTED_VALUE"""),3.0)</f>
        <v>3</v>
      </c>
      <c r="K168" s="224">
        <f>IFERROR(__xludf.DUMMYFUNCTION("""COMPUTED_VALUE"""),24.0)</f>
        <v>24</v>
      </c>
      <c r="L168" s="226">
        <f>IFERROR(__xludf.DUMMYFUNCTION("""COMPUTED_VALUE"""),1450816.0)</f>
        <v>1450816</v>
      </c>
      <c r="M168" s="227">
        <f>IFERROR(__xludf.DUMMYFUNCTION("""COMPUTED_VALUE"""),3.4819567E7)</f>
        <v>34819567</v>
      </c>
      <c r="N168" s="222" t="str">
        <f>IFERROR(__xludf.DUMMYFUNCTION("""COMPUTED_VALUE"""),"PT DWI MITRA JAYA UTAMA")</f>
        <v>PT DWI MITRA JAYA UTAMA</v>
      </c>
      <c r="O168" s="222" t="str">
        <f>IFERROR(__xludf.DUMMYFUNCTION("""COMPUTED_VALUE"""),"7. GOLIVE")</f>
        <v>7. GOLIVE</v>
      </c>
      <c r="P168" s="222" t="str">
        <f>IFERROR(__xludf.DUMMYFUNCTION("""COMPUTED_VALUE"""),"7.2 Golive Full / OA / DONE OTB")</f>
        <v>7.2 Golive Full / OA / DONE OTB</v>
      </c>
      <c r="Q168" s="222" t="str">
        <f>IFERROR(__xludf.DUMMYFUNCTION("""COMPUTED_VALUE"""),"12/02 Proses ABD. 09/02 Penarikan KU. 06/02 proses gali tiang. 28/01 Anwijzing OK, Jalur tiang eksisting")</f>
        <v>12/02 Proses ABD. 09/02 Penarikan KU. 06/02 proses gali tiang. 28/01 Anwijzing OK, Jalur tiang eksisting</v>
      </c>
      <c r="R168" s="228">
        <f>IFERROR(__xludf.DUMMYFUNCTION("""COMPUTED_VALUE"""),46069.0)</f>
        <v>46069</v>
      </c>
      <c r="S168" s="11"/>
      <c r="T168" s="11"/>
      <c r="U168" s="11" t="str">
        <f>IFERROR(__xludf.DUMMYFUNCTION("""COMPUTED_VALUE"""),"W09-108/2026")</f>
        <v>W09-108/2026</v>
      </c>
      <c r="V168" s="229" t="str">
        <f>IFERROR(__xludf.DUMMYFUNCTION("""COMPUTED_VALUE"""),"MOHAMMAD FAUZY")</f>
        <v>MOHAMMAD FAUZY</v>
      </c>
      <c r="W168" s="229" t="str">
        <f>IFERROR(__xludf.DUMMYFUNCTION("""COMPUTED_VALUE"""),"LEVITA INDRIYANI")</f>
        <v>LEVITA INDRIYANI</v>
      </c>
      <c r="X168" s="229" t="str">
        <f>IFERROR(__xludf.DUMMYFUNCTION("""COMPUTED_VALUE"""),"GOLIVE")</f>
        <v>GOLIVE</v>
      </c>
      <c r="Y168" s="229" t="str">
        <f>IFERROR(__xludf.DUMMYFUNCTION("""COMPUTED_VALUE"""),"DONE")</f>
        <v>DONE</v>
      </c>
      <c r="Z168" s="229" t="str">
        <f>IFERROR(__xludf.DUMMYFUNCTION("""COMPUTED_VALUE"""),"#N/A")</f>
        <v>#N/A</v>
      </c>
      <c r="AA168" s="229">
        <f>IFERROR(__xludf.DUMMYFUNCTION("""COMPUTED_VALUE"""),3.0)</f>
        <v>3</v>
      </c>
      <c r="AB168" s="229"/>
      <c r="AC168" s="229" t="str">
        <f>IFERROR(__xludf.DUMMYFUNCTION("""COMPUTED_VALUE"""),"9039451#9039456")</f>
        <v>9039451#9039456</v>
      </c>
      <c r="AD168" s="232">
        <f>IFERROR(__xludf.DUMMYFUNCTION("""COMPUTED_VALUE"""),24.0)</f>
        <v>24</v>
      </c>
      <c r="AE168" s="233">
        <f>IFERROR(__xludf.DUMMYFUNCTION("""COMPUTED_VALUE"""),46068.0)</f>
        <v>46068</v>
      </c>
      <c r="AF168" s="54"/>
      <c r="AG168" s="54"/>
      <c r="AH168" s="54">
        <v>46069.0</v>
      </c>
      <c r="AI168" s="55">
        <f>IF(OR(AH168="",AE168=""),"",AH168-AE168)</f>
        <v>1</v>
      </c>
      <c r="AW168" s="234"/>
      <c r="BP168" s="11"/>
      <c r="BQ168" s="11"/>
      <c r="BR168" s="235"/>
      <c r="BV168" s="158"/>
      <c r="BY168" s="158"/>
      <c r="CB168" s="158"/>
    </row>
    <row r="169" ht="18.0" hidden="1" customHeight="1">
      <c r="A169" s="222">
        <f>IFERROR(__xludf.DUMMYFUNCTION("""COMPUTED_VALUE"""),2026.0)</f>
        <v>2026</v>
      </c>
      <c r="B169" s="221">
        <f>IFERROR(__xludf.DUMMYFUNCTION("""COMPUTED_VALUE"""),1.1472404E7)</f>
        <v>11472404</v>
      </c>
      <c r="C169" s="222" t="str">
        <f>IFERROR(__xludf.DUMMYFUNCTION("""COMPUTED_VALUE"""),"SMS P3I1 PT4 PDP FXX TALANG PADANG 2")</f>
        <v>SMS P3I1 PT4 PDP FXX TALANG PADANG 2</v>
      </c>
      <c r="D169" s="222" t="str">
        <f>IFERROR(__xludf.DUMMYFUNCTION("""COMPUTED_VALUE"""),"REGIONAL I")</f>
        <v>REGIONAL I</v>
      </c>
      <c r="E169" s="222" t="str">
        <f>IFERROR(__xludf.DUMMYFUNCTION("""COMPUTED_VALUE"""),"SUMSEL")</f>
        <v>SUMSEL</v>
      </c>
      <c r="F169" s="222" t="str">
        <f>IFERROR(__xludf.DUMMYFUNCTION("""COMPUTED_VALUE"""),"PDP")</f>
        <v>PDP</v>
      </c>
      <c r="G169" s="222" t="str">
        <f>IFERROR(__xludf.DUMMYFUNCTION("""COMPUTED_VALUE"""),"SUMBAGSEL")</f>
        <v>SUMBAGSEL</v>
      </c>
      <c r="H169" s="222" t="str">
        <f>IFERROR(__xludf.DUMMYFUNCTION("""COMPUTED_VALUE"""),"BENGKULU")</f>
        <v>BENGKULU</v>
      </c>
      <c r="I169" s="222" t="str">
        <f>IFERROR(__xludf.DUMMYFUNCTION("""COMPUTED_VALUE"""),"Batch 2")</f>
        <v>Batch 2</v>
      </c>
      <c r="J169" s="225">
        <f>IFERROR(__xludf.DUMMYFUNCTION("""COMPUTED_VALUE"""),51.0)</f>
        <v>51</v>
      </c>
      <c r="K169" s="224">
        <f>IFERROR(__xludf.DUMMYFUNCTION("""COMPUTED_VALUE"""),400.0)</f>
        <v>400</v>
      </c>
      <c r="L169" s="226">
        <f>IFERROR(__xludf.DUMMYFUNCTION("""COMPUTED_VALUE"""),1450683.0)</f>
        <v>1450683</v>
      </c>
      <c r="M169" s="227">
        <f>IFERROR(__xludf.DUMMYFUNCTION("""COMPUTED_VALUE"""),5.8027295E8)</f>
        <v>580272950</v>
      </c>
      <c r="N169" s="222" t="str">
        <f>IFERROR(__xludf.DUMMYFUNCTION("""COMPUTED_VALUE"""),"PT DIAN KARYA")</f>
        <v>PT DIAN KARYA</v>
      </c>
      <c r="O169" s="222" t="str">
        <f>IFERROR(__xludf.DUMMYFUNCTION("""COMPUTED_VALUE"""),"5. INSTALASI")</f>
        <v>5. INSTALASI</v>
      </c>
      <c r="P169" s="222" t="str">
        <f>IFERROR(__xludf.DUMMYFUNCTION("""COMPUTED_VALUE"""),"5.4 Proses Penanaman Tiang")</f>
        <v>5.4 Proses Penanaman Tiang</v>
      </c>
      <c r="Q169" s="222" t="str">
        <f>IFERROR(__xludf.DUMMYFUNCTION("""COMPUTED_VALUE"""),"27/04 PROSES PENANAMAN TIANG 127BTG/186BTG, 27/04 PROSES PENANAMAN TIANG 103 BTG/ 186BTG, 25/4 masih progress, butuh MiniOLT dan belum dapat hasil ukur UPlink 24/04 PROSES PENANAMAN TIANG, 23/04 MATDEL MATERIAL TAMBAHAN, 21/4 Comcase dengan kades 16/04 PR"&amp;"OSES PELUBANGAN UTK TANAM TIANG, 13/04 Meminta kompensasi terkait keamanan dengan PJS &amp; orang keamanan 13 Apr 25/03 EST TGL 30 MAR MEMASTIKAN PERIZINAN WARGA DI SEKITAR SITE, 24/03 MASIH MEMASTIKAN PERIZINAN WARGA DI SEKITAR SITE KRNA HIGH COMCASE, 21/03 "&amp;"MASIH MEMASTIKAN PERIZINAN WARGA DI SEKITAR SITE KRNA HIGH COMCASE, 17/03 MEMASTIKAN PERIZINAN WARGA DI SEKITAR SITE KRNA HIGH COMCASE, 12/03 MENUNGGU ANTRIAN PROGRESS LOP EMPAT LAWANG, 03/03 MENUNGGU ANTRIAN PROGRESS LOP EMPAT LAWANG, 27/02 DONE INPUT MA"&amp;"TERIAL, 26/02 OGP INPUT MATERIAL, 25/02 DONE AMD BUDGET, 24/02 OGP INPUT MATERIAL - KENDALA OVER BUDGET  22/2 menunggu material TIANG  18/02 MASIH MENUNGGU PR PO, 12/02 DONE DRM, 11/2 DRM ulang karena BOQ dan CPP turun, plan 11 FEB selesai  10/02 LANJUT D"&amp;"RM - BOQ DAN CPP TURUN DARI IHLD, 04/02 DONE EVAL, HOLD, ADA PERUBAHAN UNTK FEEDER AWAL ROJOK MENJADI KU KARENA DI LOKASI AREA BATU CADAS , UNTUK CPP 1,2 JT, 04/02 OGP EVAL, 31/1 DOne aanwijdzing, eval senin 2 feb 30/01 DONE AANWIDJZING, 28/01 OGP AANWIDJ"&amp;"ZING, 26/1 tim TIF belum bisa EVAL hasil anwijzing karena lagi diluar kota , estimasi 29 jan baru kembali ke Palembang(23/1) plan aanwijdzing tgl 27 jan (21/01) menunggu antrian untuk aanwizjing, (15/1) ORDER DITERIMA MITRA 14/1, masih menunngu confirm- k"&amp;"epastian 19 jan (06/01)order JPP batch-2 2026 ((14/11)HOLD- tidak masuk target Optimis 2025 (12/11 order sudah masuk PO Mitra Raharja 10/11 order sudah masuk PO Mitra Raharja 23/10 belum di lakukan oleh mitra ke lokasi
 15/10 plan aanwiznig tgl 17/10
 (08"&amp;"/10) menunggu jadwal aanwijizng
 (01/10) menunggu jadwal aanwijizng
 (19/09) pejadwalan aanwijzing")</f>
        <v>27/04 PROSES PENANAMAN TIANG 127BTG/186BTG, 27/04 PROSES PENANAMAN TIANG 103 BTG/ 186BTG, 25/4 masih progress, butuh MiniOLT dan belum dapat hasil ukur UPlink 24/04 PROSES PENANAMAN TIANG, 23/04 MATDEL MATERIAL TAMBAHAN, 21/4 Comcase dengan kades 16/04 PROSES PELUBANGAN UTK TANAM TIANG, 13/04 Meminta kompensasi terkait keamanan dengan PJS &amp; orang keamanan 13 Apr 25/03 EST TGL 30 MAR MEMASTIKAN PERIZINAN WARGA DI SEKITAR SITE, 24/03 MASIH MEMASTIKAN PERIZINAN WARGA DI SEKITAR SITE KRNA HIGH COMCASE, 21/03 MASIH MEMASTIKAN PERIZINAN WARGA DI SEKITAR SITE KRNA HIGH COMCASE, 17/03 MEMASTIKAN PERIZINAN WARGA DI SEKITAR SITE KRNA HIGH COMCASE, 12/03 MENUNGGU ANTRIAN PROGRESS LOP EMPAT LAWANG, 03/03 MENUNGGU ANTRIAN PROGRESS LOP EMPAT LAWANG, 27/02 DONE INPUT MATERIAL, 26/02 OGP INPUT MATERIAL, 25/02 DONE AMD BUDGET, 24/02 OGP INPUT MATERIAL - KENDALA OVER BUDGET  22/2 menunggu material TIANG  18/02 MASIH MENUNGGU PR PO, 12/02 DONE DRM, 11/2 DRM ulang karena BOQ dan CPP turun, plan 11 FEB selesai  10/02 LANJUT DRM - BOQ DAN CPP TURUN DARI IHLD, 04/02 DONE EVAL, HOLD, ADA PERUBAHAN UNTK FEEDER AWAL ROJOK MENJADI KU KARENA DI LOKASI AREA BATU CADAS , UNTUK CPP 1,2 JT, 04/02 OGP EVAL, 31/1 DOne aanwijdzing, eval senin 2 feb 30/01 DONE AANWIDJZING, 28/01 OGP AANWIDJZING, 26/1 tim TIF belum bisa EVAL hasil anwijzing karena lagi diluar kota , estimasi 29 jan baru kembali ke Palembang(23/1) plan aanwijdzing tgl 27 jan (21/01) menunggu antrian untuk aanwizjing, (15/1) ORDER DITERIMA MITRA 14/1, masih menunngu confirm- kepastian 19 jan (06/01)order JPP batch-2 2026 ((14/11)HOLD- tidak masuk target Optimis 2025 (12/11 order sudah masuk PO Mitra Raharja 10/11 order sudah masuk PO Mitra Raharja 23/10 belum di lakukan oleh mitra ke lokasi
 15/10 plan aanwiznig tgl 17/10
 (08/10) menunggu jadwal aanwijizng
 (01/10) menunggu jadwal aanwijizng
 (19/09) pejadwalan aanwijzing</v>
      </c>
      <c r="R169" s="228"/>
      <c r="S169" s="11" t="str">
        <f>IFERROR(__xludf.DUMMYFUNCTION("""COMPUTED_VALUE"""),"APR")</f>
        <v>APR</v>
      </c>
      <c r="T169" s="73" t="str">
        <f>IFERROR(__xludf.DUMMYFUNCTION("""COMPUTED_VALUE"""),"P1")</f>
        <v>P1</v>
      </c>
      <c r="U169" s="11"/>
      <c r="V169" s="229" t="str">
        <f>IFERROR(__xludf.DUMMYFUNCTION("""COMPUTED_VALUE"""),"PUTRA")</f>
        <v>PUTRA</v>
      </c>
      <c r="W169" s="229"/>
      <c r="X169" s="229" t="str">
        <f>IFERROR(__xludf.DUMMYFUNCTION("""COMPUTED_VALUE"""),"BELUM GOLIVE")</f>
        <v>BELUM GOLIVE</v>
      </c>
      <c r="Y169" s="229"/>
      <c r="Z169" s="229"/>
      <c r="AA169" s="229"/>
      <c r="AB169" s="229"/>
      <c r="AC169" s="229"/>
      <c r="AD169" s="232"/>
      <c r="AE169" s="233"/>
      <c r="AF169" s="54"/>
      <c r="AG169" s="54"/>
      <c r="AH169" s="54">
        <v>46135.0</v>
      </c>
      <c r="AI169" s="55" t="str">
        <f t="shared" ref="AI169:AI181" si="32">IF(OR(R169="",AE169=""),"",R169-AE169)</f>
        <v/>
      </c>
      <c r="AW169" s="234"/>
      <c r="BP169" s="11"/>
      <c r="BQ169" s="11"/>
      <c r="BR169" s="235"/>
      <c r="BV169" s="158"/>
      <c r="BY169" s="158"/>
      <c r="CB169" s="158"/>
    </row>
    <row r="170" ht="18.0" hidden="1" customHeight="1">
      <c r="A170" s="222">
        <f>IFERROR(__xludf.DUMMYFUNCTION("""COMPUTED_VALUE"""),2026.0)</f>
        <v>2026</v>
      </c>
      <c r="B170" s="221">
        <f>IFERROR(__xludf.DUMMYFUNCTION("""COMPUTED_VALUE"""),1.1265698E7)</f>
        <v>11265698</v>
      </c>
      <c r="C170" s="222" t="str">
        <f>IFERROR(__xludf.DUMMYFUNCTION("""COMPUTED_VALUE"""),"SMS P1I2 PT4 ODC MEM FP LISTA ANDRIANI")</f>
        <v>SMS P1I2 PT4 ODC MEM FP LISTA ANDRIANI</v>
      </c>
      <c r="D170" s="222" t="str">
        <f>IFERROR(__xludf.DUMMYFUNCTION("""COMPUTED_VALUE"""),"REGIONAL I")</f>
        <v>REGIONAL I</v>
      </c>
      <c r="E170" s="222" t="str">
        <f>IFERROR(__xludf.DUMMYFUNCTION("""COMPUTED_VALUE"""),"SUMSEL")</f>
        <v>SUMSEL</v>
      </c>
      <c r="F170" s="222" t="str">
        <f>IFERROR(__xludf.DUMMYFUNCTION("""COMPUTED_VALUE"""),"MEM")</f>
        <v>MEM</v>
      </c>
      <c r="G170" s="222" t="str">
        <f>IFERROR(__xludf.DUMMYFUNCTION("""COMPUTED_VALUE"""),"SUMBAGSEL")</f>
        <v>SUMBAGSEL</v>
      </c>
      <c r="H170" s="222" t="str">
        <f>IFERROR(__xludf.DUMMYFUNCTION("""COMPUTED_VALUE"""),"PALEMBANG")</f>
        <v>PALEMBANG</v>
      </c>
      <c r="I170" s="222" t="str">
        <f>IFERROR(__xludf.DUMMYFUNCTION("""COMPUTED_VALUE"""),"Batch 2")</f>
        <v>Batch 2</v>
      </c>
      <c r="J170" s="225">
        <f>IFERROR(__xludf.DUMMYFUNCTION("""COMPUTED_VALUE"""),42.0)</f>
        <v>42</v>
      </c>
      <c r="K170" s="224">
        <f>IFERROR(__xludf.DUMMYFUNCTION("""COMPUTED_VALUE"""),336.0)</f>
        <v>336</v>
      </c>
      <c r="L170" s="226">
        <f>IFERROR(__xludf.DUMMYFUNCTION("""COMPUTED_VALUE"""),1450349.0)</f>
        <v>1450349</v>
      </c>
      <c r="M170" s="227">
        <f>IFERROR(__xludf.DUMMYFUNCTION("""COMPUTED_VALUE"""),4.87316996E8)</f>
        <v>487316996</v>
      </c>
      <c r="N170" s="222" t="str">
        <f>IFERROR(__xludf.DUMMYFUNCTION("""COMPUTED_VALUE"""),"PT ACERO CETHA METALINDO")</f>
        <v>PT ACERO CETHA METALINDO</v>
      </c>
      <c r="O170" s="222" t="str">
        <f>IFERROR(__xludf.DUMMYFUNCTION("""COMPUTED_VALUE"""),"5. INSTALASI")</f>
        <v>5. INSTALASI</v>
      </c>
      <c r="P170" s="222" t="str">
        <f>IFERROR(__xludf.DUMMYFUNCTION("""COMPUTED_VALUE"""),"5.7 Proses Penarikan Kabel - Paralel Comcase/Perjinan PU")</f>
        <v>5.7 Proses Penarikan Kabel - Paralel Comcase/Perjinan PU</v>
      </c>
      <c r="Q170" s="222" t="str">
        <f>IFERROR(__xludf.DUMMYFUNCTION("""COMPUTED_VALUE"""),"27/04 PROGRESS BANGUN PONDASI UPDATE ODC - DI STOP OLEH PIHAK SEKOLAH, 24/04 MENUNGGU ANTRIAN PENARIKAN KABEL, 23/04 PROSES PENARIKAN KABEL ADSS-24D 3800M/5680M, 21/04 proses tanam tiang, 16/04 KENDALA MATERIAL KABEL HABIS DIGUDANG  13/04 Kirim material 1"&amp;"3 Apr 09/04 proses input material plan matdel  10 APR 08/04 MENUNGGU PR PO, 06/04 PROSES PR PO, 04/04 MASIH MENUNGGU PID LOP DIMAS PPPA MEM 2 UTK DILANJUTKAN KE PR PO, 30/03 MENUNGGU PR PO, 28/03 DONE DRM, 27/03 PROSES DRM, 26/03 OGP DRM (PERUBAHAN DRI SW"&amp;"AKELOLA KE KEMITRAAN),  24/03 DONE PR PO, EST TGL 28 MAR INPUT MATERIAL, 21/03 EST TGL 28 MAR INPUT MATERIAL, 13/03 OGP INPUT MATERIAL, 12/03 OGP INPUT MATERIAL DAN MENUNGGU MITRA UTK KAPAN PROGRESSNYA, 09/03 OGP INPUT MATERIAL, 28/2 menunggu PID -materia"&amp;"l bisa keluar WH  plan 3 MAR  27/02 MSH MENUNGGU PID, 26/02 MENUNGGU PID, 24/02 CREATE PID ULANG KRNA SWAKELOLA, 23/02 MASIH OGP INPUT MATERIAL, 22/2 menunggu material TIANG  20/02 PROGRESS INPUT MATERIAL, 18/02 DIALIHKAN KE SWAKELOLA YOVI ACERO, 06/02 KO"&amp;"NFIRM MITRA AUM TDK MENGAMBIL PROJECT INI - DI ALIHKAN KE MITRA LAIN, 30/01 MASIH MENUNGGU KONFIRM MITRA TERKAIT KIRIM MATERIAL KE LOKASI, (21/01) menunggu konfrim mitra untuk estimasi kirim material ke lokasi, (12/01) proses perizinan ke kades setempat, "&amp;"(07/01) Persiapan, (06/01)order JPP batch-2 2026 (08/12 HOLD, 25/11 blm ambil material, 20/11 blm ambil material 19/11 blm ambil material, 17/11 masih belum ambil material, 04/11 blm ambil material 3/11 blm ambil material 13/10 request material 09/10 Pros"&amp;"es Pengajuan izin ke PU Kab hari ini 08/10 izin dari pu kab untuk under tabel belum d acc
(01/10) proses penguruan ke dinas pu kab, meunggu info lbh lanjut dri pu kab
25/09 pengurusan izin pu kab (19/09) proses perizinan pu kab mem
(15/07) belum ada EL
(0"&amp;"4/07) belum ada EL
(01/07) belum ada EL
(30/06) belum ada EL
(25/06) belum ada EL
(17/06) Done Survey Belum Ada EL (26/05) Plan Survey 29 Mei")</f>
        <v>27/04 PROGRESS BANGUN PONDASI UPDATE ODC - DI STOP OLEH PIHAK SEKOLAH, 24/04 MENUNGGU ANTRIAN PENARIKAN KABEL, 23/04 PROSES PENARIKAN KABEL ADSS-24D 3800M/5680M, 21/04 proses tanam tiang, 16/04 KENDALA MATERIAL KABEL HABIS DIGUDANG  13/04 Kirim material 13 Apr 09/04 proses input material plan matdel  10 APR 08/04 MENUNGGU PR PO, 06/04 PROSES PR PO, 04/04 MASIH MENUNGGU PID LOP DIMAS PPPA MEM 2 UTK DILANJUTKAN KE PR PO, 30/03 MENUNGGU PR PO, 28/03 DONE DRM, 27/03 PROSES DRM, 26/03 OGP DRM (PERUBAHAN DRI SWAKELOLA KE KEMITRAAN),  24/03 DONE PR PO, EST TGL 28 MAR INPUT MATERIAL, 21/03 EST TGL 28 MAR INPUT MATERIAL, 13/03 OGP INPUT MATERIAL, 12/03 OGP INPUT MATERIAL DAN MENUNGGU MITRA UTK KAPAN PROGRESSNYA, 09/03 OGP INPUT MATERIAL, 28/2 menunggu PID -material bisa keluar WH  plan 3 MAR  27/02 MSH MENUNGGU PID, 26/02 MENUNGGU PID, 24/02 CREATE PID ULANG KRNA SWAKELOLA, 23/02 MASIH OGP INPUT MATERIAL, 22/2 menunggu material TIANG  20/02 PROGRESS INPUT MATERIAL, 18/02 DIALIHKAN KE SWAKELOLA YOVI ACERO, 06/02 KONFIRM MITRA AUM TDK MENGAMBIL PROJECT INI - DI ALIHKAN KE MITRA LAIN, 30/01 MASIH MENUNGGU KONFIRM MITRA TERKAIT KIRIM MATERIAL KE LOKASI, (21/01) menunggu konfrim mitra untuk estimasi kirim material ke lokasi, (12/01) proses perizinan ke kades setempat, (07/01) Persiapan, (06/01)order JPP batch-2 2026 (08/12 HOLD, 25/11 blm ambil material, 20/11 blm ambil material 19/11 blm ambil material, 17/11 masih belum ambil material, 04/11 blm ambil material 3/11 blm ambil material 13/10 request material 09/10 Proses Pengajuan izin ke PU Kab hari ini 08/10 izin dari pu kab untuk under tabel belum d acc
(01/10) proses penguruan ke dinas pu kab, meunggu info lbh lanjut dri pu kab
25/09 pengurusan izin pu kab (19/09) proses perizinan pu kab mem
(15/07) belum ada EL
(04/07) belum ada EL
(01/07) belum ada EL
(30/06) belum ada EL
(25/06) belum ada EL
(17/06) Done Survey Belum Ada EL (26/05) Plan Survey 29 Mei</v>
      </c>
      <c r="R170" s="228"/>
      <c r="S170" s="11"/>
      <c r="T170" s="73" t="str">
        <f>IFERROR(__xludf.DUMMYFUNCTION("""COMPUTED_VALUE"""),"P1")</f>
        <v>P1</v>
      </c>
      <c r="U170" s="11"/>
      <c r="V170" s="229" t="str">
        <f>IFERROR(__xludf.DUMMYFUNCTION("""COMPUTED_VALUE"""),"ILHAM")</f>
        <v>ILHAM</v>
      </c>
      <c r="W170" s="229"/>
      <c r="X170" s="229" t="str">
        <f>IFERROR(__xludf.DUMMYFUNCTION("""COMPUTED_VALUE"""),"BELUM GOLIVE")</f>
        <v>BELUM GOLIVE</v>
      </c>
      <c r="Y170" s="229"/>
      <c r="Z170" s="229" t="str">
        <f>IFERROR(__xludf.DUMMYFUNCTION("""COMPUTED_VALUE"""),"#N/A")</f>
        <v>#N/A</v>
      </c>
      <c r="AA170" s="229"/>
      <c r="AB170" s="229"/>
      <c r="AC170" s="229"/>
      <c r="AD170" s="232"/>
      <c r="AE170" s="233"/>
      <c r="AF170" s="54"/>
      <c r="AG170" s="54"/>
      <c r="AH170" s="54">
        <v>46142.0</v>
      </c>
      <c r="AI170" s="55" t="str">
        <f t="shared" si="32"/>
        <v/>
      </c>
      <c r="AW170" s="234"/>
      <c r="BP170" s="11"/>
      <c r="BQ170" s="11"/>
      <c r="BR170" s="235"/>
      <c r="BV170" s="158"/>
      <c r="BY170" s="158"/>
      <c r="CB170" s="158"/>
    </row>
    <row r="171" ht="18.0" customHeight="1">
      <c r="A171" s="222">
        <f>IFERROR(__xludf.DUMMYFUNCTION("""COMPUTED_VALUE"""),2026.0)</f>
        <v>2026</v>
      </c>
      <c r="B171" s="221">
        <f>IFERROR(__xludf.DUMMYFUNCTION("""COMPUTED_VALUE"""),1.1245737E7)</f>
        <v>11245737</v>
      </c>
      <c r="C171" s="222" t="str">
        <f>IFERROR(__xludf.DUMMYFUNCTION("""COMPUTED_VALUE"""),"SMB P2I1 Gr Ketaping-Pr Sparco-Alana Rsd")</f>
        <v>SMB P2I1 Gr Ketaping-Pr Sparco-Alana Rsd</v>
      </c>
      <c r="D171" s="222" t="str">
        <f>IFERROR(__xludf.DUMMYFUNCTION("""COMPUTED_VALUE"""),"REGIONAL I")</f>
        <v>REGIONAL I</v>
      </c>
      <c r="E171" s="222" t="str">
        <f>IFERROR(__xludf.DUMMYFUNCTION("""COMPUTED_VALUE"""),"SUMBAR")</f>
        <v>SUMBAR</v>
      </c>
      <c r="F171" s="222" t="str">
        <f>IFERROR(__xludf.DUMMYFUNCTION("""COMPUTED_VALUE"""),"LBY")</f>
        <v>LBY</v>
      </c>
      <c r="G171" s="222" t="str">
        <f>IFERROR(__xludf.DUMMYFUNCTION("""COMPUTED_VALUE"""),"SUMBAGTENG")</f>
        <v>SUMBAGTENG</v>
      </c>
      <c r="H171" s="222" t="str">
        <f>IFERROR(__xludf.DUMMYFUNCTION("""COMPUTED_VALUE"""),"PADANG")</f>
        <v>PADANG</v>
      </c>
      <c r="I171" s="222" t="str">
        <f>IFERROR(__xludf.DUMMYFUNCTION("""COMPUTED_VALUE"""),"Batch 2")</f>
        <v>Batch 2</v>
      </c>
      <c r="J171" s="225">
        <f>IFERROR(__xludf.DUMMYFUNCTION("""COMPUTED_VALUE"""),15.0)</f>
        <v>15</v>
      </c>
      <c r="K171" s="224">
        <f>IFERROR(__xludf.DUMMYFUNCTION("""COMPUTED_VALUE"""),120.0)</f>
        <v>120</v>
      </c>
      <c r="L171" s="226">
        <f>IFERROR(__xludf.DUMMYFUNCTION("""COMPUTED_VALUE"""),1449371.0)</f>
        <v>1449371</v>
      </c>
      <c r="M171" s="227">
        <f>IFERROR(__xludf.DUMMYFUNCTION("""COMPUTED_VALUE"""),1.7392446E8)</f>
        <v>173924460</v>
      </c>
      <c r="N171" s="222" t="str">
        <f>IFERROR(__xludf.DUMMYFUNCTION("""COMPUTED_VALUE"""),"PT TRI LESMA INDONESIA")</f>
        <v>PT TRI LESMA INDONESIA</v>
      </c>
      <c r="O171" s="222" t="str">
        <f>IFERROR(__xludf.DUMMYFUNCTION("""COMPUTED_VALUE"""),"0. DROP")</f>
        <v>0. DROP</v>
      </c>
      <c r="P171" s="222" t="str">
        <f>IFERROR(__xludf.DUMMYFUNCTION("""COMPUTED_VALUE"""),"0.3 Feeder Full")</f>
        <v>0.3 Feeder Full</v>
      </c>
      <c r="Q171" s="222" t="str">
        <f>IFERROR(__xludf.DUMMYFUNCTION("""COMPUTED_VALUE"""),"08/01 Kendala slot mini OLT LBY-FR full, butuh new mini OLT (07/01) Persiapan")</f>
        <v>08/01 Kendala slot mini OLT LBY-FR full, butuh new mini OLT (07/01) Persiapan</v>
      </c>
      <c r="R171" s="228"/>
      <c r="S171" s="11"/>
      <c r="T171" s="11"/>
      <c r="U171" s="11"/>
      <c r="V171" s="229"/>
      <c r="W171" s="229"/>
      <c r="X171" s="229" t="str">
        <f>IFERROR(__xludf.DUMMYFUNCTION("""COMPUTED_VALUE"""),"BELUM GOLIVE")</f>
        <v>BELUM GOLIVE</v>
      </c>
      <c r="Y171" s="229"/>
      <c r="Z171" s="229" t="str">
        <f>IFERROR(__xludf.DUMMYFUNCTION("""COMPUTED_VALUE"""),"#N/A")</f>
        <v>#N/A</v>
      </c>
      <c r="AA171" s="229"/>
      <c r="AB171" s="229"/>
      <c r="AC171" s="229"/>
      <c r="AD171" s="232"/>
      <c r="AE171" s="233"/>
      <c r="AF171" s="54" t="str">
        <f>IFERROR(__xludf.DUMMYFUNCTION("""COMPUTED_VALUE"""),"Draft BA DROP")</f>
        <v>Draft BA DROP</v>
      </c>
      <c r="AG171" s="54"/>
      <c r="AH171" s="54"/>
      <c r="AI171" s="55" t="str">
        <f t="shared" si="32"/>
        <v/>
      </c>
      <c r="AW171" s="234"/>
      <c r="BP171" s="11"/>
      <c r="BQ171" s="11"/>
      <c r="BR171" s="235"/>
      <c r="BV171" s="158"/>
      <c r="BY171" s="158"/>
      <c r="CB171" s="158"/>
    </row>
    <row r="172" ht="18.0" hidden="1" customHeight="1">
      <c r="A172" s="222">
        <f>IFERROR(__xludf.DUMMYFUNCTION("""COMPUTED_VALUE"""),2026.0)</f>
        <v>2026</v>
      </c>
      <c r="B172" s="221">
        <f>IFERROR(__xludf.DUMMYFUNCTION("""COMPUTED_VALUE"""),1.182641E7)</f>
        <v>11826410</v>
      </c>
      <c r="C172" s="222" t="str">
        <f>IFERROR(__xludf.DUMMYFUNCTION("""COMPUTED_VALUE"""),"BNK-PT3BRC-CRP-FY-JPPTSEL-MERANTI JAYA 2")</f>
        <v>BNK-PT3BRC-CRP-FY-JPPTSEL-MERANTI JAYA 2</v>
      </c>
      <c r="D172" s="222" t="str">
        <f>IFERROR(__xludf.DUMMYFUNCTION("""COMPUTED_VALUE"""),"REGIONAL I")</f>
        <v>REGIONAL I</v>
      </c>
      <c r="E172" s="222" t="str">
        <f>IFERROR(__xludf.DUMMYFUNCTION("""COMPUTED_VALUE"""),"BENGKULU")</f>
        <v>BENGKULU</v>
      </c>
      <c r="F172" s="222" t="str">
        <f>IFERROR(__xludf.DUMMYFUNCTION("""COMPUTED_VALUE"""),"CRP")</f>
        <v>CRP</v>
      </c>
      <c r="G172" s="222" t="str">
        <f>IFERROR(__xludf.DUMMYFUNCTION("""COMPUTED_VALUE"""),"SUMBAGSEL")</f>
        <v>SUMBAGSEL</v>
      </c>
      <c r="H172" s="222" t="str">
        <f>IFERROR(__xludf.DUMMYFUNCTION("""COMPUTED_VALUE"""),"BENGKULU")</f>
        <v>BENGKULU</v>
      </c>
      <c r="I172" s="222" t="str">
        <f>IFERROR(__xludf.DUMMYFUNCTION("""COMPUTED_VALUE"""),"Batch 2")</f>
        <v>Batch 2</v>
      </c>
      <c r="J172" s="225">
        <f>IFERROR(__xludf.DUMMYFUNCTION("""COMPUTED_VALUE"""),6.0)</f>
        <v>6</v>
      </c>
      <c r="K172" s="224">
        <f>IFERROR(__xludf.DUMMYFUNCTION("""COMPUTED_VALUE"""),48.0)</f>
        <v>48</v>
      </c>
      <c r="L172" s="226">
        <f>IFERROR(__xludf.DUMMYFUNCTION("""COMPUTED_VALUE"""),1448477.0)</f>
        <v>1448477</v>
      </c>
      <c r="M172" s="227">
        <f>IFERROR(__xludf.DUMMYFUNCTION("""COMPUTED_VALUE"""),6.9526886E7)</f>
        <v>69526886</v>
      </c>
      <c r="N172" s="222" t="str">
        <f>IFERROR(__xludf.DUMMYFUNCTION("""COMPUTED_VALUE"""),"PT TELAGA RESTU ABADI")</f>
        <v>PT TELAGA RESTU ABADI</v>
      </c>
      <c r="O172" s="222" t="str">
        <f>IFERROR(__xludf.DUMMYFUNCTION("""COMPUTED_VALUE"""),"0. DROP")</f>
        <v>0. DROP</v>
      </c>
      <c r="P172" s="222" t="str">
        <f>IFERROR(__xludf.DUMMYFUNCTION("""COMPUTED_VALUE"""),"0.2 Tidak Dapat Izin Warga/Kades/Lurah/Developer")</f>
        <v>0.2 Tidak Dapat Izin Warga/Kades/Lurah/Developer</v>
      </c>
      <c r="Q172" s="222" t="str">
        <f>IFERROR(__xludf.DUMMYFUNCTION("""COMPUTED_VALUE"""),"22/2 tidak mendapat IZIN 09/01 : REDESIGN, HITUNG ULANG CPP //FEEDER HABIS/DISTRIBUSI PENUH")</f>
        <v>22/2 tidak mendapat IZIN 09/01 : REDESIGN, HITUNG ULANG CPP //FEEDER HABIS/DISTRIBUSI PENUH</v>
      </c>
      <c r="R172" s="228"/>
      <c r="S172" s="11"/>
      <c r="T172" s="11"/>
      <c r="U172" s="11"/>
      <c r="V172" s="229"/>
      <c r="W172" s="229"/>
      <c r="X172" s="229" t="str">
        <f>IFERROR(__xludf.DUMMYFUNCTION("""COMPUTED_VALUE"""),"BELUM GOLIVE")</f>
        <v>BELUM GOLIVE</v>
      </c>
      <c r="Y172" s="229"/>
      <c r="Z172" s="229" t="str">
        <f>IFERROR(__xludf.DUMMYFUNCTION("""COMPUTED_VALUE"""),"#N/A")</f>
        <v>#N/A</v>
      </c>
      <c r="AA172" s="229"/>
      <c r="AB172" s="229"/>
      <c r="AC172" s="229"/>
      <c r="AD172" s="232"/>
      <c r="AE172" s="233"/>
      <c r="AF172" s="54" t="str">
        <f>IFERROR(__xludf.DUMMYFUNCTION("""COMPUTED_VALUE"""),"Draft BA DROP")</f>
        <v>Draft BA DROP</v>
      </c>
      <c r="AG172" s="54"/>
      <c r="AH172" s="54"/>
      <c r="AI172" s="55" t="str">
        <f t="shared" si="32"/>
        <v/>
      </c>
      <c r="AW172" s="234"/>
      <c r="BP172" s="11"/>
      <c r="BQ172" s="11"/>
      <c r="BR172" s="235"/>
      <c r="BV172" s="158"/>
      <c r="BY172" s="158"/>
      <c r="CB172" s="158"/>
    </row>
    <row r="173" ht="18.0" hidden="1" customHeight="1">
      <c r="A173" s="222">
        <f>IFERROR(__xludf.DUMMYFUNCTION("""COMPUTED_VALUE"""),2026.0)</f>
        <v>2026</v>
      </c>
      <c r="B173" s="221">
        <f>IFERROR(__xludf.DUMMYFUNCTION("""COMPUTED_VALUE"""),1.1472387E7)</f>
        <v>11472387</v>
      </c>
      <c r="C173" s="222" t="str">
        <f>IFERROR(__xludf.DUMMYFUNCTION("""COMPUTED_VALUE"""),"SMS P3I1 PT4 PDP FXX LINTANG KANAN")</f>
        <v>SMS P3I1 PT4 PDP FXX LINTANG KANAN</v>
      </c>
      <c r="D173" s="222" t="str">
        <f>IFERROR(__xludf.DUMMYFUNCTION("""COMPUTED_VALUE"""),"REGIONAL I")</f>
        <v>REGIONAL I</v>
      </c>
      <c r="E173" s="222" t="str">
        <f>IFERROR(__xludf.DUMMYFUNCTION("""COMPUTED_VALUE"""),"SUMSEL")</f>
        <v>SUMSEL</v>
      </c>
      <c r="F173" s="222" t="str">
        <f>IFERROR(__xludf.DUMMYFUNCTION("""COMPUTED_VALUE"""),"PDP")</f>
        <v>PDP</v>
      </c>
      <c r="G173" s="222" t="str">
        <f>IFERROR(__xludf.DUMMYFUNCTION("""COMPUTED_VALUE"""),"SUMBAGSEL")</f>
        <v>SUMBAGSEL</v>
      </c>
      <c r="H173" s="222" t="str">
        <f>IFERROR(__xludf.DUMMYFUNCTION("""COMPUTED_VALUE"""),"BENGKULU")</f>
        <v>BENGKULU</v>
      </c>
      <c r="I173" s="222" t="str">
        <f>IFERROR(__xludf.DUMMYFUNCTION("""COMPUTED_VALUE"""),"Batch 2")</f>
        <v>Batch 2</v>
      </c>
      <c r="J173" s="225">
        <f>IFERROR(__xludf.DUMMYFUNCTION("""COMPUTED_VALUE"""),25.0)</f>
        <v>25</v>
      </c>
      <c r="K173" s="224">
        <f>IFERROR(__xludf.DUMMYFUNCTION("""COMPUTED_VALUE"""),192.0)</f>
        <v>192</v>
      </c>
      <c r="L173" s="226">
        <f>IFERROR(__xludf.DUMMYFUNCTION("""COMPUTED_VALUE"""),1447226.0)</f>
        <v>1447226</v>
      </c>
      <c r="M173" s="227">
        <f>IFERROR(__xludf.DUMMYFUNCTION("""COMPUTED_VALUE"""),2.7786727E8)</f>
        <v>277867270</v>
      </c>
      <c r="N173" s="222" t="str">
        <f>IFERROR(__xludf.DUMMYFUNCTION("""COMPUTED_VALUE"""),"PT DIAN KARYA")</f>
        <v>PT DIAN KARYA</v>
      </c>
      <c r="O173" s="222" t="str">
        <f>IFERROR(__xludf.DUMMYFUNCTION("""COMPUTED_VALUE"""),"4. MATDEL")</f>
        <v>4. MATDEL</v>
      </c>
      <c r="P173" s="222" t="str">
        <f>IFERROR(__xludf.DUMMYFUNCTION("""COMPUTED_VALUE"""),"4.5 Material On Site")</f>
        <v>4.5 Material On Site</v>
      </c>
      <c r="Q173" s="222" t="str">
        <f>IFERROR(__xludf.DUMMYFUNCTION("""COMPUTED_VALUE"""),"27/04 MENUNGGU ANTRIAN PEKERJAAN, 24/04 MATERIAL ONSITE Depedensi talang padang Mini OLT 23/04 MATDEL MATERIAL TAMBAHAN 17/04 MENUNGGU ANTRIAN PROGRESS TALANG PADANG 2 13/04 Meminta kompensasi terkait keamanan dengan PJS &amp; orang keamanana25/03 MASIH MENUN"&amp;"NGGU PERIZINAN TALANG PADANG 2,24/03 MENUNNGGU ANTRIAN PROGRESS KERJA LOP TALANG PADANG 2, 21/03 MENUNNGGU PROGRESS KERJA LOP TALANG PADANG 2, 17/03 MENUNGGU LOP TALANG PADANG 2, 12/03 MENUNGGU ANTRIAN PROGRESS LOP EMPAT LAWANG, 03/03 MENUNGGU ANTRIAN PRO"&amp;"GRESS LOP EMPAT LAWANG, 27/02 DONE INPUT MATERIAL, 26/02 OGP INPUT MATERIAL, 25/02 DONE AMD BUDGET, 24/02 OGP INPUT MATERIAL - KENDALA OVER BUDGET, 22/2 menunggu material TIANG  18/02 MASIH MENUNGGU PR PO, 11/02 lanjut progres lapangan nilai masuk, 10/02 "&amp;"CPP NAIK DARI Rp1,447,226 MENJADI Rp1.509.295, 09/02 HOLD KARENA NILAI CPP 1,5 JT, NILAI BOQ NAIK 5% DARI NILAI PLAN 03/02 DONE EVAL, HOLD KARENA NILAI CPP 1,5 JT, NILAI BOQ NAIK 5% DARI NILAI PLAN, 30/01 MENUNGGU HASIL EVAL, (26/1) tim TIF belum bisa EVA"&amp;"L hasil anwijzing karena lagi diluar kota , estimasi 29 jan baru kembali ke Palembang(23/1) Sudah aanwijdzing, menunggu hasil eval (21/01) menunggu anrian untuk aanwijzing, 
 (15/1) Sudah Aanwijdzing, Menunggu Hasil Aanwidjzing 2 LOP lain 
 (06/01)order J"&amp;"PP batch-2 2026 ((14/11)HOLD- tidak masuk target Optimis 2025 (13/11 masih menunggu aanwidjzing, 10/11 menunggu aanwijzing (08/11) PLAN ANWIJZING 10/11 (3/11) menunggu jadwal aanwijdzing 23/10 penunjukan mitra
 15/10 proses penunjukan mitra
 (08/10) penun"&amp;"jukan mitra")</f>
        <v>27/04 MENUNGGU ANTRIAN PEKERJAAN, 24/04 MATERIAL ONSITE Depedensi talang padang Mini OLT 23/04 MATDEL MATERIAL TAMBAHAN 17/04 MENUNGGU ANTRIAN PROGRESS TALANG PADANG 2 13/04 Meminta kompensasi terkait keamanan dengan PJS &amp; orang keamanana25/03 MASIH MENUNNGGU PERIZINAN TALANG PADANG 2,24/03 MENUNNGGU ANTRIAN PROGRESS KERJA LOP TALANG PADANG 2, 21/03 MENUNNGGU PROGRESS KERJA LOP TALANG PADANG 2, 17/03 MENUNGGU LOP TALANG PADANG 2, 12/03 MENUNGGU ANTRIAN PROGRESS LOP EMPAT LAWANG, 03/03 MENUNGGU ANTRIAN PROGRESS LOP EMPAT LAWANG, 27/02 DONE INPUT MATERIAL, 26/02 OGP INPUT MATERIAL, 25/02 DONE AMD BUDGET, 24/02 OGP INPUT MATERIAL - KENDALA OVER BUDGET, 22/2 menunggu material TIANG  18/02 MASIH MENUNGGU PR PO, 11/02 lanjut progres lapangan nilai masuk, 10/02 CPP NAIK DARI Rp1,447,226 MENJADI Rp1.509.295, 09/02 HOLD KARENA NILAI CPP 1,5 JT, NILAI BOQ NAIK 5% DARI NILAI PLAN 03/02 DONE EVAL, HOLD KARENA NILAI CPP 1,5 JT, NILAI BOQ NAIK 5% DARI NILAI PLAN, 30/01 MENUNGGU HASIL EVAL, (26/1) tim TIF belum bisa EVAL hasil anwijzing karena lagi diluar kota , estimasi 29 jan baru kembali ke Palembang(23/1) Sudah aanwijdzing, menunggu hasil eval (21/01) menunggu anrian untuk aanwijzing, 
 (15/1) Sudah Aanwijdzing, Menunggu Hasil Aanwidjzing 2 LOP lain 
 (06/01)order JPP batch-2 2026 ((14/11)HOLD- tidak masuk target Optimis 2025 (13/11 masih menunggu aanwidjzing, 10/11 menunggu aanwijzing (08/11) PLAN ANWIJZING 10/11 (3/11) menunggu jadwal aanwijdzing 23/10 penunjukan mitra
 15/10 proses penunjukan mitra
 (08/10) penunjukan mitra</v>
      </c>
      <c r="R173" s="228">
        <f>IFERROR(__xludf.DUMMYFUNCTION("""COMPUTED_VALUE"""),46140.0)</f>
        <v>46140</v>
      </c>
      <c r="S173" s="11" t="str">
        <f>IFERROR(__xludf.DUMMYFUNCTION("""COMPUTED_VALUE"""),"APR")</f>
        <v>APR</v>
      </c>
      <c r="T173" s="73" t="str">
        <f>IFERROR(__xludf.DUMMYFUNCTION("""COMPUTED_VALUE"""),"P1")</f>
        <v>P1</v>
      </c>
      <c r="U173" s="11"/>
      <c r="V173" s="229" t="str">
        <f>IFERROR(__xludf.DUMMYFUNCTION("""COMPUTED_VALUE"""),"PUTRA")</f>
        <v>PUTRA</v>
      </c>
      <c r="W173" s="229"/>
      <c r="X173" s="229" t="str">
        <f>IFERROR(__xludf.DUMMYFUNCTION("""COMPUTED_VALUE"""),"BELUM GOLIVE")</f>
        <v>BELUM GOLIVE</v>
      </c>
      <c r="Y173" s="229"/>
      <c r="Z173" s="229"/>
      <c r="AA173" s="229"/>
      <c r="AB173" s="229"/>
      <c r="AC173" s="229"/>
      <c r="AD173" s="232"/>
      <c r="AE173" s="233"/>
      <c r="AF173" s="54"/>
      <c r="AG173" s="54"/>
      <c r="AH173" s="54">
        <v>46135.0</v>
      </c>
      <c r="AI173" s="55" t="str">
        <f t="shared" si="32"/>
        <v/>
      </c>
      <c r="AW173" s="234"/>
      <c r="BP173" s="11"/>
      <c r="BQ173" s="11"/>
      <c r="BR173" s="235"/>
      <c r="BV173" s="158"/>
      <c r="BY173" s="158"/>
      <c r="CB173" s="158"/>
    </row>
    <row r="174" ht="18.0" hidden="1" customHeight="1">
      <c r="A174" s="222">
        <f>IFERROR(__xludf.DUMMYFUNCTION("""COMPUTED_VALUE"""),2026.0)</f>
        <v>2026</v>
      </c>
      <c r="B174" s="221">
        <f>IFERROR(__xludf.DUMMYFUNCTION("""COMPUTED_VALUE"""),1.1428394E7)</f>
        <v>11428394</v>
      </c>
      <c r="C174" s="222" t="str">
        <f>IFERROR(__xludf.DUMMYFUNCTION("""COMPUTED_VALUE"""),"BNK-PT3-BTH-FK-JPPTSEL-TJ.BARU")</f>
        <v>BNK-PT3-BTH-FK-JPPTSEL-TJ.BARU</v>
      </c>
      <c r="D174" s="222" t="str">
        <f>IFERROR(__xludf.DUMMYFUNCTION("""COMPUTED_VALUE"""),"REGIONAL I")</f>
        <v>REGIONAL I</v>
      </c>
      <c r="E174" s="222" t="str">
        <f>IFERROR(__xludf.DUMMYFUNCTION("""COMPUTED_VALUE"""),"BENGKULU")</f>
        <v>BENGKULU</v>
      </c>
      <c r="F174" s="222" t="str">
        <f>IFERROR(__xludf.DUMMYFUNCTION("""COMPUTED_VALUE"""),"BTH")</f>
        <v>BTH</v>
      </c>
      <c r="G174" s="222" t="str">
        <f>IFERROR(__xludf.DUMMYFUNCTION("""COMPUTED_VALUE"""),"SUMBAGSEL")</f>
        <v>SUMBAGSEL</v>
      </c>
      <c r="H174" s="222" t="str">
        <f>IFERROR(__xludf.DUMMYFUNCTION("""COMPUTED_VALUE"""),"BENGKULU")</f>
        <v>BENGKULU</v>
      </c>
      <c r="I174" s="222" t="str">
        <f>IFERROR(__xludf.DUMMYFUNCTION("""COMPUTED_VALUE"""),"Batch 2")</f>
        <v>Batch 2</v>
      </c>
      <c r="J174" s="225">
        <f>IFERROR(__xludf.DUMMYFUNCTION("""COMPUTED_VALUE"""),22.0)</f>
        <v>22</v>
      </c>
      <c r="K174" s="224">
        <f>IFERROR(__xludf.DUMMYFUNCTION("""COMPUTED_VALUE"""),176.0)</f>
        <v>176</v>
      </c>
      <c r="L174" s="226">
        <f>IFERROR(__xludf.DUMMYFUNCTION("""COMPUTED_VALUE"""),1142517.0)</f>
        <v>1142517</v>
      </c>
      <c r="M174" s="227">
        <f>IFERROR(__xludf.DUMMYFUNCTION("""COMPUTED_VALUE"""),2.01082834E8)</f>
        <v>201082834</v>
      </c>
      <c r="N174" s="222" t="str">
        <f>IFERROR(__xludf.DUMMYFUNCTION("""COMPUTED_VALUE"""),"PT JAGO MULTI DIMENSI")</f>
        <v>PT JAGO MULTI DIMENSI</v>
      </c>
      <c r="O174" s="222" t="str">
        <f>IFERROR(__xludf.DUMMYFUNCTION("""COMPUTED_VALUE"""),"7. GOLIVE")</f>
        <v>7. GOLIVE</v>
      </c>
      <c r="P174" s="222" t="str">
        <f>IFERROR(__xludf.DUMMYFUNCTION("""COMPUTED_VALUE"""),"7.2 Golive Full / OA / DONE OTB")</f>
        <v>7.2 Golive Full / OA / DONE OTB</v>
      </c>
      <c r="Q174" s="222" t="str">
        <f>IFERROR(__xludf.DUMMYFUNCTION("""COMPUTED_VALUE"""),"09/03 : submit ABD GL ke SDI // 06/03 : Proses pembuatan ABD percepatan Golive // 05/03: progres terminasi ODP= 10pcs/22pcs // 03/03 : Terminasi ODP // 26/02 Tarik kabel, plan 28 Feb instal ODP  24/02//18/2 gali rojok, Tanam tiang 0/90, kendala PU NASIONA"&amp;"L //   9/2 kendala PU NASIONAL 05/02: plan pickup material tanggal 10 feb // 03/02 : PO material, pengiriman material dr pabrik ke gudang // 26/01 : proses PR PO ( menunggu Material Kabel ADSS 24 ready di gudang) // 20/01 : Done Anwidzing // 15/01 : Msh n"&amp;"ego sm 2 kades.masalah konpensasi // 13/01 : Survey Lapangan // (07/01) Persiapan")</f>
        <v>09/03 : submit ABD GL ke SDI // 06/03 : Proses pembuatan ABD percepatan Golive // 05/03: progres terminasi ODP= 10pcs/22pcs // 03/03 : Terminasi ODP // 26/02 Tarik kabel, plan 28 Feb instal ODP  24/02//18/2 gali rojok, Tanam tiang 0/90, kendala PU NASIONAL //   9/2 kendala PU NASIONAL 05/02: plan pickup material tanggal 10 feb // 03/02 : PO material, pengiriman material dr pabrik ke gudang // 26/01 : proses PR PO ( menunggu Material Kabel ADSS 24 ready di gudang) // 20/01 : Done Anwidzing // 15/01 : Msh nego sm 2 kades.masalah konpensasi // 13/01 : Survey Lapangan // (07/01) Persiapan</v>
      </c>
      <c r="R174" s="228">
        <f>IFERROR(__xludf.DUMMYFUNCTION("""COMPUTED_VALUE"""),46090.0)</f>
        <v>46090</v>
      </c>
      <c r="S174" s="11" t="str">
        <f>IFERROR(__xludf.DUMMYFUNCTION("""COMPUTED_VALUE"""),"MAR")</f>
        <v>MAR</v>
      </c>
      <c r="T174" s="11"/>
      <c r="U174" s="11" t="str">
        <f>IFERROR(__xludf.DUMMYFUNCTION("""COMPUTED_VALUE"""),"TIF-2267/2026")</f>
        <v>TIF-2267/2026</v>
      </c>
      <c r="V174" s="229"/>
      <c r="W174" s="229"/>
      <c r="X174" s="229" t="str">
        <f>IFERROR(__xludf.DUMMYFUNCTION("""COMPUTED_VALUE"""),"GOLIVE")</f>
        <v>GOLIVE</v>
      </c>
      <c r="Y174" s="229" t="str">
        <f>IFERROR(__xludf.DUMMYFUNCTION("""COMPUTED_VALUE"""),"DONE")</f>
        <v>DONE</v>
      </c>
      <c r="Z174" s="229" t="str">
        <f>IFERROR(__xludf.DUMMYFUNCTION("""COMPUTED_VALUE"""),"#N/A")</f>
        <v>#N/A</v>
      </c>
      <c r="AA174" s="229">
        <f>IFERROR(__xludf.DUMMYFUNCTION("""COMPUTED_VALUE"""),22.0)</f>
        <v>22</v>
      </c>
      <c r="AB174" s="229"/>
      <c r="AC174" s="229" t="str">
        <f>IFERROR(__xludf.DUMMYFUNCTION("""COMPUTED_VALUE"""),"9188256#9188261")</f>
        <v>9188256#9188261</v>
      </c>
      <c r="AD174" s="232">
        <f>IFERROR(__xludf.DUMMYFUNCTION("""COMPUTED_VALUE"""),176.0)</f>
        <v>176</v>
      </c>
      <c r="AE174" s="233">
        <f>IFERROR(__xludf.DUMMYFUNCTION("""COMPUTED_VALUE"""),46090.0)</f>
        <v>46090</v>
      </c>
      <c r="AF174" s="54"/>
      <c r="AG174" s="54"/>
      <c r="AH174" s="54">
        <v>46090.0</v>
      </c>
      <c r="AI174" s="55">
        <f t="shared" si="32"/>
        <v>0</v>
      </c>
      <c r="AW174" s="234"/>
      <c r="BP174" s="11"/>
      <c r="BQ174" s="11"/>
      <c r="BR174" s="235"/>
      <c r="BV174" s="158"/>
      <c r="BY174" s="158"/>
      <c r="CB174" s="158"/>
    </row>
    <row r="175" ht="18.0" hidden="1" customHeight="1">
      <c r="A175" s="222">
        <f>IFERROR(__xludf.DUMMYFUNCTION("""COMPUTED_VALUE"""),2026.0)</f>
        <v>2026</v>
      </c>
      <c r="B175" s="221">
        <f>IFERROR(__xludf.DUMMYFUNCTION("""COMPUTED_VALUE"""),1.1271896E7)</f>
        <v>11271896</v>
      </c>
      <c r="C175" s="222" t="str">
        <f>IFERROR(__xludf.DUMMYFUNCTION("""COMPUTED_VALUE"""),"MDN PT3 SKI-FAQ JL.BROMO GG.PELITA")</f>
        <v>MDN PT3 SKI-FAQ JL.BROMO GG.PELITA</v>
      </c>
      <c r="D175" s="222" t="str">
        <f>IFERROR(__xludf.DUMMYFUNCTION("""COMPUTED_VALUE"""),"REGIONAL I")</f>
        <v>REGIONAL I</v>
      </c>
      <c r="E175" s="222" t="str">
        <f>IFERROR(__xludf.DUMMYFUNCTION("""COMPUTED_VALUE"""),"MEDAN")</f>
        <v>MEDAN</v>
      </c>
      <c r="F175" s="222" t="str">
        <f>IFERROR(__xludf.DUMMYFUNCTION("""COMPUTED_VALUE"""),"SKI")</f>
        <v>SKI</v>
      </c>
      <c r="G175" s="222" t="str">
        <f>IFERROR(__xludf.DUMMYFUNCTION("""COMPUTED_VALUE"""),"SUMBAGUT")</f>
        <v>SUMBAGUT</v>
      </c>
      <c r="H175" s="222" t="str">
        <f>IFERROR(__xludf.DUMMYFUNCTION("""COMPUTED_VALUE"""),"MEDAN")</f>
        <v>MEDAN</v>
      </c>
      <c r="I175" s="222" t="str">
        <f>IFERROR(__xludf.DUMMYFUNCTION("""COMPUTED_VALUE"""),"Batch 2")</f>
        <v>Batch 2</v>
      </c>
      <c r="J175" s="225">
        <f>IFERROR(__xludf.DUMMYFUNCTION("""COMPUTED_VALUE"""),8.0)</f>
        <v>8</v>
      </c>
      <c r="K175" s="224">
        <f>IFERROR(__xludf.DUMMYFUNCTION("""COMPUTED_VALUE"""),64.0)</f>
        <v>64</v>
      </c>
      <c r="L175" s="226">
        <f>IFERROR(__xludf.DUMMYFUNCTION("""COMPUTED_VALUE"""),677757.0)</f>
        <v>677757</v>
      </c>
      <c r="M175" s="227">
        <f>IFERROR(__xludf.DUMMYFUNCTION("""COMPUTED_VALUE"""),4.3376445E7)</f>
        <v>43376445</v>
      </c>
      <c r="N175" s="222" t="str">
        <f>IFERROR(__xludf.DUMMYFUNCTION("""COMPUTED_VALUE"""),"PT UPENTEL INTERNASIONAL")</f>
        <v>PT UPENTEL INTERNASIONAL</v>
      </c>
      <c r="O175" s="222" t="str">
        <f>IFERROR(__xludf.DUMMYFUNCTION("""COMPUTED_VALUE"""),"0. DROP")</f>
        <v>0. DROP</v>
      </c>
      <c r="P175" s="222" t="str">
        <f>IFERROR(__xludf.DUMMYFUNCTION("""COMPUTED_VALUE"""),"0.3 Feeder Full")</f>
        <v>0.3 Feeder Full</v>
      </c>
      <c r="Q175" s="222" t="str">
        <f>IFERROR(__xludf.DUMMYFUNCTION("""COMPUTED_VALUE"""),"08/03 Feeder Penuh (24/09) Perizinan Warga dan Kades / Lurah
(23/09) Perizinan Warga dan Kades / Lurah
15/09 proses aanwijzing")</f>
        <v>08/03 Feeder Penuh (24/09) Perizinan Warga dan Kades / Lurah
(23/09) Perizinan Warga dan Kades / Lurah
15/09 proses aanwijzing</v>
      </c>
      <c r="R175" s="228"/>
      <c r="S175" s="11"/>
      <c r="T175" s="11"/>
      <c r="U175" s="11"/>
      <c r="V175" s="229"/>
      <c r="W175" s="229"/>
      <c r="X175" s="229" t="str">
        <f>IFERROR(__xludf.DUMMYFUNCTION("""COMPUTED_VALUE"""),"BELUM GOLIVE")</f>
        <v>BELUM GOLIVE</v>
      </c>
      <c r="Y175" s="229"/>
      <c r="Z175" s="229" t="str">
        <f>IFERROR(__xludf.DUMMYFUNCTION("""COMPUTED_VALUE"""),"#N/A")</f>
        <v>#N/A</v>
      </c>
      <c r="AA175" s="229"/>
      <c r="AB175" s="229"/>
      <c r="AC175" s="229"/>
      <c r="AD175" s="232"/>
      <c r="AE175" s="233"/>
      <c r="AF175" s="54"/>
      <c r="AG175" s="54"/>
      <c r="AH175" s="54"/>
      <c r="AI175" s="55" t="str">
        <f t="shared" si="32"/>
        <v/>
      </c>
      <c r="AW175" s="234"/>
      <c r="BP175" s="11"/>
      <c r="BQ175" s="11"/>
      <c r="BR175" s="235"/>
      <c r="BV175" s="158"/>
      <c r="BY175" s="158"/>
      <c r="CB175" s="158"/>
    </row>
    <row r="176" ht="18.0" hidden="1" customHeight="1">
      <c r="A176" s="222">
        <f>IFERROR(__xludf.DUMMYFUNCTION("""COMPUTED_VALUE"""),2026.0)</f>
        <v>2026</v>
      </c>
      <c r="B176" s="221">
        <f>IFERROR(__xludf.DUMMYFUNCTION("""COMPUTED_VALUE"""),1.1589256E7)</f>
        <v>11589256</v>
      </c>
      <c r="C176" s="222" t="str">
        <f>IFERROR(__xludf.DUMMYFUNCTION("""COMPUTED_VALUE"""),"ACH DAR PT3 DAR-FBB D03 LIEUE")</f>
        <v>ACH DAR PT3 DAR-FBB D03 LIEUE</v>
      </c>
      <c r="D176" s="222" t="str">
        <f>IFERROR(__xludf.DUMMYFUNCTION("""COMPUTED_VALUE"""),"REGIONAL I")</f>
        <v>REGIONAL I</v>
      </c>
      <c r="E176" s="222" t="str">
        <f>IFERROR(__xludf.DUMMYFUNCTION("""COMPUTED_VALUE"""),"ACEH")</f>
        <v>ACEH</v>
      </c>
      <c r="F176" s="222" t="str">
        <f>IFERROR(__xludf.DUMMYFUNCTION("""COMPUTED_VALUE"""),"DAR")</f>
        <v>DAR</v>
      </c>
      <c r="G176" s="222" t="str">
        <f>IFERROR(__xludf.DUMMYFUNCTION("""COMPUTED_VALUE"""),"SUMBAGUT")</f>
        <v>SUMBAGUT</v>
      </c>
      <c r="H176" s="222" t="str">
        <f>IFERROR(__xludf.DUMMYFUNCTION("""COMPUTED_VALUE"""),"BANDA ACEH")</f>
        <v>BANDA ACEH</v>
      </c>
      <c r="I176" s="222" t="str">
        <f>IFERROR(__xludf.DUMMYFUNCTION("""COMPUTED_VALUE"""),"Batch 2")</f>
        <v>Batch 2</v>
      </c>
      <c r="J176" s="225">
        <f>IFERROR(__xludf.DUMMYFUNCTION("""COMPUTED_VALUE"""),10.0)</f>
        <v>10</v>
      </c>
      <c r="K176" s="224">
        <f>IFERROR(__xludf.DUMMYFUNCTION("""COMPUTED_VALUE"""),88.0)</f>
        <v>88</v>
      </c>
      <c r="L176" s="226">
        <f>IFERROR(__xludf.DUMMYFUNCTION("""COMPUTED_VALUE"""),1445116.0)</f>
        <v>1445116</v>
      </c>
      <c r="M176" s="227">
        <f>IFERROR(__xludf.DUMMYFUNCTION("""COMPUTED_VALUE"""),1.27170166E8)</f>
        <v>127170166</v>
      </c>
      <c r="N176" s="222" t="str">
        <f>IFERROR(__xludf.DUMMYFUNCTION("""COMPUTED_VALUE"""),"PT TRIPOLA PANATA")</f>
        <v>PT TRIPOLA PANATA</v>
      </c>
      <c r="O176" s="222" t="str">
        <f>IFERROR(__xludf.DUMMYFUNCTION("""COMPUTED_VALUE"""),"7. GOLIVE")</f>
        <v>7. GOLIVE</v>
      </c>
      <c r="P176" s="222" t="str">
        <f>IFERROR(__xludf.DUMMYFUNCTION("""COMPUTED_VALUE"""),"7.2 Golive Full / OA / DONE OTB")</f>
        <v>7.2 Golive Full / OA / DONE OTB</v>
      </c>
      <c r="Q176" s="222" t="str">
        <f>IFERROR(__xludf.DUMMYFUNCTION("""COMPUTED_VALUE"""),"(21/04) Valins (18/04) Terminasi (14/04) Penarikan Kabel (06/04) Tanam Tiang (01/04) Delmat dari Pabrik ke WH (07/02) Proses Perizinan dgn Kepala Desa (02/02) Done Aanwijzing (30/01)proses survey (07/01) Persiapan")</f>
        <v>(21/04) Valins (18/04) Terminasi (14/04) Penarikan Kabel (06/04) Tanam Tiang (01/04) Delmat dari Pabrik ke WH (07/02) Proses Perizinan dgn Kepala Desa (02/02) Done Aanwijzing (30/01)proses survey (07/01) Persiapan</v>
      </c>
      <c r="R176" s="228">
        <f>IFERROR(__xludf.DUMMYFUNCTION("""COMPUTED_VALUE"""),46134.0)</f>
        <v>46134</v>
      </c>
      <c r="S176" s="11" t="str">
        <f>IFERROR(__xludf.DUMMYFUNCTION("""COMPUTED_VALUE"""),"APR")</f>
        <v>APR</v>
      </c>
      <c r="T176" s="73"/>
      <c r="U176" s="11"/>
      <c r="V176" s="229" t="str">
        <f>IFERROR(__xludf.DUMMYFUNCTION("""COMPUTED_VALUE"""),"26/Apr/2026")</f>
        <v>26/Apr/2026</v>
      </c>
      <c r="W176" s="229"/>
      <c r="X176" s="229" t="str">
        <f>IFERROR(__xludf.DUMMYFUNCTION("""COMPUTED_VALUE"""),"GOLIVE")</f>
        <v>GOLIVE</v>
      </c>
      <c r="Y176" s="229" t="str">
        <f>IFERROR(__xludf.DUMMYFUNCTION("""COMPUTED_VALUE"""),"DONE")</f>
        <v>DONE</v>
      </c>
      <c r="Z176" s="229" t="str">
        <f>IFERROR(__xludf.DUMMYFUNCTION("""COMPUTED_VALUE"""),"#N/A")</f>
        <v>#N/A</v>
      </c>
      <c r="AA176" s="229">
        <f>IFERROR(__xludf.DUMMYFUNCTION("""COMPUTED_VALUE"""),9.0)</f>
        <v>9</v>
      </c>
      <c r="AB176" s="229"/>
      <c r="AC176" s="229" t="str">
        <f>IFERROR(__xludf.DUMMYFUNCTION("""COMPUTED_VALUE"""),"9297154#9297159")</f>
        <v>9297154#9297159</v>
      </c>
      <c r="AD176" s="232">
        <f>IFERROR(__xludf.DUMMYFUNCTION("""COMPUTED_VALUE"""),72.0)</f>
        <v>72</v>
      </c>
      <c r="AE176" s="233">
        <f>IFERROR(__xludf.DUMMYFUNCTION("""COMPUTED_VALUE"""),46134.0)</f>
        <v>46134</v>
      </c>
      <c r="AF176" s="54"/>
      <c r="AG176" s="54"/>
      <c r="AH176" s="54"/>
      <c r="AI176" s="55">
        <f t="shared" si="32"/>
        <v>0</v>
      </c>
      <c r="AW176" s="234"/>
      <c r="BP176" s="11"/>
      <c r="BQ176" s="11"/>
      <c r="BR176" s="235"/>
      <c r="BV176" s="158"/>
      <c r="BY176" s="158"/>
      <c r="CB176" s="158"/>
    </row>
    <row r="177" ht="18.0" hidden="1" customHeight="1">
      <c r="A177" s="222">
        <f>IFERROR(__xludf.DUMMYFUNCTION("""COMPUTED_VALUE"""),2026.0)</f>
        <v>2026</v>
      </c>
      <c r="B177" s="221">
        <f>IFERROR(__xludf.DUMMYFUNCTION("""COMPUTED_VALUE"""),1.2205518E7)</f>
        <v>12205518</v>
      </c>
      <c r="C177" s="222" t="str">
        <f>IFERROR(__xludf.DUMMYFUNCTION("""COMPUTED_VALUE"""),"BBL PT4 P3I4 PRA PENGARAM CSF")</f>
        <v>BBL PT4 P3I4 PRA PENGARAM CSF</v>
      </c>
      <c r="D177" s="222" t="str">
        <f>IFERROR(__xludf.DUMMYFUNCTION("""COMPUTED_VALUE"""),"REGIONAL I")</f>
        <v>REGIONAL I</v>
      </c>
      <c r="E177" s="222" t="str">
        <f>IFERROR(__xludf.DUMMYFUNCTION("""COMPUTED_VALUE"""),"BABEL")</f>
        <v>BABEL</v>
      </c>
      <c r="F177" s="222" t="str">
        <f>IFERROR(__xludf.DUMMYFUNCTION("""COMPUTED_VALUE"""),"TBI")</f>
        <v>TBI</v>
      </c>
      <c r="G177" s="222" t="str">
        <f>IFERROR(__xludf.DUMMYFUNCTION("""COMPUTED_VALUE"""),"SUMBAGSEL")</f>
        <v>SUMBAGSEL</v>
      </c>
      <c r="H177" s="222" t="str">
        <f>IFERROR(__xludf.DUMMYFUNCTION("""COMPUTED_VALUE"""),"PANGKAL PINANG")</f>
        <v>PANGKAL PINANG</v>
      </c>
      <c r="I177" s="222" t="str">
        <f>IFERROR(__xludf.DUMMYFUNCTION("""COMPUTED_VALUE"""),"Batch 2")</f>
        <v>Batch 2</v>
      </c>
      <c r="J177" s="225">
        <f>IFERROR(__xludf.DUMMYFUNCTION("""COMPUTED_VALUE"""),6.0)</f>
        <v>6</v>
      </c>
      <c r="K177" s="224">
        <f>IFERROR(__xludf.DUMMYFUNCTION("""COMPUTED_VALUE"""),80.0)</f>
        <v>80</v>
      </c>
      <c r="L177" s="226">
        <f>IFERROR(__xludf.DUMMYFUNCTION("""COMPUTED_VALUE"""),1444905.0)</f>
        <v>1444905</v>
      </c>
      <c r="M177" s="227">
        <f>IFERROR(__xludf.DUMMYFUNCTION("""COMPUTED_VALUE"""),1.15592324E8)</f>
        <v>115592324</v>
      </c>
      <c r="N177" s="222" t="str">
        <f>IFERROR(__xludf.DUMMYFUNCTION("""COMPUTED_VALUE"""),"PT FAJAR MITRA KRIDA ABADI")</f>
        <v>PT FAJAR MITRA KRIDA ABADI</v>
      </c>
      <c r="O177" s="222" t="str">
        <f>IFERROR(__xludf.DUMMYFUNCTION("""COMPUTED_VALUE"""),"7. GOLIVE")</f>
        <v>7. GOLIVE</v>
      </c>
      <c r="P177" s="222" t="str">
        <f>IFERROR(__xludf.DUMMYFUNCTION("""COMPUTED_VALUE"""),"7.2 Golive Full / OA / DONE OTB")</f>
        <v>7.2 Golive Full / OA / DONE OTB</v>
      </c>
      <c r="Q177" s="222" t="str">
        <f>IFERROR(__xludf.DUMMYFUNCTION("""COMPUTED_VALUE"""),"06/03 mini olt proses integrasi  (03/03)pengajuan minol sudah diinput 28 jan 2026 , blm ada info (6/2) MINOL BLM ADA (19/01) menunggu mini OLT (16/01) finish instalasi (13/01) Penarikan Kabel Paralel Instal ODP  (06/01)order JPP batch-2 2026 (02/01 perapi"&amp;"an cat tiang (31/12)  penarikan kabel 24D 1800 done, 12D 550 done, tiang 7 done (16/12) hold , tarik kabel 500 28/11 sudah bisa request (24/11) proses pr po (21/11) proses DRM mitra (14/11) sudah created PID (13/11) kendala budget (5/11) create PID (04/11"&amp;") HOLD ORDER CSF ")</f>
        <v>06/03 mini olt proses integrasi  (03/03)pengajuan minol sudah diinput 28 jan 2026 , blm ada info (6/2) MINOL BLM ADA (19/01) menunggu mini OLT (16/01) finish instalasi (13/01) Penarikan Kabel Paralel Instal ODP  (06/01)order JPP batch-2 2026 (02/01 perapian cat tiang (31/12)  penarikan kabel 24D 1800 done, 12D 550 done, tiang 7 done (16/12) hold , tarik kabel 500 28/11 sudah bisa request (24/11) proses pr po (21/11) proses DRM mitra (14/11) sudah created PID (13/11) kendala budget (5/11) create PID (04/11) HOLD ORDER CSF </v>
      </c>
      <c r="R177" s="228">
        <f>IFERROR(__xludf.DUMMYFUNCTION("""COMPUTED_VALUE"""),46088.0)</f>
        <v>46088</v>
      </c>
      <c r="S177" s="11" t="str">
        <f>IFERROR(__xludf.DUMMYFUNCTION("""COMPUTED_VALUE"""),"MAR")</f>
        <v>MAR</v>
      </c>
      <c r="T177" s="11"/>
      <c r="U177" s="11"/>
      <c r="V177" s="229"/>
      <c r="W177" s="229"/>
      <c r="X177" s="229" t="str">
        <f>IFERROR(__xludf.DUMMYFUNCTION("""COMPUTED_VALUE"""),"GOLIVE")</f>
        <v>GOLIVE</v>
      </c>
      <c r="Y177" s="229" t="str">
        <f>IFERROR(__xludf.DUMMYFUNCTION("""COMPUTED_VALUE"""),"DONE")</f>
        <v>DONE</v>
      </c>
      <c r="Z177" s="229"/>
      <c r="AA177" s="229">
        <f>IFERROR(__xludf.DUMMYFUNCTION("""COMPUTED_VALUE"""),2.0)</f>
        <v>2</v>
      </c>
      <c r="AB177" s="229">
        <f>IFERROR(__xludf.DUMMYFUNCTION("""COMPUTED_VALUE"""),4.0)</f>
        <v>4</v>
      </c>
      <c r="AC177" s="229" t="str">
        <f>IFERROR(__xludf.DUMMYFUNCTION("""COMPUTED_VALUE"""),"9178857#9178864")</f>
        <v>9178857#9178864</v>
      </c>
      <c r="AD177" s="232">
        <f>IFERROR(__xludf.DUMMYFUNCTION("""COMPUTED_VALUE"""),80.0)</f>
        <v>80</v>
      </c>
      <c r="AE177" s="233">
        <f>IFERROR(__xludf.DUMMYFUNCTION("""COMPUTED_VALUE"""),46088.0)</f>
        <v>46088</v>
      </c>
      <c r="AF177" s="54"/>
      <c r="AG177" s="54"/>
      <c r="AH177" s="54">
        <v>46088.0</v>
      </c>
      <c r="AI177" s="55">
        <f t="shared" si="32"/>
        <v>0</v>
      </c>
      <c r="AW177" s="234"/>
      <c r="BP177" s="11"/>
      <c r="BQ177" s="11"/>
      <c r="BR177" s="235"/>
      <c r="BV177" s="158"/>
      <c r="BY177" s="158"/>
      <c r="CB177" s="158"/>
    </row>
    <row r="178" ht="18.0" hidden="1" customHeight="1">
      <c r="A178" s="222">
        <f>IFERROR(__xludf.DUMMYFUNCTION("""COMPUTED_VALUE"""),2026.0)</f>
        <v>2026</v>
      </c>
      <c r="B178" s="221">
        <f>IFERROR(__xludf.DUMMYFUNCTION("""COMPUTED_VALUE"""),1.1383738E7)</f>
        <v>11383738</v>
      </c>
      <c r="C178" s="222" t="str">
        <f>IFERROR(__xludf.DUMMYFUNCTION("""COMPUTED_VALUE"""),"SMS P3I1 PT3 TMO FP NEW D04 SUKOMULYO")</f>
        <v>SMS P3I1 PT3 TMO FP NEW D04 SUKOMULYO</v>
      </c>
      <c r="D178" s="222" t="str">
        <f>IFERROR(__xludf.DUMMYFUNCTION("""COMPUTED_VALUE"""),"REGIONAL I")</f>
        <v>REGIONAL I</v>
      </c>
      <c r="E178" s="222" t="str">
        <f>IFERROR(__xludf.DUMMYFUNCTION("""COMPUTED_VALUE"""),"SUMSEL")</f>
        <v>SUMSEL</v>
      </c>
      <c r="F178" s="222" t="str">
        <f>IFERROR(__xludf.DUMMYFUNCTION("""COMPUTED_VALUE"""),"TMO")</f>
        <v>TMO</v>
      </c>
      <c r="G178" s="222" t="str">
        <f>IFERROR(__xludf.DUMMYFUNCTION("""COMPUTED_VALUE"""),"SUMBAGSEL")</f>
        <v>SUMBAGSEL</v>
      </c>
      <c r="H178" s="222" t="str">
        <f>IFERROR(__xludf.DUMMYFUNCTION("""COMPUTED_VALUE"""),"BENGKULU")</f>
        <v>BENGKULU</v>
      </c>
      <c r="I178" s="222" t="str">
        <f>IFERROR(__xludf.DUMMYFUNCTION("""COMPUTED_VALUE"""),"Batch 2")</f>
        <v>Batch 2</v>
      </c>
      <c r="J178" s="225">
        <f>IFERROR(__xludf.DUMMYFUNCTION("""COMPUTED_VALUE"""),16.0)</f>
        <v>16</v>
      </c>
      <c r="K178" s="224">
        <f>IFERROR(__xludf.DUMMYFUNCTION("""COMPUTED_VALUE"""),128.0)</f>
        <v>128</v>
      </c>
      <c r="L178" s="226">
        <f>IFERROR(__xludf.DUMMYFUNCTION("""COMPUTED_VALUE"""),1444336.0)</f>
        <v>1444336</v>
      </c>
      <c r="M178" s="227">
        <f>IFERROR(__xludf.DUMMYFUNCTION("""COMPUTED_VALUE"""),1.84874981E8)</f>
        <v>184874981</v>
      </c>
      <c r="N178" s="222" t="str">
        <f>IFERROR(__xludf.DUMMYFUNCTION("""COMPUTED_VALUE"""),"PT ALAM UTAMA MULIA")</f>
        <v>PT ALAM UTAMA MULIA</v>
      </c>
      <c r="O178" s="222" t="str">
        <f>IFERROR(__xludf.DUMMYFUNCTION("""COMPUTED_VALUE"""),"8. UJI TERIMA")</f>
        <v>8. UJI TERIMA</v>
      </c>
      <c r="P178" s="222" t="str">
        <f>IFERROR(__xludf.DUMMYFUNCTION("""COMPUTED_VALUE"""),"8.1 Proses UT")</f>
        <v>8.1 Proses UT</v>
      </c>
      <c r="Q178" s="222" t="str">
        <f>IFERROR(__xludf.DUMMYFUNCTION("""COMPUTED_VALUE"""),"(21/01) GOLIVE tgl 19/01, (14/01) GOLIVE, 12/01 selesai fisik, menunggu golive (23/11) submit abd ke sdi (20/11) menunggu tim jointer, 17/11 selesai penarikan kabel, 04/11 tarik kabel sisa 500 meter 3/11 tarik kabel sisa 500 meter 09/10 Done redesign, OGP"&amp;" Delivery material 08/10 belum dpt update dri ED karena nilai cpp naik
(01/10) proses perizinan dg kades
(19/.09) haisl aanwiizjing butuh redesain, ")</f>
        <v>(21/01) GOLIVE tgl 19/01, (14/01) GOLIVE, 12/01 selesai fisik, menunggu golive (23/11) submit abd ke sdi (20/11) menunggu tim jointer, 17/11 selesai penarikan kabel, 04/11 tarik kabel sisa 500 meter 3/11 tarik kabel sisa 500 meter 09/10 Done redesign, OGP Delivery material 08/10 belum dpt update dri ED karena nilai cpp naik
(01/10) proses perizinan dg kades
(19/.09) haisl aanwiizjing butuh redesain, </v>
      </c>
      <c r="R178" s="228"/>
      <c r="S178" s="11"/>
      <c r="T178" s="11"/>
      <c r="U178" s="11"/>
      <c r="V178" s="229" t="str">
        <f>IFERROR(__xludf.DUMMYFUNCTION("""COMPUTED_VALUE"""),"PUTRA")</f>
        <v>PUTRA</v>
      </c>
      <c r="W178" s="229"/>
      <c r="X178" s="229" t="str">
        <f>IFERROR(__xludf.DUMMYFUNCTION("""COMPUTED_VALUE"""),"GOLIVE")</f>
        <v>GOLIVE</v>
      </c>
      <c r="Y178" s="229" t="str">
        <f>IFERROR(__xludf.DUMMYFUNCTION("""COMPUTED_VALUE"""),"DONE")</f>
        <v>DONE</v>
      </c>
      <c r="Z178" s="229" t="str">
        <f>IFERROR(__xludf.DUMMYFUNCTION("""COMPUTED_VALUE"""),"#N/A")</f>
        <v>#N/A</v>
      </c>
      <c r="AA178" s="229">
        <f>IFERROR(__xludf.DUMMYFUNCTION("""COMPUTED_VALUE"""),16.0)</f>
        <v>16</v>
      </c>
      <c r="AB178" s="229"/>
      <c r="AC178" s="229" t="str">
        <f>IFERROR(__xludf.DUMMYFUNCTION("""COMPUTED_VALUE"""),"8271289#8271294")</f>
        <v>8271289#8271294</v>
      </c>
      <c r="AD178" s="232">
        <f>IFERROR(__xludf.DUMMYFUNCTION("""COMPUTED_VALUE"""),128.0)</f>
        <v>128</v>
      </c>
      <c r="AE178" s="233">
        <f>IFERROR(__xludf.DUMMYFUNCTION("""COMPUTED_VALUE"""),46029.0)</f>
        <v>46029</v>
      </c>
      <c r="AF178" s="54"/>
      <c r="AG178" s="54"/>
      <c r="AH178" s="54"/>
      <c r="AI178" s="55" t="str">
        <f t="shared" si="32"/>
        <v/>
      </c>
      <c r="AW178" s="234"/>
      <c r="BP178" s="11"/>
      <c r="BQ178" s="11"/>
      <c r="BR178" s="235"/>
      <c r="BV178" s="158"/>
      <c r="BY178" s="158"/>
      <c r="CB178" s="158"/>
    </row>
    <row r="179" ht="18.0" hidden="1" customHeight="1">
      <c r="A179" s="222">
        <f>IFERROR(__xludf.DUMMYFUNCTION("""COMPUTED_VALUE"""),2026.0)</f>
        <v>2026</v>
      </c>
      <c r="B179" s="221">
        <f>IFERROR(__xludf.DUMMYFUNCTION("""COMPUTED_VALUE"""),1.1264235E7)</f>
        <v>11264235</v>
      </c>
      <c r="C179" s="222" t="str">
        <f>IFERROR(__xludf.DUMMYFUNCTION("""COMPUTED_VALUE"""),"ACH PT3 SGI-FG D09 RAYA SANGGEUE")</f>
        <v>ACH PT3 SGI-FG D09 RAYA SANGGEUE</v>
      </c>
      <c r="D179" s="222" t="str">
        <f>IFERROR(__xludf.DUMMYFUNCTION("""COMPUTED_VALUE"""),"REGIONAL I")</f>
        <v>REGIONAL I</v>
      </c>
      <c r="E179" s="222" t="str">
        <f>IFERROR(__xludf.DUMMYFUNCTION("""COMPUTED_VALUE"""),"ACEH")</f>
        <v>ACEH</v>
      </c>
      <c r="F179" s="222" t="str">
        <f>IFERROR(__xludf.DUMMYFUNCTION("""COMPUTED_VALUE"""),"SGI")</f>
        <v>SGI</v>
      </c>
      <c r="G179" s="222" t="str">
        <f>IFERROR(__xludf.DUMMYFUNCTION("""COMPUTED_VALUE"""),"SUMBAGUT")</f>
        <v>SUMBAGUT</v>
      </c>
      <c r="H179" s="222" t="str">
        <f>IFERROR(__xludf.DUMMYFUNCTION("""COMPUTED_VALUE"""),"BANDA ACEH")</f>
        <v>BANDA ACEH</v>
      </c>
      <c r="I179" s="222" t="str">
        <f>IFERROR(__xludf.DUMMYFUNCTION("""COMPUTED_VALUE"""),"Batch 2")</f>
        <v>Batch 2</v>
      </c>
      <c r="J179" s="225">
        <f>IFERROR(__xludf.DUMMYFUNCTION("""COMPUTED_VALUE"""),16.0)</f>
        <v>16</v>
      </c>
      <c r="K179" s="224">
        <f>IFERROR(__xludf.DUMMYFUNCTION("""COMPUTED_VALUE"""),128.0)</f>
        <v>128</v>
      </c>
      <c r="L179" s="226">
        <f>IFERROR(__xludf.DUMMYFUNCTION("""COMPUTED_VALUE"""),1443086.0)</f>
        <v>1443086</v>
      </c>
      <c r="M179" s="227">
        <f>IFERROR(__xludf.DUMMYFUNCTION("""COMPUTED_VALUE"""),1.8471489E8)</f>
        <v>184714890</v>
      </c>
      <c r="N179" s="222" t="str">
        <f>IFERROR(__xludf.DUMMYFUNCTION("""COMPUTED_VALUE"""),"PT TRIPOLA PANATA")</f>
        <v>PT TRIPOLA PANATA</v>
      </c>
      <c r="O179" s="222" t="str">
        <f>IFERROR(__xludf.DUMMYFUNCTION("""COMPUTED_VALUE"""),"0. DROP")</f>
        <v>0. DROP</v>
      </c>
      <c r="P179" s="222" t="str">
        <f>IFERROR(__xludf.DUMMYFUNCTION("""COMPUTED_VALUE"""),"0.3 Feeder Full")</f>
        <v>0.3 Feeder Full</v>
      </c>
      <c r="Q179" s="222" t="str">
        <f>IFERROR(__xludf.DUMMYFUNCTION("""COMPUTED_VALUE"""),"(11/02) FEEDER HABIS (07/01) Persiapan")</f>
        <v>(11/02) FEEDER HABIS (07/01) Persiapan</v>
      </c>
      <c r="R179" s="228"/>
      <c r="S179" s="11"/>
      <c r="T179" s="11"/>
      <c r="U179" s="11"/>
      <c r="V179" s="229"/>
      <c r="W179" s="229"/>
      <c r="X179" s="229" t="str">
        <f>IFERROR(__xludf.DUMMYFUNCTION("""COMPUTED_VALUE"""),"BELUM GOLIVE")</f>
        <v>BELUM GOLIVE</v>
      </c>
      <c r="Y179" s="229"/>
      <c r="Z179" s="229" t="str">
        <f>IFERROR(__xludf.DUMMYFUNCTION("""COMPUTED_VALUE"""),"#N/A")</f>
        <v>#N/A</v>
      </c>
      <c r="AA179" s="229"/>
      <c r="AB179" s="229"/>
      <c r="AC179" s="229"/>
      <c r="AD179" s="232"/>
      <c r="AE179" s="233"/>
      <c r="AF179" s="54"/>
      <c r="AG179" s="54"/>
      <c r="AH179" s="54"/>
      <c r="AI179" s="55" t="str">
        <f t="shared" si="32"/>
        <v/>
      </c>
      <c r="AW179" s="234"/>
      <c r="BP179" s="11"/>
      <c r="BQ179" s="11"/>
      <c r="BR179" s="235"/>
      <c r="BV179" s="158"/>
      <c r="BY179" s="158"/>
      <c r="CB179" s="158"/>
    </row>
    <row r="180" ht="18.0" hidden="1" customHeight="1">
      <c r="A180" s="222">
        <f>IFERROR(__xludf.DUMMYFUNCTION("""COMPUTED_VALUE"""),2026.0)</f>
        <v>2026</v>
      </c>
      <c r="B180" s="221">
        <f>IFERROR(__xludf.DUMMYFUNCTION("""COMPUTED_VALUE"""),1.1516447E7)</f>
        <v>11516447</v>
      </c>
      <c r="C180" s="222" t="str">
        <f>IFERROR(__xludf.DUMMYFUNCTION("""COMPUTED_VALUE"""),"ACH PT3 JHO-FA D03 BUKIT MEUSARA")</f>
        <v>ACH PT3 JHO-FA D03 BUKIT MEUSARA</v>
      </c>
      <c r="D180" s="222" t="str">
        <f>IFERROR(__xludf.DUMMYFUNCTION("""COMPUTED_VALUE"""),"REGIONAL I")</f>
        <v>REGIONAL I</v>
      </c>
      <c r="E180" s="222" t="str">
        <f>IFERROR(__xludf.DUMMYFUNCTION("""COMPUTED_VALUE"""),"ACEH")</f>
        <v>ACEH</v>
      </c>
      <c r="F180" s="222" t="str">
        <f>IFERROR(__xludf.DUMMYFUNCTION("""COMPUTED_VALUE"""),"JHO")</f>
        <v>JHO</v>
      </c>
      <c r="G180" s="222" t="str">
        <f>IFERROR(__xludf.DUMMYFUNCTION("""COMPUTED_VALUE"""),"SUMBAGUT")</f>
        <v>SUMBAGUT</v>
      </c>
      <c r="H180" s="222" t="str">
        <f>IFERROR(__xludf.DUMMYFUNCTION("""COMPUTED_VALUE"""),"BANDA ACEH")</f>
        <v>BANDA ACEH</v>
      </c>
      <c r="I180" s="222" t="str">
        <f>IFERROR(__xludf.DUMMYFUNCTION("""COMPUTED_VALUE"""),"Batch 2")</f>
        <v>Batch 2</v>
      </c>
      <c r="J180" s="225">
        <f>IFERROR(__xludf.DUMMYFUNCTION("""COMPUTED_VALUE"""),4.0)</f>
        <v>4</v>
      </c>
      <c r="K180" s="224">
        <f>IFERROR(__xludf.DUMMYFUNCTION("""COMPUTED_VALUE"""),32.0)</f>
        <v>32</v>
      </c>
      <c r="L180" s="226">
        <f>IFERROR(__xludf.DUMMYFUNCTION("""COMPUTED_VALUE"""),1442775.0)</f>
        <v>1442775</v>
      </c>
      <c r="M180" s="227">
        <f>IFERROR(__xludf.DUMMYFUNCTION("""COMPUTED_VALUE"""),4.6168776E7)</f>
        <v>46168776</v>
      </c>
      <c r="N180" s="222" t="str">
        <f>IFERROR(__xludf.DUMMYFUNCTION("""COMPUTED_VALUE"""),"PT TRIPOLA PANATA")</f>
        <v>PT TRIPOLA PANATA</v>
      </c>
      <c r="O180" s="222" t="str">
        <f>IFERROR(__xludf.DUMMYFUNCTION("""COMPUTED_VALUE"""),"7. GOLIVE")</f>
        <v>7. GOLIVE</v>
      </c>
      <c r="P180" s="222" t="str">
        <f>IFERROR(__xludf.DUMMYFUNCTION("""COMPUTED_VALUE"""),"7.2 Golive Full / OA / DONE OTB")</f>
        <v>7.2 Golive Full / OA / DONE OTB</v>
      </c>
      <c r="Q180" s="222" t="str">
        <f>IFERROR(__xludf.DUMMYFUNCTION("""COMPUTED_VALUE"""),"(13/02) ABD Mancore (07/02) Penarikan Kabel (04/02) Tanam Tiang (23/01) PO Material (21/01) DelMat (07/01) Persiapan")</f>
        <v>(13/02) ABD Mancore (07/02) Penarikan Kabel (04/02) Tanam Tiang (23/01) PO Material (21/01) DelMat (07/01) Persiapan</v>
      </c>
      <c r="R180" s="228">
        <f>IFERROR(__xludf.DUMMYFUNCTION("""COMPUTED_VALUE"""),46069.0)</f>
        <v>46069</v>
      </c>
      <c r="S180" s="11"/>
      <c r="T180" s="11"/>
      <c r="U180" s="11" t="str">
        <f>IFERROR(__xludf.DUMMYFUNCTION("""COMPUTED_VALUE"""),"W04-1040/2025")</f>
        <v>W04-1040/2025</v>
      </c>
      <c r="V180" s="229"/>
      <c r="W180" s="229"/>
      <c r="X180" s="229" t="str">
        <f>IFERROR(__xludf.DUMMYFUNCTION("""COMPUTED_VALUE"""),"GOLIVE")</f>
        <v>GOLIVE</v>
      </c>
      <c r="Y180" s="229" t="str">
        <f>IFERROR(__xludf.DUMMYFUNCTION("""COMPUTED_VALUE"""),"DONE")</f>
        <v>DONE</v>
      </c>
      <c r="Z180" s="229" t="str">
        <f>IFERROR(__xludf.DUMMYFUNCTION("""COMPUTED_VALUE"""),"#N/A")</f>
        <v>#N/A</v>
      </c>
      <c r="AA180" s="229">
        <f>IFERROR(__xludf.DUMMYFUNCTION("""COMPUTED_VALUE"""),4.0)</f>
        <v>4</v>
      </c>
      <c r="AB180" s="229"/>
      <c r="AC180" s="229" t="str">
        <f>IFERROR(__xludf.DUMMYFUNCTION("""COMPUTED_VALUE"""),"9115200#9115205")</f>
        <v>9115200#9115205</v>
      </c>
      <c r="AD180" s="232">
        <f>IFERROR(__xludf.DUMMYFUNCTION("""COMPUTED_VALUE"""),32.0)</f>
        <v>32</v>
      </c>
      <c r="AE180" s="233">
        <f>IFERROR(__xludf.DUMMYFUNCTION("""COMPUTED_VALUE"""),46069.0)</f>
        <v>46069</v>
      </c>
      <c r="AF180" s="54"/>
      <c r="AG180" s="54"/>
      <c r="AH180" s="54">
        <v>46069.0</v>
      </c>
      <c r="AI180" s="55">
        <f t="shared" si="32"/>
        <v>0</v>
      </c>
      <c r="AW180" s="234"/>
      <c r="BP180" s="11"/>
      <c r="BQ180" s="11"/>
      <c r="BR180" s="235"/>
      <c r="BV180" s="158"/>
      <c r="BY180" s="158"/>
      <c r="CB180" s="158"/>
    </row>
    <row r="181" ht="18.0" hidden="1" customHeight="1">
      <c r="A181" s="222">
        <f>IFERROR(__xludf.DUMMYFUNCTION("""COMPUTED_VALUE"""),2026.0)</f>
        <v>2026</v>
      </c>
      <c r="B181" s="221">
        <f>IFERROR(__xludf.DUMMYFUNCTION("""COMPUTED_VALUE"""),1.1503164E7)</f>
        <v>11503164</v>
      </c>
      <c r="C181" s="222" t="str">
        <f>IFERROR(__xludf.DUMMYFUNCTION("""COMPUTED_VALUE"""),"BNK-PT4-JPPTSEL-PADANG BINJAI-MUARA TTAP")</f>
        <v>BNK-PT4-JPPTSEL-PADANG BINJAI-MUARA TTAP</v>
      </c>
      <c r="D181" s="222" t="str">
        <f>IFERROR(__xludf.DUMMYFUNCTION("""COMPUTED_VALUE"""),"REGIONAL I")</f>
        <v>REGIONAL I</v>
      </c>
      <c r="E181" s="222" t="str">
        <f>IFERROR(__xludf.DUMMYFUNCTION("""COMPUTED_VALUE"""),"BENGKULU")</f>
        <v>BENGKULU</v>
      </c>
      <c r="F181" s="222" t="str">
        <f>IFERROR(__xludf.DUMMYFUNCTION("""COMPUTED_VALUE"""),"BTH")</f>
        <v>BTH</v>
      </c>
      <c r="G181" s="222" t="str">
        <f>IFERROR(__xludf.DUMMYFUNCTION("""COMPUTED_VALUE"""),"SUMBAGSEL")</f>
        <v>SUMBAGSEL</v>
      </c>
      <c r="H181" s="222" t="str">
        <f>IFERROR(__xludf.DUMMYFUNCTION("""COMPUTED_VALUE"""),"BENGKULU")</f>
        <v>BENGKULU</v>
      </c>
      <c r="I181" s="222" t="str">
        <f>IFERROR(__xludf.DUMMYFUNCTION("""COMPUTED_VALUE"""),"Batch 2")</f>
        <v>Batch 2</v>
      </c>
      <c r="J181" s="225">
        <f>IFERROR(__xludf.DUMMYFUNCTION("""COMPUTED_VALUE"""),15.0)</f>
        <v>15</v>
      </c>
      <c r="K181" s="224">
        <f>IFERROR(__xludf.DUMMYFUNCTION("""COMPUTED_VALUE"""),120.0)</f>
        <v>120</v>
      </c>
      <c r="L181" s="226">
        <f>IFERROR(__xludf.DUMMYFUNCTION("""COMPUTED_VALUE"""),1441741.0)</f>
        <v>1441741</v>
      </c>
      <c r="M181" s="227">
        <f>IFERROR(__xludf.DUMMYFUNCTION("""COMPUTED_VALUE"""),1.73008808E8)</f>
        <v>173008808</v>
      </c>
      <c r="N181" s="222" t="str">
        <f>IFERROR(__xludf.DUMMYFUNCTION("""COMPUTED_VALUE"""),"PT GITA PRIMA TAMBA PERKASA")</f>
        <v>PT GITA PRIMA TAMBA PERKASA</v>
      </c>
      <c r="O181" s="222" t="str">
        <f>IFERROR(__xludf.DUMMYFUNCTION("""COMPUTED_VALUE"""),"7. GOLIVE")</f>
        <v>7. GOLIVE</v>
      </c>
      <c r="P181" s="222" t="str">
        <f>IFERROR(__xludf.DUMMYFUNCTION("""COMPUTED_VALUE"""),"7.2 Golive Full / OA / DONE OTB")</f>
        <v>7.2 Golive Full / OA / DONE OTB</v>
      </c>
      <c r="Q181" s="222" t="str">
        <f>IFERROR(__xludf.DUMMYFUNCTION("""COMPUTED_VALUE"""),"(07/01) Persiapan")</f>
        <v>(07/01) Persiapan</v>
      </c>
      <c r="R181" s="228"/>
      <c r="S181" s="11"/>
      <c r="T181" s="11"/>
      <c r="U181" s="11" t="str">
        <f>IFERROR(__xludf.DUMMYFUNCTION("""COMPUTED_VALUE"""),"W06-314/2025")</f>
        <v>W06-314/2025</v>
      </c>
      <c r="V181" s="229"/>
      <c r="W181" s="229"/>
      <c r="X181" s="229" t="str">
        <f>IFERROR(__xludf.DUMMYFUNCTION("""COMPUTED_VALUE"""),"GOLIVE")</f>
        <v>GOLIVE</v>
      </c>
      <c r="Y181" s="229" t="str">
        <f>IFERROR(__xludf.DUMMYFUNCTION("""COMPUTED_VALUE"""),"DONE")</f>
        <v>DONE</v>
      </c>
      <c r="Z181" s="229" t="str">
        <f>IFERROR(__xludf.DUMMYFUNCTION("""COMPUTED_VALUE"""),"#N/A")</f>
        <v>#N/A</v>
      </c>
      <c r="AA181" s="229">
        <f>IFERROR(__xludf.DUMMYFUNCTION("""COMPUTED_VALUE"""),15.0)</f>
        <v>15</v>
      </c>
      <c r="AB181" s="229"/>
      <c r="AC181" s="229" t="str">
        <f>IFERROR(__xludf.DUMMYFUNCTION("""COMPUTED_VALUE"""),"8796684#8796689")</f>
        <v>8796684#8796689</v>
      </c>
      <c r="AD181" s="232">
        <f>IFERROR(__xludf.DUMMYFUNCTION("""COMPUTED_VALUE"""),120.0)</f>
        <v>120</v>
      </c>
      <c r="AE181" s="233">
        <f>IFERROR(__xludf.DUMMYFUNCTION("""COMPUTED_VALUE"""),46032.0)</f>
        <v>46032</v>
      </c>
      <c r="AF181" s="54"/>
      <c r="AG181" s="54"/>
      <c r="AH181" s="54"/>
      <c r="AI181" s="55" t="str">
        <f t="shared" si="32"/>
        <v/>
      </c>
      <c r="AW181" s="234"/>
      <c r="BP181" s="11"/>
      <c r="BQ181" s="11"/>
      <c r="BR181" s="235"/>
      <c r="BV181" s="158"/>
      <c r="BY181" s="158"/>
      <c r="CB181" s="158"/>
    </row>
    <row r="182" ht="18.0" customHeight="1">
      <c r="A182" s="222">
        <f>IFERROR(__xludf.DUMMYFUNCTION("""COMPUTED_VALUE"""),2026.0)</f>
        <v>2026</v>
      </c>
      <c r="B182" s="221">
        <f>IFERROR(__xludf.DUMMYFUNCTION("""COMPUTED_VALUE"""),1.1332793E7)</f>
        <v>11332793</v>
      </c>
      <c r="C182" s="222" t="str">
        <f>IFERROR(__xludf.DUMMYFUNCTION("""COMPUTED_VALUE"""),"RDR RBI PT3 P1I2 JL.BAWAL RUMBAI")</f>
        <v>RDR RBI PT3 P1I2 JL.BAWAL RUMBAI</v>
      </c>
      <c r="D182" s="222" t="str">
        <f>IFERROR(__xludf.DUMMYFUNCTION("""COMPUTED_VALUE"""),"REGIONAL I")</f>
        <v>REGIONAL I</v>
      </c>
      <c r="E182" s="222" t="str">
        <f>IFERROR(__xludf.DUMMYFUNCTION("""COMPUTED_VALUE"""),"RIDAR")</f>
        <v>RIDAR</v>
      </c>
      <c r="F182" s="222" t="str">
        <f>IFERROR(__xludf.DUMMYFUNCTION("""COMPUTED_VALUE"""),"RBI")</f>
        <v>RBI</v>
      </c>
      <c r="G182" s="222" t="str">
        <f>IFERROR(__xludf.DUMMYFUNCTION("""COMPUTED_VALUE"""),"SUMBAGTENG")</f>
        <v>SUMBAGTENG</v>
      </c>
      <c r="H182" s="222" t="str">
        <f>IFERROR(__xludf.DUMMYFUNCTION("""COMPUTED_VALUE"""),"PEKANBARU")</f>
        <v>PEKANBARU</v>
      </c>
      <c r="I182" s="222" t="str">
        <f>IFERROR(__xludf.DUMMYFUNCTION("""COMPUTED_VALUE"""),"Batch 2")</f>
        <v>Batch 2</v>
      </c>
      <c r="J182" s="225">
        <f>IFERROR(__xludf.DUMMYFUNCTION("""COMPUTED_VALUE"""),5.0)</f>
        <v>5</v>
      </c>
      <c r="K182" s="224">
        <f>IFERROR(__xludf.DUMMYFUNCTION("""COMPUTED_VALUE"""),40.0)</f>
        <v>40</v>
      </c>
      <c r="L182" s="226">
        <f>IFERROR(__xludf.DUMMYFUNCTION("""COMPUTED_VALUE"""),1110247.0)</f>
        <v>1110247</v>
      </c>
      <c r="M182" s="227">
        <f>IFERROR(__xludf.DUMMYFUNCTION("""COMPUTED_VALUE"""),4.4409865E7)</f>
        <v>44409865</v>
      </c>
      <c r="N182" s="222" t="str">
        <f>IFERROR(__xludf.DUMMYFUNCTION("""COMPUTED_VALUE"""),"PT UPAYA TEKNIK")</f>
        <v>PT UPAYA TEKNIK</v>
      </c>
      <c r="O182" s="222" t="str">
        <f>IFERROR(__xludf.DUMMYFUNCTION("""COMPUTED_VALUE"""),"7. GOLIVE")</f>
        <v>7. GOLIVE</v>
      </c>
      <c r="P182" s="222" t="str">
        <f>IFERROR(__xludf.DUMMYFUNCTION("""COMPUTED_VALUE"""),"7.2 Golive Full / OA / DONE OTB")</f>
        <v>7.2 Golive Full / OA / DONE OTB</v>
      </c>
      <c r="Q182" s="222" t="str">
        <f>IFERROR(__xludf.DUMMYFUNCTION("""COMPUTED_VALUE"""),"(07/01) Persiapan")</f>
        <v>(07/01) Persiapan</v>
      </c>
      <c r="R182" s="228"/>
      <c r="S182" s="11"/>
      <c r="T182" s="11"/>
      <c r="U182" s="11" t="str">
        <f>IFERROR(__xludf.DUMMYFUNCTION("""COMPUTED_VALUE"""),"W08-1663/2025")</f>
        <v>W08-1663/2025</v>
      </c>
      <c r="V182" s="229" t="str">
        <f>IFERROR(__xludf.DUMMYFUNCTION("""COMPUTED_VALUE"""),"GUSKAR DIYONAL")</f>
        <v>GUSKAR DIYONAL</v>
      </c>
      <c r="W182" s="229" t="str">
        <f>IFERROR(__xludf.DUMMYFUNCTION("""COMPUTED_VALUE"""),"ANZALA SAKINAH")</f>
        <v>ANZALA SAKINAH</v>
      </c>
      <c r="X182" s="229" t="str">
        <f>IFERROR(__xludf.DUMMYFUNCTION("""COMPUTED_VALUE"""),"GOLIVE")</f>
        <v>GOLIVE</v>
      </c>
      <c r="Y182" s="229" t="str">
        <f>IFERROR(__xludf.DUMMYFUNCTION("""COMPUTED_VALUE"""),"DONE")</f>
        <v>DONE</v>
      </c>
      <c r="Z182" s="229" t="str">
        <f>IFERROR(__xludf.DUMMYFUNCTION("""COMPUTED_VALUE"""),"#N/A")</f>
        <v>#N/A</v>
      </c>
      <c r="AA182" s="229">
        <f>IFERROR(__xludf.DUMMYFUNCTION("""COMPUTED_VALUE"""),5.0)</f>
        <v>5</v>
      </c>
      <c r="AB182" s="229"/>
      <c r="AC182" s="229" t="str">
        <f>IFERROR(__xludf.DUMMYFUNCTION("""COMPUTED_VALUE"""),"8446041#8446046")</f>
        <v>8446041#8446046</v>
      </c>
      <c r="AD182" s="232">
        <f>IFERROR(__xludf.DUMMYFUNCTION("""COMPUTED_VALUE"""),40.0)</f>
        <v>40</v>
      </c>
      <c r="AE182" s="233">
        <f>IFERROR(__xludf.DUMMYFUNCTION("""COMPUTED_VALUE"""),46034.0)</f>
        <v>46034</v>
      </c>
      <c r="AF182" s="54"/>
      <c r="AG182" s="54"/>
      <c r="AH182" s="54"/>
      <c r="AI182" s="55" t="str">
        <f>IF(OR(AH182="",AE182=""),"",AH182-AE182)</f>
        <v/>
      </c>
      <c r="AW182" s="234"/>
      <c r="BP182" s="11"/>
      <c r="BQ182" s="11"/>
      <c r="BR182" s="235"/>
      <c r="BV182" s="158"/>
      <c r="BY182" s="158"/>
      <c r="CB182" s="158"/>
    </row>
    <row r="183" ht="18.0" hidden="1" customHeight="1">
      <c r="A183" s="222">
        <f>IFERROR(__xludf.DUMMYFUNCTION("""COMPUTED_VALUE"""),2026.0)</f>
        <v>2026</v>
      </c>
      <c r="B183" s="221">
        <f>IFERROR(__xludf.DUMMYFUNCTION("""COMPUTED_VALUE"""),1.1367667E7)</f>
        <v>11367667</v>
      </c>
      <c r="C183" s="222" t="str">
        <f>IFERROR(__xludf.DUMMYFUNCTION("""COMPUTED_VALUE"""),"MDN PT4 PRT-FD JL.SP. JERMAN-SIDODADI")</f>
        <v>MDN PT4 PRT-FD JL.SP. JERMAN-SIDODADI</v>
      </c>
      <c r="D183" s="222" t="str">
        <f>IFERROR(__xludf.DUMMYFUNCTION("""COMPUTED_VALUE"""),"REGIONAL I")</f>
        <v>REGIONAL I</v>
      </c>
      <c r="E183" s="222" t="str">
        <f>IFERROR(__xludf.DUMMYFUNCTION("""COMPUTED_VALUE"""),"MEDAN")</f>
        <v>MEDAN</v>
      </c>
      <c r="F183" s="222" t="str">
        <f>IFERROR(__xludf.DUMMYFUNCTION("""COMPUTED_VALUE"""),"PRT")</f>
        <v>PRT</v>
      </c>
      <c r="G183" s="222" t="str">
        <f>IFERROR(__xludf.DUMMYFUNCTION("""COMPUTED_VALUE"""),"SUMBAGUT")</f>
        <v>SUMBAGUT</v>
      </c>
      <c r="H183" s="222" t="str">
        <f>IFERROR(__xludf.DUMMYFUNCTION("""COMPUTED_VALUE"""),"MEDAN")</f>
        <v>MEDAN</v>
      </c>
      <c r="I183" s="222" t="str">
        <f>IFERROR(__xludf.DUMMYFUNCTION("""COMPUTED_VALUE"""),"Batch 2")</f>
        <v>Batch 2</v>
      </c>
      <c r="J183" s="225">
        <f>IFERROR(__xludf.DUMMYFUNCTION("""COMPUTED_VALUE"""),11.0)</f>
        <v>11</v>
      </c>
      <c r="K183" s="224">
        <f>IFERROR(__xludf.DUMMYFUNCTION("""COMPUTED_VALUE"""),88.0)</f>
        <v>88</v>
      </c>
      <c r="L183" s="226">
        <f>IFERROR(__xludf.DUMMYFUNCTION("""COMPUTED_VALUE"""),1678512.0)</f>
        <v>1678512</v>
      </c>
      <c r="M183" s="227">
        <f>IFERROR(__xludf.DUMMYFUNCTION("""COMPUTED_VALUE"""),1.47709031E8)</f>
        <v>147709031</v>
      </c>
      <c r="N183" s="222" t="str">
        <f>IFERROR(__xludf.DUMMYFUNCTION("""COMPUTED_VALUE"""),"PT BENWA  MITRA PRATAMA")</f>
        <v>PT BENWA  MITRA PRATAMA</v>
      </c>
      <c r="O183" s="222" t="str">
        <f>IFERROR(__xludf.DUMMYFUNCTION("""COMPUTED_VALUE"""),"0. DROP")</f>
        <v>0. DROP</v>
      </c>
      <c r="P183" s="222" t="str">
        <f>IFERROR(__xludf.DUMMYFUNCTION("""COMPUTED_VALUE"""),"0.4 CPP Tinggi Acc ED TIF")</f>
        <v>0.4 CPP Tinggi Acc ED TIF</v>
      </c>
      <c r="Q183" s="222" t="str">
        <f>IFERROR(__xludf.DUMMYFUNCTION("""COMPUTED_VALUE"""),"10/02 Komitmen Aanwidzing 13/02/2026 26/01 Done Order, lnjut Aanwidzing")</f>
        <v>10/02 Komitmen Aanwidzing 13/02/2026 26/01 Done Order, lnjut Aanwidzing</v>
      </c>
      <c r="R183" s="228"/>
      <c r="S183" s="11"/>
      <c r="T183" s="11"/>
      <c r="U183" s="11"/>
      <c r="V183" s="229"/>
      <c r="W183" s="229"/>
      <c r="X183" s="229" t="str">
        <f>IFERROR(__xludf.DUMMYFUNCTION("""COMPUTED_VALUE"""),"BELUM GOLIVE")</f>
        <v>BELUM GOLIVE</v>
      </c>
      <c r="Y183" s="229"/>
      <c r="Z183" s="229" t="str">
        <f>IFERROR(__xludf.DUMMYFUNCTION("""COMPUTED_VALUE"""),"#N/A")</f>
        <v>#N/A</v>
      </c>
      <c r="AA183" s="229"/>
      <c r="AB183" s="229"/>
      <c r="AC183" s="229"/>
      <c r="AD183" s="232"/>
      <c r="AE183" s="233"/>
      <c r="AF183" s="54" t="str">
        <f>IFERROR(__xludf.DUMMYFUNCTION("""COMPUTED_VALUE"""),"Draft BA DROP")</f>
        <v>Draft BA DROP</v>
      </c>
      <c r="AG183" s="54"/>
      <c r="AH183" s="54"/>
      <c r="AI183" s="55" t="str">
        <f t="shared" ref="AI183:AI184" si="33">IF(OR(R183="",AE183=""),"",R183-AE183)</f>
        <v/>
      </c>
      <c r="AW183" s="234"/>
      <c r="BP183" s="11"/>
      <c r="BQ183" s="11"/>
      <c r="BR183" s="235"/>
      <c r="BV183" s="158"/>
      <c r="BY183" s="158"/>
      <c r="CB183" s="158"/>
    </row>
    <row r="184" ht="18.0" hidden="1" customHeight="1">
      <c r="A184" s="222">
        <f>IFERROR(__xludf.DUMMYFUNCTION("""COMPUTED_VALUE"""),2026.0)</f>
        <v>2026</v>
      </c>
      <c r="B184" s="221">
        <f>IFERROR(__xludf.DUMMYFUNCTION("""COMPUTED_VALUE"""),1.1977114E7)</f>
        <v>11977114</v>
      </c>
      <c r="C184" s="222" t="str">
        <f>IFERROR(__xludf.DUMMYFUNCTION("""COMPUTED_VALUE"""),"SMS P4I1 PT4 MPA FXX DESA BUNGIN CAMPANG")</f>
        <v>SMS P4I1 PT4 MPA FXX DESA BUNGIN CAMPANG</v>
      </c>
      <c r="D184" s="222" t="str">
        <f>IFERROR(__xludf.DUMMYFUNCTION("""COMPUTED_VALUE"""),"REGIONAL I")</f>
        <v>REGIONAL I</v>
      </c>
      <c r="E184" s="222" t="str">
        <f>IFERROR(__xludf.DUMMYFUNCTION("""COMPUTED_VALUE"""),"SUMSEL")</f>
        <v>SUMSEL</v>
      </c>
      <c r="F184" s="222" t="str">
        <f>IFERROR(__xludf.DUMMYFUNCTION("""COMPUTED_VALUE"""),"MPA")</f>
        <v>MPA</v>
      </c>
      <c r="G184" s="222" t="str">
        <f>IFERROR(__xludf.DUMMYFUNCTION("""COMPUTED_VALUE"""),"SUMBAGSEL")</f>
        <v>SUMBAGSEL</v>
      </c>
      <c r="H184" s="222" t="str">
        <f>IFERROR(__xludf.DUMMYFUNCTION("""COMPUTED_VALUE"""),"PALEMBANG")</f>
        <v>PALEMBANG</v>
      </c>
      <c r="I184" s="222" t="str">
        <f>IFERROR(__xludf.DUMMYFUNCTION("""COMPUTED_VALUE"""),"Batch 2")</f>
        <v>Batch 2</v>
      </c>
      <c r="J184" s="225">
        <f>IFERROR(__xludf.DUMMYFUNCTION("""COMPUTED_VALUE"""),12.0)</f>
        <v>12</v>
      </c>
      <c r="K184" s="224">
        <f>IFERROR(__xludf.DUMMYFUNCTION("""COMPUTED_VALUE"""),96.0)</f>
        <v>96</v>
      </c>
      <c r="L184" s="226">
        <f>IFERROR(__xludf.DUMMYFUNCTION("""COMPUTED_VALUE"""),1440658.0)</f>
        <v>1440658</v>
      </c>
      <c r="M184" s="227">
        <f>IFERROR(__xludf.DUMMYFUNCTION("""COMPUTED_VALUE"""),1.38303108E8)</f>
        <v>138303108</v>
      </c>
      <c r="N184" s="222" t="str">
        <f>IFERROR(__xludf.DUMMYFUNCTION("""COMPUTED_VALUE"""),"PT GARINDO TECHNO MANDIRI")</f>
        <v>PT GARINDO TECHNO MANDIRI</v>
      </c>
      <c r="O184" s="222" t="str">
        <f>IFERROR(__xludf.DUMMYFUNCTION("""COMPUTED_VALUE"""),"7. GOLIVE")</f>
        <v>7. GOLIVE</v>
      </c>
      <c r="P184" s="222" t="str">
        <f>IFERROR(__xludf.DUMMYFUNCTION("""COMPUTED_VALUE"""),"7.2 Golive Full / OA / DONE OTB")</f>
        <v>7.2 Golive Full / OA / DONE OTB</v>
      </c>
      <c r="Q184" s="222" t="str">
        <f>IFERROR(__xludf.DUMMYFUNCTION("""COMPUTED_VALUE"""),"24/04 PROSES GOLIVE - DONE SUBMIT ABD KE SDI, 24/04 PROSES VALINS, 23/04 OGP TERMINASI ODP, 22/04 ogp pemasangan odp, dan jumper di mini olt, 17/04 PROSES PENARIKAN KABEL 2310M/2500M, 16/04 PROSES PENARIKAN KABEL - DI KKABEL BRANCINGAN DIST1 KADES MEMINTA"&amp;" TAMBAH TIANG 4 BTG UTK LAMPU JALAN, 13/04 Hari ini Masih lanjut QE Feeder, pararel instal ODP 09/04 OGP proses QE 07/04 PROSES GALI ROJOK 1,3M, 04/04 PROGRESS PENCARIAN KABEL DAN BUTUH QE, 02/04 BUTUH QE RINCIAN KABEL 24C 40M CL 2PCS HDPE 30M, 31/03 MASI"&amp;"H PENCARIAN CORE, 27/03 Butuh QE fedder hasil ukur sampai ke titik temporer, 26/03 KENDALA FIDER TIDAK SAMPAI MAIN HOLE 25/03 MSIH KENDALA FEEDER TDK SAMPAI KE MANHOLE, 24/03 BLM PROGRESS MSIH KENDALA FEEDER TDK SAMPAI KE MANHOLE, 21/03 MASIH KENDALA FEED"&amp;"ER,17/03 BLM PROGRESS MSIH KENDALA FEEDER TDK SAMPAI KE MANHOLE, 16/03 MASIH MENCARI SITE OTB UTK JUMPER ODC, 12/03 MASIH MENCARI SITE OTB UTK JUMPER ODC, 10/03 MASIH MENUNGGU ANTRIAN PEKERJAAN, 06/03 MENUNGGU ANTRIAN PEKERJAAN, 04/03 MATERIAL ONSITE, 03/"&amp;"03 MATDEL, 02/03 HARI INI AMBIL TIANG, 27/02 DONE RFC,OGP AMBIL MATERIAL EST TGL 02/03, 26/02 MENUNGGU RFC UTK PENGAMBILAN MATERIAL, 25/02 MASIH MENUNGGU TIANG, 24/02 DONE RFC, TINGGAL MENUNGGU TIANG, 23/02 BELUM INPUT MATERIAL TIANG KRNA TIANG HABIS, 22/"&amp;"2 menunggu material TIANG  20/02 DONE INPUT MATERIAL, 18/02 PROGRESS INPUT MATERIAL - KENDALA OVER BUDGET, 18/02 BELUM BISA INPUT MATERIAL - MSH MENUNGGU PA,  11/2 menunggu PRPO  10/02 LANJUT DRM, 06/02 HASIL REVIEW TSEL NEED HELP HH UTK PERIZINAN KADES d"&amp;"an info dari sales untuk prelim koordinasi kan dg taufik sandra  03/02 DONE EVAL, PD SAAT AANWIZJING PIHAK MEMINTA KOMPENSASI SEBESAR 10 JT, DAN ADA KENAIKAN BOQ SEBESAR 8%, CPP 1,5 JT, 15/01 done aanwijzing 2025, proses pembuatan data aanwijzing 31/ 1 30"&amp;"/01 OGP EVAL, (26/1) tim TIF belum bisa EVAL hasil anwijzing karena lagi diluar kota , estimasi 29 jan baru kembali ke Palembang(24/1) menunnggu hasil eval dengan tif (21/01) proses update data hasil aanwizjing untk eval dg tif, 
 (15/1) SUDAH AANWIDJZING"&amp;", MENUNGGU HASIL EVAL PALIM LAMBAT TANGGAL 23 JAN (15/1) ORDER DITERIMA MITRA 14/1, UNTUK CORE UPLINK MINOL MASIH KOORDINASI SAMA SDI (06/01)order JPP batch-2 2026 ((18/11) tidak masuk target optimis 2025 (18/11 done eval lanjut matdel, 13/11 menunggu has"&amp;"il eval tif, (08/11) PERMINTAAN 4 LAMPU JALAN , TUNGGU HASIL EVAL TIF (5/11) menunggu jadwal aanwidzjing 3/11 mitra gptp ditunjuk sbagai mitra lop ini 23/10 penunjukan mitra
 15/10 proses penunjukan mitra
 (08/10) penunjukan mitra")</f>
        <v>24/04 PROSES GOLIVE - DONE SUBMIT ABD KE SDI, 24/04 PROSES VALINS, 23/04 OGP TERMINASI ODP, 22/04 ogp pemasangan odp, dan jumper di mini olt, 17/04 PROSES PENARIKAN KABEL 2310M/2500M, 16/04 PROSES PENARIKAN KABEL - DI KKABEL BRANCINGAN DIST1 KADES MEMINTA TAMBAH TIANG 4 BTG UTK LAMPU JALAN, 13/04 Hari ini Masih lanjut QE Feeder, pararel instal ODP 09/04 OGP proses QE 07/04 PROSES GALI ROJOK 1,3M, 04/04 PROGRESS PENCARIAN KABEL DAN BUTUH QE, 02/04 BUTUH QE RINCIAN KABEL 24C 40M CL 2PCS HDPE 30M, 31/03 MASIH PENCARIAN CORE, 27/03 Butuh QE fedder hasil ukur sampai ke titik temporer, 26/03 KENDALA FIDER TIDAK SAMPAI MAIN HOLE 25/03 MSIH KENDALA FEEDER TDK SAMPAI KE MANHOLE, 24/03 BLM PROGRESS MSIH KENDALA FEEDER TDK SAMPAI KE MANHOLE, 21/03 MASIH KENDALA FEEDER,17/03 BLM PROGRESS MSIH KENDALA FEEDER TDK SAMPAI KE MANHOLE, 16/03 MASIH MENCARI SITE OTB UTK JUMPER ODC, 12/03 MASIH MENCARI SITE OTB UTK JUMPER ODC, 10/03 MASIH MENUNGGU ANTRIAN PEKERJAAN, 06/03 MENUNGGU ANTRIAN PEKERJAAN, 04/03 MATERIAL ONSITE, 03/03 MATDEL, 02/03 HARI INI AMBIL TIANG, 27/02 DONE RFC,OGP AMBIL MATERIAL EST TGL 02/03, 26/02 MENUNGGU RFC UTK PENGAMBILAN MATERIAL, 25/02 MASIH MENUNGGU TIANG, 24/02 DONE RFC, TINGGAL MENUNGGU TIANG, 23/02 BELUM INPUT MATERIAL TIANG KRNA TIANG HABIS, 22/2 menunggu material TIANG  20/02 DONE INPUT MATERIAL, 18/02 PROGRESS INPUT MATERIAL - KENDALA OVER BUDGET, 18/02 BELUM BISA INPUT MATERIAL - MSH MENUNGGU PA,  11/2 menunggu PRPO  10/02 LANJUT DRM, 06/02 HASIL REVIEW TSEL NEED HELP HH UTK PERIZINAN KADES dan info dari sales untuk prelim koordinasi kan dg taufik sandra  03/02 DONE EVAL, PD SAAT AANWIZJING PIHAK MEMINTA KOMPENSASI SEBESAR 10 JT, DAN ADA KENAIKAN BOQ SEBESAR 8%, CPP 1,5 JT, 15/01 done aanwijzing 2025, proses pembuatan data aanwijzing 31/ 1 30/01 OGP EVAL, (26/1) tim TIF belum bisa EVAL hasil anwijzing karena lagi diluar kota , estimasi 29 jan baru kembali ke Palembang(24/1) menunnggu hasil eval dengan tif (21/01) proses update data hasil aanwizjing untk eval dg tif, 
 (15/1) SUDAH AANWIDJZING, MENUNGGU HASIL EVAL PALIM LAMBAT TANGGAL 23 JAN (15/1) ORDER DITERIMA MITRA 14/1, UNTUK CORE UPLINK MINOL MASIH KOORDINASI SAMA SDI (06/01)order JPP batch-2 2026 ((18/11) tidak masuk target optimis 2025 (18/11 done eval lanjut matdel, 13/11 menunggu hasil eval tif, (08/11) PERMINTAAN 4 LAMPU JALAN , TUNGGU HASIL EVAL TIF (5/11) menunggu jadwal aanwidzjing 3/11 mitra gptp ditunjuk sbagai mitra lop ini 23/10 penunjukan mitra
 15/10 proses penunjukan mitra
 (08/10) penunjukan mitra</v>
      </c>
      <c r="R184" s="228">
        <f>IFERROR(__xludf.DUMMYFUNCTION("""COMPUTED_VALUE"""),46136.0)</f>
        <v>46136</v>
      </c>
      <c r="S184" s="11" t="str">
        <f>IFERROR(__xludf.DUMMYFUNCTION("""COMPUTED_VALUE"""),"APR")</f>
        <v>APR</v>
      </c>
      <c r="T184" s="73" t="str">
        <f>IFERROR(__xludf.DUMMYFUNCTION("""COMPUTED_VALUE"""),"P1")</f>
        <v>P1</v>
      </c>
      <c r="U184" s="11"/>
      <c r="V184" s="229" t="str">
        <f>IFERROR(__xludf.DUMMYFUNCTION("""COMPUTED_VALUE"""),"TANTOWI")</f>
        <v>TANTOWI</v>
      </c>
      <c r="W184" s="229"/>
      <c r="X184" s="229" t="str">
        <f>IFERROR(__xludf.DUMMYFUNCTION("""COMPUTED_VALUE"""),"GOLIVE")</f>
        <v>GOLIVE</v>
      </c>
      <c r="Y184" s="229" t="str">
        <f>IFERROR(__xludf.DUMMYFUNCTION("""COMPUTED_VALUE"""),"DONE")</f>
        <v>DONE</v>
      </c>
      <c r="Z184" s="229" t="str">
        <f>IFERROR(__xludf.DUMMYFUNCTION("""COMPUTED_VALUE"""),"#N/A")</f>
        <v>#N/A</v>
      </c>
      <c r="AA184" s="229">
        <f>IFERROR(__xludf.DUMMYFUNCTION("""COMPUTED_VALUE"""),13.0)</f>
        <v>13</v>
      </c>
      <c r="AB184" s="229"/>
      <c r="AC184" s="229"/>
      <c r="AD184" s="232">
        <f>IFERROR(__xludf.DUMMYFUNCTION("""COMPUTED_VALUE"""),104.0)</f>
        <v>104</v>
      </c>
      <c r="AE184" s="233">
        <f>IFERROR(__xludf.DUMMYFUNCTION("""COMPUTED_VALUE"""),46136.0)</f>
        <v>46136</v>
      </c>
      <c r="AF184" s="54"/>
      <c r="AG184" s="54"/>
      <c r="AH184" s="54">
        <v>46134.0</v>
      </c>
      <c r="AI184" s="55">
        <f t="shared" si="33"/>
        <v>0</v>
      </c>
      <c r="AW184" s="234"/>
      <c r="BP184" s="11"/>
      <c r="BQ184" s="11"/>
      <c r="BR184" s="235"/>
      <c r="BV184" s="158"/>
      <c r="BY184" s="158"/>
      <c r="CB184" s="158"/>
    </row>
    <row r="185" ht="18.0" customHeight="1">
      <c r="A185" s="222">
        <f>IFERROR(__xludf.DUMMYFUNCTION("""COMPUTED_VALUE"""),2026.0)</f>
        <v>2026</v>
      </c>
      <c r="B185" s="221">
        <f>IFERROR(__xludf.DUMMYFUNCTION("""COMPUTED_VALUE"""),1.1422834E7)</f>
        <v>11422834</v>
      </c>
      <c r="C185" s="222" t="str">
        <f>IFERROR(__xludf.DUMMYFUNCTION("""COMPUTED_VALUE"""),"RKP PT3 TSEL KMS-FU KM.18 MANTRUST")</f>
        <v>RKP PT3 TSEL KMS-FU KM.18 MANTRUST</v>
      </c>
      <c r="D185" s="222" t="str">
        <f>IFERROR(__xludf.DUMMYFUNCTION("""COMPUTED_VALUE"""),"REGIONAL I")</f>
        <v>REGIONAL I</v>
      </c>
      <c r="E185" s="222" t="str">
        <f>IFERROR(__xludf.DUMMYFUNCTION("""COMPUTED_VALUE"""),"RIKEP")</f>
        <v>RIKEP</v>
      </c>
      <c r="F185" s="222" t="str">
        <f>IFERROR(__xludf.DUMMYFUNCTION("""COMPUTED_VALUE"""),"KMS")</f>
        <v>KMS</v>
      </c>
      <c r="G185" s="222" t="str">
        <f>IFERROR(__xludf.DUMMYFUNCTION("""COMPUTED_VALUE"""),"SUMBAGTENG")</f>
        <v>SUMBAGTENG</v>
      </c>
      <c r="H185" s="222" t="str">
        <f>IFERROR(__xludf.DUMMYFUNCTION("""COMPUTED_VALUE"""),"BATAM")</f>
        <v>BATAM</v>
      </c>
      <c r="I185" s="222" t="str">
        <f>IFERROR(__xludf.DUMMYFUNCTION("""COMPUTED_VALUE"""),"Batch 2")</f>
        <v>Batch 2</v>
      </c>
      <c r="J185" s="225">
        <f>IFERROR(__xludf.DUMMYFUNCTION("""COMPUTED_VALUE"""),1.0)</f>
        <v>1</v>
      </c>
      <c r="K185" s="224">
        <f>IFERROR(__xludf.DUMMYFUNCTION("""COMPUTED_VALUE"""),8.0)</f>
        <v>8</v>
      </c>
      <c r="L185" s="226">
        <f>IFERROR(__xludf.DUMMYFUNCTION("""COMPUTED_VALUE"""),1439875.0)</f>
        <v>1439875</v>
      </c>
      <c r="M185" s="227">
        <f>IFERROR(__xludf.DUMMYFUNCTION("""COMPUTED_VALUE"""),1.1518995E7)</f>
        <v>11518995</v>
      </c>
      <c r="N185" s="222" t="str">
        <f>IFERROR(__xludf.DUMMYFUNCTION("""COMPUTED_VALUE"""),"PT SALTTEK DUMPANG JAYA")</f>
        <v>PT SALTTEK DUMPANG JAYA</v>
      </c>
      <c r="O185" s="222" t="str">
        <f>IFERROR(__xludf.DUMMYFUNCTION("""COMPUTED_VALUE"""),"7. GOLIVE")</f>
        <v>7. GOLIVE</v>
      </c>
      <c r="P185" s="222" t="str">
        <f>IFERROR(__xludf.DUMMYFUNCTION("""COMPUTED_VALUE"""),"7.2 Golive Full / OA / DONE OTB")</f>
        <v>7.2 Golive Full / OA / DONE OTB</v>
      </c>
      <c r="Q185" s="222" t="str">
        <f>IFERROR(__xludf.DUMMYFUNCTION("""COMPUTED_VALUE"""),"10/02 Proese penarikan KU dan tanam tiang. 04/02 MP masih mengerjakan LOP lain, plan progres tanggal 10 Feb. 03/02 izin OK, proses deliv material. 28/01 nilai boq anwijzing turun, Izin blm di balas oleh RT fu kembali HI. 21/01 Proses perizinan blm di bala"&amp;"s RT, FU kembali tanggal 23 Jan")</f>
        <v>10/02 Proese penarikan KU dan tanam tiang. 04/02 MP masih mengerjakan LOP lain, plan progres tanggal 10 Feb. 03/02 izin OK, proses deliv material. 28/01 nilai boq anwijzing turun, Izin blm di balas oleh RT fu kembali HI. 21/01 Proses perizinan blm di balas RT, FU kembali tanggal 23 Jan</v>
      </c>
      <c r="R185" s="228">
        <f>IFERROR(__xludf.DUMMYFUNCTION("""COMPUTED_VALUE"""),46070.0)</f>
        <v>46070</v>
      </c>
      <c r="S185" s="11"/>
      <c r="T185" s="11"/>
      <c r="U185" s="11" t="str">
        <f>IFERROR(__xludf.DUMMYFUNCTION("""COMPUTED_VALUE"""),"W09-143/2026")</f>
        <v>W09-143/2026</v>
      </c>
      <c r="V185" s="229" t="str">
        <f>IFERROR(__xludf.DUMMYFUNCTION("""COMPUTED_VALUE"""),"DEDY IRAWAN")</f>
        <v>DEDY IRAWAN</v>
      </c>
      <c r="W185" s="229" t="str">
        <f>IFERROR(__xludf.DUMMYFUNCTION("""COMPUTED_VALUE"""),"LEVITA INDRIYANI")</f>
        <v>LEVITA INDRIYANI</v>
      </c>
      <c r="X185" s="229" t="str">
        <f>IFERROR(__xludf.DUMMYFUNCTION("""COMPUTED_VALUE"""),"GOLIVE")</f>
        <v>GOLIVE</v>
      </c>
      <c r="Y185" s="229" t="str">
        <f>IFERROR(__xludf.DUMMYFUNCTION("""COMPUTED_VALUE"""),"DONE")</f>
        <v>DONE</v>
      </c>
      <c r="Z185" s="229" t="str">
        <f>IFERROR(__xludf.DUMMYFUNCTION("""COMPUTED_VALUE"""),"#N/A")</f>
        <v>#N/A</v>
      </c>
      <c r="AA185" s="229">
        <f>IFERROR(__xludf.DUMMYFUNCTION("""COMPUTED_VALUE"""),1.0)</f>
        <v>1</v>
      </c>
      <c r="AB185" s="229"/>
      <c r="AC185" s="229" t="str">
        <f>IFERROR(__xludf.DUMMYFUNCTION("""COMPUTED_VALUE"""),"9095295#9095300")</f>
        <v>9095295#9095300</v>
      </c>
      <c r="AD185" s="232">
        <f>IFERROR(__xludf.DUMMYFUNCTION("""COMPUTED_VALUE"""),8.0)</f>
        <v>8</v>
      </c>
      <c r="AE185" s="233">
        <f>IFERROR(__xludf.DUMMYFUNCTION("""COMPUTED_VALUE"""),46067.0)</f>
        <v>46067</v>
      </c>
      <c r="AF185" s="54"/>
      <c r="AG185" s="54"/>
      <c r="AH185" s="54">
        <v>46123.0</v>
      </c>
      <c r="AI185" s="55">
        <f t="shared" ref="AI185:AI186" si="34">IF(OR(AH185="",AE185=""),"",AH185-AE185)</f>
        <v>56</v>
      </c>
      <c r="AJ185" s="229" t="str">
        <f t="shared" ref="AJ185:AJ186" si="35">if(AI185&gt;=0,"Gl in Komitmen","Gl out komitmen")</f>
        <v>Gl in Komitmen</v>
      </c>
      <c r="AW185" s="234"/>
      <c r="BP185" s="11"/>
      <c r="BQ185" s="11"/>
      <c r="BR185" s="235"/>
      <c r="BV185" s="158"/>
      <c r="BY185" s="158"/>
      <c r="CB185" s="158"/>
    </row>
    <row r="186" ht="18.0" customHeight="1">
      <c r="A186" s="222">
        <f>IFERROR(__xludf.DUMMYFUNCTION("""COMPUTED_VALUE"""),2026.0)</f>
        <v>2026</v>
      </c>
      <c r="B186" s="221">
        <f>IFERROR(__xludf.DUMMYFUNCTION("""COMPUTED_VALUE"""),1.152658E7)</f>
        <v>11526580</v>
      </c>
      <c r="C186" s="222" t="str">
        <f>IFERROR(__xludf.DUMMYFUNCTION("""COMPUTED_VALUE"""),"RKP TSEL PT3 LBJ-FAN JL. KUDA LAUT (2)")</f>
        <v>RKP TSEL PT3 LBJ-FAN JL. KUDA LAUT (2)</v>
      </c>
      <c r="D186" s="222" t="str">
        <f>IFERROR(__xludf.DUMMYFUNCTION("""COMPUTED_VALUE"""),"REGIONAL I")</f>
        <v>REGIONAL I</v>
      </c>
      <c r="E186" s="222" t="str">
        <f>IFERROR(__xludf.DUMMYFUNCTION("""COMPUTED_VALUE"""),"RIKEP")</f>
        <v>RIKEP</v>
      </c>
      <c r="F186" s="222" t="str">
        <f>IFERROR(__xludf.DUMMYFUNCTION("""COMPUTED_VALUE"""),"LBJ")</f>
        <v>LBJ</v>
      </c>
      <c r="G186" s="222" t="str">
        <f>IFERROR(__xludf.DUMMYFUNCTION("""COMPUTED_VALUE"""),"SUMBAGTENG")</f>
        <v>SUMBAGTENG</v>
      </c>
      <c r="H186" s="222" t="str">
        <f>IFERROR(__xludf.DUMMYFUNCTION("""COMPUTED_VALUE"""),"BATAM")</f>
        <v>BATAM</v>
      </c>
      <c r="I186" s="222" t="str">
        <f>IFERROR(__xludf.DUMMYFUNCTION("""COMPUTED_VALUE"""),"Batch 2")</f>
        <v>Batch 2</v>
      </c>
      <c r="J186" s="225">
        <f>IFERROR(__xludf.DUMMYFUNCTION("""COMPUTED_VALUE"""),3.0)</f>
        <v>3</v>
      </c>
      <c r="K186" s="224">
        <f>IFERROR(__xludf.DUMMYFUNCTION("""COMPUTED_VALUE"""),24.0)</f>
        <v>24</v>
      </c>
      <c r="L186" s="226">
        <f>IFERROR(__xludf.DUMMYFUNCTION("""COMPUTED_VALUE"""),1439395.0)</f>
        <v>1439395</v>
      </c>
      <c r="M186" s="227">
        <f>IFERROR(__xludf.DUMMYFUNCTION("""COMPUTED_VALUE"""),3.4545463E7)</f>
        <v>34545463</v>
      </c>
      <c r="N186" s="222" t="str">
        <f>IFERROR(__xludf.DUMMYFUNCTION("""COMPUTED_VALUE"""),"PT. JARI TRIMINDO")</f>
        <v>PT. JARI TRIMINDO</v>
      </c>
      <c r="O186" s="222" t="str">
        <f>IFERROR(__xludf.DUMMYFUNCTION("""COMPUTED_VALUE"""),"7. GOLIVE")</f>
        <v>7. GOLIVE</v>
      </c>
      <c r="P186" s="222" t="str">
        <f>IFERROR(__xludf.DUMMYFUNCTION("""COMPUTED_VALUE"""),"7.2 Golive Full / OA / DONE OTB")</f>
        <v>7.2 Golive Full / OA / DONE OTB</v>
      </c>
      <c r="Q186" s="222" t="str">
        <f>IFERROR(__xludf.DUMMYFUNCTION("""COMPUTED_VALUE"""),"06/04 Proses penarikan Kabel. 30/03 izin sudah di acc lurah, lanjut tanam tiang di dalam perumahan. 27/03 ada 4 tiang di minta warga harus izin kelurah, sudah masukan surat, kabel sudah di tarik sampai ke titik branchingan. 16/03 Penarikan KU. 
 05/03 gal"&amp;"ian lubang tiang
23/01 Plan anwijzing 26 Jan, PIC mitra belum sampai. 21/01 proses penunjukan mitra 
05/03 proses penggalian utk penanaman tiang
07/03 Proses Penggalian untuk Penanaman tiang")</f>
        <v>06/04 Proses penarikan Kabel. 30/03 izin sudah di acc lurah, lanjut tanam tiang di dalam perumahan. 27/03 ada 4 tiang di minta warga harus izin kelurah, sudah masukan surat, kabel sudah di tarik sampai ke titik branchingan. 16/03 Penarikan KU. 
 05/03 galian lubang tiang
23/01 Plan anwijzing 26 Jan, PIC mitra belum sampai. 21/01 proses penunjukan mitra 
05/03 proses penggalian utk penanaman tiang
07/03 Proses Penggalian untuk Penanaman tiang</v>
      </c>
      <c r="R186" s="228">
        <f>IFERROR(__xludf.DUMMYFUNCTION("""COMPUTED_VALUE"""),46123.0)</f>
        <v>46123</v>
      </c>
      <c r="S186" s="11" t="str">
        <f>IFERROR(__xludf.DUMMYFUNCTION("""COMPUTED_VALUE"""),"APR")</f>
        <v>APR</v>
      </c>
      <c r="T186" s="73"/>
      <c r="U186" s="11" t="str">
        <f>IFERROR(__xludf.DUMMYFUNCTION("""COMPUTED_VALUE"""),"W09-272/2026")</f>
        <v>W09-272/2026</v>
      </c>
      <c r="V186" s="229" t="str">
        <f>IFERROR(__xludf.DUMMYFUNCTION("""COMPUTED_VALUE"""),"RONALDO LEO INFANTRI")</f>
        <v>RONALDO LEO INFANTRI</v>
      </c>
      <c r="W186" s="229" t="str">
        <f>IFERROR(__xludf.DUMMYFUNCTION("""COMPUTED_VALUE"""),"LEVITA INDRIYANI")</f>
        <v>LEVITA INDRIYANI</v>
      </c>
      <c r="X186" s="229" t="str">
        <f>IFERROR(__xludf.DUMMYFUNCTION("""COMPUTED_VALUE"""),"GOLIVE")</f>
        <v>GOLIVE</v>
      </c>
      <c r="Y186" s="229" t="str">
        <f>IFERROR(__xludf.DUMMYFUNCTION("""COMPUTED_VALUE"""),"DONE")</f>
        <v>DONE</v>
      </c>
      <c r="Z186" s="229" t="str">
        <f>IFERROR(__xludf.DUMMYFUNCTION("""COMPUTED_VALUE"""),"#N/A")</f>
        <v>#N/A</v>
      </c>
      <c r="AA186" s="229">
        <f>IFERROR(__xludf.DUMMYFUNCTION("""COMPUTED_VALUE"""),3.0)</f>
        <v>3</v>
      </c>
      <c r="AB186" s="229"/>
      <c r="AC186" s="229" t="str">
        <f>IFERROR(__xludf.DUMMYFUNCTION("""COMPUTED_VALUE"""),"9264180#9264185")</f>
        <v>9264180#9264185</v>
      </c>
      <c r="AD186" s="232">
        <f>IFERROR(__xludf.DUMMYFUNCTION("""COMPUTED_VALUE"""),24.0)</f>
        <v>24</v>
      </c>
      <c r="AE186" s="233">
        <f>IFERROR(__xludf.DUMMYFUNCTION("""COMPUTED_VALUE"""),46123.0)</f>
        <v>46123</v>
      </c>
      <c r="AF186" s="54"/>
      <c r="AG186" s="54"/>
      <c r="AH186" s="54">
        <v>46123.0</v>
      </c>
      <c r="AI186" s="55">
        <f t="shared" si="34"/>
        <v>0</v>
      </c>
      <c r="AJ186" s="229" t="str">
        <f t="shared" si="35"/>
        <v>Gl in Komitmen</v>
      </c>
      <c r="AK186" s="231" t="s">
        <v>199</v>
      </c>
      <c r="AW186" s="234"/>
      <c r="BN186" s="229" t="str">
        <f>VLOOKUP(B186,'REPORT GOLIVE JPP - OLO'!N44:R82,3,FALSE)</f>
        <v/>
      </c>
      <c r="BP186" s="11"/>
      <c r="BQ186" s="11"/>
      <c r="BR186" s="235"/>
      <c r="BV186" s="158"/>
      <c r="BY186" s="158"/>
      <c r="CB186" s="158"/>
    </row>
    <row r="187" ht="18.0" hidden="1" customHeight="1">
      <c r="A187" s="222">
        <f>IFERROR(__xludf.DUMMYFUNCTION("""COMPUTED_VALUE"""),2026.0)</f>
        <v>2026</v>
      </c>
      <c r="B187" s="221">
        <f>IFERROR(__xludf.DUMMYFUNCTION("""COMPUTED_VALUE"""),1.1219433E7)</f>
        <v>11219433</v>
      </c>
      <c r="C187" s="222" t="str">
        <f>IFERROR(__xludf.DUMMYFUNCTION("""COMPUTED_VALUE"""),"MDN PT3 P7I12 PUB-FZ JL.KRAKATAU TJ.")</f>
        <v>MDN PT3 P7I12 PUB-FZ JL.KRAKATAU TJ.</v>
      </c>
      <c r="D187" s="222" t="str">
        <f>IFERROR(__xludf.DUMMYFUNCTION("""COMPUTED_VALUE"""),"REGIONAL I")</f>
        <v>REGIONAL I</v>
      </c>
      <c r="E187" s="222" t="str">
        <f>IFERROR(__xludf.DUMMYFUNCTION("""COMPUTED_VALUE"""),"MEDAN")</f>
        <v>MEDAN</v>
      </c>
      <c r="F187" s="222" t="str">
        <f>IFERROR(__xludf.DUMMYFUNCTION("""COMPUTED_VALUE"""),"PUB")</f>
        <v>PUB</v>
      </c>
      <c r="G187" s="222" t="str">
        <f>IFERROR(__xludf.DUMMYFUNCTION("""COMPUTED_VALUE"""),"SUMBAGUT")</f>
        <v>SUMBAGUT</v>
      </c>
      <c r="H187" s="222" t="str">
        <f>IFERROR(__xludf.DUMMYFUNCTION("""COMPUTED_VALUE"""),"MEDAN")</f>
        <v>MEDAN</v>
      </c>
      <c r="I187" s="222" t="str">
        <f>IFERROR(__xludf.DUMMYFUNCTION("""COMPUTED_VALUE"""),"Batch 2")</f>
        <v>Batch 2</v>
      </c>
      <c r="J187" s="225">
        <f>IFERROR(__xludf.DUMMYFUNCTION("""COMPUTED_VALUE"""),2.0)</f>
        <v>2</v>
      </c>
      <c r="K187" s="224">
        <f>IFERROR(__xludf.DUMMYFUNCTION("""COMPUTED_VALUE"""),16.0)</f>
        <v>16</v>
      </c>
      <c r="L187" s="226">
        <f>IFERROR(__xludf.DUMMYFUNCTION("""COMPUTED_VALUE"""),1724532.0)</f>
        <v>1724532</v>
      </c>
      <c r="M187" s="227">
        <f>IFERROR(__xludf.DUMMYFUNCTION("""COMPUTED_VALUE"""),2.7592508E7)</f>
        <v>27592508</v>
      </c>
      <c r="N187" s="222" t="str">
        <f>IFERROR(__xludf.DUMMYFUNCTION("""COMPUTED_VALUE"""),"PT BENWA  MITRA PRATAMA")</f>
        <v>PT BENWA  MITRA PRATAMA</v>
      </c>
      <c r="O187" s="222" t="str">
        <f>IFERROR(__xludf.DUMMYFUNCTION("""COMPUTED_VALUE"""),"0. DROP")</f>
        <v>0. DROP</v>
      </c>
      <c r="P187" s="222" t="str">
        <f>IFERROR(__xludf.DUMMYFUNCTION("""COMPUTED_VALUE"""),"0.4 CPP Tinggi Acc ED TIF")</f>
        <v>0.4 CPP Tinggi Acc ED TIF</v>
      </c>
      <c r="Q187" s="222" t="str">
        <f>IFERROR(__xludf.DUMMYFUNCTION("""COMPUTED_VALUE"""),"(07/01) Persiapan")</f>
        <v>(07/01) Persiapan</v>
      </c>
      <c r="R187" s="228"/>
      <c r="S187" s="11"/>
      <c r="T187" s="11"/>
      <c r="U187" s="11"/>
      <c r="V187" s="229"/>
      <c r="W187" s="229"/>
      <c r="X187" s="229" t="str">
        <f>IFERROR(__xludf.DUMMYFUNCTION("""COMPUTED_VALUE"""),"BELUM GOLIVE")</f>
        <v>BELUM GOLIVE</v>
      </c>
      <c r="Y187" s="229"/>
      <c r="Z187" s="229" t="str">
        <f>IFERROR(__xludf.DUMMYFUNCTION("""COMPUTED_VALUE"""),"#N/A")</f>
        <v>#N/A</v>
      </c>
      <c r="AA187" s="229"/>
      <c r="AB187" s="229"/>
      <c r="AC187" s="229"/>
      <c r="AD187" s="232"/>
      <c r="AE187" s="233"/>
      <c r="AF187" s="54" t="str">
        <f>IFERROR(__xludf.DUMMYFUNCTION("""COMPUTED_VALUE"""),"Draft BA DROP")</f>
        <v>Draft BA DROP</v>
      </c>
      <c r="AG187" s="54"/>
      <c r="AH187" s="54"/>
      <c r="AI187" s="55" t="str">
        <f t="shared" ref="AI187:AI209" si="36">IF(OR(R187="",AE187=""),"",R187-AE187)</f>
        <v/>
      </c>
      <c r="AW187" s="234"/>
      <c r="BP187" s="11"/>
      <c r="BQ187" s="11"/>
      <c r="BR187" s="235"/>
      <c r="BV187" s="158"/>
      <c r="BY187" s="158"/>
      <c r="CB187" s="158"/>
    </row>
    <row r="188" ht="18.0" customHeight="1">
      <c r="A188" s="222">
        <f>IFERROR(__xludf.DUMMYFUNCTION("""COMPUTED_VALUE"""),2026.0)</f>
        <v>2026</v>
      </c>
      <c r="B188" s="221">
        <f>IFERROR(__xludf.DUMMYFUNCTION("""COMPUTED_VALUE"""),1.1200068E7)</f>
        <v>11200068</v>
      </c>
      <c r="C188" s="222" t="str">
        <f>IFERROR(__xludf.DUMMYFUNCTION("""COMPUTED_VALUE"""),"RKP PT3 TSEL SLU-FT PERUM. EDOFA GARDEN")</f>
        <v>RKP PT3 TSEL SLU-FT PERUM. EDOFA GARDEN</v>
      </c>
      <c r="D188" s="222" t="str">
        <f>IFERROR(__xludf.DUMMYFUNCTION("""COMPUTED_VALUE"""),"REGIONAL I")</f>
        <v>REGIONAL I</v>
      </c>
      <c r="E188" s="222" t="str">
        <f>IFERROR(__xludf.DUMMYFUNCTION("""COMPUTED_VALUE"""),"RIKEP")</f>
        <v>RIKEP</v>
      </c>
      <c r="F188" s="222" t="str">
        <f>IFERROR(__xludf.DUMMYFUNCTION("""COMPUTED_VALUE"""),"SLU")</f>
        <v>SLU</v>
      </c>
      <c r="G188" s="222" t="str">
        <f>IFERROR(__xludf.DUMMYFUNCTION("""COMPUTED_VALUE"""),"SUMBAGTENG")</f>
        <v>SUMBAGTENG</v>
      </c>
      <c r="H188" s="222" t="str">
        <f>IFERROR(__xludf.DUMMYFUNCTION("""COMPUTED_VALUE"""),"BATAM")</f>
        <v>BATAM</v>
      </c>
      <c r="I188" s="222" t="str">
        <f>IFERROR(__xludf.DUMMYFUNCTION("""COMPUTED_VALUE"""),"Batch 2")</f>
        <v>Batch 2</v>
      </c>
      <c r="J188" s="225">
        <f>IFERROR(__xludf.DUMMYFUNCTION("""COMPUTED_VALUE"""),3.0)</f>
        <v>3</v>
      </c>
      <c r="K188" s="224">
        <f>IFERROR(__xludf.DUMMYFUNCTION("""COMPUTED_VALUE"""),24.0)</f>
        <v>24</v>
      </c>
      <c r="L188" s="226">
        <f>IFERROR(__xludf.DUMMYFUNCTION("""COMPUTED_VALUE"""),1437042.0)</f>
        <v>1437042</v>
      </c>
      <c r="M188" s="227">
        <f>IFERROR(__xludf.DUMMYFUNCTION("""COMPUTED_VALUE"""),3.4488988E7)</f>
        <v>34488988</v>
      </c>
      <c r="N188" s="222" t="str">
        <f>IFERROR(__xludf.DUMMYFUNCTION("""COMPUTED_VALUE"""),"PT MITRA SETIA INDONESIA")</f>
        <v>PT MITRA SETIA INDONESIA</v>
      </c>
      <c r="O188" s="222" t="str">
        <f>IFERROR(__xludf.DUMMYFUNCTION("""COMPUTED_VALUE"""),"0. DROP")</f>
        <v>0. DROP</v>
      </c>
      <c r="P188" s="222" t="str">
        <f>IFERROR(__xludf.DUMMYFUNCTION("""COMPUTED_VALUE"""),"0.2 Tidak Dapat Izin Warga/Kades/Lurah/Developer")</f>
        <v>0.2 Tidak Dapat Izin Warga/Kades/Lurah/Developer</v>
      </c>
      <c r="Q188" s="222" t="str">
        <f>IFERROR(__xludf.DUMMYFUNCTION("""COMPUTED_VALUE"""),"28/01 Izin di tolak oleh RT/RW karena sudah ada kerjasama dengan provider lain. 21/01 plan fu perizinan tanggal 26 Jan")</f>
        <v>28/01 Izin di tolak oleh RT/RW karena sudah ada kerjasama dengan provider lain. 21/01 plan fu perizinan tanggal 26 Jan</v>
      </c>
      <c r="R188" s="228"/>
      <c r="S188" s="11"/>
      <c r="T188" s="11"/>
      <c r="U188" s="11"/>
      <c r="V188" s="229" t="str">
        <f>IFERROR(__xludf.DUMMYFUNCTION("""COMPUTED_VALUE"""),"MUHAMMAD RIDHO FALFO")</f>
        <v>MUHAMMAD RIDHO FALFO</v>
      </c>
      <c r="W188" s="229" t="str">
        <f>IFERROR(__xludf.DUMMYFUNCTION("""COMPUTED_VALUE"""),"LEVITA INDRIYANI")</f>
        <v>LEVITA INDRIYANI</v>
      </c>
      <c r="X188" s="229" t="str">
        <f>IFERROR(__xludf.DUMMYFUNCTION("""COMPUTED_VALUE"""),"BELUM GOLIVE")</f>
        <v>BELUM GOLIVE</v>
      </c>
      <c r="Y188" s="229"/>
      <c r="Z188" s="229" t="str">
        <f>IFERROR(__xludf.DUMMYFUNCTION("""COMPUTED_VALUE"""),"#N/A")</f>
        <v>#N/A</v>
      </c>
      <c r="AA188" s="229"/>
      <c r="AB188" s="229"/>
      <c r="AC188" s="229"/>
      <c r="AD188" s="232"/>
      <c r="AE188" s="233"/>
      <c r="AF188" s="54" t="str">
        <f>IFERROR(__xludf.DUMMYFUNCTION("""COMPUTED_VALUE"""),"Draft BA DROP")</f>
        <v>Draft BA DROP</v>
      </c>
      <c r="AG188" s="54"/>
      <c r="AH188" s="54"/>
      <c r="AI188" s="55" t="str">
        <f t="shared" si="36"/>
        <v/>
      </c>
      <c r="AW188" s="234"/>
      <c r="BP188" s="11"/>
      <c r="BQ188" s="11"/>
      <c r="BR188" s="235"/>
      <c r="BV188" s="158"/>
      <c r="BY188" s="158"/>
      <c r="CB188" s="158"/>
    </row>
    <row r="189" ht="18.0" customHeight="1">
      <c r="A189" s="222">
        <f>IFERROR(__xludf.DUMMYFUNCTION("""COMPUTED_VALUE"""),2026.0)</f>
        <v>2026</v>
      </c>
      <c r="B189" s="221">
        <f>IFERROR(__xludf.DUMMYFUNCTION("""COMPUTED_VALUE"""),1.1289327E7)</f>
        <v>11289327</v>
      </c>
      <c r="C189" s="222" t="str">
        <f>IFERROR(__xludf.DUMMYFUNCTION("""COMPUTED_VALUE"""),"RDR JPP PT3 BLOK A BELILAS 2")</f>
        <v>RDR JPP PT3 BLOK A BELILAS 2</v>
      </c>
      <c r="D189" s="222" t="str">
        <f>IFERROR(__xludf.DUMMYFUNCTION("""COMPUTED_VALUE"""),"REGIONAL I")</f>
        <v>REGIONAL I</v>
      </c>
      <c r="E189" s="222" t="str">
        <f>IFERROR(__xludf.DUMMYFUNCTION("""COMPUTED_VALUE"""),"RIDAR")</f>
        <v>RIDAR</v>
      </c>
      <c r="F189" s="222" t="str">
        <f>IFERROR(__xludf.DUMMYFUNCTION("""COMPUTED_VALUE"""),"RGT")</f>
        <v>RGT</v>
      </c>
      <c r="G189" s="222" t="str">
        <f>IFERROR(__xludf.DUMMYFUNCTION("""COMPUTED_VALUE"""),"SUMBAGTENG")</f>
        <v>SUMBAGTENG</v>
      </c>
      <c r="H189" s="222" t="str">
        <f>IFERROR(__xludf.DUMMYFUNCTION("""COMPUTED_VALUE"""),"PEKANBARU")</f>
        <v>PEKANBARU</v>
      </c>
      <c r="I189" s="222" t="str">
        <f>IFERROR(__xludf.DUMMYFUNCTION("""COMPUTED_VALUE"""),"Batch 2")</f>
        <v>Batch 2</v>
      </c>
      <c r="J189" s="225">
        <f>IFERROR(__xludf.DUMMYFUNCTION("""COMPUTED_VALUE"""),3.0)</f>
        <v>3</v>
      </c>
      <c r="K189" s="224">
        <f>IFERROR(__xludf.DUMMYFUNCTION("""COMPUTED_VALUE"""),24.0)</f>
        <v>24</v>
      </c>
      <c r="L189" s="226">
        <f>IFERROR(__xludf.DUMMYFUNCTION("""COMPUTED_VALUE"""),1436587.0)</f>
        <v>1436587</v>
      </c>
      <c r="M189" s="227">
        <f>IFERROR(__xludf.DUMMYFUNCTION("""COMPUTED_VALUE"""),3.4478077E7)</f>
        <v>34478077</v>
      </c>
      <c r="N189" s="222" t="str">
        <f>IFERROR(__xludf.DUMMYFUNCTION("""COMPUTED_VALUE"""),"PT SAMUDERA PUTRA KENCANA")</f>
        <v>PT SAMUDERA PUTRA KENCANA</v>
      </c>
      <c r="O189" s="222" t="str">
        <f>IFERROR(__xludf.DUMMYFUNCTION("""COMPUTED_VALUE"""),"0. DROP")</f>
        <v>0. DROP</v>
      </c>
      <c r="P189" s="222" t="str">
        <f>IFERROR(__xludf.DUMMYFUNCTION("""COMPUTED_VALUE"""),"0.3 Feeder Full")</f>
        <v>0.3 Feeder Full</v>
      </c>
      <c r="Q189" s="222" t="str">
        <f>IFERROR(__xludf.DUMMYFUNCTION("""COMPUTED_VALUE"""),"09/03 Feeder Full 20/01 Feeder Rusak (07/01) Persiapan")</f>
        <v>09/03 Feeder Full 20/01 Feeder Rusak (07/01) Persiapan</v>
      </c>
      <c r="R189" s="228"/>
      <c r="S189" s="11"/>
      <c r="T189" s="11"/>
      <c r="U189" s="11"/>
      <c r="V189" s="229"/>
      <c r="W189" s="229"/>
      <c r="X189" s="229" t="str">
        <f>IFERROR(__xludf.DUMMYFUNCTION("""COMPUTED_VALUE"""),"BELUM GOLIVE")</f>
        <v>BELUM GOLIVE</v>
      </c>
      <c r="Y189" s="229"/>
      <c r="Z189" s="229" t="str">
        <f>IFERROR(__xludf.DUMMYFUNCTION("""COMPUTED_VALUE"""),"#N/A")</f>
        <v>#N/A</v>
      </c>
      <c r="AA189" s="229"/>
      <c r="AB189" s="229"/>
      <c r="AC189" s="229"/>
      <c r="AD189" s="232"/>
      <c r="AE189" s="233"/>
      <c r="AF189" s="54"/>
      <c r="AG189" s="54"/>
      <c r="AH189" s="54"/>
      <c r="AI189" s="55" t="str">
        <f t="shared" si="36"/>
        <v/>
      </c>
      <c r="AW189" s="234"/>
      <c r="BP189" s="11"/>
      <c r="BQ189" s="11"/>
      <c r="BR189" s="235"/>
      <c r="BV189" s="158"/>
      <c r="BY189" s="158"/>
      <c r="CB189" s="158"/>
    </row>
    <row r="190" ht="18.0" customHeight="1">
      <c r="A190" s="222">
        <f>IFERROR(__xludf.DUMMYFUNCTION("""COMPUTED_VALUE"""),2026.0)</f>
        <v>2026</v>
      </c>
      <c r="B190" s="221">
        <f>IFERROR(__xludf.DUMMYFUNCTION("""COMPUTED_VALUE"""),1.1324247E7)</f>
        <v>11324247</v>
      </c>
      <c r="C190" s="222" t="str">
        <f>IFERROR(__xludf.DUMMYFUNCTION("""COMPUTED_VALUE"""),"SMB P2I1 Jl. Koto Tuo Limau Manis")</f>
        <v>SMB P2I1 Jl. Koto Tuo Limau Manis</v>
      </c>
      <c r="D190" s="222" t="str">
        <f>IFERROR(__xludf.DUMMYFUNCTION("""COMPUTED_VALUE"""),"REGIONAL I")</f>
        <v>REGIONAL I</v>
      </c>
      <c r="E190" s="222" t="str">
        <f>IFERROR(__xludf.DUMMYFUNCTION("""COMPUTED_VALUE"""),"SUMBAR")</f>
        <v>SUMBAR</v>
      </c>
      <c r="F190" s="222" t="str">
        <f>IFERROR(__xludf.DUMMYFUNCTION("""COMPUTED_VALUE"""),"LIM")</f>
        <v>LIM</v>
      </c>
      <c r="G190" s="222" t="str">
        <f>IFERROR(__xludf.DUMMYFUNCTION("""COMPUTED_VALUE"""),"SUMBAGTENG")</f>
        <v>SUMBAGTENG</v>
      </c>
      <c r="H190" s="222" t="str">
        <f>IFERROR(__xludf.DUMMYFUNCTION("""COMPUTED_VALUE"""),"PADANG")</f>
        <v>PADANG</v>
      </c>
      <c r="I190" s="222" t="str">
        <f>IFERROR(__xludf.DUMMYFUNCTION("""COMPUTED_VALUE"""),"Batch 2")</f>
        <v>Batch 2</v>
      </c>
      <c r="J190" s="225">
        <f>IFERROR(__xludf.DUMMYFUNCTION("""COMPUTED_VALUE"""),8.0)</f>
        <v>8</v>
      </c>
      <c r="K190" s="224">
        <f>IFERROR(__xludf.DUMMYFUNCTION("""COMPUTED_VALUE"""),64.0)</f>
        <v>64</v>
      </c>
      <c r="L190" s="226">
        <f>IFERROR(__xludf.DUMMYFUNCTION("""COMPUTED_VALUE"""),1435772.0)</f>
        <v>1435772</v>
      </c>
      <c r="M190" s="227">
        <f>IFERROR(__xludf.DUMMYFUNCTION("""COMPUTED_VALUE"""),9.1889352E7)</f>
        <v>91889352</v>
      </c>
      <c r="N190" s="222" t="str">
        <f>IFERROR(__xludf.DUMMYFUNCTION("""COMPUTED_VALUE"""),"PT TRI PENAMAS")</f>
        <v>PT TRI PENAMAS</v>
      </c>
      <c r="O190" s="222" t="str">
        <f>IFERROR(__xludf.DUMMYFUNCTION("""COMPUTED_VALUE"""),"0. DROP")</f>
        <v>0. DROP</v>
      </c>
      <c r="P190" s="222" t="str">
        <f>IFERROR(__xludf.DUMMYFUNCTION("""COMPUTED_VALUE"""),"0.2 Tidak Dapat Izin Warga/Kades/Lurah/Developer")</f>
        <v>0.2 Tidak Dapat Izin Warga/Kades/Lurah/Developer</v>
      </c>
      <c r="Q190" s="222" t="str">
        <f>IFERROR(__xludf.DUMMYFUNCTION("""COMPUTED_VALUE"""),"(26/01) kendala Tidak dapat izin tanam tiang sama pemilik lahan")</f>
        <v>(26/01) kendala Tidak dapat izin tanam tiang sama pemilik lahan</v>
      </c>
      <c r="R190" s="228"/>
      <c r="S190" s="11"/>
      <c r="T190" s="11"/>
      <c r="U190" s="11"/>
      <c r="V190" s="229"/>
      <c r="W190" s="229"/>
      <c r="X190" s="229" t="str">
        <f>IFERROR(__xludf.DUMMYFUNCTION("""COMPUTED_VALUE"""),"BELUM GOLIVE")</f>
        <v>BELUM GOLIVE</v>
      </c>
      <c r="Y190" s="229"/>
      <c r="Z190" s="229" t="str">
        <f>IFERROR(__xludf.DUMMYFUNCTION("""COMPUTED_VALUE"""),"#N/A")</f>
        <v>#N/A</v>
      </c>
      <c r="AA190" s="229"/>
      <c r="AB190" s="229"/>
      <c r="AC190" s="229"/>
      <c r="AD190" s="232"/>
      <c r="AE190" s="233"/>
      <c r="AF190" s="54" t="str">
        <f>IFERROR(__xludf.DUMMYFUNCTION("""COMPUTED_VALUE"""),"Draft BA DROP")</f>
        <v>Draft BA DROP</v>
      </c>
      <c r="AG190" s="54"/>
      <c r="AH190" s="54"/>
      <c r="AI190" s="55" t="str">
        <f t="shared" si="36"/>
        <v/>
      </c>
      <c r="AW190" s="234"/>
      <c r="BP190" s="11"/>
      <c r="BQ190" s="11"/>
      <c r="BR190" s="235"/>
      <c r="BV190" s="158"/>
      <c r="BY190" s="158"/>
      <c r="CB190" s="158"/>
    </row>
    <row r="191" ht="18.0" hidden="1" customHeight="1">
      <c r="A191" s="222">
        <f>IFERROR(__xludf.DUMMYFUNCTION("""COMPUTED_VALUE"""),2026.0)</f>
        <v>2026</v>
      </c>
      <c r="B191" s="221">
        <f>IFERROR(__xludf.DUMMYFUNCTION("""COMPUTED_VALUE"""),1.1271976E7)</f>
        <v>11271976</v>
      </c>
      <c r="C191" s="222" t="str">
        <f>IFERROR(__xludf.DUMMYFUNCTION("""COMPUTED_VALUE"""),"MDN PT3 P1I1 TJR-FC KOMP GEMINI POINT")</f>
        <v>MDN PT3 P1I1 TJR-FC KOMP GEMINI POINT</v>
      </c>
      <c r="D191" s="222" t="str">
        <f>IFERROR(__xludf.DUMMYFUNCTION("""COMPUTED_VALUE"""),"REGIONAL I")</f>
        <v>REGIONAL I</v>
      </c>
      <c r="E191" s="222" t="str">
        <f>IFERROR(__xludf.DUMMYFUNCTION("""COMPUTED_VALUE"""),"MEDAN")</f>
        <v>MEDAN</v>
      </c>
      <c r="F191" s="222" t="str">
        <f>IFERROR(__xludf.DUMMYFUNCTION("""COMPUTED_VALUE"""),"TJR")</f>
        <v>TJR</v>
      </c>
      <c r="G191" s="222" t="str">
        <f>IFERROR(__xludf.DUMMYFUNCTION("""COMPUTED_VALUE"""),"SUMBAGUT")</f>
        <v>SUMBAGUT</v>
      </c>
      <c r="H191" s="222" t="str">
        <f>IFERROR(__xludf.DUMMYFUNCTION("""COMPUTED_VALUE"""),"MEDAN")</f>
        <v>MEDAN</v>
      </c>
      <c r="I191" s="222" t="str">
        <f>IFERROR(__xludf.DUMMYFUNCTION("""COMPUTED_VALUE"""),"Batch 2")</f>
        <v>Batch 2</v>
      </c>
      <c r="J191" s="225">
        <f>IFERROR(__xludf.DUMMYFUNCTION("""COMPUTED_VALUE"""),6.0)</f>
        <v>6</v>
      </c>
      <c r="K191" s="224">
        <f>IFERROR(__xludf.DUMMYFUNCTION("""COMPUTED_VALUE"""),48.0)</f>
        <v>48</v>
      </c>
      <c r="L191" s="226">
        <f>IFERROR(__xludf.DUMMYFUNCTION("""COMPUTED_VALUE"""),1023402.0)</f>
        <v>1023402</v>
      </c>
      <c r="M191" s="227">
        <f>IFERROR(__xludf.DUMMYFUNCTION("""COMPUTED_VALUE"""),4.9123264E7)</f>
        <v>49123264</v>
      </c>
      <c r="N191" s="222" t="str">
        <f>IFERROR(__xludf.DUMMYFUNCTION("""COMPUTED_VALUE"""),"PT FAJAR MITRA KRIDA ABADI")</f>
        <v>PT FAJAR MITRA KRIDA ABADI</v>
      </c>
      <c r="O191" s="222" t="str">
        <f>IFERROR(__xludf.DUMMYFUNCTION("""COMPUTED_VALUE"""),"0. DROP")</f>
        <v>0. DROP</v>
      </c>
      <c r="P191" s="222" t="str">
        <f>IFERROR(__xludf.DUMMYFUNCTION("""COMPUTED_VALUE"""),"0.2 Tidak Dapat Izin Warga/Kades/Lurah/Developer")</f>
        <v>0.2 Tidak Dapat Izin Warga/Kades/Lurah/Developer</v>
      </c>
      <c r="Q191" s="222" t="str">
        <f>IFERROR(__xludf.DUMMYFUNCTION("""COMPUTED_VALUE"""),"06/10/2025 ketua pengurus komp pak Harahap. izin pembangunan jaringan Indihome di tolak, dikarenakan pihak pengurus komplek sudah menjalani kerjasama dengan provider yg ada sekarang")</f>
        <v>06/10/2025 ketua pengurus komp pak Harahap. izin pembangunan jaringan Indihome di tolak, dikarenakan pihak pengurus komplek sudah menjalani kerjasama dengan provider yg ada sekarang</v>
      </c>
      <c r="R191" s="228"/>
      <c r="S191" s="11"/>
      <c r="T191" s="11"/>
      <c r="U191" s="11"/>
      <c r="V191" s="229"/>
      <c r="W191" s="229"/>
      <c r="X191" s="229" t="str">
        <f>IFERROR(__xludf.DUMMYFUNCTION("""COMPUTED_VALUE"""),"BELUM GOLIVE")</f>
        <v>BELUM GOLIVE</v>
      </c>
      <c r="Y191" s="229"/>
      <c r="Z191" s="229" t="str">
        <f>IFERROR(__xludf.DUMMYFUNCTION("""COMPUTED_VALUE"""),"#N/A")</f>
        <v>#N/A</v>
      </c>
      <c r="AA191" s="229"/>
      <c r="AB191" s="229"/>
      <c r="AC191" s="229"/>
      <c r="AD191" s="232"/>
      <c r="AE191" s="233"/>
      <c r="AF191" s="54" t="str">
        <f>IFERROR(__xludf.DUMMYFUNCTION("""COMPUTED_VALUE"""),"Draft BA DROP")</f>
        <v>Draft BA DROP</v>
      </c>
      <c r="AG191" s="54"/>
      <c r="AH191" s="54"/>
      <c r="AI191" s="55" t="str">
        <f t="shared" si="36"/>
        <v/>
      </c>
      <c r="AW191" s="234"/>
      <c r="BP191" s="11"/>
      <c r="BQ191" s="11"/>
      <c r="BR191" s="235"/>
      <c r="BV191" s="158"/>
      <c r="BY191" s="158"/>
      <c r="CB191" s="158"/>
    </row>
    <row r="192" ht="18.0" hidden="1" customHeight="1">
      <c r="A192" s="222">
        <f>IFERROR(__xludf.DUMMYFUNCTION("""COMPUTED_VALUE"""),2026.0)</f>
        <v>2026</v>
      </c>
      <c r="B192" s="221">
        <f>IFERROR(__xludf.DUMMYFUNCTION("""COMPUTED_VALUE"""),1.1325364E7)</f>
        <v>11325364</v>
      </c>
      <c r="C192" s="222" t="str">
        <f>IFERROR(__xludf.DUMMYFUNCTION("""COMPUTED_VALUE"""),"MDN PT3 PRT-FE BAGAN PERCUT")</f>
        <v>MDN PT3 PRT-FE BAGAN PERCUT</v>
      </c>
      <c r="D192" s="222" t="str">
        <f>IFERROR(__xludf.DUMMYFUNCTION("""COMPUTED_VALUE"""),"REGIONAL I")</f>
        <v>REGIONAL I</v>
      </c>
      <c r="E192" s="222" t="str">
        <f>IFERROR(__xludf.DUMMYFUNCTION("""COMPUTED_VALUE"""),"MEDAN")</f>
        <v>MEDAN</v>
      </c>
      <c r="F192" s="222" t="str">
        <f>IFERROR(__xludf.DUMMYFUNCTION("""COMPUTED_VALUE"""),"PRT")</f>
        <v>PRT</v>
      </c>
      <c r="G192" s="222" t="str">
        <f>IFERROR(__xludf.DUMMYFUNCTION("""COMPUTED_VALUE"""),"SUMBAGUT")</f>
        <v>SUMBAGUT</v>
      </c>
      <c r="H192" s="222" t="str">
        <f>IFERROR(__xludf.DUMMYFUNCTION("""COMPUTED_VALUE"""),"MEDAN")</f>
        <v>MEDAN</v>
      </c>
      <c r="I192" s="222" t="str">
        <f>IFERROR(__xludf.DUMMYFUNCTION("""COMPUTED_VALUE"""),"Batch 2")</f>
        <v>Batch 2</v>
      </c>
      <c r="J192" s="225">
        <f>IFERROR(__xludf.DUMMYFUNCTION("""COMPUTED_VALUE"""),11.0)</f>
        <v>11</v>
      </c>
      <c r="K192" s="224">
        <f>IFERROR(__xludf.DUMMYFUNCTION("""COMPUTED_VALUE"""),88.0)</f>
        <v>88</v>
      </c>
      <c r="L192" s="226">
        <f>IFERROR(__xludf.DUMMYFUNCTION("""COMPUTED_VALUE"""),1721306.0)</f>
        <v>1721306</v>
      </c>
      <c r="M192" s="227">
        <f>IFERROR(__xludf.DUMMYFUNCTION("""COMPUTED_VALUE"""),1.51474863E8)</f>
        <v>151474863</v>
      </c>
      <c r="N192" s="222" t="str">
        <f>IFERROR(__xludf.DUMMYFUNCTION("""COMPUTED_VALUE"""),"PT BENWA  MITRA PRATAMA")</f>
        <v>PT BENWA  MITRA PRATAMA</v>
      </c>
      <c r="O192" s="222" t="str">
        <f>IFERROR(__xludf.DUMMYFUNCTION("""COMPUTED_VALUE"""),"0. DROP")</f>
        <v>0. DROP</v>
      </c>
      <c r="P192" s="222" t="str">
        <f>IFERROR(__xludf.DUMMYFUNCTION("""COMPUTED_VALUE"""),"0.4 CPP Tinggi Acc ED TIF")</f>
        <v>0.4 CPP Tinggi Acc ED TIF</v>
      </c>
      <c r="Q192" s="222" t="str">
        <f>IFERROR(__xludf.DUMMYFUNCTION("""COMPUTED_VALUE"""),"09/02 DROP By TIF HIGT Commcase, Tidak ada izin kelurahan
05/02 Pengajuan Commcase 15.000.000 menunggu approval TIF (07/01) Persiapan""05/02 Pengajuan Commcase 15.000.000 menunggu approval TIF (07/01) Persiapan")</f>
        <v>09/02 DROP By TIF HIGT Commcase, Tidak ada izin kelurahan
05/02 Pengajuan Commcase 15.000.000 menunggu approval TIF (07/01) Persiapan"05/02 Pengajuan Commcase 15.000.000 menunggu approval TIF (07/01) Persiapan</v>
      </c>
      <c r="R192" s="228"/>
      <c r="S192" s="11"/>
      <c r="T192" s="11"/>
      <c r="U192" s="11"/>
      <c r="V192" s="229"/>
      <c r="W192" s="229"/>
      <c r="X192" s="229" t="str">
        <f>IFERROR(__xludf.DUMMYFUNCTION("""COMPUTED_VALUE"""),"BELUM GOLIVE")</f>
        <v>BELUM GOLIVE</v>
      </c>
      <c r="Y192" s="229"/>
      <c r="Z192" s="229" t="str">
        <f>IFERROR(__xludf.DUMMYFUNCTION("""COMPUTED_VALUE"""),"#N/A")</f>
        <v>#N/A</v>
      </c>
      <c r="AA192" s="229"/>
      <c r="AB192" s="229"/>
      <c r="AC192" s="229"/>
      <c r="AD192" s="232"/>
      <c r="AE192" s="233"/>
      <c r="AF192" s="54" t="str">
        <f>IFERROR(__xludf.DUMMYFUNCTION("""COMPUTED_VALUE"""),"Draft BA DROP")</f>
        <v>Draft BA DROP</v>
      </c>
      <c r="AG192" s="54"/>
      <c r="AH192" s="54"/>
      <c r="AI192" s="55" t="str">
        <f t="shared" si="36"/>
        <v/>
      </c>
      <c r="AW192" s="234"/>
      <c r="BP192" s="11"/>
      <c r="BQ192" s="11"/>
      <c r="BR192" s="235"/>
      <c r="BV192" s="158"/>
      <c r="BY192" s="158"/>
      <c r="CB192" s="158"/>
    </row>
    <row r="193" ht="18.0" hidden="1" customHeight="1">
      <c r="A193" s="222">
        <f>IFERROR(__xludf.DUMMYFUNCTION("""COMPUTED_VALUE"""),2026.0)</f>
        <v>2026</v>
      </c>
      <c r="B193" s="221">
        <f>IFERROR(__xludf.DUMMYFUNCTION("""COMPUTED_VALUE"""),1.1388844E7)</f>
        <v>11388844</v>
      </c>
      <c r="C193" s="222" t="str">
        <f>IFERROR(__xludf.DUMMYFUNCTION("""COMPUTED_VALUE"""),"SMS P2I2 PT4 MUD FXX DESA PENDAGAN 1")</f>
        <v>SMS P2I2 PT4 MUD FXX DESA PENDAGAN 1</v>
      </c>
      <c r="D193" s="222" t="str">
        <f>IFERROR(__xludf.DUMMYFUNCTION("""COMPUTED_VALUE"""),"REGIONAL I")</f>
        <v>REGIONAL I</v>
      </c>
      <c r="E193" s="222" t="str">
        <f>IFERROR(__xludf.DUMMYFUNCTION("""COMPUTED_VALUE"""),"SUMSEL")</f>
        <v>SUMSEL</v>
      </c>
      <c r="F193" s="222" t="str">
        <f>IFERROR(__xludf.DUMMYFUNCTION("""COMPUTED_VALUE"""),"MUD")</f>
        <v>MUD</v>
      </c>
      <c r="G193" s="222" t="str">
        <f>IFERROR(__xludf.DUMMYFUNCTION("""COMPUTED_VALUE"""),"SUMBAGSEL")</f>
        <v>SUMBAGSEL</v>
      </c>
      <c r="H193" s="222" t="str">
        <f>IFERROR(__xludf.DUMMYFUNCTION("""COMPUTED_VALUE"""),"PALEMBANG")</f>
        <v>PALEMBANG</v>
      </c>
      <c r="I193" s="222" t="str">
        <f>IFERROR(__xludf.DUMMYFUNCTION("""COMPUTED_VALUE"""),"Batch 2")</f>
        <v>Batch 2</v>
      </c>
      <c r="J193" s="225">
        <f>IFERROR(__xludf.DUMMYFUNCTION("""COMPUTED_VALUE"""),19.0)</f>
        <v>19</v>
      </c>
      <c r="K193" s="224">
        <f>IFERROR(__xludf.DUMMYFUNCTION("""COMPUTED_VALUE"""),152.0)</f>
        <v>152</v>
      </c>
      <c r="L193" s="226">
        <f>IFERROR(__xludf.DUMMYFUNCTION("""COMPUTED_VALUE"""),1435145.0)</f>
        <v>1435145</v>
      </c>
      <c r="M193" s="227">
        <f>IFERROR(__xludf.DUMMYFUNCTION("""COMPUTED_VALUE"""),2.18141895E8)</f>
        <v>218141895</v>
      </c>
      <c r="N193" s="222" t="str">
        <f>IFERROR(__xludf.DUMMYFUNCTION("""COMPUTED_VALUE"""),"PT GARINDO TECHNO MANDIRI")</f>
        <v>PT GARINDO TECHNO MANDIRI</v>
      </c>
      <c r="O193" s="222" t="str">
        <f>IFERROR(__xludf.DUMMYFUNCTION("""COMPUTED_VALUE"""),"7. GOLIVE")</f>
        <v>7. GOLIVE</v>
      </c>
      <c r="P193" s="222" t="str">
        <f>IFERROR(__xludf.DUMMYFUNCTION("""COMPUTED_VALUE"""),"7.2 Golive Full / OA / DONE OTB")</f>
        <v>7.2 Golive Full / OA / DONE OTB</v>
      </c>
      <c r="Q193" s="222" t="str">
        <f>IFERROR(__xludf.DUMMYFUNCTION("""COMPUTED_VALUE"""),"(21/01) GOLIVE, tgl 19/01/026, 12/01 selesai fisik, menunggu golive, 25/11 OGP pasang ODC, (22/11) pembanngun odc terhalang pemilik lahan (20/11 menunggu pembangunan ODC, 17/11 menunggu pembangunan ODC, (08/11) COMCASE DEAL 7JT DAN SUDAH BAYAR (07/11) TIA"&amp;"NG 62 DONE , KABEL FEEDER BLM TARIK (3/11)pemasanagan ODP 4/19  13/10 TANAM TIANG 39 DARI 62 (08/10) progres tanam tiang
(01/10) proses pengiriman material
(19/09) menunggu konfirm dri ED karena nilai CPP naik
(10/09) HOLD, secara desaian sdh sesuai, butu"&amp;"h roolback Boq di IHLD")</f>
        <v>(21/01) GOLIVE, tgl 19/01/026, 12/01 selesai fisik, menunggu golive, 25/11 OGP pasang ODC, (22/11) pembanngun odc terhalang pemilik lahan (20/11 menunggu pembangunan ODC, 17/11 menunggu pembangunan ODC, (08/11) COMCASE DEAL 7JT DAN SUDAH BAYAR (07/11) TIANG 62 DONE , KABEL FEEDER BLM TARIK (3/11)pemasanagan ODP 4/19  13/10 TANAM TIANG 39 DARI 62 (08/10) progres tanam tiang
(01/10) proses pengiriman material
(19/09) menunggu konfirm dri ED karena nilai CPP naik
(10/09) HOLD, secara desaian sdh sesuai, butuh roolback Boq di IHLD</v>
      </c>
      <c r="R193" s="228"/>
      <c r="S193" s="11"/>
      <c r="T193" s="11"/>
      <c r="U193" s="11"/>
      <c r="V193" s="229" t="str">
        <f>IFERROR(__xludf.DUMMYFUNCTION("""COMPUTED_VALUE"""),"TANTOWI")</f>
        <v>TANTOWI</v>
      </c>
      <c r="W193" s="229"/>
      <c r="X193" s="229" t="str">
        <f>IFERROR(__xludf.DUMMYFUNCTION("""COMPUTED_VALUE"""),"GOLIVE")</f>
        <v>GOLIVE</v>
      </c>
      <c r="Y193" s="229" t="str">
        <f>IFERROR(__xludf.DUMMYFUNCTION("""COMPUTED_VALUE"""),"DONE")</f>
        <v>DONE</v>
      </c>
      <c r="Z193" s="229" t="str">
        <f>IFERROR(__xludf.DUMMYFUNCTION("""COMPUTED_VALUE"""),"#N/A")</f>
        <v>#N/A</v>
      </c>
      <c r="AA193" s="229">
        <f>IFERROR(__xludf.DUMMYFUNCTION("""COMPUTED_VALUE"""),19.0)</f>
        <v>19</v>
      </c>
      <c r="AB193" s="229"/>
      <c r="AC193" s="229" t="str">
        <f>IFERROR(__xludf.DUMMYFUNCTION("""COMPUTED_VALUE"""),"8267845#8267850")</f>
        <v>8267845#8267850</v>
      </c>
      <c r="AD193" s="232">
        <f>IFERROR(__xludf.DUMMYFUNCTION("""COMPUTED_VALUE"""),152.0)</f>
        <v>152</v>
      </c>
      <c r="AE193" s="233">
        <f>IFERROR(__xludf.DUMMYFUNCTION("""COMPUTED_VALUE"""),46036.0)</f>
        <v>46036</v>
      </c>
      <c r="AF193" s="54"/>
      <c r="AG193" s="54"/>
      <c r="AH193" s="54"/>
      <c r="AI193" s="55" t="str">
        <f t="shared" si="36"/>
        <v/>
      </c>
      <c r="AW193" s="234"/>
      <c r="BP193" s="11"/>
      <c r="BQ193" s="11"/>
      <c r="BR193" s="235"/>
      <c r="BV193" s="158"/>
      <c r="BY193" s="158"/>
      <c r="CB193" s="158"/>
    </row>
    <row r="194" ht="18.0" hidden="1" customHeight="1">
      <c r="A194" s="222">
        <f>IFERROR(__xludf.DUMMYFUNCTION("""COMPUTED_VALUE"""),2026.0)</f>
        <v>2026</v>
      </c>
      <c r="B194" s="221">
        <f>IFERROR(__xludf.DUMMYFUNCTION("""COMPUTED_VALUE"""),1.1237174E7)</f>
        <v>11237174</v>
      </c>
      <c r="C194" s="222" t="str">
        <f>IFERROR(__xludf.DUMMYFUNCTION("""COMPUTED_VALUE"""),"MDN PT3 P7I13 DLT-FAA JL.KEBUN PISANG")</f>
        <v>MDN PT3 P7I13 DLT-FAA JL.KEBUN PISANG</v>
      </c>
      <c r="D194" s="222" t="str">
        <f>IFERROR(__xludf.DUMMYFUNCTION("""COMPUTED_VALUE"""),"REGIONAL I")</f>
        <v>REGIONAL I</v>
      </c>
      <c r="E194" s="222" t="str">
        <f>IFERROR(__xludf.DUMMYFUNCTION("""COMPUTED_VALUE"""),"MEDAN")</f>
        <v>MEDAN</v>
      </c>
      <c r="F194" s="222" t="str">
        <f>IFERROR(__xludf.DUMMYFUNCTION("""COMPUTED_VALUE"""),"DLT")</f>
        <v>DLT</v>
      </c>
      <c r="G194" s="222" t="str">
        <f>IFERROR(__xludf.DUMMYFUNCTION("""COMPUTED_VALUE"""),"SUMBAGUT")</f>
        <v>SUMBAGUT</v>
      </c>
      <c r="H194" s="222" t="str">
        <f>IFERROR(__xludf.DUMMYFUNCTION("""COMPUTED_VALUE"""),"MEDAN")</f>
        <v>MEDAN</v>
      </c>
      <c r="I194" s="222" t="str">
        <f>IFERROR(__xludf.DUMMYFUNCTION("""COMPUTED_VALUE"""),"Batch 2")</f>
        <v>Batch 2</v>
      </c>
      <c r="J194" s="225">
        <f>IFERROR(__xludf.DUMMYFUNCTION("""COMPUTED_VALUE"""),4.0)</f>
        <v>4</v>
      </c>
      <c r="K194" s="224">
        <f>IFERROR(__xludf.DUMMYFUNCTION("""COMPUTED_VALUE"""),32.0)</f>
        <v>32</v>
      </c>
      <c r="L194" s="226">
        <f>IFERROR(__xludf.DUMMYFUNCTION("""COMPUTED_VALUE"""),987500.0)</f>
        <v>987500</v>
      </c>
      <c r="M194" s="227">
        <f>IFERROR(__xludf.DUMMYFUNCTION("""COMPUTED_VALUE"""),3.1599986E7)</f>
        <v>31599986</v>
      </c>
      <c r="N194" s="222" t="str">
        <f>IFERROR(__xludf.DUMMYFUNCTION("""COMPUTED_VALUE"""),"PT SALTTEK DUMPANG JAYA")</f>
        <v>PT SALTTEK DUMPANG JAYA</v>
      </c>
      <c r="O194" s="222" t="str">
        <f>IFERROR(__xludf.DUMMYFUNCTION("""COMPUTED_VALUE"""),"7. GOLIVE")</f>
        <v>7. GOLIVE</v>
      </c>
      <c r="P194" s="222" t="str">
        <f>IFERROR(__xludf.DUMMYFUNCTION("""COMPUTED_VALUE"""),"7.2 Golive Full / OA / DONE OTB")</f>
        <v>7.2 Golive Full / OA / DONE OTB</v>
      </c>
      <c r="Q194" s="222" t="str">
        <f>IFERROR(__xludf.DUMMYFUNCTION("""COMPUTED_VALUE"""),"02/03 komitmen ABD 06/03 03/02 penarikan KU dan tanam tiang 19/02 req material 11/02 Prelim Approved TIF 05/02 Kades minta comcase 8.5 jt")</f>
        <v>02/03 komitmen ABD 06/03 03/02 penarikan KU dan tanam tiang 19/02 req material 11/02 Prelim Approved TIF 05/02 Kades minta comcase 8.5 jt</v>
      </c>
      <c r="R194" s="228">
        <f>IFERROR(__xludf.DUMMYFUNCTION("""COMPUTED_VALUE"""),46088.0)</f>
        <v>46088</v>
      </c>
      <c r="S194" s="11" t="str">
        <f>IFERROR(__xludf.DUMMYFUNCTION("""COMPUTED_VALUE"""),"MAR")</f>
        <v>MAR</v>
      </c>
      <c r="T194" s="11"/>
      <c r="U194" s="11"/>
      <c r="V194" s="229"/>
      <c r="W194" s="229"/>
      <c r="X194" s="229" t="str">
        <f>IFERROR(__xludf.DUMMYFUNCTION("""COMPUTED_VALUE"""),"GOLIVE")</f>
        <v>GOLIVE</v>
      </c>
      <c r="Y194" s="229" t="str">
        <f>IFERROR(__xludf.DUMMYFUNCTION("""COMPUTED_VALUE"""),"DONE")</f>
        <v>DONE</v>
      </c>
      <c r="Z194" s="229" t="str">
        <f>IFERROR(__xludf.DUMMYFUNCTION("""COMPUTED_VALUE"""),"#N/A")</f>
        <v>#N/A</v>
      </c>
      <c r="AA194" s="229">
        <f>IFERROR(__xludf.DUMMYFUNCTION("""COMPUTED_VALUE"""),3.0)</f>
        <v>3</v>
      </c>
      <c r="AB194" s="229"/>
      <c r="AC194" s="229" t="str">
        <f>IFERROR(__xludf.DUMMYFUNCTION("""COMPUTED_VALUE"""),"9186651#9186656")</f>
        <v>9186651#9186656</v>
      </c>
      <c r="AD194" s="232">
        <f>IFERROR(__xludf.DUMMYFUNCTION("""COMPUTED_VALUE"""),24.0)</f>
        <v>24</v>
      </c>
      <c r="AE194" s="233">
        <f>IFERROR(__xludf.DUMMYFUNCTION("""COMPUTED_VALUE"""),46088.0)</f>
        <v>46088</v>
      </c>
      <c r="AF194" s="54"/>
      <c r="AG194" s="54"/>
      <c r="AH194" s="54">
        <v>46088.0</v>
      </c>
      <c r="AI194" s="55">
        <f t="shared" si="36"/>
        <v>0</v>
      </c>
      <c r="AW194" s="234"/>
      <c r="BP194" s="11"/>
      <c r="BQ194" s="11"/>
      <c r="BR194" s="235"/>
      <c r="BV194" s="158"/>
      <c r="BY194" s="158"/>
      <c r="CB194" s="158"/>
    </row>
    <row r="195" ht="18.0" hidden="1" customHeight="1">
      <c r="A195" s="222">
        <f>IFERROR(__xludf.DUMMYFUNCTION("""COMPUTED_VALUE"""),2026.0)</f>
        <v>2026</v>
      </c>
      <c r="B195" s="221">
        <f>IFERROR(__xludf.DUMMYFUNCTION("""COMPUTED_VALUE"""),1.1517617E7)</f>
        <v>11517617</v>
      </c>
      <c r="C195" s="222" t="str">
        <f>IFERROR(__xludf.DUMMYFUNCTION("""COMPUTED_VALUE"""),"ACH PT3 LBR-FAB D05 EMPEE TANONG")</f>
        <v>ACH PT3 LBR-FAB D05 EMPEE TANONG</v>
      </c>
      <c r="D195" s="222" t="str">
        <f>IFERROR(__xludf.DUMMYFUNCTION("""COMPUTED_VALUE"""),"REGIONAL I")</f>
        <v>REGIONAL I</v>
      </c>
      <c r="E195" s="222" t="str">
        <f>IFERROR(__xludf.DUMMYFUNCTION("""COMPUTED_VALUE"""),"ACEH")</f>
        <v>ACEH</v>
      </c>
      <c r="F195" s="222" t="str">
        <f>IFERROR(__xludf.DUMMYFUNCTION("""COMPUTED_VALUE"""),"LBR")</f>
        <v>LBR</v>
      </c>
      <c r="G195" s="222" t="str">
        <f>IFERROR(__xludf.DUMMYFUNCTION("""COMPUTED_VALUE"""),"SUMBAGUT")</f>
        <v>SUMBAGUT</v>
      </c>
      <c r="H195" s="222" t="str">
        <f>IFERROR(__xludf.DUMMYFUNCTION("""COMPUTED_VALUE"""),"BANDA ACEH")</f>
        <v>BANDA ACEH</v>
      </c>
      <c r="I195" s="222" t="str">
        <f>IFERROR(__xludf.DUMMYFUNCTION("""COMPUTED_VALUE"""),"Batch 2")</f>
        <v>Batch 2</v>
      </c>
      <c r="J195" s="225">
        <f>IFERROR(__xludf.DUMMYFUNCTION("""COMPUTED_VALUE"""),7.0)</f>
        <v>7</v>
      </c>
      <c r="K195" s="224">
        <f>IFERROR(__xludf.DUMMYFUNCTION("""COMPUTED_VALUE"""),56.0)</f>
        <v>56</v>
      </c>
      <c r="L195" s="226">
        <f>IFERROR(__xludf.DUMMYFUNCTION("""COMPUTED_VALUE"""),1433413.0)</f>
        <v>1433413</v>
      </c>
      <c r="M195" s="227">
        <f>IFERROR(__xludf.DUMMYFUNCTION("""COMPUTED_VALUE"""),8.0271106E7)</f>
        <v>80271106</v>
      </c>
      <c r="N195" s="222" t="str">
        <f>IFERROR(__xludf.DUMMYFUNCTION("""COMPUTED_VALUE"""),"PT TRIPOLA PANATA")</f>
        <v>PT TRIPOLA PANATA</v>
      </c>
      <c r="O195" s="222" t="str">
        <f>IFERROR(__xludf.DUMMYFUNCTION("""COMPUTED_VALUE"""),"7. GOLIVE")</f>
        <v>7. GOLIVE</v>
      </c>
      <c r="P195" s="222" t="str">
        <f>IFERROR(__xludf.DUMMYFUNCTION("""COMPUTED_VALUE"""),"7.2 Golive Full / OA / DONE OTB")</f>
        <v>7.2 Golive Full / OA / DONE OTB</v>
      </c>
      <c r="Q195" s="222" t="str">
        <f>IFERROR(__xludf.DUMMYFUNCTION("""COMPUTED_VALUE"""),"(03/03) pgl (02/03) Terminasi (27/02) Penarikan Kabel (24/02) Tanam Tiang (07/02) Proses Perizinan dgn Kepala Desa (30/01) done aanwizing (07/01) Persiapan")</f>
        <v>(03/03) pgl (02/03) Terminasi (27/02) Penarikan Kabel (24/02) Tanam Tiang (07/02) Proses Perizinan dgn Kepala Desa (30/01) done aanwizing (07/01) Persiapan</v>
      </c>
      <c r="R195" s="228">
        <f>IFERROR(__xludf.DUMMYFUNCTION("""COMPUTED_VALUE"""),46087.0)</f>
        <v>46087</v>
      </c>
      <c r="S195" s="11" t="str">
        <f>IFERROR(__xludf.DUMMYFUNCTION("""COMPUTED_VALUE"""),"MAR")</f>
        <v>MAR</v>
      </c>
      <c r="T195" s="11"/>
      <c r="U195" s="11"/>
      <c r="V195" s="229"/>
      <c r="W195" s="229"/>
      <c r="X195" s="229" t="str">
        <f>IFERROR(__xludf.DUMMYFUNCTION("""COMPUTED_VALUE"""),"GOLIVE")</f>
        <v>GOLIVE</v>
      </c>
      <c r="Y195" s="229" t="str">
        <f>IFERROR(__xludf.DUMMYFUNCTION("""COMPUTED_VALUE"""),"DONE")</f>
        <v>DONE</v>
      </c>
      <c r="Z195" s="229" t="str">
        <f>IFERROR(__xludf.DUMMYFUNCTION("""COMPUTED_VALUE"""),"#N/A")</f>
        <v>#N/A</v>
      </c>
      <c r="AA195" s="229">
        <f>IFERROR(__xludf.DUMMYFUNCTION("""COMPUTED_VALUE"""),7.0)</f>
        <v>7</v>
      </c>
      <c r="AB195" s="229"/>
      <c r="AC195" s="229" t="str">
        <f>IFERROR(__xludf.DUMMYFUNCTION("""COMPUTED_VALUE"""),"9170876#9170888")</f>
        <v>9170876#9170888</v>
      </c>
      <c r="AD195" s="232">
        <f>IFERROR(__xludf.DUMMYFUNCTION("""COMPUTED_VALUE"""),56.0)</f>
        <v>56</v>
      </c>
      <c r="AE195" s="233">
        <f>IFERROR(__xludf.DUMMYFUNCTION("""COMPUTED_VALUE"""),46087.0)</f>
        <v>46087</v>
      </c>
      <c r="AF195" s="54"/>
      <c r="AG195" s="54"/>
      <c r="AH195" s="54">
        <v>46087.0</v>
      </c>
      <c r="AI195" s="55">
        <f t="shared" si="36"/>
        <v>0</v>
      </c>
      <c r="AW195" s="234"/>
      <c r="BP195" s="11"/>
      <c r="BQ195" s="11"/>
      <c r="BR195" s="235"/>
      <c r="BV195" s="158"/>
      <c r="BY195" s="158"/>
      <c r="CB195" s="158"/>
    </row>
    <row r="196" ht="18.0" customHeight="1">
      <c r="A196" s="222">
        <f>IFERROR(__xludf.DUMMYFUNCTION("""COMPUTED_VALUE"""),2026.0)</f>
        <v>2026</v>
      </c>
      <c r="B196" s="221">
        <f>IFERROR(__xludf.DUMMYFUNCTION("""COMPUTED_VALUE"""),1.1086281E7)</f>
        <v>11086281</v>
      </c>
      <c r="C196" s="222" t="str">
        <f>IFERROR(__xludf.DUMMYFUNCTION("""COMPUTED_VALUE"""),"SMB P7I8 STTF PT3 M RASYAD S")</f>
        <v>SMB P7I8 STTF PT3 M RASYAD S</v>
      </c>
      <c r="D196" s="222" t="str">
        <f>IFERROR(__xludf.DUMMYFUNCTION("""COMPUTED_VALUE"""),"REGIONAL I")</f>
        <v>REGIONAL I</v>
      </c>
      <c r="E196" s="222" t="str">
        <f>IFERROR(__xludf.DUMMYFUNCTION("""COMPUTED_VALUE"""),"SUMBAR")</f>
        <v>SUMBAR</v>
      </c>
      <c r="F196" s="222" t="str">
        <f>IFERROR(__xludf.DUMMYFUNCTION("""COMPUTED_VALUE"""),"PDS")</f>
        <v>PDS</v>
      </c>
      <c r="G196" s="222" t="str">
        <f>IFERROR(__xludf.DUMMYFUNCTION("""COMPUTED_VALUE"""),"SUMBAGTENG")</f>
        <v>SUMBAGTENG</v>
      </c>
      <c r="H196" s="222" t="str">
        <f>IFERROR(__xludf.DUMMYFUNCTION("""COMPUTED_VALUE"""),"PADANG")</f>
        <v>PADANG</v>
      </c>
      <c r="I196" s="222" t="str">
        <f>IFERROR(__xludf.DUMMYFUNCTION("""COMPUTED_VALUE"""),"Batch 2")</f>
        <v>Batch 2</v>
      </c>
      <c r="J196" s="225">
        <f>IFERROR(__xludf.DUMMYFUNCTION("""COMPUTED_VALUE"""),1.0)</f>
        <v>1</v>
      </c>
      <c r="K196" s="224">
        <f>IFERROR(__xludf.DUMMYFUNCTION("""COMPUTED_VALUE"""),8.0)</f>
        <v>8</v>
      </c>
      <c r="L196" s="226">
        <f>IFERROR(__xludf.DUMMYFUNCTION("""COMPUTED_VALUE"""),1432928.0)</f>
        <v>1432928</v>
      </c>
      <c r="M196" s="227">
        <f>IFERROR(__xludf.DUMMYFUNCTION("""COMPUTED_VALUE"""),1.1463422E7)</f>
        <v>11463422</v>
      </c>
      <c r="N196" s="222" t="str">
        <f>IFERROR(__xludf.DUMMYFUNCTION("""COMPUTED_VALUE"""),"PT TANJUNG PUTRA PRIMA")</f>
        <v>PT TANJUNG PUTRA PRIMA</v>
      </c>
      <c r="O196" s="222" t="str">
        <f>IFERROR(__xludf.DUMMYFUNCTION("""COMPUTED_VALUE"""),"0. DROP")</f>
        <v>0. DROP</v>
      </c>
      <c r="P196" s="222" t="str">
        <f>IFERROR(__xludf.DUMMYFUNCTION("""COMPUTED_VALUE"""),"0.4 CPP Tinggi Acc ED TIF")</f>
        <v>0.4 CPP Tinggi Acc ED TIF</v>
      </c>
      <c r="Q196" s="222" t="str">
        <f>IFERROR(__xludf.DUMMYFUNCTION("""COMPUTED_VALUE"""),"3/3 Meeting ED1 - TAREGION - TA AREA DROP CPP Tinggi  (27/01) CPP 1,6, butuh tambah 1 odp (07/01) Persiapan")</f>
        <v>3/3 Meeting ED1 - TAREGION - TA AREA DROP CPP Tinggi  (27/01) CPP 1,6, butuh tambah 1 odp (07/01) Persiapan</v>
      </c>
      <c r="R196" s="228"/>
      <c r="S196" s="11"/>
      <c r="T196" s="11"/>
      <c r="U196" s="11"/>
      <c r="V196" s="229"/>
      <c r="W196" s="229"/>
      <c r="X196" s="229" t="str">
        <f>IFERROR(__xludf.DUMMYFUNCTION("""COMPUTED_VALUE"""),"BELUM GOLIVE")</f>
        <v>BELUM GOLIVE</v>
      </c>
      <c r="Y196" s="229"/>
      <c r="Z196" s="229" t="str">
        <f>IFERROR(__xludf.DUMMYFUNCTION("""COMPUTED_VALUE"""),"#N/A")</f>
        <v>#N/A</v>
      </c>
      <c r="AA196" s="229"/>
      <c r="AB196" s="229"/>
      <c r="AC196" s="229"/>
      <c r="AD196" s="232"/>
      <c r="AE196" s="233"/>
      <c r="AF196" s="54" t="str">
        <f>IFERROR(__xludf.DUMMYFUNCTION("""COMPUTED_VALUE"""),"Draft BA DROP")</f>
        <v>Draft BA DROP</v>
      </c>
      <c r="AG196" s="54"/>
      <c r="AH196" s="54"/>
      <c r="AI196" s="55" t="str">
        <f t="shared" si="36"/>
        <v/>
      </c>
      <c r="AW196" s="234"/>
      <c r="BP196" s="11"/>
      <c r="BQ196" s="11"/>
      <c r="BR196" s="235"/>
      <c r="BV196" s="158"/>
      <c r="BY196" s="158"/>
      <c r="CB196" s="158"/>
    </row>
    <row r="197" ht="18.0" customHeight="1">
      <c r="A197" s="222">
        <f>IFERROR(__xludf.DUMMYFUNCTION("""COMPUTED_VALUE"""),2026.0)</f>
        <v>2026</v>
      </c>
      <c r="B197" s="221">
        <f>IFERROR(__xludf.DUMMYFUNCTION("""COMPUTED_VALUE"""),1.1178937E7)</f>
        <v>11178937</v>
      </c>
      <c r="C197" s="222" t="str">
        <f>IFERROR(__xludf.DUMMYFUNCTION("""COMPUTED_VALUE"""),"SMB P1I1 Koto Laweh SLK")</f>
        <v>SMB P1I1 Koto Laweh SLK</v>
      </c>
      <c r="D197" s="222" t="str">
        <f>IFERROR(__xludf.DUMMYFUNCTION("""COMPUTED_VALUE"""),"REGIONAL I")</f>
        <v>REGIONAL I</v>
      </c>
      <c r="E197" s="222" t="str">
        <f>IFERROR(__xludf.DUMMYFUNCTION("""COMPUTED_VALUE"""),"SUMBAR")</f>
        <v>SUMBAR</v>
      </c>
      <c r="F197" s="222" t="str">
        <f>IFERROR(__xludf.DUMMYFUNCTION("""COMPUTED_VALUE"""),"SLK")</f>
        <v>SLK</v>
      </c>
      <c r="G197" s="222" t="str">
        <f>IFERROR(__xludf.DUMMYFUNCTION("""COMPUTED_VALUE"""),"SUMBAGTENG")</f>
        <v>SUMBAGTENG</v>
      </c>
      <c r="H197" s="222" t="str">
        <f>IFERROR(__xludf.DUMMYFUNCTION("""COMPUTED_VALUE"""),"PADANG")</f>
        <v>PADANG</v>
      </c>
      <c r="I197" s="222" t="str">
        <f>IFERROR(__xludf.DUMMYFUNCTION("""COMPUTED_VALUE"""),"Batch 2")</f>
        <v>Batch 2</v>
      </c>
      <c r="J197" s="225">
        <f>IFERROR(__xludf.DUMMYFUNCTION("""COMPUTED_VALUE"""),4.0)</f>
        <v>4</v>
      </c>
      <c r="K197" s="224">
        <f>IFERROR(__xludf.DUMMYFUNCTION("""COMPUTED_VALUE"""),32.0)</f>
        <v>32</v>
      </c>
      <c r="L197" s="226">
        <f>IFERROR(__xludf.DUMMYFUNCTION("""COMPUTED_VALUE"""),1432202.0)</f>
        <v>1432202</v>
      </c>
      <c r="M197" s="227">
        <f>IFERROR(__xludf.DUMMYFUNCTION("""COMPUTED_VALUE"""),4.5830463E7)</f>
        <v>45830463</v>
      </c>
      <c r="N197" s="222" t="str">
        <f>IFERROR(__xludf.DUMMYFUNCTION("""COMPUTED_VALUE"""),"PT TRI PENAMAS")</f>
        <v>PT TRI PENAMAS</v>
      </c>
      <c r="O197" s="222" t="str">
        <f>IFERROR(__xludf.DUMMYFUNCTION("""COMPUTED_VALUE"""),"0. DROP")</f>
        <v>0. DROP</v>
      </c>
      <c r="P197" s="222" t="str">
        <f>IFERROR(__xludf.DUMMYFUNCTION("""COMPUTED_VALUE"""),"0.3 Feeder Full")</f>
        <v>0.3 Feeder Full</v>
      </c>
      <c r="Q197" s="222" t="str">
        <f>IFERROR(__xludf.DUMMYFUNCTION("""COMPUTED_VALUE"""),"08/01 kendala feeder dan dist SLK-FK Full (07/01) Persiapan")</f>
        <v>08/01 kendala feeder dan dist SLK-FK Full (07/01) Persiapan</v>
      </c>
      <c r="R197" s="228"/>
      <c r="S197" s="11"/>
      <c r="T197" s="11"/>
      <c r="U197" s="11"/>
      <c r="V197" s="229"/>
      <c r="W197" s="229"/>
      <c r="X197" s="229" t="str">
        <f>IFERROR(__xludf.DUMMYFUNCTION("""COMPUTED_VALUE"""),"BELUM GOLIVE")</f>
        <v>BELUM GOLIVE</v>
      </c>
      <c r="Y197" s="229"/>
      <c r="Z197" s="229" t="str">
        <f>IFERROR(__xludf.DUMMYFUNCTION("""COMPUTED_VALUE"""),"#N/A")</f>
        <v>#N/A</v>
      </c>
      <c r="AA197" s="229"/>
      <c r="AB197" s="229"/>
      <c r="AC197" s="229"/>
      <c r="AD197" s="232"/>
      <c r="AE197" s="233"/>
      <c r="AF197" s="54" t="str">
        <f>IFERROR(__xludf.DUMMYFUNCTION("""COMPUTED_VALUE"""),"Draft BA DROP")</f>
        <v>Draft BA DROP</v>
      </c>
      <c r="AG197" s="54"/>
      <c r="AH197" s="54"/>
      <c r="AI197" s="55" t="str">
        <f t="shared" si="36"/>
        <v/>
      </c>
      <c r="AW197" s="234"/>
      <c r="BP197" s="11"/>
      <c r="BQ197" s="11"/>
      <c r="BR197" s="235"/>
      <c r="BV197" s="158"/>
      <c r="BY197" s="158"/>
      <c r="CB197" s="158"/>
    </row>
    <row r="198" ht="18.0" hidden="1" customHeight="1">
      <c r="A198" s="222">
        <f>IFERROR(__xludf.DUMMYFUNCTION("""COMPUTED_VALUE"""),2026.0)</f>
        <v>2026</v>
      </c>
      <c r="B198" s="221">
        <f>IFERROR(__xludf.DUMMYFUNCTION("""COMPUTED_VALUE"""),1.1382957E7)</f>
        <v>11382957</v>
      </c>
      <c r="C198" s="222" t="str">
        <f>IFERROR(__xludf.DUMMYFUNCTION("""COMPUTED_VALUE"""),"MDN PT3 BJI-FAE JL.KEMUNING 1")</f>
        <v>MDN PT3 BJI-FAE JL.KEMUNING 1</v>
      </c>
      <c r="D198" s="222" t="str">
        <f>IFERROR(__xludf.DUMMYFUNCTION("""COMPUTED_VALUE"""),"REGIONAL I")</f>
        <v>REGIONAL I</v>
      </c>
      <c r="E198" s="222" t="str">
        <f>IFERROR(__xludf.DUMMYFUNCTION("""COMPUTED_VALUE"""),"MEDAN")</f>
        <v>MEDAN</v>
      </c>
      <c r="F198" s="222" t="str">
        <f>IFERROR(__xludf.DUMMYFUNCTION("""COMPUTED_VALUE"""),"BJI")</f>
        <v>BJI</v>
      </c>
      <c r="G198" s="222" t="str">
        <f>IFERROR(__xludf.DUMMYFUNCTION("""COMPUTED_VALUE"""),"SUMBAGUT")</f>
        <v>SUMBAGUT</v>
      </c>
      <c r="H198" s="222" t="str">
        <f>IFERROR(__xludf.DUMMYFUNCTION("""COMPUTED_VALUE"""),"BINJAI")</f>
        <v>BINJAI</v>
      </c>
      <c r="I198" s="222" t="str">
        <f>IFERROR(__xludf.DUMMYFUNCTION("""COMPUTED_VALUE"""),"Batch 2")</f>
        <v>Batch 2</v>
      </c>
      <c r="J198" s="225">
        <f>IFERROR(__xludf.DUMMYFUNCTION("""COMPUTED_VALUE"""),14.0)</f>
        <v>14</v>
      </c>
      <c r="K198" s="224">
        <f>IFERROR(__xludf.DUMMYFUNCTION("""COMPUTED_VALUE"""),112.0)</f>
        <v>112</v>
      </c>
      <c r="L198" s="226">
        <f>IFERROR(__xludf.DUMMYFUNCTION("""COMPUTED_VALUE"""),681876.0)</f>
        <v>681876</v>
      </c>
      <c r="M198" s="227">
        <f>IFERROR(__xludf.DUMMYFUNCTION("""COMPUTED_VALUE"""),7.6370067E7)</f>
        <v>76370067</v>
      </c>
      <c r="N198" s="222" t="str">
        <f>IFERROR(__xludf.DUMMYFUNCTION("""COMPUTED_VALUE"""),"PT FIBERHOME TECHNOLOGIES INDONESIA")</f>
        <v>PT FIBERHOME TECHNOLOGIES INDONESIA</v>
      </c>
      <c r="O198" s="222" t="str">
        <f>IFERROR(__xludf.DUMMYFUNCTION("""COMPUTED_VALUE"""),"7. GOLIVE")</f>
        <v>7. GOLIVE</v>
      </c>
      <c r="P198" s="222" t="str">
        <f>IFERROR(__xludf.DUMMYFUNCTION("""COMPUTED_VALUE"""),"7.2 Golive Full / OA / DONE OTB")</f>
        <v>7.2 Golive Full / OA / DONE OTB</v>
      </c>
      <c r="Q198" s="222" t="str">
        <f>IFERROR(__xludf.DUMMYFUNCTION("""COMPUTED_VALUE"""),"09/04 menunggu abd (11/02) implementasi (07/01) Persiapan")</f>
        <v>09/04 menunggu abd (11/02) implementasi (07/01) Persiapan</v>
      </c>
      <c r="R198" s="228">
        <f>IFERROR(__xludf.DUMMYFUNCTION("""COMPUTED_VALUE"""),46122.0)</f>
        <v>46122</v>
      </c>
      <c r="S198" s="11"/>
      <c r="T198" s="73"/>
      <c r="U198" s="11"/>
      <c r="V198" s="229"/>
      <c r="W198" s="229" t="str">
        <f>IFERROR(__xludf.DUMMYFUNCTION("""COMPUTED_VALUE"""),"#N/A")</f>
        <v>#N/A</v>
      </c>
      <c r="X198" s="229" t="str">
        <f>IFERROR(__xludf.DUMMYFUNCTION("""COMPUTED_VALUE"""),"GOLIVE")</f>
        <v>GOLIVE</v>
      </c>
      <c r="Y198" s="229" t="str">
        <f>IFERROR(__xludf.DUMMYFUNCTION("""COMPUTED_VALUE"""),"DONE")</f>
        <v>DONE</v>
      </c>
      <c r="Z198" s="229" t="str">
        <f>IFERROR(__xludf.DUMMYFUNCTION("""COMPUTED_VALUE"""),"#N/A")</f>
        <v>#N/A</v>
      </c>
      <c r="AA198" s="229">
        <f>IFERROR(__xludf.DUMMYFUNCTION("""COMPUTED_VALUE"""),14.0)</f>
        <v>14</v>
      </c>
      <c r="AB198" s="229"/>
      <c r="AC198" s="229" t="str">
        <f>IFERROR(__xludf.DUMMYFUNCTION("""COMPUTED_VALUE"""),"9260361#9260366")</f>
        <v>9260361#9260366</v>
      </c>
      <c r="AD198" s="232">
        <f>IFERROR(__xludf.DUMMYFUNCTION("""COMPUTED_VALUE"""),112.0)</f>
        <v>112</v>
      </c>
      <c r="AE198" s="233">
        <f>IFERROR(__xludf.DUMMYFUNCTION("""COMPUTED_VALUE"""),46122.0)</f>
        <v>46122</v>
      </c>
      <c r="AF198" s="54"/>
      <c r="AG198" s="54"/>
      <c r="AH198" s="54">
        <v>46122.0</v>
      </c>
      <c r="AI198" s="55">
        <f t="shared" si="36"/>
        <v>0</v>
      </c>
      <c r="AW198" s="234"/>
      <c r="BP198" s="11"/>
      <c r="BQ198" s="11"/>
      <c r="BR198" s="235"/>
      <c r="BV198" s="158"/>
      <c r="BY198" s="158"/>
      <c r="CB198" s="158"/>
    </row>
    <row r="199" ht="18.0" hidden="1" customHeight="1">
      <c r="A199" s="222">
        <f>IFERROR(__xludf.DUMMYFUNCTION("""COMPUTED_VALUE"""),2026.0)</f>
        <v>2026</v>
      </c>
      <c r="B199" s="221">
        <f>IFERROR(__xludf.DUMMYFUNCTION("""COMPUTED_VALUE"""),1.1325461E7)</f>
        <v>11325461</v>
      </c>
      <c r="C199" s="222" t="str">
        <f>IFERROR(__xludf.DUMMYFUNCTION("""COMPUTED_VALUE"""),"MDN PT3 TJR-FK JL.BAMBU")</f>
        <v>MDN PT3 TJR-FK JL.BAMBU</v>
      </c>
      <c r="D199" s="222" t="str">
        <f>IFERROR(__xludf.DUMMYFUNCTION("""COMPUTED_VALUE"""),"REGIONAL I")</f>
        <v>REGIONAL I</v>
      </c>
      <c r="E199" s="222" t="str">
        <f>IFERROR(__xludf.DUMMYFUNCTION("""COMPUTED_VALUE"""),"MEDAN")</f>
        <v>MEDAN</v>
      </c>
      <c r="F199" s="222" t="str">
        <f>IFERROR(__xludf.DUMMYFUNCTION("""COMPUTED_VALUE"""),"TJR")</f>
        <v>TJR</v>
      </c>
      <c r="G199" s="222" t="str">
        <f>IFERROR(__xludf.DUMMYFUNCTION("""COMPUTED_VALUE"""),"SUMBAGUT")</f>
        <v>SUMBAGUT</v>
      </c>
      <c r="H199" s="222" t="str">
        <f>IFERROR(__xludf.DUMMYFUNCTION("""COMPUTED_VALUE"""),"MEDAN")</f>
        <v>MEDAN</v>
      </c>
      <c r="I199" s="222" t="str">
        <f>IFERROR(__xludf.DUMMYFUNCTION("""COMPUTED_VALUE"""),"Batch 2")</f>
        <v>Batch 2</v>
      </c>
      <c r="J199" s="225">
        <f>IFERROR(__xludf.DUMMYFUNCTION("""COMPUTED_VALUE"""),3.0)</f>
        <v>3</v>
      </c>
      <c r="K199" s="224">
        <f>IFERROR(__xludf.DUMMYFUNCTION("""COMPUTED_VALUE"""),24.0)</f>
        <v>24</v>
      </c>
      <c r="L199" s="226">
        <f>IFERROR(__xludf.DUMMYFUNCTION("""COMPUTED_VALUE"""),880660.0)</f>
        <v>880660</v>
      </c>
      <c r="M199" s="227">
        <f>IFERROR(__xludf.DUMMYFUNCTION("""COMPUTED_VALUE"""),2.1135835E7)</f>
        <v>21135835</v>
      </c>
      <c r="N199" s="222" t="str">
        <f>IFERROR(__xludf.DUMMYFUNCTION("""COMPUTED_VALUE"""),"PT MEDCOM SOLUTION")</f>
        <v>PT MEDCOM SOLUTION</v>
      </c>
      <c r="O199" s="222" t="str">
        <f>IFERROR(__xludf.DUMMYFUNCTION("""COMPUTED_VALUE"""),"3. PERIZINAN")</f>
        <v>3. PERIZINAN</v>
      </c>
      <c r="P199" s="222" t="str">
        <f>IFERROR(__xludf.DUMMYFUNCTION("""COMPUTED_VALUE"""),"3.9 Izin Kades / Lurah / RTRW")</f>
        <v>3.9 Izin Kades / Lurah / RTRW</v>
      </c>
      <c r="Q199" s="222" t="str">
        <f>IFERROR(__xludf.DUMMYFUNCTION("""COMPUTED_VALUE"""),"21/04 OGP perizinan
08/04 D07 penuh/full
03/03 proses perizinan
(07/01) Persiapan")</f>
        <v>21/04 OGP perizinan
08/04 D07 penuh/full
03/03 proses perizinan
(07/01) Persiapan</v>
      </c>
      <c r="R199" s="228"/>
      <c r="S199" s="11"/>
      <c r="T199" s="73"/>
      <c r="U199" s="11"/>
      <c r="V199" s="229" t="str">
        <f>IFERROR(__xludf.DUMMYFUNCTION("""COMPUTED_VALUE"""),"28/Apr/2026")</f>
        <v>28/Apr/2026</v>
      </c>
      <c r="W199" s="229"/>
      <c r="X199" s="229" t="str">
        <f>IFERROR(__xludf.DUMMYFUNCTION("""COMPUTED_VALUE"""),"BELUM GOLIVE")</f>
        <v>BELUM GOLIVE</v>
      </c>
      <c r="Y199" s="229"/>
      <c r="Z199" s="229" t="str">
        <f>IFERROR(__xludf.DUMMYFUNCTION("""COMPUTED_VALUE"""),"#N/A")</f>
        <v>#N/A</v>
      </c>
      <c r="AA199" s="229"/>
      <c r="AB199" s="229"/>
      <c r="AC199" s="229"/>
      <c r="AD199" s="232"/>
      <c r="AE199" s="233"/>
      <c r="AF199" s="54"/>
      <c r="AG199" s="54"/>
      <c r="AH199" s="54"/>
      <c r="AI199" s="55" t="str">
        <f t="shared" si="36"/>
        <v/>
      </c>
      <c r="AW199" s="234"/>
      <c r="BP199" s="11"/>
      <c r="BQ199" s="11"/>
      <c r="BR199" s="235"/>
      <c r="BV199" s="158"/>
      <c r="BY199" s="158"/>
      <c r="CB199" s="158"/>
    </row>
    <row r="200" ht="18.0" customHeight="1">
      <c r="A200" s="222">
        <f>IFERROR(__xludf.DUMMYFUNCTION("""COMPUTED_VALUE"""),2026.0)</f>
        <v>2026</v>
      </c>
      <c r="B200" s="221">
        <f>IFERROR(__xludf.DUMMYFUNCTION("""COMPUTED_VALUE"""),1.1315054E7)</f>
        <v>11315054</v>
      </c>
      <c r="C200" s="222" t="str">
        <f>IFERROR(__xludf.DUMMYFUNCTION("""COMPUTED_VALUE"""),"RKP PT3 TSEL DBS-FA JL. JAMI SULTAN")</f>
        <v>RKP PT3 TSEL DBS-FA JL. JAMI SULTAN</v>
      </c>
      <c r="D200" s="222" t="str">
        <f>IFERROR(__xludf.DUMMYFUNCTION("""COMPUTED_VALUE"""),"REGIONAL I")</f>
        <v>REGIONAL I</v>
      </c>
      <c r="E200" s="222" t="str">
        <f>IFERROR(__xludf.DUMMYFUNCTION("""COMPUTED_VALUE"""),"RIKEP")</f>
        <v>RIKEP</v>
      </c>
      <c r="F200" s="222" t="str">
        <f>IFERROR(__xludf.DUMMYFUNCTION("""COMPUTED_VALUE"""),"DBS")</f>
        <v>DBS</v>
      </c>
      <c r="G200" s="222" t="str">
        <f>IFERROR(__xludf.DUMMYFUNCTION("""COMPUTED_VALUE"""),"SUMBAGTENG")</f>
        <v>SUMBAGTENG</v>
      </c>
      <c r="H200" s="222" t="str">
        <f>IFERROR(__xludf.DUMMYFUNCTION("""COMPUTED_VALUE"""),"BATAM")</f>
        <v>BATAM</v>
      </c>
      <c r="I200" s="222" t="str">
        <f>IFERROR(__xludf.DUMMYFUNCTION("""COMPUTED_VALUE"""),"Batch 2")</f>
        <v>Batch 2</v>
      </c>
      <c r="J200" s="225">
        <f>IFERROR(__xludf.DUMMYFUNCTION("""COMPUTED_VALUE"""),1.0)</f>
        <v>1</v>
      </c>
      <c r="K200" s="224">
        <f>IFERROR(__xludf.DUMMYFUNCTION("""COMPUTED_VALUE"""),8.0)</f>
        <v>8</v>
      </c>
      <c r="L200" s="226">
        <f>IFERROR(__xludf.DUMMYFUNCTION("""COMPUTED_VALUE"""),1429779.0)</f>
        <v>1429779</v>
      </c>
      <c r="M200" s="227">
        <f>IFERROR(__xludf.DUMMYFUNCTION("""COMPUTED_VALUE"""),1.1438232E7)</f>
        <v>11438232</v>
      </c>
      <c r="N200" s="222" t="str">
        <f>IFERROR(__xludf.DUMMYFUNCTION("""COMPUTED_VALUE"""),"SWAKELOLA")</f>
        <v>SWAKELOLA</v>
      </c>
      <c r="O200" s="222" t="str">
        <f>IFERROR(__xludf.DUMMYFUNCTION("""COMPUTED_VALUE"""),"4. MATDEL")</f>
        <v>4. MATDEL</v>
      </c>
      <c r="P200" s="222" t="str">
        <f>IFERROR(__xludf.DUMMYFUNCTION("""COMPUTED_VALUE"""),"4.3 Proses Kirim Mateial Kelokasi")</f>
        <v>4.3 Proses Kirim Mateial Kelokasi</v>
      </c>
      <c r="Q200" s="222" t="str">
        <f>IFERROR(__xludf.DUMMYFUNCTION("""COMPUTED_VALUE"""),"13/04 Tiang baru sampai WH TPI, tinggal Kabel ADSS masih menunggu bongkar muat di pelabuhan. 06/04 PO Kabel sudah sampai di WH Tanjung Pinang, untuk material tiang masih di pelabuhan, 3-4 hari lagi informasi sampai di gudang TPI. 30/03 Req done, menunggu "&amp;"PO material sampai ke WH Tanjung pinang dan di kirim ke Pulau dabo dan Pulau Lingga. 
05/03 Anwijzing OK, perizinan OK.  proses pembuatan BOQ KML Survey dan eval. 03/03 On Going survey ke pulau dabo singkep dan pulau lingga. 12/02 Lokasi di pulau outer li"&amp;"ngga dan dabo singkep. 09/02 wilsus masih blm sempat untuk survey di pulau. 22/01 Plan anwijzing mitra di pulau, tanggal 26 Jan 2026")</f>
        <v>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200" s="228"/>
      <c r="S200" s="11"/>
      <c r="T200" s="11"/>
      <c r="U200" s="11" t="str">
        <f>IFERROR(__xludf.DUMMYFUNCTION("""COMPUTED_VALUE"""),"W09-304/2026")</f>
        <v>W09-304/2026</v>
      </c>
      <c r="V200" s="229" t="str">
        <f>IFERROR(__xludf.DUMMYFUNCTION("""COMPUTED_VALUE"""),"DEDY IRAWAN")</f>
        <v>DEDY IRAWAN</v>
      </c>
      <c r="W200" s="229" t="str">
        <f>IFERROR(__xludf.DUMMYFUNCTION("""COMPUTED_VALUE"""),"LEVITA INDRIYANI")</f>
        <v>LEVITA INDRIYANI</v>
      </c>
      <c r="X200" s="229" t="str">
        <f>IFERROR(__xludf.DUMMYFUNCTION("""COMPUTED_VALUE"""),"BELUM GOLIVE")</f>
        <v>BELUM GOLIVE</v>
      </c>
      <c r="Y200" s="229"/>
      <c r="Z200" s="229" t="str">
        <f>IFERROR(__xludf.DUMMYFUNCTION("""COMPUTED_VALUE"""),"#N/A")</f>
        <v>#N/A</v>
      </c>
      <c r="AA200" s="229"/>
      <c r="AB200" s="229"/>
      <c r="AC200" s="229"/>
      <c r="AD200" s="232"/>
      <c r="AE200" s="233"/>
      <c r="AF200" s="54"/>
      <c r="AG200" s="54"/>
      <c r="AH200" s="54"/>
      <c r="AI200" s="55" t="str">
        <f t="shared" si="36"/>
        <v/>
      </c>
      <c r="AW200" s="234"/>
      <c r="BP200" s="11"/>
      <c r="BQ200" s="11"/>
      <c r="BR200" s="235"/>
      <c r="BV200" s="158"/>
      <c r="BY200" s="158"/>
      <c r="CB200" s="158"/>
    </row>
    <row r="201" ht="18.0" hidden="1" customHeight="1">
      <c r="A201" s="222">
        <f>IFERROR(__xludf.DUMMYFUNCTION("""COMPUTED_VALUE"""),2026.0)</f>
        <v>2026</v>
      </c>
      <c r="B201" s="221">
        <f>IFERROR(__xludf.DUMMYFUNCTION("""COMPUTED_VALUE"""),1.138946E7)</f>
        <v>11389460</v>
      </c>
      <c r="C201" s="222" t="str">
        <f>IFERROR(__xludf.DUMMYFUNCTION("""COMPUTED_VALUE"""),"MDN PT3 LBP-FQ DESA PEMATANG BIARA")</f>
        <v>MDN PT3 LBP-FQ DESA PEMATANG BIARA</v>
      </c>
      <c r="D201" s="222" t="str">
        <f>IFERROR(__xludf.DUMMYFUNCTION("""COMPUTED_VALUE"""),"REGIONAL I")</f>
        <v>REGIONAL I</v>
      </c>
      <c r="E201" s="222" t="str">
        <f>IFERROR(__xludf.DUMMYFUNCTION("""COMPUTED_VALUE"""),"MEDAN")</f>
        <v>MEDAN</v>
      </c>
      <c r="F201" s="222" t="str">
        <f>IFERROR(__xludf.DUMMYFUNCTION("""COMPUTED_VALUE"""),"LBP")</f>
        <v>LBP</v>
      </c>
      <c r="G201" s="222" t="str">
        <f>IFERROR(__xludf.DUMMYFUNCTION("""COMPUTED_VALUE"""),"SUMBAGUT")</f>
        <v>SUMBAGUT</v>
      </c>
      <c r="H201" s="222" t="str">
        <f>IFERROR(__xludf.DUMMYFUNCTION("""COMPUTED_VALUE"""),"MEDAN")</f>
        <v>MEDAN</v>
      </c>
      <c r="I201" s="222" t="str">
        <f>IFERROR(__xludf.DUMMYFUNCTION("""COMPUTED_VALUE"""),"Batch 2")</f>
        <v>Batch 2</v>
      </c>
      <c r="J201" s="225">
        <f>IFERROR(__xludf.DUMMYFUNCTION("""COMPUTED_VALUE"""),33.0)</f>
        <v>33</v>
      </c>
      <c r="K201" s="224">
        <f>IFERROR(__xludf.DUMMYFUNCTION("""COMPUTED_VALUE"""),264.0)</f>
        <v>264</v>
      </c>
      <c r="L201" s="226">
        <f>IFERROR(__xludf.DUMMYFUNCTION("""COMPUTED_VALUE"""),1690696.0)</f>
        <v>1690696</v>
      </c>
      <c r="M201" s="227">
        <f>IFERROR(__xludf.DUMMYFUNCTION("""COMPUTED_VALUE"""),4.46343599E8)</f>
        <v>446343599</v>
      </c>
      <c r="N201" s="222" t="str">
        <f>IFERROR(__xludf.DUMMYFUNCTION("""COMPUTED_VALUE"""),"PT BONGKAR SEJATI ANDALAN")</f>
        <v>PT BONGKAR SEJATI ANDALAN</v>
      </c>
      <c r="O201" s="222" t="str">
        <f>IFERROR(__xludf.DUMMYFUNCTION("""COMPUTED_VALUE"""),"0. DROP")</f>
        <v>0. DROP</v>
      </c>
      <c r="P201" s="222" t="str">
        <f>IFERROR(__xludf.DUMMYFUNCTION("""COMPUTED_VALUE"""),"0.4 CPP Tinggi Acc ED TIF")</f>
        <v>0.4 CPP Tinggi Acc ED TIF</v>
      </c>
      <c r="Q201" s="222" t="str">
        <f>IFERROR(__xludf.DUMMYFUNCTION("""COMPUTED_VALUE"""),"30/01 proses perizinan
(07/01) Persiapan")</f>
        <v>30/01 proses perizinan
(07/01) Persiapan</v>
      </c>
      <c r="R201" s="228"/>
      <c r="S201" s="11"/>
      <c r="T201" s="11"/>
      <c r="U201" s="11"/>
      <c r="V201" s="229"/>
      <c r="W201" s="229"/>
      <c r="X201" s="229" t="str">
        <f>IFERROR(__xludf.DUMMYFUNCTION("""COMPUTED_VALUE"""),"BELUM GOLIVE")</f>
        <v>BELUM GOLIVE</v>
      </c>
      <c r="Y201" s="229"/>
      <c r="Z201" s="229" t="str">
        <f>IFERROR(__xludf.DUMMYFUNCTION("""COMPUTED_VALUE"""),"#N/A")</f>
        <v>#N/A</v>
      </c>
      <c r="AA201" s="229"/>
      <c r="AB201" s="229"/>
      <c r="AC201" s="229"/>
      <c r="AD201" s="232"/>
      <c r="AE201" s="233"/>
      <c r="AF201" s="54" t="str">
        <f>IFERROR(__xludf.DUMMYFUNCTION("""COMPUTED_VALUE"""),"Draft BA DROP")</f>
        <v>Draft BA DROP</v>
      </c>
      <c r="AG201" s="54"/>
      <c r="AH201" s="54"/>
      <c r="AI201" s="55" t="str">
        <f t="shared" si="36"/>
        <v/>
      </c>
      <c r="AW201" s="234"/>
      <c r="BP201" s="11"/>
      <c r="BQ201" s="11"/>
      <c r="BR201" s="235"/>
      <c r="BV201" s="158"/>
      <c r="BY201" s="158"/>
      <c r="CB201" s="158"/>
    </row>
    <row r="202" ht="18.0" hidden="1" customHeight="1">
      <c r="A202" s="222">
        <f>IFERROR(__xludf.DUMMYFUNCTION("""COMPUTED_VALUE"""),2026.0)</f>
        <v>2026</v>
      </c>
      <c r="B202" s="221">
        <f>IFERROR(__xludf.DUMMYFUNCTION("""COMPUTED_VALUE"""),1.1862037E7)</f>
        <v>11862037</v>
      </c>
      <c r="C202" s="222" t="str">
        <f>IFERROR(__xludf.DUMMYFUNCTION("""COMPUTED_VALUE"""),"LPG PT4 JPP SIMPANG PROPAU CSF KBI")</f>
        <v>LPG PT4 JPP SIMPANG PROPAU CSF KBI</v>
      </c>
      <c r="D202" s="222" t="str">
        <f>IFERROR(__xludf.DUMMYFUNCTION("""COMPUTED_VALUE"""),"REGIONAL I")</f>
        <v>REGIONAL I</v>
      </c>
      <c r="E202" s="222" t="str">
        <f>IFERROR(__xludf.DUMMYFUNCTION("""COMPUTED_VALUE"""),"LAMPUNG")</f>
        <v>LAMPUNG</v>
      </c>
      <c r="F202" s="222" t="str">
        <f>IFERROR(__xludf.DUMMYFUNCTION("""COMPUTED_VALUE"""),"KBI")</f>
        <v>KBI</v>
      </c>
      <c r="G202" s="222" t="str">
        <f>IFERROR(__xludf.DUMMYFUNCTION("""COMPUTED_VALUE"""),"SUMBAGSEL")</f>
        <v>SUMBAGSEL</v>
      </c>
      <c r="H202" s="222" t="str">
        <f>IFERROR(__xludf.DUMMYFUNCTION("""COMPUTED_VALUE"""),"LAMPUNG")</f>
        <v>LAMPUNG</v>
      </c>
      <c r="I202" s="222" t="str">
        <f>IFERROR(__xludf.DUMMYFUNCTION("""COMPUTED_VALUE"""),"Batch 2")</f>
        <v>Batch 2</v>
      </c>
      <c r="J202" s="225">
        <f>IFERROR(__xludf.DUMMYFUNCTION("""COMPUTED_VALUE"""),50.0)</f>
        <v>50</v>
      </c>
      <c r="K202" s="224">
        <f>IFERROR(__xludf.DUMMYFUNCTION("""COMPUTED_VALUE"""),400.0)</f>
        <v>400</v>
      </c>
      <c r="L202" s="226">
        <f>IFERROR(__xludf.DUMMYFUNCTION("""COMPUTED_VALUE"""),1428819.0)</f>
        <v>1428819</v>
      </c>
      <c r="M202" s="227">
        <f>IFERROR(__xludf.DUMMYFUNCTION("""COMPUTED_VALUE"""),5.71527263E8)</f>
        <v>571527263</v>
      </c>
      <c r="N202" s="222" t="str">
        <f>IFERROR(__xludf.DUMMYFUNCTION("""COMPUTED_VALUE"""),"PT KOPRASI PILAR UTAMA")</f>
        <v>PT KOPRASI PILAR UTAMA</v>
      </c>
      <c r="O202" s="222" t="str">
        <f>IFERROR(__xludf.DUMMYFUNCTION("""COMPUTED_VALUE"""),"4. MATDEL")</f>
        <v>4. MATDEL</v>
      </c>
      <c r="P202" s="222" t="str">
        <f>IFERROR(__xludf.DUMMYFUNCTION("""COMPUTED_VALUE"""),"4.3 Proses Kirim Mateial Kelokasi")</f>
        <v>4.3 Proses Kirim Mateial Kelokasi</v>
      </c>
      <c r="Q202" s="222" t="str">
        <f>IFERROR(__xludf.DUMMYFUNCTION("""COMPUTED_VALUE"""),"22/4 plan matdel 24/4, 20/04 terkendala operasional dari mitra, plan matdel  April 24/4 Done PR PO, proses matdel - butuh new mini OLT 06/04 Proses PR PO baru selesai aandwizing pergantian mitra AUM 2/4 proses pengajuan PR/PO 
31/3 proses pengajuan PR/PO "&amp;"
25/3  Progres perizinan pararel Proses peralihan MITRA karena Mitra overload  5/3 Menunggu pr/po 
23/2 hold kendala OLT di status Terakhir  18/2 Konfirmasi ke tif 6/2 butuh penambahan modul  
30/1 butuh penambahan modul 
19/1 butuh penambahan mini OLT")</f>
        <v>22/4 plan matdel 24/4, 20/04 terkendala operasional dari mitra, plan matdel  April 24/4 Done PR PO, proses matdel - butuh new mini OLT 06/04 Proses PR PO baru selesai aandwizing pergantian mitra AUM 2/4 proses pengajuan PR/PO 
31/3 proses pengajuan PR/PO 
25/3  Progres perizinan pararel Proses peralihan MITRA karena Mitra overload  5/3 Menunggu pr/po 
23/2 hold kendala OLT di status Terakhir  18/2 Konfirmasi ke tif 6/2 butuh penambahan modul  
30/1 butuh penambahan modul 
19/1 butuh penambahan mini OLT</v>
      </c>
      <c r="R202" s="228"/>
      <c r="S202" s="11" t="str">
        <f>IFERROR(__xludf.DUMMYFUNCTION("""COMPUTED_VALUE"""),"MEI")</f>
        <v>MEI</v>
      </c>
      <c r="T202" s="11" t="str">
        <f>IFERROR(__xludf.DUMMYFUNCTION("""COMPUTED_VALUE"""),"P1")</f>
        <v>P1</v>
      </c>
      <c r="U202" s="11" t="str">
        <f>IFERROR(__xludf.DUMMYFUNCTION("""COMPUTED_VALUE"""),"TIF-6106/2026")</f>
        <v>TIF-6106/2026</v>
      </c>
      <c r="V202" s="229"/>
      <c r="W202" s="229"/>
      <c r="X202" s="229" t="str">
        <f>IFERROR(__xludf.DUMMYFUNCTION("""COMPUTED_VALUE"""),"BELUM GOLIVE")</f>
        <v>BELUM GOLIVE</v>
      </c>
      <c r="Y202" s="229" t="str">
        <f>IFERROR(__xludf.DUMMYFUNCTION("""COMPUTED_VALUE"""),"Mini OLT Not Ready")</f>
        <v>Mini OLT Not Ready</v>
      </c>
      <c r="Z202" s="229"/>
      <c r="AA202" s="229"/>
      <c r="AB202" s="229"/>
      <c r="AC202" s="229"/>
      <c r="AD202" s="232"/>
      <c r="AE202" s="233"/>
      <c r="AF202" s="54"/>
      <c r="AG202" s="54"/>
      <c r="AH202" s="54"/>
      <c r="AI202" s="55" t="str">
        <f t="shared" si="36"/>
        <v/>
      </c>
      <c r="AW202" s="234"/>
      <c r="BP202" s="11"/>
      <c r="BQ202" s="11"/>
      <c r="BR202" s="235"/>
      <c r="BV202" s="158"/>
      <c r="BY202" s="158"/>
      <c r="CB202" s="158"/>
    </row>
    <row r="203" ht="18.0" hidden="1" customHeight="1">
      <c r="A203" s="222">
        <f>IFERROR(__xludf.DUMMYFUNCTION("""COMPUTED_VALUE"""),2026.0)</f>
        <v>2026</v>
      </c>
      <c r="B203" s="221">
        <f>IFERROR(__xludf.DUMMYFUNCTION("""COMPUTED_VALUE"""),1.1511756E7)</f>
        <v>11511756</v>
      </c>
      <c r="C203" s="222" t="str">
        <f>IFERROR(__xludf.DUMMYFUNCTION("""COMPUTED_VALUE"""),"ACH PT4 BNN-FU MUTIARA TIMUR")</f>
        <v>ACH PT4 BNN-FU MUTIARA TIMUR</v>
      </c>
      <c r="D203" s="222" t="str">
        <f>IFERROR(__xludf.DUMMYFUNCTION("""COMPUTED_VALUE"""),"REGIONAL I")</f>
        <v>REGIONAL I</v>
      </c>
      <c r="E203" s="222" t="str">
        <f>IFERROR(__xludf.DUMMYFUNCTION("""COMPUTED_VALUE"""),"ACEH")</f>
        <v>ACEH</v>
      </c>
      <c r="F203" s="222" t="str">
        <f>IFERROR(__xludf.DUMMYFUNCTION("""COMPUTED_VALUE"""),"BNN")</f>
        <v>BNN</v>
      </c>
      <c r="G203" s="222" t="str">
        <f>IFERROR(__xludf.DUMMYFUNCTION("""COMPUTED_VALUE"""),"SUMBAGUT")</f>
        <v>SUMBAGUT</v>
      </c>
      <c r="H203" s="222" t="str">
        <f>IFERROR(__xludf.DUMMYFUNCTION("""COMPUTED_VALUE"""),"BANDA ACEH")</f>
        <v>BANDA ACEH</v>
      </c>
      <c r="I203" s="222" t="str">
        <f>IFERROR(__xludf.DUMMYFUNCTION("""COMPUTED_VALUE"""),"Batch 2")</f>
        <v>Batch 2</v>
      </c>
      <c r="J203" s="225">
        <f>IFERROR(__xludf.DUMMYFUNCTION("""COMPUTED_VALUE"""),24.0)</f>
        <v>24</v>
      </c>
      <c r="K203" s="224">
        <f>IFERROR(__xludf.DUMMYFUNCTION("""COMPUTED_VALUE"""),192.0)</f>
        <v>192</v>
      </c>
      <c r="L203" s="226">
        <f>IFERROR(__xludf.DUMMYFUNCTION("""COMPUTED_VALUE"""),1428132.0)</f>
        <v>1428132</v>
      </c>
      <c r="M203" s="227">
        <f>IFERROR(__xludf.DUMMYFUNCTION("""COMPUTED_VALUE"""),2.74201292E8)</f>
        <v>274201292</v>
      </c>
      <c r="N203" s="222" t="str">
        <f>IFERROR(__xludf.DUMMYFUNCTION("""COMPUTED_VALUE"""),"PT KANA PRISMA AKSES")</f>
        <v>PT KANA PRISMA AKSES</v>
      </c>
      <c r="O203" s="222" t="str">
        <f>IFERROR(__xludf.DUMMYFUNCTION("""COMPUTED_VALUE"""),"3. PERIZINAN")</f>
        <v>3. PERIZINAN</v>
      </c>
      <c r="P203" s="222" t="str">
        <f>IFERROR(__xludf.DUMMYFUNCTION("""COMPUTED_VALUE"""),"3.11 Pemilik lahan / warga")</f>
        <v>3.11 Pemilik lahan / warga</v>
      </c>
      <c r="Q203" s="222" t="str">
        <f>IFERROR(__xludf.DUMMYFUNCTION("""COMPUTED_VALUE"""),"(10/04) Proses Nego Lahan Sitac yg ke-3 (10/03) Proses Nego (03/03)perizinan sitaq (11/02) menunggu plan survey Sama tim tsel (06/01) proses aanwizing (07/01) Persiapan")</f>
        <v>(10/04) Proses Nego Lahan Sitac yg ke-3 (10/03) Proses Nego (03/03)perizinan sitaq (11/02) menunggu plan survey Sama tim tsel (06/01) proses aanwizing (07/01) Persiapan</v>
      </c>
      <c r="R203" s="228"/>
      <c r="S203" s="11"/>
      <c r="T203" s="11"/>
      <c r="U203" s="11"/>
      <c r="V203" s="229"/>
      <c r="W203" s="229"/>
      <c r="X203" s="229" t="str">
        <f>IFERROR(__xludf.DUMMYFUNCTION("""COMPUTED_VALUE"""),"BELUM GOLIVE")</f>
        <v>BELUM GOLIVE</v>
      </c>
      <c r="Y203" s="229"/>
      <c r="Z203" s="229" t="str">
        <f>IFERROR(__xludf.DUMMYFUNCTION("""COMPUTED_VALUE"""),"#N/A")</f>
        <v>#N/A</v>
      </c>
      <c r="AA203" s="229"/>
      <c r="AB203" s="229"/>
      <c r="AC203" s="229"/>
      <c r="AD203" s="232"/>
      <c r="AE203" s="233"/>
      <c r="AF203" s="54"/>
      <c r="AG203" s="54"/>
      <c r="AH203" s="54"/>
      <c r="AI203" s="55" t="str">
        <f t="shared" si="36"/>
        <v/>
      </c>
      <c r="AW203" s="234"/>
      <c r="BP203" s="11"/>
      <c r="BQ203" s="11"/>
      <c r="BR203" s="235"/>
      <c r="BV203" s="158"/>
      <c r="BY203" s="158"/>
      <c r="CB203" s="158"/>
    </row>
    <row r="204" ht="18.0" hidden="1" customHeight="1">
      <c r="A204" s="222">
        <f>IFERROR(__xludf.DUMMYFUNCTION("""COMPUTED_VALUE"""),2026.0)</f>
        <v>2026</v>
      </c>
      <c r="B204" s="221">
        <f>IFERROR(__xludf.DUMMYFUNCTION("""COMPUTED_VALUE"""),1.1365662E7)</f>
        <v>11365662</v>
      </c>
      <c r="C204" s="222" t="str">
        <f>IFERROR(__xludf.DUMMYFUNCTION("""COMPUTED_VALUE"""),"MDN PT3 PUB-FCB BINTANG METRO RESIDANCE2")</f>
        <v>MDN PT3 PUB-FCB BINTANG METRO RESIDANCE2</v>
      </c>
      <c r="D204" s="222" t="str">
        <f>IFERROR(__xludf.DUMMYFUNCTION("""COMPUTED_VALUE"""),"REGIONAL I")</f>
        <v>REGIONAL I</v>
      </c>
      <c r="E204" s="222" t="str">
        <f>IFERROR(__xludf.DUMMYFUNCTION("""COMPUTED_VALUE"""),"MEDAN")</f>
        <v>MEDAN</v>
      </c>
      <c r="F204" s="222" t="str">
        <f>IFERROR(__xludf.DUMMYFUNCTION("""COMPUTED_VALUE"""),"PUB")</f>
        <v>PUB</v>
      </c>
      <c r="G204" s="222" t="str">
        <f>IFERROR(__xludf.DUMMYFUNCTION("""COMPUTED_VALUE"""),"SUMBAGUT")</f>
        <v>SUMBAGUT</v>
      </c>
      <c r="H204" s="222" t="str">
        <f>IFERROR(__xludf.DUMMYFUNCTION("""COMPUTED_VALUE"""),"MEDAN")</f>
        <v>MEDAN</v>
      </c>
      <c r="I204" s="222" t="str">
        <f>IFERROR(__xludf.DUMMYFUNCTION("""COMPUTED_VALUE"""),"Batch 2")</f>
        <v>Batch 2</v>
      </c>
      <c r="J204" s="225">
        <f>IFERROR(__xludf.DUMMYFUNCTION("""COMPUTED_VALUE"""),2.0)</f>
        <v>2</v>
      </c>
      <c r="K204" s="224">
        <f>IFERROR(__xludf.DUMMYFUNCTION("""COMPUTED_VALUE"""),16.0)</f>
        <v>16</v>
      </c>
      <c r="L204" s="226">
        <f>IFERROR(__xludf.DUMMYFUNCTION("""COMPUTED_VALUE"""),1093538.0)</f>
        <v>1093538</v>
      </c>
      <c r="M204" s="227">
        <f>IFERROR(__xludf.DUMMYFUNCTION("""COMPUTED_VALUE"""),1.7496607E7)</f>
        <v>17496607</v>
      </c>
      <c r="N204" s="222" t="str">
        <f>IFERROR(__xludf.DUMMYFUNCTION("""COMPUTED_VALUE"""),"PT BENWA  MITRA PRATAMA")</f>
        <v>PT BENWA  MITRA PRATAMA</v>
      </c>
      <c r="O204" s="222" t="str">
        <f>IFERROR(__xludf.DUMMYFUNCTION("""COMPUTED_VALUE"""),"0. DROP")</f>
        <v>0. DROP</v>
      </c>
      <c r="P204" s="222" t="str">
        <f>IFERROR(__xludf.DUMMYFUNCTION("""COMPUTED_VALUE"""),"0.3 Feeder Full")</f>
        <v>0.3 Feeder Full</v>
      </c>
      <c r="Q204" s="222" t="str">
        <f>IFERROR(__xludf.DUMMYFUNCTION("""COMPUTED_VALUE"""),"11/11 Feeder Penuh , Perlu Redesign
(24/09) Perizinan Warga dan Kades / Lurah
(23/09) Perizinan Warga dan Kades / Lurah
15/09 proses aanwijzing")</f>
        <v>11/11 Feeder Penuh , Perlu Redesign
(24/09) Perizinan Warga dan Kades / Lurah
(23/09) Perizinan Warga dan Kades / Lurah
15/09 proses aanwijzing</v>
      </c>
      <c r="R204" s="228"/>
      <c r="S204" s="11"/>
      <c r="T204" s="11"/>
      <c r="U204" s="11"/>
      <c r="V204" s="229"/>
      <c r="W204" s="229"/>
      <c r="X204" s="229" t="str">
        <f>IFERROR(__xludf.DUMMYFUNCTION("""COMPUTED_VALUE"""),"BELUM GOLIVE")</f>
        <v>BELUM GOLIVE</v>
      </c>
      <c r="Y204" s="229"/>
      <c r="Z204" s="229" t="str">
        <f>IFERROR(__xludf.DUMMYFUNCTION("""COMPUTED_VALUE"""),"#N/A")</f>
        <v>#N/A</v>
      </c>
      <c r="AA204" s="229"/>
      <c r="AB204" s="229"/>
      <c r="AC204" s="229"/>
      <c r="AD204" s="232"/>
      <c r="AE204" s="233"/>
      <c r="AF204" s="54"/>
      <c r="AG204" s="54"/>
      <c r="AH204" s="54"/>
      <c r="AI204" s="55" t="str">
        <f t="shared" si="36"/>
        <v/>
      </c>
      <c r="AW204" s="234"/>
      <c r="BP204" s="11"/>
      <c r="BQ204" s="11"/>
      <c r="BR204" s="235"/>
      <c r="BV204" s="158"/>
      <c r="BY204" s="158"/>
      <c r="CB204" s="158"/>
    </row>
    <row r="205" ht="18.0" hidden="1" customHeight="1">
      <c r="A205" s="222">
        <f>IFERROR(__xludf.DUMMYFUNCTION("""COMPUTED_VALUE"""),2026.0)</f>
        <v>2026</v>
      </c>
      <c r="B205" s="221">
        <f>IFERROR(__xludf.DUMMYFUNCTION("""COMPUTED_VALUE"""),1.1491514E7)</f>
        <v>11491514</v>
      </c>
      <c r="C205" s="222" t="str">
        <f>IFERROR(__xludf.DUMMYFUNCTION("""COMPUTED_VALUE"""),"BNK-PT3-BNC-JPPTSEL- LINGKAR BARAT")</f>
        <v>BNK-PT3-BNC-JPPTSEL- LINGKAR BARAT</v>
      </c>
      <c r="D205" s="222" t="str">
        <f>IFERROR(__xludf.DUMMYFUNCTION("""COMPUTED_VALUE"""),"REGIONAL I")</f>
        <v>REGIONAL I</v>
      </c>
      <c r="E205" s="222" t="str">
        <f>IFERROR(__xludf.DUMMYFUNCTION("""COMPUTED_VALUE"""),"BENGKULU")</f>
        <v>BENGKULU</v>
      </c>
      <c r="F205" s="222" t="str">
        <f>IFERROR(__xludf.DUMMYFUNCTION("""COMPUTED_VALUE"""),"PDW")</f>
        <v>PDW</v>
      </c>
      <c r="G205" s="222" t="str">
        <f>IFERROR(__xludf.DUMMYFUNCTION("""COMPUTED_VALUE"""),"SUMBAGSEL")</f>
        <v>SUMBAGSEL</v>
      </c>
      <c r="H205" s="222" t="str">
        <f>IFERROR(__xludf.DUMMYFUNCTION("""COMPUTED_VALUE"""),"BENGKULU")</f>
        <v>BENGKULU</v>
      </c>
      <c r="I205" s="222" t="str">
        <f>IFERROR(__xludf.DUMMYFUNCTION("""COMPUTED_VALUE"""),"Batch 2")</f>
        <v>Batch 2</v>
      </c>
      <c r="J205" s="225">
        <f>IFERROR(__xludf.DUMMYFUNCTION("""COMPUTED_VALUE"""),10.0)</f>
        <v>10</v>
      </c>
      <c r="K205" s="224">
        <f>IFERROR(__xludf.DUMMYFUNCTION("""COMPUTED_VALUE"""),80.0)</f>
        <v>80</v>
      </c>
      <c r="L205" s="226">
        <f>IFERROR(__xludf.DUMMYFUNCTION("""COMPUTED_VALUE"""),1427713.0)</f>
        <v>1427713</v>
      </c>
      <c r="M205" s="227">
        <f>IFERROR(__xludf.DUMMYFUNCTION("""COMPUTED_VALUE"""),1.14217007E8)</f>
        <v>114217007</v>
      </c>
      <c r="N205" s="222" t="str">
        <f>IFERROR(__xludf.DUMMYFUNCTION("""COMPUTED_VALUE"""),"PT TELAGA RESTU ABADI")</f>
        <v>PT TELAGA RESTU ABADI</v>
      </c>
      <c r="O205" s="222" t="str">
        <f>IFERROR(__xludf.DUMMYFUNCTION("""COMPUTED_VALUE"""),"0. DROP")</f>
        <v>0. DROP</v>
      </c>
      <c r="P205" s="222" t="str">
        <f>IFERROR(__xludf.DUMMYFUNCTION("""COMPUTED_VALUE"""),"0.2 Tidak Dapat Izin Warga/Kades/Lurah/Developer")</f>
        <v>0.2 Tidak Dapat Izin Warga/Kades/Lurah/Developer</v>
      </c>
      <c r="Q205" s="222" t="str">
        <f>IFERROR(__xludf.DUMMYFUNCTION("""COMPUTED_VALUE"""),"22/2 tidak mendapat IZIN 23/01 : Drop TSEL")</f>
        <v>22/2 tidak mendapat IZIN 23/01 : Drop TSEL</v>
      </c>
      <c r="R205" s="228"/>
      <c r="S205" s="11"/>
      <c r="T205" s="11"/>
      <c r="U205" s="11"/>
      <c r="V205" s="229"/>
      <c r="W205" s="229"/>
      <c r="X205" s="229" t="str">
        <f>IFERROR(__xludf.DUMMYFUNCTION("""COMPUTED_VALUE"""),"BELUM GOLIVE")</f>
        <v>BELUM GOLIVE</v>
      </c>
      <c r="Y205" s="229"/>
      <c r="Z205" s="229" t="str">
        <f>IFERROR(__xludf.DUMMYFUNCTION("""COMPUTED_VALUE"""),"#N/A")</f>
        <v>#N/A</v>
      </c>
      <c r="AA205" s="229"/>
      <c r="AB205" s="229"/>
      <c r="AC205" s="229"/>
      <c r="AD205" s="232"/>
      <c r="AE205" s="233"/>
      <c r="AF205" s="54" t="str">
        <f>IFERROR(__xludf.DUMMYFUNCTION("""COMPUTED_VALUE"""),"Draft BA DROP")</f>
        <v>Draft BA DROP</v>
      </c>
      <c r="AG205" s="54"/>
      <c r="AH205" s="54"/>
      <c r="AI205" s="55" t="str">
        <f t="shared" si="36"/>
        <v/>
      </c>
      <c r="AW205" s="234"/>
      <c r="BP205" s="11"/>
      <c r="BQ205" s="11"/>
      <c r="BR205" s="235"/>
      <c r="BV205" s="158"/>
      <c r="BY205" s="158"/>
      <c r="CB205" s="158"/>
    </row>
    <row r="206" ht="18.0" customHeight="1">
      <c r="A206" s="222">
        <f>IFERROR(__xludf.DUMMYFUNCTION("""COMPUTED_VALUE"""),2026.0)</f>
        <v>2026</v>
      </c>
      <c r="B206" s="221">
        <f>IFERROR(__xludf.DUMMYFUNCTION("""COMPUTED_VALUE"""),1.1513872E7)</f>
        <v>11513872</v>
      </c>
      <c r="C206" s="222" t="str">
        <f>IFERROR(__xludf.DUMMYFUNCTION("""COMPUTED_VALUE"""),"SMB P3I1 Jalan Pasir Jambak")</f>
        <v>SMB P3I1 Jalan Pasir Jambak</v>
      </c>
      <c r="D206" s="222" t="str">
        <f>IFERROR(__xludf.DUMMYFUNCTION("""COMPUTED_VALUE"""),"REGIONAL I")</f>
        <v>REGIONAL I</v>
      </c>
      <c r="E206" s="222" t="str">
        <f>IFERROR(__xludf.DUMMYFUNCTION("""COMPUTED_VALUE"""),"SUMBAR")</f>
        <v>SUMBAR</v>
      </c>
      <c r="F206" s="222" t="str">
        <f>IFERROR(__xludf.DUMMYFUNCTION("""COMPUTED_VALUE"""),"LBY")</f>
        <v>LBY</v>
      </c>
      <c r="G206" s="222" t="str">
        <f>IFERROR(__xludf.DUMMYFUNCTION("""COMPUTED_VALUE"""),"SUMBAGTENG")</f>
        <v>SUMBAGTENG</v>
      </c>
      <c r="H206" s="222" t="str">
        <f>IFERROR(__xludf.DUMMYFUNCTION("""COMPUTED_VALUE"""),"PADANG")</f>
        <v>PADANG</v>
      </c>
      <c r="I206" s="222" t="str">
        <f>IFERROR(__xludf.DUMMYFUNCTION("""COMPUTED_VALUE"""),"Batch 2")</f>
        <v>Batch 2</v>
      </c>
      <c r="J206" s="225">
        <f>IFERROR(__xludf.DUMMYFUNCTION("""COMPUTED_VALUE"""),6.0)</f>
        <v>6</v>
      </c>
      <c r="K206" s="224">
        <f>IFERROR(__xludf.DUMMYFUNCTION("""COMPUTED_VALUE"""),48.0)</f>
        <v>48</v>
      </c>
      <c r="L206" s="226">
        <f>IFERROR(__xludf.DUMMYFUNCTION("""COMPUTED_VALUE"""),1426090.0)</f>
        <v>1426090</v>
      </c>
      <c r="M206" s="227">
        <f>IFERROR(__xludf.DUMMYFUNCTION("""COMPUTED_VALUE"""),6.8452313E7)</f>
        <v>68452313</v>
      </c>
      <c r="N206" s="222" t="str">
        <f>IFERROR(__xludf.DUMMYFUNCTION("""COMPUTED_VALUE"""),"PT PUTRI JAYA AKSES")</f>
        <v>PT PUTRI JAYA AKSES</v>
      </c>
      <c r="O206" s="222" t="str">
        <f>IFERROR(__xludf.DUMMYFUNCTION("""COMPUTED_VALUE"""),"0. DROP")</f>
        <v>0. DROP</v>
      </c>
      <c r="P206" s="222" t="str">
        <f>IFERROR(__xludf.DUMMYFUNCTION("""COMPUTED_VALUE"""),"0.3 Feeder Full")</f>
        <v>0.3 Feeder Full</v>
      </c>
      <c r="Q206" s="222" t="str">
        <f>IFERROR(__xludf.DUMMYFUNCTION("""COMPUTED_VALUE"""),"(04/03) kendala feeder LBY-FN FULL (02/03) proses aanwijziing (26/01) DROP, permintaan tsel (tidak potensial) ")</f>
        <v>(04/03) kendala feeder LBY-FN FULL (02/03) proses aanwijziing (26/01) DROP, permintaan tsel (tidak potensial) </v>
      </c>
      <c r="R206" s="228"/>
      <c r="S206" s="11"/>
      <c r="T206" s="11"/>
      <c r="U206" s="11"/>
      <c r="V206" s="229"/>
      <c r="W206" s="229"/>
      <c r="X206" s="229" t="str">
        <f>IFERROR(__xludf.DUMMYFUNCTION("""COMPUTED_VALUE"""),"BELUM GOLIVE")</f>
        <v>BELUM GOLIVE</v>
      </c>
      <c r="Y206" s="229"/>
      <c r="Z206" s="229" t="str">
        <f>IFERROR(__xludf.DUMMYFUNCTION("""COMPUTED_VALUE"""),"#N/A")</f>
        <v>#N/A</v>
      </c>
      <c r="AA206" s="229"/>
      <c r="AB206" s="229"/>
      <c r="AC206" s="229"/>
      <c r="AD206" s="232"/>
      <c r="AE206" s="233"/>
      <c r="AF206" s="54"/>
      <c r="AG206" s="54"/>
      <c r="AH206" s="54"/>
      <c r="AI206" s="55" t="str">
        <f t="shared" si="36"/>
        <v/>
      </c>
      <c r="AW206" s="234"/>
      <c r="BP206" s="11"/>
      <c r="BQ206" s="11"/>
      <c r="BR206" s="235"/>
      <c r="BV206" s="158"/>
      <c r="BY206" s="158"/>
      <c r="CB206" s="158"/>
    </row>
    <row r="207" ht="18.0" hidden="1" customHeight="1">
      <c r="A207" s="222">
        <f>IFERROR(__xludf.DUMMYFUNCTION("""COMPUTED_VALUE"""),2026.0)</f>
        <v>2026</v>
      </c>
      <c r="B207" s="221">
        <f>IFERROR(__xludf.DUMMYFUNCTION("""COMPUTED_VALUE"""),1.143469E7)</f>
        <v>11434690</v>
      </c>
      <c r="C207" s="222" t="str">
        <f>IFERROR(__xludf.DUMMYFUNCTION("""COMPUTED_VALUE"""),"JBI-ODC+BIG OLT-MBN-MUARA TEMBESI")</f>
        <v>JBI-ODC+BIG OLT-MBN-MUARA TEMBESI</v>
      </c>
      <c r="D207" s="222" t="str">
        <f>IFERROR(__xludf.DUMMYFUNCTION("""COMPUTED_VALUE"""),"REGIONAL I")</f>
        <v>REGIONAL I</v>
      </c>
      <c r="E207" s="222" t="str">
        <f>IFERROR(__xludf.DUMMYFUNCTION("""COMPUTED_VALUE"""),"JAMBI")</f>
        <v>JAMBI</v>
      </c>
      <c r="F207" s="222" t="str">
        <f>IFERROR(__xludf.DUMMYFUNCTION("""COMPUTED_VALUE"""),"MBN")</f>
        <v>MBN</v>
      </c>
      <c r="G207" s="222" t="str">
        <f>IFERROR(__xludf.DUMMYFUNCTION("""COMPUTED_VALUE"""),"SUMBAGSEL")</f>
        <v>SUMBAGSEL</v>
      </c>
      <c r="H207" s="222" t="str">
        <f>IFERROR(__xludf.DUMMYFUNCTION("""COMPUTED_VALUE"""),"JAMBI")</f>
        <v>JAMBI</v>
      </c>
      <c r="I207" s="222" t="str">
        <f>IFERROR(__xludf.DUMMYFUNCTION("""COMPUTED_VALUE"""),"Batch 2")</f>
        <v>Batch 2</v>
      </c>
      <c r="J207" s="225">
        <f>IFERROR(__xludf.DUMMYFUNCTION("""COMPUTED_VALUE"""),78.0)</f>
        <v>78</v>
      </c>
      <c r="K207" s="224">
        <f>IFERROR(__xludf.DUMMYFUNCTION("""COMPUTED_VALUE"""),624.0)</f>
        <v>624</v>
      </c>
      <c r="L207" s="226">
        <f>IFERROR(__xludf.DUMMYFUNCTION("""COMPUTED_VALUE"""),1423524.0)</f>
        <v>1423524</v>
      </c>
      <c r="M207" s="227">
        <f>IFERROR(__xludf.DUMMYFUNCTION("""COMPUTED_VALUE"""),8.88278423E8)</f>
        <v>888278423</v>
      </c>
      <c r="N207" s="222" t="str">
        <f>IFERROR(__xludf.DUMMYFUNCTION("""COMPUTED_VALUE"""),"PT GITA PRIMA TAMBA PERKASA")</f>
        <v>PT GITA PRIMA TAMBA PERKASA</v>
      </c>
      <c r="O207" s="222" t="str">
        <f>IFERROR(__xludf.DUMMYFUNCTION("""COMPUTED_VALUE"""),"3. PERIZINAN")</f>
        <v>3. PERIZINAN</v>
      </c>
      <c r="P207" s="222" t="str">
        <f>IFERROR(__xludf.DUMMYFUNCTION("""COMPUTED_VALUE"""),"3.1 Submit permohon ke PU")</f>
        <v>3.1 Submit permohon ke PU</v>
      </c>
      <c r="Q207" s="222" t="str">
        <f>IFERROR(__xludf.DUMMYFUNCTION("""COMPUTED_VALUE"""),"22/04 done submit OSS Menunggu Jadwal Pemaparan PU 13/4 masih pendaftaran user  APP OSS oleh TIF 09/04 Berkas tinggal Upload, namun APP OSS masih pendaftaran user oleh TIF 08/04 Sirkulir Tif berkas surat permohonan Izin 06/04 Draf Perizinan PU Nasional 22"&amp;"/2 Tahap negoisasi  (12/1) plan sumbit Perizininan ke ED 19 Jan 17/11 BELUM OPTIMIS NOV25 , HOLD TIF (08/11) 29 SEP SUDAH SUBMIT KE PU , BLM ADA INFO (03/11) 27 okt sudah kirim file ke PED(OBET) , (15/10) PERIZINAN PU NAS 7795m , PENGAJUAN BERKAS 08/10 Do"&amp;"ne Aanwijzing 06/10 Penjadwalan aanwijzing (16/09) Mapping mitra")</f>
        <v>22/04 done submit OSS Menunggu Jadwal Pemaparan PU 13/4 masih pendaftaran user  APP OSS oleh TIF 09/04 Berkas tinggal Upload, namun APP OSS masih pendaftaran user oleh TIF 08/04 Sirkulir Tif berkas surat permohonan Izin 06/04 Draf Perizinan PU Nasional 22/2 Tahap negoisasi  (12/1) plan sumbit Perizininan ke ED 19 Jan 17/11 BELUM OPTIMIS NOV25 , HOLD TIF (08/11) 29 SEP SUDAH SUBMIT KE PU , BLM ADA INFO (03/11) 27 okt sudah kirim file ke PED(OBET) , (15/10) PERIZINAN PU NAS 7795m , PENGAJUAN BERKAS 08/10 Done Aanwijzing 06/10 Penjadwalan aanwijzing (16/09) Mapping mitra</v>
      </c>
      <c r="R207" s="228"/>
      <c r="S207" s="11"/>
      <c r="T207" s="11" t="str">
        <f>IFERROR(__xludf.DUMMYFUNCTION("""COMPUTED_VALUE"""),"P1")</f>
        <v>P1</v>
      </c>
      <c r="U207" s="11"/>
      <c r="V207" s="229"/>
      <c r="W207" s="229"/>
      <c r="X207" s="229" t="str">
        <f>IFERROR(__xludf.DUMMYFUNCTION("""COMPUTED_VALUE"""),"BELUM GOLIVE")</f>
        <v>BELUM GOLIVE</v>
      </c>
      <c r="Y207" s="229"/>
      <c r="Z207" s="229"/>
      <c r="AA207" s="229"/>
      <c r="AB207" s="229"/>
      <c r="AC207" s="229"/>
      <c r="AD207" s="232"/>
      <c r="AE207" s="233"/>
      <c r="AF207" s="54"/>
      <c r="AG207" s="54"/>
      <c r="AH207" s="54"/>
      <c r="AI207" s="55" t="str">
        <f t="shared" si="36"/>
        <v/>
      </c>
      <c r="AW207" s="234"/>
      <c r="BP207" s="11"/>
      <c r="BQ207" s="11"/>
      <c r="BR207" s="235"/>
      <c r="BV207" s="158"/>
      <c r="BY207" s="158"/>
      <c r="CB207" s="158"/>
    </row>
    <row r="208" ht="18.0" hidden="1" customHeight="1">
      <c r="A208" s="222">
        <f>IFERROR(__xludf.DUMMYFUNCTION("""COMPUTED_VALUE"""),2026.0)</f>
        <v>2026</v>
      </c>
      <c r="B208" s="221">
        <f>IFERROR(__xludf.DUMMYFUNCTION("""COMPUTED_VALUE"""),1.1468927E7)</f>
        <v>11468927</v>
      </c>
      <c r="C208" s="222" t="str">
        <f>IFERROR(__xludf.DUMMYFUNCTION("""COMPUTED_VALUE"""),"BNK-PT3-JPPTSEL-PDG NANGKA-DUSUN BESAR")</f>
        <v>BNK-PT3-JPPTSEL-PDG NANGKA-DUSUN BESAR</v>
      </c>
      <c r="D208" s="222" t="str">
        <f>IFERROR(__xludf.DUMMYFUNCTION("""COMPUTED_VALUE"""),"REGIONAL I")</f>
        <v>REGIONAL I</v>
      </c>
      <c r="E208" s="222" t="str">
        <f>IFERROR(__xludf.DUMMYFUNCTION("""COMPUTED_VALUE"""),"BENGKULU")</f>
        <v>BENGKULU</v>
      </c>
      <c r="F208" s="222" t="str">
        <f>IFERROR(__xludf.DUMMYFUNCTION("""COMPUTED_VALUE"""),"BNC")</f>
        <v>BNC</v>
      </c>
      <c r="G208" s="222" t="str">
        <f>IFERROR(__xludf.DUMMYFUNCTION("""COMPUTED_VALUE"""),"SUMBAGSEL")</f>
        <v>SUMBAGSEL</v>
      </c>
      <c r="H208" s="222" t="str">
        <f>IFERROR(__xludf.DUMMYFUNCTION("""COMPUTED_VALUE"""),"BENGKULU")</f>
        <v>BENGKULU</v>
      </c>
      <c r="I208" s="222" t="str">
        <f>IFERROR(__xludf.DUMMYFUNCTION("""COMPUTED_VALUE"""),"Batch 2")</f>
        <v>Batch 2</v>
      </c>
      <c r="J208" s="225">
        <f>IFERROR(__xludf.DUMMYFUNCTION("""COMPUTED_VALUE"""),37.0)</f>
        <v>37</v>
      </c>
      <c r="K208" s="224">
        <f>IFERROR(__xludf.DUMMYFUNCTION("""COMPUTED_VALUE"""),296.0)</f>
        <v>296</v>
      </c>
      <c r="L208" s="226">
        <f>IFERROR(__xludf.DUMMYFUNCTION("""COMPUTED_VALUE"""),1423152.0)</f>
        <v>1423152</v>
      </c>
      <c r="M208" s="227">
        <f>IFERROR(__xludf.DUMMYFUNCTION("""COMPUTED_VALUE"""),4.21252774E8)</f>
        <v>421252774</v>
      </c>
      <c r="N208" s="222" t="str">
        <f>IFERROR(__xludf.DUMMYFUNCTION("""COMPUTED_VALUE"""),"SWAKELOLA")</f>
        <v>SWAKELOLA</v>
      </c>
      <c r="O208" s="222" t="str">
        <f>IFERROR(__xludf.DUMMYFUNCTION("""COMPUTED_VALUE"""),"0. DROP")</f>
        <v>0. DROP</v>
      </c>
      <c r="P208" s="222" t="str">
        <f>IFERROR(__xludf.DUMMYFUNCTION("""COMPUTED_VALUE"""),"0.2 Tidak Dapat Izin Warga/Kades/Lurah/Developer")</f>
        <v>0.2 Tidak Dapat Izin Warga/Kades/Lurah/Developer</v>
      </c>
      <c r="Q208" s="222" t="str">
        <f>IFERROR(__xludf.DUMMYFUNCTION("""COMPUTED_VALUE"""),"22/2 tidak mendapat IZIN 23/01 : Drop TSEL")</f>
        <v>22/2 tidak mendapat IZIN 23/01 : Drop TSEL</v>
      </c>
      <c r="R208" s="228"/>
      <c r="S208" s="11"/>
      <c r="T208" s="11"/>
      <c r="U208" s="11"/>
      <c r="V208" s="229"/>
      <c r="W208" s="229"/>
      <c r="X208" s="229" t="str">
        <f>IFERROR(__xludf.DUMMYFUNCTION("""COMPUTED_VALUE"""),"BELUM GOLIVE")</f>
        <v>BELUM GOLIVE</v>
      </c>
      <c r="Y208" s="229"/>
      <c r="Z208" s="229" t="str">
        <f>IFERROR(__xludf.DUMMYFUNCTION("""COMPUTED_VALUE"""),"#N/A")</f>
        <v>#N/A</v>
      </c>
      <c r="AA208" s="229"/>
      <c r="AB208" s="229"/>
      <c r="AC208" s="229"/>
      <c r="AD208" s="232"/>
      <c r="AE208" s="233"/>
      <c r="AF208" s="54" t="str">
        <f>IFERROR(__xludf.DUMMYFUNCTION("""COMPUTED_VALUE"""),"Draft BA DROP")</f>
        <v>Draft BA DROP</v>
      </c>
      <c r="AG208" s="54"/>
      <c r="AH208" s="54"/>
      <c r="AI208" s="55" t="str">
        <f t="shared" si="36"/>
        <v/>
      </c>
      <c r="AW208" s="234"/>
      <c r="BP208" s="11"/>
      <c r="BQ208" s="11"/>
      <c r="BR208" s="235"/>
      <c r="BV208" s="158"/>
      <c r="BY208" s="158"/>
      <c r="CB208" s="158"/>
    </row>
    <row r="209" ht="18.0" customHeight="1">
      <c r="A209" s="222">
        <f>IFERROR(__xludf.DUMMYFUNCTION("""COMPUTED_VALUE"""),2026.0)</f>
        <v>2026</v>
      </c>
      <c r="B209" s="221">
        <f>IFERROR(__xludf.DUMMYFUNCTION("""COMPUTED_VALUE"""),1.1449939E7)</f>
        <v>11449939</v>
      </c>
      <c r="C209" s="222" t="str">
        <f>IFERROR(__xludf.DUMMYFUNCTION("""COMPUTED_VALUE"""),"RKP PT3 TSEL KMS-FAD GG. PUTRI CEMPAKA V")</f>
        <v>RKP PT3 TSEL KMS-FAD GG. PUTRI CEMPAKA V</v>
      </c>
      <c r="D209" s="222" t="str">
        <f>IFERROR(__xludf.DUMMYFUNCTION("""COMPUTED_VALUE"""),"REGIONAL I")</f>
        <v>REGIONAL I</v>
      </c>
      <c r="E209" s="222" t="str">
        <f>IFERROR(__xludf.DUMMYFUNCTION("""COMPUTED_VALUE"""),"RIKEP")</f>
        <v>RIKEP</v>
      </c>
      <c r="F209" s="222" t="str">
        <f>IFERROR(__xludf.DUMMYFUNCTION("""COMPUTED_VALUE"""),"KMS")</f>
        <v>KMS</v>
      </c>
      <c r="G209" s="222" t="str">
        <f>IFERROR(__xludf.DUMMYFUNCTION("""COMPUTED_VALUE"""),"SUMBAGTENG")</f>
        <v>SUMBAGTENG</v>
      </c>
      <c r="H209" s="222" t="str">
        <f>IFERROR(__xludf.DUMMYFUNCTION("""COMPUTED_VALUE"""),"BATAM")</f>
        <v>BATAM</v>
      </c>
      <c r="I209" s="222" t="str">
        <f>IFERROR(__xludf.DUMMYFUNCTION("""COMPUTED_VALUE"""),"Batch 2")</f>
        <v>Batch 2</v>
      </c>
      <c r="J209" s="225">
        <f>IFERROR(__xludf.DUMMYFUNCTION("""COMPUTED_VALUE"""),1.0)</f>
        <v>1</v>
      </c>
      <c r="K209" s="224">
        <f>IFERROR(__xludf.DUMMYFUNCTION("""COMPUTED_VALUE"""),8.0)</f>
        <v>8</v>
      </c>
      <c r="L209" s="226">
        <f>IFERROR(__xludf.DUMMYFUNCTION("""COMPUTED_VALUE"""),1422834.0)</f>
        <v>1422834</v>
      </c>
      <c r="M209" s="227">
        <f>IFERROR(__xludf.DUMMYFUNCTION("""COMPUTED_VALUE"""),1.1382672E7)</f>
        <v>11382672</v>
      </c>
      <c r="N209" s="222" t="str">
        <f>IFERROR(__xludf.DUMMYFUNCTION("""COMPUTED_VALUE"""),"PT SALTTEK DUMPANG JAYA")</f>
        <v>PT SALTTEK DUMPANG JAYA</v>
      </c>
      <c r="O209" s="222" t="str">
        <f>IFERROR(__xludf.DUMMYFUNCTION("""COMPUTED_VALUE"""),"0. DROP")</f>
        <v>0. DROP</v>
      </c>
      <c r="P209" s="222" t="str">
        <f>IFERROR(__xludf.DUMMYFUNCTION("""COMPUTED_VALUE"""),"0.2 Tidak Dapat Izin Warga/Kades/Lurah/Developer")</f>
        <v>0.2 Tidak Dapat Izin Warga/Kades/Lurah/Developer</v>
      </c>
      <c r="Q209" s="222" t="str">
        <f>IFERROR(__xludf.DUMMYFUNCTION("""COMPUTED_VALUE"""),"28/01 Kendala space tanam tiang tidak di acc RT karena gang kecil, dan sudah full cor beton. 28/01 Anwijzing OK, proses perizinan ke RT. 21/01 Proses anwijzing tanggal 22 Jan 2026")</f>
        <v>28/01 Kendala space tanam tiang tidak di acc RT karena gang kecil, dan sudah full cor beton. 28/01 Anwijzing OK, proses perizinan ke RT. 21/01 Proses anwijzing tanggal 22 Jan 2026</v>
      </c>
      <c r="R209" s="228"/>
      <c r="S209" s="11"/>
      <c r="T209" s="11"/>
      <c r="U209" s="11"/>
      <c r="V209" s="229" t="str">
        <f>IFERROR(__xludf.DUMMYFUNCTION("""COMPUTED_VALUE"""),"DEDY IRAWAN")</f>
        <v>DEDY IRAWAN</v>
      </c>
      <c r="W209" s="229" t="str">
        <f>IFERROR(__xludf.DUMMYFUNCTION("""COMPUTED_VALUE"""),"LEVITA INDRIYANI")</f>
        <v>LEVITA INDRIYANI</v>
      </c>
      <c r="X209" s="229" t="str">
        <f>IFERROR(__xludf.DUMMYFUNCTION("""COMPUTED_VALUE"""),"BELUM GOLIVE")</f>
        <v>BELUM GOLIVE</v>
      </c>
      <c r="Y209" s="229"/>
      <c r="Z209" s="229" t="str">
        <f>IFERROR(__xludf.DUMMYFUNCTION("""COMPUTED_VALUE"""),"#N/A")</f>
        <v>#N/A</v>
      </c>
      <c r="AA209" s="229"/>
      <c r="AB209" s="229"/>
      <c r="AC209" s="229"/>
      <c r="AD209" s="232"/>
      <c r="AE209" s="233"/>
      <c r="AF209" s="54" t="str">
        <f>IFERROR(__xludf.DUMMYFUNCTION("""COMPUTED_VALUE"""),"Draft BA DROP")</f>
        <v>Draft BA DROP</v>
      </c>
      <c r="AG209" s="54"/>
      <c r="AH209" s="54"/>
      <c r="AI209" s="55" t="str">
        <f t="shared" si="36"/>
        <v/>
      </c>
      <c r="AW209" s="234"/>
      <c r="BP209" s="11"/>
      <c r="BQ209" s="11"/>
      <c r="BR209" s="235"/>
      <c r="BV209" s="158"/>
      <c r="BY209" s="158"/>
      <c r="CB209" s="158"/>
    </row>
    <row r="210" ht="18.0" hidden="1" customHeight="1">
      <c r="A210" s="222">
        <f>IFERROR(__xludf.DUMMYFUNCTION("""COMPUTED_VALUE"""),2026.0)</f>
        <v>2026</v>
      </c>
      <c r="B210" s="221">
        <f>IFERROR(__xludf.DUMMYFUNCTION("""COMPUTED_VALUE"""),1.1785221E7)</f>
        <v>11785221</v>
      </c>
      <c r="C210" s="222" t="str">
        <f>IFERROR(__xludf.DUMMYFUNCTION("""COMPUTED_VALUE"""),"LPG PT4 JPP HANURA CSF TJK")</f>
        <v>LPG PT4 JPP HANURA CSF TJK</v>
      </c>
      <c r="D210" s="222" t="str">
        <f>IFERROR(__xludf.DUMMYFUNCTION("""COMPUTED_VALUE"""),"REGIONAL I")</f>
        <v>REGIONAL I</v>
      </c>
      <c r="E210" s="222" t="str">
        <f>IFERROR(__xludf.DUMMYFUNCTION("""COMPUTED_VALUE"""),"LAMPUNG")</f>
        <v>LAMPUNG</v>
      </c>
      <c r="F210" s="222" t="str">
        <f>IFERROR(__xludf.DUMMYFUNCTION("""COMPUTED_VALUE"""),"TJK")</f>
        <v>TJK</v>
      </c>
      <c r="G210" s="222" t="str">
        <f>IFERROR(__xludf.DUMMYFUNCTION("""COMPUTED_VALUE"""),"SUMBAGSEL")</f>
        <v>SUMBAGSEL</v>
      </c>
      <c r="H210" s="222" t="str">
        <f>IFERROR(__xludf.DUMMYFUNCTION("""COMPUTED_VALUE"""),"LAMPUNG")</f>
        <v>LAMPUNG</v>
      </c>
      <c r="I210" s="222" t="str">
        <f>IFERROR(__xludf.DUMMYFUNCTION("""COMPUTED_VALUE"""),"Batch 2")</f>
        <v>Batch 2</v>
      </c>
      <c r="J210" s="225">
        <f>IFERROR(__xludf.DUMMYFUNCTION("""COMPUTED_VALUE"""),20.0)</f>
        <v>20</v>
      </c>
      <c r="K210" s="224">
        <f>IFERROR(__xludf.DUMMYFUNCTION("""COMPUTED_VALUE"""),160.0)</f>
        <v>160</v>
      </c>
      <c r="L210" s="226">
        <f>IFERROR(__xludf.DUMMYFUNCTION("""COMPUTED_VALUE"""),1421066.0)</f>
        <v>1421066</v>
      </c>
      <c r="M210" s="227">
        <f>IFERROR(__xludf.DUMMYFUNCTION("""COMPUTED_VALUE"""),2.27370517E8)</f>
        <v>227370517</v>
      </c>
      <c r="N210" s="222" t="str">
        <f>IFERROR(__xludf.DUMMYFUNCTION("""COMPUTED_VALUE"""),"PT SARANA MITRA PERSADA")</f>
        <v>PT SARANA MITRA PERSADA</v>
      </c>
      <c r="O210" s="222" t="str">
        <f>IFERROR(__xludf.DUMMYFUNCTION("""COMPUTED_VALUE"""),"4. MATDEL")</f>
        <v>4. MATDEL</v>
      </c>
      <c r="P210" s="222" t="str">
        <f>IFERROR(__xludf.DUMMYFUNCTION("""COMPUTED_VALUE"""),"4.5 Material On Site")</f>
        <v>4.5 Material On Site</v>
      </c>
      <c r="Q210" s="222" t="str">
        <f>IFERROR(__xludf.DUMMYFUNCTION("""COMPUTED_VALUE"""),"27/4 Proses Material On Site, 24/4 plan matdel 25/4,  20/4 terkendala operasional dari mitra, 13/04 Done PR PO , proses matdel - butuh new mini OLT
06/04 Proses PR PO 2/4 proses pengajuan PR/PO dan perizinan ulang 
25/3 proses pengajuan PR/PO 13/3 proses "&amp;"pengajuan PR/PO,
2/3proses pengajuan PR/PO,
27/2 proses pengajuan PR/PO,, 25/2 PROGRES PERIZINAN 23/2 Proses pengajuan PR/PO 
18/2 konfirmasi ke TIF  14/1 butuh penambahan mini OLT")</f>
        <v>27/4 Proses Material On Site, 24/4 plan matdel 25/4,  20/4 terkendala operasional dari mitra, 13/04 Done PR PO , proses matdel - butuh new mini OLT
06/04 Proses PR PO 2/4 proses pengajuan PR/PO dan perizinan ulang 
25/3 proses pengajuan PR/PO 13/3 proses pengajuan PR/PO,
2/3proses pengajuan PR/PO,
27/2 proses pengajuan PR/PO,, 25/2 PROGRES PERIZINAN 23/2 Proses pengajuan PR/PO 
18/2 konfirmasi ke TIF  14/1 butuh penambahan mini OLT</v>
      </c>
      <c r="R210" s="228"/>
      <c r="S210" s="11" t="str">
        <f>IFERROR(__xludf.DUMMYFUNCTION("""COMPUTED_VALUE"""),"MEI")</f>
        <v>MEI</v>
      </c>
      <c r="T210" s="11"/>
      <c r="U210" s="11" t="str">
        <f>IFERROR(__xludf.DUMMYFUNCTION("""COMPUTED_VALUE"""),"TIF-6111/2026")</f>
        <v>TIF-6111/2026</v>
      </c>
      <c r="V210" s="229"/>
      <c r="W210" s="229"/>
      <c r="X210" s="229" t="str">
        <f>IFERROR(__xludf.DUMMYFUNCTION("""COMPUTED_VALUE"""),"BELUM GOLIVE")</f>
        <v>BELUM GOLIVE</v>
      </c>
      <c r="Y210" s="229" t="str">
        <f>IFERROR(__xludf.DUMMYFUNCTION("""COMPUTED_VALUE"""),"PORT OLT Penuh")</f>
        <v>PORT OLT Penuh</v>
      </c>
      <c r="Z210" s="229" t="str">
        <f>IFERROR(__xludf.DUMMYFUNCTION("""COMPUTED_VALUE"""),"#N/A")</f>
        <v>#N/A</v>
      </c>
      <c r="AA210" s="229"/>
      <c r="AB210" s="229"/>
      <c r="AC210" s="229"/>
      <c r="AD210" s="232"/>
      <c r="AE210" s="233"/>
      <c r="AF210" s="54"/>
      <c r="AG210" s="54"/>
      <c r="AH210" s="54">
        <v>46124.0</v>
      </c>
      <c r="AI210" s="237">
        <f>AH210-NOW()</f>
        <v>-16.37798987</v>
      </c>
      <c r="AJ210" s="229" t="str">
        <f>if(AI210&gt;=0,"in Komitmen","Out komitmen")</f>
        <v>Out komitmen</v>
      </c>
      <c r="AK210" s="229" t="s">
        <v>199</v>
      </c>
      <c r="AW210" s="234"/>
      <c r="BP210" s="11"/>
      <c r="BQ210" s="11"/>
      <c r="BR210" s="235"/>
      <c r="BV210" s="158"/>
      <c r="BY210" s="158"/>
      <c r="CB210" s="158"/>
    </row>
    <row r="211" ht="18.0" customHeight="1">
      <c r="A211" s="222">
        <f>IFERROR(__xludf.DUMMYFUNCTION("""COMPUTED_VALUE"""),2026.0)</f>
        <v>2026</v>
      </c>
      <c r="B211" s="221">
        <f>IFERROR(__xludf.DUMMYFUNCTION("""COMPUTED_VALUE"""),1.17921E7)</f>
        <v>11792100</v>
      </c>
      <c r="C211" s="222" t="str">
        <f>IFERROR(__xludf.DUMMYFUNCTION("""COMPUTED_VALUE"""),"RKP TSEL PT3 TJT-FE SEI UNGAR UTARA")</f>
        <v>RKP TSEL PT3 TJT-FE SEI UNGAR UTARA</v>
      </c>
      <c r="D211" s="222" t="str">
        <f>IFERROR(__xludf.DUMMYFUNCTION("""COMPUTED_VALUE"""),"REGIONAL I")</f>
        <v>REGIONAL I</v>
      </c>
      <c r="E211" s="222" t="str">
        <f>IFERROR(__xludf.DUMMYFUNCTION("""COMPUTED_VALUE"""),"RIKEP")</f>
        <v>RIKEP</v>
      </c>
      <c r="F211" s="222" t="str">
        <f>IFERROR(__xludf.DUMMYFUNCTION("""COMPUTED_VALUE"""),"TJT")</f>
        <v>TJT</v>
      </c>
      <c r="G211" s="222" t="str">
        <f>IFERROR(__xludf.DUMMYFUNCTION("""COMPUTED_VALUE"""),"SUMBAGTENG")</f>
        <v>SUMBAGTENG</v>
      </c>
      <c r="H211" s="222" t="str">
        <f>IFERROR(__xludf.DUMMYFUNCTION("""COMPUTED_VALUE"""),"BATAM")</f>
        <v>BATAM</v>
      </c>
      <c r="I211" s="222" t="str">
        <f>IFERROR(__xludf.DUMMYFUNCTION("""COMPUTED_VALUE"""),"Batch 2")</f>
        <v>Batch 2</v>
      </c>
      <c r="J211" s="225">
        <f>IFERROR(__xludf.DUMMYFUNCTION("""COMPUTED_VALUE"""),3.0)</f>
        <v>3</v>
      </c>
      <c r="K211" s="224">
        <f>IFERROR(__xludf.DUMMYFUNCTION("""COMPUTED_VALUE"""),24.0)</f>
        <v>24</v>
      </c>
      <c r="L211" s="226">
        <f>IFERROR(__xludf.DUMMYFUNCTION("""COMPUTED_VALUE"""),1419135.0)</f>
        <v>1419135</v>
      </c>
      <c r="M211" s="227">
        <f>IFERROR(__xludf.DUMMYFUNCTION("""COMPUTED_VALUE"""),3.4059232E7)</f>
        <v>34059232</v>
      </c>
      <c r="N211" s="222" t="str">
        <f>IFERROR(__xludf.DUMMYFUNCTION("""COMPUTED_VALUE"""),"PT MITRA AKSES INSANI")</f>
        <v>PT MITRA AKSES INSANI</v>
      </c>
      <c r="O211" s="222" t="str">
        <f>IFERROR(__xludf.DUMMYFUNCTION("""COMPUTED_VALUE"""),"7. GOLIVE")</f>
        <v>7. GOLIVE</v>
      </c>
      <c r="P211" s="222" t="str">
        <f>IFERROR(__xludf.DUMMYFUNCTION("""COMPUTED_VALUE"""),"7.2 Golive Full / OA / DONE OTB")</f>
        <v>7.2 Golive Full / OA / DONE OTB</v>
      </c>
      <c r="Q211" s="222" t="str">
        <f>IFERROR(__xludf.DUMMYFUNCTION("""COMPUTED_VALUE"""),"23/04 Redesign jalur karena LOP Pemuda nibung drop tidak dapat izin, di satukan dengan LOP sei ungar.
07/04 Proses Pembuatan ABD 
31/03 Tim terminasi berangkat dari pulau batam ke pualau tanjung batu tanggal 04 april, plan GL 09 apr 27/03 Tim terminasi be"&amp;"lum berangkat dari batam ke Pulau tanjung batu. 16/03 Tim terminasi berangkat ke pulau tanjung batu dari batam setelah lebaran. 
09/03 Modul OLT sudah di kirim, proses penarikan KU. 05/03 Menunggu modul OLT di kirim dari batam. 13/02 Jadwal kapal ke pulau"&amp;" tanjung batu di hari rabu, karena kapal hari minggu sudah penuh. 09/02 LOP belum di survey oleh mitra, komitmen terakhi hari minggu tgl 8 feb tim berangkat ke pulau tanjung batu. 29/01 mitra MAI sudah acc dan plan survey senin 2 Februari. 21/01 Plan anwi"&amp;"jzing Lokasi di pulau outer Tanjung batu
26/02 Menunggu modul OLT di kirim dari batam. 13/02 Jadwal kapal ke pulau tanjung batu di hari rabu, karena kapal hari minggu sudah penuh. 09/02 LOP belum di survey oleh mitra, komitmen terakhi hari minggu tgl 8 fe"&amp;"b tim berangkat ke pulau tanjung batu. 29/01 mitra MAI sudah acc dan plan survey senin 2 Februari. 21/01 Plan anwijzing Lokasi di pulau outer Tanjung batu")</f>
        <v>23/04 Redesign jalur karena LOP Pemuda nibung drop tidak dapat izin, di satukan dengan LOP sei ungar.
07/04 Proses Pembuatan ABD 
31/03 Tim terminasi berangkat dari pulau batam ke pualau tanjung batu tanggal 04 april, plan GL 09 apr 27/03 Tim terminasi belum berangkat dari batam ke Pulau tanjung batu. 16/03 Tim terminasi berangkat ke pulau tanjung batu dari batam setelah lebaran. 
09/03 Modul OLT sudah di kirim, proses penarikan KU. 05/03 Menunggu modul OLT di kirim dari batam.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
26/02 Menunggu modul OLT di kirim dari batam.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211" s="228">
        <f>IFERROR(__xludf.DUMMYFUNCTION("""COMPUTED_VALUE"""),46124.0)</f>
        <v>46124</v>
      </c>
      <c r="S211" s="11" t="str">
        <f>IFERROR(__xludf.DUMMYFUNCTION("""COMPUTED_VALUE"""),"APR")</f>
        <v>APR</v>
      </c>
      <c r="T211" s="73"/>
      <c r="U211" s="11" t="str">
        <f>IFERROR(__xludf.DUMMYFUNCTION("""COMPUTED_VALUE"""),"W09-156/2026")</f>
        <v>W09-156/2026</v>
      </c>
      <c r="V211" s="229" t="str">
        <f>IFERROR(__xludf.DUMMYFUNCTION("""COMPUTED_VALUE"""),"MOHAMMAD FAUZY")</f>
        <v>MOHAMMAD FAUZY</v>
      </c>
      <c r="W211" s="229" t="str">
        <f>IFERROR(__xludf.DUMMYFUNCTION("""COMPUTED_VALUE"""),"LEVITA INDRIYANI")</f>
        <v>LEVITA INDRIYANI</v>
      </c>
      <c r="X211" s="229" t="str">
        <f>IFERROR(__xludf.DUMMYFUNCTION("""COMPUTED_VALUE"""),"GOLIVE")</f>
        <v>GOLIVE</v>
      </c>
      <c r="Y211" s="229" t="str">
        <f>IFERROR(__xludf.DUMMYFUNCTION("""COMPUTED_VALUE"""),"DONE")</f>
        <v>DONE</v>
      </c>
      <c r="Z211" s="229" t="str">
        <f>IFERROR(__xludf.DUMMYFUNCTION("""COMPUTED_VALUE"""),"#N/A")</f>
        <v>#N/A</v>
      </c>
      <c r="AA211" s="229">
        <f>IFERROR(__xludf.DUMMYFUNCTION("""COMPUTED_VALUE"""),4.0)</f>
        <v>4</v>
      </c>
      <c r="AB211" s="229"/>
      <c r="AC211" s="229" t="str">
        <f>IFERROR(__xludf.DUMMYFUNCTION("""COMPUTED_VALUE"""),"9264297#9264302")</f>
        <v>9264297#9264302</v>
      </c>
      <c r="AD211" s="232">
        <f>IFERROR(__xludf.DUMMYFUNCTION("""COMPUTED_VALUE"""),32.0)</f>
        <v>32</v>
      </c>
      <c r="AE211" s="233">
        <f>IFERROR(__xludf.DUMMYFUNCTION("""COMPUTED_VALUE"""),46124.0)</f>
        <v>46124</v>
      </c>
      <c r="AF211" s="54"/>
      <c r="AG211" s="54"/>
      <c r="AH211" s="54">
        <v>46124.0</v>
      </c>
      <c r="AI211" s="55">
        <f>IF(OR(AH211="",AE211=""),"",AH211-AE211)</f>
        <v>0</v>
      </c>
      <c r="AJ211" s="229" t="str">
        <f>if(AI211&gt;=0,"Gl in Komitmen","Gl out komitmen")</f>
        <v>Gl in Komitmen</v>
      </c>
      <c r="AK211" s="231" t="s">
        <v>199</v>
      </c>
      <c r="AW211" s="234"/>
      <c r="BP211" s="11"/>
      <c r="BQ211" s="11"/>
      <c r="BR211" s="235"/>
      <c r="BV211" s="158"/>
      <c r="BY211" s="158"/>
      <c r="CB211" s="158"/>
    </row>
    <row r="212" ht="18.0" hidden="1" customHeight="1">
      <c r="A212" s="222">
        <f>IFERROR(__xludf.DUMMYFUNCTION("""COMPUTED_VALUE"""),2026.0)</f>
        <v>2026</v>
      </c>
      <c r="B212" s="221">
        <f>IFERROR(__xludf.DUMMYFUNCTION("""COMPUTED_VALUE"""),1.1325958E7)</f>
        <v>11325958</v>
      </c>
      <c r="C212" s="222" t="str">
        <f>IFERROR(__xludf.DUMMYFUNCTION("""COMPUTED_VALUE"""),"MDN PT3 LBP-FXX DS KUBAH SANTANG")</f>
        <v>MDN PT3 LBP-FXX DS KUBAH SANTANG</v>
      </c>
      <c r="D212" s="222" t="str">
        <f>IFERROR(__xludf.DUMMYFUNCTION("""COMPUTED_VALUE"""),"REGIONAL I")</f>
        <v>REGIONAL I</v>
      </c>
      <c r="E212" s="222" t="str">
        <f>IFERROR(__xludf.DUMMYFUNCTION("""COMPUTED_VALUE"""),"MEDAN")</f>
        <v>MEDAN</v>
      </c>
      <c r="F212" s="222" t="str">
        <f>IFERROR(__xludf.DUMMYFUNCTION("""COMPUTED_VALUE"""),"LBP")</f>
        <v>LBP</v>
      </c>
      <c r="G212" s="222" t="str">
        <f>IFERROR(__xludf.DUMMYFUNCTION("""COMPUTED_VALUE"""),"SUMBAGUT")</f>
        <v>SUMBAGUT</v>
      </c>
      <c r="H212" s="222" t="str">
        <f>IFERROR(__xludf.DUMMYFUNCTION("""COMPUTED_VALUE"""),"MEDAN")</f>
        <v>MEDAN</v>
      </c>
      <c r="I212" s="222" t="str">
        <f>IFERROR(__xludf.DUMMYFUNCTION("""COMPUTED_VALUE"""),"Batch 2")</f>
        <v>Batch 2</v>
      </c>
      <c r="J212" s="225">
        <f>IFERROR(__xludf.DUMMYFUNCTION("""COMPUTED_VALUE"""),22.0)</f>
        <v>22</v>
      </c>
      <c r="K212" s="224">
        <f>IFERROR(__xludf.DUMMYFUNCTION("""COMPUTED_VALUE"""),176.0)</f>
        <v>176</v>
      </c>
      <c r="L212" s="226">
        <f>IFERROR(__xludf.DUMMYFUNCTION("""COMPUTED_VALUE"""),1674269.0)</f>
        <v>1674269</v>
      </c>
      <c r="M212" s="227">
        <f>IFERROR(__xludf.DUMMYFUNCTION("""COMPUTED_VALUE"""),2.94671233E8)</f>
        <v>294671233</v>
      </c>
      <c r="N212" s="222" t="str">
        <f>IFERROR(__xludf.DUMMYFUNCTION("""COMPUTED_VALUE"""),"PT FIBERHOME TECHNOLOGIES INDONESIA")</f>
        <v>PT FIBERHOME TECHNOLOGIES INDONESIA</v>
      </c>
      <c r="O212" s="222" t="str">
        <f>IFERROR(__xludf.DUMMYFUNCTION("""COMPUTED_VALUE"""),"7. GOLIVE")</f>
        <v>7. GOLIVE</v>
      </c>
      <c r="P212" s="222" t="str">
        <f>IFERROR(__xludf.DUMMYFUNCTION("""COMPUTED_VALUE"""),"7.2 Golive Full / OA / DONE OTB")</f>
        <v>7.2 Golive Full / OA / DONE OTB</v>
      </c>
      <c r="Q212" s="222" t="str">
        <f>IFERROR(__xludf.DUMMYFUNCTION("""COMPUTED_VALUE"""),"24/04 FI, need repair kabel 
(20/04) OGP Penarikan kabel
09/04 start penarikan 11/04 24/02 proses tanam tiang
(07/01) Persiapan")</f>
        <v>24/04 FI, need repair kabel 
(20/04) OGP Penarikan kabel
09/04 start penarikan 11/04 24/02 proses tanam tiang
(07/01) Persiapan</v>
      </c>
      <c r="R212" s="228">
        <f>IFERROR(__xludf.DUMMYFUNCTION("""COMPUTED_VALUE"""),46139.0)</f>
        <v>46139</v>
      </c>
      <c r="S212" s="11" t="str">
        <f>IFERROR(__xludf.DUMMYFUNCTION("""COMPUTED_VALUE"""),"APR")</f>
        <v>APR</v>
      </c>
      <c r="T212" s="73" t="str">
        <f>IFERROR(__xludf.DUMMYFUNCTION("""COMPUTED_VALUE"""),"P1")</f>
        <v>P1</v>
      </c>
      <c r="U212" s="11"/>
      <c r="V212" s="229"/>
      <c r="W212" s="229" t="str">
        <f>IFERROR(__xludf.DUMMYFUNCTION("""COMPUTED_VALUE"""),"#N/A")</f>
        <v>#N/A</v>
      </c>
      <c r="X212" s="229" t="str">
        <f>IFERROR(__xludf.DUMMYFUNCTION("""COMPUTED_VALUE"""),"GOLIVE")</f>
        <v>GOLIVE</v>
      </c>
      <c r="Y212" s="229" t="str">
        <f>IFERROR(__xludf.DUMMYFUNCTION("""COMPUTED_VALUE"""),"DONE")</f>
        <v>DONE</v>
      </c>
      <c r="Z212" s="229" t="str">
        <f>IFERROR(__xludf.DUMMYFUNCTION("""COMPUTED_VALUE"""),"#N/A")</f>
        <v>#N/A</v>
      </c>
      <c r="AA212" s="229">
        <f>IFERROR(__xludf.DUMMYFUNCTION("""COMPUTED_VALUE"""),21.0)</f>
        <v>21</v>
      </c>
      <c r="AB212" s="229"/>
      <c r="AC212" s="229" t="str">
        <f>IFERROR(__xludf.DUMMYFUNCTION("""COMPUTED_VALUE"""),"9308739#9308744")</f>
        <v>9308739#9308744</v>
      </c>
      <c r="AD212" s="232">
        <f>IFERROR(__xludf.DUMMYFUNCTION("""COMPUTED_VALUE"""),168.0)</f>
        <v>168</v>
      </c>
      <c r="AE212" s="233">
        <f>IFERROR(__xludf.DUMMYFUNCTION("""COMPUTED_VALUE"""),46137.0)</f>
        <v>46137</v>
      </c>
      <c r="AF212" s="54" t="str">
        <f>IFERROR(__xludf.DUMMYFUNCTION("""COMPUTED_VALUE"""),"Draft BA DROP")</f>
        <v>Draft BA DROP</v>
      </c>
      <c r="AG212" s="54"/>
      <c r="AH212" s="54">
        <v>46139.0</v>
      </c>
      <c r="AI212" s="55">
        <f>IF(OR(R212="",AE212=""),"",R212-AE212)</f>
        <v>2</v>
      </c>
      <c r="AW212" s="234"/>
      <c r="BP212" s="11"/>
      <c r="BQ212" s="11"/>
      <c r="BR212" s="235"/>
      <c r="BV212" s="158"/>
      <c r="BY212" s="158"/>
      <c r="CB212" s="158"/>
    </row>
    <row r="213" ht="18.0" customHeight="1">
      <c r="A213" s="222">
        <f>IFERROR(__xludf.DUMMYFUNCTION("""COMPUTED_VALUE"""),2026.0)</f>
        <v>2026</v>
      </c>
      <c r="B213" s="221">
        <f>IFERROR(__xludf.DUMMYFUNCTION("""COMPUTED_VALUE"""),1.111402E7)</f>
        <v>11114020</v>
      </c>
      <c r="C213" s="222" t="str">
        <f>IFERROR(__xludf.DUMMYFUNCTION("""COMPUTED_VALUE"""),"SMB P1I1 JL Parit natuang anak aia")</f>
        <v>SMB P1I1 JL Parit natuang anak aia</v>
      </c>
      <c r="D213" s="222" t="str">
        <f>IFERROR(__xludf.DUMMYFUNCTION("""COMPUTED_VALUE"""),"REGIONAL I")</f>
        <v>REGIONAL I</v>
      </c>
      <c r="E213" s="222" t="str">
        <f>IFERROR(__xludf.DUMMYFUNCTION("""COMPUTED_VALUE"""),"SUMBAR")</f>
        <v>SUMBAR</v>
      </c>
      <c r="F213" s="222" t="str">
        <f>IFERROR(__xludf.DUMMYFUNCTION("""COMPUTED_VALUE"""),"BKT")</f>
        <v>BKT</v>
      </c>
      <c r="G213" s="222" t="str">
        <f>IFERROR(__xludf.DUMMYFUNCTION("""COMPUTED_VALUE"""),"SUMBAGTENG")</f>
        <v>SUMBAGTENG</v>
      </c>
      <c r="H213" s="222" t="str">
        <f>IFERROR(__xludf.DUMMYFUNCTION("""COMPUTED_VALUE"""),"BUKIT TINGGI")</f>
        <v>BUKIT TINGGI</v>
      </c>
      <c r="I213" s="222" t="str">
        <f>IFERROR(__xludf.DUMMYFUNCTION("""COMPUTED_VALUE"""),"Batch 2")</f>
        <v>Batch 2</v>
      </c>
      <c r="J213" s="225">
        <f>IFERROR(__xludf.DUMMYFUNCTION("""COMPUTED_VALUE"""),2.0)</f>
        <v>2</v>
      </c>
      <c r="K213" s="224">
        <f>IFERROR(__xludf.DUMMYFUNCTION("""COMPUTED_VALUE"""),16.0)</f>
        <v>16</v>
      </c>
      <c r="L213" s="226">
        <f>IFERROR(__xludf.DUMMYFUNCTION("""COMPUTED_VALUE"""),1416790.0)</f>
        <v>1416790</v>
      </c>
      <c r="M213" s="227">
        <f>IFERROR(__xludf.DUMMYFUNCTION("""COMPUTED_VALUE"""),2.2668639E7)</f>
        <v>22668639</v>
      </c>
      <c r="N213" s="222" t="str">
        <f>IFERROR(__xludf.DUMMYFUNCTION("""COMPUTED_VALUE"""),"PT RATRI PRIMA MANDIRI")</f>
        <v>PT RATRI PRIMA MANDIRI</v>
      </c>
      <c r="O213" s="222" t="str">
        <f>IFERROR(__xludf.DUMMYFUNCTION("""COMPUTED_VALUE"""),"0. DROP")</f>
        <v>0. DROP</v>
      </c>
      <c r="P213" s="222" t="str">
        <f>IFERROR(__xludf.DUMMYFUNCTION("""COMPUTED_VALUE"""),"0.5 DROP TSEL - Acc ED TIF")</f>
        <v>0.5 DROP TSEL - Acc ED TIF</v>
      </c>
      <c r="Q213" s="222" t="str">
        <f>IFERROR(__xludf.DUMMYFUNCTION("""COMPUTED_VALUE"""),"(05/03) bentrok dengan LOP RUMAH DAUS   (02/03) proses aanwijziing (26/01) DROP, permintaan tsel (tidak potensial) ")</f>
        <v>(05/03) bentrok dengan LOP RUMAH DAUS   (02/03) proses aanwijziing (26/01) DROP, permintaan tsel (tidak potensial) </v>
      </c>
      <c r="R213" s="228"/>
      <c r="S213" s="11"/>
      <c r="T213" s="11"/>
      <c r="U213" s="11" t="str">
        <f>IFERROR(__xludf.DUMMYFUNCTION("""COMPUTED_VALUE"""),"TIF-2116/2026 26KT03R158-0015")</f>
        <v>TIF-2116/2026 26KT03R158-0015</v>
      </c>
      <c r="V213" s="229" t="str">
        <f>IFERROR(__xludf.DUMMYFUNCTION("""COMPUTED_VALUE"""),"M. ARIF HAMADI")</f>
        <v>M. ARIF HAMADI</v>
      </c>
      <c r="W213" s="229" t="str">
        <f>IFERROR(__xludf.DUMMYFUNCTION("""COMPUTED_VALUE"""),"MELKO NARWADI")</f>
        <v>MELKO NARWADI</v>
      </c>
      <c r="X213" s="229" t="str">
        <f>IFERROR(__xludf.DUMMYFUNCTION("""COMPUTED_VALUE"""),"BELUM GOLIVE")</f>
        <v>BELUM GOLIVE</v>
      </c>
      <c r="Y213" s="229"/>
      <c r="Z213" s="229" t="str">
        <f>IFERROR(__xludf.DUMMYFUNCTION("""COMPUTED_VALUE"""),"#N/A")</f>
        <v>#N/A</v>
      </c>
      <c r="AA213" s="229"/>
      <c r="AB213" s="229"/>
      <c r="AC213" s="229"/>
      <c r="AD213" s="232"/>
      <c r="AE213" s="233"/>
      <c r="AF213" s="54"/>
      <c r="AG213" s="54"/>
      <c r="AH213" s="54">
        <v>46127.0</v>
      </c>
      <c r="AI213" s="237">
        <f>AH213-NOW()</f>
        <v>-13.37798988</v>
      </c>
      <c r="AJ213" s="229" t="str">
        <f t="shared" ref="AJ213:AJ214" si="37">if(AI213&gt;=0,"In Komitmen","Out Komitmen")</f>
        <v>Out Komitmen</v>
      </c>
      <c r="AW213" s="234"/>
      <c r="BP213" s="11"/>
      <c r="BQ213" s="11"/>
      <c r="BR213" s="235"/>
      <c r="BV213" s="158"/>
      <c r="BY213" s="158"/>
      <c r="CB213" s="158"/>
    </row>
    <row r="214" ht="18.0" customHeight="1">
      <c r="A214" s="222">
        <f>IFERROR(__xludf.DUMMYFUNCTION("""COMPUTED_VALUE"""),2026.0)</f>
        <v>2026</v>
      </c>
      <c r="B214" s="221">
        <f>IFERROR(__xludf.DUMMYFUNCTION("""COMPUTED_VALUE"""),1.2077803E7)</f>
        <v>12077803</v>
      </c>
      <c r="C214" s="222" t="str">
        <f>IFERROR(__xludf.DUMMYFUNCTION("""COMPUTED_VALUE"""),"RKP TSEL PT3 KAI-FV KAV. BUKIT MULIA")</f>
        <v>RKP TSEL PT3 KAI-FV KAV. BUKIT MULIA</v>
      </c>
      <c r="D214" s="222" t="str">
        <f>IFERROR(__xludf.DUMMYFUNCTION("""COMPUTED_VALUE"""),"REGIONAL I")</f>
        <v>REGIONAL I</v>
      </c>
      <c r="E214" s="222" t="str">
        <f>IFERROR(__xludf.DUMMYFUNCTION("""COMPUTED_VALUE"""),"RIKEP")</f>
        <v>RIKEP</v>
      </c>
      <c r="F214" s="222" t="str">
        <f>IFERROR(__xludf.DUMMYFUNCTION("""COMPUTED_VALUE"""),"KAI")</f>
        <v>KAI</v>
      </c>
      <c r="G214" s="222" t="str">
        <f>IFERROR(__xludf.DUMMYFUNCTION("""COMPUTED_VALUE"""),"SUMBAGTENG")</f>
        <v>SUMBAGTENG</v>
      </c>
      <c r="H214" s="222" t="str">
        <f>IFERROR(__xludf.DUMMYFUNCTION("""COMPUTED_VALUE"""),"BATAM")</f>
        <v>BATAM</v>
      </c>
      <c r="I214" s="222" t="str">
        <f>IFERROR(__xludf.DUMMYFUNCTION("""COMPUTED_VALUE"""),"Batch 2")</f>
        <v>Batch 2</v>
      </c>
      <c r="J214" s="225">
        <f>IFERROR(__xludf.DUMMYFUNCTION("""COMPUTED_VALUE"""),6.0)</f>
        <v>6</v>
      </c>
      <c r="K214" s="224">
        <f>IFERROR(__xludf.DUMMYFUNCTION("""COMPUTED_VALUE"""),48.0)</f>
        <v>48</v>
      </c>
      <c r="L214" s="226">
        <f>IFERROR(__xludf.DUMMYFUNCTION("""COMPUTED_VALUE"""),1416020.0)</f>
        <v>1416020</v>
      </c>
      <c r="M214" s="227">
        <f>IFERROR(__xludf.DUMMYFUNCTION("""COMPUTED_VALUE"""),6.7968951E7)</f>
        <v>67968951</v>
      </c>
      <c r="N214" s="222" t="str">
        <f>IFERROR(__xludf.DUMMYFUNCTION("""COMPUTED_VALUE"""),"PT MITRA AKSES INSANI")</f>
        <v>PT MITRA AKSES INSANI</v>
      </c>
      <c r="O214" s="222" t="str">
        <f>IFERROR(__xludf.DUMMYFUNCTION("""COMPUTED_VALUE"""),"0. DROP")</f>
        <v>0. DROP</v>
      </c>
      <c r="P214" s="222" t="str">
        <f>IFERROR(__xludf.DUMMYFUNCTION("""COMPUTED_VALUE"""),"0.2 Tidak Dapat Izin Warga/Kades/Lurah/Developer")</f>
        <v>0.2 Tidak Dapat Izin Warga/Kades/Lurah/Developer</v>
      </c>
      <c r="Q214" s="222" t="str">
        <f>IFERROR(__xludf.DUMMYFUNCTION("""COMPUTED_VALUE"""),"23/04 Dari total 4 RW, sudah 3 RW ACC, namun 1 RW ada (8 RT) meminta kompensasi 18 Juta rupiah, plan drop sudah confirm ke TIF dan TSEL. 
22/04 Plan pertemuan RW 20 malam ini.
20/04 selasa/rabu Pertemuan RT RW nya. 
17/04 Dari 3 RW ada 1 RW meminta berund"&amp;"ing dahulu dengan warga. 
06/04 Tim KU dari jawa sampai ke batam tanggal 03 april, plan progres, 10 april, plan GL 12 april. 30/03 Tim mitra masih di pulau tanjung batu dan belum bisa balik ke pulau batam. 03/03 izin OK tim KU masih di pulau tanjung batu."&amp;" 16/02 Plan FU perizinan besok 17 Feb.   09/02 perizinan blm di FU mitra. 29/01 Plan anwijzing tanggal 31. 28/01 Anwijzing OK, proses perizinan RT HI. 22/01 Plan survey 24 Jan ")</f>
        <v>23/04 Dari total 4 RW, sudah 3 RW ACC, namun 1 RW ada (8 RT) meminta kompensasi 18 Juta rupiah, plan drop sudah confirm ke TIF dan TSEL. 
22/04 Plan pertemuan RW 20 malam ini.
20/04 selasa/rabu Pertemuan RT RW nya. 
17/04 Dari 3 RW ada 1 RW meminta berunding dahulu dengan warga. 
06/04 Tim KU dari jawa sampai ke batam tanggal 03 april, plan progres, 10 april, plan GL 12 april. 30/03 Tim mitra masih di pulau tanjung batu dan belum bisa balik ke pulau batam. 03/03 izin OK tim KU masih di pulau tanjung batu. 16/02 Plan FU perizinan besok 17 Feb.   09/02 perizinan blm di FU mitra. 29/01 Plan anwijzing tanggal 31. 28/01 Anwijzing OK, proses perizinan RT HI. 22/01 Plan survey 24 Jan </v>
      </c>
      <c r="R214" s="228"/>
      <c r="S214" s="11"/>
      <c r="T214" s="73"/>
      <c r="U214" s="11" t="str">
        <f>IFERROR(__xludf.DUMMYFUNCTION("""COMPUTED_VALUE"""),"W09-273/2026")</f>
        <v>W09-273/2026</v>
      </c>
      <c r="V214" s="229" t="str">
        <f>IFERROR(__xludf.DUMMYFUNCTION("""COMPUTED_VALUE"""),"GANI PRASTYO")</f>
        <v>GANI PRASTYO</v>
      </c>
      <c r="W214" s="229" t="str">
        <f>IFERROR(__xludf.DUMMYFUNCTION("""COMPUTED_VALUE"""),"LEVITA INDRIYANI")</f>
        <v>LEVITA INDRIYANI</v>
      </c>
      <c r="X214" s="229" t="str">
        <f>IFERROR(__xludf.DUMMYFUNCTION("""COMPUTED_VALUE"""),"BELUM GOLIVE")</f>
        <v>BELUM GOLIVE</v>
      </c>
      <c r="Y214" s="229"/>
      <c r="Z214" s="229" t="str">
        <f>IFERROR(__xludf.DUMMYFUNCTION("""COMPUTED_VALUE"""),"#N/A")</f>
        <v>#N/A</v>
      </c>
      <c r="AA214" s="229"/>
      <c r="AB214" s="229"/>
      <c r="AC214" s="229"/>
      <c r="AD214" s="232"/>
      <c r="AE214" s="233"/>
      <c r="AF214" s="54"/>
      <c r="AG214" s="54"/>
      <c r="AH214" s="54">
        <v>46127.0</v>
      </c>
      <c r="AI214" s="55">
        <f>AH214-TODAY()</f>
        <v>-13</v>
      </c>
      <c r="AJ214" s="229" t="str">
        <f t="shared" si="37"/>
        <v>Out Komitmen</v>
      </c>
      <c r="AK214" s="231" t="s">
        <v>199</v>
      </c>
      <c r="AW214" s="234"/>
      <c r="BP214" s="11"/>
      <c r="BQ214" s="11"/>
      <c r="BR214" s="235"/>
      <c r="BV214" s="158"/>
      <c r="BY214" s="158"/>
      <c r="CB214" s="158"/>
    </row>
    <row r="215" ht="18.0" hidden="1" customHeight="1">
      <c r="A215" s="222">
        <f>IFERROR(__xludf.DUMMYFUNCTION("""COMPUTED_VALUE"""),2026.0)</f>
        <v>2026</v>
      </c>
      <c r="B215" s="221">
        <f>IFERROR(__xludf.DUMMYFUNCTION("""COMPUTED_VALUE"""),1.2438263E7)</f>
        <v>12438263</v>
      </c>
      <c r="C215" s="222" t="str">
        <f>IFERROR(__xludf.DUMMYFUNCTION("""COMPUTED_VALUE"""),"SMS P4I4 PT3 TRA FK D01 CROSING TRA")</f>
        <v>SMS P4I4 PT3 TRA FK D01 CROSING TRA</v>
      </c>
      <c r="D215" s="222" t="str">
        <f>IFERROR(__xludf.DUMMYFUNCTION("""COMPUTED_VALUE"""),"REGIONAL I")</f>
        <v>REGIONAL I</v>
      </c>
      <c r="E215" s="222" t="str">
        <f>IFERROR(__xludf.DUMMYFUNCTION("""COMPUTED_VALUE"""),"SUMSEL")</f>
        <v>SUMSEL</v>
      </c>
      <c r="F215" s="222" t="str">
        <f>IFERROR(__xludf.DUMMYFUNCTION("""COMPUTED_VALUE"""),"TRA")</f>
        <v>TRA</v>
      </c>
      <c r="G215" s="222" t="str">
        <f>IFERROR(__xludf.DUMMYFUNCTION("""COMPUTED_VALUE"""),"SUMBAGSEL")</f>
        <v>SUMBAGSEL</v>
      </c>
      <c r="H215" s="222" t="str">
        <f>IFERROR(__xludf.DUMMYFUNCTION("""COMPUTED_VALUE"""),"PALEMBANG")</f>
        <v>PALEMBANG</v>
      </c>
      <c r="I215" s="222" t="str">
        <f>IFERROR(__xludf.DUMMYFUNCTION("""COMPUTED_VALUE"""),"Batch 2")</f>
        <v>Batch 2</v>
      </c>
      <c r="J215" s="225">
        <f>IFERROR(__xludf.DUMMYFUNCTION("""COMPUTED_VALUE"""),5.0)</f>
        <v>5</v>
      </c>
      <c r="K215" s="224">
        <f>IFERROR(__xludf.DUMMYFUNCTION("""COMPUTED_VALUE"""),40.0)</f>
        <v>40</v>
      </c>
      <c r="L215" s="226">
        <f>IFERROR(__xludf.DUMMYFUNCTION("""COMPUTED_VALUE"""),1414584.0)</f>
        <v>1414584</v>
      </c>
      <c r="M215" s="227">
        <f>IFERROR(__xludf.DUMMYFUNCTION("""COMPUTED_VALUE"""),5.6583354E7)</f>
        <v>56583354</v>
      </c>
      <c r="N215" s="222" t="str">
        <f>IFERROR(__xludf.DUMMYFUNCTION("""COMPUTED_VALUE"""),"PT SARANA MITRA PERSADA")</f>
        <v>PT SARANA MITRA PERSADA</v>
      </c>
      <c r="O215" s="222" t="str">
        <f>IFERROR(__xludf.DUMMYFUNCTION("""COMPUTED_VALUE"""),"7. GOLIVE")</f>
        <v>7. GOLIVE</v>
      </c>
      <c r="P215" s="222" t="str">
        <f>IFERROR(__xludf.DUMMYFUNCTION("""COMPUTED_VALUE"""),"7.2 Golive Full / OA / DONE OTB")</f>
        <v>7.2 Golive Full / OA / DONE OTB</v>
      </c>
      <c r="Q215" s="222" t="str">
        <f>IFERROR(__xludf.DUMMYFUNCTION("""COMPUTED_VALUE"""),"21/04 proses penarikan kabel, 17/04 PROSES TANAM TIANG 3BTG/4BTG,  13/04 Done pengiraman material, progress instalasi 09/04  proses instalasi 08/4 MATDEL 07/04 DONE INPUT MATERIAL, PLAN 08 APR AMBIL MATERIAL, 06/04 PLAN TGL 6 INPUT MATERIAL, 02/04 OGP INP"&amp;"UT MATERIAL, 31/03 EST KIRIM MATERIAL TGL 6 APRIL, 30/03 MASIH KOORDINASI DG MITRA TERKAIT PENGINPUTAN ULANG MATERIAL, 27/03 INPUT ULANG MATERIAL - MSIH KOORDINASI DG MITRA, 26/03 INPUT ULANG MATERIAL - MSIH KOORDINASI DG MITRA, 21/03 DONE PR PO - EST TGL"&amp;" 30 MAR AMBIL MATERIAL, 13/03 MITRA MENGAMBIL MATERIAL EST 30 MAR,  04/03 INFO DARI WASPANG - MATERIAL BELUM DI AMBILL OLEH MITRA, 03/03 MENUNGGU ANTRIAN PEKERJAAN, 27/02 MATERIAL ONSITE, 26/02 OGP AMBIL MATERIAL, 25/02 AMBIL MATERIAL TGL 26/2, 24/02 DONE"&amp;" RFC, OGP PENGAMBILAN MATERIAL, 23/02 MATERIAL DELIVERY, 22/2 menunggu material TIANG  16/02 PROSES AMD BUDGET KRNA OVER BUDGET,  15/02 DONE INPUT MATERIAL, 10/2 perubahan design menunggu confirm dari sales TSEL. , plan Matdel 13 FEB  09/02 DONE DRM, 6/2 "&amp;"proses create PID  31/01 menunggu DRM 30/01 DONE EVAL LANJUT PROGRES, ADA PENURUNAN NILAI BOQ DARI PLAN, 25/01 DONE AANWIDJZING - PERIZINAN OK, (21/01) AANWIDJZING, (15/1) ORDER DITERIMA 14/1, PLAN AANWIJDZING 21 JAN 26  (06/01)order JPP batch-2 2026 ((14"&amp;"/11)HOLD-  tidak masuk target Optimis 2025 
14/01 penunjukan mitra oleh procurement")</f>
        <v>21/04 proses penarikan kabel, 17/04 PROSES TANAM TIANG 3BTG/4BTG,  13/04 Done pengiraman material, progress instalasi 09/04  proses instalasi 08/4 MATDEL 07/04 DONE INPUT MATERIAL, PLAN 08 APR AMBIL MATERIAL, 06/04 PLAN TGL 6 INPUT MATERIAL, 02/04 OGP INPUT MATERIAL, 31/03 EST KIRIM MATERIAL TGL 6 APRIL, 30/03 MASIH KOORDINASI DG MITRA TERKAIT PENGINPUTAN ULANG MATERIAL, 27/03 INPUT ULANG MATERIAL - MSIH KOORDINASI DG MITRA, 26/03 INPUT ULANG MATERIAL - MSIH KOORDINASI DG MITRA, 21/03 DONE PR PO - EST TGL 30 MAR AMBIL MATERIAL, 13/03 MITRA MENGAMBIL MATERIAL EST 30 MAR,  04/03 INFO DARI WASPANG - MATERIAL BELUM DI AMBILL OLEH MITRA, 03/03 MENUNGGU ANTRIAN PEKERJAAN, 27/02 MATERIAL ONSITE, 26/02 OGP AMBIL MATERIAL, 25/02 AMBIL MATERIAL TGL 26/2, 24/02 DONE RFC, OGP PENGAMBILAN MATERIAL, 23/02 MATERIAL DELIVERY, 22/2 menunggu material TIANG  16/02 PROSES AMD BUDGET KRNA OVER BUDGET,  15/02 DONE INPUT MATERIAL, 10/2 perubahan design menunggu confirm dari sales TSEL. , plan Matdel 13 FEB  09/02 DONE DRM, 6/2 proses create PID  31/01 menunggu DRM 30/01 DONE EVAL LANJUT PROGRES, ADA PENURUNAN NILAI BOQ DARI PLAN, 25/01 DONE AANWIDJZING - PERIZINAN OK, (21/01) AANWIDJZING, (15/1) ORDER DITERIMA 14/1, PLAN AANWIJDZING 21 JAN 26  (06/01)order JPP batch-2 2026 ((14/11)HOLD-  tidak masuk target Optimis 2025 
14/01 penunjukan mitra oleh procurement</v>
      </c>
      <c r="R215" s="228">
        <f>IFERROR(__xludf.DUMMYFUNCTION("""COMPUTED_VALUE"""),46133.0)</f>
        <v>46133</v>
      </c>
      <c r="S215" s="11" t="str">
        <f>IFERROR(__xludf.DUMMYFUNCTION("""COMPUTED_VALUE"""),"APR")</f>
        <v>APR</v>
      </c>
      <c r="T215" s="73" t="str">
        <f>IFERROR(__xludf.DUMMYFUNCTION("""COMPUTED_VALUE"""),"P1")</f>
        <v>P1</v>
      </c>
      <c r="U215" s="11"/>
      <c r="V215" s="229" t="str">
        <f>IFERROR(__xludf.DUMMYFUNCTION("""COMPUTED_VALUE"""),"RENALDO")</f>
        <v>RENALDO</v>
      </c>
      <c r="W215" s="229"/>
      <c r="X215" s="229" t="str">
        <f>IFERROR(__xludf.DUMMYFUNCTION("""COMPUTED_VALUE"""),"GOLIVE")</f>
        <v>GOLIVE</v>
      </c>
      <c r="Y215" s="229" t="str">
        <f>IFERROR(__xludf.DUMMYFUNCTION("""COMPUTED_VALUE"""),"DONE")</f>
        <v>DONE</v>
      </c>
      <c r="Z215" s="229" t="str">
        <f>IFERROR(__xludf.DUMMYFUNCTION("""COMPUTED_VALUE"""),"#N/A")</f>
        <v>#N/A</v>
      </c>
      <c r="AA215" s="229">
        <f>IFERROR(__xludf.DUMMYFUNCTION("""COMPUTED_VALUE"""),4.0)</f>
        <v>4</v>
      </c>
      <c r="AB215" s="229"/>
      <c r="AC215" s="229" t="str">
        <f>IFERROR(__xludf.DUMMYFUNCTION("""COMPUTED_VALUE"""),"8940459#8940464")</f>
        <v>8940459#8940464</v>
      </c>
      <c r="AD215" s="232">
        <f>IFERROR(__xludf.DUMMYFUNCTION("""COMPUTED_VALUE"""),32.0)</f>
        <v>32</v>
      </c>
      <c r="AE215" s="233">
        <f>IFERROR(__xludf.DUMMYFUNCTION("""COMPUTED_VALUE"""),46133.0)</f>
        <v>46133</v>
      </c>
      <c r="AF215" s="54"/>
      <c r="AG215" s="54"/>
      <c r="AH215" s="54">
        <v>46136.0</v>
      </c>
      <c r="AI215" s="55">
        <f t="shared" ref="AI215:AI226" si="38">IF(OR(R215="",AE215=""),"",R215-AE215)</f>
        <v>0</v>
      </c>
      <c r="AW215" s="234"/>
      <c r="BP215" s="11"/>
      <c r="BQ215" s="11"/>
      <c r="BR215" s="235"/>
      <c r="BV215" s="158"/>
      <c r="BY215" s="158"/>
      <c r="CB215" s="158"/>
    </row>
    <row r="216" ht="18.0" hidden="1" customHeight="1">
      <c r="A216" s="222">
        <f>IFERROR(__xludf.DUMMYFUNCTION("""COMPUTED_VALUE"""),2026.0)</f>
        <v>2026</v>
      </c>
      <c r="B216" s="221">
        <f>IFERROR(__xludf.DUMMYFUNCTION("""COMPUTED_VALUE"""),1.1263868E7)</f>
        <v>11263868</v>
      </c>
      <c r="C216" s="222" t="str">
        <f>IFERROR(__xludf.DUMMYFUNCTION("""COMPUTED_VALUE"""),"ACH PT3 KTN-FC BR.D04 KUTA SERI")</f>
        <v>ACH PT3 KTN-FC BR.D04 KUTA SERI</v>
      </c>
      <c r="D216" s="222" t="str">
        <f>IFERROR(__xludf.DUMMYFUNCTION("""COMPUTED_VALUE"""),"REGIONAL I")</f>
        <v>REGIONAL I</v>
      </c>
      <c r="E216" s="222" t="str">
        <f>IFERROR(__xludf.DUMMYFUNCTION("""COMPUTED_VALUE"""),"ACEH")</f>
        <v>ACEH</v>
      </c>
      <c r="F216" s="222" t="str">
        <f>IFERROR(__xludf.DUMMYFUNCTION("""COMPUTED_VALUE"""),"KTN")</f>
        <v>KTN</v>
      </c>
      <c r="G216" s="222" t="str">
        <f>IFERROR(__xludf.DUMMYFUNCTION("""COMPUTED_VALUE"""),"SUMBAGUT")</f>
        <v>SUMBAGUT</v>
      </c>
      <c r="H216" s="222" t="str">
        <f>IFERROR(__xludf.DUMMYFUNCTION("""COMPUTED_VALUE"""),"BANDA ACEH")</f>
        <v>BANDA ACEH</v>
      </c>
      <c r="I216" s="222" t="str">
        <f>IFERROR(__xludf.DUMMYFUNCTION("""COMPUTED_VALUE"""),"Batch 2")</f>
        <v>Batch 2</v>
      </c>
      <c r="J216" s="225">
        <f>IFERROR(__xludf.DUMMYFUNCTION("""COMPUTED_VALUE"""),9.0)</f>
        <v>9</v>
      </c>
      <c r="K216" s="224">
        <f>IFERROR(__xludf.DUMMYFUNCTION("""COMPUTED_VALUE"""),72.0)</f>
        <v>72</v>
      </c>
      <c r="L216" s="226">
        <f>IFERROR(__xludf.DUMMYFUNCTION("""COMPUTED_VALUE"""),1413730.0)</f>
        <v>1413730</v>
      </c>
      <c r="M216" s="227">
        <f>IFERROR(__xludf.DUMMYFUNCTION("""COMPUTED_VALUE"""),1.01788502E8)</f>
        <v>101788502</v>
      </c>
      <c r="N216" s="222" t="str">
        <f>IFERROR(__xludf.DUMMYFUNCTION("""COMPUTED_VALUE"""),"PT NURISA JAYA PERKASA")</f>
        <v>PT NURISA JAYA PERKASA</v>
      </c>
      <c r="O216" s="222" t="str">
        <f>IFERROR(__xludf.DUMMYFUNCTION("""COMPUTED_VALUE"""),"7. GOLIVE")</f>
        <v>7. GOLIVE</v>
      </c>
      <c r="P216" s="222" t="str">
        <f>IFERROR(__xludf.DUMMYFUNCTION("""COMPUTED_VALUE"""),"7.2 Golive Full / OA / DONE OTB")</f>
        <v>7.2 Golive Full / OA / DONE OTB</v>
      </c>
      <c r="Q216" s="222" t="str">
        <f>IFERROR(__xludf.DUMMYFUNCTION("""COMPUTED_VALUE"""),"(02/02) ABD Mancore (30/01) proses ABD MANCORE (23/01) Penarikan Kabel (14/01) Tanam Tiang (07/01) Persiapan")</f>
        <v>(02/02) ABD Mancore (30/01) proses ABD MANCORE (23/01) Penarikan Kabel (14/01) Tanam Tiang (07/01) Persiapan</v>
      </c>
      <c r="R216" s="228">
        <f>IFERROR(__xludf.DUMMYFUNCTION("""COMPUTED_VALUE"""),46057.0)</f>
        <v>46057</v>
      </c>
      <c r="S216" s="11"/>
      <c r="T216" s="11"/>
      <c r="U216" s="11" t="str">
        <f>IFERROR(__xludf.DUMMYFUNCTION("""COMPUTED_VALUE"""),"W04-979/2025")</f>
        <v>W04-979/2025</v>
      </c>
      <c r="V216" s="229"/>
      <c r="W216" s="229"/>
      <c r="X216" s="229" t="str">
        <f>IFERROR(__xludf.DUMMYFUNCTION("""COMPUTED_VALUE"""),"GOLIVE")</f>
        <v>GOLIVE</v>
      </c>
      <c r="Y216" s="229" t="str">
        <f>IFERROR(__xludf.DUMMYFUNCTION("""COMPUTED_VALUE"""),"DONE")</f>
        <v>DONE</v>
      </c>
      <c r="Z216" s="229" t="str">
        <f>IFERROR(__xludf.DUMMYFUNCTION("""COMPUTED_VALUE"""),"#N/A")</f>
        <v>#N/A</v>
      </c>
      <c r="AA216" s="229">
        <f>IFERROR(__xludf.DUMMYFUNCTION("""COMPUTED_VALUE"""),9.0)</f>
        <v>9</v>
      </c>
      <c r="AB216" s="229"/>
      <c r="AC216" s="229" t="str">
        <f>IFERROR(__xludf.DUMMYFUNCTION("""COMPUTED_VALUE"""),"9056354#9056359")</f>
        <v>9056354#9056359</v>
      </c>
      <c r="AD216" s="232">
        <f>IFERROR(__xludf.DUMMYFUNCTION("""COMPUTED_VALUE"""),72.0)</f>
        <v>72</v>
      </c>
      <c r="AE216" s="233">
        <f>IFERROR(__xludf.DUMMYFUNCTION("""COMPUTED_VALUE"""),46057.0)</f>
        <v>46057</v>
      </c>
      <c r="AF216" s="54"/>
      <c r="AG216" s="54"/>
      <c r="AH216" s="54">
        <v>46057.0</v>
      </c>
      <c r="AI216" s="55">
        <f t="shared" si="38"/>
        <v>0</v>
      </c>
      <c r="AW216" s="234"/>
      <c r="BP216" s="11"/>
      <c r="BQ216" s="11"/>
      <c r="BR216" s="235"/>
      <c r="BV216" s="158"/>
      <c r="BY216" s="158"/>
      <c r="CB216" s="158"/>
    </row>
    <row r="217" ht="18.0" hidden="1" customHeight="1">
      <c r="A217" s="222">
        <f>IFERROR(__xludf.DUMMYFUNCTION("""COMPUTED_VALUE"""),2026.0)</f>
        <v>2026</v>
      </c>
      <c r="B217" s="221">
        <f>IFERROR(__xludf.DUMMYFUNCTION("""COMPUTED_VALUE"""),1.1264602E7)</f>
        <v>11264602</v>
      </c>
      <c r="C217" s="222" t="str">
        <f>IFERROR(__xludf.DUMMYFUNCTION("""COMPUTED_VALUE"""),"ACH PT3 BNN-FE D07 PULO PUP")</f>
        <v>ACH PT3 BNN-FE D07 PULO PUP</v>
      </c>
      <c r="D217" s="222" t="str">
        <f>IFERROR(__xludf.DUMMYFUNCTION("""COMPUTED_VALUE"""),"REGIONAL I")</f>
        <v>REGIONAL I</v>
      </c>
      <c r="E217" s="222" t="str">
        <f>IFERROR(__xludf.DUMMYFUNCTION("""COMPUTED_VALUE"""),"ACEH")</f>
        <v>ACEH</v>
      </c>
      <c r="F217" s="222" t="str">
        <f>IFERROR(__xludf.DUMMYFUNCTION("""COMPUTED_VALUE"""),"BNN")</f>
        <v>BNN</v>
      </c>
      <c r="G217" s="222" t="str">
        <f>IFERROR(__xludf.DUMMYFUNCTION("""COMPUTED_VALUE"""),"SUMBAGUT")</f>
        <v>SUMBAGUT</v>
      </c>
      <c r="H217" s="222" t="str">
        <f>IFERROR(__xludf.DUMMYFUNCTION("""COMPUTED_VALUE"""),"BANDA ACEH")</f>
        <v>BANDA ACEH</v>
      </c>
      <c r="I217" s="222" t="str">
        <f>IFERROR(__xludf.DUMMYFUNCTION("""COMPUTED_VALUE"""),"Batch 2")</f>
        <v>Batch 2</v>
      </c>
      <c r="J217" s="225">
        <f>IFERROR(__xludf.DUMMYFUNCTION("""COMPUTED_VALUE"""),14.0)</f>
        <v>14</v>
      </c>
      <c r="K217" s="224">
        <f>IFERROR(__xludf.DUMMYFUNCTION("""COMPUTED_VALUE"""),112.0)</f>
        <v>112</v>
      </c>
      <c r="L217" s="226">
        <f>IFERROR(__xludf.DUMMYFUNCTION("""COMPUTED_VALUE"""),1413182.0)</f>
        <v>1413182</v>
      </c>
      <c r="M217" s="227">
        <f>IFERROR(__xludf.DUMMYFUNCTION("""COMPUTED_VALUE"""),1.58276356E8)</f>
        <v>158276356</v>
      </c>
      <c r="N217" s="222" t="str">
        <f>IFERROR(__xludf.DUMMYFUNCTION("""COMPUTED_VALUE"""),"PT TRIPOLA PANATA")</f>
        <v>PT TRIPOLA PANATA</v>
      </c>
      <c r="O217" s="222" t="str">
        <f>IFERROR(__xludf.DUMMYFUNCTION("""COMPUTED_VALUE"""),"4. MATDEL")</f>
        <v>4. MATDEL</v>
      </c>
      <c r="P217" s="222" t="str">
        <f>IFERROR(__xludf.DUMMYFUNCTION("""COMPUTED_VALUE"""),"4.2 Sudah Request Material (Alista)")</f>
        <v>4.2 Sudah Request Material (Alista)</v>
      </c>
      <c r="Q217" s="222" t="str">
        <f>IFERROR(__xludf.DUMMYFUNCTION("""COMPUTED_VALUE"""),"21/4 Menunggu Kabel 12 (03/03)delmat (07/02) Review Hasil Aanwijzing (07/01) Persiapan")</f>
        <v>21/4 Menunggu Kabel 12 (03/03)delmat (07/02) Review Hasil Aanwijzing (07/01) Persiapan</v>
      </c>
      <c r="R217" s="228"/>
      <c r="S217" s="11"/>
      <c r="T217" s="73"/>
      <c r="U217" s="11"/>
      <c r="V217" s="229"/>
      <c r="W217" s="229" t="str">
        <f>IFERROR(__xludf.DUMMYFUNCTION("""COMPUTED_VALUE"""),"#N/A")</f>
        <v>#N/A</v>
      </c>
      <c r="X217" s="229" t="str">
        <f>IFERROR(__xludf.DUMMYFUNCTION("""COMPUTED_VALUE"""),"BELUM GOLIVE")</f>
        <v>BELUM GOLIVE</v>
      </c>
      <c r="Y217" s="229"/>
      <c r="Z217" s="229" t="str">
        <f>IFERROR(__xludf.DUMMYFUNCTION("""COMPUTED_VALUE"""),"#N/A")</f>
        <v>#N/A</v>
      </c>
      <c r="AA217" s="229"/>
      <c r="AB217" s="229"/>
      <c r="AC217" s="229"/>
      <c r="AD217" s="232"/>
      <c r="AE217" s="233"/>
      <c r="AF217" s="54"/>
      <c r="AG217" s="54"/>
      <c r="AH217" s="54">
        <v>46139.0</v>
      </c>
      <c r="AI217" s="55" t="str">
        <f t="shared" si="38"/>
        <v/>
      </c>
      <c r="AW217" s="234"/>
      <c r="BP217" s="11"/>
      <c r="BQ217" s="11"/>
      <c r="BR217" s="235"/>
      <c r="BV217" s="158"/>
      <c r="BY217" s="158"/>
      <c r="CB217" s="158"/>
    </row>
    <row r="218" ht="18.0" customHeight="1">
      <c r="A218" s="222">
        <f>IFERROR(__xludf.DUMMYFUNCTION("""COMPUTED_VALUE"""),2026.0)</f>
        <v>2026</v>
      </c>
      <c r="B218" s="221">
        <f>IFERROR(__xludf.DUMMYFUNCTION("""COMPUTED_VALUE"""),1.1196719E7)</f>
        <v>11196719</v>
      </c>
      <c r="C218" s="222" t="str">
        <f>IFERROR(__xludf.DUMMYFUNCTION("""COMPUTED_VALUE"""),"RKP PT3 TSEL SYA-FX JL. NUSANTARA")</f>
        <v>RKP PT3 TSEL SYA-FX JL. NUSANTARA</v>
      </c>
      <c r="D218" s="222" t="str">
        <f>IFERROR(__xludf.DUMMYFUNCTION("""COMPUTED_VALUE"""),"REGIONAL I")</f>
        <v>REGIONAL I</v>
      </c>
      <c r="E218" s="222" t="str">
        <f>IFERROR(__xludf.DUMMYFUNCTION("""COMPUTED_VALUE"""),"RIKEP")</f>
        <v>RIKEP</v>
      </c>
      <c r="F218" s="222" t="str">
        <f>IFERROR(__xludf.DUMMYFUNCTION("""COMPUTED_VALUE"""),"SYA")</f>
        <v>SYA</v>
      </c>
      <c r="G218" s="222" t="str">
        <f>IFERROR(__xludf.DUMMYFUNCTION("""COMPUTED_VALUE"""),"SUMBAGTENG")</f>
        <v>SUMBAGTENG</v>
      </c>
      <c r="H218" s="222" t="str">
        <f>IFERROR(__xludf.DUMMYFUNCTION("""COMPUTED_VALUE"""),"BATAM")</f>
        <v>BATAM</v>
      </c>
      <c r="I218" s="222" t="str">
        <f>IFERROR(__xludf.DUMMYFUNCTION("""COMPUTED_VALUE"""),"Batch 2")</f>
        <v>Batch 2</v>
      </c>
      <c r="J218" s="225">
        <f>IFERROR(__xludf.DUMMYFUNCTION("""COMPUTED_VALUE"""),2.0)</f>
        <v>2</v>
      </c>
      <c r="K218" s="224">
        <f>IFERROR(__xludf.DUMMYFUNCTION("""COMPUTED_VALUE"""),16.0)</f>
        <v>16</v>
      </c>
      <c r="L218" s="226">
        <f>IFERROR(__xludf.DUMMYFUNCTION("""COMPUTED_VALUE"""),1412903.0)</f>
        <v>1412903</v>
      </c>
      <c r="M218" s="227">
        <f>IFERROR(__xludf.DUMMYFUNCTION("""COMPUTED_VALUE"""),2.2606444E7)</f>
        <v>22606444</v>
      </c>
      <c r="N218" s="222" t="str">
        <f>IFERROR(__xludf.DUMMYFUNCTION("""COMPUTED_VALUE"""),"PT DWI MITRA JAYA UTAMA")</f>
        <v>PT DWI MITRA JAYA UTAMA</v>
      </c>
      <c r="O218" s="222" t="str">
        <f>IFERROR(__xludf.DUMMYFUNCTION("""COMPUTED_VALUE"""),"0. DROP")</f>
        <v>0. DROP</v>
      </c>
      <c r="P218" s="222" t="str">
        <f>IFERROR(__xludf.DUMMYFUNCTION("""COMPUTED_VALUE"""),"0.2 Tidak Dapat Izin Warga/Kades/Lurah/Developer")</f>
        <v>0.2 Tidak Dapat Izin Warga/Kades/Lurah/Developer</v>
      </c>
      <c r="Q218" s="222" t="str">
        <f>IFERROR(__xludf.DUMMYFUNCTION("""COMPUTED_VALUE"""),"25/03 total ada 2 tiang tidak di acc buat di tanam oleh tuan tanah, tidak ada jalur lain untuk redesign. 09/03 progres di mulai tanggal 11 mar, karena pic sedang sakit. 
03/03 izin ok req material. 16/02 besok perizinan di FU kembali 17 Feb. 09/02 FU kemb"&amp;"ali izin besok 10 Feb karena PIC sedang fokus installasi. 28/01 Plan survey tanggal 29 Jan.  21/01 plan anwijzing 26 jan, peralihan mitra")</f>
        <v>25/03 total ada 2 tiang tidak di acc buat di tanam oleh tuan tanah, tidak ada jalur lain untuk redesign. 09/03 progres di mulai tanggal 11 mar, karena pic sedang sakit. 
03/03 izin ok req material. 16/02 besok perizinan di FU kembali 17 Feb. 09/02 FU kembali izin besok 10 Feb karena PIC sedang fokus installasi. 28/01 Plan survey tanggal 29 Jan.  21/01 plan anwijzing 26 jan, peralihan mitra</v>
      </c>
      <c r="R218" s="228"/>
      <c r="S218" s="11"/>
      <c r="T218" s="11"/>
      <c r="U218" s="11" t="str">
        <f>IFERROR(__xludf.DUMMYFUNCTION("""COMPUTED_VALUE"""),"W09-224/2026")</f>
        <v>W09-224/2026</v>
      </c>
      <c r="V218" s="229" t="str">
        <f>IFERROR(__xludf.DUMMYFUNCTION("""COMPUTED_VALUE"""),"MOHAMMAD FAUZY")</f>
        <v>MOHAMMAD FAUZY</v>
      </c>
      <c r="W218" s="229" t="str">
        <f>IFERROR(__xludf.DUMMYFUNCTION("""COMPUTED_VALUE"""),"LEVITA INDRIYANI")</f>
        <v>LEVITA INDRIYANI</v>
      </c>
      <c r="X218" s="229" t="str">
        <f>IFERROR(__xludf.DUMMYFUNCTION("""COMPUTED_VALUE"""),"BELUM GOLIVE")</f>
        <v>BELUM GOLIVE</v>
      </c>
      <c r="Y218" s="229"/>
      <c r="Z218" s="229" t="str">
        <f>IFERROR(__xludf.DUMMYFUNCTION("""COMPUTED_VALUE"""),"#N/A")</f>
        <v>#N/A</v>
      </c>
      <c r="AA218" s="229"/>
      <c r="AB218" s="229"/>
      <c r="AC218" s="229"/>
      <c r="AD218" s="232"/>
      <c r="AE218" s="233"/>
      <c r="AF218" s="54"/>
      <c r="AG218" s="54"/>
      <c r="AH218" s="54"/>
      <c r="AI218" s="55" t="str">
        <f t="shared" si="38"/>
        <v/>
      </c>
      <c r="AW218" s="234"/>
      <c r="BP218" s="11"/>
      <c r="BQ218" s="11"/>
      <c r="BR218" s="235"/>
      <c r="BV218" s="158"/>
      <c r="BY218" s="158"/>
      <c r="CB218" s="158"/>
    </row>
    <row r="219" ht="18.0" customHeight="1">
      <c r="A219" s="222">
        <f>IFERROR(__xludf.DUMMYFUNCTION("""COMPUTED_VALUE"""),2026.0)</f>
        <v>2026</v>
      </c>
      <c r="B219" s="221">
        <f>IFERROR(__xludf.DUMMYFUNCTION("""COMPUTED_VALUE"""),1.1216389E7)</f>
        <v>11216389</v>
      </c>
      <c r="C219" s="222" t="str">
        <f>IFERROR(__xludf.DUMMYFUNCTION("""COMPUTED_VALUE"""),"SMB P1I2 AOi42412231224458341d1390")</f>
        <v>SMB P1I2 AOi42412231224458341d1390</v>
      </c>
      <c r="D219" s="222" t="str">
        <f>IFERROR(__xludf.DUMMYFUNCTION("""COMPUTED_VALUE"""),"REGIONAL I")</f>
        <v>REGIONAL I</v>
      </c>
      <c r="E219" s="222" t="str">
        <f>IFERROR(__xludf.DUMMYFUNCTION("""COMPUTED_VALUE"""),"SUMBAR")</f>
        <v>SUMBAR</v>
      </c>
      <c r="F219" s="222" t="str">
        <f>IFERROR(__xludf.DUMMYFUNCTION("""COMPUTED_VALUE"""),"SPE")</f>
        <v>SPE</v>
      </c>
      <c r="G219" s="222" t="str">
        <f>IFERROR(__xludf.DUMMYFUNCTION("""COMPUTED_VALUE"""),"SUMBAGTENG")</f>
        <v>SUMBAGTENG</v>
      </c>
      <c r="H219" s="222" t="str">
        <f>IFERROR(__xludf.DUMMYFUNCTION("""COMPUTED_VALUE"""),"BUKIT TINGGI")</f>
        <v>BUKIT TINGGI</v>
      </c>
      <c r="I219" s="222" t="str">
        <f>IFERROR(__xludf.DUMMYFUNCTION("""COMPUTED_VALUE"""),"Batch 2")</f>
        <v>Batch 2</v>
      </c>
      <c r="J219" s="225">
        <f>IFERROR(__xludf.DUMMYFUNCTION("""COMPUTED_VALUE"""),1.0)</f>
        <v>1</v>
      </c>
      <c r="K219" s="224">
        <f>IFERROR(__xludf.DUMMYFUNCTION("""COMPUTED_VALUE"""),8.0)</f>
        <v>8</v>
      </c>
      <c r="L219" s="226">
        <f>IFERROR(__xludf.DUMMYFUNCTION("""COMPUTED_VALUE"""),1412020.0)</f>
        <v>1412020</v>
      </c>
      <c r="M219" s="227">
        <f>IFERROR(__xludf.DUMMYFUNCTION("""COMPUTED_VALUE"""),1.1296157E7)</f>
        <v>11296157</v>
      </c>
      <c r="N219" s="222" t="str">
        <f>IFERROR(__xludf.DUMMYFUNCTION("""COMPUTED_VALUE"""),"PT TIGA AKSES MANDIRI")</f>
        <v>PT TIGA AKSES MANDIRI</v>
      </c>
      <c r="O219" s="222" t="str">
        <f>IFERROR(__xludf.DUMMYFUNCTION("""COMPUTED_VALUE"""),"0. DROP")</f>
        <v>0. DROP</v>
      </c>
      <c r="P219" s="222" t="str">
        <f>IFERROR(__xludf.DUMMYFUNCTION("""COMPUTED_VALUE"""),"0.3 Feeder Full")</f>
        <v>0.3 Feeder Full</v>
      </c>
      <c r="Q219" s="222" t="str">
        <f>IFERROR(__xludf.DUMMYFUNCTION("""COMPUTED_VALUE"""),"08/01 : FEEDER SPE-FB FULL (07/01) Persiapan")</f>
        <v>08/01 : FEEDER SPE-FB FULL (07/01) Persiapan</v>
      </c>
      <c r="R219" s="228"/>
      <c r="S219" s="11"/>
      <c r="T219" s="11"/>
      <c r="U219" s="11"/>
      <c r="V219" s="229"/>
      <c r="W219" s="229"/>
      <c r="X219" s="229" t="str">
        <f>IFERROR(__xludf.DUMMYFUNCTION("""COMPUTED_VALUE"""),"BELUM GOLIVE")</f>
        <v>BELUM GOLIVE</v>
      </c>
      <c r="Y219" s="229"/>
      <c r="Z219" s="229" t="str">
        <f>IFERROR(__xludf.DUMMYFUNCTION("""COMPUTED_VALUE"""),"#N/A")</f>
        <v>#N/A</v>
      </c>
      <c r="AA219" s="229"/>
      <c r="AB219" s="229"/>
      <c r="AC219" s="229"/>
      <c r="AD219" s="232"/>
      <c r="AE219" s="233"/>
      <c r="AF219" s="54" t="str">
        <f>IFERROR(__xludf.DUMMYFUNCTION("""COMPUTED_VALUE"""),"Draft BA DROP")</f>
        <v>Draft BA DROP</v>
      </c>
      <c r="AG219" s="54"/>
      <c r="AH219" s="54"/>
      <c r="AI219" s="55" t="str">
        <f t="shared" si="38"/>
        <v/>
      </c>
      <c r="AW219" s="234"/>
      <c r="BP219" s="11"/>
      <c r="BQ219" s="11"/>
      <c r="BR219" s="235"/>
      <c r="BV219" s="158"/>
      <c r="BY219" s="158"/>
      <c r="CB219" s="158"/>
    </row>
    <row r="220" ht="18.0" customHeight="1">
      <c r="A220" s="222">
        <f>IFERROR(__xludf.DUMMYFUNCTION("""COMPUTED_VALUE"""),2026.0)</f>
        <v>2026</v>
      </c>
      <c r="B220" s="221">
        <f>IFERROR(__xludf.DUMMYFUNCTION("""COMPUTED_VALUE"""),1.2333746E7)</f>
        <v>12333746</v>
      </c>
      <c r="C220" s="222" t="str">
        <f>IFERROR(__xludf.DUMMYFUNCTION("""COMPUTED_VALUE"""),"SMB-PT3-ODC-KNL-FD-250-25_2200-3CLUSTER")</f>
        <v>SMB-PT3-ODC-KNL-FD-250-25_2200-3CLUSTER</v>
      </c>
      <c r="D220" s="222" t="str">
        <f>IFERROR(__xludf.DUMMYFUNCTION("""COMPUTED_VALUE"""),"REGIONAL I")</f>
        <v>REGIONAL I</v>
      </c>
      <c r="E220" s="222" t="str">
        <f>IFERROR(__xludf.DUMMYFUNCTION("""COMPUTED_VALUE"""),"SUMBAR")</f>
        <v>SUMBAR</v>
      </c>
      <c r="F220" s="222" t="str">
        <f>IFERROR(__xludf.DUMMYFUNCTION("""COMPUTED_VALUE"""),"KNL")</f>
        <v>KNL</v>
      </c>
      <c r="G220" s="222" t="str">
        <f>IFERROR(__xludf.DUMMYFUNCTION("""COMPUTED_VALUE"""),"SUMBAGTENG")</f>
        <v>SUMBAGTENG</v>
      </c>
      <c r="H220" s="222" t="str">
        <f>IFERROR(__xludf.DUMMYFUNCTION("""COMPUTED_VALUE"""),"BUKIT TINGGI")</f>
        <v>BUKIT TINGGI</v>
      </c>
      <c r="I220" s="222" t="str">
        <f>IFERROR(__xludf.DUMMYFUNCTION("""COMPUTED_VALUE"""),"Batch 2")</f>
        <v>Batch 2</v>
      </c>
      <c r="J220" s="225">
        <f>IFERROR(__xludf.DUMMYFUNCTION("""COMPUTED_VALUE"""),7.0)</f>
        <v>7</v>
      </c>
      <c r="K220" s="224">
        <f>IFERROR(__xludf.DUMMYFUNCTION("""COMPUTED_VALUE"""),56.0)</f>
        <v>56</v>
      </c>
      <c r="L220" s="226">
        <f>IFERROR(__xludf.DUMMYFUNCTION("""COMPUTED_VALUE"""),1408677.0)</f>
        <v>1408677</v>
      </c>
      <c r="M220" s="227">
        <f>IFERROR(__xludf.DUMMYFUNCTION("""COMPUTED_VALUE"""),7.8885912E7)</f>
        <v>78885912</v>
      </c>
      <c r="N220" s="222" t="str">
        <f>IFERROR(__xludf.DUMMYFUNCTION("""COMPUTED_VALUE"""),"PT TIGA AKSES MANDIRI")</f>
        <v>PT TIGA AKSES MANDIRI</v>
      </c>
      <c r="O220" s="222" t="str">
        <f>IFERROR(__xludf.DUMMYFUNCTION("""COMPUTED_VALUE"""),"8. UJI TERIMA")</f>
        <v>8. UJI TERIMA</v>
      </c>
      <c r="P220" s="222" t="str">
        <f>IFERROR(__xludf.DUMMYFUNCTION("""COMPUTED_VALUE"""),"8.1 Proses UT")</f>
        <v>8.1 Proses UT</v>
      </c>
      <c r="Q220" s="222" t="str">
        <f>IFERROR(__xludf.DUMMYFUNCTION("""COMPUTED_VALUE"""),"(04/02) menunggu UT, plan UT 05/02/2026  (03/02) Proses valins (29/01) proses delivery material  (21/01) proses CReate PID (07/01) Persiapan")</f>
        <v>(04/02) menunggu UT, plan UT 05/02/2026  (03/02) Proses valins (29/01) proses delivery material  (21/01) proses CReate PID (07/01) Persiapan</v>
      </c>
      <c r="R220" s="228">
        <f>IFERROR(__xludf.DUMMYFUNCTION("""COMPUTED_VALUE"""),46080.0)</f>
        <v>46080</v>
      </c>
      <c r="S220" s="11"/>
      <c r="T220" s="11"/>
      <c r="U220" s="11" t="str">
        <f>IFERROR(__xludf.DUMMYFUNCTION("""COMPUTED_VALUE"""),"TIF-2108/2026 26KT03R158-0017")</f>
        <v>TIF-2108/2026 26KT03R158-0017</v>
      </c>
      <c r="V220" s="229" t="str">
        <f>IFERROR(__xludf.DUMMYFUNCTION("""COMPUTED_VALUE"""),"JANUAR RIZAL")</f>
        <v>JANUAR RIZAL</v>
      </c>
      <c r="W220" s="229" t="str">
        <f>IFERROR(__xludf.DUMMYFUNCTION("""COMPUTED_VALUE"""),"MELKO NARWADI")</f>
        <v>MELKO NARWADI</v>
      </c>
      <c r="X220" s="229" t="str">
        <f>IFERROR(__xludf.DUMMYFUNCTION("""COMPUTED_VALUE"""),"GOLIVE")</f>
        <v>GOLIVE</v>
      </c>
      <c r="Y220" s="229" t="str">
        <f>IFERROR(__xludf.DUMMYFUNCTION("""COMPUTED_VALUE"""),"DONE")</f>
        <v>DONE</v>
      </c>
      <c r="Z220" s="229" t="str">
        <f>IFERROR(__xludf.DUMMYFUNCTION("""COMPUTED_VALUE"""),"#N/A")</f>
        <v>#N/A</v>
      </c>
      <c r="AA220" s="229">
        <f>IFERROR(__xludf.DUMMYFUNCTION("""COMPUTED_VALUE"""),9.0)</f>
        <v>9</v>
      </c>
      <c r="AB220" s="229"/>
      <c r="AC220" s="229" t="str">
        <f>IFERROR(__xludf.DUMMYFUNCTION("""COMPUTED_VALUE"""),"9070570#9070575")</f>
        <v>9070570#9070575</v>
      </c>
      <c r="AD220" s="232">
        <f>IFERROR(__xludf.DUMMYFUNCTION("""COMPUTED_VALUE"""),72.0)</f>
        <v>72</v>
      </c>
      <c r="AE220" s="233">
        <f>IFERROR(__xludf.DUMMYFUNCTION("""COMPUTED_VALUE"""),46059.0)</f>
        <v>46059</v>
      </c>
      <c r="AF220" s="54"/>
      <c r="AG220" s="54"/>
      <c r="AH220" s="54">
        <v>46080.0</v>
      </c>
      <c r="AI220" s="55">
        <f t="shared" si="38"/>
        <v>21</v>
      </c>
      <c r="AW220" s="234"/>
      <c r="BP220" s="11"/>
      <c r="BQ220" s="11"/>
      <c r="BR220" s="235"/>
      <c r="BV220" s="158"/>
      <c r="BY220" s="158"/>
      <c r="CB220" s="158"/>
    </row>
    <row r="221" ht="18.0" hidden="1" customHeight="1">
      <c r="A221" s="222">
        <f>IFERROR(__xludf.DUMMYFUNCTION("""COMPUTED_VALUE"""),2026.0)</f>
        <v>2026</v>
      </c>
      <c r="B221" s="221">
        <f>IFERROR(__xludf.DUMMYFUNCTION("""COMPUTED_VALUE"""),1.1587343E7)</f>
        <v>11587343</v>
      </c>
      <c r="C221" s="222" t="str">
        <f>IFERROR(__xludf.DUMMYFUNCTION("""COMPUTED_VALUE"""),"ACH LNO PT3 LNO-FB UJONG MULOH")</f>
        <v>ACH LNO PT3 LNO-FB UJONG MULOH</v>
      </c>
      <c r="D221" s="222" t="str">
        <f>IFERROR(__xludf.DUMMYFUNCTION("""COMPUTED_VALUE"""),"REGIONAL I")</f>
        <v>REGIONAL I</v>
      </c>
      <c r="E221" s="222" t="str">
        <f>IFERROR(__xludf.DUMMYFUNCTION("""COMPUTED_VALUE"""),"ACEH")</f>
        <v>ACEH</v>
      </c>
      <c r="F221" s="222" t="str">
        <f>IFERROR(__xludf.DUMMYFUNCTION("""COMPUTED_VALUE"""),"LNO")</f>
        <v>LNO</v>
      </c>
      <c r="G221" s="222" t="str">
        <f>IFERROR(__xludf.DUMMYFUNCTION("""COMPUTED_VALUE"""),"SUMBAGUT")</f>
        <v>SUMBAGUT</v>
      </c>
      <c r="H221" s="222" t="str">
        <f>IFERROR(__xludf.DUMMYFUNCTION("""COMPUTED_VALUE"""),"BANDA ACEH")</f>
        <v>BANDA ACEH</v>
      </c>
      <c r="I221" s="222" t="str">
        <f>IFERROR(__xludf.DUMMYFUNCTION("""COMPUTED_VALUE"""),"Batch 2")</f>
        <v>Batch 2</v>
      </c>
      <c r="J221" s="225">
        <f>IFERROR(__xludf.DUMMYFUNCTION("""COMPUTED_VALUE"""),7.0)</f>
        <v>7</v>
      </c>
      <c r="K221" s="224">
        <f>IFERROR(__xludf.DUMMYFUNCTION("""COMPUTED_VALUE"""),56.0)</f>
        <v>56</v>
      </c>
      <c r="L221" s="226">
        <f>IFERROR(__xludf.DUMMYFUNCTION("""COMPUTED_VALUE"""),1407377.0)</f>
        <v>1407377</v>
      </c>
      <c r="M221" s="227">
        <f>IFERROR(__xludf.DUMMYFUNCTION("""COMPUTED_VALUE"""),7.8813102E7)</f>
        <v>78813102</v>
      </c>
      <c r="N221" s="222" t="str">
        <f>IFERROR(__xludf.DUMMYFUNCTION("""COMPUTED_VALUE"""),"PT TRIPOLA PANATA")</f>
        <v>PT TRIPOLA PANATA</v>
      </c>
      <c r="O221" s="222" t="str">
        <f>IFERROR(__xludf.DUMMYFUNCTION("""COMPUTED_VALUE"""),"4. MATDEL")</f>
        <v>4. MATDEL</v>
      </c>
      <c r="P221" s="222" t="str">
        <f>IFERROR(__xludf.DUMMYFUNCTION("""COMPUTED_VALUE"""),"4.2 Sudah Request Material (Alista)")</f>
        <v>4.2 Sudah Request Material (Alista)</v>
      </c>
      <c r="Q221" s="222" t="str">
        <f>IFERROR(__xludf.DUMMYFUNCTION("""COMPUTED_VALUE"""),"(21/4 Menunggu Kabel 12 03/03) DelMat (02/02) Done Aanwijzing (30/01) REVIEW DESAIN PLAN ANAWIZING(07/01) Persiapan")</f>
        <v>(21/4 Menunggu Kabel 12 03/03) DelMat (02/02) Done Aanwijzing (30/01) REVIEW DESAIN PLAN ANAWIZING(07/01) Persiapan</v>
      </c>
      <c r="R221" s="228"/>
      <c r="S221" s="11"/>
      <c r="T221" s="73"/>
      <c r="U221" s="11"/>
      <c r="V221" s="229"/>
      <c r="W221" s="229" t="str">
        <f>IFERROR(__xludf.DUMMYFUNCTION("""COMPUTED_VALUE"""),"#N/A")</f>
        <v>#N/A</v>
      </c>
      <c r="X221" s="229" t="str">
        <f>IFERROR(__xludf.DUMMYFUNCTION("""COMPUTED_VALUE"""),"BELUM GOLIVE")</f>
        <v>BELUM GOLIVE</v>
      </c>
      <c r="Y221" s="229"/>
      <c r="Z221" s="229" t="str">
        <f>IFERROR(__xludf.DUMMYFUNCTION("""COMPUTED_VALUE"""),"#N/A")</f>
        <v>#N/A</v>
      </c>
      <c r="AA221" s="229"/>
      <c r="AB221" s="229"/>
      <c r="AC221" s="229"/>
      <c r="AD221" s="232"/>
      <c r="AE221" s="233"/>
      <c r="AF221" s="54"/>
      <c r="AG221" s="54"/>
      <c r="AH221" s="54">
        <v>46140.0</v>
      </c>
      <c r="AI221" s="55" t="str">
        <f t="shared" si="38"/>
        <v/>
      </c>
      <c r="AW221" s="234"/>
      <c r="BP221" s="11"/>
      <c r="BQ221" s="11"/>
      <c r="BR221" s="235"/>
      <c r="BV221" s="158"/>
      <c r="BY221" s="158"/>
      <c r="CB221" s="158"/>
    </row>
    <row r="222" ht="18.0" hidden="1" customHeight="1">
      <c r="A222" s="222">
        <f>IFERROR(__xludf.DUMMYFUNCTION("""COMPUTED_VALUE"""),2026.0)</f>
        <v>2026</v>
      </c>
      <c r="B222" s="221">
        <f>IFERROR(__xludf.DUMMYFUNCTION("""COMPUTED_VALUE"""),1.1389018E7)</f>
        <v>11389018</v>
      </c>
      <c r="C222" s="222" t="str">
        <f>IFERROR(__xludf.DUMMYFUNCTION("""COMPUTED_VALUE"""),"ACH PT3 BPD-FC D07 PADANG GEULUMPANG")</f>
        <v>ACH PT3 BPD-FC D07 PADANG GEULUMPANG</v>
      </c>
      <c r="D222" s="222" t="str">
        <f>IFERROR(__xludf.DUMMYFUNCTION("""COMPUTED_VALUE"""),"REGIONAL I")</f>
        <v>REGIONAL I</v>
      </c>
      <c r="E222" s="222" t="str">
        <f>IFERROR(__xludf.DUMMYFUNCTION("""COMPUTED_VALUE"""),"ACEH")</f>
        <v>ACEH</v>
      </c>
      <c r="F222" s="222" t="str">
        <f>IFERROR(__xludf.DUMMYFUNCTION("""COMPUTED_VALUE"""),"BPD")</f>
        <v>BPD</v>
      </c>
      <c r="G222" s="222" t="str">
        <f>IFERROR(__xludf.DUMMYFUNCTION("""COMPUTED_VALUE"""),"SUMBAGUT")</f>
        <v>SUMBAGUT</v>
      </c>
      <c r="H222" s="222" t="str">
        <f>IFERROR(__xludf.DUMMYFUNCTION("""COMPUTED_VALUE"""),"BANDA ACEH")</f>
        <v>BANDA ACEH</v>
      </c>
      <c r="I222" s="222" t="str">
        <f>IFERROR(__xludf.DUMMYFUNCTION("""COMPUTED_VALUE"""),"Batch 2")</f>
        <v>Batch 2</v>
      </c>
      <c r="J222" s="225">
        <f>IFERROR(__xludf.DUMMYFUNCTION("""COMPUTED_VALUE"""),23.0)</f>
        <v>23</v>
      </c>
      <c r="K222" s="224">
        <f>IFERROR(__xludf.DUMMYFUNCTION("""COMPUTED_VALUE"""),184.0)</f>
        <v>184</v>
      </c>
      <c r="L222" s="226">
        <f>IFERROR(__xludf.DUMMYFUNCTION("""COMPUTED_VALUE"""),1406782.0)</f>
        <v>1406782</v>
      </c>
      <c r="M222" s="227">
        <f>IFERROR(__xludf.DUMMYFUNCTION("""COMPUTED_VALUE"""),2.58847742E8)</f>
        <v>258847742</v>
      </c>
      <c r="N222" s="222" t="str">
        <f>IFERROR(__xludf.DUMMYFUNCTION("""COMPUTED_VALUE"""),"PT NIAGA NUSANTARA DIVA")</f>
        <v>PT NIAGA NUSANTARA DIVA</v>
      </c>
      <c r="O222" s="222" t="str">
        <f>IFERROR(__xludf.DUMMYFUNCTION("""COMPUTED_VALUE"""),"7. GOLIVE")</f>
        <v>7. GOLIVE</v>
      </c>
      <c r="P222" s="222" t="str">
        <f>IFERROR(__xludf.DUMMYFUNCTION("""COMPUTED_VALUE"""),"7.2 Golive Full / OA / DONE OTB")</f>
        <v>7.2 Golive Full / OA / DONE OTB</v>
      </c>
      <c r="Q222" s="222" t="str">
        <f>IFERROR(__xludf.DUMMYFUNCTION("""COMPUTED_VALUE"""),"(09/04) Validasi ABD Mancore (08/04) Terminasi (03/03) Penarikan Kabel (09/02) PO Material (06/02) Done Aanwijzing (29/01) proses survey (07/01) Persiapan")</f>
        <v>(09/04) Validasi ABD Mancore (08/04) Terminasi (03/03) Penarikan Kabel (09/02) PO Material (06/02) Done Aanwijzing (29/01) proses survey (07/01) Persiapan</v>
      </c>
      <c r="R222" s="228">
        <f>IFERROR(__xludf.DUMMYFUNCTION("""COMPUTED_VALUE"""),46121.0)</f>
        <v>46121</v>
      </c>
      <c r="S222" s="11"/>
      <c r="T222" s="73"/>
      <c r="U222" s="11"/>
      <c r="V222" s="229"/>
      <c r="W222" s="229" t="str">
        <f>IFERROR(__xludf.DUMMYFUNCTION("""COMPUTED_VALUE"""),"#N/A")</f>
        <v>#N/A</v>
      </c>
      <c r="X222" s="229" t="str">
        <f>IFERROR(__xludf.DUMMYFUNCTION("""COMPUTED_VALUE"""),"GOLIVE")</f>
        <v>GOLIVE</v>
      </c>
      <c r="Y222" s="229" t="str">
        <f>IFERROR(__xludf.DUMMYFUNCTION("""COMPUTED_VALUE"""),"DONE")</f>
        <v>DONE</v>
      </c>
      <c r="Z222" s="229" t="str">
        <f>IFERROR(__xludf.DUMMYFUNCTION("""COMPUTED_VALUE"""),"#N/A")</f>
        <v>#N/A</v>
      </c>
      <c r="AA222" s="229">
        <f>IFERROR(__xludf.DUMMYFUNCTION("""COMPUTED_VALUE"""),23.0)</f>
        <v>23</v>
      </c>
      <c r="AB222" s="229"/>
      <c r="AC222" s="229" t="str">
        <f>IFERROR(__xludf.DUMMYFUNCTION("""COMPUTED_VALUE"""),"9245615#9245625")</f>
        <v>9245615#9245625</v>
      </c>
      <c r="AD222" s="232">
        <f>IFERROR(__xludf.DUMMYFUNCTION("""COMPUTED_VALUE"""),184.0)</f>
        <v>184</v>
      </c>
      <c r="AE222" s="233">
        <f>IFERROR(__xludf.DUMMYFUNCTION("""COMPUTED_VALUE"""),46121.0)</f>
        <v>46121</v>
      </c>
      <c r="AF222" s="54"/>
      <c r="AG222" s="54"/>
      <c r="AH222" s="54">
        <v>46121.0</v>
      </c>
      <c r="AI222" s="55">
        <f t="shared" si="38"/>
        <v>0</v>
      </c>
      <c r="AW222" s="234"/>
      <c r="BP222" s="11"/>
      <c r="BQ222" s="11"/>
      <c r="BR222" s="235"/>
      <c r="BV222" s="158"/>
      <c r="BY222" s="158"/>
      <c r="CB222" s="158"/>
    </row>
    <row r="223" ht="18.0" hidden="1" customHeight="1">
      <c r="A223" s="222">
        <f>IFERROR(__xludf.DUMMYFUNCTION("""COMPUTED_VALUE"""),2026.0)</f>
        <v>2026</v>
      </c>
      <c r="B223" s="221">
        <f>IFERROR(__xludf.DUMMYFUNCTION("""COMPUTED_VALUE"""),1.1449462E7)</f>
        <v>11449462</v>
      </c>
      <c r="C223" s="222" t="str">
        <f>IFERROR(__xludf.DUMMYFUNCTION("""COMPUTED_VALUE"""),"BNK-PT3-TIS-FJ-JPPTSEL- TABA")</f>
        <v>BNK-PT3-TIS-FJ-JPPTSEL- TABA</v>
      </c>
      <c r="D223" s="222" t="str">
        <f>IFERROR(__xludf.DUMMYFUNCTION("""COMPUTED_VALUE"""),"REGIONAL I")</f>
        <v>REGIONAL I</v>
      </c>
      <c r="E223" s="222" t="str">
        <f>IFERROR(__xludf.DUMMYFUNCTION("""COMPUTED_VALUE"""),"BENGKULU")</f>
        <v>BENGKULU</v>
      </c>
      <c r="F223" s="222" t="str">
        <f>IFERROR(__xludf.DUMMYFUNCTION("""COMPUTED_VALUE"""),"MNA")</f>
        <v>MNA</v>
      </c>
      <c r="G223" s="222" t="str">
        <f>IFERROR(__xludf.DUMMYFUNCTION("""COMPUTED_VALUE"""),"SUMBAGSEL")</f>
        <v>SUMBAGSEL</v>
      </c>
      <c r="H223" s="222" t="str">
        <f>IFERROR(__xludf.DUMMYFUNCTION("""COMPUTED_VALUE"""),"BENGKULU")</f>
        <v>BENGKULU</v>
      </c>
      <c r="I223" s="222" t="str">
        <f>IFERROR(__xludf.DUMMYFUNCTION("""COMPUTED_VALUE"""),"Batch 2")</f>
        <v>Batch 2</v>
      </c>
      <c r="J223" s="225">
        <f>IFERROR(__xludf.DUMMYFUNCTION("""COMPUTED_VALUE"""),20.0)</f>
        <v>20</v>
      </c>
      <c r="K223" s="224">
        <f>IFERROR(__xludf.DUMMYFUNCTION("""COMPUTED_VALUE"""),160.0)</f>
        <v>160</v>
      </c>
      <c r="L223" s="226">
        <f>IFERROR(__xludf.DUMMYFUNCTION("""COMPUTED_VALUE"""),1405954.0)</f>
        <v>1405954</v>
      </c>
      <c r="M223" s="227">
        <f>IFERROR(__xludf.DUMMYFUNCTION("""COMPUTED_VALUE"""),2.24952516E8)</f>
        <v>224952516</v>
      </c>
      <c r="N223" s="222" t="str">
        <f>IFERROR(__xludf.DUMMYFUNCTION("""COMPUTED_VALUE"""),"PT GARINDO TECHNO MANDIRI")</f>
        <v>PT GARINDO TECHNO MANDIRI</v>
      </c>
      <c r="O223" s="222" t="str">
        <f>IFERROR(__xludf.DUMMYFUNCTION("""COMPUTED_VALUE"""),"0. DROP")</f>
        <v>0. DROP</v>
      </c>
      <c r="P223" s="222" t="str">
        <f>IFERROR(__xludf.DUMMYFUNCTION("""COMPUTED_VALUE"""),"0.2 Tidak Dapat Izin Warga/Kades/Lurah/Developer")</f>
        <v>0.2 Tidak Dapat Izin Warga/Kades/Lurah/Developer</v>
      </c>
      <c r="Q223" s="222" t="str">
        <f>IFERROR(__xludf.DUMMYFUNCTION("""COMPUTED_VALUE"""),"02/03 : kepala desa tebat sibun meminta kompensasi wifi gratis di kantor desa selama seumur hidup ; BASETRAY ODC FULL")</f>
        <v>02/03 : kepala desa tebat sibun meminta kompensasi wifi gratis di kantor desa selama seumur hidup ; BASETRAY ODC FULL</v>
      </c>
      <c r="R223" s="228"/>
      <c r="S223" s="11"/>
      <c r="T223" s="11"/>
      <c r="U223" s="11"/>
      <c r="V223" s="229"/>
      <c r="W223" s="229"/>
      <c r="X223" s="229" t="str">
        <f>IFERROR(__xludf.DUMMYFUNCTION("""COMPUTED_VALUE"""),"BELUM GOLIVE")</f>
        <v>BELUM GOLIVE</v>
      </c>
      <c r="Y223" s="229"/>
      <c r="Z223" s="229" t="str">
        <f>IFERROR(__xludf.DUMMYFUNCTION("""COMPUTED_VALUE"""),"#N/A")</f>
        <v>#N/A</v>
      </c>
      <c r="AA223" s="229"/>
      <c r="AB223" s="229"/>
      <c r="AC223" s="229"/>
      <c r="AD223" s="232"/>
      <c r="AE223" s="233"/>
      <c r="AF223" s="54" t="str">
        <f>IFERROR(__xludf.DUMMYFUNCTION("""COMPUTED_VALUE"""),"Draft BA DROP")</f>
        <v>Draft BA DROP</v>
      </c>
      <c r="AG223" s="54"/>
      <c r="AH223" s="54"/>
      <c r="AI223" s="55" t="str">
        <f t="shared" si="38"/>
        <v/>
      </c>
      <c r="AW223" s="234"/>
      <c r="BP223" s="11"/>
      <c r="BQ223" s="11"/>
      <c r="BR223" s="235"/>
      <c r="BV223" s="158"/>
      <c r="BY223" s="158"/>
      <c r="CB223" s="158"/>
    </row>
    <row r="224" ht="18.0" hidden="1" customHeight="1">
      <c r="A224" s="222">
        <f>IFERROR(__xludf.DUMMYFUNCTION("""COMPUTED_VALUE"""),2026.0)</f>
        <v>2026</v>
      </c>
      <c r="B224" s="221">
        <f>IFERROR(__xludf.DUMMYFUNCTION("""COMPUTED_VALUE"""),1.1324393E7)</f>
        <v>11324393</v>
      </c>
      <c r="C224" s="222" t="str">
        <f>IFERROR(__xludf.DUMMYFUNCTION("""COMPUTED_VALUE"""),"MDN PT3 PRT-FA JL.PS MELINTANG")</f>
        <v>MDN PT3 PRT-FA JL.PS MELINTANG</v>
      </c>
      <c r="D224" s="222" t="str">
        <f>IFERROR(__xludf.DUMMYFUNCTION("""COMPUTED_VALUE"""),"REGIONAL I")</f>
        <v>REGIONAL I</v>
      </c>
      <c r="E224" s="222" t="str">
        <f>IFERROR(__xludf.DUMMYFUNCTION("""COMPUTED_VALUE"""),"MEDAN")</f>
        <v>MEDAN</v>
      </c>
      <c r="F224" s="222" t="str">
        <f>IFERROR(__xludf.DUMMYFUNCTION("""COMPUTED_VALUE"""),"PRT")</f>
        <v>PRT</v>
      </c>
      <c r="G224" s="222" t="str">
        <f>IFERROR(__xludf.DUMMYFUNCTION("""COMPUTED_VALUE"""),"SUMBAGUT")</f>
        <v>SUMBAGUT</v>
      </c>
      <c r="H224" s="222" t="str">
        <f>IFERROR(__xludf.DUMMYFUNCTION("""COMPUTED_VALUE"""),"MEDAN")</f>
        <v>MEDAN</v>
      </c>
      <c r="I224" s="222" t="str">
        <f>IFERROR(__xludf.DUMMYFUNCTION("""COMPUTED_VALUE"""),"Batch 2")</f>
        <v>Batch 2</v>
      </c>
      <c r="J224" s="225">
        <f>IFERROR(__xludf.DUMMYFUNCTION("""COMPUTED_VALUE"""),10.0)</f>
        <v>10</v>
      </c>
      <c r="K224" s="224">
        <f>IFERROR(__xludf.DUMMYFUNCTION("""COMPUTED_VALUE"""),80.0)</f>
        <v>80</v>
      </c>
      <c r="L224" s="226">
        <f>IFERROR(__xludf.DUMMYFUNCTION("""COMPUTED_VALUE"""),1727878.0)</f>
        <v>1727878</v>
      </c>
      <c r="M224" s="227">
        <f>IFERROR(__xludf.DUMMYFUNCTION("""COMPUTED_VALUE"""),1.38230195E8)</f>
        <v>138230195</v>
      </c>
      <c r="N224" s="222" t="str">
        <f>IFERROR(__xludf.DUMMYFUNCTION("""COMPUTED_VALUE"""),"PT BENWA  MITRA PRATAMA")</f>
        <v>PT BENWA  MITRA PRATAMA</v>
      </c>
      <c r="O224" s="222" t="str">
        <f>IFERROR(__xludf.DUMMYFUNCTION("""COMPUTED_VALUE"""),"0. DROP")</f>
        <v>0. DROP</v>
      </c>
      <c r="P224" s="222" t="str">
        <f>IFERROR(__xludf.DUMMYFUNCTION("""COMPUTED_VALUE"""),"0.4 CPP Tinggi Acc ED TIF")</f>
        <v>0.4 CPP Tinggi Acc ED TIF</v>
      </c>
      <c r="Q224" s="222" t="str">
        <f>IFERROR(__xludf.DUMMYFUNCTION("""COMPUTED_VALUE"""),"02/02 Feeder OK, lanjut perizinan")</f>
        <v>02/02 Feeder OK, lanjut perizinan</v>
      </c>
      <c r="R224" s="228"/>
      <c r="S224" s="11"/>
      <c r="T224" s="11"/>
      <c r="U224" s="11"/>
      <c r="V224" s="229"/>
      <c r="W224" s="229"/>
      <c r="X224" s="229" t="str">
        <f>IFERROR(__xludf.DUMMYFUNCTION("""COMPUTED_VALUE"""),"BELUM GOLIVE")</f>
        <v>BELUM GOLIVE</v>
      </c>
      <c r="Y224" s="229"/>
      <c r="Z224" s="229" t="str">
        <f>IFERROR(__xludf.DUMMYFUNCTION("""COMPUTED_VALUE"""),"#N/A")</f>
        <v>#N/A</v>
      </c>
      <c r="AA224" s="229"/>
      <c r="AB224" s="229"/>
      <c r="AC224" s="229"/>
      <c r="AD224" s="232"/>
      <c r="AE224" s="233"/>
      <c r="AF224" s="54" t="str">
        <f>IFERROR(__xludf.DUMMYFUNCTION("""COMPUTED_VALUE"""),"Draft BA DROP")</f>
        <v>Draft BA DROP</v>
      </c>
      <c r="AG224" s="54"/>
      <c r="AH224" s="54"/>
      <c r="AI224" s="55" t="str">
        <f t="shared" si="38"/>
        <v/>
      </c>
      <c r="AW224" s="234"/>
      <c r="BP224" s="11"/>
      <c r="BQ224" s="11"/>
      <c r="BR224" s="235"/>
      <c r="BV224" s="158"/>
      <c r="BY224" s="158"/>
      <c r="CB224" s="158"/>
    </row>
    <row r="225" ht="18.0" hidden="1" customHeight="1">
      <c r="A225" s="222">
        <f>IFERROR(__xludf.DUMMYFUNCTION("""COMPUTED_VALUE"""),2026.0)</f>
        <v>2026</v>
      </c>
      <c r="B225" s="221">
        <f>IFERROR(__xludf.DUMMYFUNCTION("""COMPUTED_VALUE"""),1.2086027E7)</f>
        <v>12086027</v>
      </c>
      <c r="C225" s="222" t="str">
        <f>IFERROR(__xludf.DUMMYFUNCTION("""COMPUTED_VALUE"""),"LPG PT3 JPP MD TANGGAMUS_619 TGP")</f>
        <v>LPG PT3 JPP MD TANGGAMUS_619 TGP</v>
      </c>
      <c r="D225" s="222" t="str">
        <f>IFERROR(__xludf.DUMMYFUNCTION("""COMPUTED_VALUE"""),"REGIONAL I")</f>
        <v>REGIONAL I</v>
      </c>
      <c r="E225" s="222" t="str">
        <f>IFERROR(__xludf.DUMMYFUNCTION("""COMPUTED_VALUE"""),"LAMPUNG")</f>
        <v>LAMPUNG</v>
      </c>
      <c r="F225" s="222" t="str">
        <f>IFERROR(__xludf.DUMMYFUNCTION("""COMPUTED_VALUE"""),"TGP")</f>
        <v>TGP</v>
      </c>
      <c r="G225" s="222" t="str">
        <f>IFERROR(__xludf.DUMMYFUNCTION("""COMPUTED_VALUE"""),"SUMBAGSEL")</f>
        <v>SUMBAGSEL</v>
      </c>
      <c r="H225" s="222" t="str">
        <f>IFERROR(__xludf.DUMMYFUNCTION("""COMPUTED_VALUE"""),"LAMPUNG")</f>
        <v>LAMPUNG</v>
      </c>
      <c r="I225" s="222" t="str">
        <f>IFERROR(__xludf.DUMMYFUNCTION("""COMPUTED_VALUE"""),"Batch 2")</f>
        <v>Batch 2</v>
      </c>
      <c r="J225" s="225">
        <f>IFERROR(__xludf.DUMMYFUNCTION("""COMPUTED_VALUE"""),14.0)</f>
        <v>14</v>
      </c>
      <c r="K225" s="224">
        <f>IFERROR(__xludf.DUMMYFUNCTION("""COMPUTED_VALUE"""),112.0)</f>
        <v>112</v>
      </c>
      <c r="L225" s="226">
        <f>IFERROR(__xludf.DUMMYFUNCTION("""COMPUTED_VALUE"""),1402498.0)</f>
        <v>1402498</v>
      </c>
      <c r="M225" s="227">
        <f>IFERROR(__xludf.DUMMYFUNCTION("""COMPUTED_VALUE"""),1.5707969E8)</f>
        <v>157079690</v>
      </c>
      <c r="N225" s="222" t="str">
        <f>IFERROR(__xludf.DUMMYFUNCTION("""COMPUTED_VALUE"""),"PT GARINDO TECHNO MANDIRI")</f>
        <v>PT GARINDO TECHNO MANDIRI</v>
      </c>
      <c r="O225" s="222" t="str">
        <f>IFERROR(__xludf.DUMMYFUNCTION("""COMPUTED_VALUE"""),"0. DROP")</f>
        <v>0. DROP</v>
      </c>
      <c r="P225" s="222" t="str">
        <f>IFERROR(__xludf.DUMMYFUNCTION("""COMPUTED_VALUE"""),"0.3 Feeder Full")</f>
        <v>0.3 Feeder Full</v>
      </c>
      <c r="Q225" s="222" t="str">
        <f>IFERROR(__xludf.DUMMYFUNCTION("""COMPUTED_VALUE"""),"4/3 bastray full ,butuh redesain new pt 4 
2/3 belum terima redesain baru pt4 dari sdi 
27/2 butuh kordinasi ke tift terkait odc 288 sudah penuh,, 25/2 PENGECEKAN CORE DAN FEDEER 
14/1 odc 288 sudah penuh distribusi baru tidak bisa masuk")</f>
        <v>4/3 bastray full ,butuh redesain new pt 4 
2/3 belum terima redesain baru pt4 dari sdi 
27/2 butuh kordinasi ke tift terkait odc 288 sudah penuh,, 25/2 PENGECEKAN CORE DAN FEDEER 
14/1 odc 288 sudah penuh distribusi baru tidak bisa masuk</v>
      </c>
      <c r="R225" s="228"/>
      <c r="S225" s="11"/>
      <c r="T225" s="11"/>
      <c r="U225" s="11"/>
      <c r="V225" s="229"/>
      <c r="W225" s="229"/>
      <c r="X225" s="229" t="str">
        <f>IFERROR(__xludf.DUMMYFUNCTION("""COMPUTED_VALUE"""),"BELUM GOLIVE")</f>
        <v>BELUM GOLIVE</v>
      </c>
      <c r="Y225" s="229"/>
      <c r="Z225" s="229" t="str">
        <f>IFERROR(__xludf.DUMMYFUNCTION("""COMPUTED_VALUE"""),"#N/A")</f>
        <v>#N/A</v>
      </c>
      <c r="AA225" s="229"/>
      <c r="AB225" s="229"/>
      <c r="AC225" s="229"/>
      <c r="AD225" s="232"/>
      <c r="AE225" s="233"/>
      <c r="AF225" s="54"/>
      <c r="AG225" s="54"/>
      <c r="AH225" s="54"/>
      <c r="AI225" s="55" t="str">
        <f t="shared" si="38"/>
        <v/>
      </c>
      <c r="AW225" s="234"/>
      <c r="BP225" s="11"/>
      <c r="BQ225" s="11"/>
      <c r="BR225" s="235"/>
      <c r="BV225" s="158"/>
      <c r="BY225" s="158"/>
      <c r="CB225" s="158"/>
    </row>
    <row r="226" ht="18.0" hidden="1" customHeight="1">
      <c r="A226" s="222">
        <f>IFERROR(__xludf.DUMMYFUNCTION("""COMPUTED_VALUE"""),2026.0)</f>
        <v>2026</v>
      </c>
      <c r="B226" s="221">
        <f>IFERROR(__xludf.DUMMYFUNCTION("""COMPUTED_VALUE"""),1.138901E7)</f>
        <v>11389010</v>
      </c>
      <c r="C226" s="222" t="str">
        <f>IFERROR(__xludf.DUMMYFUNCTION("""COMPUTED_VALUE"""),"ACH PT3 BPD-FC BR D05 COT JEURAT")</f>
        <v>ACH PT3 BPD-FC BR D05 COT JEURAT</v>
      </c>
      <c r="D226" s="222" t="str">
        <f>IFERROR(__xludf.DUMMYFUNCTION("""COMPUTED_VALUE"""),"REGIONAL I")</f>
        <v>REGIONAL I</v>
      </c>
      <c r="E226" s="222" t="str">
        <f>IFERROR(__xludf.DUMMYFUNCTION("""COMPUTED_VALUE"""),"ACEH")</f>
        <v>ACEH</v>
      </c>
      <c r="F226" s="222" t="str">
        <f>IFERROR(__xludf.DUMMYFUNCTION("""COMPUTED_VALUE"""),"BPD")</f>
        <v>BPD</v>
      </c>
      <c r="G226" s="222" t="str">
        <f>IFERROR(__xludf.DUMMYFUNCTION("""COMPUTED_VALUE"""),"SUMBAGUT")</f>
        <v>SUMBAGUT</v>
      </c>
      <c r="H226" s="222" t="str">
        <f>IFERROR(__xludf.DUMMYFUNCTION("""COMPUTED_VALUE"""),"BANDA ACEH")</f>
        <v>BANDA ACEH</v>
      </c>
      <c r="I226" s="222" t="str">
        <f>IFERROR(__xludf.DUMMYFUNCTION("""COMPUTED_VALUE"""),"Batch 2")</f>
        <v>Batch 2</v>
      </c>
      <c r="J226" s="225">
        <f>IFERROR(__xludf.DUMMYFUNCTION("""COMPUTED_VALUE"""),12.0)</f>
        <v>12</v>
      </c>
      <c r="K226" s="224">
        <f>IFERROR(__xludf.DUMMYFUNCTION("""COMPUTED_VALUE"""),96.0)</f>
        <v>96</v>
      </c>
      <c r="L226" s="226">
        <f>IFERROR(__xludf.DUMMYFUNCTION("""COMPUTED_VALUE"""),1401650.0)</f>
        <v>1401650</v>
      </c>
      <c r="M226" s="227">
        <f>IFERROR(__xludf.DUMMYFUNCTION("""COMPUTED_VALUE"""),1.34558311E8)</f>
        <v>134558311</v>
      </c>
      <c r="N226" s="222" t="str">
        <f>IFERROR(__xludf.DUMMYFUNCTION("""COMPUTED_VALUE"""),"PT NIAGA NUSANTARA DIVA")</f>
        <v>PT NIAGA NUSANTARA DIVA</v>
      </c>
      <c r="O226" s="222" t="str">
        <f>IFERROR(__xludf.DUMMYFUNCTION("""COMPUTED_VALUE"""),"7. GOLIVE")</f>
        <v>7. GOLIVE</v>
      </c>
      <c r="P226" s="222" t="str">
        <f>IFERROR(__xludf.DUMMYFUNCTION("""COMPUTED_VALUE"""),"7.2 Golive Full / OA / DONE OTB")</f>
        <v>7.2 Golive Full / OA / DONE OTB</v>
      </c>
      <c r="Q226" s="222" t="str">
        <f>IFERROR(__xludf.DUMMYFUNCTION("""COMPUTED_VALUE"""),"(03/02) ABD Mancore (29/01)selesai fisik (23/01) Penarikan Kabel (14/01) Tanam Tiang (07/01) Persiapan")</f>
        <v>(03/02) ABD Mancore (29/01)selesai fisik (23/01) Penarikan Kabel (14/01) Tanam Tiang (07/01) Persiapan</v>
      </c>
      <c r="R226" s="228">
        <f>IFERROR(__xludf.DUMMYFUNCTION("""COMPUTED_VALUE"""),46057.0)</f>
        <v>46057</v>
      </c>
      <c r="S226" s="11"/>
      <c r="T226" s="11"/>
      <c r="U226" s="11" t="str">
        <f>IFERROR(__xludf.DUMMYFUNCTION("""COMPUTED_VALUE"""),"W04-904/2025")</f>
        <v>W04-904/2025</v>
      </c>
      <c r="V226" s="229"/>
      <c r="W226" s="229"/>
      <c r="X226" s="229" t="str">
        <f>IFERROR(__xludf.DUMMYFUNCTION("""COMPUTED_VALUE"""),"GOLIVE")</f>
        <v>GOLIVE</v>
      </c>
      <c r="Y226" s="229" t="str">
        <f>IFERROR(__xludf.DUMMYFUNCTION("""COMPUTED_VALUE"""),"DONE")</f>
        <v>DONE</v>
      </c>
      <c r="Z226" s="229" t="str">
        <f>IFERROR(__xludf.DUMMYFUNCTION("""COMPUTED_VALUE"""),"#N/A")</f>
        <v>#N/A</v>
      </c>
      <c r="AA226" s="229">
        <f>IFERROR(__xludf.DUMMYFUNCTION("""COMPUTED_VALUE"""),11.0)</f>
        <v>11</v>
      </c>
      <c r="AB226" s="229"/>
      <c r="AC226" s="229" t="str">
        <f>IFERROR(__xludf.DUMMYFUNCTION("""COMPUTED_VALUE"""),"9046493#9046498")</f>
        <v>9046493#9046498</v>
      </c>
      <c r="AD226" s="232">
        <f>IFERROR(__xludf.DUMMYFUNCTION("""COMPUTED_VALUE"""),88.0)</f>
        <v>88</v>
      </c>
      <c r="AE226" s="233">
        <f>IFERROR(__xludf.DUMMYFUNCTION("""COMPUTED_VALUE"""),46057.0)</f>
        <v>46057</v>
      </c>
      <c r="AF226" s="54"/>
      <c r="AG226" s="54"/>
      <c r="AH226" s="54">
        <v>46120.0</v>
      </c>
      <c r="AI226" s="55">
        <f t="shared" si="38"/>
        <v>0</v>
      </c>
      <c r="AJ226" s="229" t="str">
        <f t="shared" ref="AJ226:AJ227" si="39">if(AI226&gt;=0,"Gl in Komitmen","Gl out komitmen")</f>
        <v>Gl in Komitmen</v>
      </c>
      <c r="AK226" s="229" t="s">
        <v>199</v>
      </c>
      <c r="AW226" s="234"/>
      <c r="BP226" s="11"/>
      <c r="BQ226" s="11"/>
      <c r="BR226" s="235"/>
      <c r="BV226" s="158"/>
      <c r="BY226" s="158"/>
      <c r="CB226" s="158"/>
    </row>
    <row r="227" ht="18.0" customHeight="1">
      <c r="A227" s="222">
        <f>IFERROR(__xludf.DUMMYFUNCTION("""COMPUTED_VALUE"""),2026.0)</f>
        <v>2026</v>
      </c>
      <c r="B227" s="221">
        <f>IFERROR(__xludf.DUMMYFUNCTION("""COMPUTED_VALUE"""),1.1313314E7)</f>
        <v>11313314</v>
      </c>
      <c r="C227" s="222" t="str">
        <f>IFERROR(__xludf.DUMMYFUNCTION("""COMPUTED_VALUE"""),"RKP PT3 TSEL BDS-FY TIBAN PERMATA BIRU")</f>
        <v>RKP PT3 TSEL BDS-FY TIBAN PERMATA BIRU</v>
      </c>
      <c r="D227" s="222" t="str">
        <f>IFERROR(__xludf.DUMMYFUNCTION("""COMPUTED_VALUE"""),"REGIONAL I")</f>
        <v>REGIONAL I</v>
      </c>
      <c r="E227" s="222" t="str">
        <f>IFERROR(__xludf.DUMMYFUNCTION("""COMPUTED_VALUE"""),"RIKEP")</f>
        <v>RIKEP</v>
      </c>
      <c r="F227" s="222" t="str">
        <f>IFERROR(__xludf.DUMMYFUNCTION("""COMPUTED_VALUE"""),"DGS")</f>
        <v>DGS</v>
      </c>
      <c r="G227" s="222" t="str">
        <f>IFERROR(__xludf.DUMMYFUNCTION("""COMPUTED_VALUE"""),"SUMBAGTENG")</f>
        <v>SUMBAGTENG</v>
      </c>
      <c r="H227" s="222" t="str">
        <f>IFERROR(__xludf.DUMMYFUNCTION("""COMPUTED_VALUE"""),"BATAM")</f>
        <v>BATAM</v>
      </c>
      <c r="I227" s="222" t="str">
        <f>IFERROR(__xludf.DUMMYFUNCTION("""COMPUTED_VALUE"""),"Batch 2")</f>
        <v>Batch 2</v>
      </c>
      <c r="J227" s="225">
        <f>IFERROR(__xludf.DUMMYFUNCTION("""COMPUTED_VALUE"""),2.0)</f>
        <v>2</v>
      </c>
      <c r="K227" s="224">
        <f>IFERROR(__xludf.DUMMYFUNCTION("""COMPUTED_VALUE"""),16.0)</f>
        <v>16</v>
      </c>
      <c r="L227" s="226">
        <f>IFERROR(__xludf.DUMMYFUNCTION("""COMPUTED_VALUE"""),1396975.0)</f>
        <v>1396975</v>
      </c>
      <c r="M227" s="227">
        <f>IFERROR(__xludf.DUMMYFUNCTION("""COMPUTED_VALUE"""),2.2351589E7)</f>
        <v>22351589</v>
      </c>
      <c r="N227" s="222" t="str">
        <f>IFERROR(__xludf.DUMMYFUNCTION("""COMPUTED_VALUE"""),"PT MITRA HOSINDO SEJAHTERA")</f>
        <v>PT MITRA HOSINDO SEJAHTERA</v>
      </c>
      <c r="O227" s="222" t="str">
        <f>IFERROR(__xludf.DUMMYFUNCTION("""COMPUTED_VALUE"""),"7. GOLIVE")</f>
        <v>7. GOLIVE</v>
      </c>
      <c r="P227" s="222" t="str">
        <f>IFERROR(__xludf.DUMMYFUNCTION("""COMPUTED_VALUE"""),"7.2 Golive Full / OA / DONE OTB")</f>
        <v>7.2 Golive Full / OA / DONE OTB</v>
      </c>
      <c r="Q227" s="222" t="str">
        <f>IFERROR(__xludf.DUMMYFUNCTION("""COMPUTED_VALUE"""),"07/04 menunggu ABD 
06/04 Pembuatan ABD. 02/04 galian lubang tiang. 31/03 Plan progres LOP besok tanggal 01 apr, plan golive tanggal 4 april 2026. 30/03 MP mitra masih mengerjakalan tematik lain. 04/03 OGP REQ MATERIAL
09/02 Feeder rusak. 28/01 Plan surve"&amp;"y 29 Jan. 21/01 plan survey minggu depan tgl 26
")</f>
        <v>07/04 menunggu ABD 
06/04 Pembuatan ABD. 02/04 galian lubang tiang. 31/03 Plan progres LOP besok tanggal 01 apr, plan golive tanggal 4 april 2026. 30/03 MP mitra masih mengerjakalan tematik lain. 04/03 OGP REQ MATERIAL
09/02 Feeder rusak. 28/01 Plan survey 29 Jan. 21/01 plan survey minggu depan tgl 26
</v>
      </c>
      <c r="R227" s="228">
        <f>IFERROR(__xludf.DUMMYFUNCTION("""COMPUTED_VALUE"""),46120.0)</f>
        <v>46120</v>
      </c>
      <c r="S227" s="11" t="str">
        <f>IFERROR(__xludf.DUMMYFUNCTION("""COMPUTED_VALUE"""),"APR")</f>
        <v>APR</v>
      </c>
      <c r="T227" s="73" t="str">
        <f>IFERROR(__xludf.DUMMYFUNCTION("""COMPUTED_VALUE"""),"P1")</f>
        <v>P1</v>
      </c>
      <c r="U227" s="11" t="str">
        <f>IFERROR(__xludf.DUMMYFUNCTION("""COMPUTED_VALUE"""),"W09-275/2026")</f>
        <v>W09-275/2026</v>
      </c>
      <c r="V227" s="229" t="str">
        <f>IFERROR(__xludf.DUMMYFUNCTION("""COMPUTED_VALUE"""),"GANI PRASTYO")</f>
        <v>GANI PRASTYO</v>
      </c>
      <c r="W227" s="229" t="str">
        <f>IFERROR(__xludf.DUMMYFUNCTION("""COMPUTED_VALUE"""),"LEVITA INDRIYANI")</f>
        <v>LEVITA INDRIYANI</v>
      </c>
      <c r="X227" s="229" t="str">
        <f>IFERROR(__xludf.DUMMYFUNCTION("""COMPUTED_VALUE"""),"GOLIVE")</f>
        <v>GOLIVE</v>
      </c>
      <c r="Y227" s="229" t="str">
        <f>IFERROR(__xludf.DUMMYFUNCTION("""COMPUTED_VALUE"""),"DONE")</f>
        <v>DONE</v>
      </c>
      <c r="Z227" s="229" t="str">
        <f>IFERROR(__xludf.DUMMYFUNCTION("""COMPUTED_VALUE"""),"#N/A")</f>
        <v>#N/A</v>
      </c>
      <c r="AA227" s="229">
        <f>IFERROR(__xludf.DUMMYFUNCTION("""COMPUTED_VALUE"""),2.0)</f>
        <v>2</v>
      </c>
      <c r="AB227" s="229"/>
      <c r="AC227" s="229" t="str">
        <f>IFERROR(__xludf.DUMMYFUNCTION("""COMPUTED_VALUE"""),"9197972#9197977")</f>
        <v>9197972#9197977</v>
      </c>
      <c r="AD227" s="232">
        <f>IFERROR(__xludf.DUMMYFUNCTION("""COMPUTED_VALUE"""),16.0)</f>
        <v>16</v>
      </c>
      <c r="AE227" s="233">
        <f>IFERROR(__xludf.DUMMYFUNCTION("""COMPUTED_VALUE"""),46120.0)</f>
        <v>46120</v>
      </c>
      <c r="AF227" s="54"/>
      <c r="AG227" s="54"/>
      <c r="AH227" s="54">
        <v>46120.0</v>
      </c>
      <c r="AI227" s="55">
        <f>IF(OR(AH227="",AE227=""),"",AH227-AE227)</f>
        <v>0</v>
      </c>
      <c r="AJ227" s="229" t="str">
        <f t="shared" si="39"/>
        <v>Gl in Komitmen</v>
      </c>
      <c r="AK227" s="231" t="s">
        <v>199</v>
      </c>
      <c r="AW227" s="234"/>
      <c r="BP227" s="11"/>
      <c r="BQ227" s="11"/>
      <c r="BR227" s="235"/>
      <c r="BV227" s="158"/>
      <c r="BY227" s="158"/>
      <c r="CB227" s="158"/>
    </row>
    <row r="228" ht="18.0" hidden="1" customHeight="1">
      <c r="A228" s="222">
        <f>IFERROR(__xludf.DUMMYFUNCTION("""COMPUTED_VALUE"""),2026.0)</f>
        <v>2026</v>
      </c>
      <c r="B228" s="221">
        <f>IFERROR(__xludf.DUMMYFUNCTION("""COMPUTED_VALUE"""),1.1025849E7)</f>
        <v>11025849</v>
      </c>
      <c r="C228" s="222" t="str">
        <f>IFERROR(__xludf.DUMMYFUNCTION("""COMPUTED_VALUE"""),"MDN PT3 CTD-FCB KOMPLEK MEDAN KRIO ASRI")</f>
        <v>MDN PT3 CTD-FCB KOMPLEK MEDAN KRIO ASRI</v>
      </c>
      <c r="D228" s="222" t="str">
        <f>IFERROR(__xludf.DUMMYFUNCTION("""COMPUTED_VALUE"""),"REGIONAL I")</f>
        <v>REGIONAL I</v>
      </c>
      <c r="E228" s="222" t="str">
        <f>IFERROR(__xludf.DUMMYFUNCTION("""COMPUTED_VALUE"""),"MEDAN")</f>
        <v>MEDAN</v>
      </c>
      <c r="F228" s="222" t="str">
        <f>IFERROR(__xludf.DUMMYFUNCTION("""COMPUTED_VALUE"""),"CTD")</f>
        <v>CTD</v>
      </c>
      <c r="G228" s="222" t="str">
        <f>IFERROR(__xludf.DUMMYFUNCTION("""COMPUTED_VALUE"""),"SUMBAGUT")</f>
        <v>SUMBAGUT</v>
      </c>
      <c r="H228" s="222" t="str">
        <f>IFERROR(__xludf.DUMMYFUNCTION("""COMPUTED_VALUE"""),"MEDAN")</f>
        <v>MEDAN</v>
      </c>
      <c r="I228" s="222" t="str">
        <f>IFERROR(__xludf.DUMMYFUNCTION("""COMPUTED_VALUE"""),"Batch 2")</f>
        <v>Batch 2</v>
      </c>
      <c r="J228" s="225">
        <f>IFERROR(__xludf.DUMMYFUNCTION("""COMPUTED_VALUE"""),6.0)</f>
        <v>6</v>
      </c>
      <c r="K228" s="224">
        <f>IFERROR(__xludf.DUMMYFUNCTION("""COMPUTED_VALUE"""),48.0)</f>
        <v>48</v>
      </c>
      <c r="L228" s="226">
        <f>IFERROR(__xludf.DUMMYFUNCTION("""COMPUTED_VALUE"""),1396844.0)</f>
        <v>1396844</v>
      </c>
      <c r="M228" s="227">
        <f>IFERROR(__xludf.DUMMYFUNCTION("""COMPUTED_VALUE"""),6.7048489E7)</f>
        <v>67048489</v>
      </c>
      <c r="N228" s="222" t="str">
        <f>IFERROR(__xludf.DUMMYFUNCTION("""COMPUTED_VALUE"""),"PT TRIPOLA PANATA")</f>
        <v>PT TRIPOLA PANATA</v>
      </c>
      <c r="O228" s="222" t="str">
        <f>IFERROR(__xludf.DUMMYFUNCTION("""COMPUTED_VALUE"""),"0. DROP")</f>
        <v>0. DROP</v>
      </c>
      <c r="P228" s="222" t="str">
        <f>IFERROR(__xludf.DUMMYFUNCTION("""COMPUTED_VALUE"""),"0.4 CPP Tinggi Acc ED TIF")</f>
        <v>0.4 CPP Tinggi Acc ED TIF</v>
      </c>
      <c r="Q228"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228" s="228"/>
      <c r="S228" s="11"/>
      <c r="T228" s="11"/>
      <c r="U228" s="11"/>
      <c r="V228" s="229"/>
      <c r="W228" s="229"/>
      <c r="X228" s="229" t="str">
        <f>IFERROR(__xludf.DUMMYFUNCTION("""COMPUTED_VALUE"""),"BELUM GOLIVE")</f>
        <v>BELUM GOLIVE</v>
      </c>
      <c r="Y228" s="229"/>
      <c r="Z228" s="229" t="str">
        <f>IFERROR(__xludf.DUMMYFUNCTION("""COMPUTED_VALUE"""),"#N/A")</f>
        <v>#N/A</v>
      </c>
      <c r="AA228" s="229"/>
      <c r="AB228" s="229"/>
      <c r="AC228" s="229"/>
      <c r="AD228" s="232"/>
      <c r="AE228" s="233"/>
      <c r="AF228" s="54" t="str">
        <f>IFERROR(__xludf.DUMMYFUNCTION("""COMPUTED_VALUE"""),"Draft BA DROP")</f>
        <v>Draft BA DROP</v>
      </c>
      <c r="AG228" s="54"/>
      <c r="AH228" s="54"/>
      <c r="AI228" s="55" t="str">
        <f t="shared" ref="AI228:AI234" si="40">IF(OR(R228="",AE228=""),"",R228-AE228)</f>
        <v/>
      </c>
      <c r="AW228" s="234"/>
      <c r="BP228" s="11"/>
      <c r="BQ228" s="11"/>
      <c r="BR228" s="235"/>
      <c r="BV228" s="158"/>
      <c r="BY228" s="158"/>
      <c r="CB228" s="158"/>
    </row>
    <row r="229" ht="18.0" hidden="1" customHeight="1">
      <c r="A229" s="222">
        <f>IFERROR(__xludf.DUMMYFUNCTION("""COMPUTED_VALUE"""),2026.0)</f>
        <v>2026</v>
      </c>
      <c r="B229" s="221">
        <f>IFERROR(__xludf.DUMMYFUNCTION("""COMPUTED_VALUE"""),1.1723706E7)</f>
        <v>11723706</v>
      </c>
      <c r="C229" s="222" t="str">
        <f>IFERROR(__xludf.DUMMYFUNCTION("""COMPUTED_VALUE"""),"SMS P4I1 PT4 KAG FXX D01 BATU AMPAR")</f>
        <v>SMS P4I1 PT4 KAG FXX D01 BATU AMPAR</v>
      </c>
      <c r="D229" s="222" t="str">
        <f>IFERROR(__xludf.DUMMYFUNCTION("""COMPUTED_VALUE"""),"REGIONAL I")</f>
        <v>REGIONAL I</v>
      </c>
      <c r="E229" s="222" t="str">
        <f>IFERROR(__xludf.DUMMYFUNCTION("""COMPUTED_VALUE"""),"SUMSEL")</f>
        <v>SUMSEL</v>
      </c>
      <c r="F229" s="222" t="str">
        <f>IFERROR(__xludf.DUMMYFUNCTION("""COMPUTED_VALUE"""),"KAG")</f>
        <v>KAG</v>
      </c>
      <c r="G229" s="222" t="str">
        <f>IFERROR(__xludf.DUMMYFUNCTION("""COMPUTED_VALUE"""),"SUMBAGSEL")</f>
        <v>SUMBAGSEL</v>
      </c>
      <c r="H229" s="222" t="str">
        <f>IFERROR(__xludf.DUMMYFUNCTION("""COMPUTED_VALUE"""),"PALEMBANG")</f>
        <v>PALEMBANG</v>
      </c>
      <c r="I229" s="222" t="str">
        <f>IFERROR(__xludf.DUMMYFUNCTION("""COMPUTED_VALUE"""),"Batch 2")</f>
        <v>Batch 2</v>
      </c>
      <c r="J229" s="225">
        <f>IFERROR(__xludf.DUMMYFUNCTION("""COMPUTED_VALUE"""),50.0)</f>
        <v>50</v>
      </c>
      <c r="K229" s="224">
        <f>IFERROR(__xludf.DUMMYFUNCTION("""COMPUTED_VALUE"""),392.0)</f>
        <v>392</v>
      </c>
      <c r="L229" s="226">
        <f>IFERROR(__xludf.DUMMYFUNCTION("""COMPUTED_VALUE"""),1396004.0)</f>
        <v>1396004</v>
      </c>
      <c r="M229" s="227">
        <f>IFERROR(__xludf.DUMMYFUNCTION("""COMPUTED_VALUE"""),5.47233242E8)</f>
        <v>547233242</v>
      </c>
      <c r="N229" s="222" t="str">
        <f>IFERROR(__xludf.DUMMYFUNCTION("""COMPUTED_VALUE"""),"PT SARANA MITRA PERSADA")</f>
        <v>PT SARANA MITRA PERSADA</v>
      </c>
      <c r="O229" s="222" t="str">
        <f>IFERROR(__xludf.DUMMYFUNCTION("""COMPUTED_VALUE"""),"2. DONE AANWIJZING")</f>
        <v>2. DONE AANWIJZING</v>
      </c>
      <c r="P229" s="222" t="str">
        <f>IFERROR(__xludf.DUMMYFUNCTION("""COMPUTED_VALUE"""),"2.5 Proses Create PID")</f>
        <v>2.5 Proses Create PID</v>
      </c>
      <c r="Q229" s="222" t="str">
        <f>IFERROR(__xludf.DUMMYFUNCTION("""COMPUTED_VALUE"""),"27/04 MENUNGGU TTD DRM MITRA, 24/04 PROSES DRM MITRA, 23/04 HASIL KOORDINASI TIF, TA DAN MTEL SDH DI APPROVE TERKAIT TIANG MTEL, 22/04 menunggu koordinasi antara tif, ta dan mtel terkait penggunaan tiang mterl secara bersama-sama, 13/04 Perizinan Kepala d"&amp;"esa, sdh di approve terkait tiang mtel 09/04MASIH BLM ADA INFO LANJUT TERKAIT TIANG MTEL, 08/04 MASIH BLM ADA INFO LANJUT TERKAIT TIANG MTEL, 01/04 MASIH BLM ADA INFO LANJUT TERKAIT TIANG MTEL, 25/03 MASIH BLM ADA INFO KELANJUTAN TERKAIT TIANG MTEL, 21/03"&amp;" BLM ADA UPDATE INFO TERKAIT TIANG MTEL, 13/03 SDH DI FU TRS TP MSI BLM ADA INFO TERKAIT TIANG MTEL, 10/03 MSH BLM ADA INFO TERKAIT TIANG MTEL, 27/02 MSH BLM ADA INFO TERKAIT TIANG MTEL, 24/02 BLM ADA UPDATE TERKAIT TIANG MTEL, 22/2 kendala minol  06/02 H"&amp;"ASIL REVIEW TSEL - NEED FU TIF PENGGUNAAN TIANG MTEL, 30/01 DI LAPANGAN MENGGUNAKAN TIANG MTEL, HASIL EVAL HITUNG DG PEMAKAIAN TIANG BARU DAN ITUNG HASIL EVAL 31/01 hold, menunggu koordinasi dengan TIF dan Mitratel untuk tiang 30/01 DI LAPANGAN MENGGUNAKA"&amp;"N TIANG MTEL, HASIL EVAL HITUNG DG PEMAKAIAN TIANG BARU DAN ITUNG HASIL EVAL, (26/1) tim TIF belum bisa EVAL hasil anwijzing karena lagi diluar kota , estimasi 29 jan baru kembali ke Palembang(25/01) MENUNGGU EVAL - KOMPENSASI 4 KADES 6JT, 22/01 AANWIDJZI"&amp;"NG, (15/1) ORDER DITERIMA 14/1, PLAN AANWIJDZING 22 JAN 26 (06/01)order JPP batch-2 2026 ((14/11)HOLD- tidak masuk target Optimis 2025 ((08/11) plan ganti mitra , lokasi diluar area pt han sung (23/10) penunjukan mitra
 14/01 penunjukan mitra oleh procure"&amp;"ment")</f>
        <v>27/04 MENUNGGU TTD DRM MITRA, 24/04 PROSES DRM MITRA, 23/04 HASIL KOORDINASI TIF, TA DAN MTEL SDH DI APPROVE TERKAIT TIANG MTEL, 22/04 menunggu koordinasi antara tif, ta dan mtel terkait penggunaan tiang mterl secara bersama-sama, 13/04 Perizinan Kepala desa, sdh di approve terkait tiang mtel 09/04MASIH BLM ADA INFO LANJUT TERKAIT TIANG MTEL, 08/04 MASIH BLM ADA INFO LANJUT TERKAIT TIANG MTEL, 01/04 MASIH BLM ADA INFO LANJUT TERKAIT TIANG MTEL, 25/03 MASIH BLM ADA INFO KELANJUTAN TERKAIT TIANG MTEL, 21/03 BLM ADA UPDATE INFO TERKAIT TIANG MTEL, 13/03 SDH DI FU TRS TP MSI BLM ADA INFO TERKAIT TIANG MTEL, 10/03 MSH BLM ADA INFO TERKAIT TIANG MTEL, 27/02 MSH BLM ADA INFO TERKAIT TIANG MTEL, 24/02 BLM ADA UPDATE TERKAIT TIANG MTEL, 22/2 kendala minol  06/02 HASIL REVIEW TSEL - NEED FU TIF PENGGUNAAN TIANG MTEL, 30/01 DI LAPANGAN MENGGUNAKAN TIANG MTEL, HASIL EVAL HITUNG DG PEMAKAIAN TIANG BARU DAN ITUNG HASIL EVAL 31/01 hold, menunggu koordinasi dengan TIF dan Mitratel untuk tiang 30/01 DI LAPANGAN MENGGUNAKAN TIANG MTEL, HASIL EVAL HITUNG DG PEMAKAIAN TIANG BARU DAN ITUNG HASIL EVAL, (26/1) tim TIF belum bisa EVAL hasil anwijzing karena lagi diluar kota , estimasi 29 jan baru kembali ke Palembang(25/01) MENUNGGU EVAL - KOMPENSASI 4 KADES 6JT, 22/01 AANWIDJZING, (15/1) ORDER DITERIMA 14/1, PLAN AANWIJDZING 22 JAN 26 (06/01)order JPP batch-2 2026 ((14/11)HOLD- tidak masuk target Optimis 2025 ((08/11) plan ganti mitra , lokasi diluar area pt han sung (23/10) penunjukan mitra
 14/01 penunjukan mitra oleh procurement</v>
      </c>
      <c r="R229" s="228"/>
      <c r="S229" s="11"/>
      <c r="T229" s="11"/>
      <c r="U229" s="11"/>
      <c r="V229" s="229" t="str">
        <f>IFERROR(__xludf.DUMMYFUNCTION("""COMPUTED_VALUE"""),"RENALDO")</f>
        <v>RENALDO</v>
      </c>
      <c r="W229" s="229"/>
      <c r="X229" s="229" t="str">
        <f>IFERROR(__xludf.DUMMYFUNCTION("""COMPUTED_VALUE"""),"BELUM GOLIVE")</f>
        <v>BELUM GOLIVE</v>
      </c>
      <c r="Y229" s="229"/>
      <c r="Z229" s="229" t="str">
        <f>IFERROR(__xludf.DUMMYFUNCTION("""COMPUTED_VALUE"""),"#N/A")</f>
        <v>#N/A</v>
      </c>
      <c r="AA229" s="229"/>
      <c r="AB229" s="229"/>
      <c r="AC229" s="229"/>
      <c r="AD229" s="232"/>
      <c r="AE229" s="233"/>
      <c r="AF229" s="54"/>
      <c r="AG229" s="54"/>
      <c r="AH229" s="54"/>
      <c r="AI229" s="55" t="str">
        <f t="shared" si="40"/>
        <v/>
      </c>
      <c r="AW229" s="234"/>
      <c r="BP229" s="11"/>
      <c r="BQ229" s="11"/>
      <c r="BR229" s="235"/>
      <c r="BV229" s="158"/>
      <c r="BY229" s="158"/>
      <c r="CB229" s="158"/>
    </row>
    <row r="230" ht="18.0" hidden="1" customHeight="1">
      <c r="A230" s="222">
        <f>IFERROR(__xludf.DUMMYFUNCTION("""COMPUTED_VALUE"""),2026.0)</f>
        <v>2026</v>
      </c>
      <c r="B230" s="221">
        <f>IFERROR(__xludf.DUMMYFUNCTION("""COMPUTED_VALUE"""),1.1134953E7)</f>
        <v>11134953</v>
      </c>
      <c r="C230" s="222" t="str">
        <f>IFERROR(__xludf.DUMMYFUNCTION("""COMPUTED_VALUE"""),"MDN PT3 P7I9 TMU-FR  SCATER GG.HARJO")</f>
        <v>MDN PT3 P7I9 TMU-FR  SCATER GG.HARJO</v>
      </c>
      <c r="D230" s="222" t="str">
        <f>IFERROR(__xludf.DUMMYFUNCTION("""COMPUTED_VALUE"""),"REGIONAL I")</f>
        <v>REGIONAL I</v>
      </c>
      <c r="E230" s="222" t="str">
        <f>IFERROR(__xludf.DUMMYFUNCTION("""COMPUTED_VALUE"""),"MEDAN")</f>
        <v>MEDAN</v>
      </c>
      <c r="F230" s="222" t="str">
        <f>IFERROR(__xludf.DUMMYFUNCTION("""COMPUTED_VALUE"""),"TMU")</f>
        <v>TMU</v>
      </c>
      <c r="G230" s="222" t="str">
        <f>IFERROR(__xludf.DUMMYFUNCTION("""COMPUTED_VALUE"""),"SUMBAGUT")</f>
        <v>SUMBAGUT</v>
      </c>
      <c r="H230" s="222" t="str">
        <f>IFERROR(__xludf.DUMMYFUNCTION("""COMPUTED_VALUE"""),"MEDAN")</f>
        <v>MEDAN</v>
      </c>
      <c r="I230" s="222" t="str">
        <f>IFERROR(__xludf.DUMMYFUNCTION("""COMPUTED_VALUE"""),"Batch 2")</f>
        <v>Batch 2</v>
      </c>
      <c r="J230" s="225">
        <f>IFERROR(__xludf.DUMMYFUNCTION("""COMPUTED_VALUE"""),1.0)</f>
        <v>1</v>
      </c>
      <c r="K230" s="224">
        <f>IFERROR(__xludf.DUMMYFUNCTION("""COMPUTED_VALUE"""),8.0)</f>
        <v>8</v>
      </c>
      <c r="L230" s="226">
        <f>IFERROR(__xludf.DUMMYFUNCTION("""COMPUTED_VALUE"""),1395723.0)</f>
        <v>1395723</v>
      </c>
      <c r="M230" s="227">
        <f>IFERROR(__xludf.DUMMYFUNCTION("""COMPUTED_VALUE"""),1.1165784E7)</f>
        <v>11165784</v>
      </c>
      <c r="N230" s="222" t="str">
        <f>IFERROR(__xludf.DUMMYFUNCTION("""COMPUTED_VALUE"""),"PT PRIMA INDO SENTOSA")</f>
        <v>PT PRIMA INDO SENTOSA</v>
      </c>
      <c r="O230" s="222" t="str">
        <f>IFERROR(__xludf.DUMMYFUNCTION("""COMPUTED_VALUE"""),"0. DROP")</f>
        <v>0. DROP</v>
      </c>
      <c r="P230" s="222" t="str">
        <f>IFERROR(__xludf.DUMMYFUNCTION("""COMPUTED_VALUE"""),"0.4 CPP Tinggi Acc ED TIF")</f>
        <v>0.4 CPP Tinggi Acc ED TIF</v>
      </c>
      <c r="Q230" s="222" t="str">
        <f>IFERROR(__xludf.DUMMYFUNCTION("""COMPUTED_VALUE"""),"27/02 done order")</f>
        <v>27/02 done order</v>
      </c>
      <c r="R230" s="228"/>
      <c r="S230" s="11"/>
      <c r="T230" s="11"/>
      <c r="U230" s="11"/>
      <c r="V230" s="229"/>
      <c r="W230" s="229"/>
      <c r="X230" s="229" t="str">
        <f>IFERROR(__xludf.DUMMYFUNCTION("""COMPUTED_VALUE"""),"BELUM GOLIVE")</f>
        <v>BELUM GOLIVE</v>
      </c>
      <c r="Y230" s="229"/>
      <c r="Z230" s="229" t="str">
        <f>IFERROR(__xludf.DUMMYFUNCTION("""COMPUTED_VALUE"""),"#N/A")</f>
        <v>#N/A</v>
      </c>
      <c r="AA230" s="229"/>
      <c r="AB230" s="229"/>
      <c r="AC230" s="229"/>
      <c r="AD230" s="232"/>
      <c r="AE230" s="233"/>
      <c r="AF230" s="54" t="str">
        <f>IFERROR(__xludf.DUMMYFUNCTION("""COMPUTED_VALUE"""),"Draft BA DROP")</f>
        <v>Draft BA DROP</v>
      </c>
      <c r="AG230" s="54"/>
      <c r="AH230" s="54"/>
      <c r="AI230" s="55" t="str">
        <f t="shared" si="40"/>
        <v/>
      </c>
      <c r="AW230" s="234"/>
      <c r="BP230" s="11"/>
      <c r="BQ230" s="11"/>
      <c r="BR230" s="235"/>
      <c r="BV230" s="158"/>
      <c r="BY230" s="158"/>
      <c r="CB230" s="158"/>
    </row>
    <row r="231" ht="18.0" hidden="1" customHeight="1">
      <c r="A231" s="222">
        <f>IFERROR(__xludf.DUMMYFUNCTION("""COMPUTED_VALUE"""),2026.0)</f>
        <v>2026</v>
      </c>
      <c r="B231" s="221">
        <f>IFERROR(__xludf.DUMMYFUNCTION("""COMPUTED_VALUE"""),1.1511669E7)</f>
        <v>11511669</v>
      </c>
      <c r="C231" s="222" t="str">
        <f>IFERROR(__xludf.DUMMYFUNCTION("""COMPUTED_VALUE"""),"ACH PT3 CAG-FL D02 LHOK KRUET 2")</f>
        <v>ACH PT3 CAG-FL D02 LHOK KRUET 2</v>
      </c>
      <c r="D231" s="222" t="str">
        <f>IFERROR(__xludf.DUMMYFUNCTION("""COMPUTED_VALUE"""),"REGIONAL I")</f>
        <v>REGIONAL I</v>
      </c>
      <c r="E231" s="222" t="str">
        <f>IFERROR(__xludf.DUMMYFUNCTION("""COMPUTED_VALUE"""),"ACEH")</f>
        <v>ACEH</v>
      </c>
      <c r="F231" s="222" t="str">
        <f>IFERROR(__xludf.DUMMYFUNCTION("""COMPUTED_VALUE"""),"LNO")</f>
        <v>LNO</v>
      </c>
      <c r="G231" s="222" t="str">
        <f>IFERROR(__xludf.DUMMYFUNCTION("""COMPUTED_VALUE"""),"SUMBAGUT")</f>
        <v>SUMBAGUT</v>
      </c>
      <c r="H231" s="222" t="str">
        <f>IFERROR(__xludf.DUMMYFUNCTION("""COMPUTED_VALUE"""),"BANDA ACEH")</f>
        <v>BANDA ACEH</v>
      </c>
      <c r="I231" s="222" t="str">
        <f>IFERROR(__xludf.DUMMYFUNCTION("""COMPUTED_VALUE"""),"Batch 2")</f>
        <v>Batch 2</v>
      </c>
      <c r="J231" s="225">
        <f>IFERROR(__xludf.DUMMYFUNCTION("""COMPUTED_VALUE"""),5.0)</f>
        <v>5</v>
      </c>
      <c r="K231" s="224">
        <f>IFERROR(__xludf.DUMMYFUNCTION("""COMPUTED_VALUE"""),56.0)</f>
        <v>56</v>
      </c>
      <c r="L231" s="226">
        <f>IFERROR(__xludf.DUMMYFUNCTION("""COMPUTED_VALUE"""),1393892.0)</f>
        <v>1393892</v>
      </c>
      <c r="M231" s="227">
        <f>IFERROR(__xludf.DUMMYFUNCTION("""COMPUTED_VALUE"""),7.8057915E7)</f>
        <v>78057915</v>
      </c>
      <c r="N231" s="222" t="str">
        <f>IFERROR(__xludf.DUMMYFUNCTION("""COMPUTED_VALUE"""),"PT MITRA AKSES INSANI")</f>
        <v>PT MITRA AKSES INSANI</v>
      </c>
      <c r="O231" s="222" t="str">
        <f>IFERROR(__xludf.DUMMYFUNCTION("""COMPUTED_VALUE"""),"0. DROP")</f>
        <v>0. DROP</v>
      </c>
      <c r="P231" s="222" t="str">
        <f>IFERROR(__xludf.DUMMYFUNCTION("""COMPUTED_VALUE"""),"0.4 CPP Tinggi Acc ED TIF")</f>
        <v>0.4 CPP Tinggi Acc ED TIF</v>
      </c>
      <c r="Q231" s="222" t="str">
        <f>IFERROR(__xludf.DUMMYFUNCTION("""COMPUTED_VALUE"""),"3/3 meeting ED1-ED-RSBU-TA1: lanjut (07/02) Menuggu Approval Re-Design (30/01) done survey (07/01) Persiapan")</f>
        <v>3/3 meeting ED1-ED-RSBU-TA1: lanjut (07/02) Menuggu Approval Re-Design (30/01) done survey (07/01) Persiapan</v>
      </c>
      <c r="R231" s="228"/>
      <c r="S231" s="11"/>
      <c r="T231" s="11"/>
      <c r="U231" s="11"/>
      <c r="V231" s="229"/>
      <c r="W231" s="229"/>
      <c r="X231" s="229" t="str">
        <f>IFERROR(__xludf.DUMMYFUNCTION("""COMPUTED_VALUE"""),"BELUM GOLIVE")</f>
        <v>BELUM GOLIVE</v>
      </c>
      <c r="Y231" s="229"/>
      <c r="Z231" s="229" t="str">
        <f>IFERROR(__xludf.DUMMYFUNCTION("""COMPUTED_VALUE"""),"#N/A")</f>
        <v>#N/A</v>
      </c>
      <c r="AA231" s="229"/>
      <c r="AB231" s="229"/>
      <c r="AC231" s="229"/>
      <c r="AD231" s="232"/>
      <c r="AE231" s="233"/>
      <c r="AF231" s="54"/>
      <c r="AG231" s="54"/>
      <c r="AH231" s="54"/>
      <c r="AI231" s="55" t="str">
        <f t="shared" si="40"/>
        <v/>
      </c>
      <c r="AW231" s="234"/>
      <c r="BP231" s="11"/>
      <c r="BQ231" s="11"/>
      <c r="BR231" s="235"/>
      <c r="BV231" s="158"/>
      <c r="BY231" s="158"/>
      <c r="CB231" s="158"/>
    </row>
    <row r="232" ht="18.0" hidden="1" customHeight="1">
      <c r="A232" s="222">
        <f>IFERROR(__xludf.DUMMYFUNCTION("""COMPUTED_VALUE"""),2026.0)</f>
        <v>2026</v>
      </c>
      <c r="B232" s="221">
        <f>IFERROR(__xludf.DUMMYFUNCTION("""COMPUTED_VALUE"""),1.123716E7)</f>
        <v>11237160</v>
      </c>
      <c r="C232" s="222" t="str">
        <f>IFERROR(__xludf.DUMMYFUNCTION("""COMPUTED_VALUE"""),"MDN PT3 P7I13 CTD-FBG KLAMBIR 5 PS.II")</f>
        <v>MDN PT3 P7I13 CTD-FBG KLAMBIR 5 PS.II</v>
      </c>
      <c r="D232" s="222" t="str">
        <f>IFERROR(__xludf.DUMMYFUNCTION("""COMPUTED_VALUE"""),"REGIONAL I")</f>
        <v>REGIONAL I</v>
      </c>
      <c r="E232" s="222" t="str">
        <f>IFERROR(__xludf.DUMMYFUNCTION("""COMPUTED_VALUE"""),"MEDAN")</f>
        <v>MEDAN</v>
      </c>
      <c r="F232" s="222" t="str">
        <f>IFERROR(__xludf.DUMMYFUNCTION("""COMPUTED_VALUE"""),"CTD")</f>
        <v>CTD</v>
      </c>
      <c r="G232" s="222" t="str">
        <f>IFERROR(__xludf.DUMMYFUNCTION("""COMPUTED_VALUE"""),"SUMBAGUT")</f>
        <v>SUMBAGUT</v>
      </c>
      <c r="H232" s="222" t="str">
        <f>IFERROR(__xludf.DUMMYFUNCTION("""COMPUTED_VALUE"""),"MEDAN")</f>
        <v>MEDAN</v>
      </c>
      <c r="I232" s="222" t="str">
        <f>IFERROR(__xludf.DUMMYFUNCTION("""COMPUTED_VALUE"""),"Batch 2")</f>
        <v>Batch 2</v>
      </c>
      <c r="J232" s="225">
        <f>IFERROR(__xludf.DUMMYFUNCTION("""COMPUTED_VALUE"""),6.0)</f>
        <v>6</v>
      </c>
      <c r="K232" s="224">
        <f>IFERROR(__xludf.DUMMYFUNCTION("""COMPUTED_VALUE"""),48.0)</f>
        <v>48</v>
      </c>
      <c r="L232" s="226">
        <f>IFERROR(__xludf.DUMMYFUNCTION("""COMPUTED_VALUE"""),1700451.0)</f>
        <v>1700451</v>
      </c>
      <c r="M232" s="227">
        <f>IFERROR(__xludf.DUMMYFUNCTION("""COMPUTED_VALUE"""),8.1621601E7)</f>
        <v>81621601</v>
      </c>
      <c r="N232" s="222" t="str">
        <f>IFERROR(__xludf.DUMMYFUNCTION("""COMPUTED_VALUE"""),"PT TRIPOLA PANATA")</f>
        <v>PT TRIPOLA PANATA</v>
      </c>
      <c r="O232" s="222" t="str">
        <f>IFERROR(__xludf.DUMMYFUNCTION("""COMPUTED_VALUE"""),"0. DROP")</f>
        <v>0. DROP</v>
      </c>
      <c r="P232" s="222" t="str">
        <f>IFERROR(__xludf.DUMMYFUNCTION("""COMPUTED_VALUE"""),"0.4 CPP Tinggi Acc ED TIF")</f>
        <v>0.4 CPP Tinggi Acc ED TIF</v>
      </c>
      <c r="Q232" s="222" t="str">
        <f>IFERROR(__xludf.DUMMYFUNCTION("""COMPUTED_VALUE"""),"20/11Tidak ada izin KADUS")</f>
        <v>20/11Tidak ada izin KADUS</v>
      </c>
      <c r="R232" s="228"/>
      <c r="S232" s="11"/>
      <c r="T232" s="11"/>
      <c r="U232" s="11"/>
      <c r="V232" s="229"/>
      <c r="W232" s="229"/>
      <c r="X232" s="229" t="str">
        <f>IFERROR(__xludf.DUMMYFUNCTION("""COMPUTED_VALUE"""),"BELUM GOLIVE")</f>
        <v>BELUM GOLIVE</v>
      </c>
      <c r="Y232" s="229"/>
      <c r="Z232" s="229" t="str">
        <f>IFERROR(__xludf.DUMMYFUNCTION("""COMPUTED_VALUE"""),"#N/A")</f>
        <v>#N/A</v>
      </c>
      <c r="AA232" s="229"/>
      <c r="AB232" s="229"/>
      <c r="AC232" s="229"/>
      <c r="AD232" s="232"/>
      <c r="AE232" s="233"/>
      <c r="AF232" s="54" t="str">
        <f>IFERROR(__xludf.DUMMYFUNCTION("""COMPUTED_VALUE"""),"Draft BA DROP")</f>
        <v>Draft BA DROP</v>
      </c>
      <c r="AG232" s="54"/>
      <c r="AH232" s="54"/>
      <c r="AI232" s="55" t="str">
        <f t="shared" si="40"/>
        <v/>
      </c>
      <c r="AW232" s="234"/>
      <c r="BP232" s="11"/>
      <c r="BQ232" s="11"/>
      <c r="BR232" s="235"/>
      <c r="BV232" s="158"/>
      <c r="BY232" s="158"/>
      <c r="CB232" s="158"/>
    </row>
    <row r="233" ht="18.0" hidden="1" customHeight="1">
      <c r="A233" s="222">
        <f>IFERROR(__xludf.DUMMYFUNCTION("""COMPUTED_VALUE"""),2026.0)</f>
        <v>2026</v>
      </c>
      <c r="B233" s="221">
        <f>IFERROR(__xludf.DUMMYFUNCTION("""COMPUTED_VALUE"""),1.1187654E7)</f>
        <v>11187654</v>
      </c>
      <c r="C233" s="222" t="str">
        <f>IFERROR(__xludf.DUMMYFUNCTION("""COMPUTED_VALUE"""),"MDN PT3 SPM-FAF JL.AVROS GG.MANCANG")</f>
        <v>MDN PT3 SPM-FAF JL.AVROS GG.MANCANG</v>
      </c>
      <c r="D233" s="222" t="str">
        <f>IFERROR(__xludf.DUMMYFUNCTION("""COMPUTED_VALUE"""),"REGIONAL I")</f>
        <v>REGIONAL I</v>
      </c>
      <c r="E233" s="222" t="str">
        <f>IFERROR(__xludf.DUMMYFUNCTION("""COMPUTED_VALUE"""),"MEDAN")</f>
        <v>MEDAN</v>
      </c>
      <c r="F233" s="222" t="str">
        <f>IFERROR(__xludf.DUMMYFUNCTION("""COMPUTED_VALUE"""),"SPM")</f>
        <v>SPM</v>
      </c>
      <c r="G233" s="222" t="str">
        <f>IFERROR(__xludf.DUMMYFUNCTION("""COMPUTED_VALUE"""),"SUMBAGUT")</f>
        <v>SUMBAGUT</v>
      </c>
      <c r="H233" s="222" t="str">
        <f>IFERROR(__xludf.DUMMYFUNCTION("""COMPUTED_VALUE"""),"MEDAN")</f>
        <v>MEDAN</v>
      </c>
      <c r="I233" s="222" t="str">
        <f>IFERROR(__xludf.DUMMYFUNCTION("""COMPUTED_VALUE"""),"Batch 2")</f>
        <v>Batch 2</v>
      </c>
      <c r="J233" s="225">
        <f>IFERROR(__xludf.DUMMYFUNCTION("""COMPUTED_VALUE"""),3.0)</f>
        <v>3</v>
      </c>
      <c r="K233" s="224">
        <f>IFERROR(__xludf.DUMMYFUNCTION("""COMPUTED_VALUE"""),24.0)</f>
        <v>24</v>
      </c>
      <c r="L233" s="226">
        <f>IFERROR(__xludf.DUMMYFUNCTION("""COMPUTED_VALUE"""),910538.0)</f>
        <v>910538</v>
      </c>
      <c r="M233" s="227">
        <f>IFERROR(__xludf.DUMMYFUNCTION("""COMPUTED_VALUE"""),2.1852911E7)</f>
        <v>21852911</v>
      </c>
      <c r="N233" s="222" t="str">
        <f>IFERROR(__xludf.DUMMYFUNCTION("""COMPUTED_VALUE"""),"PT WALET SOLUSINDO")</f>
        <v>PT WALET SOLUSINDO</v>
      </c>
      <c r="O233" s="222" t="str">
        <f>IFERROR(__xludf.DUMMYFUNCTION("""COMPUTED_VALUE"""),"7. GOLIVE")</f>
        <v>7. GOLIVE</v>
      </c>
      <c r="P233" s="222" t="str">
        <f>IFERROR(__xludf.DUMMYFUNCTION("""COMPUTED_VALUE"""),"7.2 Golive Full / OA / DONE OTB")</f>
        <v>7.2 Golive Full / OA / DONE OTB</v>
      </c>
      <c r="Q233" s="222" t="str">
        <f>IFERROR(__xludf.DUMMYFUNCTION("""COMPUTED_VALUE"""),"21/02 ABD Submit 21/02 Finishing dan Valins 18/02 Penarikan KU 05/02 Done Order, Lnjut Aanwidzing")</f>
        <v>21/02 ABD Submit 21/02 Finishing dan Valins 18/02 Penarikan KU 05/02 Done Order, Lnjut Aanwidzing</v>
      </c>
      <c r="R233" s="228"/>
      <c r="S233" s="11"/>
      <c r="T233" s="11"/>
      <c r="U233" s="11" t="str">
        <f>IFERROR(__xludf.DUMMYFUNCTION("""COMPUTED_VALUE"""),"W01-1983/2025")</f>
        <v>W01-1983/2025</v>
      </c>
      <c r="V233" s="229"/>
      <c r="W233" s="229"/>
      <c r="X233" s="229" t="str">
        <f>IFERROR(__xludf.DUMMYFUNCTION("""COMPUTED_VALUE"""),"GOLIVE")</f>
        <v>GOLIVE</v>
      </c>
      <c r="Y233" s="229" t="str">
        <f>IFERROR(__xludf.DUMMYFUNCTION("""COMPUTED_VALUE"""),"DONE")</f>
        <v>DONE</v>
      </c>
      <c r="Z233" s="229" t="str">
        <f>IFERROR(__xludf.DUMMYFUNCTION("""COMPUTED_VALUE"""),"#N/A")</f>
        <v>#N/A</v>
      </c>
      <c r="AA233" s="229">
        <f>IFERROR(__xludf.DUMMYFUNCTION("""COMPUTED_VALUE"""),3.0)</f>
        <v>3</v>
      </c>
      <c r="AB233" s="229"/>
      <c r="AC233" s="229" t="str">
        <f>IFERROR(__xludf.DUMMYFUNCTION("""COMPUTED_VALUE"""),"9136628#9136633")</f>
        <v>9136628#9136633</v>
      </c>
      <c r="AD233" s="232">
        <f>IFERROR(__xludf.DUMMYFUNCTION("""COMPUTED_VALUE"""),24.0)</f>
        <v>24</v>
      </c>
      <c r="AE233" s="233">
        <f>IFERROR(__xludf.DUMMYFUNCTION("""COMPUTED_VALUE"""),46075.0)</f>
        <v>46075</v>
      </c>
      <c r="AF233" s="54"/>
      <c r="AG233" s="54"/>
      <c r="AH233" s="54"/>
      <c r="AI233" s="55" t="str">
        <f t="shared" si="40"/>
        <v/>
      </c>
      <c r="AW233" s="234"/>
      <c r="BP233" s="11"/>
      <c r="BQ233" s="11"/>
      <c r="BR233" s="235"/>
      <c r="BV233" s="158"/>
      <c r="BY233" s="158"/>
      <c r="CB233" s="158"/>
    </row>
    <row r="234" ht="18.0" hidden="1" customHeight="1">
      <c r="A234" s="222">
        <f>IFERROR(__xludf.DUMMYFUNCTION("""COMPUTED_VALUE"""),2026.0)</f>
        <v>2026</v>
      </c>
      <c r="B234" s="221">
        <f>IFERROR(__xludf.DUMMYFUNCTION("""COMPUTED_VALUE"""),1.1335626E7)</f>
        <v>11335626</v>
      </c>
      <c r="C234" s="222" t="str">
        <f>IFERROR(__xludf.DUMMYFUNCTION("""COMPUTED_VALUE"""),"LPG PESAWARAN_132")</f>
        <v>LPG PESAWARAN_132</v>
      </c>
      <c r="D234" s="222" t="str">
        <f>IFERROR(__xludf.DUMMYFUNCTION("""COMPUTED_VALUE"""),"REGIONAL I")</f>
        <v>REGIONAL I</v>
      </c>
      <c r="E234" s="222" t="str">
        <f>IFERROR(__xludf.DUMMYFUNCTION("""COMPUTED_VALUE"""),"LAMPUNG")</f>
        <v>LAMPUNG</v>
      </c>
      <c r="F234" s="222" t="str">
        <f>IFERROR(__xludf.DUMMYFUNCTION("""COMPUTED_VALUE"""),"GDT")</f>
        <v>GDT</v>
      </c>
      <c r="G234" s="222" t="str">
        <f>IFERROR(__xludf.DUMMYFUNCTION("""COMPUTED_VALUE"""),"SUMBAGSEL")</f>
        <v>SUMBAGSEL</v>
      </c>
      <c r="H234" s="222" t="str">
        <f>IFERROR(__xludf.DUMMYFUNCTION("""COMPUTED_VALUE"""),"LAMPUNG")</f>
        <v>LAMPUNG</v>
      </c>
      <c r="I234" s="222" t="str">
        <f>IFERROR(__xludf.DUMMYFUNCTION("""COMPUTED_VALUE"""),"Batch 2")</f>
        <v>Batch 2</v>
      </c>
      <c r="J234" s="225">
        <f>IFERROR(__xludf.DUMMYFUNCTION("""COMPUTED_VALUE"""),26.0)</f>
        <v>26</v>
      </c>
      <c r="K234" s="224">
        <f>IFERROR(__xludf.DUMMYFUNCTION("""COMPUTED_VALUE"""),208.0)</f>
        <v>208</v>
      </c>
      <c r="L234" s="226">
        <f>IFERROR(__xludf.DUMMYFUNCTION("""COMPUTED_VALUE"""),1392159.0)</f>
        <v>1392159</v>
      </c>
      <c r="M234" s="227">
        <f>IFERROR(__xludf.DUMMYFUNCTION("""COMPUTED_VALUE"""),2.89568951E8)</f>
        <v>289568951</v>
      </c>
      <c r="N234" s="222" t="str">
        <f>IFERROR(__xludf.DUMMYFUNCTION("""COMPUTED_VALUE"""),"PT SARANA MITRA PERSADA")</f>
        <v>PT SARANA MITRA PERSADA</v>
      </c>
      <c r="O234" s="222" t="str">
        <f>IFERROR(__xludf.DUMMYFUNCTION("""COMPUTED_VALUE"""),"7. GOLIVE")</f>
        <v>7. GOLIVE</v>
      </c>
      <c r="P234" s="222" t="str">
        <f>IFERROR(__xludf.DUMMYFUNCTION("""COMPUTED_VALUE"""),"7.2 Golive Full / OA / DONE OTB")</f>
        <v>7.2 Golive Full / OA / DONE OTB</v>
      </c>
      <c r="Q234" s="222" t="str">
        <f>IFERROR(__xludf.DUMMYFUNCTION("""COMPUTED_VALUE"""),"18/2 sudah GOLIVE 15 FEb 11/2 SUDAH CO ODC, PELURUSAN CORE 9/2  PLAN GOLIVE 15 FEB  4/2 menunggu plan co 
19/1 MENUNGGU CRQ")</f>
        <v>18/2 sudah GOLIVE 15 FEb 11/2 SUDAH CO ODC, PELURUSAN CORE 9/2  PLAN GOLIVE 15 FEB  4/2 menunggu plan co 
19/1 MENUNGGU CRQ</v>
      </c>
      <c r="R234" s="228">
        <f>IFERROR(__xludf.DUMMYFUNCTION("""COMPUTED_VALUE"""),46068.0)</f>
        <v>46068</v>
      </c>
      <c r="S234" s="11"/>
      <c r="T234" s="11"/>
      <c r="U234" s="11" t="str">
        <f>IFERROR(__xludf.DUMMYFUNCTION("""COMPUTED_VALUE"""),"W02-219/2025")</f>
        <v>W02-219/2025</v>
      </c>
      <c r="V234" s="229"/>
      <c r="W234" s="229"/>
      <c r="X234" s="229" t="str">
        <f>IFERROR(__xludf.DUMMYFUNCTION("""COMPUTED_VALUE"""),"GOLIVE")</f>
        <v>GOLIVE</v>
      </c>
      <c r="Y234" s="229" t="str">
        <f>IFERROR(__xludf.DUMMYFUNCTION("""COMPUTED_VALUE"""),"DONE")</f>
        <v>DONE</v>
      </c>
      <c r="Z234" s="229" t="str">
        <f>IFERROR(__xludf.DUMMYFUNCTION("""COMPUTED_VALUE"""),"#N/A")</f>
        <v>#N/A</v>
      </c>
      <c r="AA234" s="229">
        <f>IFERROR(__xludf.DUMMYFUNCTION("""COMPUTED_VALUE"""),26.0)</f>
        <v>26</v>
      </c>
      <c r="AB234" s="229"/>
      <c r="AC234" s="229" t="str">
        <f>IFERROR(__xludf.DUMMYFUNCTION("""COMPUTED_VALUE"""),"9115414#9115419")</f>
        <v>9115414#9115419</v>
      </c>
      <c r="AD234" s="232">
        <f>IFERROR(__xludf.DUMMYFUNCTION("""COMPUTED_VALUE"""),208.0)</f>
        <v>208</v>
      </c>
      <c r="AE234" s="233">
        <f>IFERROR(__xludf.DUMMYFUNCTION("""COMPUTED_VALUE"""),46068.0)</f>
        <v>46068</v>
      </c>
      <c r="AF234" s="54"/>
      <c r="AG234" s="54"/>
      <c r="AH234" s="54">
        <v>46068.0</v>
      </c>
      <c r="AI234" s="55">
        <f t="shared" si="40"/>
        <v>0</v>
      </c>
      <c r="AW234" s="234"/>
      <c r="BP234" s="11"/>
      <c r="BQ234" s="11"/>
      <c r="BR234" s="235"/>
      <c r="BV234" s="158"/>
      <c r="BY234" s="158"/>
      <c r="CB234" s="158"/>
    </row>
    <row r="235" ht="18.0" customHeight="1">
      <c r="A235" s="222">
        <f>IFERROR(__xludf.DUMMYFUNCTION("""COMPUTED_VALUE"""),2026.0)</f>
        <v>2026</v>
      </c>
      <c r="B235" s="221">
        <f>IFERROR(__xludf.DUMMYFUNCTION("""COMPUTED_VALUE"""),1.1242177E7)</f>
        <v>11242177</v>
      </c>
      <c r="C235" s="222" t="str">
        <f>IFERROR(__xludf.DUMMYFUNCTION("""COMPUTED_VALUE"""),"RKP PT3 TSEL SLU-FAE TAMAN ANUGRAH")</f>
        <v>RKP PT3 TSEL SLU-FAE TAMAN ANUGRAH</v>
      </c>
      <c r="D235" s="222" t="str">
        <f>IFERROR(__xludf.DUMMYFUNCTION("""COMPUTED_VALUE"""),"REGIONAL I")</f>
        <v>REGIONAL I</v>
      </c>
      <c r="E235" s="222" t="str">
        <f>IFERROR(__xludf.DUMMYFUNCTION("""COMPUTED_VALUE"""),"RIKEP")</f>
        <v>RIKEP</v>
      </c>
      <c r="F235" s="222" t="str">
        <f>IFERROR(__xludf.DUMMYFUNCTION("""COMPUTED_VALUE"""),"SLU")</f>
        <v>SLU</v>
      </c>
      <c r="G235" s="222" t="str">
        <f>IFERROR(__xludf.DUMMYFUNCTION("""COMPUTED_VALUE"""),"SUMBAGTENG")</f>
        <v>SUMBAGTENG</v>
      </c>
      <c r="H235" s="222" t="str">
        <f>IFERROR(__xludf.DUMMYFUNCTION("""COMPUTED_VALUE"""),"BATAM")</f>
        <v>BATAM</v>
      </c>
      <c r="I235" s="222" t="str">
        <f>IFERROR(__xludf.DUMMYFUNCTION("""COMPUTED_VALUE"""),"Batch 2")</f>
        <v>Batch 2</v>
      </c>
      <c r="J235" s="225">
        <f>IFERROR(__xludf.DUMMYFUNCTION("""COMPUTED_VALUE"""),4.0)</f>
        <v>4</v>
      </c>
      <c r="K235" s="224">
        <f>IFERROR(__xludf.DUMMYFUNCTION("""COMPUTED_VALUE"""),32.0)</f>
        <v>32</v>
      </c>
      <c r="L235" s="226">
        <f>IFERROR(__xludf.DUMMYFUNCTION("""COMPUTED_VALUE"""),1391697.0)</f>
        <v>1391697</v>
      </c>
      <c r="M235" s="227">
        <f>IFERROR(__xludf.DUMMYFUNCTION("""COMPUTED_VALUE"""),4.4534283E7)</f>
        <v>44534283</v>
      </c>
      <c r="N235" s="222" t="str">
        <f>IFERROR(__xludf.DUMMYFUNCTION("""COMPUTED_VALUE"""),"PT MITRA SETIA INDONESIA")</f>
        <v>PT MITRA SETIA INDONESIA</v>
      </c>
      <c r="O235" s="222" t="str">
        <f>IFERROR(__xludf.DUMMYFUNCTION("""COMPUTED_VALUE"""),"0. DROP")</f>
        <v>0. DROP</v>
      </c>
      <c r="P235" s="222" t="str">
        <f>IFERROR(__xludf.DUMMYFUNCTION("""COMPUTED_VALUE"""),"0.2 Tidak Dapat Izin Warga/Kades/Lurah/Developer")</f>
        <v>0.2 Tidak Dapat Izin Warga/Kades/Lurah/Developer</v>
      </c>
      <c r="Q235" s="222" t="str">
        <f>IFERROR(__xludf.DUMMYFUNCTION("""COMPUTED_VALUE"""),"21/01 Drop tidak di berikan izin RT RW")</f>
        <v>21/01 Drop tidak di berikan izin RT RW</v>
      </c>
      <c r="R235" s="228"/>
      <c r="S235" s="11"/>
      <c r="T235" s="11"/>
      <c r="U235" s="11"/>
      <c r="V235" s="229" t="str">
        <f>IFERROR(__xludf.DUMMYFUNCTION("""COMPUTED_VALUE"""),"MUHAMMAD RIDHO FALFO")</f>
        <v>MUHAMMAD RIDHO FALFO</v>
      </c>
      <c r="W235" s="229" t="str">
        <f>IFERROR(__xludf.DUMMYFUNCTION("""COMPUTED_VALUE"""),"LEVITA INDRIYANI")</f>
        <v>LEVITA INDRIYANI</v>
      </c>
      <c r="X235" s="229" t="str">
        <f>IFERROR(__xludf.DUMMYFUNCTION("""COMPUTED_VALUE"""),"BELUM GOLIVE")</f>
        <v>BELUM GOLIVE</v>
      </c>
      <c r="Y235" s="229"/>
      <c r="Z235" s="229" t="str">
        <f>IFERROR(__xludf.DUMMYFUNCTION("""COMPUTED_VALUE"""),"#N/A")</f>
        <v>#N/A</v>
      </c>
      <c r="AA235" s="229"/>
      <c r="AB235" s="229"/>
      <c r="AC235" s="229"/>
      <c r="AD235" s="232"/>
      <c r="AE235" s="233"/>
      <c r="AF235" s="54" t="str">
        <f>IFERROR(__xludf.DUMMYFUNCTION("""COMPUTED_VALUE"""),"Draft BA DROP")</f>
        <v>Draft BA DROP</v>
      </c>
      <c r="AG235" s="54"/>
      <c r="AH235" s="54">
        <v>46130.0</v>
      </c>
      <c r="AI235" s="237">
        <f>AH235-NOW()</f>
        <v>-10.37798988</v>
      </c>
      <c r="AJ235" s="229" t="str">
        <f t="shared" ref="AJ235:AJ236" si="41">if(AI235&gt;=0,"In Komitmen","Out Komitmen")</f>
        <v>Out Komitmen</v>
      </c>
      <c r="AW235" s="234"/>
      <c r="BP235" s="11"/>
      <c r="BQ235" s="11"/>
      <c r="BR235" s="235"/>
      <c r="BV235" s="158"/>
      <c r="BY235" s="158"/>
      <c r="CB235" s="158"/>
    </row>
    <row r="236" ht="18.0" customHeight="1">
      <c r="A236" s="222">
        <f>IFERROR(__xludf.DUMMYFUNCTION("""COMPUTED_VALUE"""),2026.0)</f>
        <v>2026</v>
      </c>
      <c r="B236" s="221">
        <f>IFERROR(__xludf.DUMMYFUNCTION("""COMPUTED_VALUE"""),1.0954332E7)</f>
        <v>10954332</v>
      </c>
      <c r="C236" s="222" t="str">
        <f>IFERROR(__xludf.DUMMYFUNCTION("""COMPUTED_VALUE"""),"RDR UPT PT3 P3I1 GOLDEN CATTLEYA")</f>
        <v>RDR UPT PT3 P3I1 GOLDEN CATTLEYA</v>
      </c>
      <c r="D236" s="222" t="str">
        <f>IFERROR(__xludf.DUMMYFUNCTION("""COMPUTED_VALUE"""),"REGIONAL I")</f>
        <v>REGIONAL I</v>
      </c>
      <c r="E236" s="222" t="str">
        <f>IFERROR(__xludf.DUMMYFUNCTION("""COMPUTED_VALUE"""),"RIDAR")</f>
        <v>RIDAR</v>
      </c>
      <c r="F236" s="222" t="str">
        <f>IFERROR(__xludf.DUMMYFUNCTION("""COMPUTED_VALUE"""),"ARK")</f>
        <v>ARK</v>
      </c>
      <c r="G236" s="222" t="str">
        <f>IFERROR(__xludf.DUMMYFUNCTION("""COMPUTED_VALUE"""),"SUMBAGTENG")</f>
        <v>SUMBAGTENG</v>
      </c>
      <c r="H236" s="222" t="str">
        <f>IFERROR(__xludf.DUMMYFUNCTION("""COMPUTED_VALUE"""),"PEKANBARU")</f>
        <v>PEKANBARU</v>
      </c>
      <c r="I236" s="222" t="str">
        <f>IFERROR(__xludf.DUMMYFUNCTION("""COMPUTED_VALUE"""),"Batch 2")</f>
        <v>Batch 2</v>
      </c>
      <c r="J236" s="225">
        <f>IFERROR(__xludf.DUMMYFUNCTION("""COMPUTED_VALUE"""),22.0)</f>
        <v>22</v>
      </c>
      <c r="K236" s="224">
        <f>IFERROR(__xludf.DUMMYFUNCTION("""COMPUTED_VALUE"""),184.0)</f>
        <v>184</v>
      </c>
      <c r="L236" s="226">
        <f>IFERROR(__xludf.DUMMYFUNCTION("""COMPUTED_VALUE"""),1391077.0)</f>
        <v>1391077</v>
      </c>
      <c r="M236" s="227">
        <f>IFERROR(__xludf.DUMMYFUNCTION("""COMPUTED_VALUE"""),2.55957998E8)</f>
        <v>255957998</v>
      </c>
      <c r="N236" s="222" t="str">
        <f>IFERROR(__xludf.DUMMYFUNCTION("""COMPUTED_VALUE"""),"PT PASIFIK MORA TAMA")</f>
        <v>PT PASIFIK MORA TAMA</v>
      </c>
      <c r="O236" s="222" t="str">
        <f>IFERROR(__xludf.DUMMYFUNCTION("""COMPUTED_VALUE"""),"6. FINISH INSTALASI")</f>
        <v>6. FINISH INSTALASI</v>
      </c>
      <c r="P236" s="222" t="str">
        <f>IFERROR(__xludf.DUMMYFUNCTION("""COMPUTED_VALUE"""),"6.6 Kendala - QE Feeder/Distribusi")</f>
        <v>6.6 Kendala - QE Feeder/Distribusi</v>
      </c>
      <c r="Q236" s="222" t="str">
        <f>IFERROR(__xludf.DUMMYFUNCTION("""COMPUTED_VALUE"""),"20/04 Repair feeder dibantu oleh tim MTC 13/04 Proses identifikasi feeder eksisting, melanjutkan repair sebelum RAFI 08/04 On Progres identifikasi titik repair selanjut nya 06/04 Lanjut progres QE di tgl 07 April 27/03 Progres repair dilanjut awal bulan, "&amp;"karena feeder eksisting banyak terdapat core aktif ( Uplink Mini OLT, Node B ) 16/03 on progres repair, baru dapat 3 core. feeder 09/03 Hasil repair baru dapat 3 core, dari kebutuhan 6 core 03/03 Proses repair kabel feeder eksisting, plan repair 04 Mar da"&amp;"n selesai di 08 Mar 18/02 Proses pengecekan repair oleh tim konstruksi 12/02 Proses Repair feeder Eksisting 29/01 Terminasi ODP dan Paralel Repair Feeder eksisting 20/01 Terminasi ODP (07/01) Persiapan")</f>
        <v>20/04 Repair feeder dibantu oleh tim MTC 13/04 Proses identifikasi feeder eksisting, melanjutkan repair sebelum RAFI 08/04 On Progres identifikasi titik repair selanjut nya 06/04 Lanjut progres QE di tgl 07 April 27/03 Progres repair dilanjut awal bulan, karena feeder eksisting banyak terdapat core aktif ( Uplink Mini OLT, Node B ) 16/03 on progres repair, baru dapat 3 core. feeder 09/03 Hasil repair baru dapat 3 core, dari kebutuhan 6 core 03/03 Proses repair kabel feeder eksisting, plan repair 04 Mar dan selesai di 08 Mar 18/02 Proses pengecekan repair oleh tim konstruksi 12/02 Proses Repair feeder Eksisting 29/01 Terminasi ODP dan Paralel Repair Feeder eksisting 20/01 Terminasi ODP (07/01) Persiapan</v>
      </c>
      <c r="R236" s="228">
        <f>IFERROR(__xludf.DUMMYFUNCTION("""COMPUTED_VALUE"""),46137.0)</f>
        <v>46137</v>
      </c>
      <c r="S236" s="11" t="str">
        <f>IFERROR(__xludf.DUMMYFUNCTION("""COMPUTED_VALUE"""),"APR")</f>
        <v>APR</v>
      </c>
      <c r="T236" s="73" t="str">
        <f>IFERROR(__xludf.DUMMYFUNCTION("""COMPUTED_VALUE"""),"P1")</f>
        <v>P1</v>
      </c>
      <c r="U236" s="11" t="str">
        <f>IFERROR(__xludf.DUMMYFUNCTION("""COMPUTED_VALUE"""),"W08-2046/2025")</f>
        <v>W08-2046/2025</v>
      </c>
      <c r="V236" s="229" t="str">
        <f>IFERROR(__xludf.DUMMYFUNCTION("""COMPUTED_VALUE"""),"FIRDAUS ZULKARNAIEN")</f>
        <v>FIRDAUS ZULKARNAIEN</v>
      </c>
      <c r="W236" s="229" t="str">
        <f>IFERROR(__xludf.DUMMYFUNCTION("""COMPUTED_VALUE"""),"ANZALA SAKINAH")</f>
        <v>ANZALA SAKINAH</v>
      </c>
      <c r="X236" s="229" t="str">
        <f>IFERROR(__xludf.DUMMYFUNCTION("""COMPUTED_VALUE"""),"BELUM GOLIVE")</f>
        <v>BELUM GOLIVE</v>
      </c>
      <c r="Y236" s="229"/>
      <c r="Z236" s="229" t="str">
        <f>IFERROR(__xludf.DUMMYFUNCTION("""COMPUTED_VALUE"""),"#N/A")</f>
        <v>#N/A</v>
      </c>
      <c r="AA236" s="229"/>
      <c r="AB236" s="229"/>
      <c r="AC236" s="229"/>
      <c r="AD236" s="232"/>
      <c r="AE236" s="233"/>
      <c r="AF236" s="54"/>
      <c r="AG236" s="54"/>
      <c r="AH236" s="54">
        <v>46130.0</v>
      </c>
      <c r="AI236" s="55">
        <f>AH236-TODAY()</f>
        <v>-10</v>
      </c>
      <c r="AJ236" s="229" t="str">
        <f t="shared" si="41"/>
        <v>Out Komitmen</v>
      </c>
      <c r="AK236" s="231" t="s">
        <v>199</v>
      </c>
      <c r="AW236" s="234"/>
      <c r="BP236" s="11"/>
      <c r="BQ236" s="11"/>
      <c r="BR236" s="235"/>
      <c r="BV236" s="158"/>
      <c r="BY236" s="158"/>
      <c r="CB236" s="158"/>
    </row>
    <row r="237" ht="18.0" hidden="1" customHeight="1">
      <c r="A237" s="222">
        <f>IFERROR(__xludf.DUMMYFUNCTION("""COMPUTED_VALUE"""),2026.0)</f>
        <v>2026</v>
      </c>
      <c r="B237" s="221">
        <f>IFERROR(__xludf.DUMMYFUNCTION("""COMPUTED_VALUE"""),1.1434754E7)</f>
        <v>11434754</v>
      </c>
      <c r="C237" s="222" t="str">
        <f>IFERROR(__xludf.DUMMYFUNCTION("""COMPUTED_VALUE"""),"SMS P3I1 PT4 LHT FXX DESA ULAK PANDAN")</f>
        <v>SMS P3I1 PT4 LHT FXX DESA ULAK PANDAN</v>
      </c>
      <c r="D237" s="222" t="str">
        <f>IFERROR(__xludf.DUMMYFUNCTION("""COMPUTED_VALUE"""),"REGIONAL I")</f>
        <v>REGIONAL I</v>
      </c>
      <c r="E237" s="222" t="str">
        <f>IFERROR(__xludf.DUMMYFUNCTION("""COMPUTED_VALUE"""),"SUMSEL")</f>
        <v>SUMSEL</v>
      </c>
      <c r="F237" s="222" t="str">
        <f>IFERROR(__xludf.DUMMYFUNCTION("""COMPUTED_VALUE"""),"LHT")</f>
        <v>LHT</v>
      </c>
      <c r="G237" s="222" t="str">
        <f>IFERROR(__xludf.DUMMYFUNCTION("""COMPUTED_VALUE"""),"SUMBAGSEL")</f>
        <v>SUMBAGSEL</v>
      </c>
      <c r="H237" s="222" t="str">
        <f>IFERROR(__xludf.DUMMYFUNCTION("""COMPUTED_VALUE"""),"BENGKULU")</f>
        <v>BENGKULU</v>
      </c>
      <c r="I237" s="222" t="str">
        <f>IFERROR(__xludf.DUMMYFUNCTION("""COMPUTED_VALUE"""),"Batch 2")</f>
        <v>Batch 2</v>
      </c>
      <c r="J237" s="225">
        <f>IFERROR(__xludf.DUMMYFUNCTION("""COMPUTED_VALUE"""),40.0)</f>
        <v>40</v>
      </c>
      <c r="K237" s="224">
        <f>IFERROR(__xludf.DUMMYFUNCTION("""COMPUTED_VALUE"""),320.0)</f>
        <v>320</v>
      </c>
      <c r="L237" s="226">
        <f>IFERROR(__xludf.DUMMYFUNCTION("""COMPUTED_VALUE"""),1390210.0)</f>
        <v>1390210</v>
      </c>
      <c r="M237" s="227">
        <f>IFERROR(__xludf.DUMMYFUNCTION("""COMPUTED_VALUE"""),4.44867143E8)</f>
        <v>444867143</v>
      </c>
      <c r="N237" s="222" t="str">
        <f>IFERROR(__xludf.DUMMYFUNCTION("""COMPUTED_VALUE"""),"PT GITA PRIMA TAMBA PERKASA")</f>
        <v>PT GITA PRIMA TAMBA PERKASA</v>
      </c>
      <c r="O237" s="222" t="str">
        <f>IFERROR(__xludf.DUMMYFUNCTION("""COMPUTED_VALUE"""),"3. PERIZINAN")</f>
        <v>3. PERIZINAN</v>
      </c>
      <c r="P237" s="222" t="str">
        <f>IFERROR(__xludf.DUMMYFUNCTION("""COMPUTED_VALUE"""),"3.1 Submit permohon ke PU")</f>
        <v>3.1 Submit permohon ke PU</v>
      </c>
      <c r="Q237" s="222" t="str">
        <f>IFERROR(__xludf.DUMMYFUNCTION("""COMPUTED_VALUE"""),"16/04 proses draf surat perizinan PU 08/04 Proses submit Perizinan PU 26/03 proses pergantian mitra dri raharja ke GPTP, 25/03 PROGRESS UPDATE BOQ DAN KML SETELAH AANWIDJZING - MASIH MENUNGGU INFO TSEL MENGENAI PENGURANGAN ODP,  16/03 HASIL AANWIDJZING BI"&amp;"SA DIKERJAKAN TAPI PERLU PERIZINAN KE PU NASIONAL, 12/03 DONE AANWIDJZING, 10/03 PROGRESS AANWIJDZING ULANG, 09/03 DIALIHKAN KE MITRA GPTP, 09/03 DATA UPDATE BLM DI KIRIM MITRA, 06/03 SDH DI FU TERUS TP BELUM ADA INFO DARI MITRA, 02/03 SDH DI FU TERUS TP "&amp;"BELUM ADA INFO DARI MITRA, 27/02 masih menunggu hasil perhitungan QE dan review TIF 22/2  menunggu hasil perhitungan QE dan review TIF  22/02 PROSES PERIZINAN, 15/02 AANWIDJZING PENDING - BLM IZIN KADES KRNA SEDANG DILUAR KOTA, 10/02 DONE AANWIDJZING - MI"&amp;"TRA BELUM KIRIM HASIL AANWIDJZING, 6/2 plan aanwijdzing 8 feb 04/02 PROSES AANWIDJZING, (28/01) belum dpt update dri tim mitra kapan untuk aawniziing ke lapangan,  (21/01) menunggu antrian untuk aanwizjing, (15/1) ORDER DITERIMA MITRA 14/1, masih menunngu"&amp;" confirm- kepastian 19 jan (06/01)order JPP batch-2 2026 ((14/11)HOLD-  tidak masuk target Optimis 2025 (12/11 DRM 10/11 mitra TP ditunjuk sebagai mitra LOP ini  04/11 mitra TP ditunjuk sebagai mitra LOP ini 3/11 mitra TPP ditunjuk sebagai mitra LOP ini 2"&amp;"3/10 belum di lakukan oleh mitra ke lokasi
15/10 plan aanwiznig tgl 17/10
(08/10) menunggu jadwal aanwijizng
(01/10) menunggu jadwal aanwijizng
(19/09) pejadwalan aanwijzing
14/01 sudah penunjukan mitra oleh procurement")</f>
        <v>16/04 proses draf surat perizinan PU 08/04 Proses submit Perizinan PU 26/03 proses pergantian mitra dri raharja ke GPTP, 25/03 PROGRESS UPDATE BOQ DAN KML SETELAH AANWIDJZING - MASIH MENUNGGU INFO TSEL MENGENAI PENGURANGAN ODP,  16/03 HASIL AANWIDJZING BISA DIKERJAKAN TAPI PERLU PERIZINAN KE PU NASIONAL, 12/03 DONE AANWIDJZING, 10/03 PROGRESS AANWIJDZING ULANG, 09/03 DIALIHKAN KE MITRA GPTP, 09/03 DATA UPDATE BLM DI KIRIM MITRA, 06/03 SDH DI FU TERUS TP BELUM ADA INFO DARI MITRA, 02/03 SDH DI FU TERUS TP BELUM ADA INFO DARI MITRA, 27/02 masih menunggu hasil perhitungan QE dan review TIF 22/2  menunggu hasil perhitungan QE dan review TIF  22/02 PROSES PERIZINAN, 15/02 AANWIDJZING PENDING - BLM IZIN KADES KRNA SEDANG DILUAR KOTA, 10/02 DONE AANWIDJZING - MITRA BELUM KIRIM HASIL AANWIDJZING, 6/2 plan aanwijdzing 8 feb 04/02 PROSES AANWIDJZING, (28/01) belum dpt update dri tim mitra kapan untuk aawniziing ke lapangan,  (21/01) menunggu antrian untuk aanwizjing, (15/1) ORDER DITERIMA MITRA 14/1, masih menunngu confirm- kepastian 19 jan (06/01)order JPP batch-2 2026 ((14/11)HOLD-  tidak masuk target Optimis 2025 (12/11 DRM 10/11 mitra TP ditunjuk sebagai mitra LOP ini  04/11 mitra TP ditunjuk sebagai mitra LOP ini 3/11 mitra TPP ditunjuk sebagai mitra LOP ini 23/10 belum di lakukan oleh mitra ke lokasi
15/10 plan aanwiznig tgl 17/10
(08/10) menunggu jadwal aanwijizng
(01/10) menunggu jadwal aanwijizng
(19/09) pejadwalan aanwijzing
14/01 sudah penunjukan mitra oleh procurement</v>
      </c>
      <c r="R237" s="228"/>
      <c r="S237" s="11"/>
      <c r="T237" s="11" t="str">
        <f>IFERROR(__xludf.DUMMYFUNCTION("""COMPUTED_VALUE"""),"P1")</f>
        <v>P1</v>
      </c>
      <c r="U237" s="11"/>
      <c r="V237" s="229" t="str">
        <f>IFERROR(__xludf.DUMMYFUNCTION("""COMPUTED_VALUE"""),"PUTRA")</f>
        <v>PUTRA</v>
      </c>
      <c r="W237" s="229"/>
      <c r="X237" s="229" t="str">
        <f>IFERROR(__xludf.DUMMYFUNCTION("""COMPUTED_VALUE"""),"BELUM GOLIVE")</f>
        <v>BELUM GOLIVE</v>
      </c>
      <c r="Y237" s="229"/>
      <c r="Z237" s="229"/>
      <c r="AA237" s="229"/>
      <c r="AB237" s="229"/>
      <c r="AC237" s="229"/>
      <c r="AD237" s="232"/>
      <c r="AE237" s="233"/>
      <c r="AF237" s="54"/>
      <c r="AG237" s="54"/>
      <c r="AH237" s="54"/>
      <c r="AI237" s="55" t="str">
        <f t="shared" ref="AI237:AI280" si="42">IF(OR(R237="",AE237=""),"",R237-AE237)</f>
        <v/>
      </c>
      <c r="AW237" s="234"/>
      <c r="BP237" s="11"/>
      <c r="BQ237" s="11"/>
      <c r="BR237" s="235"/>
      <c r="BV237" s="158"/>
      <c r="BY237" s="158"/>
      <c r="CB237" s="158"/>
    </row>
    <row r="238" ht="18.0" hidden="1" customHeight="1">
      <c r="A238" s="222">
        <f>IFERROR(__xludf.DUMMYFUNCTION("""COMPUTED_VALUE"""),2026.0)</f>
        <v>2026</v>
      </c>
      <c r="B238" s="221">
        <f>IFERROR(__xludf.DUMMYFUNCTION("""COMPUTED_VALUE"""),1.1122435E7)</f>
        <v>11122435</v>
      </c>
      <c r="C238" s="222" t="str">
        <f>IFERROR(__xludf.DUMMYFUNCTION("""COMPUTED_VALUE"""),"JBI-PT3-BKO-FB-JAMBI_PEMATANG KANDIS 2")</f>
        <v>JBI-PT3-BKO-FB-JAMBI_PEMATANG KANDIS 2</v>
      </c>
      <c r="D238" s="222" t="str">
        <f>IFERROR(__xludf.DUMMYFUNCTION("""COMPUTED_VALUE"""),"REGIONAL I")</f>
        <v>REGIONAL I</v>
      </c>
      <c r="E238" s="222" t="str">
        <f>IFERROR(__xludf.DUMMYFUNCTION("""COMPUTED_VALUE"""),"JAMBI")</f>
        <v>JAMBI</v>
      </c>
      <c r="F238" s="222" t="str">
        <f>IFERROR(__xludf.DUMMYFUNCTION("""COMPUTED_VALUE"""),"BKO")</f>
        <v>BKO</v>
      </c>
      <c r="G238" s="222" t="str">
        <f>IFERROR(__xludf.DUMMYFUNCTION("""COMPUTED_VALUE"""),"SUMBAGSEL")</f>
        <v>SUMBAGSEL</v>
      </c>
      <c r="H238" s="222" t="str">
        <f>IFERROR(__xludf.DUMMYFUNCTION("""COMPUTED_VALUE"""),"JAMBI")</f>
        <v>JAMBI</v>
      </c>
      <c r="I238" s="222" t="str">
        <f>IFERROR(__xludf.DUMMYFUNCTION("""COMPUTED_VALUE"""),"Batch 2")</f>
        <v>Batch 2</v>
      </c>
      <c r="J238" s="225">
        <f>IFERROR(__xludf.DUMMYFUNCTION("""COMPUTED_VALUE"""),9.0)</f>
        <v>9</v>
      </c>
      <c r="K238" s="224">
        <f>IFERROR(__xludf.DUMMYFUNCTION("""COMPUTED_VALUE"""),72.0)</f>
        <v>72</v>
      </c>
      <c r="L238" s="226">
        <f>IFERROR(__xludf.DUMMYFUNCTION("""COMPUTED_VALUE"""),1389118.0)</f>
        <v>1389118</v>
      </c>
      <c r="M238" s="227">
        <f>IFERROR(__xludf.DUMMYFUNCTION("""COMPUTED_VALUE"""),1.00016454E8)</f>
        <v>100016454</v>
      </c>
      <c r="N238" s="222" t="str">
        <f>IFERROR(__xludf.DUMMYFUNCTION("""COMPUTED_VALUE"""),"PT TSUIKA BERKAH RAYA")</f>
        <v>PT TSUIKA BERKAH RAYA</v>
      </c>
      <c r="O238" s="222" t="str">
        <f>IFERROR(__xludf.DUMMYFUNCTION("""COMPUTED_VALUE"""),"7. GOLIVE")</f>
        <v>7. GOLIVE</v>
      </c>
      <c r="P238" s="222" t="str">
        <f>IFERROR(__xludf.DUMMYFUNCTION("""COMPUTED_VALUE"""),"7.2 Golive Full / OA / DONE OTB")</f>
        <v>7.2 Golive Full / OA / DONE OTB</v>
      </c>
      <c r="Q238" s="222" t="str">
        <f>IFERROR(__xludf.DUMMYFUNCTION("""COMPUTED_VALUE"""),"(09/03) FI Ogp Jumper kendala kabel bundle blum terminasi  (05/03) melanjutkan penanaman tiang yg terkendala Space Coran 22/2 instalasi ODP 0/9 (16/2) sebelumnya kabel space tanam tiang , bobok coran pakai jack hammer , hi progress pasang ODP ,est selesai"&amp;" dan submit abd 21 feb  (6/2) Tarik kabel 3700/3700 (5/2) TARIK KABEL 1000/3700 (291/) MATERIAL ONSITE (22/01) PID Done ogp Apv PM Area (12/1) Proses aanwidjizing 7/1 DRM  (06/01)order JPP batch-2 2026 ((26/11) ORDER HOLD , FLAGGING ""TIDAK LANJUT DARI PE"&amp;"D"" (10/11 mapping mitra")</f>
        <v>(09/03) FI Ogp Jumper kendala kabel bundle blum terminasi  (05/03) melanjutkan penanaman tiang yg terkendala Space Coran 22/2 instalasi ODP 0/9 (16/2) sebelumnya kabel space tanam tiang , bobok coran pakai jack hammer , hi progress pasang ODP ,est selesai dan submit abd 21 feb  (6/2) Tarik kabel 3700/3700 (5/2) TARIK KABEL 1000/3700 (291/) MATERIAL ONSITE (22/01) PID Done ogp Apv PM Area (12/1) Proses aanwidjizing 7/1 DRM  (06/01)order JPP batch-2 2026 ((26/11) ORDER HOLD , FLAGGING "TIDAK LANJUT DARI PED" (10/11 mapping mitra</v>
      </c>
      <c r="R238" s="228">
        <f>IFERROR(__xludf.DUMMYFUNCTION("""COMPUTED_VALUE"""),46097.0)</f>
        <v>46097</v>
      </c>
      <c r="S238" s="11" t="str">
        <f>IFERROR(__xludf.DUMMYFUNCTION("""COMPUTED_VALUE"""),"MAR")</f>
        <v>MAR</v>
      </c>
      <c r="T238" s="11" t="str">
        <f>IFERROR(__xludf.DUMMYFUNCTION("""COMPUTED_VALUE"""),"P1")</f>
        <v>P1</v>
      </c>
      <c r="U238" s="11"/>
      <c r="V238" s="229" t="str">
        <f>IFERROR(__xludf.DUMMYFUNCTION("""COMPUTED_VALUE"""),"RUDI PRAYITNO")</f>
        <v>RUDI PRAYITNO</v>
      </c>
      <c r="W238" s="229"/>
      <c r="X238" s="229" t="str">
        <f>IFERROR(__xludf.DUMMYFUNCTION("""COMPUTED_VALUE"""),"GOLIVE")</f>
        <v>GOLIVE</v>
      </c>
      <c r="Y238" s="229" t="str">
        <f>IFERROR(__xludf.DUMMYFUNCTION("""COMPUTED_VALUE"""),"DONE")</f>
        <v>DONE</v>
      </c>
      <c r="Z238" s="229" t="str">
        <f>IFERROR(__xludf.DUMMYFUNCTION("""COMPUTED_VALUE"""),"#N/A")</f>
        <v>#N/A</v>
      </c>
      <c r="AA238" s="229">
        <f>IFERROR(__xludf.DUMMYFUNCTION("""COMPUTED_VALUE"""),7.0)</f>
        <v>7</v>
      </c>
      <c r="AB238" s="229"/>
      <c r="AC238" s="229" t="str">
        <f>IFERROR(__xludf.DUMMYFUNCTION("""COMPUTED_VALUE"""),"9211512#9211517")</f>
        <v>9211512#9211517</v>
      </c>
      <c r="AD238" s="232">
        <f>IFERROR(__xludf.DUMMYFUNCTION("""COMPUTED_VALUE"""),56.0)</f>
        <v>56</v>
      </c>
      <c r="AE238" s="233">
        <f>IFERROR(__xludf.DUMMYFUNCTION("""COMPUTED_VALUE"""),46100.0)</f>
        <v>46100</v>
      </c>
      <c r="AF238" s="54"/>
      <c r="AG238" s="54"/>
      <c r="AH238" s="54">
        <v>46097.0</v>
      </c>
      <c r="AI238" s="55">
        <f t="shared" si="42"/>
        <v>-3</v>
      </c>
      <c r="AW238" s="234"/>
      <c r="BP238" s="11"/>
      <c r="BQ238" s="11"/>
      <c r="BR238" s="235"/>
      <c r="BV238" s="158"/>
      <c r="BY238" s="158"/>
      <c r="CB238" s="158"/>
    </row>
    <row r="239" ht="18.0" customHeight="1">
      <c r="A239" s="222">
        <f>IFERROR(__xludf.DUMMYFUNCTION("""COMPUTED_VALUE"""),2026.0)</f>
        <v>2026</v>
      </c>
      <c r="B239" s="221">
        <f>IFERROR(__xludf.DUMMYFUNCTION("""COMPUTED_VALUE"""),1.1516169E7)</f>
        <v>11516169</v>
      </c>
      <c r="C239" s="222" t="str">
        <f>IFERROR(__xludf.DUMMYFUNCTION("""COMPUTED_VALUE"""),"RDR RBI PT3 P1I1 PERUMAHAN ALAM LESTARI")</f>
        <v>RDR RBI PT3 P1I1 PERUMAHAN ALAM LESTARI</v>
      </c>
      <c r="D239" s="222" t="str">
        <f>IFERROR(__xludf.DUMMYFUNCTION("""COMPUTED_VALUE"""),"REGIONAL I")</f>
        <v>REGIONAL I</v>
      </c>
      <c r="E239" s="222" t="str">
        <f>IFERROR(__xludf.DUMMYFUNCTION("""COMPUTED_VALUE"""),"RIDAR")</f>
        <v>RIDAR</v>
      </c>
      <c r="F239" s="222" t="str">
        <f>IFERROR(__xludf.DUMMYFUNCTION("""COMPUTED_VALUE"""),"RBI")</f>
        <v>RBI</v>
      </c>
      <c r="G239" s="222" t="str">
        <f>IFERROR(__xludf.DUMMYFUNCTION("""COMPUTED_VALUE"""),"SUMBAGTENG")</f>
        <v>SUMBAGTENG</v>
      </c>
      <c r="H239" s="222" t="str">
        <f>IFERROR(__xludf.DUMMYFUNCTION("""COMPUTED_VALUE"""),"PEKANBARU")</f>
        <v>PEKANBARU</v>
      </c>
      <c r="I239" s="222" t="str">
        <f>IFERROR(__xludf.DUMMYFUNCTION("""COMPUTED_VALUE"""),"Batch 2")</f>
        <v>Batch 2</v>
      </c>
      <c r="J239" s="225">
        <f>IFERROR(__xludf.DUMMYFUNCTION("""COMPUTED_VALUE"""),9.0)</f>
        <v>9</v>
      </c>
      <c r="K239" s="224">
        <f>IFERROR(__xludf.DUMMYFUNCTION("""COMPUTED_VALUE"""),72.0)</f>
        <v>72</v>
      </c>
      <c r="L239" s="226">
        <f>IFERROR(__xludf.DUMMYFUNCTION("""COMPUTED_VALUE"""),1388959.0)</f>
        <v>1388959</v>
      </c>
      <c r="M239" s="227">
        <f>IFERROR(__xludf.DUMMYFUNCTION("""COMPUTED_VALUE"""),1.00005015E8)</f>
        <v>100005015</v>
      </c>
      <c r="N239" s="222" t="str">
        <f>IFERROR(__xludf.DUMMYFUNCTION("""COMPUTED_VALUE"""),"SWAKELOLA")</f>
        <v>SWAKELOLA</v>
      </c>
      <c r="O239" s="222" t="str">
        <f>IFERROR(__xludf.DUMMYFUNCTION("""COMPUTED_VALUE"""),"0. DROP")</f>
        <v>0. DROP</v>
      </c>
      <c r="P239" s="222" t="str">
        <f>IFERROR(__xludf.DUMMYFUNCTION("""COMPUTED_VALUE"""),"0.3 Feeder Full")</f>
        <v>0.3 Feeder Full</v>
      </c>
      <c r="Q239" s="222" t="str">
        <f>IFERROR(__xludf.DUMMYFUNCTION("""COMPUTED_VALUE"""),"20/01 Drop kendala distribusi full (07/01) Persiapan")</f>
        <v>20/01 Drop kendala distribusi full (07/01) Persiapan</v>
      </c>
      <c r="R239" s="228"/>
      <c r="S239" s="11"/>
      <c r="T239" s="11"/>
      <c r="U239" s="11"/>
      <c r="V239" s="229" t="str">
        <f>IFERROR(__xludf.DUMMYFUNCTION("""COMPUTED_VALUE"""),"PIKI NOFRI SAPUTRA")</f>
        <v>PIKI NOFRI SAPUTRA</v>
      </c>
      <c r="W239" s="229" t="str">
        <f>IFERROR(__xludf.DUMMYFUNCTION("""COMPUTED_VALUE"""),"ANZALA SAKINAH")</f>
        <v>ANZALA SAKINAH</v>
      </c>
      <c r="X239" s="229" t="str">
        <f>IFERROR(__xludf.DUMMYFUNCTION("""COMPUTED_VALUE"""),"BELUM GOLIVE")</f>
        <v>BELUM GOLIVE</v>
      </c>
      <c r="Y239" s="229"/>
      <c r="Z239" s="229" t="str">
        <f>IFERROR(__xludf.DUMMYFUNCTION("""COMPUTED_VALUE"""),"#N/A")</f>
        <v>#N/A</v>
      </c>
      <c r="AA239" s="229"/>
      <c r="AB239" s="229"/>
      <c r="AC239" s="229"/>
      <c r="AD239" s="232"/>
      <c r="AE239" s="233"/>
      <c r="AF239" s="54"/>
      <c r="AG239" s="54"/>
      <c r="AH239" s="54"/>
      <c r="AI239" s="55" t="str">
        <f t="shared" si="42"/>
        <v/>
      </c>
      <c r="AW239" s="234"/>
      <c r="BP239" s="11"/>
      <c r="BQ239" s="11"/>
      <c r="BR239" s="235"/>
      <c r="BV239" s="158"/>
      <c r="BY239" s="158"/>
      <c r="CB239" s="158"/>
    </row>
    <row r="240" ht="18.0" hidden="1" customHeight="1">
      <c r="A240" s="222">
        <f>IFERROR(__xludf.DUMMYFUNCTION("""COMPUTED_VALUE"""),2026.0)</f>
        <v>2026</v>
      </c>
      <c r="B240" s="221">
        <f>IFERROR(__xludf.DUMMYFUNCTION("""COMPUTED_VALUE"""),1.1187103E7)</f>
        <v>11187103</v>
      </c>
      <c r="C240" s="222" t="str">
        <f>IFERROR(__xludf.DUMMYFUNCTION("""COMPUTED_VALUE"""),"MDN PT3 P7I11 STB-FAB JL.KOTA DATAR")</f>
        <v>MDN PT3 P7I11 STB-FAB JL.KOTA DATAR</v>
      </c>
      <c r="D240" s="222" t="str">
        <f>IFERROR(__xludf.DUMMYFUNCTION("""COMPUTED_VALUE"""),"REGIONAL I")</f>
        <v>REGIONAL I</v>
      </c>
      <c r="E240" s="222" t="str">
        <f>IFERROR(__xludf.DUMMYFUNCTION("""COMPUTED_VALUE"""),"MEDAN")</f>
        <v>MEDAN</v>
      </c>
      <c r="F240" s="222" t="str">
        <f>IFERROR(__xludf.DUMMYFUNCTION("""COMPUTED_VALUE"""),"STB")</f>
        <v>STB</v>
      </c>
      <c r="G240" s="222" t="str">
        <f>IFERROR(__xludf.DUMMYFUNCTION("""COMPUTED_VALUE"""),"SUMBAGUT")</f>
        <v>SUMBAGUT</v>
      </c>
      <c r="H240" s="222" t="str">
        <f>IFERROR(__xludf.DUMMYFUNCTION("""COMPUTED_VALUE"""),"BINJAI")</f>
        <v>BINJAI</v>
      </c>
      <c r="I240" s="222" t="str">
        <f>IFERROR(__xludf.DUMMYFUNCTION("""COMPUTED_VALUE"""),"Batch 2")</f>
        <v>Batch 2</v>
      </c>
      <c r="J240" s="225">
        <f>IFERROR(__xludf.DUMMYFUNCTION("""COMPUTED_VALUE"""),8.0)</f>
        <v>8</v>
      </c>
      <c r="K240" s="224">
        <f>IFERROR(__xludf.DUMMYFUNCTION("""COMPUTED_VALUE"""),64.0)</f>
        <v>64</v>
      </c>
      <c r="L240" s="226">
        <f>IFERROR(__xludf.DUMMYFUNCTION("""COMPUTED_VALUE"""),1639498.0)</f>
        <v>1639498</v>
      </c>
      <c r="M240" s="227">
        <f>IFERROR(__xludf.DUMMYFUNCTION("""COMPUTED_VALUE"""),1.04927819E8)</f>
        <v>104927819</v>
      </c>
      <c r="N240" s="222" t="str">
        <f>IFERROR(__xludf.DUMMYFUNCTION("""COMPUTED_VALUE"""),"PT M JUSUF AND SONS")</f>
        <v>PT M JUSUF AND SONS</v>
      </c>
      <c r="O240" s="222" t="str">
        <f>IFERROR(__xludf.DUMMYFUNCTION("""COMPUTED_VALUE"""),"0. DROP")</f>
        <v>0. DROP</v>
      </c>
      <c r="P240" s="222" t="str">
        <f>IFERROR(__xludf.DUMMYFUNCTION("""COMPUTED_VALUE"""),"0.4 CPP Tinggi Acc ED TIF")</f>
        <v>0.4 CPP Tinggi Acc ED TIF</v>
      </c>
      <c r="Q240" s="222" t="str">
        <f>IFERROR(__xludf.DUMMYFUNCTION("""COMPUTED_VALUE"""),"29/01 poses perhitungan boq untuk solusi QE (07/01) Persiapan (07/01) Persiapan
19/09 pengecekan core idle feeder redting
")</f>
        <v>29/01 poses perhitungan boq untuk solusi QE (07/01) Persiapan (07/01) Persiapan
19/09 pengecekan core idle feeder redting
</v>
      </c>
      <c r="R240" s="228"/>
      <c r="S240" s="11"/>
      <c r="T240" s="11"/>
      <c r="U240" s="11"/>
      <c r="V240" s="229"/>
      <c r="W240" s="229"/>
      <c r="X240" s="229" t="str">
        <f>IFERROR(__xludf.DUMMYFUNCTION("""COMPUTED_VALUE"""),"BELUM GOLIVE")</f>
        <v>BELUM GOLIVE</v>
      </c>
      <c r="Y240" s="229"/>
      <c r="Z240" s="229" t="str">
        <f>IFERROR(__xludf.DUMMYFUNCTION("""COMPUTED_VALUE"""),"#N/A")</f>
        <v>#N/A</v>
      </c>
      <c r="AA240" s="229"/>
      <c r="AB240" s="229"/>
      <c r="AC240" s="229"/>
      <c r="AD240" s="232"/>
      <c r="AE240" s="233"/>
      <c r="AF240" s="54" t="str">
        <f>IFERROR(__xludf.DUMMYFUNCTION("""COMPUTED_VALUE"""),"Draft BA DROP")</f>
        <v>Draft BA DROP</v>
      </c>
      <c r="AG240" s="54"/>
      <c r="AH240" s="54"/>
      <c r="AI240" s="55" t="str">
        <f t="shared" si="42"/>
        <v/>
      </c>
      <c r="AW240" s="234"/>
      <c r="BP240" s="11"/>
      <c r="BQ240" s="11"/>
      <c r="BR240" s="235"/>
      <c r="BV240" s="158"/>
      <c r="BY240" s="158"/>
      <c r="CB240" s="158"/>
    </row>
    <row r="241" ht="18.0" hidden="1" customHeight="1">
      <c r="A241" s="222">
        <f>IFERROR(__xludf.DUMMYFUNCTION("""COMPUTED_VALUE"""),2026.0)</f>
        <v>2026</v>
      </c>
      <c r="B241" s="221">
        <f>IFERROR(__xludf.DUMMYFUNCTION("""COMPUTED_VALUE"""),1.1393207E7)</f>
        <v>11393207</v>
      </c>
      <c r="C241" s="222" t="str">
        <f>IFERROR(__xludf.DUMMYFUNCTION("""COMPUTED_VALUE"""),"LPG PT3 JPP LAMPUNG UTARA_17947 KBI")</f>
        <v>LPG PT3 JPP LAMPUNG UTARA_17947 KBI</v>
      </c>
      <c r="D241" s="222" t="str">
        <f>IFERROR(__xludf.DUMMYFUNCTION("""COMPUTED_VALUE"""),"REGIONAL I")</f>
        <v>REGIONAL I</v>
      </c>
      <c r="E241" s="222" t="str">
        <f>IFERROR(__xludf.DUMMYFUNCTION("""COMPUTED_VALUE"""),"LAMPUNG")</f>
        <v>LAMPUNG</v>
      </c>
      <c r="F241" s="222" t="str">
        <f>IFERROR(__xludf.DUMMYFUNCTION("""COMPUTED_VALUE"""),"KBI")</f>
        <v>KBI</v>
      </c>
      <c r="G241" s="222" t="str">
        <f>IFERROR(__xludf.DUMMYFUNCTION("""COMPUTED_VALUE"""),"SUMBAGSEL")</f>
        <v>SUMBAGSEL</v>
      </c>
      <c r="H241" s="222" t="str">
        <f>IFERROR(__xludf.DUMMYFUNCTION("""COMPUTED_VALUE"""),"LAMPUNG")</f>
        <v>LAMPUNG</v>
      </c>
      <c r="I241" s="222" t="str">
        <f>IFERROR(__xludf.DUMMYFUNCTION("""COMPUTED_VALUE"""),"Batch 2")</f>
        <v>Batch 2</v>
      </c>
      <c r="J241" s="225">
        <f>IFERROR(__xludf.DUMMYFUNCTION("""COMPUTED_VALUE"""),2.0)</f>
        <v>2</v>
      </c>
      <c r="K241" s="224">
        <f>IFERROR(__xludf.DUMMYFUNCTION("""COMPUTED_VALUE"""),16.0)</f>
        <v>16</v>
      </c>
      <c r="L241" s="226">
        <f>IFERROR(__xludf.DUMMYFUNCTION("""COMPUTED_VALUE"""),1387145.0)</f>
        <v>1387145</v>
      </c>
      <c r="M241" s="227">
        <f>IFERROR(__xludf.DUMMYFUNCTION("""COMPUTED_VALUE"""),2.2194306E7)</f>
        <v>22194306</v>
      </c>
      <c r="N241" s="222" t="str">
        <f>IFERROR(__xludf.DUMMYFUNCTION("""COMPUTED_VALUE"""),"PT ALAM UTAMA MULIA")</f>
        <v>PT ALAM UTAMA MULIA</v>
      </c>
      <c r="O241" s="222" t="str">
        <f>IFERROR(__xludf.DUMMYFUNCTION("""COMPUTED_VALUE"""),"0. DROP")</f>
        <v>0. DROP</v>
      </c>
      <c r="P241" s="222" t="str">
        <f>IFERROR(__xludf.DUMMYFUNCTION("""COMPUTED_VALUE"""),"0.2 Tidak Dapat Izin Warga/Kades/Lurah/Developer")</f>
        <v>0.2 Tidak Dapat Izin Warga/Kades/Lurah/Developer</v>
      </c>
      <c r="Q241" s="222" t="str">
        <f>IFERROR(__xludf.DUMMYFUNCTION("""COMPUTED_VALUE"""),"14/2 tidak dapat izin dari lurah")</f>
        <v>14/2 tidak dapat izin dari lurah</v>
      </c>
      <c r="R241" s="228"/>
      <c r="S241" s="11"/>
      <c r="T241" s="11"/>
      <c r="U241" s="11" t="str">
        <f>IFERROR(__xludf.DUMMYFUNCTION("""COMPUTED_VALUE"""),"W02-652/2025")</f>
        <v>W02-652/2025</v>
      </c>
      <c r="V241" s="229"/>
      <c r="W241" s="229"/>
      <c r="X241" s="229" t="str">
        <f>IFERROR(__xludf.DUMMYFUNCTION("""COMPUTED_VALUE"""),"BELUM GOLIVE")</f>
        <v>BELUM GOLIVE</v>
      </c>
      <c r="Y241" s="229"/>
      <c r="Z241" s="229" t="str">
        <f>IFERROR(__xludf.DUMMYFUNCTION("""COMPUTED_VALUE"""),"#N/A")</f>
        <v>#N/A</v>
      </c>
      <c r="AA241" s="229"/>
      <c r="AB241" s="229"/>
      <c r="AC241" s="229"/>
      <c r="AD241" s="232"/>
      <c r="AE241" s="233"/>
      <c r="AF241" s="54" t="str">
        <f>IFERROR(__xludf.DUMMYFUNCTION("""COMPUTED_VALUE"""),"Draft BA DROP")</f>
        <v>Draft BA DROP</v>
      </c>
      <c r="AG241" s="54"/>
      <c r="AH241" s="54"/>
      <c r="AI241" s="55" t="str">
        <f t="shared" si="42"/>
        <v/>
      </c>
      <c r="AW241" s="234"/>
      <c r="BP241" s="11"/>
      <c r="BQ241" s="11"/>
      <c r="BR241" s="235"/>
      <c r="BV241" s="158"/>
      <c r="BY241" s="158"/>
      <c r="CB241" s="158"/>
    </row>
    <row r="242" ht="18.0" hidden="1" customHeight="1">
      <c r="A242" s="222">
        <f>IFERROR(__xludf.DUMMYFUNCTION("""COMPUTED_VALUE"""),2026.0)</f>
        <v>2026</v>
      </c>
      <c r="B242" s="221">
        <f>IFERROR(__xludf.DUMMYFUNCTION("""COMPUTED_VALUE"""),1.0997424E7)</f>
        <v>10997424</v>
      </c>
      <c r="C242" s="222" t="str">
        <f>IFERROR(__xludf.DUMMYFUNCTION("""COMPUTED_VALUE"""),"LPG PT3 JPP SUKABARU PENENGAHAN SPS")</f>
        <v>LPG PT3 JPP SUKABARU PENENGAHAN SPS</v>
      </c>
      <c r="D242" s="222" t="str">
        <f>IFERROR(__xludf.DUMMYFUNCTION("""COMPUTED_VALUE"""),"REGIONAL I")</f>
        <v>REGIONAL I</v>
      </c>
      <c r="E242" s="222" t="str">
        <f>IFERROR(__xludf.DUMMYFUNCTION("""COMPUTED_VALUE"""),"LAMPUNG")</f>
        <v>LAMPUNG</v>
      </c>
      <c r="F242" s="222" t="str">
        <f>IFERROR(__xludf.DUMMYFUNCTION("""COMPUTED_VALUE"""),"SPS")</f>
        <v>SPS</v>
      </c>
      <c r="G242" s="222" t="str">
        <f>IFERROR(__xludf.DUMMYFUNCTION("""COMPUTED_VALUE"""),"SUMBAGSEL")</f>
        <v>SUMBAGSEL</v>
      </c>
      <c r="H242" s="222" t="str">
        <f>IFERROR(__xludf.DUMMYFUNCTION("""COMPUTED_VALUE"""),"LAMPUNG")</f>
        <v>LAMPUNG</v>
      </c>
      <c r="I242" s="222" t="str">
        <f>IFERROR(__xludf.DUMMYFUNCTION("""COMPUTED_VALUE"""),"Batch 2")</f>
        <v>Batch 2</v>
      </c>
      <c r="J242" s="225">
        <f>IFERROR(__xludf.DUMMYFUNCTION("""COMPUTED_VALUE"""),21.0)</f>
        <v>21</v>
      </c>
      <c r="K242" s="224">
        <f>IFERROR(__xludf.DUMMYFUNCTION("""COMPUTED_VALUE"""),168.0)</f>
        <v>168</v>
      </c>
      <c r="L242" s="226">
        <f>IFERROR(__xludf.DUMMYFUNCTION("""COMPUTED_VALUE"""),1386423.0)</f>
        <v>1386423</v>
      </c>
      <c r="M242" s="227">
        <f>IFERROR(__xludf.DUMMYFUNCTION("""COMPUTED_VALUE"""),2.32919062E8)</f>
        <v>232919062</v>
      </c>
      <c r="N242" s="222" t="str">
        <f>IFERROR(__xludf.DUMMYFUNCTION("""COMPUTED_VALUE"""),"PT ACERO CETHA METALINDO")</f>
        <v>PT ACERO CETHA METALINDO</v>
      </c>
      <c r="O242" s="222" t="str">
        <f>IFERROR(__xludf.DUMMYFUNCTION("""COMPUTED_VALUE"""),"0. DROP")</f>
        <v>0. DROP</v>
      </c>
      <c r="P242" s="222" t="str">
        <f>IFERROR(__xludf.DUMMYFUNCTION("""COMPUTED_VALUE"""),"0.2 Tidak Dapat Izin Warga/Kades/Lurah/Developer")</f>
        <v>0.2 Tidak Dapat Izin Warga/Kades/Lurah/Developer</v>
      </c>
      <c r="Q242" s="222" t="str">
        <f>IFERROR(__xludf.DUMMYFUNCTION("""COMPUTED_VALUE"""),"6/2 tidak di izinkan dengan luarah 
30/1 tidak di izinkan dengan luarah 
14/1 tidak dapat izin dari lurah")</f>
        <v>6/2 tidak di izinkan dengan luarah 
30/1 tidak di izinkan dengan luarah 
14/1 tidak dapat izin dari lurah</v>
      </c>
      <c r="R242" s="228"/>
      <c r="S242" s="11"/>
      <c r="T242" s="11"/>
      <c r="U242" s="11"/>
      <c r="V242" s="229"/>
      <c r="W242" s="229"/>
      <c r="X242" s="229" t="str">
        <f>IFERROR(__xludf.DUMMYFUNCTION("""COMPUTED_VALUE"""),"BELUM GOLIVE")</f>
        <v>BELUM GOLIVE</v>
      </c>
      <c r="Y242" s="229"/>
      <c r="Z242" s="229" t="str">
        <f>IFERROR(__xludf.DUMMYFUNCTION("""COMPUTED_VALUE"""),"#N/A")</f>
        <v>#N/A</v>
      </c>
      <c r="AA242" s="229"/>
      <c r="AB242" s="229"/>
      <c r="AC242" s="229"/>
      <c r="AD242" s="232"/>
      <c r="AE242" s="233"/>
      <c r="AF242" s="54" t="str">
        <f>IFERROR(__xludf.DUMMYFUNCTION("""COMPUTED_VALUE"""),"Draft BA DROP")</f>
        <v>Draft BA DROP</v>
      </c>
      <c r="AG242" s="54"/>
      <c r="AH242" s="54"/>
      <c r="AI242" s="55" t="str">
        <f t="shared" si="42"/>
        <v/>
      </c>
      <c r="AW242" s="234"/>
      <c r="BP242" s="11"/>
      <c r="BQ242" s="11"/>
      <c r="BR242" s="235"/>
      <c r="BV242" s="158"/>
      <c r="BY242" s="158"/>
      <c r="CB242" s="158"/>
    </row>
    <row r="243" ht="18.0" hidden="1" customHeight="1">
      <c r="A243" s="222">
        <f>IFERROR(__xludf.DUMMYFUNCTION("""COMPUTED_VALUE"""),2026.0)</f>
        <v>2026</v>
      </c>
      <c r="B243" s="221">
        <f>IFERROR(__xludf.DUMMYFUNCTION("""COMPUTED_VALUE"""),1.2084799E7)</f>
        <v>12084799</v>
      </c>
      <c r="C243" s="222" t="str">
        <f>IFERROR(__xludf.DUMMYFUNCTION("""COMPUTED_VALUE"""),"LPG PT3 MD KOTA BANDAR LAMPUNG_15528")</f>
        <v>LPG PT3 MD KOTA BANDAR LAMPUNG_15528</v>
      </c>
      <c r="D243" s="222" t="str">
        <f>IFERROR(__xludf.DUMMYFUNCTION("""COMPUTED_VALUE"""),"REGIONAL I")</f>
        <v>REGIONAL I</v>
      </c>
      <c r="E243" s="222" t="str">
        <f>IFERROR(__xludf.DUMMYFUNCTION("""COMPUTED_VALUE"""),"LAMPUNG")</f>
        <v>LAMPUNG</v>
      </c>
      <c r="F243" s="222" t="str">
        <f>IFERROR(__xludf.DUMMYFUNCTION("""COMPUTED_VALUE"""),"KDT")</f>
        <v>KDT</v>
      </c>
      <c r="G243" s="222" t="str">
        <f>IFERROR(__xludf.DUMMYFUNCTION("""COMPUTED_VALUE"""),"SUMBAGSEL")</f>
        <v>SUMBAGSEL</v>
      </c>
      <c r="H243" s="222" t="str">
        <f>IFERROR(__xludf.DUMMYFUNCTION("""COMPUTED_VALUE"""),"LAMPUNG")</f>
        <v>LAMPUNG</v>
      </c>
      <c r="I243" s="222" t="str">
        <f>IFERROR(__xludf.DUMMYFUNCTION("""COMPUTED_VALUE"""),"Batch 2")</f>
        <v>Batch 2</v>
      </c>
      <c r="J243" s="225">
        <f>IFERROR(__xludf.DUMMYFUNCTION("""COMPUTED_VALUE"""),8.0)</f>
        <v>8</v>
      </c>
      <c r="K243" s="224">
        <f>IFERROR(__xludf.DUMMYFUNCTION("""COMPUTED_VALUE"""),64.0)</f>
        <v>64</v>
      </c>
      <c r="L243" s="226">
        <f>IFERROR(__xludf.DUMMYFUNCTION("""COMPUTED_VALUE"""),1386111.0)</f>
        <v>1386111</v>
      </c>
      <c r="M243" s="227">
        <f>IFERROR(__xludf.DUMMYFUNCTION("""COMPUTED_VALUE"""),8.8711082E7)</f>
        <v>88711082</v>
      </c>
      <c r="N243" s="222" t="str">
        <f>IFERROR(__xludf.DUMMYFUNCTION("""COMPUTED_VALUE"""),"PT GARINDO TECHNO MANDIRI")</f>
        <v>PT GARINDO TECHNO MANDIRI</v>
      </c>
      <c r="O243" s="222" t="str">
        <f>IFERROR(__xludf.DUMMYFUNCTION("""COMPUTED_VALUE"""),"0. DROP")</f>
        <v>0. DROP</v>
      </c>
      <c r="P243" s="222" t="str">
        <f>IFERROR(__xludf.DUMMYFUNCTION("""COMPUTED_VALUE"""),"0.1 Double Order")</f>
        <v>0.1 Double Order</v>
      </c>
      <c r="Q243" s="222" t="str">
        <f>IFERROR(__xludf.DUMMYFUNCTION("""COMPUTED_VALUE"""),"14/1 double order")</f>
        <v>14/1 double order</v>
      </c>
      <c r="R243" s="228"/>
      <c r="S243" s="11"/>
      <c r="T243" s="11"/>
      <c r="U243" s="11"/>
      <c r="V243" s="229"/>
      <c r="W243" s="229"/>
      <c r="X243" s="229" t="str">
        <f>IFERROR(__xludf.DUMMYFUNCTION("""COMPUTED_VALUE"""),"BELUM GOLIVE")</f>
        <v>BELUM GOLIVE</v>
      </c>
      <c r="Y243" s="229"/>
      <c r="Z243" s="229" t="str">
        <f>IFERROR(__xludf.DUMMYFUNCTION("""COMPUTED_VALUE"""),"#N/A")</f>
        <v>#N/A</v>
      </c>
      <c r="AA243" s="229"/>
      <c r="AB243" s="229"/>
      <c r="AC243" s="229"/>
      <c r="AD243" s="232"/>
      <c r="AE243" s="233"/>
      <c r="AF243" s="54" t="str">
        <f>IFERROR(__xludf.DUMMYFUNCTION("""COMPUTED_VALUE"""),"Draft BA DROP")</f>
        <v>Draft BA DROP</v>
      </c>
      <c r="AG243" s="54"/>
      <c r="AH243" s="54"/>
      <c r="AI243" s="55" t="str">
        <f t="shared" si="42"/>
        <v/>
      </c>
      <c r="AW243" s="234"/>
      <c r="BP243" s="11"/>
      <c r="BQ243" s="11"/>
      <c r="BR243" s="235"/>
      <c r="BV243" s="158"/>
      <c r="BY243" s="158"/>
      <c r="CB243" s="158"/>
    </row>
    <row r="244" ht="18.0" hidden="1" customHeight="1">
      <c r="A244" s="222">
        <f>IFERROR(__xludf.DUMMYFUNCTION("""COMPUTED_VALUE"""),2026.0)</f>
        <v>2026</v>
      </c>
      <c r="B244" s="221">
        <f>IFERROR(__xludf.DUMMYFUNCTION("""COMPUTED_VALUE"""),1.2084809E7)</f>
        <v>12084809</v>
      </c>
      <c r="C244" s="222" t="str">
        <f>IFERROR(__xludf.DUMMYFUNCTION("""COMPUTED_VALUE"""),"LPG PT3 JPP KOTA BANDAR LPG_15528 KDT")</f>
        <v>LPG PT3 JPP KOTA BANDAR LPG_15528 KDT</v>
      </c>
      <c r="D244" s="222" t="str">
        <f>IFERROR(__xludf.DUMMYFUNCTION("""COMPUTED_VALUE"""),"REGIONAL I")</f>
        <v>REGIONAL I</v>
      </c>
      <c r="E244" s="222" t="str">
        <f>IFERROR(__xludf.DUMMYFUNCTION("""COMPUTED_VALUE"""),"LAMPUNG")</f>
        <v>LAMPUNG</v>
      </c>
      <c r="F244" s="222" t="str">
        <f>IFERROR(__xludf.DUMMYFUNCTION("""COMPUTED_VALUE"""),"KDT")</f>
        <v>KDT</v>
      </c>
      <c r="G244" s="222" t="str">
        <f>IFERROR(__xludf.DUMMYFUNCTION("""COMPUTED_VALUE"""),"SUMBAGSEL")</f>
        <v>SUMBAGSEL</v>
      </c>
      <c r="H244" s="222" t="str">
        <f>IFERROR(__xludf.DUMMYFUNCTION("""COMPUTED_VALUE"""),"LAMPUNG")</f>
        <v>LAMPUNG</v>
      </c>
      <c r="I244" s="222" t="str">
        <f>IFERROR(__xludf.DUMMYFUNCTION("""COMPUTED_VALUE"""),"Batch 2")</f>
        <v>Batch 2</v>
      </c>
      <c r="J244" s="225">
        <f>IFERROR(__xludf.DUMMYFUNCTION("""COMPUTED_VALUE"""),8.0)</f>
        <v>8</v>
      </c>
      <c r="K244" s="224">
        <f>IFERROR(__xludf.DUMMYFUNCTION("""COMPUTED_VALUE"""),64.0)</f>
        <v>64</v>
      </c>
      <c r="L244" s="226">
        <f>IFERROR(__xludf.DUMMYFUNCTION("""COMPUTED_VALUE"""),1386111.0)</f>
        <v>1386111</v>
      </c>
      <c r="M244" s="227">
        <f>IFERROR(__xludf.DUMMYFUNCTION("""COMPUTED_VALUE"""),8.8711082E7)</f>
        <v>88711082</v>
      </c>
      <c r="N244" s="222" t="str">
        <f>IFERROR(__xludf.DUMMYFUNCTION("""COMPUTED_VALUE"""),"PT GARINDO TECHNO MANDIRI")</f>
        <v>PT GARINDO TECHNO MANDIRI</v>
      </c>
      <c r="O244" s="222" t="str">
        <f>IFERROR(__xludf.DUMMYFUNCTION("""COMPUTED_VALUE"""),"0. DROP")</f>
        <v>0. DROP</v>
      </c>
      <c r="P244" s="222" t="str">
        <f>IFERROR(__xludf.DUMMYFUNCTION("""COMPUTED_VALUE"""),"0.2 Tidak Dapat Izin Warga/Kades/Lurah/Developer")</f>
        <v>0.2 Tidak Dapat Izin Warga/Kades/Lurah/Developer</v>
      </c>
      <c r="Q244" s="222" t="str">
        <f>IFERROR(__xludf.DUMMYFUNCTION("""COMPUTED_VALUE"""),"27/2 tidak dapat izin dari lurah butuh surat perkim 
25/2 PROSES PENGECEKAN SLOT OLT ITERA 
23/2 proses perizinan dan pengecekan core")</f>
        <v>27/2 tidak dapat izin dari lurah butuh surat perkim 
25/2 PROSES PENGECEKAN SLOT OLT ITERA 
23/2 proses perizinan dan pengecekan core</v>
      </c>
      <c r="R244" s="228"/>
      <c r="S244" s="11"/>
      <c r="T244" s="11"/>
      <c r="U244" s="11"/>
      <c r="V244" s="229"/>
      <c r="W244" s="229"/>
      <c r="X244" s="229" t="str">
        <f>IFERROR(__xludf.DUMMYFUNCTION("""COMPUTED_VALUE"""),"BELUM GOLIVE")</f>
        <v>BELUM GOLIVE</v>
      </c>
      <c r="Y244" s="229" t="str">
        <f>IFERROR(__xludf.DUMMYFUNCTION("""COMPUTED_VALUE"""),"PORT OLT Penuh")</f>
        <v>PORT OLT Penuh</v>
      </c>
      <c r="Z244" s="229" t="str">
        <f>IFERROR(__xludf.DUMMYFUNCTION("""COMPUTED_VALUE"""),"#N/A")</f>
        <v>#N/A</v>
      </c>
      <c r="AA244" s="229"/>
      <c r="AB244" s="229"/>
      <c r="AC244" s="229"/>
      <c r="AD244" s="232"/>
      <c r="AE244" s="233"/>
      <c r="AF244" s="54" t="str">
        <f>IFERROR(__xludf.DUMMYFUNCTION("""COMPUTED_VALUE"""),"Draft BA DROP")</f>
        <v>Draft BA DROP</v>
      </c>
      <c r="AG244" s="54"/>
      <c r="AH244" s="54"/>
      <c r="AI244" s="55" t="str">
        <f t="shared" si="42"/>
        <v/>
      </c>
      <c r="AW244" s="234"/>
      <c r="BP244" s="11"/>
      <c r="BQ244" s="11"/>
      <c r="BR244" s="235"/>
      <c r="BV244" s="158"/>
      <c r="BY244" s="158"/>
      <c r="CB244" s="158"/>
    </row>
    <row r="245" ht="18.0" customHeight="1">
      <c r="A245" s="222">
        <f>IFERROR(__xludf.DUMMYFUNCTION("""COMPUTED_VALUE"""),2026.0)</f>
        <v>2026</v>
      </c>
      <c r="B245" s="221">
        <f>IFERROR(__xludf.DUMMYFUNCTION("""COMPUTED_VALUE"""),1.0318131E7)</f>
        <v>10318131</v>
      </c>
      <c r="C245" s="222" t="str">
        <f>IFERROR(__xludf.DUMMYFUNCTION("""COMPUTED_VALUE"""),"SMB P7I4 PT3-MYID-1012310041607-Aulia fikri")</f>
        <v>SMB P7I4 PT3-MYID-1012310041607-Aulia fikri</v>
      </c>
      <c r="D245" s="222" t="str">
        <f>IFERROR(__xludf.DUMMYFUNCTION("""COMPUTED_VALUE"""),"REGIONAL I")</f>
        <v>REGIONAL I</v>
      </c>
      <c r="E245" s="222" t="str">
        <f>IFERROR(__xludf.DUMMYFUNCTION("""COMPUTED_VALUE"""),"SUMBAR")</f>
        <v>SUMBAR</v>
      </c>
      <c r="F245" s="222" t="str">
        <f>IFERROR(__xludf.DUMMYFUNCTION("""COMPUTED_VALUE"""),"SPE")</f>
        <v>SPE</v>
      </c>
      <c r="G245" s="222" t="str">
        <f>IFERROR(__xludf.DUMMYFUNCTION("""COMPUTED_VALUE"""),"SUMBAGTENG")</f>
        <v>SUMBAGTENG</v>
      </c>
      <c r="H245" s="222" t="str">
        <f>IFERROR(__xludf.DUMMYFUNCTION("""COMPUTED_VALUE"""),"BUKIT TINGGI")</f>
        <v>BUKIT TINGGI</v>
      </c>
      <c r="I245" s="222" t="str">
        <f>IFERROR(__xludf.DUMMYFUNCTION("""COMPUTED_VALUE"""),"Batch 2")</f>
        <v>Batch 2</v>
      </c>
      <c r="J245" s="225">
        <f>IFERROR(__xludf.DUMMYFUNCTION("""COMPUTED_VALUE"""),1.0)</f>
        <v>1</v>
      </c>
      <c r="K245" s="224">
        <f>IFERROR(__xludf.DUMMYFUNCTION("""COMPUTED_VALUE"""),8.0)</f>
        <v>8</v>
      </c>
      <c r="L245" s="226">
        <f>IFERROR(__xludf.DUMMYFUNCTION("""COMPUTED_VALUE"""),1385077.0)</f>
        <v>1385077</v>
      </c>
      <c r="M245" s="227">
        <f>IFERROR(__xludf.DUMMYFUNCTION("""COMPUTED_VALUE"""),1.1080616E7)</f>
        <v>11080616</v>
      </c>
      <c r="N245" s="222" t="str">
        <f>IFERROR(__xludf.DUMMYFUNCTION("""COMPUTED_VALUE"""),"PT TIGA AKSES MANDIRI")</f>
        <v>PT TIGA AKSES MANDIRI</v>
      </c>
      <c r="O245" s="222" t="str">
        <f>IFERROR(__xludf.DUMMYFUNCTION("""COMPUTED_VALUE"""),"0. DROP")</f>
        <v>0. DROP</v>
      </c>
      <c r="P245" s="222" t="str">
        <f>IFERROR(__xludf.DUMMYFUNCTION("""COMPUTED_VALUE"""),"0.3 Feeder Full")</f>
        <v>0.3 Feeder Full</v>
      </c>
      <c r="Q245" s="222" t="str">
        <f>IFERROR(__xludf.DUMMYFUNCTION("""COMPUTED_VALUE"""),"08/01 : FEEDER SPE-FB FULL (07/01) Persiapan")</f>
        <v>08/01 : FEEDER SPE-FB FULL (07/01) Persiapan</v>
      </c>
      <c r="R245" s="228"/>
      <c r="S245" s="11"/>
      <c r="T245" s="11"/>
      <c r="U245" s="11"/>
      <c r="V245" s="229"/>
      <c r="W245" s="229"/>
      <c r="X245" s="229" t="str">
        <f>IFERROR(__xludf.DUMMYFUNCTION("""COMPUTED_VALUE"""),"BELUM GOLIVE")</f>
        <v>BELUM GOLIVE</v>
      </c>
      <c r="Y245" s="229"/>
      <c r="Z245" s="229" t="str">
        <f>IFERROR(__xludf.DUMMYFUNCTION("""COMPUTED_VALUE"""),"#N/A")</f>
        <v>#N/A</v>
      </c>
      <c r="AA245" s="229"/>
      <c r="AB245" s="229"/>
      <c r="AC245" s="229"/>
      <c r="AD245" s="232"/>
      <c r="AE245" s="233"/>
      <c r="AF245" s="54" t="str">
        <f>IFERROR(__xludf.DUMMYFUNCTION("""COMPUTED_VALUE"""),"Draft BA DROP")</f>
        <v>Draft BA DROP</v>
      </c>
      <c r="AG245" s="54"/>
      <c r="AH245" s="54"/>
      <c r="AI245" s="55" t="str">
        <f t="shared" si="42"/>
        <v/>
      </c>
      <c r="AW245" s="234"/>
      <c r="BP245" s="11"/>
      <c r="BQ245" s="11"/>
      <c r="BR245" s="235"/>
      <c r="BV245" s="158"/>
      <c r="BY245" s="158"/>
      <c r="CB245" s="158"/>
    </row>
    <row r="246" ht="18.0" hidden="1" customHeight="1">
      <c r="A246" s="222">
        <f>IFERROR(__xludf.DUMMYFUNCTION("""COMPUTED_VALUE"""),2026.0)</f>
        <v>2026</v>
      </c>
      <c r="B246" s="221">
        <f>IFERROR(__xludf.DUMMYFUNCTION("""COMPUTED_VALUE"""),1.1893928E7)</f>
        <v>11893928</v>
      </c>
      <c r="C246" s="222" t="str">
        <f>IFERROR(__xludf.DUMMYFUNCTION("""COMPUTED_VALUE"""),"SMS P4I1 PT4 PDT FXX DESA PANTA DEWA")</f>
        <v>SMS P4I1 PT4 PDT FXX DESA PANTA DEWA</v>
      </c>
      <c r="D246" s="222" t="str">
        <f>IFERROR(__xludf.DUMMYFUNCTION("""COMPUTED_VALUE"""),"REGIONAL I")</f>
        <v>REGIONAL I</v>
      </c>
      <c r="E246" s="222" t="str">
        <f>IFERROR(__xludf.DUMMYFUNCTION("""COMPUTED_VALUE"""),"SUMSEL")</f>
        <v>SUMSEL</v>
      </c>
      <c r="F246" s="222" t="str">
        <f>IFERROR(__xludf.DUMMYFUNCTION("""COMPUTED_VALUE"""),"PDT")</f>
        <v>PDT</v>
      </c>
      <c r="G246" s="222" t="str">
        <f>IFERROR(__xludf.DUMMYFUNCTION("""COMPUTED_VALUE"""),"SUMBAGSEL")</f>
        <v>SUMBAGSEL</v>
      </c>
      <c r="H246" s="222" t="str">
        <f>IFERROR(__xludf.DUMMYFUNCTION("""COMPUTED_VALUE"""),"PALEMBANG")</f>
        <v>PALEMBANG</v>
      </c>
      <c r="I246" s="222" t="str">
        <f>IFERROR(__xludf.DUMMYFUNCTION("""COMPUTED_VALUE"""),"Batch 2")</f>
        <v>Batch 2</v>
      </c>
      <c r="J246" s="225">
        <f>IFERROR(__xludf.DUMMYFUNCTION("""COMPUTED_VALUE"""),10.0)</f>
        <v>10</v>
      </c>
      <c r="K246" s="224">
        <f>IFERROR(__xludf.DUMMYFUNCTION("""COMPUTED_VALUE"""),72.0)</f>
        <v>72</v>
      </c>
      <c r="L246" s="226">
        <f>IFERROR(__xludf.DUMMYFUNCTION("""COMPUTED_VALUE"""),1383932.0)</f>
        <v>1383932</v>
      </c>
      <c r="M246" s="227">
        <f>IFERROR(__xludf.DUMMYFUNCTION("""COMPUTED_VALUE"""),9.9643055E7)</f>
        <v>99643055</v>
      </c>
      <c r="N246" s="222" t="str">
        <f>IFERROR(__xludf.DUMMYFUNCTION("""COMPUTED_VALUE"""),"PT ACERO CETHA METALINDO")</f>
        <v>PT ACERO CETHA METALINDO</v>
      </c>
      <c r="O246" s="222" t="str">
        <f>IFERROR(__xludf.DUMMYFUNCTION("""COMPUTED_VALUE"""),"1. AANWIJZING")</f>
        <v>1. AANWIJZING</v>
      </c>
      <c r="P246" s="222" t="str">
        <f>IFERROR(__xludf.DUMMYFUNCTION("""COMPUTED_VALUE"""),"1.4 Change Mitra")</f>
        <v>1.4 Change Mitra</v>
      </c>
      <c r="Q246" s="222" t="str">
        <f>IFERROR(__xludf.DUMMYFUNCTION("""COMPUTED_VALUE"""),"27/04 PENUNJUKKAN MITRA ULANG, 23/04 HASIL KOORDINASI TIF, TA DAN MTEL SDH DI APPROVE TERKAIT TIANG MTEL, 22/04 menunggu koordinasi antara tif, ta dan mtel terkait penggunaan tiang mterl secara bersama-sama, 13/04 Perizinan Kepala desa, sdh di approve ter"&amp;"kait tiang mtel  09/04MASIH BLM ADA INFO LANJUT TERKAIT TIANG MTEL, 08/04 HOLD MASIH KOORDINASI TERKAIT PELURUSAN CORE DAN TIANG MTEL, 26/03 KOORDINASI DG TIM SQUAD TERKAIT PENGECEKAN DAN PELURUSAN CORE, 24/03 PELURUSAN CORE, 21/03 MASIH PELURUSAN MANCORE"&amp;", 13/03 PELURUSAN MANCORE, 12/03 MASIH MENUNGGU INFO MENGENAI TIANG MTEL, 10/03 BLM ADA INFO TERKAIT TIANG MTEL, 02/03 OGP REVIEW TIF, 27/02 MASIH KOORDINASI MASALAH CATUAN KRNA CATUAN TDK ADA, 24/02 MASIH KOORDINASI MASALAH CATUAN KRNA CATUAN TDK ADA, 22"&amp;"/2 kendala minol dan tiang MTEL 10/02 BLM ADA INFO TERKAIT KENDALA DI LOKASI BYK TIANG MTEL, 06/02 HASIL REVIEW TSEL - NEED FU TIF PENGGUNAAN TIANG MTEL, 04/02 DONE EVAL, HOLD, DI LOKASI BANYAK TIANG MTEL, SECARA HASIL AANWINZIG ADA PERNURUNAN DRI BOQ PLA"&amp;"N, CPP 1,1 JT, BUTUH PERIZINAN KADES DAN PENCARIAN CORE UPLINK MINI OLT 04/02 DONE EVAL, HOLD, DI LOKASI BANYAK TIANG MTEL, SECARA HASIL AANWINZIG ADA PERNURUNAN DRI BOQ PLAN, CPP 1,1 JT, BUTUH PERIZINAN KADES DAN PENCARIAN CORE UPLINK MINI OLT, 04/02 OGP"&amp;" EVAL, (26/1) tim TIF belum bisa EVAL hasil anwijzing karena lagi diluar kota , estimasi 29 jan baru kembali ke Palembang25/01 DONE AANWIDJZING, 23/01 OGP AANWIDJZING, (20/01) menunggu antiran aanwizjing mitra,
 (15/1) ORDER DITERIMA MITRA 14/1, plan Aanw"&amp;"ijdzing 19 Jan (06/01)order JPP batch-2 2026 ((14/11)HOLD- tidak masuk target Optimis 2025 ((11/11) Penunjukkan MITRA oleh Procurement 5/11 menunggu jadwal aanwijdzing 23/10 penunjukan mitra
 15/10 proses penunjukan mitra
 (08/10) penunjukan mitra\
 14/01"&amp;" penunjukan mitra oleh procurement")</f>
        <v>27/04 PENUNJUKKAN MITRA ULANG, 23/04 HASIL KOORDINASI TIF, TA DAN MTEL SDH DI APPROVE TERKAIT TIANG MTEL, 22/04 menunggu koordinasi antara tif, ta dan mtel terkait penggunaan tiang mterl secara bersama-sama, 13/04 Perizinan Kepala desa, sdh di approve terkait tiang mtel  09/04MASIH BLM ADA INFO LANJUT TERKAIT TIANG MTEL, 08/04 HOLD MASIH KOORDINASI TERKAIT PELURUSAN CORE DAN TIANG MTEL, 26/03 KOORDINASI DG TIM SQUAD TERKAIT PENGECEKAN DAN PELURUSAN CORE, 24/03 PELURUSAN CORE, 21/03 MASIH PELURUSAN MANCORE, 13/03 PELURUSAN MANCORE, 12/03 MASIH MENUNGGU INFO MENGENAI TIANG MTEL, 10/03 BLM ADA INFO TERKAIT TIANG MTEL, 02/03 OGP REVIEW TIF, 27/02 MASIH KOORDINASI MASALAH CATUAN KRNA CATUAN TDK ADA, 24/02 MASIH KOORDINASI MASALAH CATUAN KRNA CATUAN TDK ADA, 22/2 kendala minol dan tiang MTEL 10/02 BLM ADA INFO TERKAIT KENDALA DI LOKASI BYK TIANG MTEL, 06/02 HASIL REVIEW TSEL - NEED FU TIF PENGGUNAAN TIANG MTEL, 04/02 DONE EVAL, HOLD, DI LOKASI BANYAK TIANG MTEL, SECARA HASIL AANWINZIG ADA PERNURUNAN DRI BOQ PLAN, CPP 1,1 JT, BUTUH PERIZINAN KADES DAN PENCARIAN CORE UPLINK MINI OLT 04/02 DONE EVAL, HOLD, DI LOKASI BANYAK TIANG MTEL, SECARA HASIL AANWINZIG ADA PERNURUNAN DRI BOQ PLAN, CPP 1,1 JT, BUTUH PERIZINAN KADES DAN PENCARIAN CORE UPLINK MINI OLT, 04/02 OGP EVAL, (26/1) tim TIF belum bisa EVAL hasil anwijzing karena lagi diluar kota , estimasi 29 jan baru kembali ke Palembang25/01 DONE AANWIDJZING, 23/01 OGP AANWIDJZING, (20/01) menunggu antiran aanwizjing mitra,
 (15/1) ORDER DITERIMA MITRA 14/1, plan Aanwijdzing 19 Jan (06/01)order JPP batch-2 2026 ((14/11)HOLD- tidak masuk target Optimis 2025 ((11/11) Penunjukkan MITRA oleh Procurement 5/11 menunggu jadwal aanwijdzing 23/10 penunjukan mitra
 15/10 proses penunjukan mitra
 (08/10) penunjukan mitra\
 14/01 penunjukan mitra oleh procurement</v>
      </c>
      <c r="R246" s="228"/>
      <c r="S246" s="11"/>
      <c r="T246" s="11"/>
      <c r="U246" s="11"/>
      <c r="V246" s="229" t="str">
        <f>IFERROR(__xludf.DUMMYFUNCTION("""COMPUTED_VALUE"""),"ILHAM")</f>
        <v>ILHAM</v>
      </c>
      <c r="W246" s="229"/>
      <c r="X246" s="229" t="str">
        <f>IFERROR(__xludf.DUMMYFUNCTION("""COMPUTED_VALUE"""),"BELUM GOLIVE")</f>
        <v>BELUM GOLIVE</v>
      </c>
      <c r="Y246" s="229"/>
      <c r="Z246" s="229"/>
      <c r="AA246" s="229"/>
      <c r="AB246" s="229"/>
      <c r="AC246" s="229"/>
      <c r="AD246" s="232"/>
      <c r="AE246" s="233"/>
      <c r="AF246" s="54"/>
      <c r="AG246" s="54"/>
      <c r="AH246" s="54"/>
      <c r="AI246" s="55" t="str">
        <f t="shared" si="42"/>
        <v/>
      </c>
      <c r="AW246" s="234"/>
      <c r="BP246" s="11"/>
      <c r="BQ246" s="11"/>
      <c r="BR246" s="235"/>
      <c r="BV246" s="158"/>
      <c r="BY246" s="158"/>
      <c r="CB246" s="158"/>
    </row>
    <row r="247" ht="18.0" hidden="1" customHeight="1">
      <c r="A247" s="222">
        <f>IFERROR(__xludf.DUMMYFUNCTION("""COMPUTED_VALUE"""),2026.0)</f>
        <v>2026</v>
      </c>
      <c r="B247" s="221">
        <f>IFERROR(__xludf.DUMMYFUNCTION("""COMPUTED_VALUE"""),1.2354411E7)</f>
        <v>12354411</v>
      </c>
      <c r="C247" s="222" t="str">
        <f>IFERROR(__xludf.DUMMYFUNCTION("""COMPUTED_VALUE"""),"LPG PT4 KOTA BANDAR LAMPUNG_7385 LKP")</f>
        <v>LPG PT4 KOTA BANDAR LAMPUNG_7385 LKP</v>
      </c>
      <c r="D247" s="222" t="str">
        <f>IFERROR(__xludf.DUMMYFUNCTION("""COMPUTED_VALUE"""),"REGIONAL I")</f>
        <v>REGIONAL I</v>
      </c>
      <c r="E247" s="222" t="str">
        <f>IFERROR(__xludf.DUMMYFUNCTION("""COMPUTED_VALUE"""),"LAMPUNG")</f>
        <v>LAMPUNG</v>
      </c>
      <c r="F247" s="222" t="str">
        <f>IFERROR(__xludf.DUMMYFUNCTION("""COMPUTED_VALUE"""),"LKP")</f>
        <v>LKP</v>
      </c>
      <c r="G247" s="222" t="str">
        <f>IFERROR(__xludf.DUMMYFUNCTION("""COMPUTED_VALUE"""),"SUMBAGSEL")</f>
        <v>SUMBAGSEL</v>
      </c>
      <c r="H247" s="222" t="str">
        <f>IFERROR(__xludf.DUMMYFUNCTION("""COMPUTED_VALUE"""),"LAMPUNG")</f>
        <v>LAMPUNG</v>
      </c>
      <c r="I247" s="222" t="str">
        <f>IFERROR(__xludf.DUMMYFUNCTION("""COMPUTED_VALUE"""),"Batch 2")</f>
        <v>Batch 2</v>
      </c>
      <c r="J247" s="225">
        <f>IFERROR(__xludf.DUMMYFUNCTION("""COMPUTED_VALUE"""),24.0)</f>
        <v>24</v>
      </c>
      <c r="K247" s="224">
        <f>IFERROR(__xludf.DUMMYFUNCTION("""COMPUTED_VALUE"""),192.0)</f>
        <v>192</v>
      </c>
      <c r="L247" s="226">
        <f>IFERROR(__xludf.DUMMYFUNCTION("""COMPUTED_VALUE"""),1383876.0)</f>
        <v>1383876</v>
      </c>
      <c r="M247" s="227">
        <f>IFERROR(__xludf.DUMMYFUNCTION("""COMPUTED_VALUE"""),2.657041E8)</f>
        <v>265704100</v>
      </c>
      <c r="N247" s="222" t="str">
        <f>IFERROR(__xludf.DUMMYFUNCTION("""COMPUTED_VALUE"""),"SWAKELOLA")</f>
        <v>SWAKELOLA</v>
      </c>
      <c r="O247" s="222" t="str">
        <f>IFERROR(__xludf.DUMMYFUNCTION("""COMPUTED_VALUE"""),"0. DROP")</f>
        <v>0. DROP</v>
      </c>
      <c r="P247" s="222" t="str">
        <f>IFERROR(__xludf.DUMMYFUNCTION("""COMPUTED_VALUE"""),"0.2 Tidak Dapat Izin Warga/Kades/Lurah/Developer")</f>
        <v>0.2 Tidak Dapat Izin Warga/Kades/Lurah/Developer</v>
      </c>
      <c r="Q247" s="222" t="str">
        <f>IFERROR(__xludf.DUMMYFUNCTION("""COMPUTED_VALUE"""),"10/2 tidak di ijinkan pembanaguna ,oleh lurah ")</f>
        <v>10/2 tidak di ijinkan pembanaguna ,oleh lurah </v>
      </c>
      <c r="R247" s="228"/>
      <c r="S247" s="11"/>
      <c r="T247" s="11"/>
      <c r="U247" s="11"/>
      <c r="V247" s="229"/>
      <c r="W247" s="229"/>
      <c r="X247" s="229" t="str">
        <f>IFERROR(__xludf.DUMMYFUNCTION("""COMPUTED_VALUE"""),"BELUM GOLIVE")</f>
        <v>BELUM GOLIVE</v>
      </c>
      <c r="Y247" s="229"/>
      <c r="Z247" s="229" t="str">
        <f>IFERROR(__xludf.DUMMYFUNCTION("""COMPUTED_VALUE"""),"#N/A")</f>
        <v>#N/A</v>
      </c>
      <c r="AA247" s="229"/>
      <c r="AB247" s="229"/>
      <c r="AC247" s="229"/>
      <c r="AD247" s="232"/>
      <c r="AE247" s="233"/>
      <c r="AF247" s="54" t="str">
        <f>IFERROR(__xludf.DUMMYFUNCTION("""COMPUTED_VALUE"""),"Draft BA DROP")</f>
        <v>Draft BA DROP</v>
      </c>
      <c r="AG247" s="54"/>
      <c r="AH247" s="54"/>
      <c r="AI247" s="55" t="str">
        <f t="shared" si="42"/>
        <v/>
      </c>
      <c r="AW247" s="234"/>
      <c r="BP247" s="11"/>
      <c r="BQ247" s="11"/>
      <c r="BR247" s="235"/>
      <c r="BV247" s="158"/>
      <c r="BY247" s="158"/>
      <c r="CB247" s="158"/>
    </row>
    <row r="248" ht="18.0" hidden="1" customHeight="1">
      <c r="A248" s="222">
        <f>IFERROR(__xludf.DUMMYFUNCTION("""COMPUTED_VALUE"""),2026.0)</f>
        <v>2026</v>
      </c>
      <c r="B248" s="221">
        <f>IFERROR(__xludf.DUMMYFUNCTION("""COMPUTED_VALUE"""),1.1529089E7)</f>
        <v>11529089</v>
      </c>
      <c r="C248" s="222" t="str">
        <f>IFERROR(__xludf.DUMMYFUNCTION("""COMPUTED_VALUE"""),"SMS P3I1 PT4 PBM XX DESA PANGKUL")</f>
        <v>SMS P3I1 PT4 PBM XX DESA PANGKUL</v>
      </c>
      <c r="D248" s="222" t="str">
        <f>IFERROR(__xludf.DUMMYFUNCTION("""COMPUTED_VALUE"""),"REGIONAL I")</f>
        <v>REGIONAL I</v>
      </c>
      <c r="E248" s="222" t="str">
        <f>IFERROR(__xludf.DUMMYFUNCTION("""COMPUTED_VALUE"""),"SUMSEL")</f>
        <v>SUMSEL</v>
      </c>
      <c r="F248" s="222" t="str">
        <f>IFERROR(__xludf.DUMMYFUNCTION("""COMPUTED_VALUE"""),"PBM")</f>
        <v>PBM</v>
      </c>
      <c r="G248" s="222" t="str">
        <f>IFERROR(__xludf.DUMMYFUNCTION("""COMPUTED_VALUE"""),"SUMBAGSEL")</f>
        <v>SUMBAGSEL</v>
      </c>
      <c r="H248" s="222" t="str">
        <f>IFERROR(__xludf.DUMMYFUNCTION("""COMPUTED_VALUE"""),"PALEMBANG")</f>
        <v>PALEMBANG</v>
      </c>
      <c r="I248" s="222" t="str">
        <f>IFERROR(__xludf.DUMMYFUNCTION("""COMPUTED_VALUE"""),"Batch 2")</f>
        <v>Batch 2</v>
      </c>
      <c r="J248" s="225">
        <f>IFERROR(__xludf.DUMMYFUNCTION("""COMPUTED_VALUE"""),19.0)</f>
        <v>19</v>
      </c>
      <c r="K248" s="224">
        <f>IFERROR(__xludf.DUMMYFUNCTION("""COMPUTED_VALUE"""),152.0)</f>
        <v>152</v>
      </c>
      <c r="L248" s="226">
        <f>IFERROR(__xludf.DUMMYFUNCTION("""COMPUTED_VALUE"""),1382108.0)</f>
        <v>1382108</v>
      </c>
      <c r="M248" s="227">
        <f>IFERROR(__xludf.DUMMYFUNCTION("""COMPUTED_VALUE"""),2.10080379E8)</f>
        <v>210080379</v>
      </c>
      <c r="N248" s="222" t="str">
        <f>IFERROR(__xludf.DUMMYFUNCTION("""COMPUTED_VALUE"""),"PT ACERO CETHA METALINDO")</f>
        <v>PT ACERO CETHA METALINDO</v>
      </c>
      <c r="O248" s="222" t="str">
        <f>IFERROR(__xludf.DUMMYFUNCTION("""COMPUTED_VALUE"""),"7. GOLIVE")</f>
        <v>7. GOLIVE</v>
      </c>
      <c r="P248" s="222" t="str">
        <f>IFERROR(__xludf.DUMMYFUNCTION("""COMPUTED_VALUE"""),"7.2 Golive Full / OA / DONE OTB")</f>
        <v>7.2 Golive Full / OA / DONE OTB</v>
      </c>
      <c r="Q248" s="222" t="str">
        <f>IFERROR(__xludf.DUMMYFUNCTION("""COMPUTED_VALUE"""),"12/04 Menunggu Integrasi Minit OLT 09/04 masih menunggu mini olt 07/04 LANJUT DIST 2 DAN OTB, 06/04 PROSES TERMINASI ODP DAN OTB, 03/04 NEED MINI OLT, 01/04 PROGRESS PEMASANGAN DAN TERMINASI ODP, 30/03 LANJUT TERMINASI ODP, 28/03 SELESAI PEMASANGAN ODP - "&amp;"KENDALA TPAS MASUK TOWER 27/03 MENUNGGU ANTRIAN PEKERJAAN GUNUNG KEMALO, 25/03 LANJUT PROGRESS TERMINASI ODP - ANTRI PROGRESS PEKERJAAN, 24/03 DONE PENARIKAN KABEL, LANJUT BANGUN ODC EST HABIS LEBARAN 27 MAR, 21/03 LANJUT BANGUN ODC EST HABIS LEBARAN 27 M"&amp;"AR, 17/03 DONE PENARIKAN KABEL 2770M, 16/03 PROGRESS PENARIKAN KABEL 1430M DARI 2770M, 14/03 PROGRESS PENARIKAN KABEL NEW DIST KABEL 24 - PENARIKAN 1000M dari 2770M, 13/03 MASIH OGP TANAM TIANG DAN CAT COR, 12/03 PROGRESS TANAM TIANG DAN CAT COR, 11/03 PR"&amp;"OGRESS GALI LOBANG DAN TANAM TIANG, 09/03 OGP AMBIL MATERIAL, 04/03 MENUNGGU BA SITAC, 03/03 DONE RFC, OGP AMBIL MATERIAL, 02/03 OGP INPUT MATERIAL, 28/02 DONE AMD, 28/2 masih menunggu Tiang 27/02 OGP INPUT MATERIAL - KENDALA OVER BUDGET, 26/02 OGP INPUT "&amp;"MATERIAL, 24/02 DONE PR PO, 23/02 PERIZINAN OK, LANJUT DRM MENUNGGU APPROVE, 22/2 perizinan kades 19/02 MENUNGGU PR PO, 18/02 LANJUT PROGRESS - DRM, 15/02 HOLD - CPP NAIK JADI 1,4, 10/02 OGP PERIZINAN, 06/02 dri info sales izin dg kades untuk izin sdh ok,"&amp;" 04/02 DONE EVAL, HOLD SECARA BOQ TURUN 0,4% TPI CPP 1,4 JT, MENUNGGU MINI OLT READY 05/02 DONE EVAL, HOLD SECARA BOQ TURUN 0,4% TPI CPP 1,4 JT, MENUNGGU MINI OLT READY, 04/02 OGP EVAL DAN BLM PERIZINAN, 30/01 PROSES PERIZINAN, 23/01 DONE AANWIDJZING, (20"&amp;"/01) menunggu antiran aanwizjing mitra, (15/1) ORDER DITERIMA MITRA 14/1, Plan Aanwijdzing 19 Jan (06/01)order JPP batch-2 2026 ((14/11)HOLD- tidak masuk target Optimis 2025 (14/11 masih menunggu aanwijdzing, 13/11 aanwijzing (11/11) Penunjukkan MITRA ole"&amp;"h Procurement (04/11) mitra ABI ditunjuk sebagai mitra LOP ini 3/11 mitra ABI ditunjuk sebagai mitra LOP ini 23/10 belum ada jadwal aanwijzing dri mitra
 15/10 belum ada jadwal aanzijign dri mitra
 (08/10) menunggu jadwal aanwizjing 
 (01/10) menunggu jad"&amp;"wal aanwizjing")</f>
        <v>12/04 Menunggu Integrasi Minit OLT 09/04 masih menunggu mini olt 07/04 LANJUT DIST 2 DAN OTB, 06/04 PROSES TERMINASI ODP DAN OTB, 03/04 NEED MINI OLT, 01/04 PROGRESS PEMASANGAN DAN TERMINASI ODP, 30/03 LANJUT TERMINASI ODP, 28/03 SELESAI PEMASANGAN ODP - KENDALA TPAS MASUK TOWER 27/03 MENUNGGU ANTRIAN PEKERJAAN GUNUNG KEMALO, 25/03 LANJUT PROGRESS TERMINASI ODP - ANTRI PROGRESS PEKERJAAN, 24/03 DONE PENARIKAN KABEL, LANJUT BANGUN ODC EST HABIS LEBARAN 27 MAR, 21/03 LANJUT BANGUN ODC EST HABIS LEBARAN 27 MAR, 17/03 DONE PENARIKAN KABEL 2770M, 16/03 PROGRESS PENARIKAN KABEL 1430M DARI 2770M, 14/03 PROGRESS PENARIKAN KABEL NEW DIST KABEL 24 - PENARIKAN 1000M dari 2770M, 13/03 MASIH OGP TANAM TIANG DAN CAT COR, 12/03 PROGRESS TANAM TIANG DAN CAT COR, 11/03 PROGRESS GALI LOBANG DAN TANAM TIANG, 09/03 OGP AMBIL MATERIAL, 04/03 MENUNGGU BA SITAC, 03/03 DONE RFC, OGP AMBIL MATERIAL, 02/03 OGP INPUT MATERIAL, 28/02 DONE AMD, 28/2 masih menunggu Tiang 27/02 OGP INPUT MATERIAL - KENDALA OVER BUDGET, 26/02 OGP INPUT MATERIAL, 24/02 DONE PR PO, 23/02 PERIZINAN OK, LANJUT DRM MENUNGGU APPROVE, 22/2 perizinan kades 19/02 MENUNGGU PR PO, 18/02 LANJUT PROGRESS - DRM, 15/02 HOLD - CPP NAIK JADI 1,4, 10/02 OGP PERIZINAN, 06/02 dri info sales izin dg kades untuk izin sdh ok, 04/02 DONE EVAL, HOLD SECARA BOQ TURUN 0,4% TPI CPP 1,4 JT, MENUNGGU MINI OLT READY 05/02 DONE EVAL, HOLD SECARA BOQ TURUN 0,4% TPI CPP 1,4 JT, MENUNGGU MINI OLT READY, 04/02 OGP EVAL DAN BLM PERIZINAN, 30/01 PROSES PERIZINAN, 23/01 DONE AANWIDJZING, (20/01) menunggu antiran aanwizjing mitra, (15/1) ORDER DITERIMA MITRA 14/1, Plan Aanwijdzing 19 Jan (06/01)order JPP batch-2 2026 ((14/11)HOLD- tidak masuk target Optimis 2025 (14/11 masih menunggu aanwijdzing, 13/11 aanwijzing (11/11) Penunjukkan MITRA oleh Procurement (04/11) mitra ABI ditunjuk sebagai mitra LOP ini 3/11 mitra ABI ditunjuk sebagai mitra LOP ini 23/10 belum ada jadwal aanwijzing dri mitra
 15/10 belum ada jadwal aanzijign dri mitra
 (08/10) menunggu jadwal aanwizjing 
 (01/10) menunggu jadwal aanwizjing</v>
      </c>
      <c r="R248" s="228">
        <f>IFERROR(__xludf.DUMMYFUNCTION("""COMPUTED_VALUE"""),46131.0)</f>
        <v>46131</v>
      </c>
      <c r="S248" s="11" t="str">
        <f>IFERROR(__xludf.DUMMYFUNCTION("""COMPUTED_VALUE"""),"APR")</f>
        <v>APR</v>
      </c>
      <c r="T248" s="11" t="str">
        <f>IFERROR(__xludf.DUMMYFUNCTION("""COMPUTED_VALUE"""),"P1")</f>
        <v>P1</v>
      </c>
      <c r="U248" s="11"/>
      <c r="V248" s="229" t="str">
        <f>IFERROR(__xludf.DUMMYFUNCTION("""COMPUTED_VALUE"""),"ILHAM")</f>
        <v>ILHAM</v>
      </c>
      <c r="W248" s="229"/>
      <c r="X248" s="229" t="str">
        <f>IFERROR(__xludf.DUMMYFUNCTION("""COMPUTED_VALUE"""),"GOLIVE")</f>
        <v>GOLIVE</v>
      </c>
      <c r="Y248" s="229" t="str">
        <f>IFERROR(__xludf.DUMMYFUNCTION("""COMPUTED_VALUE"""),"DONE")</f>
        <v>DONE</v>
      </c>
      <c r="Z248" s="229"/>
      <c r="AA248" s="229">
        <f>IFERROR(__xludf.DUMMYFUNCTION("""COMPUTED_VALUE"""),17.0)</f>
        <v>17</v>
      </c>
      <c r="AB248" s="229"/>
      <c r="AC248" s="229" t="str">
        <f>IFERROR(__xludf.DUMMYFUNCTION("""COMPUTED_VALUE"""),"8947631#8947636")</f>
        <v>8947631#8947636</v>
      </c>
      <c r="AD248" s="232">
        <f>IFERROR(__xludf.DUMMYFUNCTION("""COMPUTED_VALUE"""),136.0)</f>
        <v>136</v>
      </c>
      <c r="AE248" s="233">
        <f>IFERROR(__xludf.DUMMYFUNCTION("""COMPUTED_VALUE"""),46131.0)</f>
        <v>46131</v>
      </c>
      <c r="AF248" s="54"/>
      <c r="AG248" s="54"/>
      <c r="AH248" s="54">
        <v>46133.0</v>
      </c>
      <c r="AI248" s="55">
        <f t="shared" si="42"/>
        <v>0</v>
      </c>
      <c r="AW248" s="234"/>
      <c r="BP248" s="11"/>
      <c r="BQ248" s="11"/>
      <c r="BR248" s="235"/>
      <c r="BV248" s="158"/>
      <c r="BY248" s="158"/>
      <c r="CB248" s="158"/>
    </row>
    <row r="249" ht="18.0" customHeight="1">
      <c r="A249" s="222">
        <f>IFERROR(__xludf.DUMMYFUNCTION("""COMPUTED_VALUE"""),2026.0)</f>
        <v>2026</v>
      </c>
      <c r="B249" s="221">
        <f>IFERROR(__xludf.DUMMYFUNCTION("""COMPUTED_VALUE"""),1.1511702E7)</f>
        <v>11511702</v>
      </c>
      <c r="C249" s="222" t="str">
        <f>IFERROR(__xludf.DUMMYFUNCTION("""COMPUTED_VALUE"""),"RDR JPP PT4 BANDAR PETALANGAN")</f>
        <v>RDR JPP PT4 BANDAR PETALANGAN</v>
      </c>
      <c r="D249" s="222" t="str">
        <f>IFERROR(__xludf.DUMMYFUNCTION("""COMPUTED_VALUE"""),"REGIONAL I")</f>
        <v>REGIONAL I</v>
      </c>
      <c r="E249" s="222" t="str">
        <f>IFERROR(__xludf.DUMMYFUNCTION("""COMPUTED_VALUE"""),"RIDAR")</f>
        <v>RIDAR</v>
      </c>
      <c r="F249" s="222" t="str">
        <f>IFERROR(__xludf.DUMMYFUNCTION("""COMPUTED_VALUE"""),"SOK")</f>
        <v>SOK</v>
      </c>
      <c r="G249" s="222" t="str">
        <f>IFERROR(__xludf.DUMMYFUNCTION("""COMPUTED_VALUE"""),"SUMBAGTENG")</f>
        <v>SUMBAGTENG</v>
      </c>
      <c r="H249" s="222" t="str">
        <f>IFERROR(__xludf.DUMMYFUNCTION("""COMPUTED_VALUE"""),"PEKANBARU")</f>
        <v>PEKANBARU</v>
      </c>
      <c r="I249" s="222" t="str">
        <f>IFERROR(__xludf.DUMMYFUNCTION("""COMPUTED_VALUE"""),"Batch 2")</f>
        <v>Batch 2</v>
      </c>
      <c r="J249" s="225">
        <f>IFERROR(__xludf.DUMMYFUNCTION("""COMPUTED_VALUE"""),53.0)</f>
        <v>53</v>
      </c>
      <c r="K249" s="224">
        <f>IFERROR(__xludf.DUMMYFUNCTION("""COMPUTED_VALUE"""),424.0)</f>
        <v>424</v>
      </c>
      <c r="L249" s="226">
        <f>IFERROR(__xludf.DUMMYFUNCTION("""COMPUTED_VALUE"""),1381566.0)</f>
        <v>1381566</v>
      </c>
      <c r="M249" s="227">
        <f>IFERROR(__xludf.DUMMYFUNCTION("""COMPUTED_VALUE"""),5.85783561E8)</f>
        <v>585783561</v>
      </c>
      <c r="N249" s="222" t="str">
        <f>IFERROR(__xludf.DUMMYFUNCTION("""COMPUTED_VALUE"""),"PT LIBER PERSADA MANDIRI")</f>
        <v>PT LIBER PERSADA MANDIRI</v>
      </c>
      <c r="O249" s="222" t="str">
        <f>IFERROR(__xludf.DUMMYFUNCTION("""COMPUTED_VALUE"""),"2. DONE AANWIJZING")</f>
        <v>2. DONE AANWIJZING</v>
      </c>
      <c r="P249" s="222" t="str">
        <f>IFERROR(__xludf.DUMMYFUNCTION("""COMPUTED_VALUE"""),"2.3 Sudah Aanwidjzing - Tunggu hasil Eval")</f>
        <v>2.3 Sudah Aanwidjzing - Tunggu hasil Eval</v>
      </c>
      <c r="Q249" s="222" t="str">
        <f>IFERROR(__xludf.DUMMYFUNCTION("""COMPUTED_VALUE"""),"20/04 Survey ulang kebutuhan uplink dan pengurusan izin ke kantor Camat 13/04 Proses review Uplink Mini OLT 06/04 Sudah review jalur, menunggu jadwal review uplink Mini OLT 30/03 Pengecekan core uplink dan paralel pengurusan izin 27/03 Done survey 16/03 S"&amp;"urvey ulang karena adanya perubahan design 3/3 Meeting ED1 - TAREGION - TA AREA ACC CPP Tinggi LANJUT 29/01 Perubahan design setelah anwidzing (07/01) Persiapan")</f>
        <v>20/04 Survey ulang kebutuhan uplink dan pengurusan izin ke kantor Camat 13/04 Proses review Uplink Mini OLT 06/04 Sudah review jalur, menunggu jadwal review uplink Mini OLT 30/03 Pengecekan core uplink dan paralel pengurusan izin 27/03 Done survey 16/03 Survey ulang karena adanya perubahan design 3/3 Meeting ED1 - TAREGION - TA AREA ACC CPP Tinggi LANJUT 29/01 Perubahan design setelah anwidzing (07/01) Persiapan</v>
      </c>
      <c r="R249" s="228"/>
      <c r="S249" s="11"/>
      <c r="T249" s="11" t="str">
        <f>IFERROR(__xludf.DUMMYFUNCTION("""COMPUTED_VALUE"""),"P1")</f>
        <v>P1</v>
      </c>
      <c r="U249" s="11" t="str">
        <f>IFERROR(__xludf.DUMMYFUNCTION("""COMPUTED_VALUE"""),"W08-2132/2025")</f>
        <v>W08-2132/2025</v>
      </c>
      <c r="V249" s="229" t="str">
        <f>IFERROR(__xludf.DUMMYFUNCTION("""COMPUTED_VALUE"""),"ONDI EKA SAPUTRA")</f>
        <v>ONDI EKA SAPUTRA</v>
      </c>
      <c r="W249" s="229" t="str">
        <f>IFERROR(__xludf.DUMMYFUNCTION("""COMPUTED_VALUE"""),"DESLITA RAHMADANI")</f>
        <v>DESLITA RAHMADANI</v>
      </c>
      <c r="X249" s="229" t="str">
        <f>IFERROR(__xludf.DUMMYFUNCTION("""COMPUTED_VALUE"""),"BELUM GOLIVE")</f>
        <v>BELUM GOLIVE</v>
      </c>
      <c r="Y249" s="229"/>
      <c r="Z249" s="229"/>
      <c r="AA249" s="229"/>
      <c r="AB249" s="229"/>
      <c r="AC249" s="229"/>
      <c r="AD249" s="232"/>
      <c r="AE249" s="233"/>
      <c r="AF249" s="54"/>
      <c r="AG249" s="54"/>
      <c r="AH249" s="54"/>
      <c r="AI249" s="55" t="str">
        <f t="shared" si="42"/>
        <v/>
      </c>
      <c r="AW249" s="234"/>
      <c r="BP249" s="11"/>
      <c r="BQ249" s="11"/>
      <c r="BR249" s="235"/>
      <c r="BV249" s="158"/>
      <c r="BY249" s="158"/>
      <c r="CB249" s="158"/>
    </row>
    <row r="250" ht="18.0" hidden="1" customHeight="1">
      <c r="A250" s="222">
        <f>IFERROR(__xludf.DUMMYFUNCTION("""COMPUTED_VALUE"""),2026.0)</f>
        <v>2026</v>
      </c>
      <c r="B250" s="221">
        <f>IFERROR(__xludf.DUMMYFUNCTION("""COMPUTED_VALUE"""),1.1271883E7)</f>
        <v>11271883</v>
      </c>
      <c r="C250" s="222" t="str">
        <f>IFERROR(__xludf.DUMMYFUNCTION("""COMPUTED_VALUE"""),"MDN PT3 P1I1 BJI-FQA SCATTER JL.INPRES")</f>
        <v>MDN PT3 P1I1 BJI-FQA SCATTER JL.INPRES</v>
      </c>
      <c r="D250" s="222" t="str">
        <f>IFERROR(__xludf.DUMMYFUNCTION("""COMPUTED_VALUE"""),"REGIONAL I")</f>
        <v>REGIONAL I</v>
      </c>
      <c r="E250" s="222" t="str">
        <f>IFERROR(__xludf.DUMMYFUNCTION("""COMPUTED_VALUE"""),"MEDAN")</f>
        <v>MEDAN</v>
      </c>
      <c r="F250" s="222" t="str">
        <f>IFERROR(__xludf.DUMMYFUNCTION("""COMPUTED_VALUE"""),"BJI")</f>
        <v>BJI</v>
      </c>
      <c r="G250" s="222" t="str">
        <f>IFERROR(__xludf.DUMMYFUNCTION("""COMPUTED_VALUE"""),"SUMBAGUT")</f>
        <v>SUMBAGUT</v>
      </c>
      <c r="H250" s="222" t="str">
        <f>IFERROR(__xludf.DUMMYFUNCTION("""COMPUTED_VALUE"""),"BINJAI")</f>
        <v>BINJAI</v>
      </c>
      <c r="I250" s="222" t="str">
        <f>IFERROR(__xludf.DUMMYFUNCTION("""COMPUTED_VALUE"""),"Batch 2")</f>
        <v>Batch 2</v>
      </c>
      <c r="J250" s="225">
        <f>IFERROR(__xludf.DUMMYFUNCTION("""COMPUTED_VALUE"""),3.0)</f>
        <v>3</v>
      </c>
      <c r="K250" s="224">
        <f>IFERROR(__xludf.DUMMYFUNCTION("""COMPUTED_VALUE"""),24.0)</f>
        <v>24</v>
      </c>
      <c r="L250" s="226">
        <f>IFERROR(__xludf.DUMMYFUNCTION("""COMPUTED_VALUE"""),724061.0)</f>
        <v>724061</v>
      </c>
      <c r="M250" s="227">
        <f>IFERROR(__xludf.DUMMYFUNCTION("""COMPUTED_VALUE"""),1.7377461E7)</f>
        <v>17377461</v>
      </c>
      <c r="N250" s="222" t="str">
        <f>IFERROR(__xludf.DUMMYFUNCTION("""COMPUTED_VALUE"""),"PT KENCANA RAYA INDONESIA")</f>
        <v>PT KENCANA RAYA INDONESIA</v>
      </c>
      <c r="O250" s="222" t="str">
        <f>IFERROR(__xludf.DUMMYFUNCTION("""COMPUTED_VALUE"""),"8. UJI TERIMA")</f>
        <v>8. UJI TERIMA</v>
      </c>
      <c r="P250" s="222" t="str">
        <f>IFERROR(__xludf.DUMMYFUNCTION("""COMPUTED_VALUE"""),"8.1 Proses UT")</f>
        <v>8.1 Proses UT</v>
      </c>
      <c r="Q250" s="222" t="str">
        <f>IFERROR(__xludf.DUMMYFUNCTION("""COMPUTED_VALUE"""),"04/03 submit ABD
25/02 penarikan KU
14/02 feeder ready
(07/01) Persiapan
17/09 BJI-FQA feeder redting")</f>
        <v>04/03 submit ABD
25/02 penarikan KU
14/02 feeder ready
(07/01) Persiapan
17/09 BJI-FQA feeder redting</v>
      </c>
      <c r="R250" s="228">
        <f>IFERROR(__xludf.DUMMYFUNCTION("""COMPUTED_VALUE"""),46088.0)</f>
        <v>46088</v>
      </c>
      <c r="S250" s="11" t="str">
        <f>IFERROR(__xludf.DUMMYFUNCTION("""COMPUTED_VALUE"""),"MAR")</f>
        <v>MAR</v>
      </c>
      <c r="T250" s="11"/>
      <c r="U250" s="11" t="str">
        <f>IFERROR(__xludf.DUMMYFUNCTION("""COMPUTED_VALUE"""),"FALSE")</f>
        <v>FALSE</v>
      </c>
      <c r="V250" s="229"/>
      <c r="W250" s="229" t="str">
        <f>IFERROR(__xludf.DUMMYFUNCTION("""COMPUTED_VALUE"""),"#N/A")</f>
        <v>#N/A</v>
      </c>
      <c r="X250" s="229" t="str">
        <f>IFERROR(__xludf.DUMMYFUNCTION("""COMPUTED_VALUE"""),"GOLIVE")</f>
        <v>GOLIVE</v>
      </c>
      <c r="Y250" s="229" t="str">
        <f>IFERROR(__xludf.DUMMYFUNCTION("""COMPUTED_VALUE"""),"DONE")</f>
        <v>DONE</v>
      </c>
      <c r="Z250" s="229" t="str">
        <f>IFERROR(__xludf.DUMMYFUNCTION("""COMPUTED_VALUE"""),"#N/A")</f>
        <v>#N/A</v>
      </c>
      <c r="AA250" s="229">
        <f>IFERROR(__xludf.DUMMYFUNCTION("""COMPUTED_VALUE"""),3.0)</f>
        <v>3</v>
      </c>
      <c r="AB250" s="229"/>
      <c r="AC250" s="229" t="str">
        <f>IFERROR(__xludf.DUMMYFUNCTION("""COMPUTED_VALUE"""),"9173987#9173992")</f>
        <v>9173987#9173992</v>
      </c>
      <c r="AD250" s="232">
        <f>IFERROR(__xludf.DUMMYFUNCTION("""COMPUTED_VALUE"""),24.0)</f>
        <v>24</v>
      </c>
      <c r="AE250" s="233">
        <f>IFERROR(__xludf.DUMMYFUNCTION("""COMPUTED_VALUE"""),46085.0)</f>
        <v>46085</v>
      </c>
      <c r="AF250" s="54"/>
      <c r="AG250" s="54"/>
      <c r="AH250" s="54">
        <v>46088.0</v>
      </c>
      <c r="AI250" s="55">
        <f t="shared" si="42"/>
        <v>3</v>
      </c>
      <c r="AW250" s="234"/>
      <c r="BP250" s="11"/>
      <c r="BQ250" s="11"/>
      <c r="BR250" s="235"/>
      <c r="BV250" s="158"/>
      <c r="BY250" s="158"/>
      <c r="CB250" s="158"/>
    </row>
    <row r="251" ht="18.0" customHeight="1">
      <c r="A251" s="222">
        <f>IFERROR(__xludf.DUMMYFUNCTION("""COMPUTED_VALUE"""),2026.0)</f>
        <v>2026</v>
      </c>
      <c r="B251" s="221">
        <f>IFERROR(__xludf.DUMMYFUNCTION("""COMPUTED_VALUE"""),1.0806546E7)</f>
        <v>10806546</v>
      </c>
      <c r="C251" s="222" t="str">
        <f>IFERROR(__xludf.DUMMYFUNCTION("""COMPUTED_VALUE"""),"SMB P7I2 Talago Amanah Padang Sarai")</f>
        <v>SMB P7I2 Talago Amanah Padang Sarai</v>
      </c>
      <c r="D251" s="222" t="str">
        <f>IFERROR(__xludf.DUMMYFUNCTION("""COMPUTED_VALUE"""),"REGIONAL I")</f>
        <v>REGIONAL I</v>
      </c>
      <c r="E251" s="222" t="str">
        <f>IFERROR(__xludf.DUMMYFUNCTION("""COMPUTED_VALUE"""),"SUMBAR")</f>
        <v>SUMBAR</v>
      </c>
      <c r="F251" s="222" t="str">
        <f>IFERROR(__xludf.DUMMYFUNCTION("""COMPUTED_VALUE"""),"LBY")</f>
        <v>LBY</v>
      </c>
      <c r="G251" s="222" t="str">
        <f>IFERROR(__xludf.DUMMYFUNCTION("""COMPUTED_VALUE"""),"SUMBAGTENG")</f>
        <v>SUMBAGTENG</v>
      </c>
      <c r="H251" s="222" t="str">
        <f>IFERROR(__xludf.DUMMYFUNCTION("""COMPUTED_VALUE"""),"PADANG")</f>
        <v>PADANG</v>
      </c>
      <c r="I251" s="222" t="str">
        <f>IFERROR(__xludf.DUMMYFUNCTION("""COMPUTED_VALUE"""),"Batch 2")</f>
        <v>Batch 2</v>
      </c>
      <c r="J251" s="225">
        <f>IFERROR(__xludf.DUMMYFUNCTION("""COMPUTED_VALUE"""),11.0)</f>
        <v>11</v>
      </c>
      <c r="K251" s="224">
        <f>IFERROR(__xludf.DUMMYFUNCTION("""COMPUTED_VALUE"""),88.0)</f>
        <v>88</v>
      </c>
      <c r="L251" s="226">
        <f>IFERROR(__xludf.DUMMYFUNCTION("""COMPUTED_VALUE"""),1115340.0)</f>
        <v>1115340</v>
      </c>
      <c r="M251" s="227">
        <f>IFERROR(__xludf.DUMMYFUNCTION("""COMPUTED_VALUE"""),9.8149918E7)</f>
        <v>98149918</v>
      </c>
      <c r="N251" s="222" t="str">
        <f>IFERROR(__xludf.DUMMYFUNCTION("""COMPUTED_VALUE"""),"PT TRI LESMA INDONESIA")</f>
        <v>PT TRI LESMA INDONESIA</v>
      </c>
      <c r="O251" s="222" t="str">
        <f>IFERROR(__xludf.DUMMYFUNCTION("""COMPUTED_VALUE"""),"0. DROP")</f>
        <v>0. DROP</v>
      </c>
      <c r="P251" s="222" t="str">
        <f>IFERROR(__xludf.DUMMYFUNCTION("""COMPUTED_VALUE"""),"0.3 Feeder Full")</f>
        <v>0.3 Feeder Full</v>
      </c>
      <c r="Q251" s="222" t="str">
        <f>IFERROR(__xludf.DUMMYFUNCTION("""COMPUTED_VALUE"""),"08/01 Kendala feeder LBY-FL FULL (07/01) Persiapan")</f>
        <v>08/01 Kendala feeder LBY-FL FULL (07/01) Persiapan</v>
      </c>
      <c r="R251" s="228"/>
      <c r="S251" s="11"/>
      <c r="T251" s="11"/>
      <c r="U251" s="11"/>
      <c r="V251" s="229"/>
      <c r="W251" s="229"/>
      <c r="X251" s="229" t="str">
        <f>IFERROR(__xludf.DUMMYFUNCTION("""COMPUTED_VALUE"""),"BELUM GOLIVE")</f>
        <v>BELUM GOLIVE</v>
      </c>
      <c r="Y251" s="229"/>
      <c r="Z251" s="229" t="str">
        <f>IFERROR(__xludf.DUMMYFUNCTION("""COMPUTED_VALUE"""),"#N/A")</f>
        <v>#N/A</v>
      </c>
      <c r="AA251" s="229"/>
      <c r="AB251" s="229"/>
      <c r="AC251" s="229"/>
      <c r="AD251" s="232"/>
      <c r="AE251" s="233"/>
      <c r="AF251" s="54" t="str">
        <f>IFERROR(__xludf.DUMMYFUNCTION("""COMPUTED_VALUE"""),"Draft BA DROP")</f>
        <v>Draft BA DROP</v>
      </c>
      <c r="AG251" s="54"/>
      <c r="AH251" s="54"/>
      <c r="AI251" s="55" t="str">
        <f t="shared" si="42"/>
        <v/>
      </c>
      <c r="AW251" s="234"/>
      <c r="BP251" s="11"/>
      <c r="BQ251" s="11"/>
      <c r="BR251" s="235"/>
      <c r="BV251" s="158"/>
      <c r="BY251" s="158"/>
      <c r="CB251" s="158"/>
    </row>
    <row r="252" ht="18.0" customHeight="1">
      <c r="A252" s="222">
        <f>IFERROR(__xludf.DUMMYFUNCTION("""COMPUTED_VALUE"""),2026.0)</f>
        <v>2026</v>
      </c>
      <c r="B252" s="221">
        <f>IFERROR(__xludf.DUMMYFUNCTION("""COMPUTED_VALUE"""),1.149921E7)</f>
        <v>11499210</v>
      </c>
      <c r="C252" s="222" t="str">
        <f>IFERROR(__xludf.DUMMYFUNCTION("""COMPUTED_VALUE"""),"SMB P3I1 MD WONOSARI KINALI")</f>
        <v>SMB P3I1 MD WONOSARI KINALI</v>
      </c>
      <c r="D252" s="222" t="str">
        <f>IFERROR(__xludf.DUMMYFUNCTION("""COMPUTED_VALUE"""),"REGIONAL I")</f>
        <v>REGIONAL I</v>
      </c>
      <c r="E252" s="222" t="str">
        <f>IFERROR(__xludf.DUMMYFUNCTION("""COMPUTED_VALUE"""),"SUMBAR")</f>
        <v>SUMBAR</v>
      </c>
      <c r="F252" s="222" t="str">
        <f>IFERROR(__xludf.DUMMYFUNCTION("""COMPUTED_VALUE"""),"KNL")</f>
        <v>KNL</v>
      </c>
      <c r="G252" s="222" t="str">
        <f>IFERROR(__xludf.DUMMYFUNCTION("""COMPUTED_VALUE"""),"SUMBAGTENG")</f>
        <v>SUMBAGTENG</v>
      </c>
      <c r="H252" s="222" t="str">
        <f>IFERROR(__xludf.DUMMYFUNCTION("""COMPUTED_VALUE"""),"BUKIT TINGGI")</f>
        <v>BUKIT TINGGI</v>
      </c>
      <c r="I252" s="222" t="str">
        <f>IFERROR(__xludf.DUMMYFUNCTION("""COMPUTED_VALUE"""),"Batch 2")</f>
        <v>Batch 2</v>
      </c>
      <c r="J252" s="225">
        <f>IFERROR(__xludf.DUMMYFUNCTION("""COMPUTED_VALUE"""),16.0)</f>
        <v>16</v>
      </c>
      <c r="K252" s="224">
        <f>IFERROR(__xludf.DUMMYFUNCTION("""COMPUTED_VALUE"""),128.0)</f>
        <v>128</v>
      </c>
      <c r="L252" s="226">
        <f>IFERROR(__xludf.DUMMYFUNCTION("""COMPUTED_VALUE"""),1380786.0)</f>
        <v>1380786</v>
      </c>
      <c r="M252" s="227">
        <f>IFERROR(__xludf.DUMMYFUNCTION("""COMPUTED_VALUE"""),1.76740583E8)</f>
        <v>176740583</v>
      </c>
      <c r="N252" s="222" t="str">
        <f>IFERROR(__xludf.DUMMYFUNCTION("""COMPUTED_VALUE"""),"PT TIGA AKSES MANDIRI")</f>
        <v>PT TIGA AKSES MANDIRI</v>
      </c>
      <c r="O252" s="222" t="str">
        <f>IFERROR(__xludf.DUMMYFUNCTION("""COMPUTED_VALUE"""),"8. UJI TERIMA")</f>
        <v>8. UJI TERIMA</v>
      </c>
      <c r="P252" s="222" t="str">
        <f>IFERROR(__xludf.DUMMYFUNCTION("""COMPUTED_VALUE"""),"8.1 Proses UT")</f>
        <v>8.1 Proses UT</v>
      </c>
      <c r="Q252" s="222" t="str">
        <f>IFERROR(__xludf.DUMMYFUNCTION("""COMPUTED_VALUE"""),"(27/01) CPP TINGGI 1,4 butuh tambah (07/01) Persiapan")</f>
        <v>(27/01) CPP TINGGI 1,4 butuh tambah (07/01) Persiapan</v>
      </c>
      <c r="R252" s="228">
        <f>IFERROR(__xludf.DUMMYFUNCTION("""COMPUTED_VALUE"""),46079.0)</f>
        <v>46079</v>
      </c>
      <c r="S252" s="11"/>
      <c r="T252" s="11"/>
      <c r="U252" s="11" t="str">
        <f>IFERROR(__xludf.DUMMYFUNCTION("""COMPUTED_VALUE"""),"TIF-3608/2026 26KT03R107-0007")</f>
        <v>TIF-3608/2026 26KT03R107-0007</v>
      </c>
      <c r="V252" s="229" t="str">
        <f>IFERROR(__xludf.DUMMYFUNCTION("""COMPUTED_VALUE"""),"JANUAR RIZAL")</f>
        <v>JANUAR RIZAL</v>
      </c>
      <c r="W252" s="229" t="str">
        <f>IFERROR(__xludf.DUMMYFUNCTION("""COMPUTED_VALUE"""),"MELKO NARWADI")</f>
        <v>MELKO NARWADI</v>
      </c>
      <c r="X252" s="229" t="str">
        <f>IFERROR(__xludf.DUMMYFUNCTION("""COMPUTED_VALUE"""),"GOLIVE")</f>
        <v>GOLIVE</v>
      </c>
      <c r="Y252" s="229" t="str">
        <f>IFERROR(__xludf.DUMMYFUNCTION("""COMPUTED_VALUE"""),"DONE")</f>
        <v>DONE</v>
      </c>
      <c r="Z252" s="229" t="str">
        <f>IFERROR(__xludf.DUMMYFUNCTION("""COMPUTED_VALUE"""),"#N/A")</f>
        <v>#N/A</v>
      </c>
      <c r="AA252" s="229">
        <f>IFERROR(__xludf.DUMMYFUNCTION("""COMPUTED_VALUE"""),20.0)</f>
        <v>20</v>
      </c>
      <c r="AB252" s="229"/>
      <c r="AC252" s="229" t="str">
        <f>IFERROR(__xludf.DUMMYFUNCTION("""COMPUTED_VALUE"""),"9109761#9109766")</f>
        <v>9109761#9109766</v>
      </c>
      <c r="AD252" s="232">
        <f>IFERROR(__xludf.DUMMYFUNCTION("""COMPUTED_VALUE"""),160.0)</f>
        <v>160</v>
      </c>
      <c r="AE252" s="233">
        <f>IFERROR(__xludf.DUMMYFUNCTION("""COMPUTED_VALUE"""),46067.0)</f>
        <v>46067</v>
      </c>
      <c r="AF252" s="54"/>
      <c r="AG252" s="54"/>
      <c r="AH252" s="54">
        <v>46079.0</v>
      </c>
      <c r="AI252" s="55">
        <f t="shared" si="42"/>
        <v>12</v>
      </c>
      <c r="AW252" s="234"/>
      <c r="BP252" s="11"/>
      <c r="BQ252" s="11"/>
      <c r="BR252" s="235"/>
      <c r="BV252" s="158"/>
      <c r="BY252" s="158"/>
      <c r="CB252" s="158"/>
    </row>
    <row r="253" ht="18.0" customHeight="1">
      <c r="A253" s="222">
        <f>IFERROR(__xludf.DUMMYFUNCTION("""COMPUTED_VALUE"""),2026.0)</f>
        <v>2026</v>
      </c>
      <c r="B253" s="221">
        <f>IFERROR(__xludf.DUMMYFUNCTION("""COMPUTED_VALUE"""),1.1539969E7)</f>
        <v>11539969</v>
      </c>
      <c r="C253" s="222" t="str">
        <f>IFERROR(__xludf.DUMMYFUNCTION("""COMPUTED_VALUE"""),"RKP TSEL PT3 LBJ-FBP BENGKONG PERMAI")</f>
        <v>RKP TSEL PT3 LBJ-FBP BENGKONG PERMAI</v>
      </c>
      <c r="D253" s="222" t="str">
        <f>IFERROR(__xludf.DUMMYFUNCTION("""COMPUTED_VALUE"""),"REGIONAL I")</f>
        <v>REGIONAL I</v>
      </c>
      <c r="E253" s="222" t="str">
        <f>IFERROR(__xludf.DUMMYFUNCTION("""COMPUTED_VALUE"""),"RIKEP")</f>
        <v>RIKEP</v>
      </c>
      <c r="F253" s="222" t="str">
        <f>IFERROR(__xludf.DUMMYFUNCTION("""COMPUTED_VALUE"""),"LBJ")</f>
        <v>LBJ</v>
      </c>
      <c r="G253" s="222" t="str">
        <f>IFERROR(__xludf.DUMMYFUNCTION("""COMPUTED_VALUE"""),"SUMBAGTENG")</f>
        <v>SUMBAGTENG</v>
      </c>
      <c r="H253" s="222" t="str">
        <f>IFERROR(__xludf.DUMMYFUNCTION("""COMPUTED_VALUE"""),"BATAM")</f>
        <v>BATAM</v>
      </c>
      <c r="I253" s="222" t="str">
        <f>IFERROR(__xludf.DUMMYFUNCTION("""COMPUTED_VALUE"""),"Batch 2")</f>
        <v>Batch 2</v>
      </c>
      <c r="J253" s="225">
        <f>IFERROR(__xludf.DUMMYFUNCTION("""COMPUTED_VALUE"""),4.0)</f>
        <v>4</v>
      </c>
      <c r="K253" s="224">
        <f>IFERROR(__xludf.DUMMYFUNCTION("""COMPUTED_VALUE"""),32.0)</f>
        <v>32</v>
      </c>
      <c r="L253" s="226">
        <f>IFERROR(__xludf.DUMMYFUNCTION("""COMPUTED_VALUE"""),1380185.0)</f>
        <v>1380185</v>
      </c>
      <c r="M253" s="227">
        <f>IFERROR(__xludf.DUMMYFUNCTION("""COMPUTED_VALUE"""),4.4165897E7)</f>
        <v>44165897</v>
      </c>
      <c r="N253" s="222" t="str">
        <f>IFERROR(__xludf.DUMMYFUNCTION("""COMPUTED_VALUE"""),"PT HDUA PUTRA PRAJODA")</f>
        <v>PT HDUA PUTRA PRAJODA</v>
      </c>
      <c r="O253" s="222" t="str">
        <f>IFERROR(__xludf.DUMMYFUNCTION("""COMPUTED_VALUE"""),"0. DROP")</f>
        <v>0. DROP</v>
      </c>
      <c r="P253" s="222" t="str">
        <f>IFERROR(__xludf.DUMMYFUNCTION("""COMPUTED_VALUE"""),"0.2 Tidak Dapat Izin Warga/Kades/Lurah/Developer")</f>
        <v>0.2 Tidak Dapat Izin Warga/Kades/Lurah/Developer</v>
      </c>
      <c r="Q253" s="222" t="str">
        <f>IFERROR(__xludf.DUMMYFUNCTION("""COMPUTED_VALUE"""),"16/02 izin di tolak RW.  13/02 Anwijzing OK, izin belum di beri kepastian. 11/02 Peralihan mitra. 28/01 Plan survey 29 Jan. 28/01 Mitra tripola belum ada PIC untuk anwijzing. 23/01 Plan anwijzing 26 Jan, pic mitra ada pertanggal 25 jan. 21/01 proses penun"&amp;"jukan mitra ")</f>
        <v>16/02 izin di tolak RW.  13/02 Anwijzing OK, izin belum di beri kepastian. 11/02 Peralihan mitra. 28/01 Plan survey 29 Jan. 28/01 Mitra tripola belum ada PIC untuk anwijzing. 23/01 Plan anwijzing 26 Jan, pic mitra ada pertanggal 25 jan. 21/01 proses penunjukan mitra </v>
      </c>
      <c r="R253" s="228"/>
      <c r="S253" s="11"/>
      <c r="T253" s="11"/>
      <c r="U253" s="11"/>
      <c r="V253" s="229" t="str">
        <f>IFERROR(__xludf.DUMMYFUNCTION("""COMPUTED_VALUE"""),"RONALDO LEO INFANTRI")</f>
        <v>RONALDO LEO INFANTRI</v>
      </c>
      <c r="W253" s="229" t="str">
        <f>IFERROR(__xludf.DUMMYFUNCTION("""COMPUTED_VALUE"""),"LEVITA INDRIYANI")</f>
        <v>LEVITA INDRIYANI</v>
      </c>
      <c r="X253" s="229" t="str">
        <f>IFERROR(__xludf.DUMMYFUNCTION("""COMPUTED_VALUE"""),"BELUM GOLIVE")</f>
        <v>BELUM GOLIVE</v>
      </c>
      <c r="Y253" s="229"/>
      <c r="Z253" s="229" t="str">
        <f>IFERROR(__xludf.DUMMYFUNCTION("""COMPUTED_VALUE"""),"#N/A")</f>
        <v>#N/A</v>
      </c>
      <c r="AA253" s="229"/>
      <c r="AB253" s="229"/>
      <c r="AC253" s="229"/>
      <c r="AD253" s="232"/>
      <c r="AE253" s="233"/>
      <c r="AF253" s="54" t="str">
        <f>IFERROR(__xludf.DUMMYFUNCTION("""COMPUTED_VALUE"""),"Draft BA DROP")</f>
        <v>Draft BA DROP</v>
      </c>
      <c r="AG253" s="54"/>
      <c r="AH253" s="54"/>
      <c r="AI253" s="55" t="str">
        <f t="shared" si="42"/>
        <v/>
      </c>
      <c r="AW253" s="234"/>
      <c r="BP253" s="11"/>
      <c r="BQ253" s="11"/>
      <c r="BR253" s="235"/>
      <c r="BV253" s="158"/>
      <c r="BY253" s="158"/>
      <c r="CB253" s="158"/>
    </row>
    <row r="254" ht="18.0" hidden="1" customHeight="1">
      <c r="A254" s="222">
        <f>IFERROR(__xludf.DUMMYFUNCTION("""COMPUTED_VALUE"""),2026.0)</f>
        <v>2026</v>
      </c>
      <c r="B254" s="221">
        <f>IFERROR(__xludf.DUMMYFUNCTION("""COMPUTED_VALUE"""),1.2127848E7)</f>
        <v>12127848</v>
      </c>
      <c r="C254" s="222" t="str">
        <f>IFERROR(__xludf.DUMMYFUNCTION("""COMPUTED_VALUE"""),"LPG PT4 JPP BUNGA MAYANG CSF KBI")</f>
        <v>LPG PT4 JPP BUNGA MAYANG CSF KBI</v>
      </c>
      <c r="D254" s="222" t="str">
        <f>IFERROR(__xludf.DUMMYFUNCTION("""COMPUTED_VALUE"""),"REGIONAL I")</f>
        <v>REGIONAL I</v>
      </c>
      <c r="E254" s="222" t="str">
        <f>IFERROR(__xludf.DUMMYFUNCTION("""COMPUTED_VALUE"""),"LAMPUNG")</f>
        <v>LAMPUNG</v>
      </c>
      <c r="F254" s="222" t="str">
        <f>IFERROR(__xludf.DUMMYFUNCTION("""COMPUTED_VALUE"""),"KBI")</f>
        <v>KBI</v>
      </c>
      <c r="G254" s="222" t="str">
        <f>IFERROR(__xludf.DUMMYFUNCTION("""COMPUTED_VALUE"""),"SUMBAGSEL")</f>
        <v>SUMBAGSEL</v>
      </c>
      <c r="H254" s="222" t="str">
        <f>IFERROR(__xludf.DUMMYFUNCTION("""COMPUTED_VALUE"""),"LAMPUNG")</f>
        <v>LAMPUNG</v>
      </c>
      <c r="I254" s="222" t="str">
        <f>IFERROR(__xludf.DUMMYFUNCTION("""COMPUTED_VALUE"""),"Batch 2")</f>
        <v>Batch 2</v>
      </c>
      <c r="J254" s="225">
        <f>IFERROR(__xludf.DUMMYFUNCTION("""COMPUTED_VALUE"""),29.0)</f>
        <v>29</v>
      </c>
      <c r="K254" s="224">
        <f>IFERROR(__xludf.DUMMYFUNCTION("""COMPUTED_VALUE"""),224.0)</f>
        <v>224</v>
      </c>
      <c r="L254" s="226">
        <f>IFERROR(__xludf.DUMMYFUNCTION("""COMPUTED_VALUE"""),1380047.0)</f>
        <v>1380047</v>
      </c>
      <c r="M254" s="227">
        <f>IFERROR(__xludf.DUMMYFUNCTION("""COMPUTED_VALUE"""),3.09130421E8)</f>
        <v>309130421</v>
      </c>
      <c r="N254" s="222" t="str">
        <f>IFERROR(__xludf.DUMMYFUNCTION("""COMPUTED_VALUE"""),"PT KOPRASI PILAR UTAMA")</f>
        <v>PT KOPRASI PILAR UTAMA</v>
      </c>
      <c r="O254" s="222" t="str">
        <f>IFERROR(__xludf.DUMMYFUNCTION("""COMPUTED_VALUE"""),"3. PERIZINAN")</f>
        <v>3. PERIZINAN</v>
      </c>
      <c r="P254" s="222" t="str">
        <f>IFERROR(__xludf.DUMMYFUNCTION("""COMPUTED_VALUE"""),"3.10 Izin Developer / Private area")</f>
        <v>3.10 Izin Developer / Private area</v>
      </c>
      <c r="Q254" s="222" t="str">
        <f>IFERROR(__xludf.DUMMYFUNCTION("""COMPUTED_VALUE"""),"22/04 butuh surat ijin dari telkom karna lokasi  private area  08/04 butuh surat ijin dari telkom karna lokasi  private area  
06/04 Proses PR PO baru selesai aandwizing pergantian mitra AUM 2/4 proses pengajuan PR/PO 
31/3 proses pengajuan PR/PO 
25/3 PR"&amp;"oses peralihan  Mitra Pararel perizinan 5/3 butuh surat resmi dari TIF (private area) 
23/2 hold kendala OLT di status Terakhir  18/2 Konfirmasi ke tif  6/2 minta surat resmi dari ta / tellkom untuk pembangunan di private area 
30/1 minta surat resmi dari"&amp;" ta / tellkom untuk pembangunan di private area 
14/1 butuh penambahan mini OLT")</f>
        <v>22/04 butuh surat ijin dari telkom karna lokasi  private area  08/04 butuh surat ijin dari telkom karna lokasi  private area  
06/04 Proses PR PO baru selesai aandwizing pergantian mitra AUM 2/4 proses pengajuan PR/PO 
31/3 proses pengajuan PR/PO 
25/3 PRoses peralihan  Mitra Pararel perizinan 5/3 butuh surat resmi dari TIF (private area) 
23/2 hold kendala OLT di status Terakhir  18/2 Konfirmasi ke tif  6/2 minta surat resmi dari ta / tellkom untuk pembangunan di private area 
30/1 minta surat resmi dari ta / tellkom untuk pembangunan di private area 
14/1 butuh penambahan mini OLT</v>
      </c>
      <c r="R254" s="228"/>
      <c r="S254" s="11"/>
      <c r="T254" s="11" t="str">
        <f>IFERROR(__xludf.DUMMYFUNCTION("""COMPUTED_VALUE"""),"P1")</f>
        <v>P1</v>
      </c>
      <c r="U254" s="11" t="str">
        <f>IFERROR(__xludf.DUMMYFUNCTION("""COMPUTED_VALUE"""),"TIF-6137/2026")</f>
        <v>TIF-6137/2026</v>
      </c>
      <c r="V254" s="229"/>
      <c r="W254" s="229"/>
      <c r="X254" s="229" t="str">
        <f>IFERROR(__xludf.DUMMYFUNCTION("""COMPUTED_VALUE"""),"BELUM GOLIVE")</f>
        <v>BELUM GOLIVE</v>
      </c>
      <c r="Y254" s="229" t="str">
        <f>IFERROR(__xludf.DUMMYFUNCTION("""COMPUTED_VALUE"""),"PORT OLT Penuh")</f>
        <v>PORT OLT Penuh</v>
      </c>
      <c r="Z254" s="229" t="str">
        <f>IFERROR(__xludf.DUMMYFUNCTION("""COMPUTED_VALUE"""),"#N/A")</f>
        <v>#N/A</v>
      </c>
      <c r="AA254" s="229"/>
      <c r="AB254" s="229"/>
      <c r="AC254" s="229"/>
      <c r="AD254" s="232"/>
      <c r="AE254" s="233"/>
      <c r="AF254" s="54"/>
      <c r="AG254" s="54"/>
      <c r="AH254" s="54"/>
      <c r="AI254" s="55" t="str">
        <f t="shared" si="42"/>
        <v/>
      </c>
      <c r="AW254" s="234"/>
      <c r="BP254" s="11"/>
      <c r="BQ254" s="11"/>
      <c r="BR254" s="235"/>
      <c r="BV254" s="158"/>
      <c r="BY254" s="158"/>
      <c r="CB254" s="158"/>
    </row>
    <row r="255" ht="18.0" hidden="1" customHeight="1">
      <c r="A255" s="222">
        <f>IFERROR(__xludf.DUMMYFUNCTION("""COMPUTED_VALUE"""),2026.0)</f>
        <v>2026</v>
      </c>
      <c r="B255" s="221">
        <f>IFERROR(__xludf.DUMMYFUNCTION("""COMPUTED_VALUE"""),1.0608893E7)</f>
        <v>10608893</v>
      </c>
      <c r="C255" s="222" t="str">
        <f>IFERROR(__xludf.DUMMYFUNCTION("""COMPUTED_VALUE"""),"JBI-MBN-FK-BENI HADI SAPUTRA")</f>
        <v>JBI-MBN-FK-BENI HADI SAPUTRA</v>
      </c>
      <c r="D255" s="222" t="str">
        <f>IFERROR(__xludf.DUMMYFUNCTION("""COMPUTED_VALUE"""),"REGIONAL I")</f>
        <v>REGIONAL I</v>
      </c>
      <c r="E255" s="222" t="str">
        <f>IFERROR(__xludf.DUMMYFUNCTION("""COMPUTED_VALUE"""),"JAMBI")</f>
        <v>JAMBI</v>
      </c>
      <c r="F255" s="222" t="str">
        <f>IFERROR(__xludf.DUMMYFUNCTION("""COMPUTED_VALUE"""),"MBN")</f>
        <v>MBN</v>
      </c>
      <c r="G255" s="222" t="str">
        <f>IFERROR(__xludf.DUMMYFUNCTION("""COMPUTED_VALUE"""),"SUMBAGSEL")</f>
        <v>SUMBAGSEL</v>
      </c>
      <c r="H255" s="222" t="str">
        <f>IFERROR(__xludf.DUMMYFUNCTION("""COMPUTED_VALUE"""),"JAMBI")</f>
        <v>JAMBI</v>
      </c>
      <c r="I255" s="222" t="str">
        <f>IFERROR(__xludf.DUMMYFUNCTION("""COMPUTED_VALUE"""),"Batch 2")</f>
        <v>Batch 2</v>
      </c>
      <c r="J255" s="225">
        <f>IFERROR(__xludf.DUMMYFUNCTION("""COMPUTED_VALUE"""),1.0)</f>
        <v>1</v>
      </c>
      <c r="K255" s="224">
        <f>IFERROR(__xludf.DUMMYFUNCTION("""COMPUTED_VALUE"""),8.0)</f>
        <v>8</v>
      </c>
      <c r="L255" s="226">
        <f>IFERROR(__xludf.DUMMYFUNCTION("""COMPUTED_VALUE"""),1379727.0)</f>
        <v>1379727</v>
      </c>
      <c r="M255" s="227">
        <f>IFERROR(__xludf.DUMMYFUNCTION("""COMPUTED_VALUE"""),1.1037815E7)</f>
        <v>11037815</v>
      </c>
      <c r="N255" s="222"/>
      <c r="O255" s="222" t="str">
        <f>IFERROR(__xludf.DUMMYFUNCTION("""COMPUTED_VALUE"""),"0. DROP")</f>
        <v>0. DROP</v>
      </c>
      <c r="P255" s="222" t="str">
        <f>IFERROR(__xludf.DUMMYFUNCTION("""COMPUTED_VALUE"""),"0.5 DROP TSEL - Acc ED TIF")</f>
        <v>0.5 DROP TSEL - Acc ED TIF</v>
      </c>
      <c r="Q255" s="222" t="str">
        <f>IFERROR(__xludf.DUMMYFUNCTION("""COMPUTED_VALUE"""),"(12/1) BA Drop Sirkulir  (06/01)order JPP batch-2 2026 ((16/10) Info Tsel Drop sudah ada ODP eksisting (15/10) Mapping Mitra")</f>
        <v>(12/1) BA Drop Sirkulir  (06/01)order JPP batch-2 2026 ((16/10) Info Tsel Drop sudah ada ODP eksisting (15/10) Mapping Mitra</v>
      </c>
      <c r="R255" s="228"/>
      <c r="S255" s="11"/>
      <c r="T255" s="11"/>
      <c r="U255" s="11"/>
      <c r="V255" s="229"/>
      <c r="W255" s="229"/>
      <c r="X255" s="229" t="str">
        <f>IFERROR(__xludf.DUMMYFUNCTION("""COMPUTED_VALUE"""),"BELUM GOLIVE")</f>
        <v>BELUM GOLIVE</v>
      </c>
      <c r="Y255" s="229"/>
      <c r="Z255" s="229" t="str">
        <f>IFERROR(__xludf.DUMMYFUNCTION("""COMPUTED_VALUE"""),"#N/A")</f>
        <v>#N/A</v>
      </c>
      <c r="AA255" s="229"/>
      <c r="AB255" s="229"/>
      <c r="AC255" s="229"/>
      <c r="AD255" s="232"/>
      <c r="AE255" s="233"/>
      <c r="AF255" s="54"/>
      <c r="AG255" s="54"/>
      <c r="AH255" s="54"/>
      <c r="AI255" s="55" t="str">
        <f t="shared" si="42"/>
        <v/>
      </c>
      <c r="AW255" s="234"/>
      <c r="BP255" s="11"/>
      <c r="BQ255" s="11"/>
      <c r="BR255" s="235"/>
      <c r="BV255" s="158"/>
      <c r="BY255" s="158"/>
      <c r="CB255" s="158"/>
    </row>
    <row r="256" ht="18.0" customHeight="1">
      <c r="A256" s="222">
        <f>IFERROR(__xludf.DUMMYFUNCTION("""COMPUTED_VALUE"""),2026.0)</f>
        <v>2026</v>
      </c>
      <c r="B256" s="221">
        <f>IFERROR(__xludf.DUMMYFUNCTION("""COMPUTED_VALUE"""),1.1189388E7)</f>
        <v>11189388</v>
      </c>
      <c r="C256" s="222" t="str">
        <f>IFERROR(__xludf.DUMMYFUNCTION("""COMPUTED_VALUE"""),"SMB P1I2 TAEH BARUAH")</f>
        <v>SMB P1I2 TAEH BARUAH</v>
      </c>
      <c r="D256" s="222" t="str">
        <f>IFERROR(__xludf.DUMMYFUNCTION("""COMPUTED_VALUE"""),"REGIONAL I")</f>
        <v>REGIONAL I</v>
      </c>
      <c r="E256" s="222" t="str">
        <f>IFERROR(__xludf.DUMMYFUNCTION("""COMPUTED_VALUE"""),"SUMBAR")</f>
        <v>SUMBAR</v>
      </c>
      <c r="F256" s="222" t="str">
        <f>IFERROR(__xludf.DUMMYFUNCTION("""COMPUTED_VALUE"""),"PDJ")</f>
        <v>PDJ</v>
      </c>
      <c r="G256" s="222" t="str">
        <f>IFERROR(__xludf.DUMMYFUNCTION("""COMPUTED_VALUE"""),"SUMBAGTENG")</f>
        <v>SUMBAGTENG</v>
      </c>
      <c r="H256" s="222" t="str">
        <f>IFERROR(__xludf.DUMMYFUNCTION("""COMPUTED_VALUE"""),"BUKIT TINGGI")</f>
        <v>BUKIT TINGGI</v>
      </c>
      <c r="I256" s="222" t="str">
        <f>IFERROR(__xludf.DUMMYFUNCTION("""COMPUTED_VALUE"""),"Batch 2")</f>
        <v>Batch 2</v>
      </c>
      <c r="J256" s="225">
        <f>IFERROR(__xludf.DUMMYFUNCTION("""COMPUTED_VALUE"""),15.0)</f>
        <v>15</v>
      </c>
      <c r="K256" s="224">
        <f>IFERROR(__xludf.DUMMYFUNCTION("""COMPUTED_VALUE"""),120.0)</f>
        <v>120</v>
      </c>
      <c r="L256" s="226">
        <f>IFERROR(__xludf.DUMMYFUNCTION("""COMPUTED_VALUE"""),1378513.0)</f>
        <v>1378513</v>
      </c>
      <c r="M256" s="227">
        <f>IFERROR(__xludf.DUMMYFUNCTION("""COMPUTED_VALUE"""),1.65421555E8)</f>
        <v>165421555</v>
      </c>
      <c r="N256" s="222" t="str">
        <f>IFERROR(__xludf.DUMMYFUNCTION("""COMPUTED_VALUE"""),"PT RATRI PRIMA MANDIRI")</f>
        <v>PT RATRI PRIMA MANDIRI</v>
      </c>
      <c r="O256" s="222" t="str">
        <f>IFERROR(__xludf.DUMMYFUNCTION("""COMPUTED_VALUE"""),"0. DROP")</f>
        <v>0. DROP</v>
      </c>
      <c r="P256" s="222" t="str">
        <f>IFERROR(__xludf.DUMMYFUNCTION("""COMPUTED_VALUE"""),"0.3 Feeder Full")</f>
        <v>0.3 Feeder Full</v>
      </c>
      <c r="Q256" s="222" t="str">
        <f>IFERROR(__xludf.DUMMYFUNCTION("""COMPUTED_VALUE"""),"(04/02) Kendala feeder PDJ-FA Full, butuh new feeder(27/01) CPP 1,3, Butuh tambah 5 odp   10/11: Matdel ke site 06/11 : proses aanwijziing  23/10 : Proses mapping mitra (21/01) CPP 1,3 butuh 4 odp tambahan (07/01) Persiapansungayangssssss")</f>
        <v>(04/02) Kendala feeder PDJ-FA Full, butuh new feeder(27/01) CPP 1,3, Butuh tambah 5 odp   10/11: Matdel ke site 06/11 : proses aanwijziing  23/10 : Proses mapping mitra (21/01) CPP 1,3 butuh 4 odp tambahan (07/01) Persiapansungayangssssss</v>
      </c>
      <c r="R256" s="228"/>
      <c r="S256" s="11"/>
      <c r="T256" s="11"/>
      <c r="U256" s="11"/>
      <c r="V256" s="229" t="str">
        <f>IFERROR(__xludf.DUMMYFUNCTION("""COMPUTED_VALUE"""),"M. ARIF HAMADI")</f>
        <v>M. ARIF HAMADI</v>
      </c>
      <c r="W256" s="229" t="str">
        <f>IFERROR(__xludf.DUMMYFUNCTION("""COMPUTED_VALUE"""),"MELKO NARWADI")</f>
        <v>MELKO NARWADI</v>
      </c>
      <c r="X256" s="229" t="str">
        <f>IFERROR(__xludf.DUMMYFUNCTION("""COMPUTED_VALUE"""),"BELUM GOLIVE")</f>
        <v>BELUM GOLIVE</v>
      </c>
      <c r="Y256" s="229"/>
      <c r="Z256" s="229" t="str">
        <f>IFERROR(__xludf.DUMMYFUNCTION("""COMPUTED_VALUE"""),"#N/A")</f>
        <v>#N/A</v>
      </c>
      <c r="AA256" s="229"/>
      <c r="AB256" s="229"/>
      <c r="AC256" s="229"/>
      <c r="AD256" s="232"/>
      <c r="AE256" s="233"/>
      <c r="AF256" s="54" t="str">
        <f>IFERROR(__xludf.DUMMYFUNCTION("""COMPUTED_VALUE"""),"Draft BA DROP")</f>
        <v>Draft BA DROP</v>
      </c>
      <c r="AG256" s="54"/>
      <c r="AH256" s="54"/>
      <c r="AI256" s="55" t="str">
        <f t="shared" si="42"/>
        <v/>
      </c>
      <c r="AW256" s="234"/>
      <c r="BP256" s="11"/>
      <c r="BQ256" s="11"/>
      <c r="BR256" s="235"/>
      <c r="BV256" s="158"/>
      <c r="BY256" s="158"/>
      <c r="CB256" s="158"/>
    </row>
    <row r="257" ht="18.0" hidden="1" customHeight="1">
      <c r="A257" s="222">
        <f>IFERROR(__xludf.DUMMYFUNCTION("""COMPUTED_VALUE"""),2026.0)</f>
        <v>2026</v>
      </c>
      <c r="B257" s="221">
        <f>IFERROR(__xludf.DUMMYFUNCTION("""COMPUTED_VALUE"""),1.1540588E7)</f>
        <v>11540588</v>
      </c>
      <c r="C257" s="222" t="str">
        <f>IFERROR(__xludf.DUMMYFUNCTION("""COMPUTED_VALUE"""),"SMS P3I1 PT3 SKY FAN D03 SDN 2 ULAK")</f>
        <v>SMS P3I1 PT3 SKY FAN D03 SDN 2 ULAK</v>
      </c>
      <c r="D257" s="222" t="str">
        <f>IFERROR(__xludf.DUMMYFUNCTION("""COMPUTED_VALUE"""),"REGIONAL I")</f>
        <v>REGIONAL I</v>
      </c>
      <c r="E257" s="222" t="str">
        <f>IFERROR(__xludf.DUMMYFUNCTION("""COMPUTED_VALUE"""),"SUMSEL")</f>
        <v>SUMSEL</v>
      </c>
      <c r="F257" s="222" t="str">
        <f>IFERROR(__xludf.DUMMYFUNCTION("""COMPUTED_VALUE"""),"SKY")</f>
        <v>SKY</v>
      </c>
      <c r="G257" s="222" t="str">
        <f>IFERROR(__xludf.DUMMYFUNCTION("""COMPUTED_VALUE"""),"SUMBAGSEL")</f>
        <v>SUMBAGSEL</v>
      </c>
      <c r="H257" s="222" t="str">
        <f>IFERROR(__xludf.DUMMYFUNCTION("""COMPUTED_VALUE"""),"PALEMBANG")</f>
        <v>PALEMBANG</v>
      </c>
      <c r="I257" s="222" t="str">
        <f>IFERROR(__xludf.DUMMYFUNCTION("""COMPUTED_VALUE"""),"Batch 2")</f>
        <v>Batch 2</v>
      </c>
      <c r="J257" s="225">
        <f>IFERROR(__xludf.DUMMYFUNCTION("""COMPUTED_VALUE"""),14.0)</f>
        <v>14</v>
      </c>
      <c r="K257" s="224">
        <f>IFERROR(__xludf.DUMMYFUNCTION("""COMPUTED_VALUE"""),112.0)</f>
        <v>112</v>
      </c>
      <c r="L257" s="226">
        <f>IFERROR(__xludf.DUMMYFUNCTION("""COMPUTED_VALUE"""),1376926.0)</f>
        <v>1376926</v>
      </c>
      <c r="M257" s="227">
        <f>IFERROR(__xludf.DUMMYFUNCTION("""COMPUTED_VALUE"""),1.54215658E8)</f>
        <v>154215658</v>
      </c>
      <c r="N257" s="222" t="str">
        <f>IFERROR(__xludf.DUMMYFUNCTION("""COMPUTED_VALUE"""),"PT MAJU JAYA TEKNOLOGI")</f>
        <v>PT MAJU JAYA TEKNOLOGI</v>
      </c>
      <c r="O257" s="222" t="str">
        <f>IFERROR(__xludf.DUMMYFUNCTION("""COMPUTED_VALUE"""),"3. PERIZINAN")</f>
        <v>3. PERIZINAN</v>
      </c>
      <c r="P257" s="222" t="str">
        <f>IFERROR(__xludf.DUMMYFUNCTION("""COMPUTED_VALUE"""),"3.1 Submit permohon ke PU")</f>
        <v>3.1 Submit permohon ke PU</v>
      </c>
      <c r="Q257" s="222" t="str">
        <f>IFERROR(__xludf.DUMMYFUNCTION("""COMPUTED_VALUE"""),"27/04 MASIH MENUNGGU BERKAS SURAT PU YG DI RILIS TIF, 24/04 berkas surat pu nasional belum rilis dari tif (bang arif HAI), 09/04 KOORDINASI DG PAK ARIF (TIF HAI)TERKAIT PEMBERKASAN PERIZINAN PU, 08/04 KOORDINASI DG PAK ARIF TERKAIT PERIZINAN PU, 06/04 PLA"&amp;"N HARI INI BERTEMU PAK ARIF - KOORDINASI MENGENAI PERIZINAN PU, 01/04 MASIH MELENGKAPI DOKUMEN, 30/03 MASIH MELENGKAPI DOKUMEN, 27/03 BLM ADA INFO TSEL (PAK ARIF) TERKAIT KELANJUTAN PERIZINAN, 25/03 BLM ADA INFO TSEL TERKAIT KELANJUTAN PERIZINAN, 21/03 SD"&amp;"H SUBMIT PERIZINAN KE TSEL TINGGAL MENUNGGU KONFIRMASI KELANJUTANNYA, 17/03 MASIH MENUNGGU KONFIRMASI DARI TSEL, 13/03 MASIH MENUNGGU KONFIRMASI DARI TSEL, 11/03 SUDAH SUBMIT PERIZINAN KE TSEL, 10/03 MASIH PERIZINAN PU, 03/03 LANJUT TINGGAL INPUT MATERIAL"&amp;" TP HARUS PERIZINAN PU, 27/02 OGP AMBIL MATERIAL, 25/02 MASIH MENUNGGU TIANG, 22/2 menunggu material TIANG  11/2 PID Done, PR-PO AMD on going  09/02 CREATE PID, 06/02 hasil zoom dg tsel bisa lanjut, dg kenaikan d bawah 2%, 04/02 DONE EVAL, HOLD, KRENA ADA"&amp;" KENAIKAN BOQ DARI NILAI PLAN SEBESAR 2% DAN CPP 1,3 JT15/01 menunggu jadwal aanwijzing dg mitra 04/02 DONE EVAL, HOLD, KRENA ADA KENAIKAN BOQ DARI NILAI PLAN SEBESAR 2% DAN CPP 1,3 JT, 31/01 PROSES AANWIDJZING, 30/01 MENUNGGU JADWAL AANWIDJZING DG MITRA,"&amp;" (24/1) plan aawijdizng 27/1(21/01) menunggu antrian untuk aanwizjing lapangan, (20/1) MJT setuju (15/1) ORDER DITERIMA 14/1 ,PLAN AANWIJDZING 21 JAN 26 (06/01)order JPP batch-2 2026 ((26/11) ORDER HOLD , FLAGGING ""TIDAK LANJUT DARI PED"" (25/11 MJT setu"&amp;"ju, 24/11 penunjukkan mitra MJT, (14/11) MItra MJS blm ambil pekerjaan baru terkait close pekerjaan lama , LOP juga tidak masuk list optimis close 2025 ( (11/11) Penunjukkan MITRA oleh Procurement 23/10 penunjukan mitra
 14/01 Surat lanjut kerja oleh proc"&amp;"urement")</f>
        <v>27/04 MASIH MENUNGGU BERKAS SURAT PU YG DI RILIS TIF, 24/04 berkas surat pu nasional belum rilis dari tif (bang arif HAI), 09/04 KOORDINASI DG PAK ARIF (TIF HAI)TERKAIT PEMBERKASAN PERIZINAN PU, 08/04 KOORDINASI DG PAK ARIF TERKAIT PERIZINAN PU, 06/04 PLAN HARI INI BERTEMU PAK ARIF - KOORDINASI MENGENAI PERIZINAN PU, 01/04 MASIH MELENGKAPI DOKUMEN, 30/03 MASIH MELENGKAPI DOKUMEN, 27/03 BLM ADA INFO TSEL (PAK ARIF) TERKAIT KELANJUTAN PERIZINAN, 25/03 BLM ADA INFO TSEL TERKAIT KELANJUTAN PERIZINAN, 21/03 SDH SUBMIT PERIZINAN KE TSEL TINGGAL MENUNGGU KONFIRMASI KELANJUTANNYA, 17/03 MASIH MENUNGGU KONFIRMASI DARI TSEL, 13/03 MASIH MENUNGGU KONFIRMASI DARI TSEL, 11/03 SUDAH SUBMIT PERIZINAN KE TSEL, 10/03 MASIH PERIZINAN PU, 03/03 LANJUT TINGGAL INPUT MATERIAL TP HARUS PERIZINAN PU, 27/02 OGP AMBIL MATERIAL, 25/02 MASIH MENUNGGU TIANG, 22/2 menunggu material TIANG  11/2 PID Done, PR-PO AMD on going  09/02 CREATE PID, 06/02 hasil zoom dg tsel bisa lanjut, dg kenaikan d bawah 2%, 04/02 DONE EVAL, HOLD, KRENA ADA KENAIKAN BOQ DARI NILAI PLAN SEBESAR 2% DAN CPP 1,3 JT15/01 menunggu jadwal aanwijzing dg mitra 04/02 DONE EVAL, HOLD, KRENA ADA KENAIKAN BOQ DARI NILAI PLAN SEBESAR 2% DAN CPP 1,3 JT, 31/01 PROSES AANWIDJZING, 30/01 MENUNGGU JADWAL AANWIDJZING DG MITRA, (24/1) plan aawijdizng 27/1(21/01) menunggu antrian untuk aanwizjing lapangan, (20/1) MJT setuju (15/1) ORDER DITERIMA 14/1 ,PLAN AANWIJDZING 21 JAN 26 (06/01)order JPP batch-2 2026 ((26/11) ORDER HOLD , FLAGGING "TIDAK LANJUT DARI PED" (25/11 MJT setuju, 24/11 penunjukkan mitra MJT, (14/11) MItra MJS blm ambil pekerjaan baru terkait close pekerjaan lama , LOP juga tidak masuk list optimis close 2025 ( (11/11) Penunjukkan MITRA oleh Procurement 23/10 penunjukan mitra
 14/01 Surat lanjut kerja oleh procurement</v>
      </c>
      <c r="R257" s="228"/>
      <c r="S257" s="11"/>
      <c r="T257" s="11" t="str">
        <f>IFERROR(__xludf.DUMMYFUNCTION("""COMPUTED_VALUE"""),"P1")</f>
        <v>P1</v>
      </c>
      <c r="U257" s="11"/>
      <c r="V257" s="229" t="str">
        <f>IFERROR(__xludf.DUMMYFUNCTION("""COMPUTED_VALUE"""),"TEGAR")</f>
        <v>TEGAR</v>
      </c>
      <c r="W257" s="229"/>
      <c r="X257" s="229" t="str">
        <f>IFERROR(__xludf.DUMMYFUNCTION("""COMPUTED_VALUE"""),"BELUM GOLIVE")</f>
        <v>BELUM GOLIVE</v>
      </c>
      <c r="Y257" s="229"/>
      <c r="Z257" s="229" t="str">
        <f>IFERROR(__xludf.DUMMYFUNCTION("""COMPUTED_VALUE"""),"#N/A")</f>
        <v>#N/A</v>
      </c>
      <c r="AA257" s="229"/>
      <c r="AB257" s="229"/>
      <c r="AC257" s="229"/>
      <c r="AD257" s="232"/>
      <c r="AE257" s="233"/>
      <c r="AF257" s="54"/>
      <c r="AG257" s="54"/>
      <c r="AH257" s="54"/>
      <c r="AI257" s="55" t="str">
        <f t="shared" si="42"/>
        <v/>
      </c>
      <c r="AW257" s="234"/>
      <c r="BP257" s="11"/>
      <c r="BQ257" s="11"/>
      <c r="BR257" s="235"/>
      <c r="BV257" s="158"/>
      <c r="BY257" s="158"/>
      <c r="CB257" s="158"/>
    </row>
    <row r="258" ht="18.0" customHeight="1">
      <c r="A258" s="222">
        <f>IFERROR(__xludf.DUMMYFUNCTION("""COMPUTED_VALUE"""),2026.0)</f>
        <v>2026</v>
      </c>
      <c r="B258" s="221">
        <f>IFERROR(__xludf.DUMMYFUNCTION("""COMPUTED_VALUE"""),1.1457905E7)</f>
        <v>11457905</v>
      </c>
      <c r="C258" s="222" t="str">
        <f>IFERROR(__xludf.DUMMYFUNCTION("""COMPUTED_VALUE"""),"SMB P3I1 MD LINDA OKTORA - 3 LOP")</f>
        <v>SMB P3I1 MD LINDA OKTORA - 3 LOP</v>
      </c>
      <c r="D258" s="222" t="str">
        <f>IFERROR(__xludf.DUMMYFUNCTION("""COMPUTED_VALUE"""),"REGIONAL I")</f>
        <v>REGIONAL I</v>
      </c>
      <c r="E258" s="222" t="str">
        <f>IFERROR(__xludf.DUMMYFUNCTION("""COMPUTED_VALUE"""),"SUMBAR")</f>
        <v>SUMBAR</v>
      </c>
      <c r="F258" s="222" t="str">
        <f>IFERROR(__xludf.DUMMYFUNCTION("""COMPUTED_VALUE"""),"BLS")</f>
        <v>BLS</v>
      </c>
      <c r="G258" s="222" t="str">
        <f>IFERROR(__xludf.DUMMYFUNCTION("""COMPUTED_VALUE"""),"SUMBAGTENG")</f>
        <v>SUMBAGTENG</v>
      </c>
      <c r="H258" s="222" t="str">
        <f>IFERROR(__xludf.DUMMYFUNCTION("""COMPUTED_VALUE"""),"PADANG")</f>
        <v>PADANG</v>
      </c>
      <c r="I258" s="222" t="str">
        <f>IFERROR(__xludf.DUMMYFUNCTION("""COMPUTED_VALUE"""),"Batch 2")</f>
        <v>Batch 2</v>
      </c>
      <c r="J258" s="225">
        <f>IFERROR(__xludf.DUMMYFUNCTION("""COMPUTED_VALUE"""),11.0)</f>
        <v>11</v>
      </c>
      <c r="K258" s="224">
        <f>IFERROR(__xludf.DUMMYFUNCTION("""COMPUTED_VALUE"""),88.0)</f>
        <v>88</v>
      </c>
      <c r="L258" s="226">
        <f>IFERROR(__xludf.DUMMYFUNCTION("""COMPUTED_VALUE"""),1375886.0)</f>
        <v>1375886</v>
      </c>
      <c r="M258" s="227">
        <f>IFERROR(__xludf.DUMMYFUNCTION("""COMPUTED_VALUE"""),1.21077947E8)</f>
        <v>121077947</v>
      </c>
      <c r="N258" s="222" t="str">
        <f>IFERROR(__xludf.DUMMYFUNCTION("""COMPUTED_VALUE"""),"PT ACERO CETHA METALINDO")</f>
        <v>PT ACERO CETHA METALINDO</v>
      </c>
      <c r="O258" s="222" t="str">
        <f>IFERROR(__xludf.DUMMYFUNCTION("""COMPUTED_VALUE"""),"0. DROP")</f>
        <v>0. DROP</v>
      </c>
      <c r="P258" s="222" t="str">
        <f>IFERROR(__xludf.DUMMYFUNCTION("""COMPUTED_VALUE"""),"0.5 DROP TSEL - Acc ED TIF")</f>
        <v>0.5 DROP TSEL - Acc ED TIF</v>
      </c>
      <c r="Q258" s="222" t="str">
        <f>IFERROR(__xludf.DUMMYFUNCTION("""COMPUTED_VALUE"""),"(05/03) kendala mini OLT BLS-FA FULL 07/03 (02/03) proses aanwijziing (26/01) DROP, permintaan tsel (tidak potensial) ")</f>
        <v>(05/03) kendala mini OLT BLS-FA FULL 07/03 (02/03) proses aanwijziing (26/01) DROP, permintaan tsel (tidak potensial) </v>
      </c>
      <c r="R258" s="228"/>
      <c r="S258" s="11"/>
      <c r="T258" s="11"/>
      <c r="U258" s="11"/>
      <c r="V258" s="229" t="str">
        <f>IFERROR(__xludf.DUMMYFUNCTION("""COMPUTED_VALUE"""),"PRAMADIO SEPWILMAN")</f>
        <v>PRAMADIO SEPWILMAN</v>
      </c>
      <c r="W258" s="229" t="str">
        <f>IFERROR(__xludf.DUMMYFUNCTION("""COMPUTED_VALUE"""),"MELKO NARWADI")</f>
        <v>MELKO NARWADI</v>
      </c>
      <c r="X258" s="229" t="str">
        <f>IFERROR(__xludf.DUMMYFUNCTION("""COMPUTED_VALUE"""),"BELUM GOLIVE")</f>
        <v>BELUM GOLIVE</v>
      </c>
      <c r="Y258" s="229"/>
      <c r="Z258" s="229" t="str">
        <f>IFERROR(__xludf.DUMMYFUNCTION("""COMPUTED_VALUE"""),"#N/A")</f>
        <v>#N/A</v>
      </c>
      <c r="AA258" s="229"/>
      <c r="AB258" s="229"/>
      <c r="AC258" s="229"/>
      <c r="AD258" s="232"/>
      <c r="AE258" s="233"/>
      <c r="AF258" s="54"/>
      <c r="AG258" s="54"/>
      <c r="AH258" s="54"/>
      <c r="AI258" s="55" t="str">
        <f t="shared" si="42"/>
        <v/>
      </c>
      <c r="AW258" s="234"/>
      <c r="BP258" s="11"/>
      <c r="BQ258" s="11"/>
      <c r="BR258" s="235"/>
      <c r="BV258" s="158"/>
      <c r="BY258" s="158"/>
      <c r="CB258" s="158"/>
    </row>
    <row r="259" ht="18.0" hidden="1" customHeight="1">
      <c r="A259" s="222">
        <f>IFERROR(__xludf.DUMMYFUNCTION("""COMPUTED_VALUE"""),2026.0)</f>
        <v>2026</v>
      </c>
      <c r="B259" s="221">
        <f>IFERROR(__xludf.DUMMYFUNCTION("""COMPUTED_VALUE"""),1.1921236E7)</f>
        <v>11921236</v>
      </c>
      <c r="C259" s="222" t="str">
        <f>IFERROR(__xludf.DUMMYFUNCTION("""COMPUTED_VALUE"""),"SMS P4I1 PT3 KAG FB D10 GRIYA AGUNG RSD")</f>
        <v>SMS P4I1 PT3 KAG FB D10 GRIYA AGUNG RSD</v>
      </c>
      <c r="D259" s="222" t="str">
        <f>IFERROR(__xludf.DUMMYFUNCTION("""COMPUTED_VALUE"""),"REGIONAL I")</f>
        <v>REGIONAL I</v>
      </c>
      <c r="E259" s="222" t="str">
        <f>IFERROR(__xludf.DUMMYFUNCTION("""COMPUTED_VALUE"""),"SUMSEL")</f>
        <v>SUMSEL</v>
      </c>
      <c r="F259" s="222" t="str">
        <f>IFERROR(__xludf.DUMMYFUNCTION("""COMPUTED_VALUE"""),"KAG")</f>
        <v>KAG</v>
      </c>
      <c r="G259" s="222" t="str">
        <f>IFERROR(__xludf.DUMMYFUNCTION("""COMPUTED_VALUE"""),"SUMBAGSEL")</f>
        <v>SUMBAGSEL</v>
      </c>
      <c r="H259" s="222" t="str">
        <f>IFERROR(__xludf.DUMMYFUNCTION("""COMPUTED_VALUE"""),"PALEMBANG")</f>
        <v>PALEMBANG</v>
      </c>
      <c r="I259" s="222" t="str">
        <f>IFERROR(__xludf.DUMMYFUNCTION("""COMPUTED_VALUE"""),"Batch 2")</f>
        <v>Batch 2</v>
      </c>
      <c r="J259" s="225">
        <f>IFERROR(__xludf.DUMMYFUNCTION("""COMPUTED_VALUE"""),4.0)</f>
        <v>4</v>
      </c>
      <c r="K259" s="224">
        <f>IFERROR(__xludf.DUMMYFUNCTION("""COMPUTED_VALUE"""),32.0)</f>
        <v>32</v>
      </c>
      <c r="L259" s="226">
        <f>IFERROR(__xludf.DUMMYFUNCTION("""COMPUTED_VALUE"""),1372638.0)</f>
        <v>1372638</v>
      </c>
      <c r="M259" s="227">
        <f>IFERROR(__xludf.DUMMYFUNCTION("""COMPUTED_VALUE"""),4.3924413E7)</f>
        <v>43924413</v>
      </c>
      <c r="N259" s="222" t="str">
        <f>IFERROR(__xludf.DUMMYFUNCTION("""COMPUTED_VALUE"""),"PT SARANA MITRA PERSADA")</f>
        <v>PT SARANA MITRA PERSADA</v>
      </c>
      <c r="O259" s="222" t="str">
        <f>IFERROR(__xludf.DUMMYFUNCTION("""COMPUTED_VALUE"""),"7. GOLIVE")</f>
        <v>7. GOLIVE</v>
      </c>
      <c r="P259" s="222" t="str">
        <f>IFERROR(__xludf.DUMMYFUNCTION("""COMPUTED_VALUE"""),"7.2 Golive Full / OA / DONE OTB")</f>
        <v>7.2 Golive Full / OA / DONE OTB</v>
      </c>
      <c r="Q259" s="222" t="str">
        <f>IFERROR(__xludf.DUMMYFUNCTION("""COMPUTED_VALUE"""),"21/04 selesai fisik, data abd untuk golive sdh masuk ek SDI,17/04 DONE PENARIKAN KABEL 13/04 di stop oleh kades dan warga  &amp; meminta TSEL untuk sosialisasi 09/04  proses instalasi  08/4 MATDEL  07/04 DONE INPUT MATERIAL, PLAN 08 APR AMBIL MATERIAL, 06/04 "&amp;"PLAN TGL 6 INPUT MATERIAL, 02/04 OGP INPUT MATERIAL, 31/03 EST KIRIM MATERIAL TGL 6 APRIL, 30/03 MASIH KOORDINASI DG MITRA TERKAIT PENGINPUTAN ULANG MATERIAL, 27/03 INPUT ULANG MATERIAL - MSIH KOORDINASI DG MITRA, 26/03 INPUT ULANG MATERIAL - MSIH KOORDIN"&amp;"ASI DG MITRA, 21/03 DONE PR PO - EST TGL 30 MAR AMBIL MATERIAL, 13/03 MITRA MENGAMBIL MATERIAL EST 30 MAR, 27/02 MITRA MENGAMBIL MATERIAL SETELAH LEBARAN, 26/02 MENUNGGU APPROVE RFC, 25/02 BLM KELUAR RFC,  24/02 BARU SELESAI AMD BUDGET, OGP INPUT MATERIAL"&amp;", 22/2 menunggu material TIANG  20/02 OGP MATDEL - MENUNGGU TIANG KRNA DI GUDANG KOSONG 15/02 DONE INPUT MATERIAL, 12/02 MENUNGGU PR PO, 10/2 perubahan design menunggu confirm dari sales TSEL. , plan Matdel 13 FEB  11/02 ANJUT, PERUBAHAN DESAIN SALES TSEL"&amp;" SUDAH OKE, 06/02 HASIL REVIEW TSEL NEED REDESIGN ACKNOWLEDGE HH, 31/01 menunggu DRM 30/01 DONE EVAL, KONFIRM SALES KARENA DI LAPANGAN MASIH TAHAP PEMBANGUNAN RUMAH, 25/01 DONE AANWIDJZING - PERIZINAN OK, 22/01 AANWIDJZING, (15/1) ORDER DITERIMA 14/1, PLA"&amp;"N AANWIJDZING 22 JAN 26 (06/01)order JPP batch-2 2026 ((14/11)HOLD-  tidak masuk target Optimis 2025 ((08/11) plan ganti mitra , lokasi diluar area pt han sung  (23/10) penunjukan mitra
14/01 penunjukan mitra oleh procurement")</f>
        <v>21/04 selesai fisik, data abd untuk golive sdh masuk ek SDI,17/04 DONE PENARIKAN KABEL 13/04 di stop oleh kades dan warga  &amp; meminta TSEL untuk sosialisasi 09/04  proses instalasi  08/4 MATDEL  07/04 DONE INPUT MATERIAL, PLAN 08 APR AMBIL MATERIAL, 06/04 PLAN TGL 6 INPUT MATERIAL, 02/04 OGP INPUT MATERIAL, 31/03 EST KIRIM MATERIAL TGL 6 APRIL, 30/03 MASIH KOORDINASI DG MITRA TERKAIT PENGINPUTAN ULANG MATERIAL, 27/03 INPUT ULANG MATERIAL - MSIH KOORDINASI DG MITRA, 26/03 INPUT ULANG MATERIAL - MSIH KOORDINASI DG MITRA, 21/03 DONE PR PO - EST TGL 30 MAR AMBIL MATERIAL, 13/03 MITRA MENGAMBIL MATERIAL EST 30 MAR, 27/02 MITRA MENGAMBIL MATERIAL SETELAH LEBARAN, 26/02 MENUNGGU APPROVE RFC, 25/02 BLM KELUAR RFC,  24/02 BARU SELESAI AMD BUDGET, OGP INPUT MATERIAL, 22/2 menunggu material TIANG  20/02 OGP MATDEL - MENUNGGU TIANG KRNA DI GUDANG KOSONG 15/02 DONE INPUT MATERIAL, 12/02 MENUNGGU PR PO, 10/2 perubahan design menunggu confirm dari sales TSEL. , plan Matdel 13 FEB  11/02 ANJUT, PERUBAHAN DESAIN SALES TSEL SUDAH OKE, 06/02 HASIL REVIEW TSEL NEED REDESIGN ACKNOWLEDGE HH, 31/01 menunggu DRM 30/01 DONE EVAL, KONFIRM SALES KARENA DI LAPANGAN MASIH TAHAP PEMBANGUNAN RUMAH, 25/01 DONE AANWIDJZING - PERIZINAN OK, 22/01 AANWIDJZING, (15/1) ORDER DITERIMA 14/1, PLAN AANWIJDZING 22 JAN 26 (06/01)order JPP batch-2 2026 ((14/11)HOLD-  tidak masuk target Optimis 2025 ((08/11) plan ganti mitra , lokasi diluar area pt han sung  (23/10) penunjukan mitra
14/01 penunjukan mitra oleh procurement</v>
      </c>
      <c r="R259" s="228">
        <f>IFERROR(__xludf.DUMMYFUNCTION("""COMPUTED_VALUE"""),46133.0)</f>
        <v>46133</v>
      </c>
      <c r="S259" s="11" t="str">
        <f>IFERROR(__xludf.DUMMYFUNCTION("""COMPUTED_VALUE"""),"APR")</f>
        <v>APR</v>
      </c>
      <c r="T259" s="73" t="str">
        <f>IFERROR(__xludf.DUMMYFUNCTION("""COMPUTED_VALUE"""),"P1")</f>
        <v>P1</v>
      </c>
      <c r="U259" s="11"/>
      <c r="V259" s="229" t="str">
        <f>IFERROR(__xludf.DUMMYFUNCTION("""COMPUTED_VALUE"""),"RENALDO")</f>
        <v>RENALDO</v>
      </c>
      <c r="W259" s="229"/>
      <c r="X259" s="229" t="str">
        <f>IFERROR(__xludf.DUMMYFUNCTION("""COMPUTED_VALUE"""),"GOLIVE")</f>
        <v>GOLIVE</v>
      </c>
      <c r="Y259" s="229" t="str">
        <f>IFERROR(__xludf.DUMMYFUNCTION("""COMPUTED_VALUE"""),"DONE")</f>
        <v>DONE</v>
      </c>
      <c r="Z259" s="229" t="str">
        <f>IFERROR(__xludf.DUMMYFUNCTION("""COMPUTED_VALUE"""),"#N/A")</f>
        <v>#N/A</v>
      </c>
      <c r="AA259" s="229">
        <f>IFERROR(__xludf.DUMMYFUNCTION("""COMPUTED_VALUE"""),4.0)</f>
        <v>4</v>
      </c>
      <c r="AB259" s="229"/>
      <c r="AC259" s="229" t="str">
        <f>IFERROR(__xludf.DUMMYFUNCTION("""COMPUTED_VALUE"""),"8946626#8946631")</f>
        <v>8946626#8946631</v>
      </c>
      <c r="AD259" s="232">
        <f>IFERROR(__xludf.DUMMYFUNCTION("""COMPUTED_VALUE"""),32.0)</f>
        <v>32</v>
      </c>
      <c r="AE259" s="233">
        <f>IFERROR(__xludf.DUMMYFUNCTION("""COMPUTED_VALUE"""),46133.0)</f>
        <v>46133</v>
      </c>
      <c r="AF259" s="54"/>
      <c r="AG259" s="54"/>
      <c r="AH259" s="54">
        <v>46132.0</v>
      </c>
      <c r="AI259" s="55">
        <f t="shared" si="42"/>
        <v>0</v>
      </c>
      <c r="AW259" s="234"/>
      <c r="BP259" s="11"/>
      <c r="BQ259" s="11"/>
      <c r="BR259" s="235"/>
      <c r="BV259" s="158"/>
      <c r="BY259" s="158"/>
      <c r="CB259" s="158"/>
    </row>
    <row r="260" ht="18.0" hidden="1" customHeight="1">
      <c r="A260" s="222">
        <f>IFERROR(__xludf.DUMMYFUNCTION("""COMPUTED_VALUE"""),2026.0)</f>
        <v>2026</v>
      </c>
      <c r="B260" s="221">
        <f>IFERROR(__xludf.DUMMYFUNCTION("""COMPUTED_VALUE"""),1.2367647E7)</f>
        <v>12367647</v>
      </c>
      <c r="C260" s="222" t="str">
        <f>IFERROR(__xludf.DUMMYFUNCTION("""COMPUTED_VALUE"""),"SMS P4I3 PT3 KAG FR D01 D02 JL KODOK")</f>
        <v>SMS P4I3 PT3 KAG FR D01 D02 JL KODOK</v>
      </c>
      <c r="D260" s="222" t="str">
        <f>IFERROR(__xludf.DUMMYFUNCTION("""COMPUTED_VALUE"""),"REGIONAL I")</f>
        <v>REGIONAL I</v>
      </c>
      <c r="E260" s="222" t="str">
        <f>IFERROR(__xludf.DUMMYFUNCTION("""COMPUTED_VALUE"""),"SUMSEL")</f>
        <v>SUMSEL</v>
      </c>
      <c r="F260" s="222" t="str">
        <f>IFERROR(__xludf.DUMMYFUNCTION("""COMPUTED_VALUE"""),"KAG")</f>
        <v>KAG</v>
      </c>
      <c r="G260" s="222" t="str">
        <f>IFERROR(__xludf.DUMMYFUNCTION("""COMPUTED_VALUE"""),"SUMBAGSEL")</f>
        <v>SUMBAGSEL</v>
      </c>
      <c r="H260" s="222" t="str">
        <f>IFERROR(__xludf.DUMMYFUNCTION("""COMPUTED_VALUE"""),"PALEMBANG")</f>
        <v>PALEMBANG</v>
      </c>
      <c r="I260" s="222" t="str">
        <f>IFERROR(__xludf.DUMMYFUNCTION("""COMPUTED_VALUE"""),"Batch 2")</f>
        <v>Batch 2</v>
      </c>
      <c r="J260" s="225">
        <f>IFERROR(__xludf.DUMMYFUNCTION("""COMPUTED_VALUE"""),6.0)</f>
        <v>6</v>
      </c>
      <c r="K260" s="224">
        <f>IFERROR(__xludf.DUMMYFUNCTION("""COMPUTED_VALUE"""),56.0)</f>
        <v>56</v>
      </c>
      <c r="L260" s="226">
        <f>IFERROR(__xludf.DUMMYFUNCTION("""COMPUTED_VALUE"""),1372140.0)</f>
        <v>1372140</v>
      </c>
      <c r="M260" s="227">
        <f>IFERROR(__xludf.DUMMYFUNCTION("""COMPUTED_VALUE"""),7.6839806E7)</f>
        <v>76839806</v>
      </c>
      <c r="N260" s="222" t="str">
        <f>IFERROR(__xludf.DUMMYFUNCTION("""COMPUTED_VALUE"""),"PT DIAN KARYA")</f>
        <v>PT DIAN KARYA</v>
      </c>
      <c r="O260" s="222" t="str">
        <f>IFERROR(__xludf.DUMMYFUNCTION("""COMPUTED_VALUE"""),"4. MATDEL")</f>
        <v>4. MATDEL</v>
      </c>
      <c r="P260" s="222" t="str">
        <f>IFERROR(__xludf.DUMMYFUNCTION("""COMPUTED_VALUE"""),"4.3 Proses Kirim Mateial Kelokasi")</f>
        <v>4.3 Proses Kirim Mateial Kelokasi</v>
      </c>
      <c r="Q260" s="222" t="str">
        <f>IFERROR(__xludf.DUMMYFUNCTION("""COMPUTED_VALUE"""),"27/04 MASIH MENUNGGU PO KABEL KARENA KABEL ADSS12 HABIS DI GUDANG PLG, 22/04 menunggu material kabel adsss-12 , stok gudang habis, 13/04 Krim Material 13 Apr 09/04 plan pengiriman 10 APR 08/04 PROSES KOORDINASI TIM TA DG MITRA TERKAIT PENGAMBILAN MATERIAL"&amp;", 31/03 OGP AMBIL MATERIAL, 30/03 EST BESOK PENGIRIMAN MATERIAL, 28/03 est tgl 30 mar ambil material, 21/03 est tgl 30 mar ambil material, 13/03 OGP INPUT MATERIAL, 07/03 AMD BUDGET, 06/03 OGP PA, 05/03 AMD BUDGET, 04/03 DONE PR PO - OGP INPUT MATERIAL, 0"&amp;"3/03 MASIH MENUNGGU PR PO, 02/03 MASIH MENUNGGU PR PO, 27/02 MASIH MENUNGGU PR PO, 26/02 MENUNGGU PR PO, 24/2  pararel Ijin KADES 22/2  pararel Ijin KADES  18/02 LANJUT PROGRESS, 06/02 HASIL REVIEW TSEL NEED FU ED TIF KENAIKAN CPP 1.3 KE 1.6 TAPI BOQ SAMA"&amp;" (HITUNG ULANG SESUAI PLAN PS 1-16), 03/02 HOLD, nilai boq turun, tetapi cpp 1,8 jt, 20/01 MITRA SMP menolak pekerjan tsb 03/02 HOLD, nilai boq turun, tetapi cpp 1,8 jt, 30/01 EVAL, 23/01 DONE AANWIDJZING, (21/01) menunggu antrian aanwizjing, (20/01) MItr"&amp;"a SMP menolak pekerjaan ini, lokasi ini d alihak ke mitra Dian Karya, (15/1) ORDER DITERIMA 14/1, PLAN AANWIJDZING 22 JAN 26 (06/01)order JPP batch-2 2026 ((14/11)HOLD- tidak masuk target Optimis 2025 (
 14/01 penunjukan mitra oleh procurement")</f>
        <v>27/04 MASIH MENUNGGU PO KABEL KARENA KABEL ADSS12 HABIS DI GUDANG PLG, 22/04 menunggu material kabel adsss-12 , stok gudang habis, 13/04 Krim Material 13 Apr 09/04 plan pengiriman 10 APR 08/04 PROSES KOORDINASI TIM TA DG MITRA TERKAIT PENGAMBILAN MATERIAL, 31/03 OGP AMBIL MATERIAL, 30/03 EST BESOK PENGIRIMAN MATERIAL, 28/03 est tgl 30 mar ambil material, 21/03 est tgl 30 mar ambil material, 13/03 OGP INPUT MATERIAL, 07/03 AMD BUDGET, 06/03 OGP PA, 05/03 AMD BUDGET, 04/03 DONE PR PO - OGP INPUT MATERIAL, 03/03 MASIH MENUNGGU PR PO, 02/03 MASIH MENUNGGU PR PO, 27/02 MASIH MENUNGGU PR PO, 26/02 MENUNGGU PR PO, 24/2  pararel Ijin KADES 22/2  pararel Ijin KADES  18/02 LANJUT PROGRESS, 06/02 HASIL REVIEW TSEL NEED FU ED TIF KENAIKAN CPP 1.3 KE 1.6 TAPI BOQ SAMA (HITUNG ULANG SESUAI PLAN PS 1-16), 03/02 HOLD, nilai boq turun, tetapi cpp 1,8 jt, 20/01 MITRA SMP menolak pekerjan tsb 03/02 HOLD, nilai boq turun, tetapi cpp 1,8 jt, 30/01 EVAL, 23/01 DONE AANWIDJZING, (21/01) menunggu antrian aanwizjing, (20/01) MItra SMP menolak pekerjaan ini, lokasi ini d alihak ke mitra Dian Karya, (15/1) ORDER DITERIMA 14/1, PLAN AANWIJDZING 22 JAN 26 (06/01)order JPP batch-2 2026 ((14/11)HOLD- tidak masuk target Optimis 2025 (
 14/01 penunjukan mitra oleh procurement</v>
      </c>
      <c r="R260" s="228">
        <f>IFERROR(__xludf.DUMMYFUNCTION("""COMPUTED_VALUE"""),46169.0)</f>
        <v>46169</v>
      </c>
      <c r="S260" s="11"/>
      <c r="T260" s="73" t="str">
        <f>IFERROR(__xludf.DUMMYFUNCTION("""COMPUTED_VALUE"""),"P1")</f>
        <v>P1</v>
      </c>
      <c r="U260" s="11"/>
      <c r="V260" s="229" t="str">
        <f>IFERROR(__xludf.DUMMYFUNCTION("""COMPUTED_VALUE"""),"PUTRA")</f>
        <v>PUTRA</v>
      </c>
      <c r="W260" s="229"/>
      <c r="X260" s="229" t="str">
        <f>IFERROR(__xludf.DUMMYFUNCTION("""COMPUTED_VALUE"""),"BELUM GOLIVE")</f>
        <v>BELUM GOLIVE</v>
      </c>
      <c r="Y260" s="229"/>
      <c r="Z260" s="229" t="str">
        <f>IFERROR(__xludf.DUMMYFUNCTION("""COMPUTED_VALUE"""),"#N/A")</f>
        <v>#N/A</v>
      </c>
      <c r="AA260" s="229"/>
      <c r="AB260" s="229"/>
      <c r="AC260" s="229"/>
      <c r="AD260" s="232"/>
      <c r="AE260" s="233"/>
      <c r="AF260" s="54"/>
      <c r="AG260" s="54"/>
      <c r="AH260" s="54">
        <v>46133.0</v>
      </c>
      <c r="AI260" s="55" t="str">
        <f t="shared" si="42"/>
        <v/>
      </c>
      <c r="AW260" s="234"/>
      <c r="BP260" s="11"/>
      <c r="BQ260" s="11"/>
      <c r="BR260" s="235"/>
      <c r="BV260" s="158"/>
      <c r="BY260" s="158"/>
      <c r="CB260" s="158"/>
    </row>
    <row r="261" ht="18.0" customHeight="1">
      <c r="A261" s="222">
        <f>IFERROR(__xludf.DUMMYFUNCTION("""COMPUTED_VALUE"""),2026.0)</f>
        <v>2026</v>
      </c>
      <c r="B261" s="221">
        <f>IFERROR(__xludf.DUMMYFUNCTION("""COMPUTED_VALUE"""),1.1551993E7)</f>
        <v>11551993</v>
      </c>
      <c r="C261" s="222" t="str">
        <f>IFERROR(__xludf.DUMMYFUNCTION("""COMPUTED_VALUE"""),"RKP TSEL PT3 BDS-FW TIBAN MAKMUR")</f>
        <v>RKP TSEL PT3 BDS-FW TIBAN MAKMUR</v>
      </c>
      <c r="D261" s="222" t="str">
        <f>IFERROR(__xludf.DUMMYFUNCTION("""COMPUTED_VALUE"""),"REGIONAL I")</f>
        <v>REGIONAL I</v>
      </c>
      <c r="E261" s="222" t="str">
        <f>IFERROR(__xludf.DUMMYFUNCTION("""COMPUTED_VALUE"""),"RIKEP")</f>
        <v>RIKEP</v>
      </c>
      <c r="F261" s="222" t="str">
        <f>IFERROR(__xludf.DUMMYFUNCTION("""COMPUTED_VALUE"""),"DGS")</f>
        <v>DGS</v>
      </c>
      <c r="G261" s="222" t="str">
        <f>IFERROR(__xludf.DUMMYFUNCTION("""COMPUTED_VALUE"""),"SUMBAGTENG")</f>
        <v>SUMBAGTENG</v>
      </c>
      <c r="H261" s="222" t="str">
        <f>IFERROR(__xludf.DUMMYFUNCTION("""COMPUTED_VALUE"""),"BATAM")</f>
        <v>BATAM</v>
      </c>
      <c r="I261" s="222" t="str">
        <f>IFERROR(__xludf.DUMMYFUNCTION("""COMPUTED_VALUE"""),"Batch 2")</f>
        <v>Batch 2</v>
      </c>
      <c r="J261" s="225">
        <f>IFERROR(__xludf.DUMMYFUNCTION("""COMPUTED_VALUE"""),1.0)</f>
        <v>1</v>
      </c>
      <c r="K261" s="224">
        <f>IFERROR(__xludf.DUMMYFUNCTION("""COMPUTED_VALUE"""),8.0)</f>
        <v>8</v>
      </c>
      <c r="L261" s="226">
        <f>IFERROR(__xludf.DUMMYFUNCTION("""COMPUTED_VALUE"""),1372003.0)</f>
        <v>1372003</v>
      </c>
      <c r="M261" s="227">
        <f>IFERROR(__xludf.DUMMYFUNCTION("""COMPUTED_VALUE"""),1.0976023E7)</f>
        <v>10976023</v>
      </c>
      <c r="N261" s="222" t="str">
        <f>IFERROR(__xludf.DUMMYFUNCTION("""COMPUTED_VALUE"""),"PT MITRA SETIA INDONESIA")</f>
        <v>PT MITRA SETIA INDONESIA</v>
      </c>
      <c r="O261" s="222" t="str">
        <f>IFERROR(__xludf.DUMMYFUNCTION("""COMPUTED_VALUE"""),"2. DONE AANWIJZING")</f>
        <v>2. DONE AANWIJZING</v>
      </c>
      <c r="P261" s="222" t="str">
        <f>IFERROR(__xludf.DUMMYFUNCTION("""COMPUTED_VALUE"""),"2.10 Kendala - Feeder Rusak")</f>
        <v>2.10 Kendala - Feeder Rusak</v>
      </c>
      <c r="Q261" s="222" t="str">
        <f>IFERROR(__xludf.DUMMYFUNCTION("""COMPUTED_VALUE"""),"04/03 Feeder rusak butuh eviden OTDR ulang. 09/02 Feeder rusak. 28/01 Plan survey 29 Jan. 21/01 plan survey minggu depan tgl 26")</f>
        <v>04/03 Feeder rusak butuh eviden OTDR ulang. 09/02 Feeder rusak. 28/01 Plan survey 29 Jan. 21/01 plan survey minggu depan tgl 26</v>
      </c>
      <c r="R261" s="228"/>
      <c r="S261" s="11"/>
      <c r="T261" s="11"/>
      <c r="U261" s="11"/>
      <c r="V261" s="229" t="str">
        <f>IFERROR(__xludf.DUMMYFUNCTION("""COMPUTED_VALUE"""),"GANI PRASTYO")</f>
        <v>GANI PRASTYO</v>
      </c>
      <c r="W261" s="229" t="str">
        <f>IFERROR(__xludf.DUMMYFUNCTION("""COMPUTED_VALUE"""),"LEVITA INDRIYANI")</f>
        <v>LEVITA INDRIYANI</v>
      </c>
      <c r="X261" s="229" t="str">
        <f>IFERROR(__xludf.DUMMYFUNCTION("""COMPUTED_VALUE"""),"BELUM GOLIVE")</f>
        <v>BELUM GOLIVE</v>
      </c>
      <c r="Y261" s="229"/>
      <c r="Z261" s="229" t="str">
        <f>IFERROR(__xludf.DUMMYFUNCTION("""COMPUTED_VALUE"""),"#N/A")</f>
        <v>#N/A</v>
      </c>
      <c r="AA261" s="229"/>
      <c r="AB261" s="229"/>
      <c r="AC261" s="229"/>
      <c r="AD261" s="232"/>
      <c r="AE261" s="233"/>
      <c r="AF261" s="54"/>
      <c r="AG261" s="54"/>
      <c r="AH261" s="54"/>
      <c r="AI261" s="55" t="str">
        <f t="shared" si="42"/>
        <v/>
      </c>
      <c r="AW261" s="234"/>
      <c r="BP261" s="11"/>
      <c r="BQ261" s="11"/>
      <c r="BR261" s="235"/>
      <c r="BV261" s="158"/>
      <c r="BY261" s="158"/>
      <c r="CB261" s="158"/>
    </row>
    <row r="262" ht="18.0" hidden="1" customHeight="1">
      <c r="A262" s="222">
        <f>IFERROR(__xludf.DUMMYFUNCTION("""COMPUTED_VALUE"""),2026.0)</f>
        <v>2026</v>
      </c>
      <c r="B262" s="221">
        <f>IFERROR(__xludf.DUMMYFUNCTION("""COMPUTED_VALUE"""),1.1442348E7)</f>
        <v>11442348</v>
      </c>
      <c r="C262" s="222" t="str">
        <f>IFERROR(__xludf.DUMMYFUNCTION("""COMPUTED_VALUE"""),"SMU PSP-FBE CLUST PINTU LANGIT")</f>
        <v>SMU PSP-FBE CLUST PINTU LANGIT</v>
      </c>
      <c r="D262" s="222" t="str">
        <f>IFERROR(__xludf.DUMMYFUNCTION("""COMPUTED_VALUE"""),"REGIONAL I")</f>
        <v>REGIONAL I</v>
      </c>
      <c r="E262" s="222" t="str">
        <f>IFERROR(__xludf.DUMMYFUNCTION("""COMPUTED_VALUE"""),"SUMUT")</f>
        <v>SUMUT</v>
      </c>
      <c r="F262" s="222" t="str">
        <f>IFERROR(__xludf.DUMMYFUNCTION("""COMPUTED_VALUE"""),"PSP")</f>
        <v>PSP</v>
      </c>
      <c r="G262" s="222" t="str">
        <f>IFERROR(__xludf.DUMMYFUNCTION("""COMPUTED_VALUE"""),"SUMBAGUT")</f>
        <v>SUMBAGUT</v>
      </c>
      <c r="H262" s="222" t="str">
        <f>IFERROR(__xludf.DUMMYFUNCTION("""COMPUTED_VALUE"""),"PADANG SIDEMPUAN")</f>
        <v>PADANG SIDEMPUAN</v>
      </c>
      <c r="I262" s="222" t="str">
        <f>IFERROR(__xludf.DUMMYFUNCTION("""COMPUTED_VALUE"""),"Batch 2")</f>
        <v>Batch 2</v>
      </c>
      <c r="J262" s="225">
        <f>IFERROR(__xludf.DUMMYFUNCTION("""COMPUTED_VALUE"""),7.0)</f>
        <v>7</v>
      </c>
      <c r="K262" s="224">
        <f>IFERROR(__xludf.DUMMYFUNCTION("""COMPUTED_VALUE"""),56.0)</f>
        <v>56</v>
      </c>
      <c r="L262" s="226">
        <f>IFERROR(__xludf.DUMMYFUNCTION("""COMPUTED_VALUE"""),1371224.0)</f>
        <v>1371224</v>
      </c>
      <c r="M262" s="227">
        <f>IFERROR(__xludf.DUMMYFUNCTION("""COMPUTED_VALUE"""),7.6788504E7)</f>
        <v>76788504</v>
      </c>
      <c r="N262" s="222" t="str">
        <f>IFERROR(__xludf.DUMMYFUNCTION("""COMPUTED_VALUE"""),"PT SALTTEK DUMPANG JAYA")</f>
        <v>PT SALTTEK DUMPANG JAYA</v>
      </c>
      <c r="O262" s="222" t="str">
        <f>IFERROR(__xludf.DUMMYFUNCTION("""COMPUTED_VALUE"""),"7. GOLIVE")</f>
        <v>7. GOLIVE</v>
      </c>
      <c r="P262" s="222" t="str">
        <f>IFERROR(__xludf.DUMMYFUNCTION("""COMPUTED_VALUE"""),"7.2 Golive Full / OA / DONE OTB")</f>
        <v>7.2 Golive Full / OA / DONE OTB</v>
      </c>
      <c r="Q262" s="222" t="str">
        <f>IFERROR(__xludf.DUMMYFUNCTION("""COMPUTED_VALUE"""),"3/3 validasi sdi, 2/3 proses abd mancore, 27/2 proses valins, 25/2 terminasi 7 odp plan progres besok 26 feb, 24/2 valins odp,  est submit besok 25 feb, 22/2 sisa  instal odp 7 belum progres, ku 12 (1220 selsai, tiang 23 selesai, 22 feb , instal odp 7 bel"&amp;"um progres, ku 12 (1220 selsai, tiang 23 selesai, 19/2 plan jointer turun kelokasi sabtu 21 feb untuk  instal odp 7 belum progres, ku 12 (1220 selsai, tiang 23 selesai,  16/2 instal odp 7 belum progres, ku 12 (1220 selsai, tiang 23 selesai, 13/2 sisa inst"&amp;"al odp 7, ku12 (1220) selesai, tiang 23 selesai, 11/2 proses tanam tiang, 10/2 plan team turun kelokasi untuk progres rabu 11 feb, 9/2 plan team turun kelokasi untuk progres rabu 11 feb , 6/2 prepair team untuk progres kelokasi, 5/2 prepair team untuk pro"&amp;"gres kelokasi, 3/2 prepair team untuk progres kelokasi, 2/2 prepair team untuk progres kelokasi, 1/2 prepair team untuk progres kelokasi,  30/1 prepair team untuk turn kelokasi, 28/1 menunggu req matrial  27/1 menunggu req matrial 26/1 proses cek cpp , 26"&amp;"/1 proses cek cpp 23/1 menunggu boq kml survey, 22/1 menunggu boq kml survey,  21/1 menunggu boq kml survey, 20/1 menunggu report hasil survey paralel boq kml incloude kebutuhan qe, 19/1 plan survey 21/1,  15/1 plan survey 21/1, 14/1 plan survey 20/1, 13/"&amp;"1 prepair team untuk penjadwalan survey,  (07/01) Persiapan")</f>
        <v>3/3 validasi sdi, 2/3 proses abd mancore, 27/2 proses valins, 25/2 terminasi 7 odp plan progres besok 26 feb, 24/2 valins odp,  est submit besok 25 feb, 22/2 sisa  instal odp 7 belum progres, ku 12 (1220 selsai, tiang 23 selesai, 22 feb , instal odp 7 belum progres, ku 12 (1220 selsai, tiang 23 selesai, 19/2 plan jointer turun kelokasi sabtu 21 feb untuk  instal odp 7 belum progres, ku 12 (1220 selsai, tiang 23 selesai,  16/2 instal odp 7 belum progres, ku 12 (1220 selsai, tiang 23 selesai, 13/2 sisa instal odp 7, ku12 (1220) selesai, tiang 23 selesai, 11/2 proses tanam tiang, 10/2 plan team turun kelokasi untuk progres rabu 11 feb, 9/2 plan team turun kelokasi untuk progres rabu 11 feb , 6/2 prepair team untuk progres kelokasi, 5/2 prepair team untuk progres kelokasi, 3/2 prepair team untuk progres kelokasi, 2/2 prepair team untuk progres kelokasi, 1/2 prepair team untuk progres kelokasi,  30/1 prepair team untuk turn kelokasi, 28/1 menunggu req matrial  27/1 menunggu req matrial 26/1 proses cek cpp , 26/1 proses cek cpp 23/1 menunggu boq kml survey, 22/1 menunggu boq kml survey,  21/1 menunggu boq kml survey, 20/1 menunggu report hasil survey paralel boq kml incloude kebutuhan qe, 19/1 plan survey 21/1,  15/1 plan survey 21/1, 14/1 plan survey 20/1, 13/1 prepair team untuk penjadwalan survey,  (07/01) Persiapan</v>
      </c>
      <c r="R262" s="228">
        <f>IFERROR(__xludf.DUMMYFUNCTION("""COMPUTED_VALUE"""),46084.0)</f>
        <v>46084</v>
      </c>
      <c r="S262" s="11" t="str">
        <f>IFERROR(__xludf.DUMMYFUNCTION("""COMPUTED_VALUE"""),"MAR")</f>
        <v>MAR</v>
      </c>
      <c r="T262" s="11"/>
      <c r="U262" s="11" t="str">
        <f>IFERROR(__xludf.DUMMYFUNCTION("""COMPUTED_VALUE"""),"W03-1469/2025")</f>
        <v>W03-1469/2025</v>
      </c>
      <c r="V262" s="229"/>
      <c r="W262" s="229"/>
      <c r="X262" s="229" t="str">
        <f>IFERROR(__xludf.DUMMYFUNCTION("""COMPUTED_VALUE"""),"GOLIVE")</f>
        <v>GOLIVE</v>
      </c>
      <c r="Y262" s="229" t="str">
        <f>IFERROR(__xludf.DUMMYFUNCTION("""COMPUTED_VALUE"""),"DONE")</f>
        <v>DONE</v>
      </c>
      <c r="Z262" s="229" t="str">
        <f>IFERROR(__xludf.DUMMYFUNCTION("""COMPUTED_VALUE"""),"#N/A")</f>
        <v>#N/A</v>
      </c>
      <c r="AA262" s="229">
        <f>IFERROR(__xludf.DUMMYFUNCTION("""COMPUTED_VALUE"""),7.0)</f>
        <v>7</v>
      </c>
      <c r="AB262" s="229"/>
      <c r="AC262" s="229" t="str">
        <f>IFERROR(__xludf.DUMMYFUNCTION("""COMPUTED_VALUE"""),"9171037#9171042")</f>
        <v>9171037#9171042</v>
      </c>
      <c r="AD262" s="232">
        <f>IFERROR(__xludf.DUMMYFUNCTION("""COMPUTED_VALUE"""),56.0)</f>
        <v>56</v>
      </c>
      <c r="AE262" s="233">
        <f>IFERROR(__xludf.DUMMYFUNCTION("""COMPUTED_VALUE"""),46084.0)</f>
        <v>46084</v>
      </c>
      <c r="AF262" s="54"/>
      <c r="AG262" s="54"/>
      <c r="AH262" s="54">
        <v>46084.0</v>
      </c>
      <c r="AI262" s="55">
        <f t="shared" si="42"/>
        <v>0</v>
      </c>
      <c r="AW262" s="234"/>
      <c r="BP262" s="11"/>
      <c r="BQ262" s="11"/>
      <c r="BR262" s="235"/>
      <c r="BV262" s="158"/>
      <c r="BY262" s="158"/>
      <c r="CB262" s="158"/>
    </row>
    <row r="263" ht="18.0" hidden="1" customHeight="1">
      <c r="A263" s="222">
        <f>IFERROR(__xludf.DUMMYFUNCTION("""COMPUTED_VALUE"""),2026.0)</f>
        <v>2026</v>
      </c>
      <c r="B263" s="221">
        <f>IFERROR(__xludf.DUMMYFUNCTION("""COMPUTED_VALUE"""),1.1325999E7)</f>
        <v>11325999</v>
      </c>
      <c r="C263" s="222" t="str">
        <f>IFERROR(__xludf.DUMMYFUNCTION("""COMPUTED_VALUE"""),"MDN PT3 TMU-FAE ODP PRIORITAS")</f>
        <v>MDN PT3 TMU-FAE ODP PRIORITAS</v>
      </c>
      <c r="D263" s="222" t="str">
        <f>IFERROR(__xludf.DUMMYFUNCTION("""COMPUTED_VALUE"""),"REGIONAL I")</f>
        <v>REGIONAL I</v>
      </c>
      <c r="E263" s="222" t="str">
        <f>IFERROR(__xludf.DUMMYFUNCTION("""COMPUTED_VALUE"""),"MEDAN")</f>
        <v>MEDAN</v>
      </c>
      <c r="F263" s="222" t="str">
        <f>IFERROR(__xludf.DUMMYFUNCTION("""COMPUTED_VALUE"""),"TMU")</f>
        <v>TMU</v>
      </c>
      <c r="G263" s="222" t="str">
        <f>IFERROR(__xludf.DUMMYFUNCTION("""COMPUTED_VALUE"""),"SUMBAGUT")</f>
        <v>SUMBAGUT</v>
      </c>
      <c r="H263" s="222" t="str">
        <f>IFERROR(__xludf.DUMMYFUNCTION("""COMPUTED_VALUE"""),"MEDAN")</f>
        <v>MEDAN</v>
      </c>
      <c r="I263" s="222" t="str">
        <f>IFERROR(__xludf.DUMMYFUNCTION("""COMPUTED_VALUE"""),"Batch 2")</f>
        <v>Batch 2</v>
      </c>
      <c r="J263" s="225">
        <f>IFERROR(__xludf.DUMMYFUNCTION("""COMPUTED_VALUE"""),4.0)</f>
        <v>4</v>
      </c>
      <c r="K263" s="224">
        <f>IFERROR(__xludf.DUMMYFUNCTION("""COMPUTED_VALUE"""),32.0)</f>
        <v>32</v>
      </c>
      <c r="L263" s="226">
        <f>IFERROR(__xludf.DUMMYFUNCTION("""COMPUTED_VALUE"""),1333891.0)</f>
        <v>1333891</v>
      </c>
      <c r="M263" s="227">
        <f>IFERROR(__xludf.DUMMYFUNCTION("""COMPUTED_VALUE"""),4.2684498E7)</f>
        <v>42684498</v>
      </c>
      <c r="N263" s="222" t="str">
        <f>IFERROR(__xludf.DUMMYFUNCTION("""COMPUTED_VALUE"""),"PT GLOBAL KARYA WANDA")</f>
        <v>PT GLOBAL KARYA WANDA</v>
      </c>
      <c r="O263" s="222" t="str">
        <f>IFERROR(__xludf.DUMMYFUNCTION("""COMPUTED_VALUE"""),"0. DROP")</f>
        <v>0. DROP</v>
      </c>
      <c r="P263" s="222" t="str">
        <f>IFERROR(__xludf.DUMMYFUNCTION("""COMPUTED_VALUE"""),"0.4 CPP Tinggi Acc ED TIF")</f>
        <v>0.4 CPP Tinggi Acc ED TIF</v>
      </c>
      <c r="Q263" s="222" t="str">
        <f>IFERROR(__xludf.DUMMYFUNCTION("""COMPUTED_VALUE"""),"14/11 Feeder redeti
16/10 Feeder Redaman Tinggi
(24/09) Perizinan Warga dan Kades / Lurah
(23/09) Perizinan Warga dan Kades / Lurah
15/09 proses aanwijzing")</f>
        <v>14/11 Feeder redeti
16/10 Feeder Redaman Tinggi
(24/09) Perizinan Warga dan Kades / Lurah
(23/09) Perizinan Warga dan Kades / Lurah
15/09 proses aanwijzing</v>
      </c>
      <c r="R263" s="228"/>
      <c r="S263" s="11"/>
      <c r="T263" s="11"/>
      <c r="U263" s="11"/>
      <c r="V263" s="229"/>
      <c r="W263" s="229"/>
      <c r="X263" s="229" t="str">
        <f>IFERROR(__xludf.DUMMYFUNCTION("""COMPUTED_VALUE"""),"BELUM GOLIVE")</f>
        <v>BELUM GOLIVE</v>
      </c>
      <c r="Y263" s="229"/>
      <c r="Z263" s="229" t="str">
        <f>IFERROR(__xludf.DUMMYFUNCTION("""COMPUTED_VALUE"""),"#N/A")</f>
        <v>#N/A</v>
      </c>
      <c r="AA263" s="229"/>
      <c r="AB263" s="229"/>
      <c r="AC263" s="229"/>
      <c r="AD263" s="232"/>
      <c r="AE263" s="233"/>
      <c r="AF263" s="54" t="str">
        <f>IFERROR(__xludf.DUMMYFUNCTION("""COMPUTED_VALUE"""),"Draft BA DROP")</f>
        <v>Draft BA DROP</v>
      </c>
      <c r="AG263" s="54"/>
      <c r="AH263" s="54"/>
      <c r="AI263" s="55" t="str">
        <f t="shared" si="42"/>
        <v/>
      </c>
      <c r="AW263" s="234"/>
      <c r="BP263" s="11"/>
      <c r="BQ263" s="11"/>
      <c r="BR263" s="235"/>
      <c r="BV263" s="158"/>
      <c r="BY263" s="158"/>
      <c r="CB263" s="158"/>
    </row>
    <row r="264" ht="18.0" customHeight="1">
      <c r="A264" s="222">
        <f>IFERROR(__xludf.DUMMYFUNCTION("""COMPUTED_VALUE"""),2026.0)</f>
        <v>2026</v>
      </c>
      <c r="B264" s="221">
        <f>IFERROR(__xludf.DUMMYFUNCTION("""COMPUTED_VALUE"""),1.1138971E7)</f>
        <v>11138971</v>
      </c>
      <c r="C264" s="222" t="str">
        <f>IFERROR(__xludf.DUMMYFUNCTION("""COMPUTED_VALUE"""),"SMB P3I1 Villa Mutiara Residence V LBB")</f>
        <v>SMB P3I1 Villa Mutiara Residence V LBB</v>
      </c>
      <c r="D264" s="222" t="str">
        <f>IFERROR(__xludf.DUMMYFUNCTION("""COMPUTED_VALUE"""),"REGIONAL I")</f>
        <v>REGIONAL I</v>
      </c>
      <c r="E264" s="222" t="str">
        <f>IFERROR(__xludf.DUMMYFUNCTION("""COMPUTED_VALUE"""),"SUMBAR")</f>
        <v>SUMBAR</v>
      </c>
      <c r="F264" s="222" t="str">
        <f>IFERROR(__xludf.DUMMYFUNCTION("""COMPUTED_VALUE"""),"LBB")</f>
        <v>LBB</v>
      </c>
      <c r="G264" s="222" t="str">
        <f>IFERROR(__xludf.DUMMYFUNCTION("""COMPUTED_VALUE"""),"SUMBAGTENG")</f>
        <v>SUMBAGTENG</v>
      </c>
      <c r="H264" s="222" t="str">
        <f>IFERROR(__xludf.DUMMYFUNCTION("""COMPUTED_VALUE"""),"BUKIT TINGGI")</f>
        <v>BUKIT TINGGI</v>
      </c>
      <c r="I264" s="222" t="str">
        <f>IFERROR(__xludf.DUMMYFUNCTION("""COMPUTED_VALUE"""),"Batch 2")</f>
        <v>Batch 2</v>
      </c>
      <c r="J264" s="225">
        <f>IFERROR(__xludf.DUMMYFUNCTION("""COMPUTED_VALUE"""),2.0)</f>
        <v>2</v>
      </c>
      <c r="K264" s="224">
        <f>IFERROR(__xludf.DUMMYFUNCTION("""COMPUTED_VALUE"""),16.0)</f>
        <v>16</v>
      </c>
      <c r="L264" s="226">
        <f>IFERROR(__xludf.DUMMYFUNCTION("""COMPUTED_VALUE"""),1370492.0)</f>
        <v>1370492</v>
      </c>
      <c r="M264" s="227">
        <f>IFERROR(__xludf.DUMMYFUNCTION("""COMPUTED_VALUE"""),2.192787E7)</f>
        <v>21927870</v>
      </c>
      <c r="N264" s="222" t="str">
        <f>IFERROR(__xludf.DUMMYFUNCTION("""COMPUTED_VALUE"""),"PT TIGA AKSES MANDIRI")</f>
        <v>PT TIGA AKSES MANDIRI</v>
      </c>
      <c r="O264" s="222" t="str">
        <f>IFERROR(__xludf.DUMMYFUNCTION("""COMPUTED_VALUE"""),"8. UJI TERIMA")</f>
        <v>8. UJI TERIMA</v>
      </c>
      <c r="P264" s="222" t="str">
        <f>IFERROR(__xludf.DUMMYFUNCTION("""COMPUTED_VALUE"""),"8.1 Proses UT")</f>
        <v>8.1 Proses UT</v>
      </c>
      <c r="Q264" s="222" t="str">
        <f>IFERROR(__xludf.DUMMYFUNCTION("""COMPUTED_VALUE"""),"(07/01) Persiapan")</f>
        <v>(07/01) Persiapan</v>
      </c>
      <c r="R264" s="228"/>
      <c r="S264" s="11"/>
      <c r="T264" s="11"/>
      <c r="U264" s="11" t="str">
        <f>IFERROR(__xludf.DUMMYFUNCTION("""COMPUTED_VALUE"""),"W10-1801/2025 25KT03R158-0570")</f>
        <v>W10-1801/2025 25KT03R158-0570</v>
      </c>
      <c r="V264" s="229" t="str">
        <f>IFERROR(__xludf.DUMMYFUNCTION("""COMPUTED_VALUE"""),"JANUAR RIZAL")</f>
        <v>JANUAR RIZAL</v>
      </c>
      <c r="W264" s="229" t="str">
        <f>IFERROR(__xludf.DUMMYFUNCTION("""COMPUTED_VALUE"""),"MELKO NARWADI")</f>
        <v>MELKO NARWADI</v>
      </c>
      <c r="X264" s="229" t="str">
        <f>IFERROR(__xludf.DUMMYFUNCTION("""COMPUTED_VALUE"""),"GOLIVE")</f>
        <v>GOLIVE</v>
      </c>
      <c r="Y264" s="229" t="str">
        <f>IFERROR(__xludf.DUMMYFUNCTION("""COMPUTED_VALUE"""),"DONE")</f>
        <v>DONE</v>
      </c>
      <c r="Z264" s="229" t="str">
        <f>IFERROR(__xludf.DUMMYFUNCTION("""COMPUTED_VALUE"""),"#N/A")</f>
        <v>#N/A</v>
      </c>
      <c r="AA264" s="229">
        <f>IFERROR(__xludf.DUMMYFUNCTION("""COMPUTED_VALUE"""),2.0)</f>
        <v>2</v>
      </c>
      <c r="AB264" s="229"/>
      <c r="AC264" s="229" t="str">
        <f>IFERROR(__xludf.DUMMYFUNCTION("""COMPUTED_VALUE"""),"8932368#8932379")</f>
        <v>8932368#8932379</v>
      </c>
      <c r="AD264" s="232">
        <f>IFERROR(__xludf.DUMMYFUNCTION("""COMPUTED_VALUE"""),16.0)</f>
        <v>16</v>
      </c>
      <c r="AE264" s="233">
        <f>IFERROR(__xludf.DUMMYFUNCTION("""COMPUTED_VALUE"""),46030.0)</f>
        <v>46030</v>
      </c>
      <c r="AF264" s="54"/>
      <c r="AG264" s="54"/>
      <c r="AH264" s="54"/>
      <c r="AI264" s="55" t="str">
        <f t="shared" si="42"/>
        <v/>
      </c>
      <c r="AW264" s="234"/>
      <c r="BP264" s="11"/>
      <c r="BQ264" s="11"/>
      <c r="BR264" s="235"/>
      <c r="BV264" s="158"/>
      <c r="BY264" s="158"/>
      <c r="CB264" s="158"/>
    </row>
    <row r="265" ht="18.0" hidden="1" customHeight="1">
      <c r="A265" s="222">
        <f>IFERROR(__xludf.DUMMYFUNCTION("""COMPUTED_VALUE"""),2026.0)</f>
        <v>2026</v>
      </c>
      <c r="B265" s="221">
        <f>IFERROR(__xludf.DUMMYFUNCTION("""COMPUTED_VALUE"""),1.1263853E7)</f>
        <v>11263853</v>
      </c>
      <c r="C265" s="222" t="str">
        <f>IFERROR(__xludf.DUMMYFUNCTION("""COMPUTED_VALUE"""),"ACH PT3 BNN-FL D03 MUTIARA TIRO")</f>
        <v>ACH PT3 BNN-FL D03 MUTIARA TIRO</v>
      </c>
      <c r="D265" s="222" t="str">
        <f>IFERROR(__xludf.DUMMYFUNCTION("""COMPUTED_VALUE"""),"REGIONAL I")</f>
        <v>REGIONAL I</v>
      </c>
      <c r="E265" s="222" t="str">
        <f>IFERROR(__xludf.DUMMYFUNCTION("""COMPUTED_VALUE"""),"ACEH")</f>
        <v>ACEH</v>
      </c>
      <c r="F265" s="222" t="str">
        <f>IFERROR(__xludf.DUMMYFUNCTION("""COMPUTED_VALUE"""),"BNN")</f>
        <v>BNN</v>
      </c>
      <c r="G265" s="222" t="str">
        <f>IFERROR(__xludf.DUMMYFUNCTION("""COMPUTED_VALUE"""),"SUMBAGUT")</f>
        <v>SUMBAGUT</v>
      </c>
      <c r="H265" s="222" t="str">
        <f>IFERROR(__xludf.DUMMYFUNCTION("""COMPUTED_VALUE"""),"BANDA ACEH")</f>
        <v>BANDA ACEH</v>
      </c>
      <c r="I265" s="222" t="str">
        <f>IFERROR(__xludf.DUMMYFUNCTION("""COMPUTED_VALUE"""),"Batch 2")</f>
        <v>Batch 2</v>
      </c>
      <c r="J265" s="225">
        <f>IFERROR(__xludf.DUMMYFUNCTION("""COMPUTED_VALUE"""),23.0)</f>
        <v>23</v>
      </c>
      <c r="K265" s="224">
        <f>IFERROR(__xludf.DUMMYFUNCTION("""COMPUTED_VALUE"""),184.0)</f>
        <v>184</v>
      </c>
      <c r="L265" s="226">
        <f>IFERROR(__xludf.DUMMYFUNCTION("""COMPUTED_VALUE"""),1370422.0)</f>
        <v>1370422</v>
      </c>
      <c r="M265" s="227">
        <f>IFERROR(__xludf.DUMMYFUNCTION("""COMPUTED_VALUE"""),2.52157581E8)</f>
        <v>252157581</v>
      </c>
      <c r="N265" s="222" t="str">
        <f>IFERROR(__xludf.DUMMYFUNCTION("""COMPUTED_VALUE"""),"PT TRIPOLA PANATA")</f>
        <v>PT TRIPOLA PANATA</v>
      </c>
      <c r="O265" s="222" t="str">
        <f>IFERROR(__xludf.DUMMYFUNCTION("""COMPUTED_VALUE"""),"7. GOLIVE")</f>
        <v>7. GOLIVE</v>
      </c>
      <c r="P265" s="222" t="str">
        <f>IFERROR(__xludf.DUMMYFUNCTION("""COMPUTED_VALUE"""),"7.2 Golive Full / OA / DONE OTB")</f>
        <v>7.2 Golive Full / OA / DONE OTB</v>
      </c>
      <c r="Q265" s="222" t="str">
        <f>IFERROR(__xludf.DUMMYFUNCTION("""COMPUTED_VALUE"""),"(13/04) Terminasi ODP (08/04) Penarikan Kabel (06/04) Tanam Tiang  (03/03) po material (07/01) Persiapan")</f>
        <v>(13/04) Terminasi ODP (08/04) Penarikan Kabel (06/04) Tanam Tiang  (03/03) po material (07/01) Persiapan</v>
      </c>
      <c r="R265" s="228">
        <f>IFERROR(__xludf.DUMMYFUNCTION("""COMPUTED_VALUE"""),46129.0)</f>
        <v>46129</v>
      </c>
      <c r="S265" s="11"/>
      <c r="T265" s="73"/>
      <c r="U265" s="11"/>
      <c r="V265" s="229"/>
      <c r="W265" s="229" t="str">
        <f>IFERROR(__xludf.DUMMYFUNCTION("""COMPUTED_VALUE"""),"#N/A")</f>
        <v>#N/A</v>
      </c>
      <c r="X265" s="229" t="str">
        <f>IFERROR(__xludf.DUMMYFUNCTION("""COMPUTED_VALUE"""),"GOLIVE")</f>
        <v>GOLIVE</v>
      </c>
      <c r="Y265" s="229" t="str">
        <f>IFERROR(__xludf.DUMMYFUNCTION("""COMPUTED_VALUE"""),"DONE")</f>
        <v>DONE</v>
      </c>
      <c r="Z265" s="229" t="str">
        <f>IFERROR(__xludf.DUMMYFUNCTION("""COMPUTED_VALUE"""),"#N/A")</f>
        <v>#N/A</v>
      </c>
      <c r="AA265" s="229">
        <f>IFERROR(__xludf.DUMMYFUNCTION("""COMPUTED_VALUE"""),23.0)</f>
        <v>23</v>
      </c>
      <c r="AB265" s="229"/>
      <c r="AC265" s="229" t="str">
        <f>IFERROR(__xludf.DUMMYFUNCTION("""COMPUTED_VALUE"""),"9286754#9286759")</f>
        <v>9286754#9286759</v>
      </c>
      <c r="AD265" s="232">
        <f>IFERROR(__xludf.DUMMYFUNCTION("""COMPUTED_VALUE"""),192.0)</f>
        <v>192</v>
      </c>
      <c r="AE265" s="233">
        <f>IFERROR(__xludf.DUMMYFUNCTION("""COMPUTED_VALUE"""),46131.0)</f>
        <v>46131</v>
      </c>
      <c r="AF265" s="54"/>
      <c r="AG265" s="54"/>
      <c r="AH265" s="54">
        <v>46129.0</v>
      </c>
      <c r="AI265" s="55">
        <f t="shared" si="42"/>
        <v>-2</v>
      </c>
      <c r="AW265" s="234"/>
      <c r="BP265" s="11"/>
      <c r="BQ265" s="11"/>
      <c r="BR265" s="235"/>
      <c r="BV265" s="158"/>
      <c r="BY265" s="158"/>
      <c r="CB265" s="158"/>
    </row>
    <row r="266" ht="18.0" hidden="1" customHeight="1">
      <c r="A266" s="222">
        <f>IFERROR(__xludf.DUMMYFUNCTION("""COMPUTED_VALUE"""),2026.0)</f>
        <v>2026</v>
      </c>
      <c r="B266" s="221">
        <f>IFERROR(__xludf.DUMMYFUNCTION("""COMPUTED_VALUE"""),1.126655E7)</f>
        <v>11266550</v>
      </c>
      <c r="C266" s="222" t="str">
        <f>IFERROR(__xludf.DUMMYFUNCTION("""COMPUTED_VALUE"""),"ACH PT3 BPD-FK EXP.D02 KOTA BAHAGIA 2")</f>
        <v>ACH PT3 BPD-FK EXP.D02 KOTA BAHAGIA 2</v>
      </c>
      <c r="D266" s="222" t="str">
        <f>IFERROR(__xludf.DUMMYFUNCTION("""COMPUTED_VALUE"""),"REGIONAL I")</f>
        <v>REGIONAL I</v>
      </c>
      <c r="E266" s="222" t="str">
        <f>IFERROR(__xludf.DUMMYFUNCTION("""COMPUTED_VALUE"""),"ACEH")</f>
        <v>ACEH</v>
      </c>
      <c r="F266" s="222" t="str">
        <f>IFERROR(__xludf.DUMMYFUNCTION("""COMPUTED_VALUE"""),"BPD")</f>
        <v>BPD</v>
      </c>
      <c r="G266" s="222" t="str">
        <f>IFERROR(__xludf.DUMMYFUNCTION("""COMPUTED_VALUE"""),"SUMBAGUT")</f>
        <v>SUMBAGUT</v>
      </c>
      <c r="H266" s="222" t="str">
        <f>IFERROR(__xludf.DUMMYFUNCTION("""COMPUTED_VALUE"""),"BANDA ACEH")</f>
        <v>BANDA ACEH</v>
      </c>
      <c r="I266" s="222" t="str">
        <f>IFERROR(__xludf.DUMMYFUNCTION("""COMPUTED_VALUE"""),"Batch 2")</f>
        <v>Batch 2</v>
      </c>
      <c r="J266" s="225">
        <f>IFERROR(__xludf.DUMMYFUNCTION("""COMPUTED_VALUE"""),2.0)</f>
        <v>2</v>
      </c>
      <c r="K266" s="224">
        <f>IFERROR(__xludf.DUMMYFUNCTION("""COMPUTED_VALUE"""),16.0)</f>
        <v>16</v>
      </c>
      <c r="L266" s="226">
        <f>IFERROR(__xludf.DUMMYFUNCTION("""COMPUTED_VALUE"""),1369268.0)</f>
        <v>1369268</v>
      </c>
      <c r="M266" s="227">
        <f>IFERROR(__xludf.DUMMYFUNCTION("""COMPUTED_VALUE"""),2.1908286E7)</f>
        <v>21908286</v>
      </c>
      <c r="N266" s="222" t="str">
        <f>IFERROR(__xludf.DUMMYFUNCTION("""COMPUTED_VALUE"""),"PT ASWA KARYA DIFA")</f>
        <v>PT ASWA KARYA DIFA</v>
      </c>
      <c r="O266" s="222" t="str">
        <f>IFERROR(__xludf.DUMMYFUNCTION("""COMPUTED_VALUE"""),"0. DROP")</f>
        <v>0. DROP</v>
      </c>
      <c r="P266" s="222" t="str">
        <f>IFERROR(__xludf.DUMMYFUNCTION("""COMPUTED_VALUE"""),"0.2 Tidak Dapat Izin Warga/Kades/Lurah/Developer")</f>
        <v>0.2 Tidak Dapat Izin Warga/Kades/Lurah/Developer</v>
      </c>
      <c r="Q266" s="222" t="str">
        <f>IFERROR(__xludf.DUMMYFUNCTION("""COMPUTED_VALUE"""),"(19/02) Dependensi LOP ACH PT4 BPD-FK BLANG DALAM_MD Comcase Warga (07/01) Persiapan")</f>
        <v>(19/02) Dependensi LOP ACH PT4 BPD-FK BLANG DALAM_MD Comcase Warga (07/01) Persiapan</v>
      </c>
      <c r="R266" s="228"/>
      <c r="S266" s="11"/>
      <c r="T266" s="11"/>
      <c r="U266" s="11"/>
      <c r="V266" s="229"/>
      <c r="W266" s="229"/>
      <c r="X266" s="229" t="str">
        <f>IFERROR(__xludf.DUMMYFUNCTION("""COMPUTED_VALUE"""),"BELUM GOLIVE")</f>
        <v>BELUM GOLIVE</v>
      </c>
      <c r="Y266" s="229"/>
      <c r="Z266" s="229" t="str">
        <f>IFERROR(__xludf.DUMMYFUNCTION("""COMPUTED_VALUE"""),"#N/A")</f>
        <v>#N/A</v>
      </c>
      <c r="AA266" s="229"/>
      <c r="AB266" s="229"/>
      <c r="AC266" s="229"/>
      <c r="AD266" s="232"/>
      <c r="AE266" s="233"/>
      <c r="AF266" s="54" t="str">
        <f>IFERROR(__xludf.DUMMYFUNCTION("""COMPUTED_VALUE"""),"Draft BA DROP")</f>
        <v>Draft BA DROP</v>
      </c>
      <c r="AG266" s="54"/>
      <c r="AH266" s="54"/>
      <c r="AI266" s="55" t="str">
        <f t="shared" si="42"/>
        <v/>
      </c>
      <c r="AW266" s="234"/>
      <c r="BP266" s="11"/>
      <c r="BQ266" s="11"/>
      <c r="BR266" s="235"/>
      <c r="BV266" s="158"/>
      <c r="BY266" s="158"/>
      <c r="CB266" s="158"/>
    </row>
    <row r="267" ht="18.0" hidden="1" customHeight="1">
      <c r="A267" s="222">
        <f>IFERROR(__xludf.DUMMYFUNCTION("""COMPUTED_VALUE"""),2026.0)</f>
        <v>2026</v>
      </c>
      <c r="B267" s="221">
        <f>IFERROR(__xludf.DUMMYFUNCTION("""COMPUTED_VALUE"""),1.1272026E7)</f>
        <v>11272026</v>
      </c>
      <c r="C267" s="222" t="str">
        <f>IFERROR(__xludf.DUMMYFUNCTION("""COMPUTED_VALUE"""),"MDN PT3 P1I1 SPM-FCE JL.BANGUN SARI")</f>
        <v>MDN PT3 P1I1 SPM-FCE JL.BANGUN SARI</v>
      </c>
      <c r="D267" s="222" t="str">
        <f>IFERROR(__xludf.DUMMYFUNCTION("""COMPUTED_VALUE"""),"REGIONAL I")</f>
        <v>REGIONAL I</v>
      </c>
      <c r="E267" s="222" t="str">
        <f>IFERROR(__xludf.DUMMYFUNCTION("""COMPUTED_VALUE"""),"MEDAN")</f>
        <v>MEDAN</v>
      </c>
      <c r="F267" s="222" t="str">
        <f>IFERROR(__xludf.DUMMYFUNCTION("""COMPUTED_VALUE"""),"SPM")</f>
        <v>SPM</v>
      </c>
      <c r="G267" s="222" t="str">
        <f>IFERROR(__xludf.DUMMYFUNCTION("""COMPUTED_VALUE"""),"SUMBAGUT")</f>
        <v>SUMBAGUT</v>
      </c>
      <c r="H267" s="222" t="str">
        <f>IFERROR(__xludf.DUMMYFUNCTION("""COMPUTED_VALUE"""),"MEDAN")</f>
        <v>MEDAN</v>
      </c>
      <c r="I267" s="222" t="str">
        <f>IFERROR(__xludf.DUMMYFUNCTION("""COMPUTED_VALUE"""),"Batch 2")</f>
        <v>Batch 2</v>
      </c>
      <c r="J267" s="225">
        <f>IFERROR(__xludf.DUMMYFUNCTION("""COMPUTED_VALUE"""),4.0)</f>
        <v>4</v>
      </c>
      <c r="K267" s="224">
        <f>IFERROR(__xludf.DUMMYFUNCTION("""COMPUTED_VALUE"""),32.0)</f>
        <v>32</v>
      </c>
      <c r="L267" s="226">
        <f>IFERROR(__xludf.DUMMYFUNCTION("""COMPUTED_VALUE"""),1731496.0)</f>
        <v>1731496</v>
      </c>
      <c r="M267" s="227">
        <f>IFERROR(__xludf.DUMMYFUNCTION("""COMPUTED_VALUE"""),5.5407845E7)</f>
        <v>55407845</v>
      </c>
      <c r="N267" s="222" t="str">
        <f>IFERROR(__xludf.DUMMYFUNCTION("""COMPUTED_VALUE"""),"PT SINAR KEPRI SEJAHTERA")</f>
        <v>PT SINAR KEPRI SEJAHTERA</v>
      </c>
      <c r="O267" s="222" t="str">
        <f>IFERROR(__xludf.DUMMYFUNCTION("""COMPUTED_VALUE"""),"0. DROP")</f>
        <v>0. DROP</v>
      </c>
      <c r="P267" s="222" t="str">
        <f>IFERROR(__xludf.DUMMYFUNCTION("""COMPUTED_VALUE"""),"0.4 CPP Tinggi Acc ED TIF")</f>
        <v>0.4 CPP Tinggi Acc ED TIF</v>
      </c>
      <c r="Q267" s="222" t="str">
        <f>IFERROR(__xludf.DUMMYFUNCTION("""COMPUTED_VALUE"""),"5/11 Feeder Habis
15/09 proses aanwijzing")</f>
        <v>5/11 Feeder Habis
15/09 proses aanwijzing</v>
      </c>
      <c r="R267" s="228"/>
      <c r="S267" s="11"/>
      <c r="T267" s="11"/>
      <c r="U267" s="11"/>
      <c r="V267" s="229"/>
      <c r="W267" s="229"/>
      <c r="X267" s="229" t="str">
        <f>IFERROR(__xludf.DUMMYFUNCTION("""COMPUTED_VALUE"""),"BELUM GOLIVE")</f>
        <v>BELUM GOLIVE</v>
      </c>
      <c r="Y267" s="229"/>
      <c r="Z267" s="229" t="str">
        <f>IFERROR(__xludf.DUMMYFUNCTION("""COMPUTED_VALUE"""),"#N/A")</f>
        <v>#N/A</v>
      </c>
      <c r="AA267" s="229"/>
      <c r="AB267" s="229"/>
      <c r="AC267" s="229"/>
      <c r="AD267" s="232"/>
      <c r="AE267" s="233"/>
      <c r="AF267" s="54" t="str">
        <f>IFERROR(__xludf.DUMMYFUNCTION("""COMPUTED_VALUE"""),"Draft BA DROP")</f>
        <v>Draft BA DROP</v>
      </c>
      <c r="AG267" s="54"/>
      <c r="AH267" s="54"/>
      <c r="AI267" s="55" t="str">
        <f t="shared" si="42"/>
        <v/>
      </c>
      <c r="AW267" s="234"/>
      <c r="BP267" s="11"/>
      <c r="BQ267" s="11"/>
      <c r="BR267" s="235"/>
      <c r="BV267" s="158"/>
      <c r="BY267" s="158"/>
      <c r="CB267" s="158"/>
    </row>
    <row r="268" ht="18.0" hidden="1" customHeight="1">
      <c r="A268" s="222">
        <f>IFERROR(__xludf.DUMMYFUNCTION("""COMPUTED_VALUE"""),2026.0)</f>
        <v>2026</v>
      </c>
      <c r="B268" s="221">
        <f>IFERROR(__xludf.DUMMYFUNCTION("""COMPUTED_VALUE"""),1.1518004E7)</f>
        <v>11518004</v>
      </c>
      <c r="C268" s="222" t="str">
        <f>IFERROR(__xludf.DUMMYFUNCTION("""COMPUTED_VALUE"""),"SMS P3I1 PT4 LHT FXX DESA MUARA SALING")</f>
        <v>SMS P3I1 PT4 LHT FXX DESA MUARA SALING</v>
      </c>
      <c r="D268" s="222" t="str">
        <f>IFERROR(__xludf.DUMMYFUNCTION("""COMPUTED_VALUE"""),"REGIONAL I")</f>
        <v>REGIONAL I</v>
      </c>
      <c r="E268" s="222" t="str">
        <f>IFERROR(__xludf.DUMMYFUNCTION("""COMPUTED_VALUE"""),"SUMSEL")</f>
        <v>SUMSEL</v>
      </c>
      <c r="F268" s="222" t="str">
        <f>IFERROR(__xludf.DUMMYFUNCTION("""COMPUTED_VALUE"""),"LHT")</f>
        <v>LHT</v>
      </c>
      <c r="G268" s="222" t="str">
        <f>IFERROR(__xludf.DUMMYFUNCTION("""COMPUTED_VALUE"""),"SUMBAGSEL")</f>
        <v>SUMBAGSEL</v>
      </c>
      <c r="H268" s="222" t="str">
        <f>IFERROR(__xludf.DUMMYFUNCTION("""COMPUTED_VALUE"""),"BENGKULU")</f>
        <v>BENGKULU</v>
      </c>
      <c r="I268" s="222" t="str">
        <f>IFERROR(__xludf.DUMMYFUNCTION("""COMPUTED_VALUE"""),"Batch 2")</f>
        <v>Batch 2</v>
      </c>
      <c r="J268" s="225">
        <f>IFERROR(__xludf.DUMMYFUNCTION("""COMPUTED_VALUE"""),20.0)</f>
        <v>20</v>
      </c>
      <c r="K268" s="224">
        <f>IFERROR(__xludf.DUMMYFUNCTION("""COMPUTED_VALUE"""),152.0)</f>
        <v>152</v>
      </c>
      <c r="L268" s="226">
        <f>IFERROR(__xludf.DUMMYFUNCTION("""COMPUTED_VALUE"""),1369004.0)</f>
        <v>1369004</v>
      </c>
      <c r="M268" s="227">
        <f>IFERROR(__xludf.DUMMYFUNCTION("""COMPUTED_VALUE"""),2.08088502E8)</f>
        <v>208088502</v>
      </c>
      <c r="N268" s="222" t="str">
        <f>IFERROR(__xludf.DUMMYFUNCTION("""COMPUTED_VALUE"""),"PT GITA PRIMA TAMBA PERKASA")</f>
        <v>PT GITA PRIMA TAMBA PERKASA</v>
      </c>
      <c r="O268" s="222" t="str">
        <f>IFERROR(__xludf.DUMMYFUNCTION("""COMPUTED_VALUE"""),"3. PERIZINAN")</f>
        <v>3. PERIZINAN</v>
      </c>
      <c r="P268" s="222" t="str">
        <f>IFERROR(__xludf.DUMMYFUNCTION("""COMPUTED_VALUE"""),"3.1 Submit permohon ke PU")</f>
        <v>3.1 Submit permohon ke PU</v>
      </c>
      <c r="Q268" s="222" t="str">
        <f>IFERROR(__xludf.DUMMYFUNCTION("""COMPUTED_VALUE"""),"16/04 proses draf surat perizinan PU 08/04 Proses submit Perizinan PU 26/03 proses pergantian mitra dri raharja ke GPTP, 25/03 PROGRESS UPDATE BOQ DAN KML SETELAH AANWIDJZING - MASIH MENUNGGU INFO TSEL MENGENAI PENGURANGAN ODP,  16/03 HASIL AANWIDJZING BI"&amp;"SA DIKERJAKAN TAPI PERLU PERIZINAN KE PU NASIONAL, 12/03 DONE AANWIDJZING, 10/03 PROGRESS AANWIJDZING ULANG, 09/03 DIALIHKAN KE MITRA GPTP, 09/03 DATA UPDATE BLM DI KIRIM MITRA, 06/03 SDH DI FU TERUS TP BELUM ADA INFO DARI MITRA, 02/03 SDH DI FU TERUS TP "&amp;"BELUM ADA INFO DARI MITRA, 27/02 masih menunggu hasil perhitungan QE dan review TIF 22/2  menunggu hasil perhitungan QE dan review TIF  22/02 PROSES PERIZINAN, 15/02 AANWIDJZING PENDING - BLM IZIN KADES KRNA SEDANG DILUAR KOTA, 10/02 DONE AANWIDJZING - MI"&amp;"TRA BELUM KIRIM HASIL AANWIDJZING, 6/2 plan aanwijdzing 8 feb 04/02 PROSES AANWIDJZING, (28/01) belum dpt update dri tim mitra kapan untuk aawniziing ke lapangan,  (21/01) menunggu antrian untuk aanwizjing, (15/1) ORDER DITERIMA MITRA 14/1, masih menunngu"&amp;" confirm- kepastian 19 jan (06/01)order JPP batch-2 2026 ((14/11)HOLD-  tidak masuk target Optimis 2025 (12/11 DRM 10/11 mitra TP ditunjuk sebagai mitra LOP ini  04/11 mitra TP ditunjuk sebagai mitra LOP ini 3/11 mitra TPP ditunjuk sebagai mitra LOP ini 2"&amp;"3/10 belum di lakukan oleh mitra ke lokasi
15/10 plan aanwiznig tgl 17/10
(08/10) menunggu jadwal aanwijizng
(01/10) menunggu jadwal aanwijizng
(19/09) pejadwalan aanwijzing
14/01 sudah penunjukan mitra oleh procurement")</f>
        <v>16/04 proses draf surat perizinan PU 08/04 Proses submit Perizinan PU 26/03 proses pergantian mitra dri raharja ke GPTP, 25/03 PROGRESS UPDATE BOQ DAN KML SETELAH AANWIDJZING - MASIH MENUNGGU INFO TSEL MENGENAI PENGURANGAN ODP,  16/03 HASIL AANWIDJZING BISA DIKERJAKAN TAPI PERLU PERIZINAN KE PU NASIONAL, 12/03 DONE AANWIDJZING, 10/03 PROGRESS AANWIJDZING ULANG, 09/03 DIALIHKAN KE MITRA GPTP, 09/03 DATA UPDATE BLM DI KIRIM MITRA, 06/03 SDH DI FU TERUS TP BELUM ADA INFO DARI MITRA, 02/03 SDH DI FU TERUS TP BELUM ADA INFO DARI MITRA, 27/02 masih menunggu hasil perhitungan QE dan review TIF 22/2  menunggu hasil perhitungan QE dan review TIF  22/02 PROSES PERIZINAN, 15/02 AANWIDJZING PENDING - BLM IZIN KADES KRNA SEDANG DILUAR KOTA, 10/02 DONE AANWIDJZING - MITRA BELUM KIRIM HASIL AANWIDJZING, 6/2 plan aanwijdzing 8 feb 04/02 PROSES AANWIDJZING, (28/01) belum dpt update dri tim mitra kapan untuk aawniziing ke lapangan,  (21/01) menunggu antrian untuk aanwizjing, (15/1) ORDER DITERIMA MITRA 14/1, masih menunngu confirm- kepastian 19 jan (06/01)order JPP batch-2 2026 ((14/11)HOLD-  tidak masuk target Optimis 2025 (12/11 DRM 10/11 mitra TP ditunjuk sebagai mitra LOP ini  04/11 mitra TP ditunjuk sebagai mitra LOP ini 3/11 mitra TPP ditunjuk sebagai mitra LOP ini 23/10 belum di lakukan oleh mitra ke lokasi
15/10 plan aanwiznig tgl 17/10
(08/10) menunggu jadwal aanwijizng
(01/10) menunggu jadwal aanwijizng
(19/09) pejadwalan aanwijzing
14/01 sudah penunjukan mitra oleh procurement</v>
      </c>
      <c r="R268" s="228"/>
      <c r="S268" s="11"/>
      <c r="T268" s="11" t="str">
        <f>IFERROR(__xludf.DUMMYFUNCTION("""COMPUTED_VALUE"""),"P1")</f>
        <v>P1</v>
      </c>
      <c r="U268" s="11"/>
      <c r="V268" s="229" t="str">
        <f>IFERROR(__xludf.DUMMYFUNCTION("""COMPUTED_VALUE"""),"PUTRA")</f>
        <v>PUTRA</v>
      </c>
      <c r="W268" s="229"/>
      <c r="X268" s="229" t="str">
        <f>IFERROR(__xludf.DUMMYFUNCTION("""COMPUTED_VALUE"""),"BELUM GOLIVE")</f>
        <v>BELUM GOLIVE</v>
      </c>
      <c r="Y268" s="229"/>
      <c r="Z268" s="229"/>
      <c r="AA268" s="229"/>
      <c r="AB268" s="229"/>
      <c r="AC268" s="229"/>
      <c r="AD268" s="232"/>
      <c r="AE268" s="233"/>
      <c r="AF268" s="54"/>
      <c r="AG268" s="54"/>
      <c r="AH268" s="54"/>
      <c r="AI268" s="55" t="str">
        <f t="shared" si="42"/>
        <v/>
      </c>
      <c r="AW268" s="234"/>
      <c r="BP268" s="11"/>
      <c r="BQ268" s="11"/>
      <c r="BR268" s="235"/>
      <c r="BV268" s="158"/>
      <c r="BY268" s="158"/>
      <c r="CB268" s="158"/>
    </row>
    <row r="269" ht="18.0" customHeight="1">
      <c r="A269" s="222">
        <f>IFERROR(__xludf.DUMMYFUNCTION("""COMPUTED_VALUE"""),2026.0)</f>
        <v>2026</v>
      </c>
      <c r="B269" s="221">
        <f>IFERROR(__xludf.DUMMYFUNCTION("""COMPUTED_VALUE"""),1.1051474E7)</f>
        <v>11051474</v>
      </c>
      <c r="C269" s="222" t="str">
        <f>IFERROR(__xludf.DUMMYFUNCTION("""COMPUTED_VALUE"""),"RKP PT3 JPPTSEL PNI-FAE SUNNY BAY PIAYU")</f>
        <v>RKP PT3 JPPTSEL PNI-FAE SUNNY BAY PIAYU</v>
      </c>
      <c r="D269" s="222" t="str">
        <f>IFERROR(__xludf.DUMMYFUNCTION("""COMPUTED_VALUE"""),"REGIONAL I")</f>
        <v>REGIONAL I</v>
      </c>
      <c r="E269" s="222" t="str">
        <f>IFERROR(__xludf.DUMMYFUNCTION("""COMPUTED_VALUE"""),"RIKEP")</f>
        <v>RIKEP</v>
      </c>
      <c r="F269" s="222" t="str">
        <f>IFERROR(__xludf.DUMMYFUNCTION("""COMPUTED_VALUE"""),"PNI")</f>
        <v>PNI</v>
      </c>
      <c r="G269" s="222" t="str">
        <f>IFERROR(__xludf.DUMMYFUNCTION("""COMPUTED_VALUE"""),"SUMBAGTENG")</f>
        <v>SUMBAGTENG</v>
      </c>
      <c r="H269" s="222" t="str">
        <f>IFERROR(__xludf.DUMMYFUNCTION("""COMPUTED_VALUE"""),"BATAM")</f>
        <v>BATAM</v>
      </c>
      <c r="I269" s="222" t="str">
        <f>IFERROR(__xludf.DUMMYFUNCTION("""COMPUTED_VALUE"""),"Batch 2")</f>
        <v>Batch 2</v>
      </c>
      <c r="J269" s="225">
        <f>IFERROR(__xludf.DUMMYFUNCTION("""COMPUTED_VALUE"""),5.0)</f>
        <v>5</v>
      </c>
      <c r="K269" s="224">
        <f>IFERROR(__xludf.DUMMYFUNCTION("""COMPUTED_VALUE"""),40.0)</f>
        <v>40</v>
      </c>
      <c r="L269" s="226">
        <f>IFERROR(__xludf.DUMMYFUNCTION("""COMPUTED_VALUE"""),1368962.0)</f>
        <v>1368962</v>
      </c>
      <c r="M269" s="227">
        <f>IFERROR(__xludf.DUMMYFUNCTION("""COMPUTED_VALUE"""),5.4758458E7)</f>
        <v>54758458</v>
      </c>
      <c r="N269" s="222" t="str">
        <f>IFERROR(__xludf.DUMMYFUNCTION("""COMPUTED_VALUE"""),"SWAKELOLA")</f>
        <v>SWAKELOLA</v>
      </c>
      <c r="O269" s="222" t="str">
        <f>IFERROR(__xludf.DUMMYFUNCTION("""COMPUTED_VALUE"""),"0. DROP")</f>
        <v>0. DROP</v>
      </c>
      <c r="P269" s="222" t="str">
        <f>IFERROR(__xludf.DUMMYFUNCTION("""COMPUTED_VALUE"""),"0.2 Tidak Dapat Izin Warga/Kades/Lurah/Developer")</f>
        <v>0.2 Tidak Dapat Izin Warga/Kades/Lurah/Developer</v>
      </c>
      <c r="Q269" s="222" t="str">
        <f>IFERROR(__xludf.DUMMYFUNCTION("""COMPUTED_VALUE"""),"28/03 izin di tolak karena developer sudah bekerja sama dengan provider NETSOLUTION. 04/03 Peralihan mitra karena MP PT Global visindo sudah fokus ke tematik lain. 09/02 SPK NOK dari TSEL ke dev. 21/01 Proses pengajuan SPK dari TSEL ke dveloper")</f>
        <v>28/03 izin di tolak karena developer sudah bekerja sama dengan provider NETSOLUTION. 04/03 Peralihan mitra karena MP PT Global visindo sudah fokus ke tematik lain. 09/02 SPK NOK dari TSEL ke dev. 21/01 Proses pengajuan SPK dari TSEL ke dveloper</v>
      </c>
      <c r="R269" s="228"/>
      <c r="S269" s="11"/>
      <c r="T269" s="11" t="str">
        <f>IFERROR(__xludf.DUMMYFUNCTION("""COMPUTED_VALUE"""),"P1")</f>
        <v>P1</v>
      </c>
      <c r="U269" s="11"/>
      <c r="V269" s="229" t="str">
        <f>IFERROR(__xludf.DUMMYFUNCTION("""COMPUTED_VALUE"""),"GANI PRASTYO")</f>
        <v>GANI PRASTYO</v>
      </c>
      <c r="W269" s="229" t="str">
        <f>IFERROR(__xludf.DUMMYFUNCTION("""COMPUTED_VALUE"""),"LEVITA INDRIYANI")</f>
        <v>LEVITA INDRIYANI</v>
      </c>
      <c r="X269" s="229" t="str">
        <f>IFERROR(__xludf.DUMMYFUNCTION("""COMPUTED_VALUE"""),"BELUM GOLIVE")</f>
        <v>BELUM GOLIVE</v>
      </c>
      <c r="Y269" s="229"/>
      <c r="Z269" s="229" t="str">
        <f>IFERROR(__xludf.DUMMYFUNCTION("""COMPUTED_VALUE"""),"#N/A")</f>
        <v>#N/A</v>
      </c>
      <c r="AA269" s="229"/>
      <c r="AB269" s="229"/>
      <c r="AC269" s="229"/>
      <c r="AD269" s="232"/>
      <c r="AE269" s="233"/>
      <c r="AF269" s="54"/>
      <c r="AG269" s="54"/>
      <c r="AH269" s="54"/>
      <c r="AI269" s="55" t="str">
        <f t="shared" si="42"/>
        <v/>
      </c>
      <c r="AW269" s="234"/>
      <c r="BP269" s="11"/>
      <c r="BQ269" s="11"/>
      <c r="BR269" s="235"/>
      <c r="BV269" s="158"/>
      <c r="BY269" s="158"/>
      <c r="CB269" s="158"/>
    </row>
    <row r="270" ht="18.0" hidden="1" customHeight="1">
      <c r="A270" s="222">
        <f>IFERROR(__xludf.DUMMYFUNCTION("""COMPUTED_VALUE"""),2026.0)</f>
        <v>2026</v>
      </c>
      <c r="B270" s="221">
        <f>IFERROR(__xludf.DUMMYFUNCTION("""COMPUTED_VALUE"""),1.1282339E7)</f>
        <v>11282339</v>
      </c>
      <c r="C270" s="222" t="str">
        <f>IFERROR(__xludf.DUMMYFUNCTION("""COMPUTED_VALUE"""),"MDN PT3 CTD-FV KOMP WHITE HOUSE GARDEN")</f>
        <v>MDN PT3 CTD-FV KOMP WHITE HOUSE GARDEN</v>
      </c>
      <c r="D270" s="222" t="str">
        <f>IFERROR(__xludf.DUMMYFUNCTION("""COMPUTED_VALUE"""),"REGIONAL I")</f>
        <v>REGIONAL I</v>
      </c>
      <c r="E270" s="222" t="str">
        <f>IFERROR(__xludf.DUMMYFUNCTION("""COMPUTED_VALUE"""),"MEDAN")</f>
        <v>MEDAN</v>
      </c>
      <c r="F270" s="222" t="str">
        <f>IFERROR(__xludf.DUMMYFUNCTION("""COMPUTED_VALUE"""),"CTD")</f>
        <v>CTD</v>
      </c>
      <c r="G270" s="222" t="str">
        <f>IFERROR(__xludf.DUMMYFUNCTION("""COMPUTED_VALUE"""),"SUMBAGUT")</f>
        <v>SUMBAGUT</v>
      </c>
      <c r="H270" s="222" t="str">
        <f>IFERROR(__xludf.DUMMYFUNCTION("""COMPUTED_VALUE"""),"MEDAN")</f>
        <v>MEDAN</v>
      </c>
      <c r="I270" s="222" t="str">
        <f>IFERROR(__xludf.DUMMYFUNCTION("""COMPUTED_VALUE"""),"Batch 2")</f>
        <v>Batch 2</v>
      </c>
      <c r="J270" s="225">
        <f>IFERROR(__xludf.DUMMYFUNCTION("""COMPUTED_VALUE"""),17.0)</f>
        <v>17</v>
      </c>
      <c r="K270" s="224">
        <f>IFERROR(__xludf.DUMMYFUNCTION("""COMPUTED_VALUE"""),136.0)</f>
        <v>136</v>
      </c>
      <c r="L270" s="226">
        <f>IFERROR(__xludf.DUMMYFUNCTION("""COMPUTED_VALUE"""),1368667.0)</f>
        <v>1368667</v>
      </c>
      <c r="M270" s="227">
        <f>IFERROR(__xludf.DUMMYFUNCTION("""COMPUTED_VALUE"""),1.86138691E8)</f>
        <v>186138691</v>
      </c>
      <c r="N270" s="222" t="str">
        <f>IFERROR(__xludf.DUMMYFUNCTION("""COMPUTED_VALUE"""),"PT GLOBAL KARYA WANDA")</f>
        <v>PT GLOBAL KARYA WANDA</v>
      </c>
      <c r="O270" s="222" t="str">
        <f>IFERROR(__xludf.DUMMYFUNCTION("""COMPUTED_VALUE"""),"0. DROP")</f>
        <v>0. DROP</v>
      </c>
      <c r="P270" s="222" t="str">
        <f>IFERROR(__xludf.DUMMYFUNCTION("""COMPUTED_VALUE"""),"0.4 CPP Tinggi Acc ED TIF")</f>
        <v>0.4 CPP Tinggi Acc ED TIF</v>
      </c>
      <c r="Q270" s="222" t="str">
        <f>IFERROR(__xludf.DUMMYFUNCTION("""COMPUTED_VALUE"""),"11/02 Feeder tidak tembus (07/01) Persiapan")</f>
        <v>11/02 Feeder tidak tembus (07/01) Persiapan</v>
      </c>
      <c r="R270" s="228"/>
      <c r="S270" s="11"/>
      <c r="T270" s="11"/>
      <c r="U270" s="11"/>
      <c r="V270" s="229"/>
      <c r="W270" s="229"/>
      <c r="X270" s="229" t="str">
        <f>IFERROR(__xludf.DUMMYFUNCTION("""COMPUTED_VALUE"""),"BELUM GOLIVE")</f>
        <v>BELUM GOLIVE</v>
      </c>
      <c r="Y270" s="229"/>
      <c r="Z270" s="229" t="str">
        <f>IFERROR(__xludf.DUMMYFUNCTION("""COMPUTED_VALUE"""),"#N/A")</f>
        <v>#N/A</v>
      </c>
      <c r="AA270" s="229"/>
      <c r="AB270" s="229"/>
      <c r="AC270" s="229"/>
      <c r="AD270" s="232"/>
      <c r="AE270" s="233"/>
      <c r="AF270" s="54" t="str">
        <f>IFERROR(__xludf.DUMMYFUNCTION("""COMPUTED_VALUE"""),"Draft BA DROP")</f>
        <v>Draft BA DROP</v>
      </c>
      <c r="AG270" s="54"/>
      <c r="AH270" s="54"/>
      <c r="AI270" s="55" t="str">
        <f t="shared" si="42"/>
        <v/>
      </c>
      <c r="AW270" s="234"/>
      <c r="BP270" s="11"/>
      <c r="BQ270" s="11"/>
      <c r="BR270" s="235"/>
      <c r="BV270" s="158"/>
      <c r="BY270" s="158"/>
      <c r="CB270" s="158"/>
    </row>
    <row r="271" ht="18.0" hidden="1" customHeight="1">
      <c r="A271" s="222">
        <f>IFERROR(__xludf.DUMMYFUNCTION("""COMPUTED_VALUE"""),2026.0)</f>
        <v>2026</v>
      </c>
      <c r="B271" s="221">
        <f>IFERROR(__xludf.DUMMYFUNCTION("""COMPUTED_VALUE"""),1.2090781E7)</f>
        <v>12090781</v>
      </c>
      <c r="C271" s="222" t="str">
        <f>IFERROR(__xludf.DUMMYFUNCTION("""COMPUTED_VALUE"""),"JBI-PT3-MBN-FM-ID549317")</f>
        <v>JBI-PT3-MBN-FM-ID549317</v>
      </c>
      <c r="D271" s="222" t="str">
        <f>IFERROR(__xludf.DUMMYFUNCTION("""COMPUTED_VALUE"""),"REGIONAL I")</f>
        <v>REGIONAL I</v>
      </c>
      <c r="E271" s="222" t="str">
        <f>IFERROR(__xludf.DUMMYFUNCTION("""COMPUTED_VALUE"""),"JAMBI")</f>
        <v>JAMBI</v>
      </c>
      <c r="F271" s="222" t="str">
        <f>IFERROR(__xludf.DUMMYFUNCTION("""COMPUTED_VALUE"""),"MBN")</f>
        <v>MBN</v>
      </c>
      <c r="G271" s="222" t="str">
        <f>IFERROR(__xludf.DUMMYFUNCTION("""COMPUTED_VALUE"""),"SUMBAGSEL")</f>
        <v>SUMBAGSEL</v>
      </c>
      <c r="H271" s="222" t="str">
        <f>IFERROR(__xludf.DUMMYFUNCTION("""COMPUTED_VALUE"""),"JAMBI")</f>
        <v>JAMBI</v>
      </c>
      <c r="I271" s="222" t="str">
        <f>IFERROR(__xludf.DUMMYFUNCTION("""COMPUTED_VALUE"""),"Batch 2")</f>
        <v>Batch 2</v>
      </c>
      <c r="J271" s="225">
        <f>IFERROR(__xludf.DUMMYFUNCTION("""COMPUTED_VALUE"""),4.0)</f>
        <v>4</v>
      </c>
      <c r="K271" s="224">
        <f>IFERROR(__xludf.DUMMYFUNCTION("""COMPUTED_VALUE"""),32.0)</f>
        <v>32</v>
      </c>
      <c r="L271" s="226">
        <f>IFERROR(__xludf.DUMMYFUNCTION("""COMPUTED_VALUE"""),1368330.0)</f>
        <v>1368330</v>
      </c>
      <c r="M271" s="227">
        <f>IFERROR(__xludf.DUMMYFUNCTION("""COMPUTED_VALUE"""),4.3786545E7)</f>
        <v>43786545</v>
      </c>
      <c r="N271" s="222" t="str">
        <f>IFERROR(__xludf.DUMMYFUNCTION("""COMPUTED_VALUE"""),"PT TRIPUTRA ANDALAN")</f>
        <v>PT TRIPUTRA ANDALAN</v>
      </c>
      <c r="O271" s="222" t="str">
        <f>IFERROR(__xludf.DUMMYFUNCTION("""COMPUTED_VALUE"""),"6. FINISH INSTALASI")</f>
        <v>6. FINISH INSTALASI</v>
      </c>
      <c r="P271" s="222" t="str">
        <f>IFERROR(__xludf.DUMMYFUNCTION("""COMPUTED_VALUE"""),"6.6 Kendala - QE Feeder/Distribusi")</f>
        <v>6.6 Kendala - QE Feeder/Distribusi</v>
      </c>
      <c r="Q271" s="222" t="str">
        <f>IFERROR(__xludf.DUMMYFUNCTION("""COMPUTED_VALUE"""),"21/4 terkait QE, perlu  REDESIGN QE nya dan pengecekan QE feeder plan 13 Apr.  09/04 masih menunggu Approval HO TIF terkait QE 9 April  06/04 Hari ini 6  April pengajuan QE ke TIF (25/03) Selesai fisik kendala feeder rusak 16/03 Penarikan kabel (05/03) Pe"&amp;"njadwalan ulang Manja tgl 06 22/2 Distop karena perizinan KADES (16/2)plan ganti mitra , triputra tidak jelas (6/2) mitraTriputra kendala Biaya- 9 Feb Tidak ada Info mitra maka ganti mitra lain    (12/1) menunggu penjadwalan ulang perizinan lurah, PLAN 17"&amp;" JAN (06/01)order JPP batch-2 2026 (17/11 masih menunggu perizinan lurah 10/11 menunggu perizinan lurah 6/11 prepare tim (3/11) Input Material (15/10) Create PID 08/10 Done Aanwijzing 06/10 Penjadwalan aanwijzing (16/09) Mapping mitra")</f>
        <v>21/4 terkait QE, perlu  REDESIGN QE nya dan pengecekan QE feeder plan 13 Apr.  09/04 masih menunggu Approval HO TIF terkait QE 9 April  06/04 Hari ini 6  April pengajuan QE ke TIF (25/03) Selesai fisik kendala feeder rusak 16/03 Penarikan kabel (05/03) Penjadwalan ulang Manja tgl 06 22/2 Distop karena perizinan KADES (16/2)plan ganti mitra , triputra tidak jelas (6/2) mitraTriputra kendala Biaya- 9 Feb Tidak ada Info mitra maka ganti mitra lain    (12/1) menunggu penjadwalan ulang perizinan lurah, PLAN 17 JAN (06/01)order JPP batch-2 2026 (17/11 masih menunggu perizinan lurah 10/11 menunggu perizinan lurah 6/11 prepare tim (3/11) Input Material (15/10) Create PID 08/10 Done Aanwijzing 06/10 Penjadwalan aanwijzing (16/09) Mapping mitra</v>
      </c>
      <c r="R271" s="228">
        <f>IFERROR(__xludf.DUMMYFUNCTION("""COMPUTED_VALUE"""),46141.0)</f>
        <v>46141</v>
      </c>
      <c r="S271" s="11"/>
      <c r="T271" s="11"/>
      <c r="U271" s="11"/>
      <c r="V271" s="229"/>
      <c r="W271" s="229"/>
      <c r="X271" s="229" t="str">
        <f>IFERROR(__xludf.DUMMYFUNCTION("""COMPUTED_VALUE"""),"BELUM GOLIVE")</f>
        <v>BELUM GOLIVE</v>
      </c>
      <c r="Y271" s="229"/>
      <c r="Z271" s="229" t="str">
        <f>IFERROR(__xludf.DUMMYFUNCTION("""COMPUTED_VALUE"""),"#N/A")</f>
        <v>#N/A</v>
      </c>
      <c r="AA271" s="229"/>
      <c r="AB271" s="229"/>
      <c r="AC271" s="229"/>
      <c r="AD271" s="232"/>
      <c r="AE271" s="233"/>
      <c r="AF271" s="54"/>
      <c r="AG271" s="54"/>
      <c r="AH271" s="54"/>
      <c r="AI271" s="55" t="str">
        <f t="shared" si="42"/>
        <v/>
      </c>
      <c r="AW271" s="234"/>
      <c r="BP271" s="11"/>
      <c r="BQ271" s="11"/>
      <c r="BR271" s="235"/>
      <c r="BV271" s="158"/>
      <c r="BY271" s="158"/>
      <c r="CB271" s="158"/>
    </row>
    <row r="272" ht="18.0" hidden="1" customHeight="1">
      <c r="A272" s="222">
        <f>IFERROR(__xludf.DUMMYFUNCTION("""COMPUTED_VALUE"""),2026.0)</f>
        <v>2026</v>
      </c>
      <c r="B272" s="221">
        <f>IFERROR(__xludf.DUMMYFUNCTION("""COMPUTED_VALUE"""),1.237732E7)</f>
        <v>12377320</v>
      </c>
      <c r="C272" s="222" t="str">
        <f>IFERROR(__xludf.DUMMYFUNCTION("""COMPUTED_VALUE"""),"JBI-PT3-MAB-FZ-UNIT 6 KUAMANG")</f>
        <v>JBI-PT3-MAB-FZ-UNIT 6 KUAMANG</v>
      </c>
      <c r="D272" s="222" t="str">
        <f>IFERROR(__xludf.DUMMYFUNCTION("""COMPUTED_VALUE"""),"REGIONAL I")</f>
        <v>REGIONAL I</v>
      </c>
      <c r="E272" s="222" t="str">
        <f>IFERROR(__xludf.DUMMYFUNCTION("""COMPUTED_VALUE"""),"JAMBI")</f>
        <v>JAMBI</v>
      </c>
      <c r="F272" s="222" t="str">
        <f>IFERROR(__xludf.DUMMYFUNCTION("""COMPUTED_VALUE"""),"MAB")</f>
        <v>MAB</v>
      </c>
      <c r="G272" s="222" t="str">
        <f>IFERROR(__xludf.DUMMYFUNCTION("""COMPUTED_VALUE"""),"SUMBAGSEL")</f>
        <v>SUMBAGSEL</v>
      </c>
      <c r="H272" s="222" t="str">
        <f>IFERROR(__xludf.DUMMYFUNCTION("""COMPUTED_VALUE"""),"JAMBI")</f>
        <v>JAMBI</v>
      </c>
      <c r="I272" s="222" t="str">
        <f>IFERROR(__xludf.DUMMYFUNCTION("""COMPUTED_VALUE"""),"Batch 2")</f>
        <v>Batch 2</v>
      </c>
      <c r="J272" s="225">
        <f>IFERROR(__xludf.DUMMYFUNCTION("""COMPUTED_VALUE"""),5.0)</f>
        <v>5</v>
      </c>
      <c r="K272" s="224">
        <f>IFERROR(__xludf.DUMMYFUNCTION("""COMPUTED_VALUE"""),48.0)</f>
        <v>48</v>
      </c>
      <c r="L272" s="226">
        <f>IFERROR(__xludf.DUMMYFUNCTION("""COMPUTED_VALUE"""),1368145.0)</f>
        <v>1368145</v>
      </c>
      <c r="M272" s="227">
        <f>IFERROR(__xludf.DUMMYFUNCTION("""COMPUTED_VALUE"""),6.567096E7)</f>
        <v>65670960</v>
      </c>
      <c r="N272" s="222" t="str">
        <f>IFERROR(__xludf.DUMMYFUNCTION("""COMPUTED_VALUE"""),"PT HAN SUNG INDONESIA")</f>
        <v>PT HAN SUNG INDONESIA</v>
      </c>
      <c r="O272" s="222" t="str">
        <f>IFERROR(__xludf.DUMMYFUNCTION("""COMPUTED_VALUE"""),"7. GOLIVE")</f>
        <v>7. GOLIVE</v>
      </c>
      <c r="P272" s="222" t="str">
        <f>IFERROR(__xludf.DUMMYFUNCTION("""COMPUTED_VALUE"""),"7.2 Golive Full / OA / DONE OTB")</f>
        <v>7.2 Golive Full / OA / DONE OTB</v>
      </c>
      <c r="Q272" s="222" t="str">
        <f>IFERROR(__xludf.DUMMYFUNCTION("""COMPUTED_VALUE"""),"(19/02) Golive (16/2) instal odp 5/6 , plan submit 18 feb (6/2) tanam  tiang 16/32 (5/2) MENUNGGU ANTRIAN LOKAAI LAIN ((29/1) MATDEL 22/01) PID Done ogp Apv PM Area (12/1) sudah aanwidjizing, menunggu PID  7/1 DRM (06/01)order JPP batch-2 2026 (17/11 crea"&amp;"te PID 10/11 mapping mitra")</f>
        <v>(19/02) Golive (16/2) instal odp 5/6 , plan submit 18 feb (6/2) tanam  tiang 16/32 (5/2) MENUNGGU ANTRIAN LOKAAI LAIN ((29/1) MATDEL 22/01) PID Done ogp Apv PM Area (12/1) sudah aanwidjizing, menunggu PID  7/1 DRM (06/01)order JPP batch-2 2026 (17/11 create PID 10/11 mapping mitra</v>
      </c>
      <c r="R272" s="228">
        <f>IFERROR(__xludf.DUMMYFUNCTION("""COMPUTED_VALUE"""),46075.0)</f>
        <v>46075</v>
      </c>
      <c r="S272" s="11"/>
      <c r="T272" s="11"/>
      <c r="U272" s="11"/>
      <c r="V272" s="229"/>
      <c r="W272" s="229"/>
      <c r="X272" s="229" t="str">
        <f>IFERROR(__xludf.DUMMYFUNCTION("""COMPUTED_VALUE"""),"GOLIVE")</f>
        <v>GOLIVE</v>
      </c>
      <c r="Y272" s="229" t="str">
        <f>IFERROR(__xludf.DUMMYFUNCTION("""COMPUTED_VALUE"""),"DONE")</f>
        <v>DONE</v>
      </c>
      <c r="Z272" s="229" t="str">
        <f>IFERROR(__xludf.DUMMYFUNCTION("""COMPUTED_VALUE"""),"#N/A")</f>
        <v>#N/A</v>
      </c>
      <c r="AA272" s="229">
        <f>IFERROR(__xludf.DUMMYFUNCTION("""COMPUTED_VALUE"""),5.0)</f>
        <v>5</v>
      </c>
      <c r="AB272" s="229"/>
      <c r="AC272" s="229" t="str">
        <f>IFERROR(__xludf.DUMMYFUNCTION("""COMPUTED_VALUE"""),"9124045#9124050")</f>
        <v>9124045#9124050</v>
      </c>
      <c r="AD272" s="232">
        <f>IFERROR(__xludf.DUMMYFUNCTION("""COMPUTED_VALUE"""),40.0)</f>
        <v>40</v>
      </c>
      <c r="AE272" s="233">
        <f>IFERROR(__xludf.DUMMYFUNCTION("""COMPUTED_VALUE"""),46072.0)</f>
        <v>46072</v>
      </c>
      <c r="AF272" s="54"/>
      <c r="AG272" s="54"/>
      <c r="AH272" s="54">
        <v>46075.0</v>
      </c>
      <c r="AI272" s="55">
        <f t="shared" si="42"/>
        <v>3</v>
      </c>
      <c r="AW272" s="234"/>
      <c r="BP272" s="11"/>
      <c r="BQ272" s="11"/>
      <c r="BR272" s="235"/>
      <c r="BV272" s="158"/>
      <c r="BY272" s="158"/>
      <c r="CB272" s="158"/>
    </row>
    <row r="273" ht="18.0" hidden="1" customHeight="1">
      <c r="A273" s="222">
        <f>IFERROR(__xludf.DUMMYFUNCTION("""COMPUTED_VALUE"""),2026.0)</f>
        <v>2026</v>
      </c>
      <c r="B273" s="221">
        <f>IFERROR(__xludf.DUMMYFUNCTION("""COMPUTED_VALUE"""),1.1326059E7)</f>
        <v>11326059</v>
      </c>
      <c r="C273" s="222" t="str">
        <f>IFERROR(__xludf.DUMMYFUNCTION("""COMPUTED_VALUE"""),"MDN PT3 TMU-FCB ODP PRIORITAS")</f>
        <v>MDN PT3 TMU-FCB ODP PRIORITAS</v>
      </c>
      <c r="D273" s="222" t="str">
        <f>IFERROR(__xludf.DUMMYFUNCTION("""COMPUTED_VALUE"""),"REGIONAL I")</f>
        <v>REGIONAL I</v>
      </c>
      <c r="E273" s="222" t="str">
        <f>IFERROR(__xludf.DUMMYFUNCTION("""COMPUTED_VALUE"""),"MEDAN")</f>
        <v>MEDAN</v>
      </c>
      <c r="F273" s="222" t="str">
        <f>IFERROR(__xludf.DUMMYFUNCTION("""COMPUTED_VALUE"""),"TMU")</f>
        <v>TMU</v>
      </c>
      <c r="G273" s="222" t="str">
        <f>IFERROR(__xludf.DUMMYFUNCTION("""COMPUTED_VALUE"""),"SUMBAGUT")</f>
        <v>SUMBAGUT</v>
      </c>
      <c r="H273" s="222" t="str">
        <f>IFERROR(__xludf.DUMMYFUNCTION("""COMPUTED_VALUE"""),"MEDAN")</f>
        <v>MEDAN</v>
      </c>
      <c r="I273" s="222" t="str">
        <f>IFERROR(__xludf.DUMMYFUNCTION("""COMPUTED_VALUE"""),"Batch 2")</f>
        <v>Batch 2</v>
      </c>
      <c r="J273" s="225">
        <f>IFERROR(__xludf.DUMMYFUNCTION("""COMPUTED_VALUE"""),7.0)</f>
        <v>7</v>
      </c>
      <c r="K273" s="224">
        <f>IFERROR(__xludf.DUMMYFUNCTION("""COMPUTED_VALUE"""),56.0)</f>
        <v>56</v>
      </c>
      <c r="L273" s="226">
        <f>IFERROR(__xludf.DUMMYFUNCTION("""COMPUTED_VALUE"""),852700.0)</f>
        <v>852700</v>
      </c>
      <c r="M273" s="227">
        <f>IFERROR(__xludf.DUMMYFUNCTION("""COMPUTED_VALUE"""),4.7751186E7)</f>
        <v>47751186</v>
      </c>
      <c r="N273" s="222" t="str">
        <f>IFERROR(__xludf.DUMMYFUNCTION("""COMPUTED_VALUE"""),"PT DUL JAYA TAMA")</f>
        <v>PT DUL JAYA TAMA</v>
      </c>
      <c r="O273" s="222" t="str">
        <f>IFERROR(__xludf.DUMMYFUNCTION("""COMPUTED_VALUE"""),"2. DONE AANWIJZING")</f>
        <v>2. DONE AANWIJZING</v>
      </c>
      <c r="P273" s="222" t="str">
        <f>IFERROR(__xludf.DUMMYFUNCTION("""COMPUTED_VALUE"""),"2.10 Kendala - Feeder Rusak")</f>
        <v>2.10 Kendala - Feeder Rusak</v>
      </c>
      <c r="Q273" s="222" t="str">
        <f>IFERROR(__xludf.DUMMYFUNCTION("""COMPUTED_VALUE"""),"21/04 pengecekan tipus / butuh qe
31/03 Feeder LOS, Putus di 100m 29/01 Done Order, lnjut Aanwidzing")</f>
        <v>21/04 pengecekan tipus / butuh qe
31/03 Feeder LOS, Putus di 100m 29/01 Done Order, lnjut Aanwidzing</v>
      </c>
      <c r="R273" s="228"/>
      <c r="S273" s="11"/>
      <c r="T273" s="11"/>
      <c r="U273" s="11"/>
      <c r="V273" s="229"/>
      <c r="W273" s="229"/>
      <c r="X273" s="229" t="str">
        <f>IFERROR(__xludf.DUMMYFUNCTION("""COMPUTED_VALUE"""),"BELUM GOLIVE")</f>
        <v>BELUM GOLIVE</v>
      </c>
      <c r="Y273" s="229"/>
      <c r="Z273" s="229" t="str">
        <f>IFERROR(__xludf.DUMMYFUNCTION("""COMPUTED_VALUE"""),"#N/A")</f>
        <v>#N/A</v>
      </c>
      <c r="AA273" s="229"/>
      <c r="AB273" s="229"/>
      <c r="AC273" s="229"/>
      <c r="AD273" s="232"/>
      <c r="AE273" s="233"/>
      <c r="AF273" s="54"/>
      <c r="AG273" s="54"/>
      <c r="AH273" s="54"/>
      <c r="AI273" s="55" t="str">
        <f t="shared" si="42"/>
        <v/>
      </c>
      <c r="AW273" s="234"/>
      <c r="BP273" s="11"/>
      <c r="BQ273" s="11"/>
      <c r="BR273" s="235"/>
      <c r="BV273" s="158"/>
      <c r="BY273" s="158"/>
      <c r="CB273" s="158"/>
    </row>
    <row r="274" ht="18.0" hidden="1" customHeight="1">
      <c r="A274" s="222">
        <f>IFERROR(__xludf.DUMMYFUNCTION("""COMPUTED_VALUE"""),2026.0)</f>
        <v>2026</v>
      </c>
      <c r="B274" s="221">
        <f>IFERROR(__xludf.DUMMYFUNCTION("""COMPUTED_VALUE"""),1.2084625E7)</f>
        <v>12084625</v>
      </c>
      <c r="C274" s="222" t="str">
        <f>IFERROR(__xludf.DUMMYFUNCTION("""COMPUTED_VALUE"""),"LPG PT3 JPP PERUM ADREENA VILLAGE KDT")</f>
        <v>LPG PT3 JPP PERUM ADREENA VILLAGE KDT</v>
      </c>
      <c r="D274" s="222" t="str">
        <f>IFERROR(__xludf.DUMMYFUNCTION("""COMPUTED_VALUE"""),"REGIONAL I")</f>
        <v>REGIONAL I</v>
      </c>
      <c r="E274" s="222" t="str">
        <f>IFERROR(__xludf.DUMMYFUNCTION("""COMPUTED_VALUE"""),"LAMPUNG")</f>
        <v>LAMPUNG</v>
      </c>
      <c r="F274" s="222" t="str">
        <f>IFERROR(__xludf.DUMMYFUNCTION("""COMPUTED_VALUE"""),"KDT")</f>
        <v>KDT</v>
      </c>
      <c r="G274" s="222" t="str">
        <f>IFERROR(__xludf.DUMMYFUNCTION("""COMPUTED_VALUE"""),"SUMBAGSEL")</f>
        <v>SUMBAGSEL</v>
      </c>
      <c r="H274" s="222" t="str">
        <f>IFERROR(__xludf.DUMMYFUNCTION("""COMPUTED_VALUE"""),"LAMPUNG")</f>
        <v>LAMPUNG</v>
      </c>
      <c r="I274" s="222" t="str">
        <f>IFERROR(__xludf.DUMMYFUNCTION("""COMPUTED_VALUE"""),"Batch 2")</f>
        <v>Batch 2</v>
      </c>
      <c r="J274" s="225">
        <f>IFERROR(__xludf.DUMMYFUNCTION("""COMPUTED_VALUE"""),5.0)</f>
        <v>5</v>
      </c>
      <c r="K274" s="224">
        <f>IFERROR(__xludf.DUMMYFUNCTION("""COMPUTED_VALUE"""),40.0)</f>
        <v>40</v>
      </c>
      <c r="L274" s="226">
        <f>IFERROR(__xludf.DUMMYFUNCTION("""COMPUTED_VALUE"""),1368121.0)</f>
        <v>1368121</v>
      </c>
      <c r="M274" s="227">
        <f>IFERROR(__xludf.DUMMYFUNCTION("""COMPUTED_VALUE"""),5.4724833E7)</f>
        <v>54724833</v>
      </c>
      <c r="N274" s="222" t="str">
        <f>IFERROR(__xludf.DUMMYFUNCTION("""COMPUTED_VALUE"""),"PT BANGTELINDO")</f>
        <v>PT BANGTELINDO</v>
      </c>
      <c r="O274" s="222" t="str">
        <f>IFERROR(__xludf.DUMMYFUNCTION("""COMPUTED_VALUE"""),"3. PERIZINAN")</f>
        <v>3. PERIZINAN</v>
      </c>
      <c r="P274" s="222" t="str">
        <f>IFERROR(__xludf.DUMMYFUNCTION("""COMPUTED_VALUE"""),"3.9 Izin Kades / Lurah / RTRW")</f>
        <v>3.9 Izin Kades / Lurah / RTRW</v>
      </c>
      <c r="Q274" s="222" t="str">
        <f>IFERROR(__xludf.DUMMYFUNCTION("""COMPUTED_VALUE"""),"20/4 belum ada feedback dari pihak developer &amp; Perkim, Sudah fu ke tsel 13/04 pihak TSEL baru bisa bertemu dengan pihak developer 10 APR.  08/04 Pihak Developer belum bisa di temui 2/4 pihak developer blm bisa ditemui 25/3 pihak depelover belum bisa di te"&amp;"mui 13/3 pihak depelover belum bisa di temui,, 4/3 estimasi selesai priziinan 6/3 2/3 perizinan ke lurah belum bisa ditemui 27/2 perizinan ke lurah belum bisa ditemui 20/2 proses perizinan dan pengecekan core, 18/2 kendala modul OLT Habis 29/01 Perlu pena"&amp;"mbahan modul OLT Huawei Habis 15/1 modul shelter itera habis ")</f>
        <v>20/4 belum ada feedback dari pihak developer &amp; Perkim, Sudah fu ke tsel 13/04 pihak TSEL baru bisa bertemu dengan pihak developer 10 APR.  08/04 Pihak Developer belum bisa di temui 2/4 pihak developer blm bisa ditemui 25/3 pihak depelover belum bisa di temui 13/3 pihak depelover belum bisa di temui,, 4/3 estimasi selesai priziinan 6/3 2/3 perizinan ke lurah belum bisa ditemui 27/2 perizinan ke lurah belum bisa ditemui 20/2 proses perizinan dan pengecekan core, 18/2 kendala modul OLT Habis 29/01 Perlu penambahan modul OLT Huawei Habis 15/1 modul shelter itera habis </v>
      </c>
      <c r="R274" s="228"/>
      <c r="S274" s="11"/>
      <c r="T274" s="11" t="str">
        <f>IFERROR(__xludf.DUMMYFUNCTION("""COMPUTED_VALUE"""),"P1")</f>
        <v>P1</v>
      </c>
      <c r="U274" s="11" t="str">
        <f>IFERROR(__xludf.DUMMYFUNCTION("""COMPUTED_VALUE"""),"TIF-5975/2026")</f>
        <v>TIF-5975/2026</v>
      </c>
      <c r="V274" s="229"/>
      <c r="W274" s="229"/>
      <c r="X274" s="229" t="str">
        <f>IFERROR(__xludf.DUMMYFUNCTION("""COMPUTED_VALUE"""),"BELUM GOLIVE")</f>
        <v>BELUM GOLIVE</v>
      </c>
      <c r="Y274" s="229" t="str">
        <f>IFERROR(__xludf.DUMMYFUNCTION("""COMPUTED_VALUE"""),"PORT OLT Penuh")</f>
        <v>PORT OLT Penuh</v>
      </c>
      <c r="Z274" s="229" t="str">
        <f>IFERROR(__xludf.DUMMYFUNCTION("""COMPUTED_VALUE"""),"#N/A")</f>
        <v>#N/A</v>
      </c>
      <c r="AA274" s="229"/>
      <c r="AB274" s="229"/>
      <c r="AC274" s="229"/>
      <c r="AD274" s="232"/>
      <c r="AE274" s="233"/>
      <c r="AF274" s="54"/>
      <c r="AG274" s="54"/>
      <c r="AH274" s="54"/>
      <c r="AI274" s="55" t="str">
        <f t="shared" si="42"/>
        <v/>
      </c>
      <c r="AW274" s="234"/>
      <c r="BP274" s="11"/>
      <c r="BQ274" s="11"/>
      <c r="BR274" s="235"/>
      <c r="BV274" s="158"/>
      <c r="BY274" s="158"/>
      <c r="CB274" s="158"/>
    </row>
    <row r="275" ht="18.0" hidden="1" customHeight="1">
      <c r="A275" s="222">
        <f>IFERROR(__xludf.DUMMYFUNCTION("""COMPUTED_VALUE"""),2026.0)</f>
        <v>2026</v>
      </c>
      <c r="B275" s="221">
        <f>IFERROR(__xludf.DUMMYFUNCTION("""COMPUTED_VALUE"""),1.1265829E7)</f>
        <v>11265829</v>
      </c>
      <c r="C275" s="222" t="str">
        <f>IFERROR(__xludf.DUMMYFUNCTION("""COMPUTED_VALUE"""),"MDN PT3 CTD-FCH JL.BERSAMA GG.GEREJA")</f>
        <v>MDN PT3 CTD-FCH JL.BERSAMA GG.GEREJA</v>
      </c>
      <c r="D275" s="222" t="str">
        <f>IFERROR(__xludf.DUMMYFUNCTION("""COMPUTED_VALUE"""),"REGIONAL I")</f>
        <v>REGIONAL I</v>
      </c>
      <c r="E275" s="222" t="str">
        <f>IFERROR(__xludf.DUMMYFUNCTION("""COMPUTED_VALUE"""),"MEDAN")</f>
        <v>MEDAN</v>
      </c>
      <c r="F275" s="222" t="str">
        <f>IFERROR(__xludf.DUMMYFUNCTION("""COMPUTED_VALUE"""),"CTD")</f>
        <v>CTD</v>
      </c>
      <c r="G275" s="222" t="str">
        <f>IFERROR(__xludf.DUMMYFUNCTION("""COMPUTED_VALUE"""),"SUMBAGUT")</f>
        <v>SUMBAGUT</v>
      </c>
      <c r="H275" s="222" t="str">
        <f>IFERROR(__xludf.DUMMYFUNCTION("""COMPUTED_VALUE"""),"MEDAN")</f>
        <v>MEDAN</v>
      </c>
      <c r="I275" s="222" t="str">
        <f>IFERROR(__xludf.DUMMYFUNCTION("""COMPUTED_VALUE"""),"Batch 2")</f>
        <v>Batch 2</v>
      </c>
      <c r="J275" s="225">
        <f>IFERROR(__xludf.DUMMYFUNCTION("""COMPUTED_VALUE"""),2.0)</f>
        <v>2</v>
      </c>
      <c r="K275" s="224">
        <f>IFERROR(__xludf.DUMMYFUNCTION("""COMPUTED_VALUE"""),16.0)</f>
        <v>16</v>
      </c>
      <c r="L275" s="226">
        <f>IFERROR(__xludf.DUMMYFUNCTION("""COMPUTED_VALUE"""),1367858.0)</f>
        <v>1367858</v>
      </c>
      <c r="M275" s="227">
        <f>IFERROR(__xludf.DUMMYFUNCTION("""COMPUTED_VALUE"""),2.1885714E7)</f>
        <v>21885714</v>
      </c>
      <c r="N275" s="222" t="str">
        <f>IFERROR(__xludf.DUMMYFUNCTION("""COMPUTED_VALUE"""),"PT M JUSUF AND SONS")</f>
        <v>PT M JUSUF AND SONS</v>
      </c>
      <c r="O275" s="222" t="str">
        <f>IFERROR(__xludf.DUMMYFUNCTION("""COMPUTED_VALUE"""),"0. DROP")</f>
        <v>0. DROP</v>
      </c>
      <c r="P275" s="222" t="str">
        <f>IFERROR(__xludf.DUMMYFUNCTION("""COMPUTED_VALUE"""),"0.4 CPP Tinggi Acc ED TIF")</f>
        <v>0.4 CPP Tinggi Acc ED TIF</v>
      </c>
      <c r="Q275" s="222" t="str">
        <f>IFERROR(__xludf.DUMMYFUNCTION("""COMPUTED_VALUE"""),"16/10 Feeder Habis
16/10 Mapping Mitra")</f>
        <v>16/10 Feeder Habis
16/10 Mapping Mitra</v>
      </c>
      <c r="R275" s="228"/>
      <c r="S275" s="11"/>
      <c r="T275" s="11"/>
      <c r="U275" s="11"/>
      <c r="V275" s="229"/>
      <c r="W275" s="229"/>
      <c r="X275" s="229" t="str">
        <f>IFERROR(__xludf.DUMMYFUNCTION("""COMPUTED_VALUE"""),"BELUM GOLIVE")</f>
        <v>BELUM GOLIVE</v>
      </c>
      <c r="Y275" s="229"/>
      <c r="Z275" s="229" t="str">
        <f>IFERROR(__xludf.DUMMYFUNCTION("""COMPUTED_VALUE"""),"#N/A")</f>
        <v>#N/A</v>
      </c>
      <c r="AA275" s="229"/>
      <c r="AB275" s="229"/>
      <c r="AC275" s="229"/>
      <c r="AD275" s="232"/>
      <c r="AE275" s="233"/>
      <c r="AF275" s="54" t="str">
        <f>IFERROR(__xludf.DUMMYFUNCTION("""COMPUTED_VALUE"""),"Draft BA DROP")</f>
        <v>Draft BA DROP</v>
      </c>
      <c r="AG275" s="54"/>
      <c r="AH275" s="54"/>
      <c r="AI275" s="55" t="str">
        <f t="shared" si="42"/>
        <v/>
      </c>
      <c r="AW275" s="234"/>
      <c r="BP275" s="11"/>
      <c r="BQ275" s="11"/>
      <c r="BR275" s="235"/>
      <c r="BV275" s="158"/>
      <c r="BY275" s="158"/>
      <c r="CB275" s="158"/>
    </row>
    <row r="276" ht="18.0" customHeight="1">
      <c r="A276" s="222">
        <f>IFERROR(__xludf.DUMMYFUNCTION("""COMPUTED_VALUE"""),2026.0)</f>
        <v>2026</v>
      </c>
      <c r="B276" s="221">
        <f>IFERROR(__xludf.DUMMYFUNCTION("""COMPUTED_VALUE"""),1.1096334E7)</f>
        <v>11096334</v>
      </c>
      <c r="C276" s="222" t="str">
        <f>IFERROR(__xludf.DUMMYFUNCTION("""COMPUTED_VALUE"""),"RKP PT3 JPPTSEL KMS-FG JL AISYAH SULAIMAN_")</f>
        <v>RKP PT3 JPPTSEL KMS-FG JL AISYAH SULAIMAN_</v>
      </c>
      <c r="D276" s="222" t="str">
        <f>IFERROR(__xludf.DUMMYFUNCTION("""COMPUTED_VALUE"""),"REGIONAL I")</f>
        <v>REGIONAL I</v>
      </c>
      <c r="E276" s="222" t="str">
        <f>IFERROR(__xludf.DUMMYFUNCTION("""COMPUTED_VALUE"""),"RIKEP")</f>
        <v>RIKEP</v>
      </c>
      <c r="F276" s="222" t="str">
        <f>IFERROR(__xludf.DUMMYFUNCTION("""COMPUTED_VALUE"""),"KMS")</f>
        <v>KMS</v>
      </c>
      <c r="G276" s="222" t="str">
        <f>IFERROR(__xludf.DUMMYFUNCTION("""COMPUTED_VALUE"""),"SUMBAGTENG")</f>
        <v>SUMBAGTENG</v>
      </c>
      <c r="H276" s="222" t="str">
        <f>IFERROR(__xludf.DUMMYFUNCTION("""COMPUTED_VALUE"""),"BATAM")</f>
        <v>BATAM</v>
      </c>
      <c r="I276" s="222" t="str">
        <f>IFERROR(__xludf.DUMMYFUNCTION("""COMPUTED_VALUE"""),"Batch 2")</f>
        <v>Batch 2</v>
      </c>
      <c r="J276" s="225">
        <f>IFERROR(__xludf.DUMMYFUNCTION("""COMPUTED_VALUE"""),14.0)</f>
        <v>14</v>
      </c>
      <c r="K276" s="224">
        <f>IFERROR(__xludf.DUMMYFUNCTION("""COMPUTED_VALUE"""),112.0)</f>
        <v>112</v>
      </c>
      <c r="L276" s="226">
        <f>IFERROR(__xludf.DUMMYFUNCTION("""COMPUTED_VALUE"""),1367810.0)</f>
        <v>1367810</v>
      </c>
      <c r="M276" s="227">
        <f>IFERROR(__xludf.DUMMYFUNCTION("""COMPUTED_VALUE"""),1.53194714E8)</f>
        <v>153194714</v>
      </c>
      <c r="N276" s="222" t="str">
        <f>IFERROR(__xludf.DUMMYFUNCTION("""COMPUTED_VALUE"""),"PT SALTTEK DUMPANG JAYA")</f>
        <v>PT SALTTEK DUMPANG JAYA</v>
      </c>
      <c r="O276" s="222" t="str">
        <f>IFERROR(__xludf.DUMMYFUNCTION("""COMPUTED_VALUE"""),"0. DROP")</f>
        <v>0. DROP</v>
      </c>
      <c r="P276" s="222" t="str">
        <f>IFERROR(__xludf.DUMMYFUNCTION("""COMPUTED_VALUE"""),"0.2 Tidak Dapat Izin Warga/Kades/Lurah/Developer")</f>
        <v>0.2 Tidak Dapat Izin Warga/Kades/Lurah/Developer</v>
      </c>
      <c r="Q276" s="222" t="str">
        <f>IFERROR(__xludf.DUMMYFUNCTION("""COMPUTED_VALUE"""),"21/01 Izin di tolak pihak kawasan")</f>
        <v>21/01 Izin di tolak pihak kawasan</v>
      </c>
      <c r="R276" s="228"/>
      <c r="S276" s="11"/>
      <c r="T276" s="11"/>
      <c r="U276" s="11"/>
      <c r="V276" s="229" t="str">
        <f>IFERROR(__xludf.DUMMYFUNCTION("""COMPUTED_VALUE"""),"DEDY IRAWAN")</f>
        <v>DEDY IRAWAN</v>
      </c>
      <c r="W276" s="229" t="str">
        <f>IFERROR(__xludf.DUMMYFUNCTION("""COMPUTED_VALUE"""),"LEVITA INDRIYANI")</f>
        <v>LEVITA INDRIYANI</v>
      </c>
      <c r="X276" s="229" t="str">
        <f>IFERROR(__xludf.DUMMYFUNCTION("""COMPUTED_VALUE"""),"BELUM GOLIVE")</f>
        <v>BELUM GOLIVE</v>
      </c>
      <c r="Y276" s="229"/>
      <c r="Z276" s="229" t="str">
        <f>IFERROR(__xludf.DUMMYFUNCTION("""COMPUTED_VALUE"""),"#N/A")</f>
        <v>#N/A</v>
      </c>
      <c r="AA276" s="229"/>
      <c r="AB276" s="229"/>
      <c r="AC276" s="229"/>
      <c r="AD276" s="232"/>
      <c r="AE276" s="233"/>
      <c r="AF276" s="54" t="str">
        <f>IFERROR(__xludf.DUMMYFUNCTION("""COMPUTED_VALUE"""),"Draft BA DROP")</f>
        <v>Draft BA DROP</v>
      </c>
      <c r="AG276" s="54"/>
      <c r="AH276" s="54"/>
      <c r="AI276" s="55" t="str">
        <f t="shared" si="42"/>
        <v/>
      </c>
      <c r="AW276" s="234"/>
      <c r="BP276" s="11"/>
      <c r="BQ276" s="11"/>
      <c r="BR276" s="235"/>
      <c r="BV276" s="158"/>
      <c r="BY276" s="158"/>
      <c r="CB276" s="158"/>
    </row>
    <row r="277" ht="18.0" customHeight="1">
      <c r="A277" s="222">
        <f>IFERROR(__xludf.DUMMYFUNCTION("""COMPUTED_VALUE"""),2026.0)</f>
        <v>2026</v>
      </c>
      <c r="B277" s="221">
        <f>IFERROR(__xludf.DUMMYFUNCTION("""COMPUTED_VALUE"""),1.1094273E7)</f>
        <v>11094273</v>
      </c>
      <c r="C277" s="222" t="str">
        <f>IFERROR(__xludf.DUMMYFUNCTION("""COMPUTED_VALUE"""),"RKP PT3 JPPTSEL KMS-FF JL BUKIT INDAH LESTARI")</f>
        <v>RKP PT3 JPPTSEL KMS-FF JL BUKIT INDAH LESTARI</v>
      </c>
      <c r="D277" s="222" t="str">
        <f>IFERROR(__xludf.DUMMYFUNCTION("""COMPUTED_VALUE"""),"REGIONAL I")</f>
        <v>REGIONAL I</v>
      </c>
      <c r="E277" s="222" t="str">
        <f>IFERROR(__xludf.DUMMYFUNCTION("""COMPUTED_VALUE"""),"RIKEP")</f>
        <v>RIKEP</v>
      </c>
      <c r="F277" s="222" t="str">
        <f>IFERROR(__xludf.DUMMYFUNCTION("""COMPUTED_VALUE"""),"KMS")</f>
        <v>KMS</v>
      </c>
      <c r="G277" s="222" t="str">
        <f>IFERROR(__xludf.DUMMYFUNCTION("""COMPUTED_VALUE"""),"SUMBAGTENG")</f>
        <v>SUMBAGTENG</v>
      </c>
      <c r="H277" s="222" t="str">
        <f>IFERROR(__xludf.DUMMYFUNCTION("""COMPUTED_VALUE"""),"BATAM")</f>
        <v>BATAM</v>
      </c>
      <c r="I277" s="222" t="str">
        <f>IFERROR(__xludf.DUMMYFUNCTION("""COMPUTED_VALUE"""),"Batch 2")</f>
        <v>Batch 2</v>
      </c>
      <c r="J277" s="225">
        <f>IFERROR(__xludf.DUMMYFUNCTION("""COMPUTED_VALUE"""),6.0)</f>
        <v>6</v>
      </c>
      <c r="K277" s="224">
        <f>IFERROR(__xludf.DUMMYFUNCTION("""COMPUTED_VALUE"""),48.0)</f>
        <v>48</v>
      </c>
      <c r="L277" s="226">
        <f>IFERROR(__xludf.DUMMYFUNCTION("""COMPUTED_VALUE"""),1366118.0)</f>
        <v>1366118</v>
      </c>
      <c r="M277" s="227">
        <f>IFERROR(__xludf.DUMMYFUNCTION("""COMPUTED_VALUE"""),6.5573657E7)</f>
        <v>65573657</v>
      </c>
      <c r="N277" s="222" t="str">
        <f>IFERROR(__xludf.DUMMYFUNCTION("""COMPUTED_VALUE"""),"PT SALTTEK DUMPANG JAYA")</f>
        <v>PT SALTTEK DUMPANG JAYA</v>
      </c>
      <c r="O277" s="222" t="str">
        <f>IFERROR(__xludf.DUMMYFUNCTION("""COMPUTED_VALUE"""),"0. DROP")</f>
        <v>0. DROP</v>
      </c>
      <c r="P277" s="222" t="str">
        <f>IFERROR(__xludf.DUMMYFUNCTION("""COMPUTED_VALUE"""),"0.2 Tidak Dapat Izin Warga/Kades/Lurah/Developer")</f>
        <v>0.2 Tidak Dapat Izin Warga/Kades/Lurah/Developer</v>
      </c>
      <c r="Q277" s="222" t="str">
        <f>IFERROR(__xludf.DUMMYFUNCTION("""COMPUTED_VALUE"""),"28/01 Izin di tolak RT. 26/01 Anwijzing OK, proses perizinan. 21/01 Proses anwijzing tanggal 22 Jan 2026")</f>
        <v>28/01 Izin di tolak RT. 26/01 Anwijzing OK, proses perizinan. 21/01 Proses anwijzing tanggal 22 Jan 2026</v>
      </c>
      <c r="R277" s="228"/>
      <c r="S277" s="11"/>
      <c r="T277" s="11"/>
      <c r="U277" s="11"/>
      <c r="V277" s="229" t="str">
        <f>IFERROR(__xludf.DUMMYFUNCTION("""COMPUTED_VALUE"""),"DEDY IRAWAN")</f>
        <v>DEDY IRAWAN</v>
      </c>
      <c r="W277" s="229" t="str">
        <f>IFERROR(__xludf.DUMMYFUNCTION("""COMPUTED_VALUE"""),"LEVITA INDRIYANI")</f>
        <v>LEVITA INDRIYANI</v>
      </c>
      <c r="X277" s="229" t="str">
        <f>IFERROR(__xludf.DUMMYFUNCTION("""COMPUTED_VALUE"""),"BELUM GOLIVE")</f>
        <v>BELUM GOLIVE</v>
      </c>
      <c r="Y277" s="229"/>
      <c r="Z277" s="229" t="str">
        <f>IFERROR(__xludf.DUMMYFUNCTION("""COMPUTED_VALUE"""),"#N/A")</f>
        <v>#N/A</v>
      </c>
      <c r="AA277" s="229"/>
      <c r="AB277" s="229"/>
      <c r="AC277" s="229"/>
      <c r="AD277" s="232"/>
      <c r="AE277" s="233"/>
      <c r="AF277" s="54" t="str">
        <f>IFERROR(__xludf.DUMMYFUNCTION("""COMPUTED_VALUE"""),"Draft BA DROP")</f>
        <v>Draft BA DROP</v>
      </c>
      <c r="AG277" s="54"/>
      <c r="AH277" s="54"/>
      <c r="AI277" s="55" t="str">
        <f t="shared" si="42"/>
        <v/>
      </c>
      <c r="AW277" s="234"/>
      <c r="BP277" s="11"/>
      <c r="BQ277" s="11"/>
      <c r="BR277" s="235"/>
      <c r="BV277" s="158"/>
      <c r="BY277" s="158"/>
      <c r="CB277" s="158"/>
    </row>
    <row r="278" ht="18.0" hidden="1" customHeight="1">
      <c r="A278" s="222">
        <f>IFERROR(__xludf.DUMMYFUNCTION("""COMPUTED_VALUE"""),2026.0)</f>
        <v>2026</v>
      </c>
      <c r="B278" s="221">
        <f>IFERROR(__xludf.DUMMYFUNCTION("""COMPUTED_VALUE"""),1.2134302E7)</f>
        <v>12134302</v>
      </c>
      <c r="C278" s="222" t="str">
        <f>IFERROR(__xludf.DUMMYFUNCTION("""COMPUTED_VALUE"""),"JBI-PT3 BRANCHING-BKO-FR-ID142063")</f>
        <v>JBI-PT3 BRANCHING-BKO-FR-ID142063</v>
      </c>
      <c r="D278" s="222" t="str">
        <f>IFERROR(__xludf.DUMMYFUNCTION("""COMPUTED_VALUE"""),"REGIONAL I")</f>
        <v>REGIONAL I</v>
      </c>
      <c r="E278" s="222" t="str">
        <f>IFERROR(__xludf.DUMMYFUNCTION("""COMPUTED_VALUE"""),"JAMBI")</f>
        <v>JAMBI</v>
      </c>
      <c r="F278" s="222" t="str">
        <f>IFERROR(__xludf.DUMMYFUNCTION("""COMPUTED_VALUE"""),"BKO")</f>
        <v>BKO</v>
      </c>
      <c r="G278" s="222" t="str">
        <f>IFERROR(__xludf.DUMMYFUNCTION("""COMPUTED_VALUE"""),"SUMBAGSEL")</f>
        <v>SUMBAGSEL</v>
      </c>
      <c r="H278" s="222" t="str">
        <f>IFERROR(__xludf.DUMMYFUNCTION("""COMPUTED_VALUE"""),"JAMBI")</f>
        <v>JAMBI</v>
      </c>
      <c r="I278" s="222" t="str">
        <f>IFERROR(__xludf.DUMMYFUNCTION("""COMPUTED_VALUE"""),"Batch 2")</f>
        <v>Batch 2</v>
      </c>
      <c r="J278" s="225">
        <f>IFERROR(__xludf.DUMMYFUNCTION("""COMPUTED_VALUE"""),1.0)</f>
        <v>1</v>
      </c>
      <c r="K278" s="224">
        <f>IFERROR(__xludf.DUMMYFUNCTION("""COMPUTED_VALUE"""),8.0)</f>
        <v>8</v>
      </c>
      <c r="L278" s="226">
        <f>IFERROR(__xludf.DUMMYFUNCTION("""COMPUTED_VALUE"""),1366088.0)</f>
        <v>1366088</v>
      </c>
      <c r="M278" s="227">
        <f>IFERROR(__xludf.DUMMYFUNCTION("""COMPUTED_VALUE"""),1.0928697E7)</f>
        <v>10928697</v>
      </c>
      <c r="N278" s="222" t="str">
        <f>IFERROR(__xludf.DUMMYFUNCTION("""COMPUTED_VALUE"""),"PT TSUIKA BERKAH RAYA")</f>
        <v>PT TSUIKA BERKAH RAYA</v>
      </c>
      <c r="O278" s="222" t="str">
        <f>IFERROR(__xludf.DUMMYFUNCTION("""COMPUTED_VALUE"""),"0. DROP")</f>
        <v>0. DROP</v>
      </c>
      <c r="P278" s="222" t="str">
        <f>IFERROR(__xludf.DUMMYFUNCTION("""COMPUTED_VALUE"""),"0.2 Tidak Dapat Izin Warga/Kades/Lurah/Developer")</f>
        <v>0.2 Tidak Dapat Izin Warga/Kades/Lurah/Developer</v>
      </c>
      <c r="Q278" s="222" t="str">
        <f>IFERROR(__xludf.DUMMYFUNCTION("""COMPUTED_VALUE"""),"(12/1) BA Drop Sirkulir-PERMINTAAN TSEL MARKET TIDAK OK  (06/01)order JPP batch-2 2026 ((18/11) tidak masuk target optimis 2025 (17/11 kendala mitra ,redesign 10/11 matdel (05/11)Req Material (15/10) Mapping Mitra")</f>
        <v>(12/1) BA Drop Sirkulir-PERMINTAAN TSEL MARKET TIDAK OK  (06/01)order JPP batch-2 2026 ((18/11) tidak masuk target optimis 2025 (17/11 kendala mitra ,redesign 10/11 matdel (05/11)Req Material (15/10) Mapping Mitra</v>
      </c>
      <c r="R278" s="228"/>
      <c r="S278" s="11"/>
      <c r="T278" s="11"/>
      <c r="U278" s="11"/>
      <c r="V278" s="229"/>
      <c r="W278" s="229"/>
      <c r="X278" s="229" t="str">
        <f>IFERROR(__xludf.DUMMYFUNCTION("""COMPUTED_VALUE"""),"BELUM GOLIVE")</f>
        <v>BELUM GOLIVE</v>
      </c>
      <c r="Y278" s="229"/>
      <c r="Z278" s="229" t="str">
        <f>IFERROR(__xludf.DUMMYFUNCTION("""COMPUTED_VALUE"""),"#N/A")</f>
        <v>#N/A</v>
      </c>
      <c r="AA278" s="229"/>
      <c r="AB278" s="229"/>
      <c r="AC278" s="229"/>
      <c r="AD278" s="232"/>
      <c r="AE278" s="233"/>
      <c r="AF278" s="54" t="str">
        <f>IFERROR(__xludf.DUMMYFUNCTION("""COMPUTED_VALUE"""),"Draft BA DROP")</f>
        <v>Draft BA DROP</v>
      </c>
      <c r="AG278" s="54"/>
      <c r="AH278" s="54"/>
      <c r="AI278" s="55" t="str">
        <f t="shared" si="42"/>
        <v/>
      </c>
      <c r="AW278" s="234"/>
      <c r="BP278" s="11"/>
      <c r="BQ278" s="11"/>
      <c r="BR278" s="235"/>
      <c r="BV278" s="158"/>
      <c r="BY278" s="158"/>
      <c r="CB278" s="158"/>
    </row>
    <row r="279" ht="18.0" hidden="1" customHeight="1">
      <c r="A279" s="222">
        <f>IFERROR(__xludf.DUMMYFUNCTION("""COMPUTED_VALUE"""),2026.0)</f>
        <v>2026</v>
      </c>
      <c r="B279" s="221">
        <f>IFERROR(__xludf.DUMMYFUNCTION("""COMPUTED_VALUE"""),1.1257633E7)</f>
        <v>11257633</v>
      </c>
      <c r="C279" s="222" t="str">
        <f>IFERROR(__xludf.DUMMYFUNCTION("""COMPUTED_VALUE"""),"SMS P3I1 PT3 KAG FS D05 KEMANG SEPANG")</f>
        <v>SMS P3I1 PT3 KAG FS D05 KEMANG SEPANG</v>
      </c>
      <c r="D279" s="222" t="str">
        <f>IFERROR(__xludf.DUMMYFUNCTION("""COMPUTED_VALUE"""),"REGIONAL I")</f>
        <v>REGIONAL I</v>
      </c>
      <c r="E279" s="222" t="str">
        <f>IFERROR(__xludf.DUMMYFUNCTION("""COMPUTED_VALUE"""),"SUMSEL")</f>
        <v>SUMSEL</v>
      </c>
      <c r="F279" s="222" t="str">
        <f>IFERROR(__xludf.DUMMYFUNCTION("""COMPUTED_VALUE"""),"KAG")</f>
        <v>KAG</v>
      </c>
      <c r="G279" s="222" t="str">
        <f>IFERROR(__xludf.DUMMYFUNCTION("""COMPUTED_VALUE"""),"SUMBAGSEL")</f>
        <v>SUMBAGSEL</v>
      </c>
      <c r="H279" s="222" t="str">
        <f>IFERROR(__xludf.DUMMYFUNCTION("""COMPUTED_VALUE"""),"PALEMBANG")</f>
        <v>PALEMBANG</v>
      </c>
      <c r="I279" s="222" t="str">
        <f>IFERROR(__xludf.DUMMYFUNCTION("""COMPUTED_VALUE"""),"Batch 2")</f>
        <v>Batch 2</v>
      </c>
      <c r="J279" s="225">
        <f>IFERROR(__xludf.DUMMYFUNCTION("""COMPUTED_VALUE"""),17.0)</f>
        <v>17</v>
      </c>
      <c r="K279" s="224">
        <f>IFERROR(__xludf.DUMMYFUNCTION("""COMPUTED_VALUE"""),136.0)</f>
        <v>136</v>
      </c>
      <c r="L279" s="226">
        <f>IFERROR(__xludf.DUMMYFUNCTION("""COMPUTED_VALUE"""),1365848.0)</f>
        <v>1365848</v>
      </c>
      <c r="M279" s="227">
        <f>IFERROR(__xludf.DUMMYFUNCTION("""COMPUTED_VALUE"""),1.8575522E8)</f>
        <v>185755220</v>
      </c>
      <c r="N279" s="222" t="str">
        <f>IFERROR(__xludf.DUMMYFUNCTION("""COMPUTED_VALUE"""),"PT SARANA MITRA PERSADA")</f>
        <v>PT SARANA MITRA PERSADA</v>
      </c>
      <c r="O279" s="222" t="str">
        <f>IFERROR(__xludf.DUMMYFUNCTION("""COMPUTED_VALUE"""),"0. DROP")</f>
        <v>0. DROP</v>
      </c>
      <c r="P279" s="222" t="str">
        <f>IFERROR(__xludf.DUMMYFUNCTION("""COMPUTED_VALUE"""),"0.2 Tidak Dapat Izin Warga/Kades/Lurah/Developer")</f>
        <v>0.2 Tidak Dapat Izin Warga/Kades/Lurah/Developer</v>
      </c>
      <c r="Q279" s="222" t="str">
        <f>IFERROR(__xludf.DUMMYFUNCTION("""COMPUTED_VALUE"""),"10/03 DROP BUTUH REDESIGN,24/02 DROP BUTUH REDESIGN, 06/02 HASIL REVIEW TSEL DROP NEED REDESIGN, 15/01 DROP, butuh redesain PT4 CSF (21/01) DROP, karena butuh redesain menjadi PT4 CSF, (06/01)order JPP batch-2 2026 (06/01)order JPP batch-2 2026 (04/11 dro"&amp;"p 08/10 aanwizjing done, proses update data hasil aanwizjing untuk eval dg tif
 01/10 proses aanwijzing HI.")</f>
        <v>10/03 DROP BUTUH REDESIGN,24/02 DROP BUTUH REDESIGN, 06/02 HASIL REVIEW TSEL DROP NEED REDESIGN, 15/01 DROP, butuh redesain PT4 CSF (21/01) DROP, karena butuh redesain menjadi PT4 CSF, (06/01)order JPP batch-2 2026 (06/01)order JPP batch-2 2026 (04/11 drop 08/10 aanwizjing done, proses update data hasil aanwizjing untuk eval dg tif
 01/10 proses aanwijzing HI.</v>
      </c>
      <c r="R279" s="228"/>
      <c r="S279" s="11"/>
      <c r="T279" s="11"/>
      <c r="U279" s="11"/>
      <c r="V279" s="229" t="str">
        <f>IFERROR(__xludf.DUMMYFUNCTION("""COMPUTED_VALUE"""),"RENALDO")</f>
        <v>RENALDO</v>
      </c>
      <c r="W279" s="229"/>
      <c r="X279" s="229" t="str">
        <f>IFERROR(__xludf.DUMMYFUNCTION("""COMPUTED_VALUE"""),"BELUM GOLIVE")</f>
        <v>BELUM GOLIVE</v>
      </c>
      <c r="Y279" s="229"/>
      <c r="Z279" s="229" t="str">
        <f>IFERROR(__xludf.DUMMYFUNCTION("""COMPUTED_VALUE"""),"#N/A")</f>
        <v>#N/A</v>
      </c>
      <c r="AA279" s="229"/>
      <c r="AB279" s="229"/>
      <c r="AC279" s="229"/>
      <c r="AD279" s="232"/>
      <c r="AE279" s="233"/>
      <c r="AF279" s="54" t="str">
        <f>IFERROR(__xludf.DUMMYFUNCTION("""COMPUTED_VALUE"""),"Draft BA DROP")</f>
        <v>Draft BA DROP</v>
      </c>
      <c r="AG279" s="54"/>
      <c r="AH279" s="54"/>
      <c r="AI279" s="55" t="str">
        <f t="shared" si="42"/>
        <v/>
      </c>
      <c r="AW279" s="234"/>
      <c r="BP279" s="11"/>
      <c r="BQ279" s="11"/>
      <c r="BR279" s="235"/>
      <c r="BV279" s="158"/>
      <c r="BY279" s="158"/>
      <c r="CB279" s="158"/>
    </row>
    <row r="280" ht="18.0" hidden="1" customHeight="1">
      <c r="A280" s="222">
        <f>IFERROR(__xludf.DUMMYFUNCTION("""COMPUTED_VALUE"""),2026.0)</f>
        <v>2026</v>
      </c>
      <c r="B280" s="221">
        <f>IFERROR(__xludf.DUMMYFUNCTION("""COMPUTED_VALUE"""),1.1276527E7)</f>
        <v>11276527</v>
      </c>
      <c r="C280" s="222" t="str">
        <f>IFERROR(__xludf.DUMMYFUNCTION("""COMPUTED_VALUE"""),"MDN PT4 P1I1 PDB-FBG GG.BUNGA DEWI 1")</f>
        <v>MDN PT4 P1I1 PDB-FBG GG.BUNGA DEWI 1</v>
      </c>
      <c r="D280" s="222" t="str">
        <f>IFERROR(__xludf.DUMMYFUNCTION("""COMPUTED_VALUE"""),"REGIONAL I")</f>
        <v>REGIONAL I</v>
      </c>
      <c r="E280" s="222" t="str">
        <f>IFERROR(__xludf.DUMMYFUNCTION("""COMPUTED_VALUE"""),"MEDAN")</f>
        <v>MEDAN</v>
      </c>
      <c r="F280" s="222" t="str">
        <f>IFERROR(__xludf.DUMMYFUNCTION("""COMPUTED_VALUE"""),"PDB")</f>
        <v>PDB</v>
      </c>
      <c r="G280" s="222" t="str">
        <f>IFERROR(__xludf.DUMMYFUNCTION("""COMPUTED_VALUE"""),"SUMBAGUT")</f>
        <v>SUMBAGUT</v>
      </c>
      <c r="H280" s="222" t="str">
        <f>IFERROR(__xludf.DUMMYFUNCTION("""COMPUTED_VALUE"""),"MEDAN")</f>
        <v>MEDAN</v>
      </c>
      <c r="I280" s="222" t="str">
        <f>IFERROR(__xludf.DUMMYFUNCTION("""COMPUTED_VALUE"""),"Batch 2")</f>
        <v>Batch 2</v>
      </c>
      <c r="J280" s="225">
        <f>IFERROR(__xludf.DUMMYFUNCTION("""COMPUTED_VALUE"""),6.0)</f>
        <v>6</v>
      </c>
      <c r="K280" s="224">
        <f>IFERROR(__xludf.DUMMYFUNCTION("""COMPUTED_VALUE"""),48.0)</f>
        <v>48</v>
      </c>
      <c r="L280" s="226">
        <f>IFERROR(__xludf.DUMMYFUNCTION("""COMPUTED_VALUE"""),1522583.0)</f>
        <v>1522583</v>
      </c>
      <c r="M280" s="227">
        <f>IFERROR(__xludf.DUMMYFUNCTION("""COMPUTED_VALUE"""),7.308394E7)</f>
        <v>73083940</v>
      </c>
      <c r="N280" s="222" t="str">
        <f>IFERROR(__xludf.DUMMYFUNCTION("""COMPUTED_VALUE"""),"PT MITRA AKSES INSANI")</f>
        <v>PT MITRA AKSES INSANI</v>
      </c>
      <c r="O280" s="222" t="str">
        <f>IFERROR(__xludf.DUMMYFUNCTION("""COMPUTED_VALUE"""),"0. DROP")</f>
        <v>0. DROP</v>
      </c>
      <c r="P280" s="222" t="str">
        <f>IFERROR(__xludf.DUMMYFUNCTION("""COMPUTED_VALUE"""),"0.4 CPP Tinggi Acc ED TIF")</f>
        <v>0.4 CPP Tinggi Acc ED TIF</v>
      </c>
      <c r="Q280" s="222" t="str">
        <f>IFERROR(__xludf.DUMMYFUNCTION("""COMPUTED_VALUE"""),"5/11 Feeder Habis
(24/09) Perizinan Warga dan Kades / Lurah
(23/09) Perizinan Warga dan Kades / Lurah
15/09 proses aanwijzing")</f>
        <v>5/11 Feeder Habis
(24/09) Perizinan Warga dan Kades / Lurah
(23/09) Perizinan Warga dan Kades / Lurah
15/09 proses aanwijzing</v>
      </c>
      <c r="R280" s="228"/>
      <c r="S280" s="11"/>
      <c r="T280" s="11"/>
      <c r="U280" s="11"/>
      <c r="V280" s="229"/>
      <c r="W280" s="229"/>
      <c r="X280" s="229" t="str">
        <f>IFERROR(__xludf.DUMMYFUNCTION("""COMPUTED_VALUE"""),"BELUM GOLIVE")</f>
        <v>BELUM GOLIVE</v>
      </c>
      <c r="Y280" s="229"/>
      <c r="Z280" s="229" t="str">
        <f>IFERROR(__xludf.DUMMYFUNCTION("""COMPUTED_VALUE"""),"#N/A")</f>
        <v>#N/A</v>
      </c>
      <c r="AA280" s="229"/>
      <c r="AB280" s="229"/>
      <c r="AC280" s="229"/>
      <c r="AD280" s="232"/>
      <c r="AE280" s="233"/>
      <c r="AF280" s="54" t="str">
        <f>IFERROR(__xludf.DUMMYFUNCTION("""COMPUTED_VALUE"""),"Draft BA DROP")</f>
        <v>Draft BA DROP</v>
      </c>
      <c r="AG280" s="54"/>
      <c r="AH280" s="54"/>
      <c r="AI280" s="55" t="str">
        <f t="shared" si="42"/>
        <v/>
      </c>
      <c r="AW280" s="234"/>
      <c r="BP280" s="11"/>
      <c r="BQ280" s="11"/>
      <c r="BR280" s="235"/>
      <c r="BV280" s="158"/>
      <c r="BY280" s="158"/>
      <c r="CB280" s="158"/>
    </row>
    <row r="281" ht="18.0" customHeight="1">
      <c r="A281" s="222">
        <f>IFERROR(__xludf.DUMMYFUNCTION("""COMPUTED_VALUE"""),2026.0)</f>
        <v>2026</v>
      </c>
      <c r="B281" s="221">
        <f>IFERROR(__xludf.DUMMYFUNCTION("""COMPUTED_VALUE"""),1.2101455E7)</f>
        <v>12101455</v>
      </c>
      <c r="C281" s="222" t="str">
        <f>IFERROR(__xludf.DUMMYFUNCTION("""COMPUTED_VALUE"""),"RDR JPP PT3 Jl. Sialang Indah")</f>
        <v>RDR JPP PT3 Jl. Sialang Indah</v>
      </c>
      <c r="D281" s="222" t="str">
        <f>IFERROR(__xludf.DUMMYFUNCTION("""COMPUTED_VALUE"""),"REGIONAL I")</f>
        <v>REGIONAL I</v>
      </c>
      <c r="E281" s="222" t="str">
        <f>IFERROR(__xludf.DUMMYFUNCTION("""COMPUTED_VALUE"""),"RIDAR")</f>
        <v>RIDAR</v>
      </c>
      <c r="F281" s="222" t="str">
        <f>IFERROR(__xludf.DUMMYFUNCTION("""COMPUTED_VALUE"""),"BKR")</f>
        <v>BKR</v>
      </c>
      <c r="G281" s="222" t="str">
        <f>IFERROR(__xludf.DUMMYFUNCTION("""COMPUTED_VALUE"""),"SUMBAGTENG")</f>
        <v>SUMBAGTENG</v>
      </c>
      <c r="H281" s="222" t="str">
        <f>IFERROR(__xludf.DUMMYFUNCTION("""COMPUTED_VALUE"""),"PEKANBARU")</f>
        <v>PEKANBARU</v>
      </c>
      <c r="I281" s="222" t="str">
        <f>IFERROR(__xludf.DUMMYFUNCTION("""COMPUTED_VALUE"""),"Batch 2")</f>
        <v>Batch 2</v>
      </c>
      <c r="J281" s="225">
        <f>IFERROR(__xludf.DUMMYFUNCTION("""COMPUTED_VALUE"""),8.0)</f>
        <v>8</v>
      </c>
      <c r="K281" s="224">
        <f>IFERROR(__xludf.DUMMYFUNCTION("""COMPUTED_VALUE"""),64.0)</f>
        <v>64</v>
      </c>
      <c r="L281" s="226">
        <f>IFERROR(__xludf.DUMMYFUNCTION("""COMPUTED_VALUE"""),1119909.0)</f>
        <v>1119909</v>
      </c>
      <c r="M281" s="227">
        <f>IFERROR(__xludf.DUMMYFUNCTION("""COMPUTED_VALUE"""),7.1674115E7)</f>
        <v>71674115</v>
      </c>
      <c r="N281" s="222" t="str">
        <f>IFERROR(__xludf.DUMMYFUNCTION("""COMPUTED_VALUE"""),"PT PASIFIK MORA TAMA")</f>
        <v>PT PASIFIK MORA TAMA</v>
      </c>
      <c r="O281" s="222" t="str">
        <f>IFERROR(__xludf.DUMMYFUNCTION("""COMPUTED_VALUE"""),"7. GOLIVE")</f>
        <v>7. GOLIVE</v>
      </c>
      <c r="P281" s="222" t="str">
        <f>IFERROR(__xludf.DUMMYFUNCTION("""COMPUTED_VALUE"""),"7.2 Golive Full / OA / DONE OTB")</f>
        <v>7.2 Golive Full / OA / DONE OTB</v>
      </c>
      <c r="Q281" s="222" t="str">
        <f>IFERROR(__xludf.DUMMYFUNCTION("""COMPUTED_VALUE"""),"(07/01) Persiapan")</f>
        <v>(07/01) Persiapan</v>
      </c>
      <c r="R281" s="228"/>
      <c r="S281" s="11"/>
      <c r="T281" s="11"/>
      <c r="U281" s="11" t="str">
        <f>IFERROR(__xludf.DUMMYFUNCTION("""COMPUTED_VALUE"""),"W08-1866/2025")</f>
        <v>W08-1866/2025</v>
      </c>
      <c r="V281" s="229" t="str">
        <f>IFERROR(__xludf.DUMMYFUNCTION("""COMPUTED_VALUE"""),"FIRDAUS ZULKARNAIEN")</f>
        <v>FIRDAUS ZULKARNAIEN</v>
      </c>
      <c r="W281" s="229" t="str">
        <f>IFERROR(__xludf.DUMMYFUNCTION("""COMPUTED_VALUE"""),"ANZALA SAKINAH")</f>
        <v>ANZALA SAKINAH</v>
      </c>
      <c r="X281" s="229" t="str">
        <f>IFERROR(__xludf.DUMMYFUNCTION("""COMPUTED_VALUE"""),"GOLIVE")</f>
        <v>GOLIVE</v>
      </c>
      <c r="Y281" s="229" t="str">
        <f>IFERROR(__xludf.DUMMYFUNCTION("""COMPUTED_VALUE"""),"DONE")</f>
        <v>DONE</v>
      </c>
      <c r="Z281" s="229" t="str">
        <f>IFERROR(__xludf.DUMMYFUNCTION("""COMPUTED_VALUE"""),"#N/A")</f>
        <v>#N/A</v>
      </c>
      <c r="AA281" s="229">
        <f>IFERROR(__xludf.DUMMYFUNCTION("""COMPUTED_VALUE"""),6.0)</f>
        <v>6</v>
      </c>
      <c r="AB281" s="229"/>
      <c r="AC281" s="229" t="str">
        <f>IFERROR(__xludf.DUMMYFUNCTION("""COMPUTED_VALUE"""),"8650686#8650691")</f>
        <v>8650686#8650691</v>
      </c>
      <c r="AD281" s="232">
        <f>IFERROR(__xludf.DUMMYFUNCTION("""COMPUTED_VALUE"""),48.0)</f>
        <v>48</v>
      </c>
      <c r="AE281" s="233">
        <f>IFERROR(__xludf.DUMMYFUNCTION("""COMPUTED_VALUE"""),46038.0)</f>
        <v>46038</v>
      </c>
      <c r="AF281" s="54"/>
      <c r="AG281" s="54"/>
      <c r="AH281" s="54"/>
      <c r="AI281" s="55" t="str">
        <f>IF(OR(AH281="",AE281=""),"",AH281-AE281)</f>
        <v/>
      </c>
      <c r="AW281" s="234"/>
      <c r="BP281" s="11"/>
      <c r="BQ281" s="11"/>
      <c r="BR281" s="235"/>
      <c r="BV281" s="158"/>
      <c r="BY281" s="158"/>
      <c r="CB281" s="158"/>
    </row>
    <row r="282" ht="18.0" customHeight="1">
      <c r="A282" s="222">
        <f>IFERROR(__xludf.DUMMYFUNCTION("""COMPUTED_VALUE"""),2026.0)</f>
        <v>2026</v>
      </c>
      <c r="B282" s="221">
        <f>IFERROR(__xludf.DUMMYFUNCTION("""COMPUTED_VALUE"""),1.1138628E7)</f>
        <v>11138628</v>
      </c>
      <c r="C282" s="222" t="str">
        <f>IFERROR(__xludf.DUMMYFUNCTION("""COMPUTED_VALUE"""),"SMB P3I1 Bumikarim Residence LBB")</f>
        <v>SMB P3I1 Bumikarim Residence LBB</v>
      </c>
      <c r="D282" s="222" t="str">
        <f>IFERROR(__xludf.DUMMYFUNCTION("""COMPUTED_VALUE"""),"REGIONAL I")</f>
        <v>REGIONAL I</v>
      </c>
      <c r="E282" s="222" t="str">
        <f>IFERROR(__xludf.DUMMYFUNCTION("""COMPUTED_VALUE"""),"SUMBAR")</f>
        <v>SUMBAR</v>
      </c>
      <c r="F282" s="222" t="str">
        <f>IFERROR(__xludf.DUMMYFUNCTION("""COMPUTED_VALUE"""),"LBB")</f>
        <v>LBB</v>
      </c>
      <c r="G282" s="222" t="str">
        <f>IFERROR(__xludf.DUMMYFUNCTION("""COMPUTED_VALUE"""),"SUMBAGTENG")</f>
        <v>SUMBAGTENG</v>
      </c>
      <c r="H282" s="222" t="str">
        <f>IFERROR(__xludf.DUMMYFUNCTION("""COMPUTED_VALUE"""),"BUKIT TINGGI")</f>
        <v>BUKIT TINGGI</v>
      </c>
      <c r="I282" s="222" t="str">
        <f>IFERROR(__xludf.DUMMYFUNCTION("""COMPUTED_VALUE"""),"Batch 2")</f>
        <v>Batch 2</v>
      </c>
      <c r="J282" s="225">
        <f>IFERROR(__xludf.DUMMYFUNCTION("""COMPUTED_VALUE"""),2.0)</f>
        <v>2</v>
      </c>
      <c r="K282" s="224">
        <f>IFERROR(__xludf.DUMMYFUNCTION("""COMPUTED_VALUE"""),16.0)</f>
        <v>16</v>
      </c>
      <c r="L282" s="226">
        <f>IFERROR(__xludf.DUMMYFUNCTION("""COMPUTED_VALUE"""),1364896.0)</f>
        <v>1364896</v>
      </c>
      <c r="M282" s="227">
        <f>IFERROR(__xludf.DUMMYFUNCTION("""COMPUTED_VALUE"""),2.1838327E7)</f>
        <v>21838327</v>
      </c>
      <c r="N282" s="222" t="str">
        <f>IFERROR(__xludf.DUMMYFUNCTION("""COMPUTED_VALUE"""),"PT TIGA AKSES MANDIRI")</f>
        <v>PT TIGA AKSES MANDIRI</v>
      </c>
      <c r="O282" s="222" t="str">
        <f>IFERROR(__xludf.DUMMYFUNCTION("""COMPUTED_VALUE"""),"0. DROP")</f>
        <v>0. DROP</v>
      </c>
      <c r="P282" s="222" t="str">
        <f>IFERROR(__xludf.DUMMYFUNCTION("""COMPUTED_VALUE"""),"0.3 Feeder Full")</f>
        <v>0.3 Feeder Full</v>
      </c>
      <c r="Q282" s="222" t="str">
        <f>IFERROR(__xludf.DUMMYFUNCTION("""COMPUTED_VALUE"""),"08/01 kendala feeder LBB-FB FULL (07/01) Persiapan")</f>
        <v>08/01 kendala feeder LBB-FB FULL (07/01) Persiapan</v>
      </c>
      <c r="R282" s="228"/>
      <c r="S282" s="11"/>
      <c r="T282" s="11"/>
      <c r="U282" s="11"/>
      <c r="V282" s="229"/>
      <c r="W282" s="229"/>
      <c r="X282" s="229" t="str">
        <f>IFERROR(__xludf.DUMMYFUNCTION("""COMPUTED_VALUE"""),"BELUM GOLIVE")</f>
        <v>BELUM GOLIVE</v>
      </c>
      <c r="Y282" s="229"/>
      <c r="Z282" s="229" t="str">
        <f>IFERROR(__xludf.DUMMYFUNCTION("""COMPUTED_VALUE"""),"#N/A")</f>
        <v>#N/A</v>
      </c>
      <c r="AA282" s="229"/>
      <c r="AB282" s="229"/>
      <c r="AC282" s="229"/>
      <c r="AD282" s="232"/>
      <c r="AE282" s="233"/>
      <c r="AF282" s="54" t="str">
        <f>IFERROR(__xludf.DUMMYFUNCTION("""COMPUTED_VALUE"""),"Draft BA DROP")</f>
        <v>Draft BA DROP</v>
      </c>
      <c r="AG282" s="54"/>
      <c r="AH282" s="54"/>
      <c r="AI282" s="55" t="str">
        <f t="shared" ref="AI282:AI284" si="43">IF(OR(R282="",AE282=""),"",R282-AE282)</f>
        <v/>
      </c>
      <c r="AW282" s="234"/>
      <c r="BP282" s="11"/>
      <c r="BQ282" s="11"/>
      <c r="BR282" s="235"/>
      <c r="BV282" s="158"/>
      <c r="BY282" s="158"/>
      <c r="CB282" s="158"/>
    </row>
    <row r="283" ht="18.0" hidden="1" customHeight="1">
      <c r="A283" s="222">
        <f>IFERROR(__xludf.DUMMYFUNCTION("""COMPUTED_VALUE"""),2026.0)</f>
        <v>2026</v>
      </c>
      <c r="B283" s="221">
        <f>IFERROR(__xludf.DUMMYFUNCTION("""COMPUTED_VALUE"""),1.2084618E7)</f>
        <v>12084618</v>
      </c>
      <c r="C283" s="222" t="str">
        <f>IFERROR(__xludf.DUMMYFUNCTION("""COMPUTED_VALUE"""),"LPG PT3 JPP BANDAN HURIP PALAS SPS")</f>
        <v>LPG PT3 JPP BANDAN HURIP PALAS SPS</v>
      </c>
      <c r="D283" s="222" t="str">
        <f>IFERROR(__xludf.DUMMYFUNCTION("""COMPUTED_VALUE"""),"REGIONAL I")</f>
        <v>REGIONAL I</v>
      </c>
      <c r="E283" s="222" t="str">
        <f>IFERROR(__xludf.DUMMYFUNCTION("""COMPUTED_VALUE"""),"LAMPUNG")</f>
        <v>LAMPUNG</v>
      </c>
      <c r="F283" s="222" t="str">
        <f>IFERROR(__xludf.DUMMYFUNCTION("""COMPUTED_VALUE"""),"SPS")</f>
        <v>SPS</v>
      </c>
      <c r="G283" s="222" t="str">
        <f>IFERROR(__xludf.DUMMYFUNCTION("""COMPUTED_VALUE"""),"SUMBAGSEL")</f>
        <v>SUMBAGSEL</v>
      </c>
      <c r="H283" s="222" t="str">
        <f>IFERROR(__xludf.DUMMYFUNCTION("""COMPUTED_VALUE"""),"LAMPUNG")</f>
        <v>LAMPUNG</v>
      </c>
      <c r="I283" s="222" t="str">
        <f>IFERROR(__xludf.DUMMYFUNCTION("""COMPUTED_VALUE"""),"Batch 2")</f>
        <v>Batch 2</v>
      </c>
      <c r="J283" s="225">
        <f>IFERROR(__xludf.DUMMYFUNCTION("""COMPUTED_VALUE"""),20.0)</f>
        <v>20</v>
      </c>
      <c r="K283" s="224">
        <f>IFERROR(__xludf.DUMMYFUNCTION("""COMPUTED_VALUE"""),160.0)</f>
        <v>160</v>
      </c>
      <c r="L283" s="226">
        <f>IFERROR(__xludf.DUMMYFUNCTION("""COMPUTED_VALUE"""),1364366.0)</f>
        <v>1364366</v>
      </c>
      <c r="M283" s="227">
        <f>IFERROR(__xludf.DUMMYFUNCTION("""COMPUTED_VALUE"""),2.18298555E8)</f>
        <v>218298555</v>
      </c>
      <c r="N283" s="222" t="str">
        <f>IFERROR(__xludf.DUMMYFUNCTION("""COMPUTED_VALUE"""),"PT ACERO CETHA METALINDO")</f>
        <v>PT ACERO CETHA METALINDO</v>
      </c>
      <c r="O283" s="222" t="str">
        <f>IFERROR(__xludf.DUMMYFUNCTION("""COMPUTED_VALUE"""),"8. UJI TERIMA")</f>
        <v>8. UJI TERIMA</v>
      </c>
      <c r="P283" s="222" t="str">
        <f>IFERROR(__xludf.DUMMYFUNCTION("""COMPUTED_VALUE"""),"8.1 Proses UT")</f>
        <v>8.1 Proses UT</v>
      </c>
      <c r="Q283" s="222" t="str">
        <f>IFERROR(__xludf.DUMMYFUNCTION("""COMPUTED_VALUE"""),"11/2 progres abd+valins,plan besok data sudah di sumbit  9/2 progres terminasi, plan abd+valins 10/2 plan golive 11/2,6/2 proses terminasi odp  fi 12 plan abd+valins 13/2 plan golive 14/12
4/2 pernarikan kabel distribusiplan fi 12 plan abd+valins 13/2 pla"&amp;"n golive 14/12, /2 plan ad 
4/02 finish intalasi23/1 plan matdel senin 
26/1, menungu boq terupdate dan menungu pengajuan pid 
19/1 proses pengacekan olt kendala kunci site""")</f>
        <v>11/2 progres abd+valins,plan besok data sudah di sumbit  9/2 progres terminasi, plan abd+valins 10/2 plan golive 11/2,6/2 proses terminasi odp  fi 12 plan abd+valins 13/2 plan golive 14/12
4/2 pernarikan kabel distribusiplan fi 12 plan abd+valins 13/2 plan golive 14/12, /2 plan ad 
4/02 finish intalasi23/1 plan matdel senin 
26/1, menungu boq terupdate dan menungu pengajuan pid 
19/1 proses pengacekan olt kendala kunci site"</v>
      </c>
      <c r="R283" s="228">
        <f>IFERROR(__xludf.DUMMYFUNCTION("""COMPUTED_VALUE"""),46066.0)</f>
        <v>46066</v>
      </c>
      <c r="S283" s="11"/>
      <c r="T283" s="11"/>
      <c r="U283" s="11" t="str">
        <f>IFERROR(__xludf.DUMMYFUNCTION("""COMPUTED_VALUE"""),"W02-24/2026")</f>
        <v>W02-24/2026</v>
      </c>
      <c r="V283" s="229"/>
      <c r="W283" s="229"/>
      <c r="X283" s="229" t="str">
        <f>IFERROR(__xludf.DUMMYFUNCTION("""COMPUTED_VALUE"""),"GOLIVE")</f>
        <v>GOLIVE</v>
      </c>
      <c r="Y283" s="229" t="str">
        <f>IFERROR(__xludf.DUMMYFUNCTION("""COMPUTED_VALUE"""),"DONE")</f>
        <v>DONE</v>
      </c>
      <c r="Z283" s="229" t="str">
        <f>IFERROR(__xludf.DUMMYFUNCTION("""COMPUTED_VALUE"""),"#N/A")</f>
        <v>#N/A</v>
      </c>
      <c r="AA283" s="229">
        <f>IFERROR(__xludf.DUMMYFUNCTION("""COMPUTED_VALUE"""),35.0)</f>
        <v>35</v>
      </c>
      <c r="AB283" s="229"/>
      <c r="AC283" s="229" t="str">
        <f>IFERROR(__xludf.DUMMYFUNCTION("""COMPUTED_VALUE"""),"9033522#9033527")</f>
        <v>9033522#9033527</v>
      </c>
      <c r="AD283" s="232">
        <f>IFERROR(__xludf.DUMMYFUNCTION("""COMPUTED_VALUE"""),280.0)</f>
        <v>280</v>
      </c>
      <c r="AE283" s="233">
        <f>IFERROR(__xludf.DUMMYFUNCTION("""COMPUTED_VALUE"""),46066.0)</f>
        <v>46066</v>
      </c>
      <c r="AF283" s="54"/>
      <c r="AG283" s="54"/>
      <c r="AH283" s="54">
        <v>46066.0</v>
      </c>
      <c r="AI283" s="55">
        <f t="shared" si="43"/>
        <v>0</v>
      </c>
      <c r="AW283" s="234"/>
      <c r="BP283" s="11"/>
      <c r="BQ283" s="11"/>
      <c r="BR283" s="235"/>
      <c r="BV283" s="158"/>
      <c r="BY283" s="158"/>
      <c r="CB283" s="158"/>
    </row>
    <row r="284" ht="18.0" customHeight="1">
      <c r="A284" s="222">
        <f>IFERROR(__xludf.DUMMYFUNCTION("""COMPUTED_VALUE"""),2026.0)</f>
        <v>2026</v>
      </c>
      <c r="B284" s="221">
        <f>IFERROR(__xludf.DUMMYFUNCTION("""COMPUTED_VALUE"""),1.1200403E7)</f>
        <v>11200403</v>
      </c>
      <c r="C284" s="222" t="str">
        <f>IFERROR(__xludf.DUMMYFUNCTION("""COMPUTED_VALUE"""),"RKP PT3 TSEL SLU-FAU PERUM. SP PLAZA")</f>
        <v>RKP PT3 TSEL SLU-FAU PERUM. SP PLAZA</v>
      </c>
      <c r="D284" s="222" t="str">
        <f>IFERROR(__xludf.DUMMYFUNCTION("""COMPUTED_VALUE"""),"REGIONAL I")</f>
        <v>REGIONAL I</v>
      </c>
      <c r="E284" s="222" t="str">
        <f>IFERROR(__xludf.DUMMYFUNCTION("""COMPUTED_VALUE"""),"RIKEP")</f>
        <v>RIKEP</v>
      </c>
      <c r="F284" s="222" t="str">
        <f>IFERROR(__xludf.DUMMYFUNCTION("""COMPUTED_VALUE"""),"SLU")</f>
        <v>SLU</v>
      </c>
      <c r="G284" s="222" t="str">
        <f>IFERROR(__xludf.DUMMYFUNCTION("""COMPUTED_VALUE"""),"SUMBAGTENG")</f>
        <v>SUMBAGTENG</v>
      </c>
      <c r="H284" s="222" t="str">
        <f>IFERROR(__xludf.DUMMYFUNCTION("""COMPUTED_VALUE"""),"BATAM")</f>
        <v>BATAM</v>
      </c>
      <c r="I284" s="222" t="str">
        <f>IFERROR(__xludf.DUMMYFUNCTION("""COMPUTED_VALUE"""),"Batch 2")</f>
        <v>Batch 2</v>
      </c>
      <c r="J284" s="225">
        <f>IFERROR(__xludf.DUMMYFUNCTION("""COMPUTED_VALUE"""),5.0)</f>
        <v>5</v>
      </c>
      <c r="K284" s="224">
        <f>IFERROR(__xludf.DUMMYFUNCTION("""COMPUTED_VALUE"""),40.0)</f>
        <v>40</v>
      </c>
      <c r="L284" s="226">
        <f>IFERROR(__xludf.DUMMYFUNCTION("""COMPUTED_VALUE"""),1363960.0)</f>
        <v>1363960</v>
      </c>
      <c r="M284" s="227">
        <f>IFERROR(__xludf.DUMMYFUNCTION("""COMPUTED_VALUE"""),5.4558383E7)</f>
        <v>54558383</v>
      </c>
      <c r="N284" s="222" t="str">
        <f>IFERROR(__xludf.DUMMYFUNCTION("""COMPUTED_VALUE"""),"PT MITRA SETIA INDONESIA")</f>
        <v>PT MITRA SETIA INDONESIA</v>
      </c>
      <c r="O284" s="222" t="str">
        <f>IFERROR(__xludf.DUMMYFUNCTION("""COMPUTED_VALUE"""),"0. DROP")</f>
        <v>0. DROP</v>
      </c>
      <c r="P284" s="222" t="str">
        <f>IFERROR(__xludf.DUMMYFUNCTION("""COMPUTED_VALUE"""),"0.2 Tidak Dapat Izin Warga/Kades/Lurah/Developer")</f>
        <v>0.2 Tidak Dapat Izin Warga/Kades/Lurah/Developer</v>
      </c>
      <c r="Q284" s="222" t="str">
        <f>IFERROR(__xludf.DUMMYFUNCTION("""COMPUTED_VALUE"""),"28/01 Izin di tolak oleh developer. 21/01 plan fu perizinan tanggal 26 Jan")</f>
        <v>28/01 Izin di tolak oleh developer. 21/01 plan fu perizinan tanggal 26 Jan</v>
      </c>
      <c r="R284" s="228"/>
      <c r="S284" s="11"/>
      <c r="T284" s="11"/>
      <c r="U284" s="11"/>
      <c r="V284" s="229" t="str">
        <f>IFERROR(__xludf.DUMMYFUNCTION("""COMPUTED_VALUE"""),"MUHAMMAD RIDHO FALFO")</f>
        <v>MUHAMMAD RIDHO FALFO</v>
      </c>
      <c r="W284" s="229" t="str">
        <f>IFERROR(__xludf.DUMMYFUNCTION("""COMPUTED_VALUE"""),"LEVITA INDRIYANI")</f>
        <v>LEVITA INDRIYANI</v>
      </c>
      <c r="X284" s="229" t="str">
        <f>IFERROR(__xludf.DUMMYFUNCTION("""COMPUTED_VALUE"""),"BELUM GOLIVE")</f>
        <v>BELUM GOLIVE</v>
      </c>
      <c r="Y284" s="229"/>
      <c r="Z284" s="229" t="str">
        <f>IFERROR(__xludf.DUMMYFUNCTION("""COMPUTED_VALUE"""),"#N/A")</f>
        <v>#N/A</v>
      </c>
      <c r="AA284" s="229"/>
      <c r="AB284" s="229"/>
      <c r="AC284" s="229"/>
      <c r="AD284" s="232"/>
      <c r="AE284" s="233"/>
      <c r="AF284" s="54" t="str">
        <f>IFERROR(__xludf.DUMMYFUNCTION("""COMPUTED_VALUE"""),"Draft BA DROP")</f>
        <v>Draft BA DROP</v>
      </c>
      <c r="AG284" s="54"/>
      <c r="AH284" s="54"/>
      <c r="AI284" s="55" t="str">
        <f t="shared" si="43"/>
        <v/>
      </c>
      <c r="AW284" s="234"/>
      <c r="BP284" s="11"/>
      <c r="BQ284" s="11"/>
      <c r="BR284" s="235"/>
      <c r="BV284" s="158"/>
      <c r="BY284" s="158"/>
      <c r="CB284" s="158"/>
    </row>
    <row r="285" ht="18.0" customHeight="1">
      <c r="A285" s="222">
        <f>IFERROR(__xludf.DUMMYFUNCTION("""COMPUTED_VALUE"""),2026.0)</f>
        <v>2026</v>
      </c>
      <c r="B285" s="221">
        <f>IFERROR(__xludf.DUMMYFUNCTION("""COMPUTED_VALUE"""),1.1353473E7)</f>
        <v>11353473</v>
      </c>
      <c r="C285" s="222" t="str">
        <f>IFERROR(__xludf.DUMMYFUNCTION("""COMPUTED_VALUE"""),"SMB P3I1 Kampung Jua")</f>
        <v>SMB P3I1 Kampung Jua</v>
      </c>
      <c r="D285" s="222" t="str">
        <f>IFERROR(__xludf.DUMMYFUNCTION("""COMPUTED_VALUE"""),"REGIONAL I")</f>
        <v>REGIONAL I</v>
      </c>
      <c r="E285" s="222" t="str">
        <f>IFERROR(__xludf.DUMMYFUNCTION("""COMPUTED_VALUE"""),"SUMBAR")</f>
        <v>SUMBAR</v>
      </c>
      <c r="F285" s="222" t="str">
        <f>IFERROR(__xludf.DUMMYFUNCTION("""COMPUTED_VALUE"""),"TLB")</f>
        <v>TLB</v>
      </c>
      <c r="G285" s="222" t="str">
        <f>IFERROR(__xludf.DUMMYFUNCTION("""COMPUTED_VALUE"""),"SUMBAGTENG")</f>
        <v>SUMBAGTENG</v>
      </c>
      <c r="H285" s="222" t="str">
        <f>IFERROR(__xludf.DUMMYFUNCTION("""COMPUTED_VALUE"""),"PADANG")</f>
        <v>PADANG</v>
      </c>
      <c r="I285" s="222" t="str">
        <f>IFERROR(__xludf.DUMMYFUNCTION("""COMPUTED_VALUE"""),"Batch 2")</f>
        <v>Batch 2</v>
      </c>
      <c r="J285" s="225">
        <f>IFERROR(__xludf.DUMMYFUNCTION("""COMPUTED_VALUE"""),8.0)</f>
        <v>8</v>
      </c>
      <c r="K285" s="224">
        <f>IFERROR(__xludf.DUMMYFUNCTION("""COMPUTED_VALUE"""),64.0)</f>
        <v>64</v>
      </c>
      <c r="L285" s="226">
        <f>IFERROR(__xludf.DUMMYFUNCTION("""COMPUTED_VALUE"""),1363617.0)</f>
        <v>1363617</v>
      </c>
      <c r="M285" s="227">
        <f>IFERROR(__xludf.DUMMYFUNCTION("""COMPUTED_VALUE"""),8.7271474E7)</f>
        <v>87271474</v>
      </c>
      <c r="N285" s="222" t="str">
        <f>IFERROR(__xludf.DUMMYFUNCTION("""COMPUTED_VALUE"""),"PT TIGA AKSES MANDIRI")</f>
        <v>PT TIGA AKSES MANDIRI</v>
      </c>
      <c r="O285" s="222" t="str">
        <f>IFERROR(__xludf.DUMMYFUNCTION("""COMPUTED_VALUE"""),"2. DONE AANWIJZING")</f>
        <v>2. DONE AANWIJZING</v>
      </c>
      <c r="P285" s="222" t="str">
        <f>IFERROR(__xludf.DUMMYFUNCTION("""COMPUTED_VALUE"""),"2.10 Kendala - Feeder Rusak")</f>
        <v>2.10 Kendala - Feeder Rusak</v>
      </c>
      <c r="Q285" s="222" t="str">
        <f>IFERROR(__xludf.DUMMYFUNCTION("""COMPUTED_VALUE"""),"(20/04Proses identifikasi QE feeder  (12/03) proses pengukuran tipus feeder TLB-FD (27/01) BUTUH REPAIR FEEDER TLB-FD (07/01) Persiapan")</f>
        <v>(20/04Proses identifikasi QE feeder  (12/03) proses pengukuran tipus feeder TLB-FD (27/01) BUTUH REPAIR FEEDER TLB-FD (07/01) Persiapan</v>
      </c>
      <c r="R285" s="228"/>
      <c r="S285" s="11"/>
      <c r="T285" s="11"/>
      <c r="U285" s="11"/>
      <c r="V285" s="229"/>
      <c r="W285" s="229"/>
      <c r="X285" s="229" t="str">
        <f>IFERROR(__xludf.DUMMYFUNCTION("""COMPUTED_VALUE"""),"BELUM GOLIVE")</f>
        <v>BELUM GOLIVE</v>
      </c>
      <c r="Y285" s="229"/>
      <c r="Z285" s="229" t="str">
        <f>IFERROR(__xludf.DUMMYFUNCTION("""COMPUTED_VALUE"""),"#N/A")</f>
        <v>#N/A</v>
      </c>
      <c r="AA285" s="229"/>
      <c r="AB285" s="229"/>
      <c r="AC285" s="229"/>
      <c r="AD285" s="232"/>
      <c r="AE285" s="233"/>
      <c r="AF285" s="54"/>
      <c r="AG285" s="54"/>
      <c r="AH285" s="54">
        <v>46137.0</v>
      </c>
      <c r="AI285" s="237">
        <f t="shared" ref="AI285:AI286" si="44">AH285-NOW()</f>
        <v>-3.377989884</v>
      </c>
      <c r="AJ285" s="229" t="str">
        <f t="shared" ref="AJ285:AJ286" si="45">if(AI285&gt;=0,"In Komitmen","Out Komitmen")</f>
        <v>Out Komitmen</v>
      </c>
      <c r="AW285" s="234"/>
      <c r="BP285" s="11"/>
      <c r="BQ285" s="11"/>
      <c r="BR285" s="235"/>
      <c r="BV285" s="158"/>
      <c r="BY285" s="158"/>
      <c r="CB285" s="158"/>
    </row>
    <row r="286" ht="18.0" customHeight="1">
      <c r="A286" s="222">
        <f>IFERROR(__xludf.DUMMYFUNCTION("""COMPUTED_VALUE"""),2026.0)</f>
        <v>2026</v>
      </c>
      <c r="B286" s="221">
        <f>IFERROR(__xludf.DUMMYFUNCTION("""COMPUTED_VALUE"""),1.1189867E7)</f>
        <v>11189867</v>
      </c>
      <c r="C286" s="222" t="str">
        <f>IFERROR(__xludf.DUMMYFUNCTION("""COMPUTED_VALUE"""),"SMB P1I1 PANGLIMA POLIM RUSDI")</f>
        <v>SMB P1I1 PANGLIMA POLIM RUSDI</v>
      </c>
      <c r="D286" s="222" t="str">
        <f>IFERROR(__xludf.DUMMYFUNCTION("""COMPUTED_VALUE"""),"REGIONAL I")</f>
        <v>REGIONAL I</v>
      </c>
      <c r="E286" s="222" t="str">
        <f>IFERROR(__xludf.DUMMYFUNCTION("""COMPUTED_VALUE"""),"SUMBAR")</f>
        <v>SUMBAR</v>
      </c>
      <c r="F286" s="222" t="str">
        <f>IFERROR(__xludf.DUMMYFUNCTION("""COMPUTED_VALUE"""),"PYK")</f>
        <v>PYK</v>
      </c>
      <c r="G286" s="222" t="str">
        <f>IFERROR(__xludf.DUMMYFUNCTION("""COMPUTED_VALUE"""),"SUMBAGTENG")</f>
        <v>SUMBAGTENG</v>
      </c>
      <c r="H286" s="222" t="str">
        <f>IFERROR(__xludf.DUMMYFUNCTION("""COMPUTED_VALUE"""),"BUKIT TINGGI")</f>
        <v>BUKIT TINGGI</v>
      </c>
      <c r="I286" s="222" t="str">
        <f>IFERROR(__xludf.DUMMYFUNCTION("""COMPUTED_VALUE"""),"Batch 2")</f>
        <v>Batch 2</v>
      </c>
      <c r="J286" s="225">
        <f>IFERROR(__xludf.DUMMYFUNCTION("""COMPUTED_VALUE"""),4.0)</f>
        <v>4</v>
      </c>
      <c r="K286" s="224">
        <f>IFERROR(__xludf.DUMMYFUNCTION("""COMPUTED_VALUE"""),32.0)</f>
        <v>32</v>
      </c>
      <c r="L286" s="226">
        <f>IFERROR(__xludf.DUMMYFUNCTION("""COMPUTED_VALUE"""),1362449.0)</f>
        <v>1362449</v>
      </c>
      <c r="M286" s="227">
        <f>IFERROR(__xludf.DUMMYFUNCTION("""COMPUTED_VALUE"""),4.3598345E7)</f>
        <v>43598345</v>
      </c>
      <c r="N286" s="222" t="str">
        <f>IFERROR(__xludf.DUMMYFUNCTION("""COMPUTED_VALUE"""),"PT RATRI PRIMA MANDIRI")</f>
        <v>PT RATRI PRIMA MANDIRI</v>
      </c>
      <c r="O286" s="222" t="str">
        <f>IFERROR(__xludf.DUMMYFUNCTION("""COMPUTED_VALUE"""),"5. INSTALASI")</f>
        <v>5. INSTALASI</v>
      </c>
      <c r="P286" s="222" t="str">
        <f>IFERROR(__xludf.DUMMYFUNCTION("""COMPUTED_VALUE"""),"5.1 Kendala - Comcase")</f>
        <v>5.1 Kendala - Comcase</v>
      </c>
      <c r="Q286" s="222" t="str">
        <f>IFERROR(__xludf.DUMMYFUNCTION("""COMPUTED_VALUE"""),"(27/04)  penarikan kabel  (kendala PU Nasional) (20/04)  penarikan kabel (10/04) Proses aanwijziing , LOP HOLD FEEDER FULL ACC GO (26/01 KENDALA FEEDER PYK FM FULL")</f>
        <v>(27/04)  penarikan kabel  (kendala PU Nasional) (20/04)  penarikan kabel (10/04) Proses aanwijziing , LOP HOLD FEEDER FULL ACC GO (26/01 KENDALA FEEDER PYK FM FULL</v>
      </c>
      <c r="R286" s="228">
        <f>IFERROR(__xludf.DUMMYFUNCTION("""COMPUTED_VALUE"""),46141.0)</f>
        <v>46141</v>
      </c>
      <c r="S286" s="11"/>
      <c r="T286" s="11"/>
      <c r="U286" s="11"/>
      <c r="V286" s="229" t="str">
        <f>IFERROR(__xludf.DUMMYFUNCTION("""COMPUTED_VALUE"""),"M. ARIF HAMADI")</f>
        <v>M. ARIF HAMADI</v>
      </c>
      <c r="W286" s="229" t="str">
        <f>IFERROR(__xludf.DUMMYFUNCTION("""COMPUTED_VALUE"""),"MELKO NARWADI")</f>
        <v>MELKO NARWADI</v>
      </c>
      <c r="X286" s="229" t="str">
        <f>IFERROR(__xludf.DUMMYFUNCTION("""COMPUTED_VALUE"""),"BELUM GOLIVE")</f>
        <v>BELUM GOLIVE</v>
      </c>
      <c r="Y286" s="229"/>
      <c r="Z286" s="229" t="str">
        <f>IFERROR(__xludf.DUMMYFUNCTION("""COMPUTED_VALUE"""),"#N/A")</f>
        <v>#N/A</v>
      </c>
      <c r="AA286" s="229"/>
      <c r="AB286" s="229"/>
      <c r="AC286" s="229"/>
      <c r="AD286" s="232"/>
      <c r="AE286" s="233"/>
      <c r="AF286" s="54" t="str">
        <f>IFERROR(__xludf.DUMMYFUNCTION("""COMPUTED_VALUE"""),"Draft BA DROP")</f>
        <v>Draft BA DROP</v>
      </c>
      <c r="AG286" s="54"/>
      <c r="AH286" s="54">
        <v>46139.0</v>
      </c>
      <c r="AI286" s="237">
        <f t="shared" si="44"/>
        <v>-1.377989884</v>
      </c>
      <c r="AJ286" s="229" t="str">
        <f t="shared" si="45"/>
        <v>Out Komitmen</v>
      </c>
      <c r="AW286" s="234"/>
      <c r="BP286" s="11"/>
      <c r="BQ286" s="11"/>
      <c r="BR286" s="235"/>
      <c r="BV286" s="158"/>
      <c r="BY286" s="158"/>
      <c r="CB286" s="158"/>
    </row>
    <row r="287" ht="18.0" customHeight="1">
      <c r="A287" s="222">
        <f>IFERROR(__xludf.DUMMYFUNCTION("""COMPUTED_VALUE"""),2026.0)</f>
        <v>2026</v>
      </c>
      <c r="B287" s="221">
        <f>IFERROR(__xludf.DUMMYFUNCTION("""COMPUTED_VALUE"""),1.1348502E7)</f>
        <v>11348502</v>
      </c>
      <c r="C287" s="222" t="str">
        <f>IFERROR(__xludf.DUMMYFUNCTION("""COMPUTED_VALUE"""),"SMB P2I2 Ekspansi PPJ Pasa Usang")</f>
        <v>SMB P2I2 Ekspansi PPJ Pasa Usang</v>
      </c>
      <c r="D287" s="222" t="str">
        <f>IFERROR(__xludf.DUMMYFUNCTION("""COMPUTED_VALUE"""),"REGIONAL I")</f>
        <v>REGIONAL I</v>
      </c>
      <c r="E287" s="222" t="str">
        <f>IFERROR(__xludf.DUMMYFUNCTION("""COMPUTED_VALUE"""),"SUMBAR")</f>
        <v>SUMBAR</v>
      </c>
      <c r="F287" s="222" t="str">
        <f>IFERROR(__xludf.DUMMYFUNCTION("""COMPUTED_VALUE"""),"PPJ")</f>
        <v>PPJ</v>
      </c>
      <c r="G287" s="222" t="str">
        <f>IFERROR(__xludf.DUMMYFUNCTION("""COMPUTED_VALUE"""),"SUMBAGTENG")</f>
        <v>SUMBAGTENG</v>
      </c>
      <c r="H287" s="222" t="str">
        <f>IFERROR(__xludf.DUMMYFUNCTION("""COMPUTED_VALUE"""),"BUKIT TINGGI")</f>
        <v>BUKIT TINGGI</v>
      </c>
      <c r="I287" s="222" t="str">
        <f>IFERROR(__xludf.DUMMYFUNCTION("""COMPUTED_VALUE"""),"Batch 2")</f>
        <v>Batch 2</v>
      </c>
      <c r="J287" s="225">
        <f>IFERROR(__xludf.DUMMYFUNCTION("""COMPUTED_VALUE"""),10.0)</f>
        <v>10</v>
      </c>
      <c r="K287" s="224">
        <f>IFERROR(__xludf.DUMMYFUNCTION("""COMPUTED_VALUE"""),80.0)</f>
        <v>80</v>
      </c>
      <c r="L287" s="226">
        <f>IFERROR(__xludf.DUMMYFUNCTION("""COMPUTED_VALUE"""),1361803.0)</f>
        <v>1361803</v>
      </c>
      <c r="M287" s="227">
        <f>IFERROR(__xludf.DUMMYFUNCTION("""COMPUTED_VALUE"""),1.08944239E8)</f>
        <v>108944239</v>
      </c>
      <c r="N287" s="222" t="str">
        <f>IFERROR(__xludf.DUMMYFUNCTION("""COMPUTED_VALUE"""),"PT RATRI PRIMA MANDIRI")</f>
        <v>PT RATRI PRIMA MANDIRI</v>
      </c>
      <c r="O287" s="222" t="str">
        <f>IFERROR(__xludf.DUMMYFUNCTION("""COMPUTED_VALUE"""),"4. MATDEL")</f>
        <v>4. MATDEL</v>
      </c>
      <c r="P287" s="222" t="str">
        <f>IFERROR(__xludf.DUMMYFUNCTION("""COMPUTED_VALUE"""),"4.3 Proses Kirim Mateial Kelokasi")</f>
        <v>4.3 Proses Kirim Mateial Kelokasi</v>
      </c>
      <c r="Q287" s="222" t="str">
        <f>IFERROR(__xludf.DUMMYFUNCTION("""COMPUTED_VALUE"""),"(27/04) material on site (20/04) matdel ke LOP  (10/04) Proses aanwijziing , LOP HOLD FEEDER FULL ACC GO 08/01 : Feeder PPJ-FB Full (07/01) Persiapan")</f>
        <v>(27/04) material on site (20/04) matdel ke LOP  (10/04) Proses aanwijziing , LOP HOLD FEEDER FULL ACC GO 08/01 : Feeder PPJ-FB Full (07/01) Persiapan</v>
      </c>
      <c r="R287" s="228">
        <f>IFERROR(__xludf.DUMMYFUNCTION("""COMPUTED_VALUE"""),46142.0)</f>
        <v>46142</v>
      </c>
      <c r="S287" s="11"/>
      <c r="T287" s="11"/>
      <c r="U287" s="11"/>
      <c r="V287" s="229" t="str">
        <f>IFERROR(__xludf.DUMMYFUNCTION("""COMPUTED_VALUE"""),"M. ARIF HAMADI")</f>
        <v>M. ARIF HAMADI</v>
      </c>
      <c r="W287" s="229" t="str">
        <f>IFERROR(__xludf.DUMMYFUNCTION("""COMPUTED_VALUE"""),"MELKO NARWADI")</f>
        <v>MELKO NARWADI</v>
      </c>
      <c r="X287" s="229" t="str">
        <f>IFERROR(__xludf.DUMMYFUNCTION("""COMPUTED_VALUE"""),"BELUM GOLIVE")</f>
        <v>BELUM GOLIVE</v>
      </c>
      <c r="Y287" s="229"/>
      <c r="Z287" s="229" t="str">
        <f>IFERROR(__xludf.DUMMYFUNCTION("""COMPUTED_VALUE"""),"#N/A")</f>
        <v>#N/A</v>
      </c>
      <c r="AA287" s="229"/>
      <c r="AB287" s="229"/>
      <c r="AC287" s="229"/>
      <c r="AD287" s="232"/>
      <c r="AE287" s="233"/>
      <c r="AF287" s="54" t="str">
        <f>IFERROR(__xludf.DUMMYFUNCTION("""COMPUTED_VALUE"""),"Draft BA DROP")</f>
        <v>Draft BA DROP</v>
      </c>
      <c r="AG287" s="54"/>
      <c r="AH287" s="54"/>
      <c r="AI287" s="55" t="str">
        <f t="shared" ref="AI287:AI296" si="46">IF(OR(R287="",AE287=""),"",R287-AE287)</f>
        <v/>
      </c>
      <c r="AW287" s="234"/>
      <c r="BP287" s="11"/>
      <c r="BQ287" s="11"/>
      <c r="BR287" s="235"/>
      <c r="BV287" s="158"/>
      <c r="BY287" s="158"/>
      <c r="CB287" s="158"/>
    </row>
    <row r="288" ht="18.0" hidden="1" customHeight="1">
      <c r="A288" s="222">
        <f>IFERROR(__xludf.DUMMYFUNCTION("""COMPUTED_VALUE"""),2026.0)</f>
        <v>2026</v>
      </c>
      <c r="B288" s="221">
        <f>IFERROR(__xludf.DUMMYFUNCTION("""COMPUTED_VALUE"""),1.1271845E7)</f>
        <v>11271845</v>
      </c>
      <c r="C288" s="222" t="str">
        <f>IFERROR(__xludf.DUMMYFUNCTION("""COMPUTED_VALUE"""),"MDN PT3 P1I1 CTD-FAB JL.GATOT SUBROTO")</f>
        <v>MDN PT3 P1I1 CTD-FAB JL.GATOT SUBROTO</v>
      </c>
      <c r="D288" s="222" t="str">
        <f>IFERROR(__xludf.DUMMYFUNCTION("""COMPUTED_VALUE"""),"REGIONAL I")</f>
        <v>REGIONAL I</v>
      </c>
      <c r="E288" s="222" t="str">
        <f>IFERROR(__xludf.DUMMYFUNCTION("""COMPUTED_VALUE"""),"MEDAN")</f>
        <v>MEDAN</v>
      </c>
      <c r="F288" s="222" t="str">
        <f>IFERROR(__xludf.DUMMYFUNCTION("""COMPUTED_VALUE"""),"CTD")</f>
        <v>CTD</v>
      </c>
      <c r="G288" s="222" t="str">
        <f>IFERROR(__xludf.DUMMYFUNCTION("""COMPUTED_VALUE"""),"SUMBAGUT")</f>
        <v>SUMBAGUT</v>
      </c>
      <c r="H288" s="222" t="str">
        <f>IFERROR(__xludf.DUMMYFUNCTION("""COMPUTED_VALUE"""),"MEDAN")</f>
        <v>MEDAN</v>
      </c>
      <c r="I288" s="222" t="str">
        <f>IFERROR(__xludf.DUMMYFUNCTION("""COMPUTED_VALUE"""),"Batch 2")</f>
        <v>Batch 2</v>
      </c>
      <c r="J288" s="225">
        <f>IFERROR(__xludf.DUMMYFUNCTION("""COMPUTED_VALUE"""),2.0)</f>
        <v>2</v>
      </c>
      <c r="K288" s="224">
        <f>IFERROR(__xludf.DUMMYFUNCTION("""COMPUTED_VALUE"""),16.0)</f>
        <v>16</v>
      </c>
      <c r="L288" s="226">
        <f>IFERROR(__xludf.DUMMYFUNCTION("""COMPUTED_VALUE"""),824276.0)</f>
        <v>824276</v>
      </c>
      <c r="M288" s="227">
        <f>IFERROR(__xludf.DUMMYFUNCTION("""COMPUTED_VALUE"""),1.3188413E7)</f>
        <v>13188413</v>
      </c>
      <c r="N288" s="222" t="str">
        <f>IFERROR(__xludf.DUMMYFUNCTION("""COMPUTED_VALUE"""),"PT GLOBAL KARYA WANDA")</f>
        <v>PT GLOBAL KARYA WANDA</v>
      </c>
      <c r="O288" s="222" t="str">
        <f>IFERROR(__xludf.DUMMYFUNCTION("""COMPUTED_VALUE"""),"2. DONE AANWIJZING")</f>
        <v>2. DONE AANWIJZING</v>
      </c>
      <c r="P288" s="222" t="str">
        <f>IFERROR(__xludf.DUMMYFUNCTION("""COMPUTED_VALUE"""),"2.10 Kendala - Feeder Rusak")</f>
        <v>2.10 Kendala - Feeder Rusak</v>
      </c>
      <c r="Q288" s="222" t="str">
        <f>IFERROR(__xludf.DUMMYFUNCTION("""COMPUTED_VALUE"""),"22/04 pengecekan tipus butuh QE
11/02 Feeder bermasalah, Tidak Tembus (07/01) Persiapan")</f>
        <v>22/04 pengecekan tipus butuh QE
11/02 Feeder bermasalah, Tidak Tembus (07/01) Persiapan</v>
      </c>
      <c r="R288" s="228"/>
      <c r="S288" s="11"/>
      <c r="T288" s="11"/>
      <c r="U288" s="11"/>
      <c r="V288" s="229"/>
      <c r="W288" s="229"/>
      <c r="X288" s="229" t="str">
        <f>IFERROR(__xludf.DUMMYFUNCTION("""COMPUTED_VALUE"""),"BELUM GOLIVE")</f>
        <v>BELUM GOLIVE</v>
      </c>
      <c r="Y288" s="229"/>
      <c r="Z288" s="229" t="str">
        <f>IFERROR(__xludf.DUMMYFUNCTION("""COMPUTED_VALUE"""),"#N/A")</f>
        <v>#N/A</v>
      </c>
      <c r="AA288" s="229"/>
      <c r="AB288" s="229"/>
      <c r="AC288" s="229"/>
      <c r="AD288" s="232"/>
      <c r="AE288" s="233"/>
      <c r="AF288" s="54"/>
      <c r="AG288" s="54"/>
      <c r="AH288" s="54"/>
      <c r="AI288" s="55" t="str">
        <f t="shared" si="46"/>
        <v/>
      </c>
      <c r="AW288" s="234"/>
      <c r="BP288" s="11"/>
      <c r="BQ288" s="11"/>
      <c r="BR288" s="235"/>
      <c r="BV288" s="158"/>
      <c r="BY288" s="158"/>
      <c r="CB288" s="158"/>
    </row>
    <row r="289" ht="18.0" customHeight="1">
      <c r="A289" s="222">
        <f>IFERROR(__xludf.DUMMYFUNCTION("""COMPUTED_VALUE"""),2026.0)</f>
        <v>2026</v>
      </c>
      <c r="B289" s="221">
        <f>IFERROR(__xludf.DUMMYFUNCTION("""COMPUTED_VALUE"""),1.1900522E7)</f>
        <v>11900522</v>
      </c>
      <c r="C289" s="222" t="str">
        <f>IFERROR(__xludf.DUMMYFUNCTION("""COMPUTED_VALUE"""),"RKP TSEL PT3 KMS-FBG BUKIT PIATU_")</f>
        <v>RKP TSEL PT3 KMS-FBG BUKIT PIATU_</v>
      </c>
      <c r="D289" s="222" t="str">
        <f>IFERROR(__xludf.DUMMYFUNCTION("""COMPUTED_VALUE"""),"REGIONAL I")</f>
        <v>REGIONAL I</v>
      </c>
      <c r="E289" s="222" t="str">
        <f>IFERROR(__xludf.DUMMYFUNCTION("""COMPUTED_VALUE"""),"RIKEP")</f>
        <v>RIKEP</v>
      </c>
      <c r="F289" s="222" t="str">
        <f>IFERROR(__xludf.DUMMYFUNCTION("""COMPUTED_VALUE"""),"KMS")</f>
        <v>KMS</v>
      </c>
      <c r="G289" s="222" t="str">
        <f>IFERROR(__xludf.DUMMYFUNCTION("""COMPUTED_VALUE"""),"SUMBAGTENG")</f>
        <v>SUMBAGTENG</v>
      </c>
      <c r="H289" s="222" t="str">
        <f>IFERROR(__xludf.DUMMYFUNCTION("""COMPUTED_VALUE"""),"BATAM")</f>
        <v>BATAM</v>
      </c>
      <c r="I289" s="222" t="str">
        <f>IFERROR(__xludf.DUMMYFUNCTION("""COMPUTED_VALUE"""),"Batch 2")</f>
        <v>Batch 2</v>
      </c>
      <c r="J289" s="225">
        <f>IFERROR(__xludf.DUMMYFUNCTION("""COMPUTED_VALUE"""),4.0)</f>
        <v>4</v>
      </c>
      <c r="K289" s="224">
        <f>IFERROR(__xludf.DUMMYFUNCTION("""COMPUTED_VALUE"""),32.0)</f>
        <v>32</v>
      </c>
      <c r="L289" s="226">
        <f>IFERROR(__xludf.DUMMYFUNCTION("""COMPUTED_VALUE"""),1360705.0)</f>
        <v>1360705</v>
      </c>
      <c r="M289" s="227">
        <f>IFERROR(__xludf.DUMMYFUNCTION("""COMPUTED_VALUE"""),4.3542534E7)</f>
        <v>43542534</v>
      </c>
      <c r="N289" s="222" t="str">
        <f>IFERROR(__xludf.DUMMYFUNCTION("""COMPUTED_VALUE"""),"PT SALTTEK DUMPANG JAYA")</f>
        <v>PT SALTTEK DUMPANG JAYA</v>
      </c>
      <c r="O289" s="222" t="str">
        <f>IFERROR(__xludf.DUMMYFUNCTION("""COMPUTED_VALUE"""),"2. DONE AANWIJZING")</f>
        <v>2. DONE AANWIJZING</v>
      </c>
      <c r="P289" s="222" t="str">
        <f>IFERROR(__xludf.DUMMYFUNCTION("""COMPUTED_VALUE"""),"2.9 Kendala - Distribusi Penuh / Rusak")</f>
        <v>2.9 Kendala - Distribusi Penuh / Rusak</v>
      </c>
      <c r="Q289" s="222" t="str">
        <f>IFERROR(__xludf.DUMMYFUNCTION("""COMPUTED_VALUE"""),"28/01 core dist habis. 21/01 Proses anwijzing tanggal 22 Jan 2026")</f>
        <v>28/01 core dist habis. 21/01 Proses anwijzing tanggal 22 Jan 2026</v>
      </c>
      <c r="R289" s="228"/>
      <c r="S289" s="11"/>
      <c r="T289" s="11"/>
      <c r="U289" s="11"/>
      <c r="V289" s="229" t="str">
        <f>IFERROR(__xludf.DUMMYFUNCTION("""COMPUTED_VALUE"""),"DEDY IRAWAN")</f>
        <v>DEDY IRAWAN</v>
      </c>
      <c r="W289" s="229" t="str">
        <f>IFERROR(__xludf.DUMMYFUNCTION("""COMPUTED_VALUE"""),"LEVITA INDRIYANI")</f>
        <v>LEVITA INDRIYANI</v>
      </c>
      <c r="X289" s="229" t="str">
        <f>IFERROR(__xludf.DUMMYFUNCTION("""COMPUTED_VALUE"""),"BELUM GOLIVE")</f>
        <v>BELUM GOLIVE</v>
      </c>
      <c r="Y289" s="229"/>
      <c r="Z289" s="229" t="str">
        <f>IFERROR(__xludf.DUMMYFUNCTION("""COMPUTED_VALUE"""),"#N/A")</f>
        <v>#N/A</v>
      </c>
      <c r="AA289" s="229"/>
      <c r="AB289" s="229"/>
      <c r="AC289" s="229"/>
      <c r="AD289" s="232"/>
      <c r="AE289" s="233"/>
      <c r="AF289" s="54" t="str">
        <f>IFERROR(__xludf.DUMMYFUNCTION("""COMPUTED_VALUE"""),"Draft BA DROP")</f>
        <v>Draft BA DROP</v>
      </c>
      <c r="AG289" s="54"/>
      <c r="AH289" s="54"/>
      <c r="AI289" s="55" t="str">
        <f t="shared" si="46"/>
        <v/>
      </c>
      <c r="AW289" s="234"/>
      <c r="BP289" s="11"/>
      <c r="BQ289" s="11"/>
      <c r="BR289" s="235"/>
      <c r="BV289" s="158"/>
      <c r="BY289" s="158"/>
      <c r="CB289" s="158"/>
    </row>
    <row r="290" ht="18.0" hidden="1" customHeight="1">
      <c r="A290" s="222">
        <f>IFERROR(__xludf.DUMMYFUNCTION("""COMPUTED_VALUE"""),2026.0)</f>
        <v>2026</v>
      </c>
      <c r="B290" s="221">
        <f>IFERROR(__xludf.DUMMYFUNCTION("""COMPUTED_VALUE"""),1.1449822E7)</f>
        <v>11449822</v>
      </c>
      <c r="C290" s="222" t="str">
        <f>IFERROR(__xludf.DUMMYFUNCTION("""COMPUTED_VALUE"""),"LPG PT3 JPP TEKAD PULAU PANGGUNG TGP")</f>
        <v>LPG PT3 JPP TEKAD PULAU PANGGUNG TGP</v>
      </c>
      <c r="D290" s="222" t="str">
        <f>IFERROR(__xludf.DUMMYFUNCTION("""COMPUTED_VALUE"""),"REGIONAL I")</f>
        <v>REGIONAL I</v>
      </c>
      <c r="E290" s="222" t="str">
        <f>IFERROR(__xludf.DUMMYFUNCTION("""COMPUTED_VALUE"""),"LAMPUNG")</f>
        <v>LAMPUNG</v>
      </c>
      <c r="F290" s="222" t="str">
        <f>IFERROR(__xludf.DUMMYFUNCTION("""COMPUTED_VALUE"""),"TGP")</f>
        <v>TGP</v>
      </c>
      <c r="G290" s="222" t="str">
        <f>IFERROR(__xludf.DUMMYFUNCTION("""COMPUTED_VALUE"""),"SUMBAGSEL")</f>
        <v>SUMBAGSEL</v>
      </c>
      <c r="H290" s="222" t="str">
        <f>IFERROR(__xludf.DUMMYFUNCTION("""COMPUTED_VALUE"""),"LAMPUNG")</f>
        <v>LAMPUNG</v>
      </c>
      <c r="I290" s="222" t="str">
        <f>IFERROR(__xludf.DUMMYFUNCTION("""COMPUTED_VALUE"""),"Batch 2")</f>
        <v>Batch 2</v>
      </c>
      <c r="J290" s="225">
        <f>IFERROR(__xludf.DUMMYFUNCTION("""COMPUTED_VALUE"""),5.0)</f>
        <v>5</v>
      </c>
      <c r="K290" s="224">
        <f>IFERROR(__xludf.DUMMYFUNCTION("""COMPUTED_VALUE"""),40.0)</f>
        <v>40</v>
      </c>
      <c r="L290" s="226">
        <f>IFERROR(__xludf.DUMMYFUNCTION("""COMPUTED_VALUE"""),1358698.0)</f>
        <v>1358698</v>
      </c>
      <c r="M290" s="227">
        <f>IFERROR(__xludf.DUMMYFUNCTION("""COMPUTED_VALUE"""),5.4347908E7)</f>
        <v>54347908</v>
      </c>
      <c r="N290" s="222" t="str">
        <f>IFERROR(__xludf.DUMMYFUNCTION("""COMPUTED_VALUE"""),"PT SARANA MITRA PERSADA")</f>
        <v>PT SARANA MITRA PERSADA</v>
      </c>
      <c r="O290" s="222" t="str">
        <f>IFERROR(__xludf.DUMMYFUNCTION("""COMPUTED_VALUE"""),"0. DROP")</f>
        <v>0. DROP</v>
      </c>
      <c r="P290" s="222" t="str">
        <f>IFERROR(__xludf.DUMMYFUNCTION("""COMPUTED_VALUE"""),"0.2 Tidak Dapat Izin Warga/Kades/Lurah/Developer")</f>
        <v>0.2 Tidak Dapat Izin Warga/Kades/Lurah/Developer</v>
      </c>
      <c r="Q290" s="222" t="str">
        <f>IFERROR(__xludf.DUMMYFUNCTION("""COMPUTED_VALUE"""),"15/1 tidak dapat izn dari lurah karana sudah ada internet desa")</f>
        <v>15/1 tidak dapat izn dari lurah karana sudah ada internet desa</v>
      </c>
      <c r="R290" s="228"/>
      <c r="S290" s="11"/>
      <c r="T290" s="11"/>
      <c r="U290" s="11" t="str">
        <f>IFERROR(__xludf.DUMMYFUNCTION("""COMPUTED_VALUE"""),"W02-542/2025")</f>
        <v>W02-542/2025</v>
      </c>
      <c r="V290" s="229"/>
      <c r="W290" s="229"/>
      <c r="X290" s="229" t="str">
        <f>IFERROR(__xludf.DUMMYFUNCTION("""COMPUTED_VALUE"""),"BELUM GOLIVE")</f>
        <v>BELUM GOLIVE</v>
      </c>
      <c r="Y290" s="229"/>
      <c r="Z290" s="229" t="str">
        <f>IFERROR(__xludf.DUMMYFUNCTION("""COMPUTED_VALUE"""),"#N/A")</f>
        <v>#N/A</v>
      </c>
      <c r="AA290" s="229"/>
      <c r="AB290" s="229"/>
      <c r="AC290" s="229"/>
      <c r="AD290" s="232"/>
      <c r="AE290" s="233"/>
      <c r="AF290" s="54" t="str">
        <f>IFERROR(__xludf.DUMMYFUNCTION("""COMPUTED_VALUE"""),"Draft BA DROP")</f>
        <v>Draft BA DROP</v>
      </c>
      <c r="AG290" s="54"/>
      <c r="AH290" s="54"/>
      <c r="AI290" s="55" t="str">
        <f t="shared" si="46"/>
        <v/>
      </c>
      <c r="AW290" s="234"/>
      <c r="BP290" s="11"/>
      <c r="BQ290" s="11"/>
      <c r="BR290" s="235"/>
      <c r="BV290" s="158"/>
      <c r="BY290" s="158"/>
      <c r="CB290" s="158"/>
    </row>
    <row r="291" ht="18.0" customHeight="1">
      <c r="A291" s="222">
        <f>IFERROR(__xludf.DUMMYFUNCTION("""COMPUTED_VALUE"""),2026.0)</f>
        <v>2026</v>
      </c>
      <c r="B291" s="221">
        <f>IFERROR(__xludf.DUMMYFUNCTION("""COMPUTED_VALUE"""),1.0503449E7)</f>
        <v>10503449</v>
      </c>
      <c r="C291" s="222" t="str">
        <f>IFERROR(__xludf.DUMMYFUNCTION("""COMPUTED_VALUE"""),"SMB P7I2 PT3 MYID-6022312270645 FITRI YENI")</f>
        <v>SMB P7I2 PT3 MYID-6022312270645 FITRI YENI</v>
      </c>
      <c r="D291" s="222" t="str">
        <f>IFERROR(__xludf.DUMMYFUNCTION("""COMPUTED_VALUE"""),"REGIONAL I")</f>
        <v>REGIONAL I</v>
      </c>
      <c r="E291" s="222" t="str">
        <f>IFERROR(__xludf.DUMMYFUNCTION("""COMPUTED_VALUE"""),"SUMBAR")</f>
        <v>SUMBAR</v>
      </c>
      <c r="F291" s="222" t="str">
        <f>IFERROR(__xludf.DUMMYFUNCTION("""COMPUTED_VALUE"""),"SPE")</f>
        <v>SPE</v>
      </c>
      <c r="G291" s="222" t="str">
        <f>IFERROR(__xludf.DUMMYFUNCTION("""COMPUTED_VALUE"""),"SUMBAGTENG")</f>
        <v>SUMBAGTENG</v>
      </c>
      <c r="H291" s="222" t="str">
        <f>IFERROR(__xludf.DUMMYFUNCTION("""COMPUTED_VALUE"""),"BUKIT TINGGI")</f>
        <v>BUKIT TINGGI</v>
      </c>
      <c r="I291" s="222" t="str">
        <f>IFERROR(__xludf.DUMMYFUNCTION("""COMPUTED_VALUE"""),"Batch 2")</f>
        <v>Batch 2</v>
      </c>
      <c r="J291" s="225">
        <f>IFERROR(__xludf.DUMMYFUNCTION("""COMPUTED_VALUE"""),2.0)</f>
        <v>2</v>
      </c>
      <c r="K291" s="224">
        <f>IFERROR(__xludf.DUMMYFUNCTION("""COMPUTED_VALUE"""),16.0)</f>
        <v>16</v>
      </c>
      <c r="L291" s="226">
        <f>IFERROR(__xludf.DUMMYFUNCTION("""COMPUTED_VALUE"""),1358004.0)</f>
        <v>1358004</v>
      </c>
      <c r="M291" s="227">
        <f>IFERROR(__xludf.DUMMYFUNCTION("""COMPUTED_VALUE"""),2.1728061E7)</f>
        <v>21728061</v>
      </c>
      <c r="N291" s="222" t="str">
        <f>IFERROR(__xludf.DUMMYFUNCTION("""COMPUTED_VALUE"""),"PT TIGA AKSES MANDIRI")</f>
        <v>PT TIGA AKSES MANDIRI</v>
      </c>
      <c r="O291" s="222" t="str">
        <f>IFERROR(__xludf.DUMMYFUNCTION("""COMPUTED_VALUE"""),"0. DROP")</f>
        <v>0. DROP</v>
      </c>
      <c r="P291" s="222" t="str">
        <f>IFERROR(__xludf.DUMMYFUNCTION("""COMPUTED_VALUE"""),"0.3 Feeder Full")</f>
        <v>0.3 Feeder Full</v>
      </c>
      <c r="Q291" s="222" t="str">
        <f>IFERROR(__xludf.DUMMYFUNCTION("""COMPUTED_VALUE"""),"(02/03) kendala feeder SPE-FB full")</f>
        <v>(02/03) kendala feeder SPE-FB full</v>
      </c>
      <c r="R291" s="228"/>
      <c r="S291" s="11"/>
      <c r="T291" s="11"/>
      <c r="U291" s="11"/>
      <c r="V291" s="229"/>
      <c r="W291" s="229"/>
      <c r="X291" s="229" t="str">
        <f>IFERROR(__xludf.DUMMYFUNCTION("""COMPUTED_VALUE"""),"BELUM GOLIVE")</f>
        <v>BELUM GOLIVE</v>
      </c>
      <c r="Y291" s="229"/>
      <c r="Z291" s="229" t="str">
        <f>IFERROR(__xludf.DUMMYFUNCTION("""COMPUTED_VALUE"""),"#N/A")</f>
        <v>#N/A</v>
      </c>
      <c r="AA291" s="229"/>
      <c r="AB291" s="229"/>
      <c r="AC291" s="229"/>
      <c r="AD291" s="232"/>
      <c r="AE291" s="233"/>
      <c r="AF291" s="54" t="str">
        <f>IFERROR(__xludf.DUMMYFUNCTION("""COMPUTED_VALUE"""),"Draft BA DROP")</f>
        <v>Draft BA DROP</v>
      </c>
      <c r="AG291" s="54"/>
      <c r="AH291" s="54"/>
      <c r="AI291" s="55" t="str">
        <f t="shared" si="46"/>
        <v/>
      </c>
      <c r="AW291" s="234"/>
      <c r="BP291" s="11"/>
      <c r="BQ291" s="11"/>
      <c r="BR291" s="235"/>
      <c r="BV291" s="158"/>
      <c r="BY291" s="158"/>
      <c r="CB291" s="158"/>
    </row>
    <row r="292" ht="18.0" hidden="1" customHeight="1">
      <c r="A292" s="222">
        <f>IFERROR(__xludf.DUMMYFUNCTION("""COMPUTED_VALUE"""),2026.0)</f>
        <v>2026</v>
      </c>
      <c r="B292" s="221">
        <f>IFERROR(__xludf.DUMMYFUNCTION("""COMPUTED_VALUE"""),1.1587052E7)</f>
        <v>11587052</v>
      </c>
      <c r="C292" s="222" t="str">
        <f>IFERROR(__xludf.DUMMYFUNCTION("""COMPUTED_VALUE"""),"SMS P3I1 PT3 SGB FCD D02 PERMATA REGENCY")</f>
        <v>SMS P3I1 PT3 SGB FCD D02 PERMATA REGENCY</v>
      </c>
      <c r="D292" s="222" t="str">
        <f>IFERROR(__xludf.DUMMYFUNCTION("""COMPUTED_VALUE"""),"REGIONAL I")</f>
        <v>REGIONAL I</v>
      </c>
      <c r="E292" s="222" t="str">
        <f>IFERROR(__xludf.DUMMYFUNCTION("""COMPUTED_VALUE"""),"SUMSEL")</f>
        <v>SUMSEL</v>
      </c>
      <c r="F292" s="222" t="str">
        <f>IFERROR(__xludf.DUMMYFUNCTION("""COMPUTED_VALUE"""),"SGB")</f>
        <v>SGB</v>
      </c>
      <c r="G292" s="222" t="str">
        <f>IFERROR(__xludf.DUMMYFUNCTION("""COMPUTED_VALUE"""),"SUMBAGSEL")</f>
        <v>SUMBAGSEL</v>
      </c>
      <c r="H292" s="222" t="str">
        <f>IFERROR(__xludf.DUMMYFUNCTION("""COMPUTED_VALUE"""),"PALEMBANG")</f>
        <v>PALEMBANG</v>
      </c>
      <c r="I292" s="222" t="str">
        <f>IFERROR(__xludf.DUMMYFUNCTION("""COMPUTED_VALUE"""),"Batch 2")</f>
        <v>Batch 2</v>
      </c>
      <c r="J292" s="225">
        <f>IFERROR(__xludf.DUMMYFUNCTION("""COMPUTED_VALUE"""),6.0)</f>
        <v>6</v>
      </c>
      <c r="K292" s="224">
        <f>IFERROR(__xludf.DUMMYFUNCTION("""COMPUTED_VALUE"""),48.0)</f>
        <v>48</v>
      </c>
      <c r="L292" s="226">
        <f>IFERROR(__xludf.DUMMYFUNCTION("""COMPUTED_VALUE"""),1357763.0)</f>
        <v>1357763</v>
      </c>
      <c r="M292" s="227">
        <f>IFERROR(__xludf.DUMMYFUNCTION("""COMPUTED_VALUE"""),6.5172579E7)</f>
        <v>65172579</v>
      </c>
      <c r="N292" s="222" t="str">
        <f>IFERROR(__xludf.DUMMYFUNCTION("""COMPUTED_VALUE"""),"PT SARANA MITRA PERSADA")</f>
        <v>PT SARANA MITRA PERSADA</v>
      </c>
      <c r="O292" s="222" t="str">
        <f>IFERROR(__xludf.DUMMYFUNCTION("""COMPUTED_VALUE"""),"0. DROP")</f>
        <v>0. DROP</v>
      </c>
      <c r="P292" s="222" t="str">
        <f>IFERROR(__xludf.DUMMYFUNCTION("""COMPUTED_VALUE"""),"0.2 Tidak Dapat Izin Warga/Kades/Lurah/Developer")</f>
        <v>0.2 Tidak Dapat Izin Warga/Kades/Lurah/Developer</v>
      </c>
      <c r="Q292" s="222" t="str">
        <f>IFERROR(__xludf.DUMMYFUNCTION("""COMPUTED_VALUE"""),"06/03 DROP - TDK ADA SPACE UTK TANAM TIANG, 06/02 HASIL REVIEW TSEL DROP - PERIZINAN LURAH, 24/02 DROP - TDK ADA SPACE UTK TANAM TIANG, 06/02 HASIL REVIEW TSEL DROP - PERIZINAN LURAH, 27/01 DROP dilokasi tdk ada space tanam tiang dan tidak mendapatkan izi"&amp;"n dari ketua komplek, 07/01 DROP tidak dpt izin dari ketua komplek 27/01 DROP (20/01) DONE AANWIDJZING - TIDAK ADA SPACE UNTUK TANAM TIANG, (15/1) ORDER DITERIMA 14/1, PLAN AANWIJDZING 19 JAN 26 (06/01)order JPP batch-2 2026 ((18/11) tidak masuk target op"&amp;"timis 2025 (18/11 masih kendala perizinan, 17/11 tidak dapat izin dari ketua perumahan, (15/11) sudah jumpa korlpa perumahan a/n tamrin 088743705617 , tunggu info selanjutnya dari beliau (5/11) menunggu jadwal aanwidzjing 23/10 penunjukan mitra
 14/01 pen"&amp;"unjukan mitra oleh procurement")</f>
        <v>06/03 DROP - TDK ADA SPACE UTK TANAM TIANG, 06/02 HASIL REVIEW TSEL DROP - PERIZINAN LURAH, 24/02 DROP - TDK ADA SPACE UTK TANAM TIANG, 06/02 HASIL REVIEW TSEL DROP - PERIZINAN LURAH, 27/01 DROP dilokasi tdk ada space tanam tiang dan tidak mendapatkan izin dari ketua komplek, 07/01 DROP tidak dpt izin dari ketua komplek 27/01 DROP (20/01) DONE AANWIDJZING - TIDAK ADA SPACE UNTUK TANAM TIANG, (15/1) ORDER DITERIMA 14/1, PLAN AANWIJDZING 19 JAN 26 (06/01)order JPP batch-2 2026 ((18/11) tidak masuk target optimis 2025 (18/11 masih kendala perizinan, 17/11 tidak dapat izin dari ketua perumahan, (15/11) sudah jumpa korlpa perumahan a/n tamrin 088743705617 , tunggu info selanjutnya dari beliau (5/11) menunggu jadwal aanwidzjing 23/10 penunjukan mitra
 14/01 penunjukan mitra oleh procurement</v>
      </c>
      <c r="R292" s="228"/>
      <c r="S292" s="11"/>
      <c r="T292" s="11"/>
      <c r="U292" s="11"/>
      <c r="V292" s="229" t="str">
        <f>IFERROR(__xludf.DUMMYFUNCTION("""COMPUTED_VALUE"""),"TANTOWI")</f>
        <v>TANTOWI</v>
      </c>
      <c r="W292" s="229"/>
      <c r="X292" s="229" t="str">
        <f>IFERROR(__xludf.DUMMYFUNCTION("""COMPUTED_VALUE"""),"BELUM GOLIVE")</f>
        <v>BELUM GOLIVE</v>
      </c>
      <c r="Y292" s="229"/>
      <c r="Z292" s="229" t="str">
        <f>IFERROR(__xludf.DUMMYFUNCTION("""COMPUTED_VALUE"""),"#N/A")</f>
        <v>#N/A</v>
      </c>
      <c r="AA292" s="229"/>
      <c r="AB292" s="229"/>
      <c r="AC292" s="229"/>
      <c r="AD292" s="232"/>
      <c r="AE292" s="233"/>
      <c r="AF292" s="54" t="str">
        <f>IFERROR(__xludf.DUMMYFUNCTION("""COMPUTED_VALUE"""),"Draft BA DROP")</f>
        <v>Draft BA DROP</v>
      </c>
      <c r="AG292" s="54"/>
      <c r="AH292" s="54"/>
      <c r="AI292" s="55" t="str">
        <f t="shared" si="46"/>
        <v/>
      </c>
      <c r="AW292" s="234"/>
      <c r="BP292" s="11"/>
      <c r="BQ292" s="11"/>
      <c r="BR292" s="235"/>
      <c r="BV292" s="158"/>
      <c r="BY292" s="158"/>
      <c r="CB292" s="158"/>
    </row>
    <row r="293" ht="18.0" hidden="1" customHeight="1">
      <c r="A293" s="222">
        <f>IFERROR(__xludf.DUMMYFUNCTION("""COMPUTED_VALUE"""),2026.0)</f>
        <v>2026</v>
      </c>
      <c r="B293" s="221">
        <f>IFERROR(__xludf.DUMMYFUNCTION("""COMPUTED_VALUE"""),1.1563036E7)</f>
        <v>11563036</v>
      </c>
      <c r="C293" s="222" t="str">
        <f>IFERROR(__xludf.DUMMYFUNCTION("""COMPUTED_VALUE"""),"SMS P3I1 PT3 SKY FB D05 SD ISLAMIYAH")</f>
        <v>SMS P3I1 PT3 SKY FB D05 SD ISLAMIYAH</v>
      </c>
      <c r="D293" s="222" t="str">
        <f>IFERROR(__xludf.DUMMYFUNCTION("""COMPUTED_VALUE"""),"REGIONAL I")</f>
        <v>REGIONAL I</v>
      </c>
      <c r="E293" s="222" t="str">
        <f>IFERROR(__xludf.DUMMYFUNCTION("""COMPUTED_VALUE"""),"SUMSEL")</f>
        <v>SUMSEL</v>
      </c>
      <c r="F293" s="222" t="str">
        <f>IFERROR(__xludf.DUMMYFUNCTION("""COMPUTED_VALUE"""),"SKY")</f>
        <v>SKY</v>
      </c>
      <c r="G293" s="222" t="str">
        <f>IFERROR(__xludf.DUMMYFUNCTION("""COMPUTED_VALUE"""),"SUMBAGSEL")</f>
        <v>SUMBAGSEL</v>
      </c>
      <c r="H293" s="222" t="str">
        <f>IFERROR(__xludf.DUMMYFUNCTION("""COMPUTED_VALUE"""),"PALEMBANG")</f>
        <v>PALEMBANG</v>
      </c>
      <c r="I293" s="222" t="str">
        <f>IFERROR(__xludf.DUMMYFUNCTION("""COMPUTED_VALUE"""),"Batch 2")</f>
        <v>Batch 2</v>
      </c>
      <c r="J293" s="225">
        <f>IFERROR(__xludf.DUMMYFUNCTION("""COMPUTED_VALUE"""),6.0)</f>
        <v>6</v>
      </c>
      <c r="K293" s="224">
        <f>IFERROR(__xludf.DUMMYFUNCTION("""COMPUTED_VALUE"""),48.0)</f>
        <v>48</v>
      </c>
      <c r="L293" s="226">
        <f>IFERROR(__xludf.DUMMYFUNCTION("""COMPUTED_VALUE"""),1357763.0)</f>
        <v>1357763</v>
      </c>
      <c r="M293" s="227">
        <f>IFERROR(__xludf.DUMMYFUNCTION("""COMPUTED_VALUE"""),6.5172579E7)</f>
        <v>65172579</v>
      </c>
      <c r="N293" s="222" t="str">
        <f>IFERROR(__xludf.DUMMYFUNCTION("""COMPUTED_VALUE"""),"PT MAJU JAYA TEKNOLOGI")</f>
        <v>PT MAJU JAYA TEKNOLOGI</v>
      </c>
      <c r="O293" s="222" t="str">
        <f>IFERROR(__xludf.DUMMYFUNCTION("""COMPUTED_VALUE"""),"3. PERIZINAN")</f>
        <v>3. PERIZINAN</v>
      </c>
      <c r="P293" s="222" t="str">
        <f>IFERROR(__xludf.DUMMYFUNCTION("""COMPUTED_VALUE"""),"3.1 Submit permohon ke PU")</f>
        <v>3.1 Submit permohon ke PU</v>
      </c>
      <c r="Q293" s="222" t="str">
        <f>IFERROR(__xludf.DUMMYFUNCTION("""COMPUTED_VALUE"""),"27/04 MASIH MENUNGGU BERKAS SURAT PU YG DI RILIS TIF, 24/04 berkas surat pu nasional belum rilis dari tif (bang arif HAI), 09/04 KOORDINASI DG PAK ARIF (TIF HAI)TERKAIT PEMBERKASAN PERIZINAN PU,  09/04 KOORDINASI DG PAK ARIF TERKAIT PERIZINAN PU,08/04 KOO"&amp;"RDINASI DG PAK ARIF TERKAIT PERIZINAN PU, 06/04 PLAN HARI INI BERTEMU PAK ARIF - KOORDINASI MENGENAI PERIZINAN PU, 01/04 MASIH MELENGKAPI DOKUMEN, 30/03 MASIH MELENGKAPI DOKUMEN, 27/03 BLM ADA INFO TSEL (PAK ARIF) TERKAIT KELANJUTAN PERIZINAN, 25/03 BLM A"&amp;"DA INFO TSEL TERKAIT KELANJUTAN PERIZINAN, 21/03 SDH SUBMIT PERIZINAN KE TSEL TINGGAL MENUNGGU KONFIRMASI KELANJUTANNYA, 17/03 MASIH MENUNGGU KONFIRMASI DARI TSEL, 13/03 MASIH MENUNGGU KONFIRMASI DARI TSEL, 11/03 SUDAH SUBMIT PERIZINAN KE TSEL, 10/03 OGP "&amp;"MELENGKAPI DOKUMEN PERIZINAN, 03/03 MASIH BERTANYA TERKAIT SYARAT PERIZINAN - BLM ADA INFO, 02/03 LAGI MENANYAKAN SYARAT PERIZINANNYA APA SAJA, 27/02 MASIH MENUNGGU PU, 25/02 MASIH MENUNGGU PU, 22/2 perijinan PU NAS 15/02 PERIZINAN, 11/2 PID Done, PR-PO A"&amp;"MD on going  10/02 LANJUT CREATE PID, 6/2 HASIL RIVIEW DG TSEL  BLUM ADA KEPUTUSAN 03/02 DONE EVAL, HOLD, AREA MASUK PU NASIONAL, PLAN BRANCINGAN MENJADI NEW DIST SECARA BOQ NILAI BOQ TURUN 3% TPI CPP 1,3 JT,, 15/01 menunggu jadwal aanwijzing dg mitra 03/"&amp;"02 DONE EVAL, HOLD, AREA MASUK PU NASIONAL, PLAN BRANCINGAN MENJADI NEW DIST SECARA BOQ NILAI BOQ TURUN 3% TPI CPP 1,3 JT, 31/01 PROSES AANWIDJZING, 30/01 MENUNGGU JADWAL AANWIDJZING DG MITRA, (24/1) plan aawijdizng 27/1 (21/01) menunggu antrian untuk aan"&amp;"wizjing lapangan, (20/1) MJT setuju(15/1) ORDER DITERIMA 14/1 ,PLAN AANWIJDZING 21 JAN 26 (06/01)order JPP batch-2 2026 ((26/11) ORDER HOLD , FLAGGING ""TIDAK LANJUT DARI PED"" (25/11 MJT setuju, 24/11 penunjukkan mitra MJT,(14/11) MItra MJS blm ambil pek"&amp;"erjaan baru terkait close pekerjaan lama , LOP juga tidak masuk list optimis close 2025 ( (11/11) Penunjukkan MITRA oleh Procurement 23/10 penunjukan mitra
 14/01 Surat lanjut kerja oleh procurement")</f>
        <v>27/04 MASIH MENUNGGU BERKAS SURAT PU YG DI RILIS TIF, 24/04 berkas surat pu nasional belum rilis dari tif (bang arif HAI), 09/04 KOORDINASI DG PAK ARIF (TIF HAI)TERKAIT PEMBERKASAN PERIZINAN PU,  09/04 KOORDINASI DG PAK ARIF TERKAIT PERIZINAN PU,08/04 KOORDINASI DG PAK ARIF TERKAIT PERIZINAN PU, 06/04 PLAN HARI INI BERTEMU PAK ARIF - KOORDINASI MENGENAI PERIZINAN PU, 01/04 MASIH MELENGKAPI DOKUMEN, 30/03 MASIH MELENGKAPI DOKUMEN, 27/03 BLM ADA INFO TSEL (PAK ARIF) TERKAIT KELANJUTAN PERIZINAN, 25/03 BLM ADA INFO TSEL TERKAIT KELANJUTAN PERIZINAN, 21/03 SDH SUBMIT PERIZINAN KE TSEL TINGGAL MENUNGGU KONFIRMASI KELANJUTANNYA, 17/03 MASIH MENUNGGU KONFIRMASI DARI TSEL, 13/03 MASIH MENUNGGU KONFIRMASI DARI TSEL, 11/03 SUDAH SUBMIT PERIZINAN KE TSEL, 10/03 OGP MELENGKAPI DOKUMEN PERIZINAN, 03/03 MASIH BERTANYA TERKAIT SYARAT PERIZINAN - BLM ADA INFO, 02/03 LAGI MENANYAKAN SYARAT PERIZINANNYA APA SAJA, 27/02 MASIH MENUNGGU PU, 25/02 MASIH MENUNGGU PU, 22/2 perijinan PU NAS 15/02 PERIZINAN, 11/2 PID Done, PR-PO AMD on going  10/02 LANJUT CREATE PID, 6/2 HASIL RIVIEW DG TSEL  BLUM ADA KEPUTUSAN 03/02 DONE EVAL, HOLD, AREA MASUK PU NASIONAL, PLAN BRANCINGAN MENJADI NEW DIST SECARA BOQ NILAI BOQ TURUN 3% TPI CPP 1,3 JT,, 15/01 menunggu jadwal aanwijzing dg mitra 03/02 DONE EVAL, HOLD, AREA MASUK PU NASIONAL, PLAN BRANCINGAN MENJADI NEW DIST SECARA BOQ NILAI BOQ TURUN 3% TPI CPP 1,3 JT, 31/01 PROSES AANWIDJZING, 30/01 MENUNGGU JADWAL AANWIDJZING DG MITRA, (24/1) plan aawijdizng 27/1 (21/01) menunggu antrian untuk aanwizjing lapangan, (20/1) MJT setuju(15/1) ORDER DITERIMA 14/1 ,PLAN AANWIJDZING 21 JAN 26 (06/01)order JPP batch-2 2026 ((26/11) ORDER HOLD , FLAGGING "TIDAK LANJUT DARI PED" (25/11 MJT setuju, 24/11 penunjukkan mitra MJT,(14/11) MItra MJS blm ambil pekerjaan baru terkait close pekerjaan lama , LOP juga tidak masuk list optimis close 2025 ( (11/11) Penunjukkan MITRA oleh Procurement 23/10 penunjukan mitra
 14/01 Surat lanjut kerja oleh procurement</v>
      </c>
      <c r="R293" s="228"/>
      <c r="S293" s="11"/>
      <c r="T293" s="11" t="str">
        <f>IFERROR(__xludf.DUMMYFUNCTION("""COMPUTED_VALUE"""),"P1")</f>
        <v>P1</v>
      </c>
      <c r="U293" s="11"/>
      <c r="V293" s="229" t="str">
        <f>IFERROR(__xludf.DUMMYFUNCTION("""COMPUTED_VALUE"""),"TEGAR")</f>
        <v>TEGAR</v>
      </c>
      <c r="W293" s="229"/>
      <c r="X293" s="229" t="str">
        <f>IFERROR(__xludf.DUMMYFUNCTION("""COMPUTED_VALUE"""),"BELUM GOLIVE")</f>
        <v>BELUM GOLIVE</v>
      </c>
      <c r="Y293" s="229"/>
      <c r="Z293" s="229" t="str">
        <f>IFERROR(__xludf.DUMMYFUNCTION("""COMPUTED_VALUE"""),"#N/A")</f>
        <v>#N/A</v>
      </c>
      <c r="AA293" s="229"/>
      <c r="AB293" s="229"/>
      <c r="AC293" s="229"/>
      <c r="AD293" s="232"/>
      <c r="AE293" s="233"/>
      <c r="AF293" s="54"/>
      <c r="AG293" s="54"/>
      <c r="AH293" s="54"/>
      <c r="AI293" s="55" t="str">
        <f t="shared" si="46"/>
        <v/>
      </c>
      <c r="AW293" s="234"/>
      <c r="BP293" s="11"/>
      <c r="BQ293" s="11"/>
      <c r="BR293" s="235"/>
      <c r="BV293" s="158"/>
      <c r="BY293" s="158"/>
      <c r="CB293" s="158"/>
    </row>
    <row r="294" ht="18.0" hidden="1" customHeight="1">
      <c r="A294" s="222">
        <f>IFERROR(__xludf.DUMMYFUNCTION("""COMPUTED_VALUE"""),2026.0)</f>
        <v>2026</v>
      </c>
      <c r="B294" s="221">
        <f>IFERROR(__xludf.DUMMYFUNCTION("""COMPUTED_VALUE"""),1.1397048E7)</f>
        <v>11397048</v>
      </c>
      <c r="C294" s="222" t="str">
        <f>IFERROR(__xludf.DUMMYFUNCTION("""COMPUTED_VALUE"""),"MDN PT3 TMU-FAE JL.RAHARJO")</f>
        <v>MDN PT3 TMU-FAE JL.RAHARJO</v>
      </c>
      <c r="D294" s="222" t="str">
        <f>IFERROR(__xludf.DUMMYFUNCTION("""COMPUTED_VALUE"""),"REGIONAL I")</f>
        <v>REGIONAL I</v>
      </c>
      <c r="E294" s="222" t="str">
        <f>IFERROR(__xludf.DUMMYFUNCTION("""COMPUTED_VALUE"""),"MEDAN")</f>
        <v>MEDAN</v>
      </c>
      <c r="F294" s="222" t="str">
        <f>IFERROR(__xludf.DUMMYFUNCTION("""COMPUTED_VALUE"""),"TMU")</f>
        <v>TMU</v>
      </c>
      <c r="G294" s="222" t="str">
        <f>IFERROR(__xludf.DUMMYFUNCTION("""COMPUTED_VALUE"""),"SUMBAGUT")</f>
        <v>SUMBAGUT</v>
      </c>
      <c r="H294" s="222" t="str">
        <f>IFERROR(__xludf.DUMMYFUNCTION("""COMPUTED_VALUE"""),"MEDAN")</f>
        <v>MEDAN</v>
      </c>
      <c r="I294" s="222" t="str">
        <f>IFERROR(__xludf.DUMMYFUNCTION("""COMPUTED_VALUE"""),"Batch 2")</f>
        <v>Batch 2</v>
      </c>
      <c r="J294" s="225">
        <f>IFERROR(__xludf.DUMMYFUNCTION("""COMPUTED_VALUE"""),2.0)</f>
        <v>2</v>
      </c>
      <c r="K294" s="224">
        <f>IFERROR(__xludf.DUMMYFUNCTION("""COMPUTED_VALUE"""),16.0)</f>
        <v>16</v>
      </c>
      <c r="L294" s="226">
        <f>IFERROR(__xludf.DUMMYFUNCTION("""COMPUTED_VALUE"""),948197.0)</f>
        <v>948197</v>
      </c>
      <c r="M294" s="227">
        <f>IFERROR(__xludf.DUMMYFUNCTION("""COMPUTED_VALUE"""),1.5171142E7)</f>
        <v>15171142</v>
      </c>
      <c r="N294" s="222" t="str">
        <f>IFERROR(__xludf.DUMMYFUNCTION("""COMPUTED_VALUE"""),"PT GLOBAL KARYA WANDA")</f>
        <v>PT GLOBAL KARYA WANDA</v>
      </c>
      <c r="O294" s="222" t="str">
        <f>IFERROR(__xludf.DUMMYFUNCTION("""COMPUTED_VALUE"""),"2. DONE AANWIJZING")</f>
        <v>2. DONE AANWIJZING</v>
      </c>
      <c r="P294" s="222" t="str">
        <f>IFERROR(__xludf.DUMMYFUNCTION("""COMPUTED_VALUE"""),"2.10 Kendala - Feeder Rusak")</f>
        <v>2.10 Kendala - Feeder Rusak</v>
      </c>
      <c r="Q294" s="222" t="str">
        <f>IFERROR(__xludf.DUMMYFUNCTION("""COMPUTED_VALUE"""),"21/04 pengecekan tipus / butuh qe
14/11 Feeder redeti
16/10 Feeder Redaman Tinggi
(24/09) Perizinan Warga dan Kades / Lurah
(23/09) Perizinan Warga dan Kades / Lurah
15/09 proses aanwijzing")</f>
        <v>21/04 pengecekan tipus / butuh qe
14/11 Feeder redeti
16/10 Feeder Redaman Tinggi
(24/09) Perizinan Warga dan Kades / Lurah
(23/09) Perizinan Warga dan Kades / Lurah
15/09 proses aanwijzing</v>
      </c>
      <c r="R294" s="228"/>
      <c r="S294" s="11"/>
      <c r="T294" s="11"/>
      <c r="U294" s="11"/>
      <c r="V294" s="229"/>
      <c r="W294" s="229"/>
      <c r="X294" s="229" t="str">
        <f>IFERROR(__xludf.DUMMYFUNCTION("""COMPUTED_VALUE"""),"BELUM GOLIVE")</f>
        <v>BELUM GOLIVE</v>
      </c>
      <c r="Y294" s="229"/>
      <c r="Z294" s="229" t="str">
        <f>IFERROR(__xludf.DUMMYFUNCTION("""COMPUTED_VALUE"""),"#N/A")</f>
        <v>#N/A</v>
      </c>
      <c r="AA294" s="229"/>
      <c r="AB294" s="229"/>
      <c r="AC294" s="229"/>
      <c r="AD294" s="232"/>
      <c r="AE294" s="233"/>
      <c r="AF294" s="54"/>
      <c r="AG294" s="54"/>
      <c r="AH294" s="54"/>
      <c r="AI294" s="55" t="str">
        <f t="shared" si="46"/>
        <v/>
      </c>
      <c r="AW294" s="234"/>
      <c r="BP294" s="11"/>
      <c r="BQ294" s="11"/>
      <c r="BR294" s="235"/>
      <c r="BV294" s="158"/>
      <c r="BY294" s="158"/>
      <c r="CB294" s="158"/>
    </row>
    <row r="295" ht="18.0" hidden="1" customHeight="1">
      <c r="A295" s="222">
        <f>IFERROR(__xludf.DUMMYFUNCTION("""COMPUTED_VALUE"""),2026.0)</f>
        <v>2026</v>
      </c>
      <c r="B295" s="221">
        <f>IFERROR(__xludf.DUMMYFUNCTION("""COMPUTED_VALUE"""),1.2085088E7)</f>
        <v>12085088</v>
      </c>
      <c r="C295" s="222" t="str">
        <f>IFERROR(__xludf.DUMMYFUNCTION("""COMPUTED_VALUE"""),"LPG PT3 KOTA BANDAR LAMPUNG_10686 KDT")</f>
        <v>LPG PT3 KOTA BANDAR LAMPUNG_10686 KDT</v>
      </c>
      <c r="D295" s="222" t="str">
        <f>IFERROR(__xludf.DUMMYFUNCTION("""COMPUTED_VALUE"""),"REGIONAL I")</f>
        <v>REGIONAL I</v>
      </c>
      <c r="E295" s="222" t="str">
        <f>IFERROR(__xludf.DUMMYFUNCTION("""COMPUTED_VALUE"""),"LAMPUNG")</f>
        <v>LAMPUNG</v>
      </c>
      <c r="F295" s="222" t="str">
        <f>IFERROR(__xludf.DUMMYFUNCTION("""COMPUTED_VALUE"""),"KDT")</f>
        <v>KDT</v>
      </c>
      <c r="G295" s="222" t="str">
        <f>IFERROR(__xludf.DUMMYFUNCTION("""COMPUTED_VALUE"""),"SUMBAGSEL")</f>
        <v>SUMBAGSEL</v>
      </c>
      <c r="H295" s="222" t="str">
        <f>IFERROR(__xludf.DUMMYFUNCTION("""COMPUTED_VALUE"""),"LAMPUNG")</f>
        <v>LAMPUNG</v>
      </c>
      <c r="I295" s="222" t="str">
        <f>IFERROR(__xludf.DUMMYFUNCTION("""COMPUTED_VALUE"""),"Batch 2")</f>
        <v>Batch 2</v>
      </c>
      <c r="J295" s="225">
        <f>IFERROR(__xludf.DUMMYFUNCTION("""COMPUTED_VALUE"""),6.0)</f>
        <v>6</v>
      </c>
      <c r="K295" s="224">
        <f>IFERROR(__xludf.DUMMYFUNCTION("""COMPUTED_VALUE"""),48.0)</f>
        <v>48</v>
      </c>
      <c r="L295" s="226">
        <f>IFERROR(__xludf.DUMMYFUNCTION("""COMPUTED_VALUE"""),1357213.0)</f>
        <v>1357213</v>
      </c>
      <c r="M295" s="227">
        <f>IFERROR(__xludf.DUMMYFUNCTION("""COMPUTED_VALUE"""),6.5146191E7)</f>
        <v>65146191</v>
      </c>
      <c r="N295" s="222" t="str">
        <f>IFERROR(__xludf.DUMMYFUNCTION("""COMPUTED_VALUE"""),"PT GARINDO TECHNO MANDIRI")</f>
        <v>PT GARINDO TECHNO MANDIRI</v>
      </c>
      <c r="O295" s="222" t="str">
        <f>IFERROR(__xludf.DUMMYFUNCTION("""COMPUTED_VALUE"""),"0. DROP")</f>
        <v>0. DROP</v>
      </c>
      <c r="P295" s="222" t="str">
        <f>IFERROR(__xludf.DUMMYFUNCTION("""COMPUTED_VALUE"""),"0.2 Tidak Dapat Izin Warga/Kades/Lurah/Developer")</f>
        <v>0.2 Tidak Dapat Izin Warga/Kades/Lurah/Developer</v>
      </c>
      <c r="Q295" s="222" t="str">
        <f>IFERROR(__xludf.DUMMYFUNCTION("""COMPUTED_VALUE"""),"14/1 lurah meminta surat perkim,diskominfo dan juga tata kota")</f>
        <v>14/1 lurah meminta surat perkim,diskominfo dan juga tata kota</v>
      </c>
      <c r="R295" s="228"/>
      <c r="S295" s="11"/>
      <c r="T295" s="11"/>
      <c r="U295" s="11"/>
      <c r="V295" s="229"/>
      <c r="W295" s="229"/>
      <c r="X295" s="229" t="str">
        <f>IFERROR(__xludf.DUMMYFUNCTION("""COMPUTED_VALUE"""),"BELUM GOLIVE")</f>
        <v>BELUM GOLIVE</v>
      </c>
      <c r="Y295" s="229"/>
      <c r="Z295" s="229" t="str">
        <f>IFERROR(__xludf.DUMMYFUNCTION("""COMPUTED_VALUE"""),"#N/A")</f>
        <v>#N/A</v>
      </c>
      <c r="AA295" s="229"/>
      <c r="AB295" s="229"/>
      <c r="AC295" s="229"/>
      <c r="AD295" s="232"/>
      <c r="AE295" s="233"/>
      <c r="AF295" s="54" t="str">
        <f>IFERROR(__xludf.DUMMYFUNCTION("""COMPUTED_VALUE"""),"Draft BA DROP")</f>
        <v>Draft BA DROP</v>
      </c>
      <c r="AG295" s="54"/>
      <c r="AH295" s="54"/>
      <c r="AI295" s="55" t="str">
        <f t="shared" si="46"/>
        <v/>
      </c>
      <c r="AW295" s="234"/>
      <c r="BP295" s="11"/>
      <c r="BQ295" s="11"/>
      <c r="BR295" s="235"/>
      <c r="BV295" s="158"/>
      <c r="BY295" s="158"/>
      <c r="CB295" s="158"/>
    </row>
    <row r="296" ht="18.0" hidden="1" customHeight="1">
      <c r="A296" s="222">
        <f>IFERROR(__xludf.DUMMYFUNCTION("""COMPUTED_VALUE"""),2026.0)</f>
        <v>2026</v>
      </c>
      <c r="B296" s="221">
        <f>IFERROR(__xludf.DUMMYFUNCTION("""COMPUTED_VALUE"""),1.1418786E7)</f>
        <v>11418786</v>
      </c>
      <c r="C296" s="222" t="str">
        <f>IFERROR(__xludf.DUMMYFUNCTION("""COMPUTED_VALUE"""),"JBI-PT4 MINI OLT-PKB-DESA DENDANG")</f>
        <v>JBI-PT4 MINI OLT-PKB-DESA DENDANG</v>
      </c>
      <c r="D296" s="222" t="str">
        <f>IFERROR(__xludf.DUMMYFUNCTION("""COMPUTED_VALUE"""),"REGIONAL I")</f>
        <v>REGIONAL I</v>
      </c>
      <c r="E296" s="222" t="str">
        <f>IFERROR(__xludf.DUMMYFUNCTION("""COMPUTED_VALUE"""),"JAMBI")</f>
        <v>JAMBI</v>
      </c>
      <c r="F296" s="222" t="str">
        <f>IFERROR(__xludf.DUMMYFUNCTION("""COMPUTED_VALUE"""),"PKB")</f>
        <v>PKB</v>
      </c>
      <c r="G296" s="222" t="str">
        <f>IFERROR(__xludf.DUMMYFUNCTION("""COMPUTED_VALUE"""),"SUMBAGSEL")</f>
        <v>SUMBAGSEL</v>
      </c>
      <c r="H296" s="222" t="str">
        <f>IFERROR(__xludf.DUMMYFUNCTION("""COMPUTED_VALUE"""),"JAMBI")</f>
        <v>JAMBI</v>
      </c>
      <c r="I296" s="222" t="str">
        <f>IFERROR(__xludf.DUMMYFUNCTION("""COMPUTED_VALUE"""),"Batch 2")</f>
        <v>Batch 2</v>
      </c>
      <c r="J296" s="225">
        <f>IFERROR(__xludf.DUMMYFUNCTION("""COMPUTED_VALUE"""),47.0)</f>
        <v>47</v>
      </c>
      <c r="K296" s="224">
        <f>IFERROR(__xludf.DUMMYFUNCTION("""COMPUTED_VALUE"""),368.0)</f>
        <v>368</v>
      </c>
      <c r="L296" s="226">
        <f>IFERROR(__xludf.DUMMYFUNCTION("""COMPUTED_VALUE"""),1357163.0)</f>
        <v>1357163</v>
      </c>
      <c r="M296" s="227">
        <f>IFERROR(__xludf.DUMMYFUNCTION("""COMPUTED_VALUE"""),4.9943574E8)</f>
        <v>499435740</v>
      </c>
      <c r="N296" s="222" t="str">
        <f>IFERROR(__xludf.DUMMYFUNCTION("""COMPUTED_VALUE"""),"PT TSUIKA BERKAH RAYA")</f>
        <v>PT TSUIKA BERKAH RAYA</v>
      </c>
      <c r="O296" s="222" t="str">
        <f>IFERROR(__xludf.DUMMYFUNCTION("""COMPUTED_VALUE"""),"7. GOLIVE")</f>
        <v>7. GOLIVE</v>
      </c>
      <c r="P296" s="222" t="str">
        <f>IFERROR(__xludf.DUMMYFUNCTION("""COMPUTED_VALUE"""),"7.2 Golive Full / OA / DONE OTB")</f>
        <v>7.2 Golive Full / OA / DONE OTB</v>
      </c>
      <c r="Q296" s="222" t="str">
        <f>IFERROR(__xludf.DUMMYFUNCTION("""COMPUTED_VALUE"""),"(16/2) golive 16 feb (6/2) sudah sumbit, blm mengirimkan eviden dan valins (5/2) PROSES GOLIVE PROSES VALINS (29/1) new minol baru integrasi , belum terbaca di tacac/nms , est tif 3 feb (12/1)  finish INstall, menunggu Mini OLT(7/1) TARIK KABEL, REDESIGN "&amp;"LOKASI BANJIR  (06/01)order JPP batch-2 2026 ((17/11) Tanam tiang 156/197 sisa 41, KABEL48-4000/4000 (15/11) TIANG 70/197 (10/11) matdel (05/11)Req Material / tiang total 569 btg (15/10) Mapping Mitra")</f>
        <v>(16/2) golive 16 feb (6/2) sudah sumbit, blm mengirimkan eviden dan valins (5/2) PROSES GOLIVE PROSES VALINS (29/1) new minol baru integrasi , belum terbaca di tacac/nms , est tif 3 feb (12/1)  finish INstall, menunggu Mini OLT(7/1) TARIK KABEL, REDESIGN LOKASI BANJIR  (06/01)order JPP batch-2 2026 ((17/11) Tanam tiang 156/197 sisa 41, KABEL48-4000/4000 (15/11) TIANG 70/197 (10/11) matdel (05/11)Req Material / tiang total 569 btg (15/10) Mapping Mitra</v>
      </c>
      <c r="R296" s="228">
        <f>IFERROR(__xludf.DUMMYFUNCTION("""COMPUTED_VALUE"""),46065.0)</f>
        <v>46065</v>
      </c>
      <c r="S296" s="11"/>
      <c r="T296" s="11"/>
      <c r="U296" s="11"/>
      <c r="V296" s="229"/>
      <c r="W296" s="229"/>
      <c r="X296" s="229" t="str">
        <f>IFERROR(__xludf.DUMMYFUNCTION("""COMPUTED_VALUE"""),"GOLIVE")</f>
        <v>GOLIVE</v>
      </c>
      <c r="Y296" s="229" t="str">
        <f>IFERROR(__xludf.DUMMYFUNCTION("""COMPUTED_VALUE"""),"DONE")</f>
        <v>DONE</v>
      </c>
      <c r="Z296" s="229"/>
      <c r="AA296" s="229">
        <f>IFERROR(__xludf.DUMMYFUNCTION("""COMPUTED_VALUE"""),42.0)</f>
        <v>42</v>
      </c>
      <c r="AB296" s="229"/>
      <c r="AC296" s="229" t="str">
        <f>IFERROR(__xludf.DUMMYFUNCTION("""COMPUTED_VALUE"""),"9060728#9060733")</f>
        <v>9060728#9060733</v>
      </c>
      <c r="AD296" s="232">
        <f>IFERROR(__xludf.DUMMYFUNCTION("""COMPUTED_VALUE"""),336.0)</f>
        <v>336</v>
      </c>
      <c r="AE296" s="233">
        <f>IFERROR(__xludf.DUMMYFUNCTION("""COMPUTED_VALUE"""),46069.0)</f>
        <v>46069</v>
      </c>
      <c r="AF296" s="54"/>
      <c r="AG296" s="54"/>
      <c r="AH296" s="54">
        <v>46065.0</v>
      </c>
      <c r="AI296" s="55">
        <f t="shared" si="46"/>
        <v>-4</v>
      </c>
      <c r="AW296" s="234"/>
      <c r="BP296" s="11"/>
      <c r="BQ296" s="11"/>
      <c r="BR296" s="235"/>
      <c r="BV296" s="158"/>
      <c r="BY296" s="158"/>
      <c r="CB296" s="158"/>
    </row>
    <row r="297" ht="18.0" customHeight="1">
      <c r="A297" s="222">
        <f>IFERROR(__xludf.DUMMYFUNCTION("""COMPUTED_VALUE"""),2026.0)</f>
        <v>2026</v>
      </c>
      <c r="B297" s="221">
        <f>IFERROR(__xludf.DUMMYFUNCTION("""COMPUTED_VALUE"""),1.1202007E7)</f>
        <v>11202007</v>
      </c>
      <c r="C297" s="222" t="str">
        <f>IFERROR(__xludf.DUMMYFUNCTION("""COMPUTED_VALUE"""),"RKP PT3 TSEL BUM-FJ GG. APEL TJ. BUNTUNG")</f>
        <v>RKP PT3 TSEL BUM-FJ GG. APEL TJ. BUNTUNG</v>
      </c>
      <c r="D297" s="222" t="str">
        <f>IFERROR(__xludf.DUMMYFUNCTION("""COMPUTED_VALUE"""),"REGIONAL I")</f>
        <v>REGIONAL I</v>
      </c>
      <c r="E297" s="222" t="str">
        <f>IFERROR(__xludf.DUMMYFUNCTION("""COMPUTED_VALUE"""),"RIKEP")</f>
        <v>RIKEP</v>
      </c>
      <c r="F297" s="222" t="str">
        <f>IFERROR(__xludf.DUMMYFUNCTION("""COMPUTED_VALUE"""),"BUM")</f>
        <v>BUM</v>
      </c>
      <c r="G297" s="222" t="str">
        <f>IFERROR(__xludf.DUMMYFUNCTION("""COMPUTED_VALUE"""),"SUMBAGTENG")</f>
        <v>SUMBAGTENG</v>
      </c>
      <c r="H297" s="222" t="str">
        <f>IFERROR(__xludf.DUMMYFUNCTION("""COMPUTED_VALUE"""),"BATAM")</f>
        <v>BATAM</v>
      </c>
      <c r="I297" s="222" t="str">
        <f>IFERROR(__xludf.DUMMYFUNCTION("""COMPUTED_VALUE"""),"Batch 2")</f>
        <v>Batch 2</v>
      </c>
      <c r="J297" s="225">
        <f>IFERROR(__xludf.DUMMYFUNCTION("""COMPUTED_VALUE"""),2.0)</f>
        <v>2</v>
      </c>
      <c r="K297" s="224">
        <f>IFERROR(__xludf.DUMMYFUNCTION("""COMPUTED_VALUE"""),16.0)</f>
        <v>16</v>
      </c>
      <c r="L297" s="226">
        <f>IFERROR(__xludf.DUMMYFUNCTION("""COMPUTED_VALUE"""),1357020.0)</f>
        <v>1357020</v>
      </c>
      <c r="M297" s="227">
        <f>IFERROR(__xludf.DUMMYFUNCTION("""COMPUTED_VALUE"""),2.1712306E7)</f>
        <v>21712306</v>
      </c>
      <c r="N297" s="222" t="str">
        <f>IFERROR(__xludf.DUMMYFUNCTION("""COMPUTED_VALUE"""),"PT TRIPOLA PANATA")</f>
        <v>PT TRIPOLA PANATA</v>
      </c>
      <c r="O297" s="222" t="str">
        <f>IFERROR(__xludf.DUMMYFUNCTION("""COMPUTED_VALUE"""),"7. GOLIVE")</f>
        <v>7. GOLIVE</v>
      </c>
      <c r="P297" s="222" t="str">
        <f>IFERROR(__xludf.DUMMYFUNCTION("""COMPUTED_VALUE"""),"7.2 Golive Full / OA / DONE OTB")</f>
        <v>7.2 Golive Full / OA / DONE OTB</v>
      </c>
      <c r="Q297" s="222" t="str">
        <f>IFERROR(__xludf.DUMMYFUNCTION("""COMPUTED_VALUE"""),"04/03 ABD sudah submit. 18/02 Fi tanggal 24 Feb, Sumbit ABD tanggal 25 Feb. 09/02 Proses terminasi. 04/02 Proses tarik kabel, plan FI tanggal 07. 30/01 Tanam tiang. 28/01 Deliv material, Plan tanam tiang tgl 29, tarik kabel 30, Terminasi dan ABD mancore t"&amp;"anggal 31")</f>
        <v>04/03 ABD sudah submit. 18/02 Fi tanggal 24 Feb, Sumbit ABD tanggal 25 Feb. 09/02 Proses terminasi. 04/02 Proses tarik kabel, plan FI tanggal 07. 30/01 Tanam tiang. 28/01 Deliv material, Plan tanam tiang tgl 29, tarik kabel 30, Terminasi dan ABD mancore tanggal 31</v>
      </c>
      <c r="R297" s="228">
        <f>IFERROR(__xludf.DUMMYFUNCTION("""COMPUTED_VALUE"""),46089.0)</f>
        <v>46089</v>
      </c>
      <c r="S297" s="11" t="str">
        <f>IFERROR(__xludf.DUMMYFUNCTION("""COMPUTED_VALUE"""),"MAR")</f>
        <v>MAR</v>
      </c>
      <c r="T297" s="11"/>
      <c r="U297" s="11" t="str">
        <f>IFERROR(__xludf.DUMMYFUNCTION("""COMPUTED_VALUE"""),"W09-109/2026")</f>
        <v>W09-109/2026</v>
      </c>
      <c r="V297" s="229" t="str">
        <f>IFERROR(__xludf.DUMMYFUNCTION("""COMPUTED_VALUE"""),"RONALDO LEO INFANTRI")</f>
        <v>RONALDO LEO INFANTRI</v>
      </c>
      <c r="W297" s="229" t="str">
        <f>IFERROR(__xludf.DUMMYFUNCTION("""COMPUTED_VALUE"""),"LEVITA INDRIYANI")</f>
        <v>LEVITA INDRIYANI</v>
      </c>
      <c r="X297" s="229" t="str">
        <f>IFERROR(__xludf.DUMMYFUNCTION("""COMPUTED_VALUE"""),"GOLIVE")</f>
        <v>GOLIVE</v>
      </c>
      <c r="Y297" s="229" t="str">
        <f>IFERROR(__xludf.DUMMYFUNCTION("""COMPUTED_VALUE"""),"DONE")</f>
        <v>DONE</v>
      </c>
      <c r="Z297" s="229" t="str">
        <f>IFERROR(__xludf.DUMMYFUNCTION("""COMPUTED_VALUE"""),"#N/A")</f>
        <v>#N/A</v>
      </c>
      <c r="AA297" s="229">
        <f>IFERROR(__xludf.DUMMYFUNCTION("""COMPUTED_VALUE"""),2.0)</f>
        <v>2</v>
      </c>
      <c r="AB297" s="229"/>
      <c r="AC297" s="229" t="str">
        <f>IFERROR(__xludf.DUMMYFUNCTION("""COMPUTED_VALUE"""),"9038901#9038907")</f>
        <v>9038901#9038907</v>
      </c>
      <c r="AD297" s="232">
        <f>IFERROR(__xludf.DUMMYFUNCTION("""COMPUTED_VALUE"""),16.0)</f>
        <v>16</v>
      </c>
      <c r="AE297" s="233">
        <f>IFERROR(__xludf.DUMMYFUNCTION("""COMPUTED_VALUE"""),46087.0)</f>
        <v>46087</v>
      </c>
      <c r="AF297" s="54"/>
      <c r="AG297" s="54"/>
      <c r="AH297" s="54">
        <v>46089.0</v>
      </c>
      <c r="AI297" s="55">
        <f>IF(OR(AH297="",AE297=""),"",AH297-AE297)</f>
        <v>2</v>
      </c>
      <c r="AW297" s="234"/>
      <c r="BP297" s="11"/>
      <c r="BQ297" s="11"/>
      <c r="BR297" s="235"/>
      <c r="BV297" s="158"/>
      <c r="BY297" s="158"/>
      <c r="CB297" s="158"/>
    </row>
    <row r="298" ht="18.0" hidden="1" customHeight="1">
      <c r="A298" s="222">
        <f>IFERROR(__xludf.DUMMYFUNCTION("""COMPUTED_VALUE"""),2026.0)</f>
        <v>2026</v>
      </c>
      <c r="B298" s="221">
        <f>IFERROR(__xludf.DUMMYFUNCTION("""COMPUTED_VALUE"""),1.1412024E7)</f>
        <v>11412024</v>
      </c>
      <c r="C298" s="222" t="str">
        <f>IFERROR(__xludf.DUMMYFUNCTION("""COMPUTED_VALUE"""),"BNK-PT4-BNC-JPPTSEL- PEKIK NYARING 2")</f>
        <v>BNK-PT4-BNC-JPPTSEL- PEKIK NYARING 2</v>
      </c>
      <c r="D298" s="222" t="str">
        <f>IFERROR(__xludf.DUMMYFUNCTION("""COMPUTED_VALUE"""),"REGIONAL I")</f>
        <v>REGIONAL I</v>
      </c>
      <c r="E298" s="222" t="str">
        <f>IFERROR(__xludf.DUMMYFUNCTION("""COMPUTED_VALUE"""),"BENGKULU")</f>
        <v>BENGKULU</v>
      </c>
      <c r="F298" s="222" t="str">
        <f>IFERROR(__xludf.DUMMYFUNCTION("""COMPUTED_VALUE"""),"BNC")</f>
        <v>BNC</v>
      </c>
      <c r="G298" s="222" t="str">
        <f>IFERROR(__xludf.DUMMYFUNCTION("""COMPUTED_VALUE"""),"SUMBAGSEL")</f>
        <v>SUMBAGSEL</v>
      </c>
      <c r="H298" s="222" t="str">
        <f>IFERROR(__xludf.DUMMYFUNCTION("""COMPUTED_VALUE"""),"BENGKULU")</f>
        <v>BENGKULU</v>
      </c>
      <c r="I298" s="222" t="str">
        <f>IFERROR(__xludf.DUMMYFUNCTION("""COMPUTED_VALUE"""),"Batch 2")</f>
        <v>Batch 2</v>
      </c>
      <c r="J298" s="225">
        <f>IFERROR(__xludf.DUMMYFUNCTION("""COMPUTED_VALUE"""),54.0)</f>
        <v>54</v>
      </c>
      <c r="K298" s="224">
        <f>IFERROR(__xludf.DUMMYFUNCTION("""COMPUTED_VALUE"""),432.0)</f>
        <v>432</v>
      </c>
      <c r="L298" s="226">
        <f>IFERROR(__xludf.DUMMYFUNCTION("""COMPUTED_VALUE"""),1352926.0)</f>
        <v>1352926</v>
      </c>
      <c r="M298" s="227">
        <f>IFERROR(__xludf.DUMMYFUNCTION("""COMPUTED_VALUE"""),5.84463675E8)</f>
        <v>584463675</v>
      </c>
      <c r="N298" s="222" t="str">
        <f>IFERROR(__xludf.DUMMYFUNCTION("""COMPUTED_VALUE"""),"PT GITA PRIMA TAMBA PERKASA")</f>
        <v>PT GITA PRIMA TAMBA PERKASA</v>
      </c>
      <c r="O298" s="222" t="str">
        <f>IFERROR(__xludf.DUMMYFUNCTION("""COMPUTED_VALUE"""),"7. GOLIVE")</f>
        <v>7. GOLIVE</v>
      </c>
      <c r="P298" s="222" t="str">
        <f>IFERROR(__xludf.DUMMYFUNCTION("""COMPUTED_VALUE"""),"7.2 Golive Full / OA / DONE OTB")</f>
        <v>7.2 Golive Full / OA / DONE OTB</v>
      </c>
      <c r="Q298" s="222" t="str">
        <f>IFERROR(__xludf.DUMMYFUNCTION("""COMPUTED_VALUE"""),"24/02:// 23/02 : Sudah submit ABD ke SDI // 22/2 plan GOlive 24 FEB 18/2 proses JUMPER plan GOLIVE 21 FEB  22/01 : odc done Upgrade, GL kendala Mini OLT belum ready // MINI OLT DAN UPGRADE ODC 
(07/01) Persiapan")</f>
        <v>24/02:// 23/02 : Sudah submit ABD ke SDI // 22/2 plan GOlive 24 FEB 18/2 proses JUMPER plan GOLIVE 21 FEB  22/01 : odc done Upgrade, GL kendala Mini OLT belum ready // MINI OLT DAN UPGRADE ODC 
(07/01) Persiapan</v>
      </c>
      <c r="R298" s="228">
        <f>IFERROR(__xludf.DUMMYFUNCTION("""COMPUTED_VALUE"""),46077.0)</f>
        <v>46077</v>
      </c>
      <c r="S298" s="11"/>
      <c r="T298" s="11"/>
      <c r="U298" s="11" t="str">
        <f>IFERROR(__xludf.DUMMYFUNCTION("""COMPUTED_VALUE"""),"W06-345/2025")</f>
        <v>W06-345/2025</v>
      </c>
      <c r="V298" s="229"/>
      <c r="W298" s="229"/>
      <c r="X298" s="229" t="str">
        <f>IFERROR(__xludf.DUMMYFUNCTION("""COMPUTED_VALUE"""),"GOLIVE")</f>
        <v>GOLIVE</v>
      </c>
      <c r="Y298" s="229" t="str">
        <f>IFERROR(__xludf.DUMMYFUNCTION("""COMPUTED_VALUE"""),"DONE")</f>
        <v>DONE</v>
      </c>
      <c r="Z298" s="229"/>
      <c r="AA298" s="229">
        <f>IFERROR(__xludf.DUMMYFUNCTION("""COMPUTED_VALUE"""),54.0)</f>
        <v>54</v>
      </c>
      <c r="AB298" s="229"/>
      <c r="AC298" s="229" t="str">
        <f>IFERROR(__xludf.DUMMYFUNCTION("""COMPUTED_VALUE"""),"9146456#9146561")</f>
        <v>9146456#9146561</v>
      </c>
      <c r="AD298" s="232">
        <f>IFERROR(__xludf.DUMMYFUNCTION("""COMPUTED_VALUE"""),432.0)</f>
        <v>432</v>
      </c>
      <c r="AE298" s="233">
        <f>IFERROR(__xludf.DUMMYFUNCTION("""COMPUTED_VALUE"""),46077.0)</f>
        <v>46077</v>
      </c>
      <c r="AF298" s="54"/>
      <c r="AG298" s="54"/>
      <c r="AH298" s="54">
        <v>46077.0</v>
      </c>
      <c r="AI298" s="55">
        <f t="shared" ref="AI298:AI317" si="47">IF(OR(R298="",AE298=""),"",R298-AE298)</f>
        <v>0</v>
      </c>
      <c r="AW298" s="234"/>
      <c r="BP298" s="11"/>
      <c r="BQ298" s="11"/>
      <c r="BR298" s="235"/>
      <c r="BV298" s="158"/>
      <c r="BY298" s="158"/>
      <c r="CB298" s="158"/>
    </row>
    <row r="299" ht="18.0" customHeight="1">
      <c r="A299" s="222">
        <f>IFERROR(__xludf.DUMMYFUNCTION("""COMPUTED_VALUE"""),2026.0)</f>
        <v>2026</v>
      </c>
      <c r="B299" s="221">
        <f>IFERROR(__xludf.DUMMYFUNCTION("""COMPUTED_VALUE"""),1.1912543E7)</f>
        <v>11912543</v>
      </c>
      <c r="C299" s="222" t="str">
        <f>IFERROR(__xludf.DUMMYFUNCTION("""COMPUTED_VALUE"""),"RKP TSEL PT3 SLU-FC KOTA BATAM_91005")</f>
        <v>RKP TSEL PT3 SLU-FC KOTA BATAM_91005</v>
      </c>
      <c r="D299" s="222" t="str">
        <f>IFERROR(__xludf.DUMMYFUNCTION("""COMPUTED_VALUE"""),"REGIONAL I")</f>
        <v>REGIONAL I</v>
      </c>
      <c r="E299" s="222" t="str">
        <f>IFERROR(__xludf.DUMMYFUNCTION("""COMPUTED_VALUE"""),"RIKEP")</f>
        <v>RIKEP</v>
      </c>
      <c r="F299" s="222" t="str">
        <f>IFERROR(__xludf.DUMMYFUNCTION("""COMPUTED_VALUE"""),"SLU")</f>
        <v>SLU</v>
      </c>
      <c r="G299" s="222" t="str">
        <f>IFERROR(__xludf.DUMMYFUNCTION("""COMPUTED_VALUE"""),"SUMBAGTENG")</f>
        <v>SUMBAGTENG</v>
      </c>
      <c r="H299" s="222" t="str">
        <f>IFERROR(__xludf.DUMMYFUNCTION("""COMPUTED_VALUE"""),"BATAM")</f>
        <v>BATAM</v>
      </c>
      <c r="I299" s="222" t="str">
        <f>IFERROR(__xludf.DUMMYFUNCTION("""COMPUTED_VALUE"""),"Batch 2")</f>
        <v>Batch 2</v>
      </c>
      <c r="J299" s="225">
        <f>IFERROR(__xludf.DUMMYFUNCTION("""COMPUTED_VALUE"""),1.0)</f>
        <v>1</v>
      </c>
      <c r="K299" s="224">
        <f>IFERROR(__xludf.DUMMYFUNCTION("""COMPUTED_VALUE"""),8.0)</f>
        <v>8</v>
      </c>
      <c r="L299" s="226">
        <f>IFERROR(__xludf.DUMMYFUNCTION("""COMPUTED_VALUE"""),1352915.0)</f>
        <v>1352915</v>
      </c>
      <c r="M299" s="227">
        <f>IFERROR(__xludf.DUMMYFUNCTION("""COMPUTED_VALUE"""),1.0823314E7)</f>
        <v>10823314</v>
      </c>
      <c r="N299" s="222" t="str">
        <f>IFERROR(__xludf.DUMMYFUNCTION("""COMPUTED_VALUE"""),"PT MITRA SETIA INDONESIA")</f>
        <v>PT MITRA SETIA INDONESIA</v>
      </c>
      <c r="O299" s="222" t="str">
        <f>IFERROR(__xludf.DUMMYFUNCTION("""COMPUTED_VALUE"""),"2. DONE AANWIJZING")</f>
        <v>2. DONE AANWIJZING</v>
      </c>
      <c r="P299" s="222" t="str">
        <f>IFERROR(__xludf.DUMMYFUNCTION("""COMPUTED_VALUE"""),"2.10 Kendala - Feeder Rusak")</f>
        <v>2.10 Kendala - Feeder Rusak</v>
      </c>
      <c r="Q299" s="222" t="str">
        <f>IFERROR(__xludf.DUMMYFUNCTION("""COMPUTED_VALUE"""),"04/03 Feeder rusak butuh eviden OTDR ulang. 20/02 Pengambilan ulang eviden kendala feeder. 13/02 SLU-FC Feeder rusak akibat gamas pelebaran jalan. 09/02 LOP belum di sruvey. 28/01 Plan survey 29 Jan. 21/01 plan survey minggu depan tgl 26")</f>
        <v>04/03 Feeder rusak butuh eviden OTDR ulang. 20/02 Pengambilan ulang eviden kendala feeder. 13/02 SLU-FC Feeder rusak akibat gamas pelebaran jalan. 09/02 LOP belum di sruvey. 28/01 Plan survey 29 Jan. 21/01 plan survey minggu depan tgl 26</v>
      </c>
      <c r="R299" s="228"/>
      <c r="S299" s="11"/>
      <c r="T299" s="11"/>
      <c r="U299" s="11"/>
      <c r="V299" s="229" t="str">
        <f>IFERROR(__xludf.DUMMYFUNCTION("""COMPUTED_VALUE"""),"MUHAMMAD RIDHO FALFO")</f>
        <v>MUHAMMAD RIDHO FALFO</v>
      </c>
      <c r="W299" s="229" t="str">
        <f>IFERROR(__xludf.DUMMYFUNCTION("""COMPUTED_VALUE"""),"LEVITA INDRIYANI")</f>
        <v>LEVITA INDRIYANI</v>
      </c>
      <c r="X299" s="229" t="str">
        <f>IFERROR(__xludf.DUMMYFUNCTION("""COMPUTED_VALUE"""),"BELUM GOLIVE")</f>
        <v>BELUM GOLIVE</v>
      </c>
      <c r="Y299" s="229"/>
      <c r="Z299" s="229" t="str">
        <f>IFERROR(__xludf.DUMMYFUNCTION("""COMPUTED_VALUE"""),"#N/A")</f>
        <v>#N/A</v>
      </c>
      <c r="AA299" s="229"/>
      <c r="AB299" s="229"/>
      <c r="AC299" s="229"/>
      <c r="AD299" s="232"/>
      <c r="AE299" s="233"/>
      <c r="AF299" s="54"/>
      <c r="AG299" s="54"/>
      <c r="AH299" s="54"/>
      <c r="AI299" s="55" t="str">
        <f t="shared" si="47"/>
        <v/>
      </c>
      <c r="AW299" s="234"/>
      <c r="BP299" s="11"/>
      <c r="BQ299" s="11"/>
      <c r="BR299" s="235"/>
      <c r="BV299" s="158"/>
      <c r="BY299" s="158"/>
      <c r="CB299" s="158"/>
    </row>
    <row r="300" ht="18.0" customHeight="1">
      <c r="A300" s="222">
        <f>IFERROR(__xludf.DUMMYFUNCTION("""COMPUTED_VALUE"""),2026.0)</f>
        <v>2026</v>
      </c>
      <c r="B300" s="221">
        <f>IFERROR(__xludf.DUMMYFUNCTION("""COMPUTED_VALUE"""),1.1138025E7)</f>
        <v>11138025</v>
      </c>
      <c r="C300" s="222" t="str">
        <f>IFERROR(__xludf.DUMMYFUNCTION("""COMPUTED_VALUE"""),"SMB P1I1 Perum Griya Assalam Kambing")</f>
        <v>SMB P1I1 Perum Griya Assalam Kambing</v>
      </c>
      <c r="D300" s="222" t="str">
        <f>IFERROR(__xludf.DUMMYFUNCTION("""COMPUTED_VALUE"""),"REGIONAL I")</f>
        <v>REGIONAL I</v>
      </c>
      <c r="E300" s="222" t="str">
        <f>IFERROR(__xludf.DUMMYFUNCTION("""COMPUTED_VALUE"""),"SUMBAR")</f>
        <v>SUMBAR</v>
      </c>
      <c r="F300" s="222" t="str">
        <f>IFERROR(__xludf.DUMMYFUNCTION("""COMPUTED_VALUE"""),"KMN")</f>
        <v>KMN</v>
      </c>
      <c r="G300" s="222" t="str">
        <f>IFERROR(__xludf.DUMMYFUNCTION("""COMPUTED_VALUE"""),"SUMBAGTENG")</f>
        <v>SUMBAGTENG</v>
      </c>
      <c r="H300" s="222" t="str">
        <f>IFERROR(__xludf.DUMMYFUNCTION("""COMPUTED_VALUE"""),"BUKIT TINGGI")</f>
        <v>BUKIT TINGGI</v>
      </c>
      <c r="I300" s="222" t="str">
        <f>IFERROR(__xludf.DUMMYFUNCTION("""COMPUTED_VALUE"""),"Batch 2")</f>
        <v>Batch 2</v>
      </c>
      <c r="J300" s="225">
        <f>IFERROR(__xludf.DUMMYFUNCTION("""COMPUTED_VALUE"""),1.0)</f>
        <v>1</v>
      </c>
      <c r="K300" s="224">
        <f>IFERROR(__xludf.DUMMYFUNCTION("""COMPUTED_VALUE"""),8.0)</f>
        <v>8</v>
      </c>
      <c r="L300" s="226">
        <f>IFERROR(__xludf.DUMMYFUNCTION("""COMPUTED_VALUE"""),1352546.0)</f>
        <v>1352546</v>
      </c>
      <c r="M300" s="227">
        <f>IFERROR(__xludf.DUMMYFUNCTION("""COMPUTED_VALUE"""),1.0820364E7)</f>
        <v>10820364</v>
      </c>
      <c r="N300" s="222" t="str">
        <f>IFERROR(__xludf.DUMMYFUNCTION("""COMPUTED_VALUE"""),"PT RATRI PRIMA MANDIRI")</f>
        <v>PT RATRI PRIMA MANDIRI</v>
      </c>
      <c r="O300" s="222" t="str">
        <f>IFERROR(__xludf.DUMMYFUNCTION("""COMPUTED_VALUE"""),"0. DROP")</f>
        <v>0. DROP</v>
      </c>
      <c r="P300" s="222" t="str">
        <f>IFERROR(__xludf.DUMMYFUNCTION("""COMPUTED_VALUE"""),"0.2 Tidak Dapat Izin Warga/Kades/Lurah/Developer")</f>
        <v>0.2 Tidak Dapat Izin Warga/Kades/Lurah/Developer</v>
      </c>
      <c r="Q300" s="222" t="str">
        <f>IFERROR(__xludf.DUMMYFUNCTION("""COMPUTED_VALUE"""),"(05/03) Tidak dapat izin tanam tiang pemilik lahan, tanah adat  (02/03) proses aanwijziing (26/01) DROP, permintaan tsel (tidak potensial) ")</f>
        <v>(05/03) Tidak dapat izin tanam tiang pemilik lahan, tanah adat  (02/03) proses aanwijziing (26/01) DROP, permintaan tsel (tidak potensial) </v>
      </c>
      <c r="R300" s="228"/>
      <c r="S300" s="11"/>
      <c r="T300" s="11"/>
      <c r="U300" s="11"/>
      <c r="V300" s="229" t="str">
        <f>IFERROR(__xludf.DUMMYFUNCTION("""COMPUTED_VALUE"""),"M. ARIF HAMADI")</f>
        <v>M. ARIF HAMADI</v>
      </c>
      <c r="W300" s="229" t="str">
        <f>IFERROR(__xludf.DUMMYFUNCTION("""COMPUTED_VALUE"""),"MELKO NARWADI")</f>
        <v>MELKO NARWADI</v>
      </c>
      <c r="X300" s="229" t="str">
        <f>IFERROR(__xludf.DUMMYFUNCTION("""COMPUTED_VALUE"""),"BELUM GOLIVE")</f>
        <v>BELUM GOLIVE</v>
      </c>
      <c r="Y300" s="229"/>
      <c r="Z300" s="229" t="str">
        <f>IFERROR(__xludf.DUMMYFUNCTION("""COMPUTED_VALUE"""),"#N/A")</f>
        <v>#N/A</v>
      </c>
      <c r="AA300" s="229"/>
      <c r="AB300" s="229"/>
      <c r="AC300" s="229"/>
      <c r="AD300" s="232"/>
      <c r="AE300" s="233"/>
      <c r="AF300" s="54"/>
      <c r="AG300" s="54"/>
      <c r="AH300" s="54"/>
      <c r="AI300" s="55" t="str">
        <f t="shared" si="47"/>
        <v/>
      </c>
      <c r="AW300" s="234"/>
      <c r="BP300" s="11"/>
      <c r="BQ300" s="11"/>
      <c r="BR300" s="235"/>
      <c r="BV300" s="158"/>
      <c r="BY300" s="158"/>
      <c r="CB300" s="158"/>
    </row>
    <row r="301" ht="18.0" hidden="1" customHeight="1">
      <c r="A301" s="222">
        <f>IFERROR(__xludf.DUMMYFUNCTION("""COMPUTED_VALUE"""),2026.0)</f>
        <v>2026</v>
      </c>
      <c r="B301" s="221">
        <f>IFERROR(__xludf.DUMMYFUNCTION("""COMPUTED_VALUE"""),1.12315E7)</f>
        <v>11231500</v>
      </c>
      <c r="C301" s="222" t="str">
        <f>IFERROR(__xludf.DUMMYFUNCTION("""COMPUTED_VALUE"""),"MDN PT3 P7I10 TJR-FAA JL.DAMAI")</f>
        <v>MDN PT3 P7I10 TJR-FAA JL.DAMAI</v>
      </c>
      <c r="D301" s="222" t="str">
        <f>IFERROR(__xludf.DUMMYFUNCTION("""COMPUTED_VALUE"""),"REGIONAL I")</f>
        <v>REGIONAL I</v>
      </c>
      <c r="E301" s="222" t="str">
        <f>IFERROR(__xludf.DUMMYFUNCTION("""COMPUTED_VALUE"""),"MEDAN")</f>
        <v>MEDAN</v>
      </c>
      <c r="F301" s="222" t="str">
        <f>IFERROR(__xludf.DUMMYFUNCTION("""COMPUTED_VALUE"""),"TJR")</f>
        <v>TJR</v>
      </c>
      <c r="G301" s="222" t="str">
        <f>IFERROR(__xludf.DUMMYFUNCTION("""COMPUTED_VALUE"""),"SUMBAGUT")</f>
        <v>SUMBAGUT</v>
      </c>
      <c r="H301" s="222" t="str">
        <f>IFERROR(__xludf.DUMMYFUNCTION("""COMPUTED_VALUE"""),"MEDAN")</f>
        <v>MEDAN</v>
      </c>
      <c r="I301" s="222" t="str">
        <f>IFERROR(__xludf.DUMMYFUNCTION("""COMPUTED_VALUE"""),"Batch 2")</f>
        <v>Batch 2</v>
      </c>
      <c r="J301" s="225">
        <f>IFERROR(__xludf.DUMMYFUNCTION("""COMPUTED_VALUE"""),16.0)</f>
        <v>16</v>
      </c>
      <c r="K301" s="224">
        <f>IFERROR(__xludf.DUMMYFUNCTION("""COMPUTED_VALUE"""),128.0)</f>
        <v>128</v>
      </c>
      <c r="L301" s="226">
        <f>IFERROR(__xludf.DUMMYFUNCTION("""COMPUTED_VALUE"""),1352350.0)</f>
        <v>1352350</v>
      </c>
      <c r="M301" s="227">
        <f>IFERROR(__xludf.DUMMYFUNCTION("""COMPUTED_VALUE"""),1.73100768E8)</f>
        <v>173100768</v>
      </c>
      <c r="N301" s="222" t="str">
        <f>IFERROR(__xludf.DUMMYFUNCTION("""COMPUTED_VALUE"""),"PT UPAYA TEKNIK")</f>
        <v>PT UPAYA TEKNIK</v>
      </c>
      <c r="O301" s="222" t="str">
        <f>IFERROR(__xludf.DUMMYFUNCTION("""COMPUTED_VALUE"""),"0. DROP")</f>
        <v>0. DROP</v>
      </c>
      <c r="P301" s="222" t="str">
        <f>IFERROR(__xludf.DUMMYFUNCTION("""COMPUTED_VALUE"""),"0.4 CPP Tinggi Acc ED TIF")</f>
        <v>0.4 CPP Tinggi Acc ED TIF</v>
      </c>
      <c r="Q301" s="222" t="str">
        <f>IFERROR(__xludf.DUMMYFUNCTION("""COMPUTED_VALUE"""),"(07/01) Persiapan")</f>
        <v>(07/01) Persiapan</v>
      </c>
      <c r="R301" s="228"/>
      <c r="S301" s="11"/>
      <c r="T301" s="11"/>
      <c r="U301" s="11"/>
      <c r="V301" s="229"/>
      <c r="W301" s="229"/>
      <c r="X301" s="229" t="str">
        <f>IFERROR(__xludf.DUMMYFUNCTION("""COMPUTED_VALUE"""),"BELUM GOLIVE")</f>
        <v>BELUM GOLIVE</v>
      </c>
      <c r="Y301" s="229"/>
      <c r="Z301" s="229" t="str">
        <f>IFERROR(__xludf.DUMMYFUNCTION("""COMPUTED_VALUE"""),"#N/A")</f>
        <v>#N/A</v>
      </c>
      <c r="AA301" s="229"/>
      <c r="AB301" s="229"/>
      <c r="AC301" s="229"/>
      <c r="AD301" s="232"/>
      <c r="AE301" s="233"/>
      <c r="AF301" s="54" t="str">
        <f>IFERROR(__xludf.DUMMYFUNCTION("""COMPUTED_VALUE"""),"Draft BA DROP")</f>
        <v>Draft BA DROP</v>
      </c>
      <c r="AG301" s="54"/>
      <c r="AH301" s="54"/>
      <c r="AI301" s="55" t="str">
        <f t="shared" si="47"/>
        <v/>
      </c>
      <c r="AW301" s="234"/>
      <c r="BP301" s="11"/>
      <c r="BQ301" s="11"/>
      <c r="BR301" s="235"/>
      <c r="BV301" s="158"/>
      <c r="BY301" s="158"/>
      <c r="CB301" s="158"/>
    </row>
    <row r="302" ht="18.0" hidden="1" customHeight="1">
      <c r="A302" s="222">
        <f>IFERROR(__xludf.DUMMYFUNCTION("""COMPUTED_VALUE"""),2026.0)</f>
        <v>2026</v>
      </c>
      <c r="B302" s="221">
        <f>IFERROR(__xludf.DUMMYFUNCTION("""COMPUTED_VALUE"""),1.1397086E7)</f>
        <v>11397086</v>
      </c>
      <c r="C302" s="222" t="str">
        <f>IFERROR(__xludf.DUMMYFUNCTION("""COMPUTED_VALUE"""),"MDN PT3 TJR-FK GG.MERANTI")</f>
        <v>MDN PT3 TJR-FK GG.MERANTI</v>
      </c>
      <c r="D302" s="222" t="str">
        <f>IFERROR(__xludf.DUMMYFUNCTION("""COMPUTED_VALUE"""),"REGIONAL I")</f>
        <v>REGIONAL I</v>
      </c>
      <c r="E302" s="222" t="str">
        <f>IFERROR(__xludf.DUMMYFUNCTION("""COMPUTED_VALUE"""),"MEDAN")</f>
        <v>MEDAN</v>
      </c>
      <c r="F302" s="222" t="str">
        <f>IFERROR(__xludf.DUMMYFUNCTION("""COMPUTED_VALUE"""),"TJR")</f>
        <v>TJR</v>
      </c>
      <c r="G302" s="222" t="str">
        <f>IFERROR(__xludf.DUMMYFUNCTION("""COMPUTED_VALUE"""),"SUMBAGUT")</f>
        <v>SUMBAGUT</v>
      </c>
      <c r="H302" s="222" t="str">
        <f>IFERROR(__xludf.DUMMYFUNCTION("""COMPUTED_VALUE"""),"MEDAN")</f>
        <v>MEDAN</v>
      </c>
      <c r="I302" s="222" t="str">
        <f>IFERROR(__xludf.DUMMYFUNCTION("""COMPUTED_VALUE"""),"Batch 2")</f>
        <v>Batch 2</v>
      </c>
      <c r="J302" s="225">
        <f>IFERROR(__xludf.DUMMYFUNCTION("""COMPUTED_VALUE"""),3.0)</f>
        <v>3</v>
      </c>
      <c r="K302" s="224">
        <f>IFERROR(__xludf.DUMMYFUNCTION("""COMPUTED_VALUE"""),24.0)</f>
        <v>24</v>
      </c>
      <c r="L302" s="226">
        <f>IFERROR(__xludf.DUMMYFUNCTION("""COMPUTED_VALUE"""),936784.0)</f>
        <v>936784</v>
      </c>
      <c r="M302" s="227">
        <f>IFERROR(__xludf.DUMMYFUNCTION("""COMPUTED_VALUE"""),2.2482793E7)</f>
        <v>22482793</v>
      </c>
      <c r="N302" s="222" t="str">
        <f>IFERROR(__xludf.DUMMYFUNCTION("""COMPUTED_VALUE"""),"PT MEDCOM SOLUTION")</f>
        <v>PT MEDCOM SOLUTION</v>
      </c>
      <c r="O302" s="222" t="str">
        <f>IFERROR(__xludf.DUMMYFUNCTION("""COMPUTED_VALUE"""),"7. GOLIVE")</f>
        <v>7. GOLIVE</v>
      </c>
      <c r="P302" s="222" t="str">
        <f>IFERROR(__xludf.DUMMYFUNCTION("""COMPUTED_VALUE"""),"7.2 Golive Full / OA / DONE OTB")</f>
        <v>7.2 Golive Full / OA / DONE OTB</v>
      </c>
      <c r="Q302" s="222" t="str">
        <f>IFERROR(__xludf.DUMMYFUNCTION("""COMPUTED_VALUE"""),"27/04 pengecekan abd
22/04 finish instalasi , ogp mancore
09/04 pemasangan odp
01/04 proses matrial
18/02 perlu QE dist loss indikasi after pengerjaan gamas
(07/01) Persiapan")</f>
        <v>27/04 pengecekan abd
22/04 finish instalasi , ogp mancore
09/04 pemasangan odp
01/04 proses matrial
18/02 perlu QE dist loss indikasi after pengerjaan gamas
(07/01) Persiapan</v>
      </c>
      <c r="R302" s="228">
        <f>IFERROR(__xludf.DUMMYFUNCTION("""COMPUTED_VALUE"""),46138.0)</f>
        <v>46138</v>
      </c>
      <c r="S302" s="11" t="str">
        <f>IFERROR(__xludf.DUMMYFUNCTION("""COMPUTED_VALUE"""),"APR")</f>
        <v>APR</v>
      </c>
      <c r="T302" s="73"/>
      <c r="U302" s="11"/>
      <c r="V302" s="229" t="str">
        <f>IFERROR(__xludf.DUMMYFUNCTION("""COMPUTED_VALUE"""),"08/Apr/2026")</f>
        <v>08/Apr/2026</v>
      </c>
      <c r="W302" s="229"/>
      <c r="X302" s="229" t="str">
        <f>IFERROR(__xludf.DUMMYFUNCTION("""COMPUTED_VALUE"""),"GOLIVE")</f>
        <v>GOLIVE</v>
      </c>
      <c r="Y302" s="229" t="str">
        <f>IFERROR(__xludf.DUMMYFUNCTION("""COMPUTED_VALUE"""),"DONE")</f>
        <v>DONE</v>
      </c>
      <c r="Z302" s="229" t="str">
        <f>IFERROR(__xludf.DUMMYFUNCTION("""COMPUTED_VALUE"""),"#N/A")</f>
        <v>#N/A</v>
      </c>
      <c r="AA302" s="229">
        <f>IFERROR(__xludf.DUMMYFUNCTION("""COMPUTED_VALUE"""),3.0)</f>
        <v>3</v>
      </c>
      <c r="AB302" s="229"/>
      <c r="AC302" s="229" t="str">
        <f>IFERROR(__xludf.DUMMYFUNCTION("""COMPUTED_VALUE"""),"9317439#9317444")</f>
        <v>9317439#9317444</v>
      </c>
      <c r="AD302" s="232">
        <f>IFERROR(__xludf.DUMMYFUNCTION("""COMPUTED_VALUE"""),24.0)</f>
        <v>24</v>
      </c>
      <c r="AE302" s="233">
        <f>IFERROR(__xludf.DUMMYFUNCTION("""COMPUTED_VALUE"""),46139.0)</f>
        <v>46139</v>
      </c>
      <c r="AF302" s="54"/>
      <c r="AG302" s="54"/>
      <c r="AH302" s="54"/>
      <c r="AI302" s="55">
        <f t="shared" si="47"/>
        <v>-1</v>
      </c>
      <c r="AW302" s="234"/>
      <c r="BP302" s="11"/>
      <c r="BQ302" s="11"/>
      <c r="BR302" s="235"/>
      <c r="BV302" s="158"/>
      <c r="BY302" s="158"/>
      <c r="CB302" s="158"/>
    </row>
    <row r="303" ht="18.0" hidden="1" customHeight="1">
      <c r="A303" s="222">
        <f>IFERROR(__xludf.DUMMYFUNCTION("""COMPUTED_VALUE"""),2026.0)</f>
        <v>2026</v>
      </c>
      <c r="B303" s="221">
        <f>IFERROR(__xludf.DUMMYFUNCTION("""COMPUTED_VALUE"""),1.1271869E7)</f>
        <v>11271869</v>
      </c>
      <c r="C303" s="222" t="str">
        <f>IFERROR(__xludf.DUMMYFUNCTION("""COMPUTED_VALUE"""),"MDN PT3 P1I1 DLT-FP JL.PATUMBAK DELI TUA")</f>
        <v>MDN PT3 P1I1 DLT-FP JL.PATUMBAK DELI TUA</v>
      </c>
      <c r="D303" s="222" t="str">
        <f>IFERROR(__xludf.DUMMYFUNCTION("""COMPUTED_VALUE"""),"REGIONAL I")</f>
        <v>REGIONAL I</v>
      </c>
      <c r="E303" s="222" t="str">
        <f>IFERROR(__xludf.DUMMYFUNCTION("""COMPUTED_VALUE"""),"MEDAN")</f>
        <v>MEDAN</v>
      </c>
      <c r="F303" s="222" t="str">
        <f>IFERROR(__xludf.DUMMYFUNCTION("""COMPUTED_VALUE"""),"DLT")</f>
        <v>DLT</v>
      </c>
      <c r="G303" s="222" t="str">
        <f>IFERROR(__xludf.DUMMYFUNCTION("""COMPUTED_VALUE"""),"SUMBAGUT")</f>
        <v>SUMBAGUT</v>
      </c>
      <c r="H303" s="222" t="str">
        <f>IFERROR(__xludf.DUMMYFUNCTION("""COMPUTED_VALUE"""),"MEDAN")</f>
        <v>MEDAN</v>
      </c>
      <c r="I303" s="222" t="str">
        <f>IFERROR(__xludf.DUMMYFUNCTION("""COMPUTED_VALUE"""),"Batch 2")</f>
        <v>Batch 2</v>
      </c>
      <c r="J303" s="225">
        <f>IFERROR(__xludf.DUMMYFUNCTION("""COMPUTED_VALUE"""),10.0)</f>
        <v>10</v>
      </c>
      <c r="K303" s="224">
        <f>IFERROR(__xludf.DUMMYFUNCTION("""COMPUTED_VALUE"""),80.0)</f>
        <v>80</v>
      </c>
      <c r="L303" s="226">
        <f>IFERROR(__xludf.DUMMYFUNCTION("""COMPUTED_VALUE"""),935321.0)</f>
        <v>935321</v>
      </c>
      <c r="M303" s="227">
        <f>IFERROR(__xludf.DUMMYFUNCTION("""COMPUTED_VALUE"""),7.4825604E7)</f>
        <v>74825604</v>
      </c>
      <c r="N303" s="222" t="str">
        <f>IFERROR(__xludf.DUMMYFUNCTION("""COMPUTED_VALUE"""),"PT FIBERHOME TECHNOLOGIES INDONESIA")</f>
        <v>PT FIBERHOME TECHNOLOGIES INDONESIA</v>
      </c>
      <c r="O303" s="222" t="str">
        <f>IFERROR(__xludf.DUMMYFUNCTION("""COMPUTED_VALUE"""),"2. DONE AANWIJZING")</f>
        <v>2. DONE AANWIJZING</v>
      </c>
      <c r="P303" s="222" t="str">
        <f>IFERROR(__xludf.DUMMYFUNCTION("""COMPUTED_VALUE"""),"2.10 Kendala - Feeder Rusak")</f>
        <v>2.10 Kendala - Feeder Rusak</v>
      </c>
      <c r="Q303" s="222" t="str">
        <f>IFERROR(__xludf.DUMMYFUNCTION("""COMPUTED_VALUE"""),"05/02 Info terkin, Feeder LOS proses req eviden")</f>
        <v>05/02 Info terkin, Feeder LOS proses req eviden</v>
      </c>
      <c r="R303" s="228"/>
      <c r="S303" s="11"/>
      <c r="T303" s="11"/>
      <c r="U303" s="11"/>
      <c r="V303" s="229"/>
      <c r="W303" s="229"/>
      <c r="X303" s="229" t="str">
        <f>IFERROR(__xludf.DUMMYFUNCTION("""COMPUTED_VALUE"""),"BELUM GOLIVE")</f>
        <v>BELUM GOLIVE</v>
      </c>
      <c r="Y303" s="229"/>
      <c r="Z303" s="229" t="str">
        <f>IFERROR(__xludf.DUMMYFUNCTION("""COMPUTED_VALUE"""),"#N/A")</f>
        <v>#N/A</v>
      </c>
      <c r="AA303" s="229"/>
      <c r="AB303" s="229"/>
      <c r="AC303" s="229"/>
      <c r="AD303" s="232"/>
      <c r="AE303" s="233"/>
      <c r="AF303" s="54"/>
      <c r="AG303" s="54"/>
      <c r="AH303" s="54"/>
      <c r="AI303" s="55" t="str">
        <f t="shared" si="47"/>
        <v/>
      </c>
      <c r="AW303" s="234"/>
      <c r="BP303" s="11"/>
      <c r="BQ303" s="11"/>
      <c r="BR303" s="235"/>
      <c r="BV303" s="158"/>
      <c r="BY303" s="158"/>
      <c r="CB303" s="158"/>
    </row>
    <row r="304" ht="18.0" customHeight="1">
      <c r="A304" s="222">
        <f>IFERROR(__xludf.DUMMYFUNCTION("""COMPUTED_VALUE"""),2026.0)</f>
        <v>2026</v>
      </c>
      <c r="B304" s="221">
        <f>IFERROR(__xludf.DUMMYFUNCTION("""COMPUTED_VALUE"""),1.2299808E7)</f>
        <v>12299808</v>
      </c>
      <c r="C304" s="222" t="str">
        <f>IFERROR(__xludf.DUMMYFUNCTION("""COMPUTED_VALUE"""),"SMB-PT3-ODC-SRT-FA-167087-3Cluster")</f>
        <v>SMB-PT3-ODC-SRT-FA-167087-3Cluster</v>
      </c>
      <c r="D304" s="222" t="str">
        <f>IFERROR(__xludf.DUMMYFUNCTION("""COMPUTED_VALUE"""),"REGIONAL I")</f>
        <v>REGIONAL I</v>
      </c>
      <c r="E304" s="222" t="str">
        <f>IFERROR(__xludf.DUMMYFUNCTION("""COMPUTED_VALUE"""),"SUMBAR")</f>
        <v>SUMBAR</v>
      </c>
      <c r="F304" s="222" t="str">
        <f>IFERROR(__xludf.DUMMYFUNCTION("""COMPUTED_VALUE"""),"SRT")</f>
        <v>SRT</v>
      </c>
      <c r="G304" s="222" t="str">
        <f>IFERROR(__xludf.DUMMYFUNCTION("""COMPUTED_VALUE"""),"SUMBAGTENG")</f>
        <v>SUMBAGTENG</v>
      </c>
      <c r="H304" s="222" t="str">
        <f>IFERROR(__xludf.DUMMYFUNCTION("""COMPUTED_VALUE"""),"PADANG")</f>
        <v>PADANG</v>
      </c>
      <c r="I304" s="222" t="str">
        <f>IFERROR(__xludf.DUMMYFUNCTION("""COMPUTED_VALUE"""),"Batch 2")</f>
        <v>Batch 2</v>
      </c>
      <c r="J304" s="225">
        <f>IFERROR(__xludf.DUMMYFUNCTION("""COMPUTED_VALUE"""),7.0)</f>
        <v>7</v>
      </c>
      <c r="K304" s="224">
        <f>IFERROR(__xludf.DUMMYFUNCTION("""COMPUTED_VALUE"""),56.0)</f>
        <v>56</v>
      </c>
      <c r="L304" s="226">
        <f>IFERROR(__xludf.DUMMYFUNCTION("""COMPUTED_VALUE"""),1123426.0)</f>
        <v>1123426</v>
      </c>
      <c r="M304" s="227">
        <f>IFERROR(__xludf.DUMMYFUNCTION("""COMPUTED_VALUE"""),6.2911807E7)</f>
        <v>62911807</v>
      </c>
      <c r="N304" s="222" t="str">
        <f>IFERROR(__xludf.DUMMYFUNCTION("""COMPUTED_VALUE"""),"PT ALAM UTAMA MULIA")</f>
        <v>PT ALAM UTAMA MULIA</v>
      </c>
      <c r="O304" s="222" t="str">
        <f>IFERROR(__xludf.DUMMYFUNCTION("""COMPUTED_VALUE"""),"8. UJI TERIMA")</f>
        <v>8. UJI TERIMA</v>
      </c>
      <c r="P304" s="222" t="str">
        <f>IFERROR(__xludf.DUMMYFUNCTION("""COMPUTED_VALUE"""),"8.1 Proses UT")</f>
        <v>8.1 Proses UT</v>
      </c>
      <c r="Q304" s="222" t="str">
        <f>IFERROR(__xludf.DUMMYFUNCTION("""COMPUTED_VALUE"""),"(18/02) penarikan kabel PLAN FI 19/02 (27/01) cpp tinggi 1,4 , butuh tambah 1 odp (07/01) Persiapan")</f>
        <v>(18/02) penarikan kabel PLAN FI 19/02 (27/01) cpp tinggi 1,4 , butuh tambah 1 odp (07/01) Persiapan</v>
      </c>
      <c r="R304" s="228">
        <f>IFERROR(__xludf.DUMMYFUNCTION("""COMPUTED_VALUE"""),46080.0)</f>
        <v>46080</v>
      </c>
      <c r="S304" s="11"/>
      <c r="T304" s="11"/>
      <c r="U304" s="11" t="str">
        <f>IFERROR(__xludf.DUMMYFUNCTION("""COMPUTED_VALUE"""),"TIF-3611/2026 26KT03R158-0056")</f>
        <v>TIF-3611/2026 26KT03R158-0056</v>
      </c>
      <c r="V304" s="229" t="str">
        <f>IFERROR(__xludf.DUMMYFUNCTION("""COMPUTED_VALUE"""),"PRAMADIO SEPWILMAN")</f>
        <v>PRAMADIO SEPWILMAN</v>
      </c>
      <c r="W304" s="229" t="str">
        <f>IFERROR(__xludf.DUMMYFUNCTION("""COMPUTED_VALUE"""),"MELKO NARWADI")</f>
        <v>MELKO NARWADI</v>
      </c>
      <c r="X304" s="229" t="str">
        <f>IFERROR(__xludf.DUMMYFUNCTION("""COMPUTED_VALUE"""),"GOLIVE")</f>
        <v>GOLIVE</v>
      </c>
      <c r="Y304" s="229" t="str">
        <f>IFERROR(__xludf.DUMMYFUNCTION("""COMPUTED_VALUE"""),"DONE")</f>
        <v>DONE</v>
      </c>
      <c r="Z304" s="229" t="str">
        <f>IFERROR(__xludf.DUMMYFUNCTION("""COMPUTED_VALUE"""),"#N/A")</f>
        <v>#N/A</v>
      </c>
      <c r="AA304" s="229">
        <f>IFERROR(__xludf.DUMMYFUNCTION("""COMPUTED_VALUE"""),4.0)</f>
        <v>4</v>
      </c>
      <c r="AB304" s="229"/>
      <c r="AC304" s="229" t="str">
        <f>IFERROR(__xludf.DUMMYFUNCTION("""COMPUTED_VALUE"""),"9143311#9143316")</f>
        <v>9143311#9143316</v>
      </c>
      <c r="AD304" s="232">
        <f>IFERROR(__xludf.DUMMYFUNCTION("""COMPUTED_VALUE"""),32.0)</f>
        <v>32</v>
      </c>
      <c r="AE304" s="233">
        <f>IFERROR(__xludf.DUMMYFUNCTION("""COMPUTED_VALUE"""),46078.0)</f>
        <v>46078</v>
      </c>
      <c r="AF304" s="54"/>
      <c r="AG304" s="54"/>
      <c r="AH304" s="54">
        <v>46080.0</v>
      </c>
      <c r="AI304" s="55">
        <f t="shared" si="47"/>
        <v>2</v>
      </c>
      <c r="AW304" s="234"/>
      <c r="BP304" s="11"/>
      <c r="BQ304" s="11"/>
      <c r="BR304" s="235"/>
      <c r="BV304" s="158"/>
      <c r="BY304" s="158"/>
      <c r="CB304" s="158"/>
    </row>
    <row r="305" ht="18.0" hidden="1" customHeight="1">
      <c r="A305" s="222">
        <f>IFERROR(__xludf.DUMMYFUNCTION("""COMPUTED_VALUE"""),2026.0)</f>
        <v>2026</v>
      </c>
      <c r="B305" s="221">
        <f>IFERROR(__xludf.DUMMYFUNCTION("""COMPUTED_VALUE"""),1.1129893E7)</f>
        <v>11129893</v>
      </c>
      <c r="C305" s="222" t="str">
        <f>IFERROR(__xludf.DUMMYFUNCTION("""COMPUTED_VALUE"""),"MDN PT3 P7I7 DLT-FK JL.PERSATUAN DELITUA")</f>
        <v>MDN PT3 P7I7 DLT-FK JL.PERSATUAN DELITUA</v>
      </c>
      <c r="D305" s="222" t="str">
        <f>IFERROR(__xludf.DUMMYFUNCTION("""COMPUTED_VALUE"""),"REGIONAL I")</f>
        <v>REGIONAL I</v>
      </c>
      <c r="E305" s="222" t="str">
        <f>IFERROR(__xludf.DUMMYFUNCTION("""COMPUTED_VALUE"""),"MEDAN")</f>
        <v>MEDAN</v>
      </c>
      <c r="F305" s="222" t="str">
        <f>IFERROR(__xludf.DUMMYFUNCTION("""COMPUTED_VALUE"""),"DLT")</f>
        <v>DLT</v>
      </c>
      <c r="G305" s="222" t="str">
        <f>IFERROR(__xludf.DUMMYFUNCTION("""COMPUTED_VALUE"""),"SUMBAGUT")</f>
        <v>SUMBAGUT</v>
      </c>
      <c r="H305" s="222" t="str">
        <f>IFERROR(__xludf.DUMMYFUNCTION("""COMPUTED_VALUE"""),"MEDAN")</f>
        <v>MEDAN</v>
      </c>
      <c r="I305" s="222" t="str">
        <f>IFERROR(__xludf.DUMMYFUNCTION("""COMPUTED_VALUE"""),"Batch 2")</f>
        <v>Batch 2</v>
      </c>
      <c r="J305" s="225">
        <f>IFERROR(__xludf.DUMMYFUNCTION("""COMPUTED_VALUE"""),5.0)</f>
        <v>5</v>
      </c>
      <c r="K305" s="224">
        <f>IFERROR(__xludf.DUMMYFUNCTION("""COMPUTED_VALUE"""),40.0)</f>
        <v>40</v>
      </c>
      <c r="L305" s="226">
        <f>IFERROR(__xludf.DUMMYFUNCTION("""COMPUTED_VALUE"""),1352065.0)</f>
        <v>1352065</v>
      </c>
      <c r="M305" s="227">
        <f>IFERROR(__xludf.DUMMYFUNCTION("""COMPUTED_VALUE"""),5.4082562E7)</f>
        <v>54082562</v>
      </c>
      <c r="N305" s="222" t="str">
        <f>IFERROR(__xludf.DUMMYFUNCTION("""COMPUTED_VALUE"""),"PT ACERO CETHA METALINDO")</f>
        <v>PT ACERO CETHA METALINDO</v>
      </c>
      <c r="O305" s="222" t="str">
        <f>IFERROR(__xludf.DUMMYFUNCTION("""COMPUTED_VALUE"""),"0. DROP")</f>
        <v>0. DROP</v>
      </c>
      <c r="P305" s="222" t="str">
        <f>IFERROR(__xludf.DUMMYFUNCTION("""COMPUTED_VALUE"""),"0.4 CPP Tinggi Acc ED TIF")</f>
        <v>0.4 CPP Tinggi Acc ED TIF</v>
      </c>
      <c r="Q305" s="222" t="str">
        <f>IFERROR(__xludf.DUMMYFUNCTION("""COMPUTED_VALUE"""),"(29/01) Core Feeder Full DLT-FK")</f>
        <v>(29/01) Core Feeder Full DLT-FK</v>
      </c>
      <c r="R305" s="228"/>
      <c r="S305" s="11"/>
      <c r="T305" s="11"/>
      <c r="U305" s="11"/>
      <c r="V305" s="229"/>
      <c r="W305" s="229"/>
      <c r="X305" s="229" t="str">
        <f>IFERROR(__xludf.DUMMYFUNCTION("""COMPUTED_VALUE"""),"BELUM GOLIVE")</f>
        <v>BELUM GOLIVE</v>
      </c>
      <c r="Y305" s="229"/>
      <c r="Z305" s="229" t="str">
        <f>IFERROR(__xludf.DUMMYFUNCTION("""COMPUTED_VALUE"""),"#N/A")</f>
        <v>#N/A</v>
      </c>
      <c r="AA305" s="229"/>
      <c r="AB305" s="229"/>
      <c r="AC305" s="229"/>
      <c r="AD305" s="232"/>
      <c r="AE305" s="233"/>
      <c r="AF305" s="54" t="str">
        <f>IFERROR(__xludf.DUMMYFUNCTION("""COMPUTED_VALUE"""),"Draft BA DROP")</f>
        <v>Draft BA DROP</v>
      </c>
      <c r="AG305" s="54"/>
      <c r="AH305" s="54"/>
      <c r="AI305" s="55" t="str">
        <f t="shared" si="47"/>
        <v/>
      </c>
      <c r="AW305" s="234"/>
      <c r="BP305" s="11"/>
      <c r="BQ305" s="11"/>
      <c r="BR305" s="235"/>
      <c r="BV305" s="158"/>
      <c r="BY305" s="158"/>
      <c r="CB305" s="158"/>
    </row>
    <row r="306" ht="18.0" customHeight="1">
      <c r="A306" s="222">
        <f>IFERROR(__xludf.DUMMYFUNCTION("""COMPUTED_VALUE"""),2026.0)</f>
        <v>2026</v>
      </c>
      <c r="B306" s="221">
        <f>IFERROR(__xludf.DUMMYFUNCTION("""COMPUTED_VALUE"""),1.1015093E7)</f>
        <v>11015093</v>
      </c>
      <c r="C306" s="222" t="str">
        <f>IFERROR(__xludf.DUMMYFUNCTION("""COMPUTED_VALUE"""),"RKP PT3 JPPTSEL SLU-FEA YAFINDO THP 4")</f>
        <v>RKP PT3 JPPTSEL SLU-FEA YAFINDO THP 4</v>
      </c>
      <c r="D306" s="222" t="str">
        <f>IFERROR(__xludf.DUMMYFUNCTION("""COMPUTED_VALUE"""),"REGIONAL I")</f>
        <v>REGIONAL I</v>
      </c>
      <c r="E306" s="222" t="str">
        <f>IFERROR(__xludf.DUMMYFUNCTION("""COMPUTED_VALUE"""),"RIKEP")</f>
        <v>RIKEP</v>
      </c>
      <c r="F306" s="222" t="str">
        <f>IFERROR(__xludf.DUMMYFUNCTION("""COMPUTED_VALUE"""),"SLU")</f>
        <v>SLU</v>
      </c>
      <c r="G306" s="222" t="str">
        <f>IFERROR(__xludf.DUMMYFUNCTION("""COMPUTED_VALUE"""),"SUMBAGTENG")</f>
        <v>SUMBAGTENG</v>
      </c>
      <c r="H306" s="222" t="str">
        <f>IFERROR(__xludf.DUMMYFUNCTION("""COMPUTED_VALUE"""),"BATAM")</f>
        <v>BATAM</v>
      </c>
      <c r="I306" s="222" t="str">
        <f>IFERROR(__xludf.DUMMYFUNCTION("""COMPUTED_VALUE"""),"Batch 2")</f>
        <v>Batch 2</v>
      </c>
      <c r="J306" s="225">
        <f>IFERROR(__xludf.DUMMYFUNCTION("""COMPUTED_VALUE"""),6.0)</f>
        <v>6</v>
      </c>
      <c r="K306" s="224">
        <f>IFERROR(__xludf.DUMMYFUNCTION("""COMPUTED_VALUE"""),48.0)</f>
        <v>48</v>
      </c>
      <c r="L306" s="226">
        <f>IFERROR(__xludf.DUMMYFUNCTION("""COMPUTED_VALUE"""),1351893.0)</f>
        <v>1351893</v>
      </c>
      <c r="M306" s="227">
        <f>IFERROR(__xludf.DUMMYFUNCTION("""COMPUTED_VALUE"""),6.4890835E7)</f>
        <v>64890835</v>
      </c>
      <c r="N306" s="222" t="str">
        <f>IFERROR(__xludf.DUMMYFUNCTION("""COMPUTED_VALUE"""),"PT MITRA SETIA INDONESIA")</f>
        <v>PT MITRA SETIA INDONESIA</v>
      </c>
      <c r="O306" s="222" t="str">
        <f>IFERROR(__xludf.DUMMYFUNCTION("""COMPUTED_VALUE"""),"0. DROP")</f>
        <v>0. DROP</v>
      </c>
      <c r="P306" s="222" t="str">
        <f>IFERROR(__xludf.DUMMYFUNCTION("""COMPUTED_VALUE"""),"0.2 Tidak Dapat Izin Warga/Kades/Lurah/Developer")</f>
        <v>0.2 Tidak Dapat Izin Warga/Kades/Lurah/Developer</v>
      </c>
      <c r="Q306" s="222" t="str">
        <f>IFERROR(__xludf.DUMMYFUNCTION("""COMPUTED_VALUE"""),"21/01 Izin tidak di acc developer sudah kerjasama dengan priovider biznet")</f>
        <v>21/01 Izin tidak di acc developer sudah kerjasama dengan priovider biznet</v>
      </c>
      <c r="R306" s="228"/>
      <c r="S306" s="11"/>
      <c r="T306" s="11"/>
      <c r="U306" s="11"/>
      <c r="V306" s="229" t="str">
        <f>IFERROR(__xludf.DUMMYFUNCTION("""COMPUTED_VALUE"""),"MUHAMMAD RIDHO FALFO")</f>
        <v>MUHAMMAD RIDHO FALFO</v>
      </c>
      <c r="W306" s="229" t="str">
        <f>IFERROR(__xludf.DUMMYFUNCTION("""COMPUTED_VALUE"""),"LEVITA INDRIYANI")</f>
        <v>LEVITA INDRIYANI</v>
      </c>
      <c r="X306" s="229" t="str">
        <f>IFERROR(__xludf.DUMMYFUNCTION("""COMPUTED_VALUE"""),"BELUM GOLIVE")</f>
        <v>BELUM GOLIVE</v>
      </c>
      <c r="Y306" s="229"/>
      <c r="Z306" s="229" t="str">
        <f>IFERROR(__xludf.DUMMYFUNCTION("""COMPUTED_VALUE"""),"#N/A")</f>
        <v>#N/A</v>
      </c>
      <c r="AA306" s="229"/>
      <c r="AB306" s="229"/>
      <c r="AC306" s="229"/>
      <c r="AD306" s="232"/>
      <c r="AE306" s="233"/>
      <c r="AF306" s="54" t="str">
        <f>IFERROR(__xludf.DUMMYFUNCTION("""COMPUTED_VALUE"""),"Draft BA DROP")</f>
        <v>Draft BA DROP</v>
      </c>
      <c r="AG306" s="54"/>
      <c r="AH306" s="54"/>
      <c r="AI306" s="55" t="str">
        <f t="shared" si="47"/>
        <v/>
      </c>
      <c r="AW306" s="234"/>
      <c r="BP306" s="11"/>
      <c r="BQ306" s="11"/>
      <c r="BR306" s="235"/>
      <c r="BV306" s="158"/>
      <c r="BY306" s="158"/>
      <c r="CB306" s="158"/>
    </row>
    <row r="307" ht="18.0" hidden="1" customHeight="1">
      <c r="A307" s="222">
        <f>IFERROR(__xludf.DUMMYFUNCTION("""COMPUTED_VALUE"""),2026.0)</f>
        <v>2026</v>
      </c>
      <c r="B307" s="221">
        <f>IFERROR(__xludf.DUMMYFUNCTION("""COMPUTED_VALUE"""),1.2324284E7)</f>
        <v>12324284</v>
      </c>
      <c r="C307" s="222" t="str">
        <f>IFERROR(__xludf.DUMMYFUNCTION("""COMPUTED_VALUE"""),"LPG PT3 JPP BAKAUHENI BATCH 2 SPS")</f>
        <v>LPG PT3 JPP BAKAUHENI BATCH 2 SPS</v>
      </c>
      <c r="D307" s="222" t="str">
        <f>IFERROR(__xludf.DUMMYFUNCTION("""COMPUTED_VALUE"""),"REGIONAL I")</f>
        <v>REGIONAL I</v>
      </c>
      <c r="E307" s="222" t="str">
        <f>IFERROR(__xludf.DUMMYFUNCTION("""COMPUTED_VALUE"""),"LAMPUNG")</f>
        <v>LAMPUNG</v>
      </c>
      <c r="F307" s="222" t="str">
        <f>IFERROR(__xludf.DUMMYFUNCTION("""COMPUTED_VALUE"""),"SPS")</f>
        <v>SPS</v>
      </c>
      <c r="G307" s="222" t="str">
        <f>IFERROR(__xludf.DUMMYFUNCTION("""COMPUTED_VALUE"""),"SUMBAGSEL")</f>
        <v>SUMBAGSEL</v>
      </c>
      <c r="H307" s="222" t="str">
        <f>IFERROR(__xludf.DUMMYFUNCTION("""COMPUTED_VALUE"""),"LAMPUNG")</f>
        <v>LAMPUNG</v>
      </c>
      <c r="I307" s="222" t="str">
        <f>IFERROR(__xludf.DUMMYFUNCTION("""COMPUTED_VALUE"""),"Batch 2")</f>
        <v>Batch 2</v>
      </c>
      <c r="J307" s="225">
        <f>IFERROR(__xludf.DUMMYFUNCTION("""COMPUTED_VALUE"""),5.0)</f>
        <v>5</v>
      </c>
      <c r="K307" s="224">
        <f>IFERROR(__xludf.DUMMYFUNCTION("""COMPUTED_VALUE"""),40.0)</f>
        <v>40</v>
      </c>
      <c r="L307" s="226">
        <f>IFERROR(__xludf.DUMMYFUNCTION("""COMPUTED_VALUE"""),1349640.0)</f>
        <v>1349640</v>
      </c>
      <c r="M307" s="227">
        <f>IFERROR(__xludf.DUMMYFUNCTION("""COMPUTED_VALUE"""),5.3985593E7)</f>
        <v>53985593</v>
      </c>
      <c r="N307" s="222" t="str">
        <f>IFERROR(__xludf.DUMMYFUNCTION("""COMPUTED_VALUE"""),"PT BANGTELINDO")</f>
        <v>PT BANGTELINDO</v>
      </c>
      <c r="O307" s="222" t="str">
        <f>IFERROR(__xludf.DUMMYFUNCTION("""COMPUTED_VALUE"""),"7. GOLIVE")</f>
        <v>7. GOLIVE</v>
      </c>
      <c r="P307" s="222" t="str">
        <f>IFERROR(__xludf.DUMMYFUNCTION("""COMPUTED_VALUE"""),"7.2 Golive Full / OA / DONE OTB")</f>
        <v>7.2 Golive Full / OA / DONE OTB</v>
      </c>
      <c r="Q307" s="222" t="str">
        <f>IFERROR(__xludf.DUMMYFUNCTION("""COMPUTED_VALUE"""),"2/4 butuh repair kabel feeder 25/3 Proses Tarik Kabel  13/3 plan matdel HI,, 9/3 proses amd buget 2/3 proses matdel 3/3 ambil material dari gudang 27/2 proses pengecekan core dan perizinan 23/2 proses perizinan &amp; Pengecekan core 18/2 konfirmasi tif untuk "&amp;"penambahan modul 6/2 kendala olt bakauheni habis 30/1 butuh penambahan modul 23/1 butuh penambahan modul olt14/1 mini olt habis")</f>
        <v>2/4 butuh repair kabel feeder 25/3 Proses Tarik Kabel  13/3 plan matdel HI,, 9/3 proses amd buget 2/3 proses matdel 3/3 ambil material dari gudang 27/2 proses pengecekan core dan perizinan 23/2 proses perizinan &amp; Pengecekan core 18/2 konfirmasi tif untuk penambahan modul 6/2 kendala olt bakauheni habis 30/1 butuh penambahan modul 23/1 butuh penambahan modul olt14/1 mini olt habis</v>
      </c>
      <c r="R307" s="228">
        <f>IFERROR(__xludf.DUMMYFUNCTION("""COMPUTED_VALUE"""),46115.0)</f>
        <v>46115</v>
      </c>
      <c r="S307" s="11" t="str">
        <f>IFERROR(__xludf.DUMMYFUNCTION("""COMPUTED_VALUE"""),"APR")</f>
        <v>APR</v>
      </c>
      <c r="T307" s="11" t="str">
        <f>IFERROR(__xludf.DUMMYFUNCTION("""COMPUTED_VALUE"""),"P1")</f>
        <v>P1</v>
      </c>
      <c r="U307" s="11" t="str">
        <f>IFERROR(__xludf.DUMMYFUNCTION("""COMPUTED_VALUE"""),"W02-645/2025")</f>
        <v>W02-645/2025</v>
      </c>
      <c r="V307" s="229"/>
      <c r="W307" s="229"/>
      <c r="X307" s="229" t="str">
        <f>IFERROR(__xludf.DUMMYFUNCTION("""COMPUTED_VALUE"""),"GOLIVE")</f>
        <v>GOLIVE</v>
      </c>
      <c r="Y307" s="229" t="str">
        <f>IFERROR(__xludf.DUMMYFUNCTION("""COMPUTED_VALUE"""),"DONE")</f>
        <v>DONE</v>
      </c>
      <c r="Z307" s="229" t="str">
        <f>IFERROR(__xludf.DUMMYFUNCTION("""COMPUTED_VALUE"""),"#N/A")</f>
        <v>#N/A</v>
      </c>
      <c r="AA307" s="229">
        <f>IFERROR(__xludf.DUMMYFUNCTION("""COMPUTED_VALUE"""),5.0)</f>
        <v>5</v>
      </c>
      <c r="AB307" s="229">
        <f>IFERROR(__xludf.DUMMYFUNCTION("""COMPUTED_VALUE"""),0.0)</f>
        <v>0</v>
      </c>
      <c r="AC307" s="229" t="str">
        <f>IFERROR(__xludf.DUMMYFUNCTION("""COMPUTED_VALUE"""),"9194197#9194202")</f>
        <v>9194197#9194202</v>
      </c>
      <c r="AD307" s="232">
        <f>IFERROR(__xludf.DUMMYFUNCTION("""COMPUTED_VALUE"""),40.0)</f>
        <v>40</v>
      </c>
      <c r="AE307" s="233">
        <f>IFERROR(__xludf.DUMMYFUNCTION("""COMPUTED_VALUE"""),46115.0)</f>
        <v>46115</v>
      </c>
      <c r="AF307" s="54"/>
      <c r="AG307" s="54"/>
      <c r="AH307" s="54">
        <v>46115.0</v>
      </c>
      <c r="AI307" s="55">
        <f t="shared" si="47"/>
        <v>0</v>
      </c>
      <c r="AW307" s="234"/>
      <c r="BP307" s="11"/>
      <c r="BQ307" s="11"/>
      <c r="BR307" s="235"/>
      <c r="BV307" s="158"/>
      <c r="BY307" s="158"/>
      <c r="CB307" s="158"/>
    </row>
    <row r="308" ht="18.0" hidden="1" customHeight="1">
      <c r="A308" s="222">
        <f>IFERROR(__xludf.DUMMYFUNCTION("""COMPUTED_VALUE"""),2026.0)</f>
        <v>2026</v>
      </c>
      <c r="B308" s="221">
        <f>IFERROR(__xludf.DUMMYFUNCTION("""COMPUTED_VALUE"""),1.1127947E7)</f>
        <v>11127947</v>
      </c>
      <c r="C308" s="222" t="str">
        <f>IFERROR(__xludf.DUMMYFUNCTION("""COMPUTED_VALUE"""),"MDN PT3 TJR-FAL PERUM CEMPAKA HIJAU II")</f>
        <v>MDN PT3 TJR-FAL PERUM CEMPAKA HIJAU II</v>
      </c>
      <c r="D308" s="222" t="str">
        <f>IFERROR(__xludf.DUMMYFUNCTION("""COMPUTED_VALUE"""),"REGIONAL I")</f>
        <v>REGIONAL I</v>
      </c>
      <c r="E308" s="222" t="str">
        <f>IFERROR(__xludf.DUMMYFUNCTION("""COMPUTED_VALUE"""),"MEDAN")</f>
        <v>MEDAN</v>
      </c>
      <c r="F308" s="222" t="str">
        <f>IFERROR(__xludf.DUMMYFUNCTION("""COMPUTED_VALUE"""),"TJR")</f>
        <v>TJR</v>
      </c>
      <c r="G308" s="222" t="str">
        <f>IFERROR(__xludf.DUMMYFUNCTION("""COMPUTED_VALUE"""),"SUMBAGUT")</f>
        <v>SUMBAGUT</v>
      </c>
      <c r="H308" s="222" t="str">
        <f>IFERROR(__xludf.DUMMYFUNCTION("""COMPUTED_VALUE"""),"MEDAN")</f>
        <v>MEDAN</v>
      </c>
      <c r="I308" s="222" t="str">
        <f>IFERROR(__xludf.DUMMYFUNCTION("""COMPUTED_VALUE"""),"Batch 2")</f>
        <v>Batch 2</v>
      </c>
      <c r="J308" s="225">
        <f>IFERROR(__xludf.DUMMYFUNCTION("""COMPUTED_VALUE"""),2.0)</f>
        <v>2</v>
      </c>
      <c r="K308" s="224">
        <f>IFERROR(__xludf.DUMMYFUNCTION("""COMPUTED_VALUE"""),16.0)</f>
        <v>16</v>
      </c>
      <c r="L308" s="226">
        <f>IFERROR(__xludf.DUMMYFUNCTION("""COMPUTED_VALUE"""),1345770.0)</f>
        <v>1345770</v>
      </c>
      <c r="M308" s="227">
        <f>IFERROR(__xludf.DUMMYFUNCTION("""COMPUTED_VALUE"""),2.1532319E7)</f>
        <v>21532319</v>
      </c>
      <c r="N308" s="222" t="str">
        <f>IFERROR(__xludf.DUMMYFUNCTION("""COMPUTED_VALUE"""),"PT NIAGA NUSANTARA DIVA")</f>
        <v>PT NIAGA NUSANTARA DIVA</v>
      </c>
      <c r="O308" s="222" t="str">
        <f>IFERROR(__xludf.DUMMYFUNCTION("""COMPUTED_VALUE"""),"0. DROP")</f>
        <v>0. DROP</v>
      </c>
      <c r="P308" s="222" t="str">
        <f>IFERROR(__xludf.DUMMYFUNCTION("""COMPUTED_VALUE"""),"0.4 CPP Tinggi Acc ED TIF")</f>
        <v>0.4 CPP Tinggi Acc ED TIF</v>
      </c>
      <c r="Q308" s="222" t="str">
        <f>IFERROR(__xludf.DUMMYFUNCTION("""COMPUTED_VALUE"""),"24/02 TJR-FAL feeder habis/full
(07/01) Persiapan")</f>
        <v>24/02 TJR-FAL feeder habis/full
(07/01) Persiapan</v>
      </c>
      <c r="R308" s="228"/>
      <c r="S308" s="11"/>
      <c r="T308" s="11"/>
      <c r="U308" s="11"/>
      <c r="V308" s="229"/>
      <c r="W308" s="229"/>
      <c r="X308" s="229" t="str">
        <f>IFERROR(__xludf.DUMMYFUNCTION("""COMPUTED_VALUE"""),"BELUM GOLIVE")</f>
        <v>BELUM GOLIVE</v>
      </c>
      <c r="Y308" s="229"/>
      <c r="Z308" s="229" t="str">
        <f>IFERROR(__xludf.DUMMYFUNCTION("""COMPUTED_VALUE"""),"#N/A")</f>
        <v>#N/A</v>
      </c>
      <c r="AA308" s="229"/>
      <c r="AB308" s="229"/>
      <c r="AC308" s="229"/>
      <c r="AD308" s="232"/>
      <c r="AE308" s="233"/>
      <c r="AF308" s="54" t="str">
        <f>IFERROR(__xludf.DUMMYFUNCTION("""COMPUTED_VALUE"""),"Draft BA DROP")</f>
        <v>Draft BA DROP</v>
      </c>
      <c r="AG308" s="54"/>
      <c r="AH308" s="54"/>
      <c r="AI308" s="55" t="str">
        <f t="shared" si="47"/>
        <v/>
      </c>
      <c r="AW308" s="234"/>
      <c r="BP308" s="11"/>
      <c r="BQ308" s="11"/>
      <c r="BR308" s="235"/>
      <c r="BV308" s="158"/>
      <c r="BY308" s="158"/>
      <c r="CB308" s="158"/>
    </row>
    <row r="309" ht="18.0" hidden="1" customHeight="1">
      <c r="A309" s="222">
        <f>IFERROR(__xludf.DUMMYFUNCTION("""COMPUTED_VALUE"""),2026.0)</f>
        <v>2026</v>
      </c>
      <c r="B309" s="221">
        <f>IFERROR(__xludf.DUMMYFUNCTION("""COMPUTED_VALUE"""),1.1388994E7)</f>
        <v>11388994</v>
      </c>
      <c r="C309" s="222" t="str">
        <f>IFERROR(__xludf.DUMMYFUNCTION("""COMPUTED_VALUE"""),"ACH PT3 BNN-FF BR.D03 CET MULU SP.TIGA")</f>
        <v>ACH PT3 BNN-FF BR.D03 CET MULU SP.TIGA</v>
      </c>
      <c r="D309" s="222" t="str">
        <f>IFERROR(__xludf.DUMMYFUNCTION("""COMPUTED_VALUE"""),"REGIONAL I")</f>
        <v>REGIONAL I</v>
      </c>
      <c r="E309" s="222" t="str">
        <f>IFERROR(__xludf.DUMMYFUNCTION("""COMPUTED_VALUE"""),"ACEH")</f>
        <v>ACEH</v>
      </c>
      <c r="F309" s="222" t="str">
        <f>IFERROR(__xludf.DUMMYFUNCTION("""COMPUTED_VALUE"""),"BNN")</f>
        <v>BNN</v>
      </c>
      <c r="G309" s="222" t="str">
        <f>IFERROR(__xludf.DUMMYFUNCTION("""COMPUTED_VALUE"""),"SUMBAGUT")</f>
        <v>SUMBAGUT</v>
      </c>
      <c r="H309" s="222" t="str">
        <f>IFERROR(__xludf.DUMMYFUNCTION("""COMPUTED_VALUE"""),"BANDA ACEH")</f>
        <v>BANDA ACEH</v>
      </c>
      <c r="I309" s="222" t="str">
        <f>IFERROR(__xludf.DUMMYFUNCTION("""COMPUTED_VALUE"""),"Batch 2")</f>
        <v>Batch 2</v>
      </c>
      <c r="J309" s="225">
        <f>IFERROR(__xludf.DUMMYFUNCTION("""COMPUTED_VALUE"""),9.0)</f>
        <v>9</v>
      </c>
      <c r="K309" s="224">
        <f>IFERROR(__xludf.DUMMYFUNCTION("""COMPUTED_VALUE"""),72.0)</f>
        <v>72</v>
      </c>
      <c r="L309" s="226">
        <f>IFERROR(__xludf.DUMMYFUNCTION("""COMPUTED_VALUE"""),1345081.0)</f>
        <v>1345081</v>
      </c>
      <c r="M309" s="227">
        <f>IFERROR(__xludf.DUMMYFUNCTION("""COMPUTED_VALUE"""),9.6845785E7)</f>
        <v>96845785</v>
      </c>
      <c r="N309" s="222" t="str">
        <f>IFERROR(__xludf.DUMMYFUNCTION("""COMPUTED_VALUE"""),"PT TRIPOLA PANATA")</f>
        <v>PT TRIPOLA PANATA</v>
      </c>
      <c r="O309" s="222" t="str">
        <f>IFERROR(__xludf.DUMMYFUNCTION("""COMPUTED_VALUE"""),"7. GOLIVE")</f>
        <v>7. GOLIVE</v>
      </c>
      <c r="P309" s="222" t="str">
        <f>IFERROR(__xludf.DUMMYFUNCTION("""COMPUTED_VALUE"""),"7.2 Golive Full / OA / DONE OTB")</f>
        <v>7.2 Golive Full / OA / DONE OTB</v>
      </c>
      <c r="Q309" s="222" t="str">
        <f>IFERROR(__xludf.DUMMYFUNCTION("""COMPUTED_VALUE"""),"07/04 golive
(01/04) Tanam Tiang (03/03) mapping material (07/02) Proses Validasi Core (07/01) Persiapan")</f>
        <v>07/04 golive
(01/04) Tanam Tiang (03/03) mapping material (07/02) Proses Validasi Core (07/01) Persiapan</v>
      </c>
      <c r="R309" s="228">
        <f>IFERROR(__xludf.DUMMYFUNCTION("""COMPUTED_VALUE"""),46119.0)</f>
        <v>46119</v>
      </c>
      <c r="S309" s="11"/>
      <c r="T309" s="73"/>
      <c r="U309" s="11"/>
      <c r="V309" s="229"/>
      <c r="W309" s="229" t="str">
        <f>IFERROR(__xludf.DUMMYFUNCTION("""COMPUTED_VALUE"""),"#N/A")</f>
        <v>#N/A</v>
      </c>
      <c r="X309" s="229" t="str">
        <f>IFERROR(__xludf.DUMMYFUNCTION("""COMPUTED_VALUE"""),"GOLIVE")</f>
        <v>GOLIVE</v>
      </c>
      <c r="Y309" s="229" t="str">
        <f>IFERROR(__xludf.DUMMYFUNCTION("""COMPUTED_VALUE"""),"DONE")</f>
        <v>DONE</v>
      </c>
      <c r="Z309" s="229" t="str">
        <f>IFERROR(__xludf.DUMMYFUNCTION("""COMPUTED_VALUE"""),"#N/A")</f>
        <v>#N/A</v>
      </c>
      <c r="AA309" s="229">
        <f>IFERROR(__xludf.DUMMYFUNCTION("""COMPUTED_VALUE"""),9.0)</f>
        <v>9</v>
      </c>
      <c r="AB309" s="229"/>
      <c r="AC309" s="229" t="str">
        <f>IFERROR(__xludf.DUMMYFUNCTION("""COMPUTED_VALUE"""),"9231130#9231135")</f>
        <v>9231130#9231135</v>
      </c>
      <c r="AD309" s="232">
        <f>IFERROR(__xludf.DUMMYFUNCTION("""COMPUTED_VALUE"""),72.0)</f>
        <v>72</v>
      </c>
      <c r="AE309" s="233">
        <f>IFERROR(__xludf.DUMMYFUNCTION("""COMPUTED_VALUE"""),46119.0)</f>
        <v>46119</v>
      </c>
      <c r="AF309" s="54"/>
      <c r="AG309" s="54"/>
      <c r="AH309" s="54">
        <v>46119.0</v>
      </c>
      <c r="AI309" s="55">
        <f t="shared" si="47"/>
        <v>0</v>
      </c>
      <c r="AW309" s="234"/>
      <c r="BP309" s="11"/>
      <c r="BQ309" s="11"/>
      <c r="BR309" s="235"/>
      <c r="BV309" s="158"/>
      <c r="BY309" s="158"/>
      <c r="CB309" s="158"/>
    </row>
    <row r="310" ht="18.0" hidden="1" customHeight="1">
      <c r="A310" s="222">
        <f>IFERROR(__xludf.DUMMYFUNCTION("""COMPUTED_VALUE"""),2026.0)</f>
        <v>2026</v>
      </c>
      <c r="B310" s="221">
        <f>IFERROR(__xludf.DUMMYFUNCTION("""COMPUTED_VALUE"""),1.2386431E7)</f>
        <v>12386431</v>
      </c>
      <c r="C310" s="222" t="str">
        <f>IFERROR(__xludf.DUMMYFUNCTION("""COMPUTED_VALUE"""),"BBL PT4 P4I3 AIR JANGKANG")</f>
        <v>BBL PT4 P4I3 AIR JANGKANG</v>
      </c>
      <c r="D310" s="222" t="str">
        <f>IFERROR(__xludf.DUMMYFUNCTION("""COMPUTED_VALUE"""),"REGIONAL I")</f>
        <v>REGIONAL I</v>
      </c>
      <c r="E310" s="222" t="str">
        <f>IFERROR(__xludf.DUMMYFUNCTION("""COMPUTED_VALUE"""),"BABEL")</f>
        <v>BABEL</v>
      </c>
      <c r="F310" s="222" t="str">
        <f>IFERROR(__xludf.DUMMYFUNCTION("""COMPUTED_VALUE"""),"PGP")</f>
        <v>PGP</v>
      </c>
      <c r="G310" s="222" t="str">
        <f>IFERROR(__xludf.DUMMYFUNCTION("""COMPUTED_VALUE"""),"SUMBAGSEL")</f>
        <v>SUMBAGSEL</v>
      </c>
      <c r="H310" s="222" t="str">
        <f>IFERROR(__xludf.DUMMYFUNCTION("""COMPUTED_VALUE"""),"PANGKAL PINANG")</f>
        <v>PANGKAL PINANG</v>
      </c>
      <c r="I310" s="222" t="str">
        <f>IFERROR(__xludf.DUMMYFUNCTION("""COMPUTED_VALUE"""),"Batch 2")</f>
        <v>Batch 2</v>
      </c>
      <c r="J310" s="225">
        <f>IFERROR(__xludf.DUMMYFUNCTION("""COMPUTED_VALUE"""),4.0)</f>
        <v>4</v>
      </c>
      <c r="K310" s="224">
        <f>IFERROR(__xludf.DUMMYFUNCTION("""COMPUTED_VALUE"""),48.0)</f>
        <v>48</v>
      </c>
      <c r="L310" s="226">
        <f>IFERROR(__xludf.DUMMYFUNCTION("""COMPUTED_VALUE"""),1344703.0)</f>
        <v>1344703</v>
      </c>
      <c r="M310" s="227">
        <f>IFERROR(__xludf.DUMMYFUNCTION("""COMPUTED_VALUE"""),6.4545718E7)</f>
        <v>64545718</v>
      </c>
      <c r="N310" s="222" t="str">
        <f>IFERROR(__xludf.DUMMYFUNCTION("""COMPUTED_VALUE"""),"PT SARANA MITRA PERSADA")</f>
        <v>PT SARANA MITRA PERSADA</v>
      </c>
      <c r="O310" s="222" t="str">
        <f>IFERROR(__xludf.DUMMYFUNCTION("""COMPUTED_VALUE"""),"7. GOLIVE")</f>
        <v>7. GOLIVE</v>
      </c>
      <c r="P310" s="222" t="str">
        <f>IFERROR(__xludf.DUMMYFUNCTION("""COMPUTED_VALUE"""),"7.2 Golive Full / OA / DONE OTB")</f>
        <v>7.2 Golive Full / OA / DONE OTB</v>
      </c>
      <c r="Q310" s="222" t="str">
        <f>IFERROR(__xludf.DUMMYFUNCTION("""COMPUTED_VALUE"""),"18/02 terminasi ODP (16/2) tarik kabel dan tanam tiang done , perlu repair feeder mitra KAS (13/02) Penarikan Kabel  (28/1) mitra smp kendala budget , konfirm ulang (26/01) Penarikan Kabel (7/1)  REKAP V 4 (06/01)order JPP batch-2 2026 (02/01 matdel (16/1"&amp;"2) hold 28/11 proses DRM mitra (21/11) created PID (17/11) sudah aanwijzing, plan golive desember (14/11) pengturan jadwal anwijzing (5/11) Penunjukan mitra")</f>
        <v>18/02 terminasi ODP (16/2) tarik kabel dan tanam tiang done , perlu repair feeder mitra KAS (13/02) Penarikan Kabel  (28/1) mitra smp kendala budget , konfirm ulang (26/01) Penarikan Kabel (7/1)  REKAP V 4 (06/01)order JPP batch-2 2026 (02/01 matdel (16/12) hold 28/11 proses DRM mitra (21/11) created PID (17/11) sudah aanwijzing, plan golive desember (14/11) pengturan jadwal anwijzing (5/11) Penunjukan mitra</v>
      </c>
      <c r="R310" s="228">
        <f>IFERROR(__xludf.DUMMYFUNCTION("""COMPUTED_VALUE"""),46075.0)</f>
        <v>46075</v>
      </c>
      <c r="S310" s="11"/>
      <c r="T310" s="11"/>
      <c r="U310" s="11"/>
      <c r="V310" s="229"/>
      <c r="W310" s="229"/>
      <c r="X310" s="229" t="str">
        <f>IFERROR(__xludf.DUMMYFUNCTION("""COMPUTED_VALUE"""),"GOLIVE")</f>
        <v>GOLIVE</v>
      </c>
      <c r="Y310" s="229"/>
      <c r="Z310" s="229" t="str">
        <f>IFERROR(__xludf.DUMMYFUNCTION("""COMPUTED_VALUE"""),"#N/A")</f>
        <v>#N/A</v>
      </c>
      <c r="AA310" s="229">
        <f>IFERROR(__xludf.DUMMYFUNCTION("""COMPUTED_VALUE"""),5.0)</f>
        <v>5</v>
      </c>
      <c r="AB310" s="229"/>
      <c r="AC310" s="229" t="str">
        <f>IFERROR(__xludf.DUMMYFUNCTION("""COMPUTED_VALUE"""),"9129212#9129217")</f>
        <v>9129212#9129217</v>
      </c>
      <c r="AD310" s="232">
        <f>IFERROR(__xludf.DUMMYFUNCTION("""COMPUTED_VALUE"""),40.0)</f>
        <v>40</v>
      </c>
      <c r="AE310" s="233">
        <f>IFERROR(__xludf.DUMMYFUNCTION("""COMPUTED_VALUE"""),46075.0)</f>
        <v>46075</v>
      </c>
      <c r="AF310" s="54"/>
      <c r="AG310" s="54"/>
      <c r="AH310" s="54">
        <v>46075.0</v>
      </c>
      <c r="AI310" s="55">
        <f t="shared" si="47"/>
        <v>0</v>
      </c>
      <c r="AW310" s="234"/>
      <c r="BP310" s="11"/>
      <c r="BQ310" s="11"/>
      <c r="BR310" s="235"/>
      <c r="BV310" s="158"/>
      <c r="BY310" s="158"/>
      <c r="CB310" s="158"/>
    </row>
    <row r="311" ht="18.0" hidden="1" customHeight="1">
      <c r="A311" s="222">
        <f>IFERROR(__xludf.DUMMYFUNCTION("""COMPUTED_VALUE"""),2026.0)</f>
        <v>2026</v>
      </c>
      <c r="B311" s="221">
        <f>IFERROR(__xludf.DUMMYFUNCTION("""COMPUTED_VALUE"""),1.1284542E7)</f>
        <v>11284542</v>
      </c>
      <c r="C311" s="222" t="str">
        <f>IFERROR(__xludf.DUMMYFUNCTION("""COMPUTED_VALUE"""),"SMS P4I1 PT4 MPA FXX LENGKIT CSF")</f>
        <v>SMS P4I1 PT4 MPA FXX LENGKIT CSF</v>
      </c>
      <c r="D311" s="222" t="str">
        <f>IFERROR(__xludf.DUMMYFUNCTION("""COMPUTED_VALUE"""),"REGIONAL I")</f>
        <v>REGIONAL I</v>
      </c>
      <c r="E311" s="222" t="str">
        <f>IFERROR(__xludf.DUMMYFUNCTION("""COMPUTED_VALUE"""),"SUMSEL")</f>
        <v>SUMSEL</v>
      </c>
      <c r="F311" s="222" t="str">
        <f>IFERROR(__xludf.DUMMYFUNCTION("""COMPUTED_VALUE"""),"MPA")</f>
        <v>MPA</v>
      </c>
      <c r="G311" s="222" t="str">
        <f>IFERROR(__xludf.DUMMYFUNCTION("""COMPUTED_VALUE"""),"SUMBAGSEL")</f>
        <v>SUMBAGSEL</v>
      </c>
      <c r="H311" s="222" t="str">
        <f>IFERROR(__xludf.DUMMYFUNCTION("""COMPUTED_VALUE"""),"PALEMBANG")</f>
        <v>PALEMBANG</v>
      </c>
      <c r="I311" s="222" t="str">
        <f>IFERROR(__xludf.DUMMYFUNCTION("""COMPUTED_VALUE"""),"Batch 2")</f>
        <v>Batch 2</v>
      </c>
      <c r="J311" s="225">
        <f>IFERROR(__xludf.DUMMYFUNCTION("""COMPUTED_VALUE"""),25.0)</f>
        <v>25</v>
      </c>
      <c r="K311" s="224">
        <f>IFERROR(__xludf.DUMMYFUNCTION("""COMPUTED_VALUE"""),192.0)</f>
        <v>192</v>
      </c>
      <c r="L311" s="226">
        <f>IFERROR(__xludf.DUMMYFUNCTION("""COMPUTED_VALUE"""),1343894.0)</f>
        <v>1343894</v>
      </c>
      <c r="M311" s="227">
        <f>IFERROR(__xludf.DUMMYFUNCTION("""COMPUTED_VALUE"""),2.58027584E8)</f>
        <v>258027584</v>
      </c>
      <c r="N311" s="222" t="str">
        <f>IFERROR(__xludf.DUMMYFUNCTION("""COMPUTED_VALUE"""),"PT GARINDO TECHNO MANDIRI")</f>
        <v>PT GARINDO TECHNO MANDIRI</v>
      </c>
      <c r="O311" s="222" t="str">
        <f>IFERROR(__xludf.DUMMYFUNCTION("""COMPUTED_VALUE"""),"4. MATDEL")</f>
        <v>4. MATDEL</v>
      </c>
      <c r="P311" s="222" t="str">
        <f>IFERROR(__xludf.DUMMYFUNCTION("""COMPUTED_VALUE"""),"4.3 Proses Kirim Mateial Kelokasi")</f>
        <v>4.3 Proses Kirim Mateial Kelokasi</v>
      </c>
      <c r="Q311" s="222" t="str">
        <f>IFERROR(__xludf.DUMMYFUNCTION("""COMPUTED_VALUE"""),"27/04  MENUNGGU PO KABEL KARENA MATERIAL KABES ADSS-12, 23/04 PERUBAHAN TITIK SITAC ODC DAN PARALEL MENUNGGU MATERIAL KABES ADSS-12, 21/04 menunggu material kabel adsss-12 , stok gudang habis, 17/04 KENDALA KABEL 12 HABIS DI GUDANG, 13/04 Kirim Material 1"&amp;"3 Apr 09/04 PRoses input material,plan matdel 11 APR 08/04 PROSES DRM, 02/04 OGP DRM, 31/03 PERIZINAN OKE - LANJUT DRM, 30/03 KENDALA PERIZINAN KADES, MELEWATI 4 DESA  (KADES MEMINTA FREE WIFI), 26/03 PROGRESS PERIZINAN KADES, MELEWATI 4 DESA  (KADES MEMI"&amp;"NTA FREE WIFI), 25/03 EST TGL 30 MAR DRM, 24/03 EST TGL 30 MAR DRM, 21/03 EST TGL 30 MAR DRM, 16/03 MASIH PROGRESS DRM, 13/03 OGP DRM, 11/03 LANJUT DRM, 10/03 OGP PERIZINAN KADES, 05/03 FU TERKAIT PERIZINAN KADES, 04/03 OGP DRM SAMBIL PARALEL PERIZINAN, 0"&amp;"3/03 LANJUT DRM DAN PARALEL PERIZINAN, 02/03 OGP REVIEW TIF, 28/2 Riview TIF 2 Mar 27/02 HOLD - KARENA PERIZINAN MEMINTA WIFI GRATIS DAN NILAI CPP NAIK 1%, 10/02 MASIH HOLD KRNA PERZINAN, 06/02 HASIL REVIEW TSEL  - LANJUT PERIZINAN PU, 03/02 DONE EVAL, HO"&amp;"LD, PERIZINAN MELEWATI 4 DESA (LUBUK DALAM, TANJUNG LENGKAYAP, BUMI KAWA, TANJUNG AGUNG) DIMANA KADES TANJUNG LENGKAYAP MEMINTA FREE WIFI UNTUK KANTOR DESA, (PASTIKAN IZIN DG KADES OK) 30/01 EVAL, 26/1 tim TIF belum bisa EVAL hasil anwijzing karena lagi d"&amp;"iluar kota , estimasi 29 jan baru kembali ke Palembang(24/1) plan 26 koordinasi dengan tif mengenai comcase (21/01) proses izin dg kades setempat, dan update hasil aanwizjing untuk eval dg tif, (15/1) SUDAH AANWIDJZING, MENUNGGU HASIL EVAL PALIM LAMBAT TA"&amp;"NGGAL 23 JAN (15/1) MITRA PASTIKAN 2 CORE UNTUK UPLINK MINI OLT, TGL 22 JAN SUDAH ADA INFO (06/01)order JPP batch-2 2026 (14/11)HOLD- tidak masuk target Optimis 2025 ((08/11) anwijzing done 14 okt , uplink mini olt - port penuh (04/11) Sudah input Matrial"&amp;" 3/11 Sudah input Matrial 13/10 SUDAH ANJIWZING, TUNGGU EVAL PED 08/10 progres aanwizjing kamis visit ke kades untuk perijinan lebih lanjut
 (01/10) menunggu jadwal aanwizjing
 25/09/menunggu jadwal survey")</f>
        <v>27/04  MENUNGGU PO KABEL KARENA MATERIAL KABES ADSS-12, 23/04 PERUBAHAN TITIK SITAC ODC DAN PARALEL MENUNGGU MATERIAL KABES ADSS-12, 21/04 menunggu material kabel adsss-12 , stok gudang habis, 17/04 KENDALA KABEL 12 HABIS DI GUDANG, 13/04 Kirim Material 13 Apr 09/04 PRoses input material,plan matdel 11 APR 08/04 PROSES DRM, 02/04 OGP DRM, 31/03 PERIZINAN OKE - LANJUT DRM, 30/03 KENDALA PERIZINAN KADES, MELEWATI 4 DESA  (KADES MEMINTA FREE WIFI), 26/03 PROGRESS PERIZINAN KADES, MELEWATI 4 DESA  (KADES MEMINTA FREE WIFI), 25/03 EST TGL 30 MAR DRM, 24/03 EST TGL 30 MAR DRM, 21/03 EST TGL 30 MAR DRM, 16/03 MASIH PROGRESS DRM, 13/03 OGP DRM, 11/03 LANJUT DRM, 10/03 OGP PERIZINAN KADES, 05/03 FU TERKAIT PERIZINAN KADES, 04/03 OGP DRM SAMBIL PARALEL PERIZINAN, 03/03 LANJUT DRM DAN PARALEL PERIZINAN, 02/03 OGP REVIEW TIF, 28/2 Riview TIF 2 Mar 27/02 HOLD - KARENA PERIZINAN MEMINTA WIFI GRATIS DAN NILAI CPP NAIK 1%, 10/02 MASIH HOLD KRNA PERZINAN, 06/02 HASIL REVIEW TSEL  - LANJUT PERIZINAN PU, 03/02 DONE EVAL, HOLD, PERIZINAN MELEWATI 4 DESA (LUBUK DALAM, TANJUNG LENGKAYAP, BUMI KAWA, TANJUNG AGUNG) DIMANA KADES TANJUNG LENGKAYAP MEMINTA FREE WIFI UNTUK KANTOR DESA, (PASTIKAN IZIN DG KADES OK) 30/01 EVAL, 26/1 tim TIF belum bisa EVAL hasil anwijzing karena lagi diluar kota , estimasi 29 jan baru kembali ke Palembang(24/1) plan 26 koordinasi dengan tif mengenai comcase (21/01) proses izin dg kades setempat, dan update hasil aanwizjing untuk eval dg tif, (15/1) SUDAH AANWIDJZING, MENUNGGU HASIL EVAL PALIM LAMBAT TANGGAL 23 JAN (15/1) MITRA PASTIKAN 2 CORE UNTUK UPLINK MINI OLT, TGL 22 JAN SUDAH ADA INFO (06/01)order JPP batch-2 2026 (14/11)HOLD- tidak masuk target Optimis 2025 ((08/11) anwijzing done 14 okt , uplink mini olt - port penuh (04/11) Sudah input Matrial 3/11 Sudah input Matrial 13/10 SUDAH ANJIWZING, TUNGGU EVAL PED 08/10 progres aanwizjing kamis visit ke kades untuk perijinan lebih lanjut
 (01/10) menunggu jadwal aanwizjing
 25/09/menunggu jadwal survey</v>
      </c>
      <c r="R311" s="228">
        <f>IFERROR(__xludf.DUMMYFUNCTION("""COMPUTED_VALUE"""),46173.0)</f>
        <v>46173</v>
      </c>
      <c r="S311" s="11"/>
      <c r="T311" s="73" t="str">
        <f>IFERROR(__xludf.DUMMYFUNCTION("""COMPUTED_VALUE"""),"P1")</f>
        <v>P1</v>
      </c>
      <c r="U311" s="11"/>
      <c r="V311" s="229" t="str">
        <f>IFERROR(__xludf.DUMMYFUNCTION("""COMPUTED_VALUE"""),"TANTOWI")</f>
        <v>TANTOWI</v>
      </c>
      <c r="W311" s="229"/>
      <c r="X311" s="229" t="str">
        <f>IFERROR(__xludf.DUMMYFUNCTION("""COMPUTED_VALUE"""),"BELUM GOLIVE")</f>
        <v>BELUM GOLIVE</v>
      </c>
      <c r="Y311" s="229" t="str">
        <f>IFERROR(__xludf.DUMMYFUNCTION("""COMPUTED_VALUE"""),"Mini OLT Not Ready")</f>
        <v>Mini OLT Not Ready</v>
      </c>
      <c r="Z311" s="229"/>
      <c r="AA311" s="229"/>
      <c r="AB311" s="229"/>
      <c r="AC311" s="229"/>
      <c r="AD311" s="232"/>
      <c r="AE311" s="233"/>
      <c r="AF311" s="54"/>
      <c r="AG311" s="54"/>
      <c r="AH311" s="54">
        <v>46142.0</v>
      </c>
      <c r="AI311" s="55" t="str">
        <f t="shared" si="47"/>
        <v/>
      </c>
      <c r="AW311" s="234"/>
      <c r="BP311" s="11"/>
      <c r="BQ311" s="11"/>
      <c r="BR311" s="235"/>
      <c r="BV311" s="158"/>
      <c r="BY311" s="158"/>
      <c r="CB311" s="158"/>
    </row>
    <row r="312" ht="18.0" hidden="1" customHeight="1">
      <c r="A312" s="222">
        <f>IFERROR(__xludf.DUMMYFUNCTION("""COMPUTED_VALUE"""),2026.0)</f>
        <v>2026</v>
      </c>
      <c r="B312" s="221">
        <f>IFERROR(__xludf.DUMMYFUNCTION("""COMPUTED_VALUE"""),1.1161537E7)</f>
        <v>11161537</v>
      </c>
      <c r="C312" s="222" t="str">
        <f>IFERROR(__xludf.DUMMYFUNCTION("""COMPUTED_VALUE"""),"MDN PT3 P7I3 TTG-FD KENCANA RESIDENCE")</f>
        <v>MDN PT3 P7I3 TTG-FD KENCANA RESIDENCE</v>
      </c>
      <c r="D312" s="222" t="str">
        <f>IFERROR(__xludf.DUMMYFUNCTION("""COMPUTED_VALUE"""),"REGIONAL I")</f>
        <v>REGIONAL I</v>
      </c>
      <c r="E312" s="222" t="str">
        <f>IFERROR(__xludf.DUMMYFUNCTION("""COMPUTED_VALUE"""),"MEDAN")</f>
        <v>MEDAN</v>
      </c>
      <c r="F312" s="222" t="str">
        <f>IFERROR(__xludf.DUMMYFUNCTION("""COMPUTED_VALUE"""),"TTG")</f>
        <v>TTG</v>
      </c>
      <c r="G312" s="222" t="str">
        <f>IFERROR(__xludf.DUMMYFUNCTION("""COMPUTED_VALUE"""),"SUMBAGUT")</f>
        <v>SUMBAGUT</v>
      </c>
      <c r="H312" s="222" t="str">
        <f>IFERROR(__xludf.DUMMYFUNCTION("""COMPUTED_VALUE"""),"MEDAN")</f>
        <v>MEDAN</v>
      </c>
      <c r="I312" s="222" t="str">
        <f>IFERROR(__xludf.DUMMYFUNCTION("""COMPUTED_VALUE"""),"Batch 2")</f>
        <v>Batch 2</v>
      </c>
      <c r="J312" s="225">
        <f>IFERROR(__xludf.DUMMYFUNCTION("""COMPUTED_VALUE"""),5.0)</f>
        <v>5</v>
      </c>
      <c r="K312" s="224">
        <f>IFERROR(__xludf.DUMMYFUNCTION("""COMPUTED_VALUE"""),40.0)</f>
        <v>40</v>
      </c>
      <c r="L312" s="226">
        <f>IFERROR(__xludf.DUMMYFUNCTION("""COMPUTED_VALUE"""),1591689.0)</f>
        <v>1591689</v>
      </c>
      <c r="M312" s="227">
        <f>IFERROR(__xludf.DUMMYFUNCTION("""COMPUTED_VALUE"""),6.3667559E7)</f>
        <v>63667559</v>
      </c>
      <c r="N312" s="222" t="str">
        <f>IFERROR(__xludf.DUMMYFUNCTION("""COMPUTED_VALUE"""),"PT FAJAR MITRA KRIDA ABADI")</f>
        <v>PT FAJAR MITRA KRIDA ABADI</v>
      </c>
      <c r="O312" s="222" t="str">
        <f>IFERROR(__xludf.DUMMYFUNCTION("""COMPUTED_VALUE"""),"0. DROP")</f>
        <v>0. DROP</v>
      </c>
      <c r="P312" s="222" t="str">
        <f>IFERROR(__xludf.DUMMYFUNCTION("""COMPUTED_VALUE"""),"0.4 CPP Tinggi Acc ED TIF")</f>
        <v>0.4 CPP Tinggi Acc ED TIF</v>
      </c>
      <c r="Q312" s="222" t="str">
        <f>IFERROR(__xludf.DUMMYFUNCTION("""COMPUTED_VALUE"""),"20/09 Feeder Habis
15/09 proses aanwijzing")</f>
        <v>20/09 Feeder Habis
15/09 proses aanwijzing</v>
      </c>
      <c r="R312" s="228"/>
      <c r="S312" s="11"/>
      <c r="T312" s="11"/>
      <c r="U312" s="11"/>
      <c r="V312" s="229"/>
      <c r="W312" s="229"/>
      <c r="X312" s="229" t="str">
        <f>IFERROR(__xludf.DUMMYFUNCTION("""COMPUTED_VALUE"""),"BELUM GOLIVE")</f>
        <v>BELUM GOLIVE</v>
      </c>
      <c r="Y312" s="229"/>
      <c r="Z312" s="229" t="str">
        <f>IFERROR(__xludf.DUMMYFUNCTION("""COMPUTED_VALUE"""),"#N/A")</f>
        <v>#N/A</v>
      </c>
      <c r="AA312" s="229"/>
      <c r="AB312" s="229"/>
      <c r="AC312" s="229"/>
      <c r="AD312" s="232"/>
      <c r="AE312" s="233"/>
      <c r="AF312" s="54" t="str">
        <f>IFERROR(__xludf.DUMMYFUNCTION("""COMPUTED_VALUE"""),"Draft BA DROP")</f>
        <v>Draft BA DROP</v>
      </c>
      <c r="AG312" s="54"/>
      <c r="AH312" s="54"/>
      <c r="AI312" s="55" t="str">
        <f t="shared" si="47"/>
        <v/>
      </c>
      <c r="AW312" s="234"/>
      <c r="BP312" s="11"/>
      <c r="BQ312" s="11"/>
      <c r="BR312" s="235"/>
      <c r="BV312" s="158"/>
      <c r="BY312" s="158"/>
      <c r="CB312" s="158"/>
    </row>
    <row r="313" ht="18.0" customHeight="1">
      <c r="A313" s="222">
        <f>IFERROR(__xludf.DUMMYFUNCTION("""COMPUTED_VALUE"""),2026.0)</f>
        <v>2026</v>
      </c>
      <c r="B313" s="221">
        <f>IFERROR(__xludf.DUMMYFUNCTION("""COMPUTED_VALUE"""),1.1192822E7)</f>
        <v>11192822</v>
      </c>
      <c r="C313" s="222" t="str">
        <f>IFERROR(__xludf.DUMMYFUNCTION("""COMPUTED_VALUE"""),"RKP PT3 JPPTSEL BLP-FA KAMPUNG MELAYU")</f>
        <v>RKP PT3 JPPTSEL BLP-FA KAMPUNG MELAYU</v>
      </c>
      <c r="D313" s="222" t="str">
        <f>IFERROR(__xludf.DUMMYFUNCTION("""COMPUTED_VALUE"""),"REGIONAL I")</f>
        <v>REGIONAL I</v>
      </c>
      <c r="E313" s="222" t="str">
        <f>IFERROR(__xludf.DUMMYFUNCTION("""COMPUTED_VALUE"""),"RIKEP")</f>
        <v>RIKEP</v>
      </c>
      <c r="F313" s="222" t="str">
        <f>IFERROR(__xludf.DUMMYFUNCTION("""COMPUTED_VALUE"""),"BLP")</f>
        <v>BLP</v>
      </c>
      <c r="G313" s="222" t="str">
        <f>IFERROR(__xludf.DUMMYFUNCTION("""COMPUTED_VALUE"""),"SUMBAGTENG")</f>
        <v>SUMBAGTENG</v>
      </c>
      <c r="H313" s="222" t="str">
        <f>IFERROR(__xludf.DUMMYFUNCTION("""COMPUTED_VALUE"""),"BATAM")</f>
        <v>BATAM</v>
      </c>
      <c r="I313" s="222" t="str">
        <f>IFERROR(__xludf.DUMMYFUNCTION("""COMPUTED_VALUE"""),"Batch 2")</f>
        <v>Batch 2</v>
      </c>
      <c r="J313" s="225">
        <f>IFERROR(__xludf.DUMMYFUNCTION("""COMPUTED_VALUE"""),2.0)</f>
        <v>2</v>
      </c>
      <c r="K313" s="224">
        <f>IFERROR(__xludf.DUMMYFUNCTION("""COMPUTED_VALUE"""),16.0)</f>
        <v>16</v>
      </c>
      <c r="L313" s="226">
        <f>IFERROR(__xludf.DUMMYFUNCTION("""COMPUTED_VALUE"""),1343465.0)</f>
        <v>1343465</v>
      </c>
      <c r="M313" s="227">
        <f>IFERROR(__xludf.DUMMYFUNCTION("""COMPUTED_VALUE"""),2.1495427E7)</f>
        <v>21495427</v>
      </c>
      <c r="N313" s="222" t="str">
        <f>IFERROR(__xludf.DUMMYFUNCTION("""COMPUTED_VALUE"""),"SWAKELOLA")</f>
        <v>SWAKELOLA</v>
      </c>
      <c r="O313" s="222" t="str">
        <f>IFERROR(__xludf.DUMMYFUNCTION("""COMPUTED_VALUE"""),"2. DONE AANWIJZING")</f>
        <v>2. DONE AANWIJZING</v>
      </c>
      <c r="P313" s="222" t="str">
        <f>IFERROR(__xludf.DUMMYFUNCTION("""COMPUTED_VALUE"""),"2.11 Kendala - Feeder Full / Dependensi LOP lain")</f>
        <v>2.11 Kendala - Feeder Full / Dependensi LOP lain</v>
      </c>
      <c r="Q313" s="222" t="str">
        <f>IFERROR(__xludf.DUMMYFUNCTION("""COMPUTED_VALUE"""),"03/03 Core Feeder Full. 29/01 Plan survey tanggal 31 Jan.  21/01 Plan survey 29 Jan karena lokasi outer di pulau belakang padang")</f>
        <v>03/03 Core Feeder Full. 29/01 Plan survey tanggal 31 Jan.  21/01 Plan survey 29 Jan karena lokasi outer di pulau belakang padang</v>
      </c>
      <c r="R313" s="228"/>
      <c r="S313" s="11"/>
      <c r="T313" s="11"/>
      <c r="U313" s="11"/>
      <c r="V313" s="229" t="str">
        <f>IFERROR(__xludf.DUMMYFUNCTION("""COMPUTED_VALUE"""),"GANI PRASTYO")</f>
        <v>GANI PRASTYO</v>
      </c>
      <c r="W313" s="229" t="str">
        <f>IFERROR(__xludf.DUMMYFUNCTION("""COMPUTED_VALUE"""),"LEVITA INDRIYANI")</f>
        <v>LEVITA INDRIYANI</v>
      </c>
      <c r="X313" s="229" t="str">
        <f>IFERROR(__xludf.DUMMYFUNCTION("""COMPUTED_VALUE"""),"BELUM GOLIVE")</f>
        <v>BELUM GOLIVE</v>
      </c>
      <c r="Y313" s="229"/>
      <c r="Z313" s="229" t="str">
        <f>IFERROR(__xludf.DUMMYFUNCTION("""COMPUTED_VALUE"""),"#N/A")</f>
        <v>#N/A</v>
      </c>
      <c r="AA313" s="229"/>
      <c r="AB313" s="229"/>
      <c r="AC313" s="229"/>
      <c r="AD313" s="232"/>
      <c r="AE313" s="233"/>
      <c r="AF313" s="54" t="str">
        <f>IFERROR(__xludf.DUMMYFUNCTION("""COMPUTED_VALUE"""),"Draft BA DROP")</f>
        <v>Draft BA DROP</v>
      </c>
      <c r="AG313" s="54"/>
      <c r="AH313" s="54"/>
      <c r="AI313" s="55" t="str">
        <f t="shared" si="47"/>
        <v/>
      </c>
      <c r="AW313" s="234"/>
      <c r="BP313" s="11"/>
      <c r="BQ313" s="11"/>
      <c r="BR313" s="235"/>
      <c r="BV313" s="158"/>
      <c r="BY313" s="158"/>
      <c r="CB313" s="158"/>
    </row>
    <row r="314" ht="18.0" customHeight="1">
      <c r="A314" s="222">
        <f>IFERROR(__xludf.DUMMYFUNCTION("""COMPUTED_VALUE"""),2026.0)</f>
        <v>2026</v>
      </c>
      <c r="B314" s="221">
        <f>IFERROR(__xludf.DUMMYFUNCTION("""COMPUTED_VALUE"""),1.1261233E7)</f>
        <v>11261233</v>
      </c>
      <c r="C314" s="222" t="str">
        <f>IFERROR(__xludf.DUMMYFUNCTION("""COMPUTED_VALUE"""),"SMB P2I2 DM-AOi425030114220087357bf30")</f>
        <v>SMB P2I2 DM-AOi425030114220087357bf30</v>
      </c>
      <c r="D314" s="222" t="str">
        <f>IFERROR(__xludf.DUMMYFUNCTION("""COMPUTED_VALUE"""),"REGIONAL I")</f>
        <v>REGIONAL I</v>
      </c>
      <c r="E314" s="222" t="str">
        <f>IFERROR(__xludf.DUMMYFUNCTION("""COMPUTED_VALUE"""),"SUMBAR")</f>
        <v>SUMBAR</v>
      </c>
      <c r="F314" s="222" t="str">
        <f>IFERROR(__xludf.DUMMYFUNCTION("""COMPUTED_VALUE"""),"BSK")</f>
        <v>BSK</v>
      </c>
      <c r="G314" s="222" t="str">
        <f>IFERROR(__xludf.DUMMYFUNCTION("""COMPUTED_VALUE"""),"SUMBAGTENG")</f>
        <v>SUMBAGTENG</v>
      </c>
      <c r="H314" s="222" t="str">
        <f>IFERROR(__xludf.DUMMYFUNCTION("""COMPUTED_VALUE"""),"BUKIT TINGGI")</f>
        <v>BUKIT TINGGI</v>
      </c>
      <c r="I314" s="222" t="str">
        <f>IFERROR(__xludf.DUMMYFUNCTION("""COMPUTED_VALUE"""),"Batch 2")</f>
        <v>Batch 2</v>
      </c>
      <c r="J314" s="225">
        <f>IFERROR(__xludf.DUMMYFUNCTION("""COMPUTED_VALUE"""),1.0)</f>
        <v>1</v>
      </c>
      <c r="K314" s="224">
        <f>IFERROR(__xludf.DUMMYFUNCTION("""COMPUTED_VALUE"""),8.0)</f>
        <v>8</v>
      </c>
      <c r="L314" s="226">
        <f>IFERROR(__xludf.DUMMYFUNCTION("""COMPUTED_VALUE"""),1342595.0)</f>
        <v>1342595</v>
      </c>
      <c r="M314" s="227">
        <f>IFERROR(__xludf.DUMMYFUNCTION("""COMPUTED_VALUE"""),1.0740756E7)</f>
        <v>10740756</v>
      </c>
      <c r="N314" s="222" t="str">
        <f>IFERROR(__xludf.DUMMYFUNCTION("""COMPUTED_VALUE"""),"PT TSUIKA BERKAH RAYA")</f>
        <v>PT TSUIKA BERKAH RAYA</v>
      </c>
      <c r="O314" s="222" t="str">
        <f>IFERROR(__xludf.DUMMYFUNCTION("""COMPUTED_VALUE"""),"2. DONE AANWIJZING")</f>
        <v>2. DONE AANWIJZING</v>
      </c>
      <c r="P314" s="222" t="str">
        <f>IFERROR(__xludf.DUMMYFUNCTION("""COMPUTED_VALUE"""),"2.9 Kendala - Distribusi Penuh / Rusak")</f>
        <v>2.9 Kendala - Distribusi Penuh / Rusak</v>
      </c>
      <c r="Q314" s="222" t="str">
        <f>IFERROR(__xludf.DUMMYFUNCTION("""COMPUTED_VALUE"""),"(27/01) kendala core dist 4 butuh repair, tipus di titik 2,7 km, titik brincingan 6,8 km (07/01) Persiapan")</f>
        <v>(27/01) kendala core dist 4 butuh repair, tipus di titik 2,7 km, titik brincingan 6,8 km (07/01) Persiapan</v>
      </c>
      <c r="R314" s="228"/>
      <c r="S314" s="11"/>
      <c r="T314" s="11"/>
      <c r="U314" s="11"/>
      <c r="V314" s="229"/>
      <c r="W314" s="229"/>
      <c r="X314" s="229" t="str">
        <f>IFERROR(__xludf.DUMMYFUNCTION("""COMPUTED_VALUE"""),"BELUM GOLIVE")</f>
        <v>BELUM GOLIVE</v>
      </c>
      <c r="Y314" s="229"/>
      <c r="Z314" s="229" t="str">
        <f>IFERROR(__xludf.DUMMYFUNCTION("""COMPUTED_VALUE"""),"#N/A")</f>
        <v>#N/A</v>
      </c>
      <c r="AA314" s="229"/>
      <c r="AB314" s="229"/>
      <c r="AC314" s="229"/>
      <c r="AD314" s="232"/>
      <c r="AE314" s="233"/>
      <c r="AF314" s="54"/>
      <c r="AG314" s="54"/>
      <c r="AH314" s="54"/>
      <c r="AI314" s="55" t="str">
        <f t="shared" si="47"/>
        <v/>
      </c>
      <c r="AW314" s="234"/>
      <c r="BP314" s="11"/>
      <c r="BQ314" s="11"/>
      <c r="BR314" s="235"/>
      <c r="BV314" s="158"/>
      <c r="BY314" s="158"/>
      <c r="CB314" s="158"/>
    </row>
    <row r="315" ht="18.0" hidden="1" customHeight="1">
      <c r="A315" s="222">
        <f>IFERROR(__xludf.DUMMYFUNCTION("""COMPUTED_VALUE"""),2026.0)</f>
        <v>2026</v>
      </c>
      <c r="B315" s="221">
        <f>IFERROR(__xludf.DUMMYFUNCTION("""COMPUTED_VALUE"""),1.0734652E7)</f>
        <v>10734652</v>
      </c>
      <c r="C315" s="222" t="str">
        <f>IFERROR(__xludf.DUMMYFUNCTION("""COMPUTED_VALUE"""),"JBI-PT 3 BRANCHING-PLTSEL-BKO-FM-MUHAMMAD TABRI")</f>
        <v>JBI-PT 3 BRANCHING-PLTSEL-BKO-FM-MUHAMMAD TABRI</v>
      </c>
      <c r="D315" s="222" t="str">
        <f>IFERROR(__xludf.DUMMYFUNCTION("""COMPUTED_VALUE"""),"REGIONAL I")</f>
        <v>REGIONAL I</v>
      </c>
      <c r="E315" s="222" t="str">
        <f>IFERROR(__xludf.DUMMYFUNCTION("""COMPUTED_VALUE"""),"JAMBI")</f>
        <v>JAMBI</v>
      </c>
      <c r="F315" s="222" t="str">
        <f>IFERROR(__xludf.DUMMYFUNCTION("""COMPUTED_VALUE"""),"BKO")</f>
        <v>BKO</v>
      </c>
      <c r="G315" s="222" t="str">
        <f>IFERROR(__xludf.DUMMYFUNCTION("""COMPUTED_VALUE"""),"SUMBAGSEL")</f>
        <v>SUMBAGSEL</v>
      </c>
      <c r="H315" s="222" t="str">
        <f>IFERROR(__xludf.DUMMYFUNCTION("""COMPUTED_VALUE"""),"JAMBI")</f>
        <v>JAMBI</v>
      </c>
      <c r="I315" s="222" t="str">
        <f>IFERROR(__xludf.DUMMYFUNCTION("""COMPUTED_VALUE"""),"Batch 2")</f>
        <v>Batch 2</v>
      </c>
      <c r="J315" s="225">
        <f>IFERROR(__xludf.DUMMYFUNCTION("""COMPUTED_VALUE"""),1.0)</f>
        <v>1</v>
      </c>
      <c r="K315" s="224">
        <f>IFERROR(__xludf.DUMMYFUNCTION("""COMPUTED_VALUE"""),8.0)</f>
        <v>8</v>
      </c>
      <c r="L315" s="226">
        <f>IFERROR(__xludf.DUMMYFUNCTION("""COMPUTED_VALUE"""),1341802.0)</f>
        <v>1341802</v>
      </c>
      <c r="M315" s="227">
        <f>IFERROR(__xludf.DUMMYFUNCTION("""COMPUTED_VALUE"""),1.0734415E7)</f>
        <v>10734415</v>
      </c>
      <c r="N315" s="222" t="str">
        <f>IFERROR(__xludf.DUMMYFUNCTION("""COMPUTED_VALUE"""),"PT TSUIKA BERKAH RAYA")</f>
        <v>PT TSUIKA BERKAH RAYA</v>
      </c>
      <c r="O315" s="222" t="str">
        <f>IFERROR(__xludf.DUMMYFUNCTION("""COMPUTED_VALUE"""),"0. DROP")</f>
        <v>0. DROP</v>
      </c>
      <c r="P315" s="222" t="str">
        <f>IFERROR(__xludf.DUMMYFUNCTION("""COMPUTED_VALUE"""),"0.4 CPP Tinggi Acc ED TIF")</f>
        <v>0.4 CPP Tinggi Acc ED TIF</v>
      </c>
      <c r="Q315" s="222" t="str">
        <f>IFERROR(__xludf.DUMMYFUNCTION("""COMPUTED_VALUE"""),"3/3 hasil meeting ED TIF Area - TA region dan Area DROP karena CPP tnggi (12/1) BA Drop Sirkulir- permintaan TSEL MARKET TIDAK OK  (06/01)order JPP batch-2 2026 (28/11 HOLD 17/11 kendala mitra, Redesign 10/11 matdel (05/11)Req Material (15/10) Mapping Mit"&amp;"r")</f>
        <v>3/3 hasil meeting ED TIF Area - TA region dan Area DROP karena CPP tnggi (12/1) BA Drop Sirkulir- permintaan TSEL MARKET TIDAK OK  (06/01)order JPP batch-2 2026 (28/11 HOLD 17/11 kendala mitra, Redesign 10/11 matdel (05/11)Req Material (15/10) Mapping Mitr</v>
      </c>
      <c r="R315" s="228"/>
      <c r="S315" s="11"/>
      <c r="T315" s="11"/>
      <c r="U315" s="11"/>
      <c r="V315" s="229"/>
      <c r="W315" s="229"/>
      <c r="X315" s="229" t="str">
        <f>IFERROR(__xludf.DUMMYFUNCTION("""COMPUTED_VALUE"""),"BELUM GOLIVE")</f>
        <v>BELUM GOLIVE</v>
      </c>
      <c r="Y315" s="229"/>
      <c r="Z315" s="229" t="str">
        <f>IFERROR(__xludf.DUMMYFUNCTION("""COMPUTED_VALUE"""),"#N/A")</f>
        <v>#N/A</v>
      </c>
      <c r="AA315" s="229"/>
      <c r="AB315" s="229"/>
      <c r="AC315" s="229"/>
      <c r="AD315" s="232"/>
      <c r="AE315" s="233"/>
      <c r="AF315" s="54" t="str">
        <f>IFERROR(__xludf.DUMMYFUNCTION("""COMPUTED_VALUE"""),"Draft BA DROP")</f>
        <v>Draft BA DROP</v>
      </c>
      <c r="AG315" s="54"/>
      <c r="AH315" s="54"/>
      <c r="AI315" s="55" t="str">
        <f t="shared" si="47"/>
        <v/>
      </c>
      <c r="AW315" s="234"/>
      <c r="BP315" s="11"/>
      <c r="BQ315" s="11"/>
      <c r="BR315" s="235"/>
      <c r="BV315" s="158"/>
      <c r="BY315" s="158"/>
      <c r="CB315" s="158"/>
    </row>
    <row r="316" ht="18.0" customHeight="1">
      <c r="A316" s="222">
        <f>IFERROR(__xludf.DUMMYFUNCTION("""COMPUTED_VALUE"""),2026.0)</f>
        <v>2026</v>
      </c>
      <c r="B316" s="221">
        <f>IFERROR(__xludf.DUMMYFUNCTION("""COMPUTED_VALUE"""),1.1338083E7)</f>
        <v>11338083</v>
      </c>
      <c r="C316" s="222" t="str">
        <f>IFERROR(__xludf.DUMMYFUNCTION("""COMPUTED_VALUE"""),"SMB P2I1 KALUDAN RUSDI")</f>
        <v>SMB P2I1 KALUDAN RUSDI</v>
      </c>
      <c r="D316" s="222" t="str">
        <f>IFERROR(__xludf.DUMMYFUNCTION("""COMPUTED_VALUE"""),"REGIONAL I")</f>
        <v>REGIONAL I</v>
      </c>
      <c r="E316" s="222" t="str">
        <f>IFERROR(__xludf.DUMMYFUNCTION("""COMPUTED_VALUE"""),"SUMBAR")</f>
        <v>SUMBAR</v>
      </c>
      <c r="F316" s="222" t="str">
        <f>IFERROR(__xludf.DUMMYFUNCTION("""COMPUTED_VALUE"""),"SIG")</f>
        <v>SIG</v>
      </c>
      <c r="G316" s="222" t="str">
        <f>IFERROR(__xludf.DUMMYFUNCTION("""COMPUTED_VALUE"""),"SUMBAGTENG")</f>
        <v>SUMBAGTENG</v>
      </c>
      <c r="H316" s="222" t="str">
        <f>IFERROR(__xludf.DUMMYFUNCTION("""COMPUTED_VALUE"""),"BUKIT TINGGI")</f>
        <v>BUKIT TINGGI</v>
      </c>
      <c r="I316" s="222" t="str">
        <f>IFERROR(__xludf.DUMMYFUNCTION("""COMPUTED_VALUE"""),"Batch 2")</f>
        <v>Batch 2</v>
      </c>
      <c r="J316" s="225">
        <f>IFERROR(__xludf.DUMMYFUNCTION("""COMPUTED_VALUE"""),3.0)</f>
        <v>3</v>
      </c>
      <c r="K316" s="224">
        <f>IFERROR(__xludf.DUMMYFUNCTION("""COMPUTED_VALUE"""),24.0)</f>
        <v>24</v>
      </c>
      <c r="L316" s="226">
        <f>IFERROR(__xludf.DUMMYFUNCTION("""COMPUTED_VALUE"""),1341162.0)</f>
        <v>1341162</v>
      </c>
      <c r="M316" s="227">
        <f>IFERROR(__xludf.DUMMYFUNCTION("""COMPUTED_VALUE"""),3.2187876E7)</f>
        <v>32187876</v>
      </c>
      <c r="N316" s="222" t="str">
        <f>IFERROR(__xludf.DUMMYFUNCTION("""COMPUTED_VALUE"""),"PT TSUIKA BERKAH RAYA")</f>
        <v>PT TSUIKA BERKAH RAYA</v>
      </c>
      <c r="O316" s="222" t="str">
        <f>IFERROR(__xludf.DUMMYFUNCTION("""COMPUTED_VALUE"""),"0. DROP")</f>
        <v>0. DROP</v>
      </c>
      <c r="P316" s="222" t="str">
        <f>IFERROR(__xludf.DUMMYFUNCTION("""COMPUTED_VALUE"""),"0.3 Feeder Full")</f>
        <v>0.3 Feeder Full</v>
      </c>
      <c r="Q316" s="222" t="str">
        <f>IFERROR(__xludf.DUMMYFUNCTION("""COMPUTED_VALUE"""),"08/01  Dist 7 SIG-FA FULL (07/01) Persiapan")</f>
        <v>08/01  Dist 7 SIG-FA FULL (07/01) Persiapan</v>
      </c>
      <c r="R316" s="228"/>
      <c r="S316" s="11"/>
      <c r="T316" s="11"/>
      <c r="U316" s="11"/>
      <c r="V316" s="229"/>
      <c r="W316" s="229"/>
      <c r="X316" s="229" t="str">
        <f>IFERROR(__xludf.DUMMYFUNCTION("""COMPUTED_VALUE"""),"BELUM GOLIVE")</f>
        <v>BELUM GOLIVE</v>
      </c>
      <c r="Y316" s="229"/>
      <c r="Z316" s="229" t="str">
        <f>IFERROR(__xludf.DUMMYFUNCTION("""COMPUTED_VALUE"""),"#N/A")</f>
        <v>#N/A</v>
      </c>
      <c r="AA316" s="229"/>
      <c r="AB316" s="229"/>
      <c r="AC316" s="229"/>
      <c r="AD316" s="232"/>
      <c r="AE316" s="233"/>
      <c r="AF316" s="54" t="str">
        <f>IFERROR(__xludf.DUMMYFUNCTION("""COMPUTED_VALUE"""),"Draft BA DROP")</f>
        <v>Draft BA DROP</v>
      </c>
      <c r="AG316" s="54"/>
      <c r="AH316" s="54"/>
      <c r="AI316" s="55" t="str">
        <f t="shared" si="47"/>
        <v/>
      </c>
      <c r="AW316" s="234"/>
      <c r="BP316" s="11"/>
      <c r="BQ316" s="11"/>
      <c r="BR316" s="235"/>
      <c r="BV316" s="158"/>
      <c r="BY316" s="158"/>
      <c r="CB316" s="158"/>
    </row>
    <row r="317" ht="18.0" hidden="1" customHeight="1">
      <c r="A317" s="222">
        <f>IFERROR(__xludf.DUMMYFUNCTION("""COMPUTED_VALUE"""),2026.0)</f>
        <v>2026</v>
      </c>
      <c r="B317" s="221">
        <f>IFERROR(__xludf.DUMMYFUNCTION("""COMPUTED_VALUE"""),1.1332879E7)</f>
        <v>11332879</v>
      </c>
      <c r="C317" s="222" t="str">
        <f>IFERROR(__xludf.DUMMYFUNCTION("""COMPUTED_VALUE"""),"MDN PT3 P7I13 TTG-FJ JL.PERBATASAN")</f>
        <v>MDN PT3 P7I13 TTG-FJ JL.PERBATASAN</v>
      </c>
      <c r="D317" s="222" t="str">
        <f>IFERROR(__xludf.DUMMYFUNCTION("""COMPUTED_VALUE"""),"REGIONAL I")</f>
        <v>REGIONAL I</v>
      </c>
      <c r="E317" s="222" t="str">
        <f>IFERROR(__xludf.DUMMYFUNCTION("""COMPUTED_VALUE"""),"MEDAN")</f>
        <v>MEDAN</v>
      </c>
      <c r="F317" s="222" t="str">
        <f>IFERROR(__xludf.DUMMYFUNCTION("""COMPUTED_VALUE"""),"TTG")</f>
        <v>TTG</v>
      </c>
      <c r="G317" s="222" t="str">
        <f>IFERROR(__xludf.DUMMYFUNCTION("""COMPUTED_VALUE"""),"SUMBAGUT")</f>
        <v>SUMBAGUT</v>
      </c>
      <c r="H317" s="222" t="str">
        <f>IFERROR(__xludf.DUMMYFUNCTION("""COMPUTED_VALUE"""),"MEDAN")</f>
        <v>MEDAN</v>
      </c>
      <c r="I317" s="222" t="str">
        <f>IFERROR(__xludf.DUMMYFUNCTION("""COMPUTED_VALUE"""),"Batch 2")</f>
        <v>Batch 2</v>
      </c>
      <c r="J317" s="225">
        <f>IFERROR(__xludf.DUMMYFUNCTION("""COMPUTED_VALUE"""),4.0)</f>
        <v>4</v>
      </c>
      <c r="K317" s="224">
        <f>IFERROR(__xludf.DUMMYFUNCTION("""COMPUTED_VALUE"""),32.0)</f>
        <v>32</v>
      </c>
      <c r="L317" s="226">
        <f>IFERROR(__xludf.DUMMYFUNCTION("""COMPUTED_VALUE"""),725713.0)</f>
        <v>725713</v>
      </c>
      <c r="M317" s="227">
        <f>IFERROR(__xludf.DUMMYFUNCTION("""COMPUTED_VALUE"""),2.3222789E7)</f>
        <v>23222789</v>
      </c>
      <c r="N317" s="222" t="str">
        <f>IFERROR(__xludf.DUMMYFUNCTION("""COMPUTED_VALUE"""),"SWAKELOLA")</f>
        <v>SWAKELOLA</v>
      </c>
      <c r="O317" s="222" t="str">
        <f>IFERROR(__xludf.DUMMYFUNCTION("""COMPUTED_VALUE"""),"1. AANWIJZING")</f>
        <v>1. AANWIJZING</v>
      </c>
      <c r="P317" s="222" t="str">
        <f>IFERROR(__xludf.DUMMYFUNCTION("""COMPUTED_VALUE"""),"1.6 Ongoing Aanwidjzing")</f>
        <v>1.6 Ongoing Aanwidjzing</v>
      </c>
      <c r="Q317" s="222" t="str">
        <f>IFERROR(__xludf.DUMMYFUNCTION("""COMPUTED_VALUE"""),"20/04 kunjungan ulang pengecekan feeder alih mitra ke swakelola 13/02 Pengecekan ulang Feeder MDN PT4 P7I3 TTG-FJ KOMP HAWILA RESIDENCE 3 (10/07) Feeder Habis TTG-FJ")</f>
        <v>20/04 kunjungan ulang pengecekan feeder alih mitra ke swakelola 13/02 Pengecekan ulang Feeder MDN PT4 P7I3 TTG-FJ KOMP HAWILA RESIDENCE 3 (10/07) Feeder Habis TTG-FJ</v>
      </c>
      <c r="R317" s="228"/>
      <c r="S317" s="11"/>
      <c r="T317" s="11"/>
      <c r="U317" s="11"/>
      <c r="V317" s="229"/>
      <c r="W317" s="229"/>
      <c r="X317" s="229" t="str">
        <f>IFERROR(__xludf.DUMMYFUNCTION("""COMPUTED_VALUE"""),"BELUM GOLIVE")</f>
        <v>BELUM GOLIVE</v>
      </c>
      <c r="Y317" s="229"/>
      <c r="Z317" s="229" t="str">
        <f>IFERROR(__xludf.DUMMYFUNCTION("""COMPUTED_VALUE"""),"#N/A")</f>
        <v>#N/A</v>
      </c>
      <c r="AA317" s="229"/>
      <c r="AB317" s="229"/>
      <c r="AC317" s="229"/>
      <c r="AD317" s="232"/>
      <c r="AE317" s="233"/>
      <c r="AF317" s="54"/>
      <c r="AG317" s="54"/>
      <c r="AH317" s="54"/>
      <c r="AI317" s="55" t="str">
        <f t="shared" si="47"/>
        <v/>
      </c>
      <c r="AW317" s="234"/>
      <c r="BP317" s="11"/>
      <c r="BQ317" s="11"/>
      <c r="BR317" s="235"/>
      <c r="BV317" s="158"/>
      <c r="BY317" s="158"/>
      <c r="CB317" s="158"/>
    </row>
    <row r="318" ht="18.0" hidden="1" customHeight="1">
      <c r="A318" s="222">
        <f>IFERROR(__xludf.DUMMYFUNCTION("""COMPUTED_VALUE"""),2026.0)</f>
        <v>2026</v>
      </c>
      <c r="B318" s="221">
        <f>IFERROR(__xludf.DUMMYFUNCTION("""COMPUTED_VALUE"""),1.1447211E7)</f>
        <v>11447211</v>
      </c>
      <c r="C318" s="222" t="str">
        <f>IFERROR(__xludf.DUMMYFUNCTION("""COMPUTED_VALUE"""),"BNK-PT4-AGR-JPPTSEL-PADANGJAYA")</f>
        <v>BNK-PT4-AGR-JPPTSEL-PADANGJAYA</v>
      </c>
      <c r="D318" s="222" t="str">
        <f>IFERROR(__xludf.DUMMYFUNCTION("""COMPUTED_VALUE"""),"REGIONAL I")</f>
        <v>REGIONAL I</v>
      </c>
      <c r="E318" s="222" t="str">
        <f>IFERROR(__xludf.DUMMYFUNCTION("""COMPUTED_VALUE"""),"BENGKULU")</f>
        <v>BENGKULU</v>
      </c>
      <c r="F318" s="222" t="str">
        <f>IFERROR(__xludf.DUMMYFUNCTION("""COMPUTED_VALUE"""),"AGR")</f>
        <v>AGR</v>
      </c>
      <c r="G318" s="222" t="str">
        <f>IFERROR(__xludf.DUMMYFUNCTION("""COMPUTED_VALUE"""),"SUMBAGSEL")</f>
        <v>SUMBAGSEL</v>
      </c>
      <c r="H318" s="222" t="str">
        <f>IFERROR(__xludf.DUMMYFUNCTION("""COMPUTED_VALUE"""),"BENGKULU")</f>
        <v>BENGKULU</v>
      </c>
      <c r="I318" s="222" t="str">
        <f>IFERROR(__xludf.DUMMYFUNCTION("""COMPUTED_VALUE"""),"Batch 2")</f>
        <v>Batch 2</v>
      </c>
      <c r="J318" s="225">
        <f>IFERROR(__xludf.DUMMYFUNCTION("""COMPUTED_VALUE"""),19.0)</f>
        <v>19</v>
      </c>
      <c r="K318" s="224">
        <f>IFERROR(__xludf.DUMMYFUNCTION("""COMPUTED_VALUE"""),152.0)</f>
        <v>152</v>
      </c>
      <c r="L318" s="226">
        <f>IFERROR(__xludf.DUMMYFUNCTION("""COMPUTED_VALUE"""),1495280.0)</f>
        <v>1495280</v>
      </c>
      <c r="M318" s="227">
        <f>IFERROR(__xludf.DUMMYFUNCTION("""COMPUTED_VALUE"""),2.27282457E8)</f>
        <v>227282457</v>
      </c>
      <c r="N318" s="222" t="str">
        <f>IFERROR(__xludf.DUMMYFUNCTION("""COMPUTED_VALUE"""),"PT TELAGA RESTU ABADI")</f>
        <v>PT TELAGA RESTU ABADI</v>
      </c>
      <c r="O318" s="222" t="str">
        <f>IFERROR(__xludf.DUMMYFUNCTION("""COMPUTED_VALUE"""),"7. GOLIVE")</f>
        <v>7. GOLIVE</v>
      </c>
      <c r="P318" s="222" t="str">
        <f>IFERROR(__xludf.DUMMYFUNCTION("""COMPUTED_VALUE"""),"7.2 Golive Full / OA / DONE OTB")</f>
        <v>7.2 Golive Full / OA / DONE OTB</v>
      </c>
      <c r="Q318" s="222" t="str">
        <f>IFERROR(__xludf.DUMMYFUNCTION("""COMPUTED_VALUE"""),"12/04: sudah setor ADB // 10/04: proses valins // 09/04: proses integrasi /, masih discovery // 01/04 :  Plan jadwal integrasi 09 April // 31/03 : Menunggu jadwal integrasi // 27/03 : Pekerjaan Sudah Finish Instalasi. menunggu Mini OLT Ready // 06/03 : me"&amp;"nunggu permit rilis untuk masuk site // 04/03 : Selesai FIsik menunggu pembangunan mini olt belum ready// 26/02: progres instal ODP= 17pcs/23pcs // 25/02: Cor tiang dan progres instal ODP= 11pcs/23pcs, kendala menunggu instalasi mini OLT // 24/02: finish "&amp;"penarikan kabel, Cor tiang dan progres instal ODP  // 23/02: finish penanaman tiang, penarikan kabel distribusi 2 // 22/02: penanaman tiang 78btg/81btg // 21/02: penanaman tiang 58btg/81btg // 20/02: menunggu OLT. Pengambilan Kabel Feeder 48 ke gudang par"&amp;"alel lanjut penarikan kabel 24c= 1.691m/3.332m // 19/02 // 18/02 : Penarikan kabel 12 Dist 2 // 17/02: finish penarikan kabel 12 core // 16/02 : Penarikan kabel 24 Distribusi 01 : 1691 m finish // 14/02: penggalian lobang dan tanam tiang 38btg/81btg, plan"&amp;" besok lanjut ngecat dan tanam tiang // 13/02: lanjut cat tiang dan tanam tiang ( tanah berbatu ) // 12/02: cat tiang 50 batang, tanam tiang 12 batang // 12/02: gali lobang dan pengecatan tiang // 11/02 : Plan Matdel hari ini 11/02 // 10/02 : Plan Matdel "&amp;"11/02 // 09/02: Proses PR/PO //08/02://07/02://06/02: menunggu KHS baru untuk proses PR/PO // 05/02://03/02: konfirmasi TIF, menunggu keputusan HO TIF terkait kenaikan cpp hasil anwizing senilai ( 1,495,279 ) dan redesain penambahan kabel dan odp perminta"&amp;"an dari pak kades // 30/01 : Sudah Setor andwidjzing // 28/01 : pembuatan hasil anwidjzing, pengurusan sitack ODC // 22/01 : Izin 1 kades belum ketemu // 20/01 : Survey selesai tinggal Pengurusan Izin SITAC // 19/01 : proses anwidjzing (Survey selesai tin"&amp;"ggal Pengurusan Izin SITAC) // 14/01 : Done Survey // 13/01 : Survvey Lapangan // (07/01) Persiapan"" dengan ""(19/2) progress pengelasan frame HH dan tutup HH (18/2) tarik kabel distribusi 12D 360/360-24D 1691/3332 11/2 galian tiang 0/81 , 3600- perlu mi"&amp;"ni olt (09/02): Proses PR/PO, //08/02://07/02://06/02: menunggu KHS baru untuk proses PR/PO // 05/02://03/02: konfirmasi TIF, menunggu keputusan HO TIF terkait kenaikan cpp hasil anwizing senilai ( 1,495,279 ) dan redesain penambahan kabel dan odp permint"&amp;"aan dari pak kades // 30/01 : Sudah Setor andwidjzing // 28/01 : pembuatan hasil anwidjzing, pengurusan sitack ODC // 22/01 : Izin 1 kades  belum ketemu // 20/01 : Survey selesai tinggal Pengurusan Izin SITAC // 19/01 : proses anwidjzing (Survey selesai t"&amp;"inggal Pengurusan Izin SITAC) // 14/01 : Done Survey // 13/01 : Survvey Lapangan // (07/01) Persiapan")</f>
        <v>12/04: sudah setor ADB // 10/04: proses valins // 09/04: proses integrasi /, masih discovery // 01/04 :  Plan jadwal integrasi 09 April // 31/03 : Menunggu jadwal integrasi // 27/03 : Pekerjaan Sudah Finish Instalasi. menunggu Mini OLT Ready // 06/03 : menunggu permit rilis untuk masuk site // 04/03 : Selesai FIsik menunggu pembangunan mini olt belum ready// 26/02: progres instal ODP= 17pcs/23pcs // 25/02: Cor tiang dan progres instal ODP= 11pcs/23pcs, kendala menunggu instalasi mini OLT // 24/02: finish penarikan kabel, Cor tiang dan progres instal ODP  // 23/02: finish penanaman tiang, penarikan kabel distribusi 2 // 22/02: penanaman tiang 78btg/81btg // 21/02: penanaman tiang 58btg/81btg // 20/02: menunggu OLT. Pengambilan Kabel Feeder 48 ke gudang paralel lanjut penarikan kabel 24c= 1.691m/3.332m // 19/02 // 18/02 : Penarikan kabel 12 Dist 2 // 17/02: finish penarikan kabel 12 core // 16/02 : Penarikan kabel 24 Distribusi 01 : 1691 m finish // 14/02: penggalian lobang dan tanam tiang 38btg/81btg, plan besok lanjut ngecat dan tanam tiang // 13/02: lanjut cat tiang dan tanam tiang ( tanah berbatu ) // 12/02: cat tiang 50 batang, tanam tiang 12 batang // 12/02: gali lobang dan pengecatan tiang // 11/02 : Plan Matdel hari ini 11/02 // 10/02 : Plan Matdel 11/02 // 09/02: Proses PR/PO //08/02://07/02://06/02: menunggu KHS baru untuk proses PR/PO // 05/02://03/02: konfirmasi TIF, menunggu keputusan HO TIF terkait kenaikan cpp hasil anwizing senilai ( 1,495,279 ) dan redesain penambahan kabel dan odp permintaan dari pak kades // 30/01 : Sudah Setor andwidjzing // 28/01 : pembuatan hasil anwidjzing, pengurusan sitack ODC // 22/01 : Izin 1 kades belum ketemu // 20/01 : Survey selesai tinggal Pengurusan Izin SITAC // 19/01 : proses anwidjzing (Survey selesai tinggal Pengurusan Izin SITAC) // 14/01 : Done Survey // 13/01 : Survvey Lapangan // (07/01) Persiapan" dengan "(19/2) progress pengelasan frame HH dan tutup HH (18/2) tarik kabel distribusi 12D 360/360-24D 1691/3332 11/2 galian tiang 0/81 , 3600- perlu mini olt (09/02): Proses PR/PO, //08/02://07/02://06/02: menunggu KHS baru untuk proses PR/PO // 05/02://03/02: konfirmasi TIF, menunggu keputusan HO TIF terkait kenaikan cpp hasil anwizing senilai ( 1,495,279 ) dan redesain penambahan kabel dan odp permintaan dari pak kades // 30/01 : Sudah Setor andwidjzing // 28/01 : pembuatan hasil anwidjzing, pengurusan sitack ODC // 22/01 : Izin 1 kades  belum ketemu // 20/01 : Survey selesai tinggal Pengurusan Izin SITAC // 19/01 : proses anwidjzing (Survey selesai tinggal Pengurusan Izin SITAC) // 14/01 : Done Survey // 13/01 : Survvey Lapangan // (07/01) Persiapan</v>
      </c>
      <c r="R318" s="228">
        <f>IFERROR(__xludf.DUMMYFUNCTION("""COMPUTED_VALUE"""),46124.0)</f>
        <v>46124</v>
      </c>
      <c r="S318" s="11" t="str">
        <f>IFERROR(__xludf.DUMMYFUNCTION("""COMPUTED_VALUE"""),"APR")</f>
        <v>APR</v>
      </c>
      <c r="T318" s="73" t="str">
        <f>IFERROR(__xludf.DUMMYFUNCTION("""COMPUTED_VALUE"""),"P1")</f>
        <v>P1</v>
      </c>
      <c r="U318" s="11" t="str">
        <f>IFERROR(__xludf.DUMMYFUNCTION("""COMPUTED_VALUE"""),"TIF-3066/2026")</f>
        <v>TIF-3066/2026</v>
      </c>
      <c r="V318" s="229" t="str">
        <f>IFERROR(__xludf.DUMMYFUNCTION("""COMPUTED_VALUE"""),"Bobbi Jalu")</f>
        <v>Bobbi Jalu</v>
      </c>
      <c r="W318" s="229"/>
      <c r="X318" s="229" t="str">
        <f>IFERROR(__xludf.DUMMYFUNCTION("""COMPUTED_VALUE"""),"GOLIVE")</f>
        <v>GOLIVE</v>
      </c>
      <c r="Y318" s="229" t="str">
        <f>IFERROR(__xludf.DUMMYFUNCTION("""COMPUTED_VALUE"""),"DONE")</f>
        <v>DONE</v>
      </c>
      <c r="Z318" s="229"/>
      <c r="AA318" s="229">
        <f>IFERROR(__xludf.DUMMYFUNCTION("""COMPUTED_VALUE"""),23.0)</f>
        <v>23</v>
      </c>
      <c r="AB318" s="229"/>
      <c r="AC318" s="229" t="str">
        <f>IFERROR(__xludf.DUMMYFUNCTION("""COMPUTED_VALUE"""),"9250834#9250839")</f>
        <v>9250834#9250839</v>
      </c>
      <c r="AD318" s="232">
        <f>IFERROR(__xludf.DUMMYFUNCTION("""COMPUTED_VALUE"""),184.0)</f>
        <v>184</v>
      </c>
      <c r="AE318" s="233">
        <f>IFERROR(__xludf.DUMMYFUNCTION("""COMPUTED_VALUE"""),46124.0)</f>
        <v>46124</v>
      </c>
      <c r="AF318" s="54"/>
      <c r="AG318" s="54"/>
      <c r="AH318" s="54">
        <v>46124.0</v>
      </c>
      <c r="AI318" s="237">
        <f>AH318-NOW()</f>
        <v>-16.37798988</v>
      </c>
      <c r="AJ318" s="229" t="str">
        <f>if(AI318&gt;=0,"Gl in Komitmen","Gl out Komitmen")</f>
        <v>Gl out Komitmen</v>
      </c>
      <c r="AK318" s="231" t="s">
        <v>199</v>
      </c>
      <c r="AW318" s="234"/>
      <c r="BP318" s="11"/>
      <c r="BQ318" s="11"/>
      <c r="BR318" s="235"/>
      <c r="BV318" s="158"/>
      <c r="BY318" s="158"/>
      <c r="CB318" s="158"/>
    </row>
    <row r="319" ht="18.0" customHeight="1">
      <c r="A319" s="222">
        <f>IFERROR(__xludf.DUMMYFUNCTION("""COMPUTED_VALUE"""),2026.0)</f>
        <v>2026</v>
      </c>
      <c r="B319" s="221">
        <f>IFERROR(__xludf.DUMMYFUNCTION("""COMPUTED_VALUE"""),1.124314E7)</f>
        <v>11243140</v>
      </c>
      <c r="C319" s="222" t="str">
        <f>IFERROR(__xludf.DUMMYFUNCTION("""COMPUTED_VALUE"""),"RKP PT3 TSEL PNI-FAE BUKIT INDAH")</f>
        <v>RKP PT3 TSEL PNI-FAE BUKIT INDAH</v>
      </c>
      <c r="D319" s="222" t="str">
        <f>IFERROR(__xludf.DUMMYFUNCTION("""COMPUTED_VALUE"""),"REGIONAL I")</f>
        <v>REGIONAL I</v>
      </c>
      <c r="E319" s="222" t="str">
        <f>IFERROR(__xludf.DUMMYFUNCTION("""COMPUTED_VALUE"""),"RIKEP")</f>
        <v>RIKEP</v>
      </c>
      <c r="F319" s="222" t="str">
        <f>IFERROR(__xludf.DUMMYFUNCTION("""COMPUTED_VALUE"""),"PNI")</f>
        <v>PNI</v>
      </c>
      <c r="G319" s="222" t="str">
        <f>IFERROR(__xludf.DUMMYFUNCTION("""COMPUTED_VALUE"""),"SUMBAGTENG")</f>
        <v>SUMBAGTENG</v>
      </c>
      <c r="H319" s="222" t="str">
        <f>IFERROR(__xludf.DUMMYFUNCTION("""COMPUTED_VALUE"""),"BATAM")</f>
        <v>BATAM</v>
      </c>
      <c r="I319" s="222" t="str">
        <f>IFERROR(__xludf.DUMMYFUNCTION("""COMPUTED_VALUE"""),"Batch 2")</f>
        <v>Batch 2</v>
      </c>
      <c r="J319" s="225">
        <f>IFERROR(__xludf.DUMMYFUNCTION("""COMPUTED_VALUE"""),3.0)</f>
        <v>3</v>
      </c>
      <c r="K319" s="224">
        <f>IFERROR(__xludf.DUMMYFUNCTION("""COMPUTED_VALUE"""),24.0)</f>
        <v>24</v>
      </c>
      <c r="L319" s="226">
        <f>IFERROR(__xludf.DUMMYFUNCTION("""COMPUTED_VALUE"""),1339375.0)</f>
        <v>1339375</v>
      </c>
      <c r="M319" s="227">
        <f>IFERROR(__xludf.DUMMYFUNCTION("""COMPUTED_VALUE"""),3.2144989E7)</f>
        <v>32144989</v>
      </c>
      <c r="N319" s="222" t="str">
        <f>IFERROR(__xludf.DUMMYFUNCTION("""COMPUTED_VALUE"""),"SWAKELOLA")</f>
        <v>SWAKELOLA</v>
      </c>
      <c r="O319" s="222" t="str">
        <f>IFERROR(__xludf.DUMMYFUNCTION("""COMPUTED_VALUE"""),"3. PERIZINAN")</f>
        <v>3. PERIZINAN</v>
      </c>
      <c r="P319" s="222" t="str">
        <f>IFERROR(__xludf.DUMMYFUNCTION("""COMPUTED_VALUE"""),"3.9 Izin Kades / Lurah / RTRW")</f>
        <v>3.9 Izin Kades / Lurah / RTRW</v>
      </c>
      <c r="Q319" s="222" t="str">
        <f>IFERROR(__xludf.DUMMYFUNCTION("""COMPUTED_VALUE"""),"23/04 RT meminta 2 jt.  masih menunggu acc RW.
07/04 sudah di datangi RT nya tapi masih belum mau di kasih keputusan, di lokasi sudah ada provider lain . 
28/03 belum ada balasan izin dari perangkat. 04/03 Peralihan mitra karena MP PT Global visindo sudah"&amp;" fokus ke tematik lain. 09/02 core OK, proses perizinan.  28/01 plan survey 29 Jan.   21/01 Plan survey tanggal 23 Jan 2026")</f>
        <v>23/04 RT meminta 2 jt.  masih menunggu acc RW.
07/04 sudah di datangi RT nya tapi masih belum mau di kasih keputusan, di lokasi sudah ada provider lain . 
28/03 belum ada balasan izin dari perangkat. 04/03 Peralihan mitra karena MP PT Global visindo sudah fokus ke tematik lain. 09/02 core OK, proses perizinan.  28/01 plan survey 29 Jan.   21/01 Plan survey tanggal 23 Jan 2026</v>
      </c>
      <c r="R319" s="228"/>
      <c r="S319" s="11"/>
      <c r="T319" s="11"/>
      <c r="U319" s="11" t="str">
        <f>IFERROR(__xludf.DUMMYFUNCTION("""COMPUTED_VALUE"""),"W09-290/2026")</f>
        <v>W09-290/2026</v>
      </c>
      <c r="V319" s="229" t="str">
        <f>IFERROR(__xludf.DUMMYFUNCTION("""COMPUTED_VALUE"""),"GANI PRASTYO")</f>
        <v>GANI PRASTYO</v>
      </c>
      <c r="W319" s="229" t="str">
        <f>IFERROR(__xludf.DUMMYFUNCTION("""COMPUTED_VALUE"""),"LEVITA INDRIYANI")</f>
        <v>LEVITA INDRIYANI</v>
      </c>
      <c r="X319" s="229" t="str">
        <f>IFERROR(__xludf.DUMMYFUNCTION("""COMPUTED_VALUE"""),"BELUM GOLIVE")</f>
        <v>BELUM GOLIVE</v>
      </c>
      <c r="Y319" s="229"/>
      <c r="Z319" s="229" t="str">
        <f>IFERROR(__xludf.DUMMYFUNCTION("""COMPUTED_VALUE"""),"#N/A")</f>
        <v>#N/A</v>
      </c>
      <c r="AA319" s="229"/>
      <c r="AB319" s="229"/>
      <c r="AC319" s="229"/>
      <c r="AD319" s="232"/>
      <c r="AE319" s="233"/>
      <c r="AF319" s="54"/>
      <c r="AG319" s="54"/>
      <c r="AH319" s="54">
        <v>46142.0</v>
      </c>
      <c r="AI319" s="55">
        <f>AH319-TODAY()</f>
        <v>2</v>
      </c>
      <c r="AJ319" s="229" t="str">
        <f>if(AI319&gt;=0,"In Komitmen","Out Komitmen")</f>
        <v>In Komitmen</v>
      </c>
      <c r="AK319" s="231" t="s">
        <v>199</v>
      </c>
      <c r="AW319" s="234"/>
      <c r="BP319" s="11"/>
      <c r="BQ319" s="11"/>
      <c r="BR319" s="235"/>
      <c r="BV319" s="158"/>
      <c r="BY319" s="158"/>
      <c r="CB319" s="158"/>
    </row>
    <row r="320" ht="18.0" hidden="1" customHeight="1">
      <c r="A320" s="222">
        <f>IFERROR(__xludf.DUMMYFUNCTION("""COMPUTED_VALUE"""),2026.0)</f>
        <v>2026</v>
      </c>
      <c r="B320" s="221">
        <f>IFERROR(__xludf.DUMMYFUNCTION("""COMPUTED_VALUE"""),1.2445172E7)</f>
        <v>12445172</v>
      </c>
      <c r="C320" s="222" t="str">
        <f>IFERROR(__xludf.DUMMYFUNCTION("""COMPUTED_VALUE"""),"LPG PT3 JPP MD KOTA BDL_38512_47807 KDT")</f>
        <v>LPG PT3 JPP MD KOTA BDL_38512_47807 KDT</v>
      </c>
      <c r="D320" s="222" t="str">
        <f>IFERROR(__xludf.DUMMYFUNCTION("""COMPUTED_VALUE"""),"REGIONAL I")</f>
        <v>REGIONAL I</v>
      </c>
      <c r="E320" s="222" t="str">
        <f>IFERROR(__xludf.DUMMYFUNCTION("""COMPUTED_VALUE"""),"LAMPUNG")</f>
        <v>LAMPUNG</v>
      </c>
      <c r="F320" s="222" t="str">
        <f>IFERROR(__xludf.DUMMYFUNCTION("""COMPUTED_VALUE"""),"KDT")</f>
        <v>KDT</v>
      </c>
      <c r="G320" s="222" t="str">
        <f>IFERROR(__xludf.DUMMYFUNCTION("""COMPUTED_VALUE"""),"SUMBAGSEL")</f>
        <v>SUMBAGSEL</v>
      </c>
      <c r="H320" s="222" t="str">
        <f>IFERROR(__xludf.DUMMYFUNCTION("""COMPUTED_VALUE"""),"LAMPUNG")</f>
        <v>LAMPUNG</v>
      </c>
      <c r="I320" s="222" t="str">
        <f>IFERROR(__xludf.DUMMYFUNCTION("""COMPUTED_VALUE"""),"Batch 2")</f>
        <v>Batch 2</v>
      </c>
      <c r="J320" s="225">
        <f>IFERROR(__xludf.DUMMYFUNCTION("""COMPUTED_VALUE"""),7.0)</f>
        <v>7</v>
      </c>
      <c r="K320" s="224">
        <f>IFERROR(__xludf.DUMMYFUNCTION("""COMPUTED_VALUE"""),56.0)</f>
        <v>56</v>
      </c>
      <c r="L320" s="226">
        <f>IFERROR(__xludf.DUMMYFUNCTION("""COMPUTED_VALUE"""),1338128.0)</f>
        <v>1338128</v>
      </c>
      <c r="M320" s="227">
        <f>IFERROR(__xludf.DUMMYFUNCTION("""COMPUTED_VALUE"""),7.4935115E7)</f>
        <v>74935115</v>
      </c>
      <c r="N320" s="222" t="str">
        <f>IFERROR(__xludf.DUMMYFUNCTION("""COMPUTED_VALUE"""),"PT BANGTELINDO")</f>
        <v>PT BANGTELINDO</v>
      </c>
      <c r="O320" s="222" t="str">
        <f>IFERROR(__xludf.DUMMYFUNCTION("""COMPUTED_VALUE"""),"0. DROP")</f>
        <v>0. DROP</v>
      </c>
      <c r="P320" s="222" t="str">
        <f>IFERROR(__xludf.DUMMYFUNCTION("""COMPUTED_VALUE"""),"0.2 Tidak Dapat Izin Warga/Kades/Lurah/Developer")</f>
        <v>0.2 Tidak Dapat Izin Warga/Kades/Lurah/Developer</v>
      </c>
      <c r="Q320" s="222" t="str">
        <f>IFERROR(__xludf.DUMMYFUNCTION("""COMPUTED_VALUE"""),"6/2 lurah meminta surat diperkim ,kominfo dll 
4/2 perhitungan cpp redesain jalur 
28/1 re desain  jalur dan titik odp karna port odc tersedia 6 port  dari kebtuhan 
21/1 re desain  jalur dan titik odp karna port odc tersedia 6 port  dari kebtuhan 9 
19/1"&amp;" proses pengacekan core dan perizinan")</f>
        <v>6/2 lurah meminta surat diperkim ,kominfo dll 
4/2 perhitungan cpp redesain jalur 
28/1 re desain  jalur dan titik odp karna port odc tersedia 6 port  dari kebtuhan 
21/1 re desain  jalur dan titik odp karna port odc tersedia 6 port  dari kebtuhan 9 
19/1 proses pengacekan core dan perizinan</v>
      </c>
      <c r="R320" s="228"/>
      <c r="S320" s="11"/>
      <c r="T320" s="11"/>
      <c r="U320" s="11"/>
      <c r="V320" s="229"/>
      <c r="W320" s="229"/>
      <c r="X320" s="229" t="str">
        <f>IFERROR(__xludf.DUMMYFUNCTION("""COMPUTED_VALUE"""),"BELUM GOLIVE")</f>
        <v>BELUM GOLIVE</v>
      </c>
      <c r="Y320" s="229"/>
      <c r="Z320" s="229" t="str">
        <f>IFERROR(__xludf.DUMMYFUNCTION("""COMPUTED_VALUE"""),"#N/A")</f>
        <v>#N/A</v>
      </c>
      <c r="AA320" s="229"/>
      <c r="AB320" s="229"/>
      <c r="AC320" s="229"/>
      <c r="AD320" s="232"/>
      <c r="AE320" s="233"/>
      <c r="AF320" s="54" t="str">
        <f>IFERROR(__xludf.DUMMYFUNCTION("""COMPUTED_VALUE"""),"Draft BA DROP")</f>
        <v>Draft BA DROP</v>
      </c>
      <c r="AG320" s="54"/>
      <c r="AH320" s="54"/>
      <c r="AI320" s="55" t="str">
        <f t="shared" ref="AI320:AI333" si="48">IF(OR(R320="",AE320=""),"",R320-AE320)</f>
        <v/>
      </c>
      <c r="AW320" s="234"/>
      <c r="BP320" s="11"/>
      <c r="BQ320" s="11"/>
      <c r="BR320" s="235"/>
      <c r="BV320" s="158"/>
      <c r="BY320" s="158"/>
      <c r="CB320" s="158"/>
    </row>
    <row r="321" ht="18.0" hidden="1" customHeight="1">
      <c r="A321" s="222">
        <f>IFERROR(__xludf.DUMMYFUNCTION("""COMPUTED_VALUE"""),2026.0)</f>
        <v>2026</v>
      </c>
      <c r="B321" s="221">
        <f>IFERROR(__xludf.DUMMYFUNCTION("""COMPUTED_VALUE"""),1.2383567E7)</f>
        <v>12383567</v>
      </c>
      <c r="C321" s="222" t="str">
        <f>IFERROR(__xludf.DUMMYFUNCTION("""COMPUTED_VALUE"""),"SMS P4I3 PT3 PLJ FBQ D04 TIRTOSARI PART2")</f>
        <v>SMS P4I3 PT3 PLJ FBQ D04 TIRTOSARI PART2</v>
      </c>
      <c r="D321" s="222" t="str">
        <f>IFERROR(__xludf.DUMMYFUNCTION("""COMPUTED_VALUE"""),"REGIONAL I")</f>
        <v>REGIONAL I</v>
      </c>
      <c r="E321" s="222" t="str">
        <f>IFERROR(__xludf.DUMMYFUNCTION("""COMPUTED_VALUE"""),"SUMSEL")</f>
        <v>SUMSEL</v>
      </c>
      <c r="F321" s="222" t="str">
        <f>IFERROR(__xludf.DUMMYFUNCTION("""COMPUTED_VALUE"""),"PLJ")</f>
        <v>PLJ</v>
      </c>
      <c r="G321" s="222" t="str">
        <f>IFERROR(__xludf.DUMMYFUNCTION("""COMPUTED_VALUE"""),"SUMBAGSEL")</f>
        <v>SUMBAGSEL</v>
      </c>
      <c r="H321" s="222" t="str">
        <f>IFERROR(__xludf.DUMMYFUNCTION("""COMPUTED_VALUE"""),"PALEMBANG")</f>
        <v>PALEMBANG</v>
      </c>
      <c r="I321" s="222" t="str">
        <f>IFERROR(__xludf.DUMMYFUNCTION("""COMPUTED_VALUE"""),"Batch 2")</f>
        <v>Batch 2</v>
      </c>
      <c r="J321" s="225">
        <f>IFERROR(__xludf.DUMMYFUNCTION("""COMPUTED_VALUE"""),7.0)</f>
        <v>7</v>
      </c>
      <c r="K321" s="224">
        <f>IFERROR(__xludf.DUMMYFUNCTION("""COMPUTED_VALUE"""),56.0)</f>
        <v>56</v>
      </c>
      <c r="L321" s="226">
        <f>IFERROR(__xludf.DUMMYFUNCTION("""COMPUTED_VALUE"""),1336034.0)</f>
        <v>1336034</v>
      </c>
      <c r="M321" s="227">
        <f>IFERROR(__xludf.DUMMYFUNCTION("""COMPUTED_VALUE"""),7.4817883E7)</f>
        <v>74817883</v>
      </c>
      <c r="N321" s="222" t="str">
        <f>IFERROR(__xludf.DUMMYFUNCTION("""COMPUTED_VALUE"""),"PT ACERO CETHA METALINDO")</f>
        <v>PT ACERO CETHA METALINDO</v>
      </c>
      <c r="O321" s="222" t="str">
        <f>IFERROR(__xludf.DUMMYFUNCTION("""COMPUTED_VALUE"""),"0. DROP")</f>
        <v>0. DROP</v>
      </c>
      <c r="P321" s="222" t="str">
        <f>IFERROR(__xludf.DUMMYFUNCTION("""COMPUTED_VALUE"""),"0.4 CPP Tinggi Acc ED TIF")</f>
        <v>0.4 CPP Tinggi Acc ED TIF</v>
      </c>
      <c r="Q321" s="222" t="str">
        <f>IFERROR(__xludf.DUMMYFUNCTION("""COMPUTED_VALUE"""),"23/02 DROP BOQ NAIK DARI PLAN SEBESAR 30% DAN ADA COMCASE DENGAN KADES - SDH ADA BA DROP, 06/02 DROP, KARENA KESEPAKATAN TSLE UNTUK MSUK D BATCH SELANJUTNYA UNTK PAKE BOQ HASIL AANWIZJING, 03/02 DONE EVAL, HOLD KARENA NILAI CPP 1,6 DAN KENAIKAN NILAI BOQ "&amp;"NAIK 30% DARI NILAI PLAN) 04/02 DONE EVAL, HOLD KARENA NILAI CPP 1,6 DAN KENAIKAN NILAI BOQ NAIK 30% DARI NILAI PLAN, 27/01 MENUNGGU EVAL, 22/01 AANWIDJZING, (15/1) ORDER DITERIMA MITRA 14/1, plan Aanwijdzing 19 Jan (06/01)order JPP batch-2 2026 ((14/11)H"&amp;"OLD- tidak masuk target Optimis 2025 (14/11 menunggu jadwal aanwidzjing, (11/11) Penunjukkan MITRA oleh Procurement")</f>
        <v>23/02 DROP BOQ NAIK DARI PLAN SEBESAR 30% DAN ADA COMCASE DENGAN KADES - SDH ADA BA DROP, 06/02 DROP, KARENA KESEPAKATAN TSLE UNTUK MSUK D BATCH SELANJUTNYA UNTK PAKE BOQ HASIL AANWIZJING, 03/02 DONE EVAL, HOLD KARENA NILAI CPP 1,6 DAN KENAIKAN NILAI BOQ NAIK 30% DARI NILAI PLAN) 04/02 DONE EVAL, HOLD KARENA NILAI CPP 1,6 DAN KENAIKAN NILAI BOQ NAIK 30% DARI NILAI PLAN, 27/01 MENUNGGU EVAL, 22/01 AANWIDJZING, (15/1) ORDER DITERIMA MITRA 14/1, plan Aanwijdzing 19 Jan (06/01)order JPP batch-2 2026 ((14/11)HOLD- tidak masuk target Optimis 2025 (14/11 menunggu jadwal aanwidzjing, (11/11) Penunjukkan MITRA oleh Procurement</v>
      </c>
      <c r="R321" s="228"/>
      <c r="S321" s="11"/>
      <c r="T321" s="11"/>
      <c r="U321" s="11"/>
      <c r="V321" s="229" t="str">
        <f>IFERROR(__xludf.DUMMYFUNCTION("""COMPUTED_VALUE"""),"PRIGUS")</f>
        <v>PRIGUS</v>
      </c>
      <c r="W321" s="229"/>
      <c r="X321" s="229" t="str">
        <f>IFERROR(__xludf.DUMMYFUNCTION("""COMPUTED_VALUE"""),"BELUM GOLIVE")</f>
        <v>BELUM GOLIVE</v>
      </c>
      <c r="Y321" s="229"/>
      <c r="Z321" s="229" t="str">
        <f>IFERROR(__xludf.DUMMYFUNCTION("""COMPUTED_VALUE"""),"#N/A")</f>
        <v>#N/A</v>
      </c>
      <c r="AA321" s="229"/>
      <c r="AB321" s="229"/>
      <c r="AC321" s="229"/>
      <c r="AD321" s="232"/>
      <c r="AE321" s="233"/>
      <c r="AF321" s="54" t="str">
        <f>IFERROR(__xludf.DUMMYFUNCTION("""COMPUTED_VALUE"""),"Draft BA DROP")</f>
        <v>Draft BA DROP</v>
      </c>
      <c r="AG321" s="54"/>
      <c r="AH321" s="54"/>
      <c r="AI321" s="55" t="str">
        <f t="shared" si="48"/>
        <v/>
      </c>
      <c r="AW321" s="234"/>
      <c r="BP321" s="11"/>
      <c r="BQ321" s="11"/>
      <c r="BR321" s="235"/>
      <c r="BV321" s="158"/>
      <c r="BY321" s="158"/>
      <c r="CB321" s="158"/>
    </row>
    <row r="322" ht="18.0" hidden="1" customHeight="1">
      <c r="A322" s="222">
        <f>IFERROR(__xludf.DUMMYFUNCTION("""COMPUTED_VALUE"""),2026.0)</f>
        <v>2026</v>
      </c>
      <c r="B322" s="221">
        <f>IFERROR(__xludf.DUMMYFUNCTION("""COMPUTED_VALUE"""),1.1800726E7)</f>
        <v>11800726</v>
      </c>
      <c r="C322" s="222" t="str">
        <f>IFERROR(__xludf.DUMMYFUNCTION("""COMPUTED_VALUE"""),"LPG PT4 JPP AIR NANINGAN CSF TGP")</f>
        <v>LPG PT4 JPP AIR NANINGAN CSF TGP</v>
      </c>
      <c r="D322" s="222" t="str">
        <f>IFERROR(__xludf.DUMMYFUNCTION("""COMPUTED_VALUE"""),"REGIONAL I")</f>
        <v>REGIONAL I</v>
      </c>
      <c r="E322" s="222" t="str">
        <f>IFERROR(__xludf.DUMMYFUNCTION("""COMPUTED_VALUE"""),"LAMPUNG")</f>
        <v>LAMPUNG</v>
      </c>
      <c r="F322" s="222" t="str">
        <f>IFERROR(__xludf.DUMMYFUNCTION("""COMPUTED_VALUE"""),"TGP")</f>
        <v>TGP</v>
      </c>
      <c r="G322" s="222" t="str">
        <f>IFERROR(__xludf.DUMMYFUNCTION("""COMPUTED_VALUE"""),"SUMBAGSEL")</f>
        <v>SUMBAGSEL</v>
      </c>
      <c r="H322" s="222" t="str">
        <f>IFERROR(__xludf.DUMMYFUNCTION("""COMPUTED_VALUE"""),"LAMPUNG")</f>
        <v>LAMPUNG</v>
      </c>
      <c r="I322" s="222" t="str">
        <f>IFERROR(__xludf.DUMMYFUNCTION("""COMPUTED_VALUE"""),"Batch 2")</f>
        <v>Batch 2</v>
      </c>
      <c r="J322" s="225">
        <f>IFERROR(__xludf.DUMMYFUNCTION("""COMPUTED_VALUE"""),36.0)</f>
        <v>36</v>
      </c>
      <c r="K322" s="224">
        <f>IFERROR(__xludf.DUMMYFUNCTION("""COMPUTED_VALUE"""),280.0)</f>
        <v>280</v>
      </c>
      <c r="L322" s="226">
        <f>IFERROR(__xludf.DUMMYFUNCTION("""COMPUTED_VALUE"""),1335870.0)</f>
        <v>1335870</v>
      </c>
      <c r="M322" s="227">
        <f>IFERROR(__xludf.DUMMYFUNCTION("""COMPUTED_VALUE"""),3.74043322E8)</f>
        <v>374043322</v>
      </c>
      <c r="N322" s="222" t="str">
        <f>IFERROR(__xludf.DUMMYFUNCTION("""COMPUTED_VALUE"""),"PT GARINDO TECHNO MANDIRI")</f>
        <v>PT GARINDO TECHNO MANDIRI</v>
      </c>
      <c r="O322" s="222" t="str">
        <f>IFERROR(__xludf.DUMMYFUNCTION("""COMPUTED_VALUE"""),"0. DROP")</f>
        <v>0. DROP</v>
      </c>
      <c r="P322" s="222" t="str">
        <f>IFERROR(__xludf.DUMMYFUNCTION("""COMPUTED_VALUE"""),"0.4 CPP Tinggi Acc ED TIF")</f>
        <v>0.4 CPP Tinggi Acc ED TIF</v>
      </c>
      <c r="Q322" s="222" t="str">
        <f>IFERROR(__xludf.DUMMYFUNCTION("""COMPUTED_VALUE"""),"28/4 belum boleh di lanjut dengan tif di karnakan belum ada po karna new olt 
24/4 plan matdel 27/4, 20/4 proses perizinan ulang, 17/4 plan matdel 18 apr , 16/4 Done PR PO , proses matdel - butuh new mini OLT 06/04 Proses PR PO 2/4 proses pengajuan pr/po,"&amp;" 25/3 proses penagjauan pr/po 13/3 proses penagjauan pr/po 27/2 proses penagjauan pr/po 25/2 PENGECEKAN MINI OLT, 23/2 hold kendala OLT di status Terakhir 18/2 Konfirmasi ke tif 14/1 butuh penambahan mini OLT")</f>
        <v>28/4 belum boleh di lanjut dengan tif di karnakan belum ada po karna new olt 
24/4 plan matdel 27/4, 20/4 proses perizinan ulang, 17/4 plan matdel 18 apr , 16/4 Done PR PO , proses matdel - butuh new mini OLT 06/04 Proses PR PO 2/4 proses pengajuan pr/po, 25/3 proses penagjauan pr/po 13/3 proses penagjauan pr/po 27/2 proses penagjauan pr/po 25/2 PENGECEKAN MINI OLT, 23/2 hold kendala OLT di status Terakhir 18/2 Konfirmasi ke tif 14/1 butuh penambahan mini OLT</v>
      </c>
      <c r="R322" s="228"/>
      <c r="S322" s="11" t="str">
        <f>IFERROR(__xludf.DUMMYFUNCTION("""COMPUTED_VALUE"""),"MEI")</f>
        <v>MEI</v>
      </c>
      <c r="T322" s="11" t="str">
        <f>IFERROR(__xludf.DUMMYFUNCTION("""COMPUTED_VALUE"""),"P1")</f>
        <v>P1</v>
      </c>
      <c r="U322" s="11" t="str">
        <f>IFERROR(__xludf.DUMMYFUNCTION("""COMPUTED_VALUE"""),"TIF-6108/2026")</f>
        <v>TIF-6108/2026</v>
      </c>
      <c r="V322" s="229"/>
      <c r="W322" s="229"/>
      <c r="X322" s="229" t="str">
        <f>IFERROR(__xludf.DUMMYFUNCTION("""COMPUTED_VALUE"""),"BELUM GOLIVE")</f>
        <v>BELUM GOLIVE</v>
      </c>
      <c r="Y322" s="229" t="str">
        <f>IFERROR(__xludf.DUMMYFUNCTION("""COMPUTED_VALUE"""),"PORT OLT Penuh")</f>
        <v>PORT OLT Penuh</v>
      </c>
      <c r="Z322" s="229" t="str">
        <f>IFERROR(__xludf.DUMMYFUNCTION("""COMPUTED_VALUE"""),"#N/A")</f>
        <v>#N/A</v>
      </c>
      <c r="AA322" s="229"/>
      <c r="AB322" s="229"/>
      <c r="AC322" s="229"/>
      <c r="AD322" s="232"/>
      <c r="AE322" s="233"/>
      <c r="AF322" s="54"/>
      <c r="AG322" s="54"/>
      <c r="AH322" s="54"/>
      <c r="AI322" s="55" t="str">
        <f t="shared" si="48"/>
        <v/>
      </c>
      <c r="AW322" s="234"/>
      <c r="BP322" s="11"/>
      <c r="BQ322" s="11"/>
      <c r="BR322" s="235"/>
      <c r="BV322" s="158"/>
      <c r="BY322" s="158"/>
      <c r="CB322" s="158"/>
    </row>
    <row r="323" ht="18.0" hidden="1" customHeight="1">
      <c r="A323" s="222">
        <f>IFERROR(__xludf.DUMMYFUNCTION("""COMPUTED_VALUE"""),2026.0)</f>
        <v>2026</v>
      </c>
      <c r="B323" s="221">
        <f>IFERROR(__xludf.DUMMYFUNCTION("""COMPUTED_VALUE"""),1.1447505E7)</f>
        <v>11447505</v>
      </c>
      <c r="C323" s="222" t="str">
        <f>IFERROR(__xludf.DUMMYFUNCTION("""COMPUTED_VALUE"""),"SMS P3I1 PT3 PLJ FK D04 ALZAFA RESIDENCE")</f>
        <v>SMS P3I1 PT3 PLJ FK D04 ALZAFA RESIDENCE</v>
      </c>
      <c r="D323" s="222" t="str">
        <f>IFERROR(__xludf.DUMMYFUNCTION("""COMPUTED_VALUE"""),"REGIONAL I")</f>
        <v>REGIONAL I</v>
      </c>
      <c r="E323" s="222" t="str">
        <f>IFERROR(__xludf.DUMMYFUNCTION("""COMPUTED_VALUE"""),"SUMSEL")</f>
        <v>SUMSEL</v>
      </c>
      <c r="F323" s="222" t="str">
        <f>IFERROR(__xludf.DUMMYFUNCTION("""COMPUTED_VALUE"""),"PLJ")</f>
        <v>PLJ</v>
      </c>
      <c r="G323" s="222" t="str">
        <f>IFERROR(__xludf.DUMMYFUNCTION("""COMPUTED_VALUE"""),"SUMBAGSEL")</f>
        <v>SUMBAGSEL</v>
      </c>
      <c r="H323" s="222" t="str">
        <f>IFERROR(__xludf.DUMMYFUNCTION("""COMPUTED_VALUE"""),"PALEMBANG")</f>
        <v>PALEMBANG</v>
      </c>
      <c r="I323" s="222" t="str">
        <f>IFERROR(__xludf.DUMMYFUNCTION("""COMPUTED_VALUE"""),"Batch 2")</f>
        <v>Batch 2</v>
      </c>
      <c r="J323" s="225">
        <f>IFERROR(__xludf.DUMMYFUNCTION("""COMPUTED_VALUE"""),6.0)</f>
        <v>6</v>
      </c>
      <c r="K323" s="224">
        <f>IFERROR(__xludf.DUMMYFUNCTION("""COMPUTED_VALUE"""),48.0)</f>
        <v>48</v>
      </c>
      <c r="L323" s="226">
        <f>IFERROR(__xludf.DUMMYFUNCTION("""COMPUTED_VALUE"""),1335244.0)</f>
        <v>1335244</v>
      </c>
      <c r="M323" s="227">
        <f>IFERROR(__xludf.DUMMYFUNCTION("""COMPUTED_VALUE"""),6.4091678E7)</f>
        <v>64091678</v>
      </c>
      <c r="N323" s="222" t="str">
        <f>IFERROR(__xludf.DUMMYFUNCTION("""COMPUTED_VALUE"""),"PT ACERO CETHA METALINDO")</f>
        <v>PT ACERO CETHA METALINDO</v>
      </c>
      <c r="O323" s="222" t="str">
        <f>IFERROR(__xludf.DUMMYFUNCTION("""COMPUTED_VALUE"""),"7. GOLIVE")</f>
        <v>7. GOLIVE</v>
      </c>
      <c r="P323" s="222" t="str">
        <f>IFERROR(__xludf.DUMMYFUNCTION("""COMPUTED_VALUE"""),"7.2 Golive Full / OA / DONE OTB")</f>
        <v>7.2 Golive Full / OA / DONE OTB</v>
      </c>
      <c r="Q323" s="222" t="str">
        <f>IFERROR(__xludf.DUMMYFUNCTION("""COMPUTED_VALUE"""),"13/04 Proses Penarikan kabel. pararel instal ODP 09/04 lanjut tarik kabel 08/04 OGP tanam tiang, 07/04 MATDEL, 06/04 DONE INPUT MATERIAL - LANJUT MATDEL, 01/04 PROSES INPUT MATERIAL - KENDALA OVER BUDGET, 31/03 PERIZINAN OKE - LANJUT INPUT MATERIAL, 30/03"&amp;" HARI INI MEMASTIKAN IZIN DEVELOPER DAN RT, 27/03 LANJUT KOORDINASI DG TIM MITRA TERKAIT PENGAMBILAN MATERIAL - DONE PERIZINAN, 26/03 PROGRESS PERIZIINAN BERSAMA TIM SALES - MASIH KOORDINASI DG MITRA TERKAIT JADWAL BON MATERIAL, 25/03 MASIH KOORDINASI DG "&amp;"MITRA TERKAIT JADWAL BON MATERIAL, 24/03 DONE PR PO, 21/03 MENUNGGU PR PO, 17/03 DONE DRM, 13/03 LANJUT DRM, 03/03 MEMASTIKAN IZIN DG DEVELOPER, 06/02 HASIL EVAL TSEL, TA DAN SALES KE LAPANGAN URUS COMCASE DAN PERIZINAN, 03/02 DONE EVAL, HOLD DI LOKASI KE"&amp;"TUA KOMPLEK MEMINTA KOMPENSASI 3 JT, DAN NILAI CPP 1,8JT, DAN ADA KENAIKAN 16% DARI NILAI PLAN, (27/01) done aawnjizngm di lokasi ketua komplek meminta kompensasi 3 jt, dan sedang berkoordinasi dg HCOT untuk ada penambahan odp di lapangan biar cpp masuk, "&amp;"03/02 DONE EVAL, HOLD DI LOKASI KETUA KOMPLEK MEMINTA KOMPENSASI 3 JT, DAN NILAI CPP 1,8JT, DAN ADA KENAIKAN 16% DARI NILAI PLAN, (27/01) done aawnjizngm di lokasi ketua komplek meminta kompensasi 3 jt, dan sedang berkoordinasi dg HCOT untuk ada penambaha"&amp;"n odp di lapangan biar cpp masuk,(15/1) ORDER DITERIMA MITRA 14/1, plan Aanwijdzing 19 Jan (06/01)order JPP batch-2 2026 (18/11 DROP, 17/11 prelim developer 3jt, penambahan kabel 320m, TB nambah 6, ODP kurang 1, (14/11) plan kunjungan bersama tim sales 15"&amp;" nov 12/11 masih kendala perizinan, 11/11 masih nunggu perizinan (08/11) core idle ready , proses izin lanjut senin 10 nov (5/11) baru selesai aanwidzjing 23/10 penunjukan mitra")</f>
        <v>13/04 Proses Penarikan kabel. pararel instal ODP 09/04 lanjut tarik kabel 08/04 OGP tanam tiang, 07/04 MATDEL, 06/04 DONE INPUT MATERIAL - LANJUT MATDEL, 01/04 PROSES INPUT MATERIAL - KENDALA OVER BUDGET, 31/03 PERIZINAN OKE - LANJUT INPUT MATERIAL, 30/03 HARI INI MEMASTIKAN IZIN DEVELOPER DAN RT, 27/03 LANJUT KOORDINASI DG TIM MITRA TERKAIT PENGAMBILAN MATERIAL - DONE PERIZINAN, 26/03 PROGRESS PERIZIINAN BERSAMA TIM SALES - MASIH KOORDINASI DG MITRA TERKAIT JADWAL BON MATERIAL, 25/03 MASIH KOORDINASI DG MITRA TERKAIT JADWAL BON MATERIAL, 24/03 DONE PR PO, 21/03 MENUNGGU PR PO, 17/03 DONE DRM, 13/03 LANJUT DRM, 03/03 MEMASTIKAN IZIN DG DEVELOPER, 06/02 HASIL EVAL TSEL, TA DAN SALES KE LAPANGAN URUS COMCASE DAN PERIZINAN, 03/02 DONE EVAL, HOLD DI LOKASI KETUA KOMPLEK MEMINTA KOMPENSASI 3 JT, DAN NILAI CPP 1,8JT, DAN ADA KENAIKAN 16% DARI NILAI PLAN, (27/01) done aawnjizngm di lokasi ketua komplek meminta kompensasi 3 jt, dan sedang berkoordinasi dg HCOT untuk ada penambahan odp di lapangan biar cpp masuk, 03/02 DONE EVAL, HOLD DI LOKASI KETUA KOMPLEK MEMINTA KOMPENSASI 3 JT, DAN NILAI CPP 1,8JT, DAN ADA KENAIKAN 16% DARI NILAI PLAN, (27/01) done aawnjizngm di lokasi ketua komplek meminta kompensasi 3 jt, dan sedang berkoordinasi dg HCOT untuk ada penambahan odp di lapangan biar cpp masuk,(15/1) ORDER DITERIMA MITRA 14/1, plan Aanwijdzing 19 Jan (06/01)order JPP batch-2 2026 (18/11 DROP, 17/11 prelim developer 3jt, penambahan kabel 320m, TB nambah 6, ODP kurang 1, (14/11) plan kunjungan bersama tim sales 15 nov 12/11 masih kendala perizinan, 11/11 masih nunggu perizinan (08/11) core idle ready , proses izin lanjut senin 10 nov (5/11) baru selesai aanwidzjing 23/10 penunjukan mitra</v>
      </c>
      <c r="R323" s="228">
        <f>IFERROR(__xludf.DUMMYFUNCTION("""COMPUTED_VALUE"""),46129.0)</f>
        <v>46129</v>
      </c>
      <c r="S323" s="11" t="str">
        <f>IFERROR(__xludf.DUMMYFUNCTION("""COMPUTED_VALUE"""),"APR")</f>
        <v>APR</v>
      </c>
      <c r="T323" s="73" t="str">
        <f>IFERROR(__xludf.DUMMYFUNCTION("""COMPUTED_VALUE"""),"P1")</f>
        <v>P1</v>
      </c>
      <c r="U323" s="11"/>
      <c r="V323" s="229" t="str">
        <f>IFERROR(__xludf.DUMMYFUNCTION("""COMPUTED_VALUE"""),"PRIGUS")</f>
        <v>PRIGUS</v>
      </c>
      <c r="W323" s="229"/>
      <c r="X323" s="229" t="str">
        <f>IFERROR(__xludf.DUMMYFUNCTION("""COMPUTED_VALUE"""),"GOLIVE")</f>
        <v>GOLIVE</v>
      </c>
      <c r="Y323" s="229" t="str">
        <f>IFERROR(__xludf.DUMMYFUNCTION("""COMPUTED_VALUE"""),"DONE")</f>
        <v>DONE</v>
      </c>
      <c r="Z323" s="229" t="str">
        <f>IFERROR(__xludf.DUMMYFUNCTION("""COMPUTED_VALUE"""),"#N/A")</f>
        <v>#N/A</v>
      </c>
      <c r="AA323" s="229">
        <f>IFERROR(__xludf.DUMMYFUNCTION("""COMPUTED_VALUE"""),5.0)</f>
        <v>5</v>
      </c>
      <c r="AB323" s="229"/>
      <c r="AC323" s="229" t="str">
        <f>IFERROR(__xludf.DUMMYFUNCTION("""COMPUTED_VALUE"""),"9090885#9090890")</f>
        <v>9090885#9090890</v>
      </c>
      <c r="AD323" s="232">
        <f>IFERROR(__xludf.DUMMYFUNCTION("""COMPUTED_VALUE"""),40.0)</f>
        <v>40</v>
      </c>
      <c r="AE323" s="233">
        <f>IFERROR(__xludf.DUMMYFUNCTION("""COMPUTED_VALUE"""),46129.0)</f>
        <v>46129</v>
      </c>
      <c r="AF323" s="54"/>
      <c r="AG323" s="54"/>
      <c r="AH323" s="54">
        <v>46141.0</v>
      </c>
      <c r="AI323" s="55">
        <f t="shared" si="48"/>
        <v>0</v>
      </c>
      <c r="AW323" s="234"/>
      <c r="BP323" s="11"/>
      <c r="BQ323" s="11"/>
      <c r="BR323" s="235"/>
      <c r="BV323" s="158"/>
      <c r="BY323" s="158"/>
      <c r="CB323" s="158"/>
    </row>
    <row r="324" ht="18.0" hidden="1" customHeight="1">
      <c r="A324" s="222">
        <f>IFERROR(__xludf.DUMMYFUNCTION("""COMPUTED_VALUE"""),2026.0)</f>
        <v>2026</v>
      </c>
      <c r="B324" s="221">
        <f>IFERROR(__xludf.DUMMYFUNCTION("""COMPUTED_VALUE"""),1.1868387E7)</f>
        <v>11868387</v>
      </c>
      <c r="C324" s="222" t="str">
        <f>IFERROR(__xludf.DUMMYFUNCTION("""COMPUTED_VALUE"""),"SMS P4I1 PT4 PBI FXX DESA MERANTI")</f>
        <v>SMS P4I1 PT4 PBI FXX DESA MERANTI</v>
      </c>
      <c r="D324" s="222" t="str">
        <f>IFERROR(__xludf.DUMMYFUNCTION("""COMPUTED_VALUE"""),"REGIONAL I")</f>
        <v>REGIONAL I</v>
      </c>
      <c r="E324" s="222" t="str">
        <f>IFERROR(__xludf.DUMMYFUNCTION("""COMPUTED_VALUE"""),"SUMSEL")</f>
        <v>SUMSEL</v>
      </c>
      <c r="F324" s="222" t="str">
        <f>IFERROR(__xludf.DUMMYFUNCTION("""COMPUTED_VALUE"""),"PBI")</f>
        <v>PBI</v>
      </c>
      <c r="G324" s="222" t="str">
        <f>IFERROR(__xludf.DUMMYFUNCTION("""COMPUTED_VALUE"""),"SUMBAGSEL")</f>
        <v>SUMBAGSEL</v>
      </c>
      <c r="H324" s="222" t="str">
        <f>IFERROR(__xludf.DUMMYFUNCTION("""COMPUTED_VALUE"""),"PALEMBANG")</f>
        <v>PALEMBANG</v>
      </c>
      <c r="I324" s="222" t="str">
        <f>IFERROR(__xludf.DUMMYFUNCTION("""COMPUTED_VALUE"""),"Batch 2")</f>
        <v>Batch 2</v>
      </c>
      <c r="J324" s="225">
        <f>IFERROR(__xludf.DUMMYFUNCTION("""COMPUTED_VALUE"""),22.0)</f>
        <v>22</v>
      </c>
      <c r="K324" s="224">
        <f>IFERROR(__xludf.DUMMYFUNCTION("""COMPUTED_VALUE"""),168.0)</f>
        <v>168</v>
      </c>
      <c r="L324" s="226">
        <f>IFERROR(__xludf.DUMMYFUNCTION("""COMPUTED_VALUE"""),1124081.0)</f>
        <v>1124081</v>
      </c>
      <c r="M324" s="227">
        <f>IFERROR(__xludf.DUMMYFUNCTION("""COMPUTED_VALUE"""),1.88845558E8)</f>
        <v>188845558</v>
      </c>
      <c r="N324" s="222" t="str">
        <f>IFERROR(__xludf.DUMMYFUNCTION("""COMPUTED_VALUE"""),"PT MAJU JAYA TEKNOLOGI")</f>
        <v>PT MAJU JAYA TEKNOLOGI</v>
      </c>
      <c r="O324" s="222" t="str">
        <f>IFERROR(__xludf.DUMMYFUNCTION("""COMPUTED_VALUE"""),"2. DONE AANWIJZING")</f>
        <v>2. DONE AANWIJZING</v>
      </c>
      <c r="P324" s="222" t="str">
        <f>IFERROR(__xludf.DUMMYFUNCTION("""COMPUTED_VALUE"""),"2.10 Kendala - Feeder Rusak")</f>
        <v>2.10 Kendala - Feeder Rusak</v>
      </c>
      <c r="Q324" s="222" t="str">
        <f>IFERROR(__xludf.DUMMYFUNCTION("""COMPUTED_VALUE"""),"27/04 MASIH MENUNGGU KUNCI SITE DAN TPAS, 24/04 MASIH MENUNGGU KUNCI SITE DAN TPAS, 13/04 Sedang Menunggu kunci dan tipas untuk melakukan pengukuran di eksisting 09/06 MASIH PROGRESS REDESIGN,, MENUNGGU PENGUKURAN BERSAMA TIM MTC, 30/03 PROGRESS REDESIGN,"&amp;", MENUNGGU PENGUKURAN BERSAMA TIM MTC, 25/03 PROGRESS REDESIGN, 21/03 PENCARIAN CORE, 16/03 MASIH MENCARI CORE, 12/03 PROGRESS CEK UPLINK DAN KEBUTUHAN QE, 06/03 HASIL REVIEW TIF - PASTIKAN HITUNG QE, 28/2 Riview TIF 2 Mar 26/02 MEMASTIKAN CORE DI TEMPORE"&amp;"RAN DI JALAN TOL,  25/02 MEMASTIKAN CORE DI TEMPORERAN DI JALAN TOL, 06/02 HASIL REVIEW TSEL NEED FU TIF UTK QE FEEDER RUAS NASIONAL,  04/02 DONE EVAL, HOLD, ADA KENAIKAN SEBESAR 6 % DARI BOQ PLAM, CPP1,195 JT, TETAPI KABEL 24 UNTK NODE B EXT NYA CACAT AK"&amp;"IBAT PEMBANGUNAN JALAN TOL D AREA TSB, DAN INFO HISTORIS DARI TIM MTC KABEL 144 EXT NODE B BUTUH QE D RUAS JALAN PU NASIONAL, 15/01 menunggu jadwal aanwijzing dg mitra 04/02 DONE EVAL, HOLD, ADA KENAIKAN SEBESAR 6 % DARI BOQ PLAM, CPP1,195 JT, TETAPI KABE"&amp;"L 24 UNTK NODE B EXT NYA CACAT AKIBAT PEMBANGUNAN JALAN TOL D AREA TSB, DAN INFO HISTORIS DARI TIM MTC KABEL 144 EXT NODE B BUTUH QE D RUAS JALAN PU NASIONAL, 30/01 PROSES AANWIDJZING, 27/01 PERIZINAN OK - tidak bisa survey ke dalam site PBI 085 karna tid"&amp;"ak ada kunci dan tidak ada kontak jps ny, (26/1) tim TIF belum bisa EVAL hasil anwijzing karena lagi diluar kota , estimasi 29 jan baru kembali ke Palembang(24/1) plan aawijdizng 26/1 (21/01) menunggu antrian aanwizjing, (20/1) MJT setuju(15/1) ORDER DITE"&amp;"RIMA 14/1 ,PLAN AANWIJDZING 21 JAN 26 (06/01)order JPP batch-2 2026 ((26/11) ORDER HOLD , FLAGGING ""TIDAK LANJUT DARI PED"" (25/11 MJT setuju, 24/11 penunjukkan mitra MJT, (14/11) MItra MJS blm ambil pekerjaan baru terkait close pekerjaan lama , LOP juga"&amp;" tidak masuk list optimis close 2025 ( (13/11) Masih Penunjukkan MITRA (11/11) Penunjukkan MITRA oleh Procurement 3/11 mitra YOFC ditunjung sebagai mitra LOP ini 23/10 mitra triputra menolak ambil lop ini, saat ini lagi penunjukan mitra baru 
 15/10 belum"&amp;" ada jadwal aanwizjing
 (08/10) menunggu jadwal aanwizjing
 (01/10) menunggu jadwal aanwizjing
 (19/09) penjadwalan untuk aanizjing
 14/01 Surat lanjut kerja oleh procurement")</f>
        <v>27/04 MASIH MENUNGGU KUNCI SITE DAN TPAS, 24/04 MASIH MENUNGGU KUNCI SITE DAN TPAS, 13/04 Sedang Menunggu kunci dan tipas untuk melakukan pengukuran di eksisting 09/06 MASIH PROGRESS REDESIGN,, MENUNGGU PENGUKURAN BERSAMA TIM MTC, 30/03 PROGRESS REDESIGN,, MENUNGGU PENGUKURAN BERSAMA TIM MTC, 25/03 PROGRESS REDESIGN, 21/03 PENCARIAN CORE, 16/03 MASIH MENCARI CORE, 12/03 PROGRESS CEK UPLINK DAN KEBUTUHAN QE, 06/03 HASIL REVIEW TIF - PASTIKAN HITUNG QE, 28/2 Riview TIF 2 Mar 26/02 MEMASTIKAN CORE DI TEMPORERAN DI JALAN TOL,  25/02 MEMASTIKAN CORE DI TEMPORERAN DI JALAN TOL, 06/02 HASIL REVIEW TSEL NEED FU TIF UTK QE FEEDER RUAS NASIONAL,  04/02 DONE EVAL, HOLD, ADA KENAIKAN SEBESAR 6 % DARI BOQ PLAM, CPP1,195 JT, TETAPI KABEL 24 UNTK NODE B EXT NYA CACAT AKIBAT PEMBANGUNAN JALAN TOL D AREA TSB, DAN INFO HISTORIS DARI TIM MTC KABEL 144 EXT NODE B BUTUH QE D RUAS JALAN PU NASIONAL, 15/01 menunggu jadwal aanwijzing dg mitra 04/02 DONE EVAL, HOLD, ADA KENAIKAN SEBESAR 6 % DARI BOQ PLAM, CPP1,195 JT, TETAPI KABEL 24 UNTK NODE B EXT NYA CACAT AKIBAT PEMBANGUNAN JALAN TOL D AREA TSB, DAN INFO HISTORIS DARI TIM MTC KABEL 144 EXT NODE B BUTUH QE D RUAS JALAN PU NASIONAL, 30/01 PROSES AANWIDJZING, 27/01 PERIZINAN OK - tidak bisa survey ke dalam site PBI 085 karna tidak ada kunci dan tidak ada kontak jps ny, (26/1) tim TIF belum bisa EVAL hasil anwijzing karena lagi diluar kota , estimasi 29 jan baru kembali ke Palembang(24/1) plan aawijdizng 26/1 (21/01) menunggu antrian aanwizjing, (20/1) MJT setuju(15/1) ORDER DITERIMA 14/1 ,PLAN AANWIJDZING 21 JAN 26 (06/01)order JPP batch-2 2026 ((26/11) ORDER HOLD , FLAGGING "TIDAK LANJUT DARI PED" (25/11 MJT setuju, 24/11 penunjukkan mitra MJT, (14/11) MItra MJS blm ambil pekerjaan baru terkait close pekerjaan lama , LOP juga tidak masuk list optimis close 2025 ( (13/11) Masih Penunjukkan MITRA (11/11) Penunjukkan MITRA oleh Procurement 3/11 mitra YOFC ditunjung sebagai mitra LOP ini 23/10 mitra triputra menolak ambil lop ini, saat ini lagi penunjukan mitra baru 
 15/10 belum ada jadwal aanwizjing
 (08/10) menunggu jadwal aanwizjing
 (01/10) menunggu jadwal aanwizjing
 (19/09) penjadwalan untuk aanizjing
 14/01 Surat lanjut kerja oleh procurement</v>
      </c>
      <c r="R324" s="228"/>
      <c r="S324" s="11"/>
      <c r="T324" s="11"/>
      <c r="U324" s="11"/>
      <c r="V324" s="229" t="str">
        <f>IFERROR(__xludf.DUMMYFUNCTION("""COMPUTED_VALUE"""),"TEGAR")</f>
        <v>TEGAR</v>
      </c>
      <c r="W324" s="229"/>
      <c r="X324" s="229" t="str">
        <f>IFERROR(__xludf.DUMMYFUNCTION("""COMPUTED_VALUE"""),"BELUM GOLIVE")</f>
        <v>BELUM GOLIVE</v>
      </c>
      <c r="Y324" s="229"/>
      <c r="Z324" s="229"/>
      <c r="AA324" s="229"/>
      <c r="AB324" s="229"/>
      <c r="AC324" s="229"/>
      <c r="AD324" s="232"/>
      <c r="AE324" s="233"/>
      <c r="AF324" s="54"/>
      <c r="AG324" s="54"/>
      <c r="AH324" s="54"/>
      <c r="AI324" s="55" t="str">
        <f t="shared" si="48"/>
        <v/>
      </c>
      <c r="AW324" s="234"/>
      <c r="BP324" s="11"/>
      <c r="BQ324" s="11"/>
      <c r="BR324" s="235"/>
      <c r="BV324" s="158"/>
      <c r="BY324" s="158"/>
      <c r="CB324" s="158"/>
    </row>
    <row r="325" ht="18.0" hidden="1" customHeight="1">
      <c r="A325" s="222">
        <f>IFERROR(__xludf.DUMMYFUNCTION("""COMPUTED_VALUE"""),2026.0)</f>
        <v>2026</v>
      </c>
      <c r="B325" s="221">
        <f>IFERROR(__xludf.DUMMYFUNCTION("""COMPUTED_VALUE"""),1.151622E7)</f>
        <v>11516220</v>
      </c>
      <c r="C325" s="222" t="str">
        <f>IFERROR(__xludf.DUMMYFUNCTION("""COMPUTED_VALUE"""),"ACH PT3 BPD-FC D09 SUSOH BANDAR")</f>
        <v>ACH PT3 BPD-FC D09 SUSOH BANDAR</v>
      </c>
      <c r="D325" s="222" t="str">
        <f>IFERROR(__xludf.DUMMYFUNCTION("""COMPUTED_VALUE"""),"REGIONAL I")</f>
        <v>REGIONAL I</v>
      </c>
      <c r="E325" s="222" t="str">
        <f>IFERROR(__xludf.DUMMYFUNCTION("""COMPUTED_VALUE"""),"ACEH")</f>
        <v>ACEH</v>
      </c>
      <c r="F325" s="222" t="str">
        <f>IFERROR(__xludf.DUMMYFUNCTION("""COMPUTED_VALUE"""),"BPD")</f>
        <v>BPD</v>
      </c>
      <c r="G325" s="222" t="str">
        <f>IFERROR(__xludf.DUMMYFUNCTION("""COMPUTED_VALUE"""),"SUMBAGUT")</f>
        <v>SUMBAGUT</v>
      </c>
      <c r="H325" s="222" t="str">
        <f>IFERROR(__xludf.DUMMYFUNCTION("""COMPUTED_VALUE"""),"BANDA ACEH")</f>
        <v>BANDA ACEH</v>
      </c>
      <c r="I325" s="222" t="str">
        <f>IFERROR(__xludf.DUMMYFUNCTION("""COMPUTED_VALUE"""),"Batch 2")</f>
        <v>Batch 2</v>
      </c>
      <c r="J325" s="225">
        <f>IFERROR(__xludf.DUMMYFUNCTION("""COMPUTED_VALUE"""),13.0)</f>
        <v>13</v>
      </c>
      <c r="K325" s="224">
        <f>IFERROR(__xludf.DUMMYFUNCTION("""COMPUTED_VALUE"""),104.0)</f>
        <v>104</v>
      </c>
      <c r="L325" s="226">
        <f>IFERROR(__xludf.DUMMYFUNCTION("""COMPUTED_VALUE"""),1335052.0)</f>
        <v>1335052</v>
      </c>
      <c r="M325" s="227">
        <f>IFERROR(__xludf.DUMMYFUNCTION("""COMPUTED_VALUE"""),1.38845375E8)</f>
        <v>138845375</v>
      </c>
      <c r="N325" s="222" t="str">
        <f>IFERROR(__xludf.DUMMYFUNCTION("""COMPUTED_VALUE"""),"PT NIAGA NUSANTARA DIVA")</f>
        <v>PT NIAGA NUSANTARA DIVA</v>
      </c>
      <c r="O325" s="222" t="str">
        <f>IFERROR(__xludf.DUMMYFUNCTION("""COMPUTED_VALUE"""),"5. INSTALASI")</f>
        <v>5. INSTALASI</v>
      </c>
      <c r="P325" s="222" t="str">
        <f>IFERROR(__xludf.DUMMYFUNCTION("""COMPUTED_VALUE"""),"5.9 Proses Pemasangan/Terminasi ODP/OTB")</f>
        <v>5.9 Proses Pemasangan/Terminasi ODP/OTB</v>
      </c>
      <c r="Q325" s="222" t="str">
        <f>IFERROR(__xludf.DUMMYFUNCTION("""COMPUTED_VALUE"""),"(23/04) Proses Terminasi (21/04) Penarikan Kabel (10/04) Tanam Tiang (03/03) PO Material (29/01) proses survey (07/01) Persiapan")</f>
        <v>(23/04) Proses Terminasi (21/04) Penarikan Kabel (10/04) Tanam Tiang (03/03) PO Material (29/01) proses survey (07/01) Persiapan</v>
      </c>
      <c r="R325" s="228">
        <f>IFERROR(__xludf.DUMMYFUNCTION("""COMPUTED_VALUE"""),46141.0)</f>
        <v>46141</v>
      </c>
      <c r="S325" s="11" t="str">
        <f>IFERROR(__xludf.DUMMYFUNCTION("""COMPUTED_VALUE"""),"APR")</f>
        <v>APR</v>
      </c>
      <c r="T325" s="73"/>
      <c r="U325" s="11"/>
      <c r="V325" s="229"/>
      <c r="W325" s="229" t="str">
        <f>IFERROR(__xludf.DUMMYFUNCTION("""COMPUTED_VALUE"""),"#N/A")</f>
        <v>#N/A</v>
      </c>
      <c r="X325" s="229" t="str">
        <f>IFERROR(__xludf.DUMMYFUNCTION("""COMPUTED_VALUE"""),"BELUM GOLIVE")</f>
        <v>BELUM GOLIVE</v>
      </c>
      <c r="Y325" s="229"/>
      <c r="Z325" s="229" t="str">
        <f>IFERROR(__xludf.DUMMYFUNCTION("""COMPUTED_VALUE"""),"#N/A")</f>
        <v>#N/A</v>
      </c>
      <c r="AA325" s="229"/>
      <c r="AB325" s="229"/>
      <c r="AC325" s="229"/>
      <c r="AD325" s="232"/>
      <c r="AE325" s="233"/>
      <c r="AF325" s="54"/>
      <c r="AG325" s="54"/>
      <c r="AH325" s="54">
        <v>46134.0</v>
      </c>
      <c r="AI325" s="55" t="str">
        <f t="shared" si="48"/>
        <v/>
      </c>
      <c r="AW325" s="234"/>
      <c r="BP325" s="11"/>
      <c r="BQ325" s="11"/>
      <c r="BR325" s="235"/>
      <c r="BV325" s="158"/>
      <c r="BY325" s="158"/>
      <c r="CB325" s="158"/>
    </row>
    <row r="326" ht="18.0" customHeight="1">
      <c r="A326" s="222">
        <f>IFERROR(__xludf.DUMMYFUNCTION("""COMPUTED_VALUE"""),2026.0)</f>
        <v>2026</v>
      </c>
      <c r="B326" s="221">
        <f>IFERROR(__xludf.DUMMYFUNCTION("""COMPUTED_VALUE"""),1.209308E7)</f>
        <v>12093080</v>
      </c>
      <c r="C326" s="222" t="str">
        <f>IFERROR(__xludf.DUMMYFUNCTION("""COMPUTED_VALUE"""),"RKP TSEL PT3 PNI-FAL KOTA BATAM_9339")</f>
        <v>RKP TSEL PT3 PNI-FAL KOTA BATAM_9339</v>
      </c>
      <c r="D326" s="222" t="str">
        <f>IFERROR(__xludf.DUMMYFUNCTION("""COMPUTED_VALUE"""),"REGIONAL I")</f>
        <v>REGIONAL I</v>
      </c>
      <c r="E326" s="222" t="str">
        <f>IFERROR(__xludf.DUMMYFUNCTION("""COMPUTED_VALUE"""),"RIKEP")</f>
        <v>RIKEP</v>
      </c>
      <c r="F326" s="222" t="str">
        <f>IFERROR(__xludf.DUMMYFUNCTION("""COMPUTED_VALUE"""),"PNI")</f>
        <v>PNI</v>
      </c>
      <c r="G326" s="222" t="str">
        <f>IFERROR(__xludf.DUMMYFUNCTION("""COMPUTED_VALUE"""),"SUMBAGTENG")</f>
        <v>SUMBAGTENG</v>
      </c>
      <c r="H326" s="222" t="str">
        <f>IFERROR(__xludf.DUMMYFUNCTION("""COMPUTED_VALUE"""),"BATAM")</f>
        <v>BATAM</v>
      </c>
      <c r="I326" s="222" t="str">
        <f>IFERROR(__xludf.DUMMYFUNCTION("""COMPUTED_VALUE"""),"Batch 2")</f>
        <v>Batch 2</v>
      </c>
      <c r="J326" s="225">
        <f>IFERROR(__xludf.DUMMYFUNCTION("""COMPUTED_VALUE"""),10.0)</f>
        <v>10</v>
      </c>
      <c r="K326" s="224">
        <f>IFERROR(__xludf.DUMMYFUNCTION("""COMPUTED_VALUE"""),80.0)</f>
        <v>80</v>
      </c>
      <c r="L326" s="226">
        <f>IFERROR(__xludf.DUMMYFUNCTION("""COMPUTED_VALUE"""),1333711.0)</f>
        <v>1333711</v>
      </c>
      <c r="M326" s="227">
        <f>IFERROR(__xludf.DUMMYFUNCTION("""COMPUTED_VALUE"""),1.06696804E8)</f>
        <v>106696804</v>
      </c>
      <c r="N326" s="222" t="str">
        <f>IFERROR(__xludf.DUMMYFUNCTION("""COMPUTED_VALUE"""),"PT GLOBAL VISINDO")</f>
        <v>PT GLOBAL VISINDO</v>
      </c>
      <c r="O326" s="222" t="str">
        <f>IFERROR(__xludf.DUMMYFUNCTION("""COMPUTED_VALUE"""),"0. DROP")</f>
        <v>0. DROP</v>
      </c>
      <c r="P326" s="222" t="str">
        <f>IFERROR(__xludf.DUMMYFUNCTION("""COMPUTED_VALUE"""),"0.2 Tidak Dapat Izin Warga/Kades/Lurah/Developer")</f>
        <v>0.2 Tidak Dapat Izin Warga/Kades/Lurah/Developer</v>
      </c>
      <c r="Q326" s="222" t="str">
        <f>IFERROR(__xludf.DUMMYFUNCTION("""COMPUTED_VALUE"""),"09/02 Pemilik lahan meminta kompensasi 15-18 juta setiap ada project galian di lahan milik pribadi nya. 28/01 plan survey 29 Jan.   21/01 Plan survey tanggal 23 Jan 2026")</f>
        <v>09/02 Pemilik lahan meminta kompensasi 15-18 juta setiap ada project galian di lahan milik pribadi nya. 28/01 plan survey 29 Jan.   21/01 Plan survey tanggal 23 Jan 2026</v>
      </c>
      <c r="R326" s="228"/>
      <c r="S326" s="11"/>
      <c r="T326" s="11"/>
      <c r="U326" s="11"/>
      <c r="V326" s="229" t="str">
        <f>IFERROR(__xludf.DUMMYFUNCTION("""COMPUTED_VALUE"""),"GANI PRASTYO")</f>
        <v>GANI PRASTYO</v>
      </c>
      <c r="W326" s="229" t="str">
        <f>IFERROR(__xludf.DUMMYFUNCTION("""COMPUTED_VALUE"""),"LEVITA INDRIYANI")</f>
        <v>LEVITA INDRIYANI</v>
      </c>
      <c r="X326" s="229" t="str">
        <f>IFERROR(__xludf.DUMMYFUNCTION("""COMPUTED_VALUE"""),"BELUM GOLIVE")</f>
        <v>BELUM GOLIVE</v>
      </c>
      <c r="Y326" s="229"/>
      <c r="Z326" s="229" t="str">
        <f>IFERROR(__xludf.DUMMYFUNCTION("""COMPUTED_VALUE"""),"#N/A")</f>
        <v>#N/A</v>
      </c>
      <c r="AA326" s="229"/>
      <c r="AB326" s="229"/>
      <c r="AC326" s="229"/>
      <c r="AD326" s="232"/>
      <c r="AE326" s="233"/>
      <c r="AF326" s="54" t="str">
        <f>IFERROR(__xludf.DUMMYFUNCTION("""COMPUTED_VALUE"""),"Draft BA DROP")</f>
        <v>Draft BA DROP</v>
      </c>
      <c r="AG326" s="54"/>
      <c r="AH326" s="54"/>
      <c r="AI326" s="55" t="str">
        <f t="shared" si="48"/>
        <v/>
      </c>
      <c r="AW326" s="234"/>
      <c r="BP326" s="11"/>
      <c r="BQ326" s="11"/>
      <c r="BR326" s="235"/>
      <c r="BV326" s="158"/>
      <c r="BY326" s="158"/>
      <c r="CB326" s="158"/>
    </row>
    <row r="327" ht="18.0" hidden="1" customHeight="1">
      <c r="A327" s="222">
        <f>IFERROR(__xludf.DUMMYFUNCTION("""COMPUTED_VALUE"""),2026.0)</f>
        <v>2026</v>
      </c>
      <c r="B327" s="221">
        <f>IFERROR(__xludf.DUMMYFUNCTION("""COMPUTED_VALUE"""),1.1324112E7)</f>
        <v>11324112</v>
      </c>
      <c r="C327" s="222" t="str">
        <f>IFERROR(__xludf.DUMMYFUNCTION("""COMPUTED_VALUE"""),"MDN PT3 DLT-FZ JL.MUHAJIRIN I")</f>
        <v>MDN PT3 DLT-FZ JL.MUHAJIRIN I</v>
      </c>
      <c r="D327" s="222" t="str">
        <f>IFERROR(__xludf.DUMMYFUNCTION("""COMPUTED_VALUE"""),"REGIONAL I")</f>
        <v>REGIONAL I</v>
      </c>
      <c r="E327" s="222" t="str">
        <f>IFERROR(__xludf.DUMMYFUNCTION("""COMPUTED_VALUE"""),"MEDAN")</f>
        <v>MEDAN</v>
      </c>
      <c r="F327" s="222" t="str">
        <f>IFERROR(__xludf.DUMMYFUNCTION("""COMPUTED_VALUE"""),"DLT")</f>
        <v>DLT</v>
      </c>
      <c r="G327" s="222" t="str">
        <f>IFERROR(__xludf.DUMMYFUNCTION("""COMPUTED_VALUE"""),"SUMBAGUT")</f>
        <v>SUMBAGUT</v>
      </c>
      <c r="H327" s="222" t="str">
        <f>IFERROR(__xludf.DUMMYFUNCTION("""COMPUTED_VALUE"""),"MEDAN")</f>
        <v>MEDAN</v>
      </c>
      <c r="I327" s="222" t="str">
        <f>IFERROR(__xludf.DUMMYFUNCTION("""COMPUTED_VALUE"""),"Batch 2")</f>
        <v>Batch 2</v>
      </c>
      <c r="J327" s="225">
        <f>IFERROR(__xludf.DUMMYFUNCTION("""COMPUTED_VALUE"""),3.0)</f>
        <v>3</v>
      </c>
      <c r="K327" s="224">
        <f>IFERROR(__xludf.DUMMYFUNCTION("""COMPUTED_VALUE"""),24.0)</f>
        <v>24</v>
      </c>
      <c r="L327" s="226">
        <f>IFERROR(__xludf.DUMMYFUNCTION("""COMPUTED_VALUE"""),837509.0)</f>
        <v>837509</v>
      </c>
      <c r="M327" s="227">
        <f>IFERROR(__xludf.DUMMYFUNCTION("""COMPUTED_VALUE"""),2.0100205E7)</f>
        <v>20100205</v>
      </c>
      <c r="N327" s="222" t="str">
        <f>IFERROR(__xludf.DUMMYFUNCTION("""COMPUTED_VALUE"""),"PT UPENTEL INTERNASIONAL")</f>
        <v>PT UPENTEL INTERNASIONAL</v>
      </c>
      <c r="O327" s="222" t="str">
        <f>IFERROR(__xludf.DUMMYFUNCTION("""COMPUTED_VALUE"""),"0. DROP")</f>
        <v>0. DROP</v>
      </c>
      <c r="P327" s="222" t="str">
        <f>IFERROR(__xludf.DUMMYFUNCTION("""COMPUTED_VALUE"""),"0.2 Tidak Dapat Izin Warga/Kades/Lurah/Developer")</f>
        <v>0.2 Tidak Dapat Izin Warga/Kades/Lurah/Developer</v>
      </c>
      <c r="Q327" s="222" t="str">
        <f>IFERROR(__xludf.DUMMYFUNCTION("""COMPUTED_VALUE"""),"Tidak Ada Space Tanam Tiang (07/01) Persiapan")</f>
        <v>Tidak Ada Space Tanam Tiang (07/01) Persiapan</v>
      </c>
      <c r="R327" s="228"/>
      <c r="S327" s="11"/>
      <c r="T327" s="11"/>
      <c r="U327" s="11"/>
      <c r="V327" s="229"/>
      <c r="W327" s="229"/>
      <c r="X327" s="229" t="str">
        <f>IFERROR(__xludf.DUMMYFUNCTION("""COMPUTED_VALUE"""),"BELUM GOLIVE")</f>
        <v>BELUM GOLIVE</v>
      </c>
      <c r="Y327" s="229"/>
      <c r="Z327" s="229" t="str">
        <f>IFERROR(__xludf.DUMMYFUNCTION("""COMPUTED_VALUE"""),"#N/A")</f>
        <v>#N/A</v>
      </c>
      <c r="AA327" s="229"/>
      <c r="AB327" s="229"/>
      <c r="AC327" s="229"/>
      <c r="AD327" s="232"/>
      <c r="AE327" s="233"/>
      <c r="AF327" s="54" t="str">
        <f>IFERROR(__xludf.DUMMYFUNCTION("""COMPUTED_VALUE"""),"Draft BA DROP")</f>
        <v>Draft BA DROP</v>
      </c>
      <c r="AG327" s="54"/>
      <c r="AH327" s="54"/>
      <c r="AI327" s="55" t="str">
        <f t="shared" si="48"/>
        <v/>
      </c>
      <c r="AW327" s="234"/>
      <c r="BP327" s="11"/>
      <c r="BQ327" s="11"/>
      <c r="BR327" s="235"/>
      <c r="BV327" s="158"/>
      <c r="BY327" s="158"/>
      <c r="CB327" s="158"/>
    </row>
    <row r="328" ht="18.0" hidden="1" customHeight="1">
      <c r="A328" s="222">
        <f>IFERROR(__xludf.DUMMYFUNCTION("""COMPUTED_VALUE"""),2026.0)</f>
        <v>2026</v>
      </c>
      <c r="B328" s="221">
        <f>IFERROR(__xludf.DUMMYFUNCTION("""COMPUTED_VALUE"""),1.1422911E7)</f>
        <v>11422911</v>
      </c>
      <c r="C328" s="222" t="str">
        <f>IFERROR(__xludf.DUMMYFUNCTION("""COMPUTED_VALUE"""),"JBI-PT4+MINOL-PKB-FJ-SIMPANG KIRI")</f>
        <v>JBI-PT4+MINOL-PKB-FJ-SIMPANG KIRI</v>
      </c>
      <c r="D328" s="222" t="str">
        <f>IFERROR(__xludf.DUMMYFUNCTION("""COMPUTED_VALUE"""),"REGIONAL I")</f>
        <v>REGIONAL I</v>
      </c>
      <c r="E328" s="222" t="str">
        <f>IFERROR(__xludf.DUMMYFUNCTION("""COMPUTED_VALUE"""),"JAMBI")</f>
        <v>JAMBI</v>
      </c>
      <c r="F328" s="222" t="str">
        <f>IFERROR(__xludf.DUMMYFUNCTION("""COMPUTED_VALUE"""),"PKB")</f>
        <v>PKB</v>
      </c>
      <c r="G328" s="222" t="str">
        <f>IFERROR(__xludf.DUMMYFUNCTION("""COMPUTED_VALUE"""),"SUMBAGSEL")</f>
        <v>SUMBAGSEL</v>
      </c>
      <c r="H328" s="222" t="str">
        <f>IFERROR(__xludf.DUMMYFUNCTION("""COMPUTED_VALUE"""),"JAMBI")</f>
        <v>JAMBI</v>
      </c>
      <c r="I328" s="222" t="str">
        <f>IFERROR(__xludf.DUMMYFUNCTION("""COMPUTED_VALUE"""),"Batch 2")</f>
        <v>Batch 2</v>
      </c>
      <c r="J328" s="225">
        <f>IFERROR(__xludf.DUMMYFUNCTION("""COMPUTED_VALUE"""),39.0)</f>
        <v>39</v>
      </c>
      <c r="K328" s="224">
        <f>IFERROR(__xludf.DUMMYFUNCTION("""COMPUTED_VALUE"""),304.0)</f>
        <v>304</v>
      </c>
      <c r="L328" s="226">
        <f>IFERROR(__xludf.DUMMYFUNCTION("""COMPUTED_VALUE"""),1332074.0)</f>
        <v>1332074</v>
      </c>
      <c r="M328" s="227">
        <f>IFERROR(__xludf.DUMMYFUNCTION("""COMPUTED_VALUE"""),4.04950288E8)</f>
        <v>404950288</v>
      </c>
      <c r="N328" s="222" t="str">
        <f>IFERROR(__xludf.DUMMYFUNCTION("""COMPUTED_VALUE"""),"PT ACERO CETHA METALINDO")</f>
        <v>PT ACERO CETHA METALINDO</v>
      </c>
      <c r="O328" s="222" t="str">
        <f>IFERROR(__xludf.DUMMYFUNCTION("""COMPUTED_VALUE"""),"7. GOLIVE")</f>
        <v>7. GOLIVE</v>
      </c>
      <c r="P328" s="222" t="str">
        <f>IFERROR(__xludf.DUMMYFUNCTION("""COMPUTED_VALUE"""),"7.2 Golive Full / OA / DONE OTB")</f>
        <v>7.2 Golive Full / OA / DONE OTB</v>
      </c>
      <c r="Q328" s="222" t="str">
        <f>IFERROR(__xludf.DUMMYFUNCTION("""COMPUTED_VALUE"""),"(21/02) Golive (16/2) mini olt baru mos hari ini ,info bisa valins  19 feb (6/2) plan 11 FEB MINOL onsite (29/1) olt belum di PO , estimasi blm pasti kapan olt ready (12/1) kendala Mini OLT 7/1 FINISH INSTLASI , MENUNGGU MINI OLT (06/01)order JPP batch-2 "&amp;"2026 (02/12 tanam tiang done 150/150 01/12 gali lobang dan tanam tiang 110/150 sisa 40 17/11 proses pengurusan SITAC 10/11 MITRA ACM Fokus Pemberkasan, Proses peralihan Mitra (21/10) Mapping Mitra")</f>
        <v>(21/02) Golive (16/2) mini olt baru mos hari ini ,info bisa valins  19 feb (6/2) plan 11 FEB MINOL onsite (29/1) olt belum di PO , estimasi blm pasti kapan olt ready (12/1) kendala Mini OLT 7/1 FINISH INSTLASI , MENUNGGU MINI OLT (06/01)order JPP batch-2 2026 (02/12 tanam tiang done 150/150 01/12 gali lobang dan tanam tiang 110/150 sisa 40 17/11 proses pengurusan SITAC 10/11 MITRA ACM Fokus Pemberkasan, Proses peralihan Mitra (21/10) Mapping Mitra</v>
      </c>
      <c r="R328" s="228">
        <f>IFERROR(__xludf.DUMMYFUNCTION("""COMPUTED_VALUE"""),46074.0)</f>
        <v>46074</v>
      </c>
      <c r="S328" s="11"/>
      <c r="T328" s="11"/>
      <c r="U328" s="11"/>
      <c r="V328" s="229"/>
      <c r="W328" s="229"/>
      <c r="X328" s="229" t="str">
        <f>IFERROR(__xludf.DUMMYFUNCTION("""COMPUTED_VALUE"""),"GOLIVE")</f>
        <v>GOLIVE</v>
      </c>
      <c r="Y328" s="229" t="str">
        <f>IFERROR(__xludf.DUMMYFUNCTION("""COMPUTED_VALUE"""),"DONE")</f>
        <v>DONE</v>
      </c>
      <c r="Z328" s="229"/>
      <c r="AA328" s="229">
        <f>IFERROR(__xludf.DUMMYFUNCTION("""COMPUTED_VALUE"""),38.0)</f>
        <v>38</v>
      </c>
      <c r="AB328" s="229"/>
      <c r="AC328" s="229" t="str">
        <f>IFERROR(__xludf.DUMMYFUNCTION("""COMPUTED_VALUE"""),"9099444#9099449")</f>
        <v>9099444#9099449</v>
      </c>
      <c r="AD328" s="232">
        <f>IFERROR(__xludf.DUMMYFUNCTION("""COMPUTED_VALUE"""),304.0)</f>
        <v>304</v>
      </c>
      <c r="AE328" s="233">
        <f>IFERROR(__xludf.DUMMYFUNCTION("""COMPUTED_VALUE"""),46074.0)</f>
        <v>46074</v>
      </c>
      <c r="AF328" s="54"/>
      <c r="AG328" s="54"/>
      <c r="AH328" s="54">
        <v>46074.0</v>
      </c>
      <c r="AI328" s="55">
        <f t="shared" si="48"/>
        <v>0</v>
      </c>
      <c r="AW328" s="234"/>
      <c r="BP328" s="11"/>
      <c r="BQ328" s="11"/>
      <c r="BR328" s="235"/>
      <c r="BV328" s="158"/>
      <c r="BY328" s="158"/>
      <c r="CB328" s="158"/>
    </row>
    <row r="329" ht="18.0" hidden="1" customHeight="1">
      <c r="A329" s="222">
        <f>IFERROR(__xludf.DUMMYFUNCTION("""COMPUTED_VALUE"""),2026.0)</f>
        <v>2026</v>
      </c>
      <c r="B329" s="221">
        <f>IFERROR(__xludf.DUMMYFUNCTION("""COMPUTED_VALUE"""),1.1187627E7)</f>
        <v>11187627</v>
      </c>
      <c r="C329" s="222" t="str">
        <f>IFERROR(__xludf.DUMMYFUNCTION("""COMPUTED_VALUE"""),"MDN PT3 CTD-FCX PERUM SEJUTA BERKAH")</f>
        <v>MDN PT3 CTD-FCX PERUM SEJUTA BERKAH</v>
      </c>
      <c r="D329" s="222" t="str">
        <f>IFERROR(__xludf.DUMMYFUNCTION("""COMPUTED_VALUE"""),"REGIONAL I")</f>
        <v>REGIONAL I</v>
      </c>
      <c r="E329" s="222" t="str">
        <f>IFERROR(__xludf.DUMMYFUNCTION("""COMPUTED_VALUE"""),"MEDAN")</f>
        <v>MEDAN</v>
      </c>
      <c r="F329" s="222" t="str">
        <f>IFERROR(__xludf.DUMMYFUNCTION("""COMPUTED_VALUE"""),"CTD")</f>
        <v>CTD</v>
      </c>
      <c r="G329" s="222" t="str">
        <f>IFERROR(__xludf.DUMMYFUNCTION("""COMPUTED_VALUE"""),"SUMBAGUT")</f>
        <v>SUMBAGUT</v>
      </c>
      <c r="H329" s="222" t="str">
        <f>IFERROR(__xludf.DUMMYFUNCTION("""COMPUTED_VALUE"""),"MEDAN")</f>
        <v>MEDAN</v>
      </c>
      <c r="I329" s="222" t="str">
        <f>IFERROR(__xludf.DUMMYFUNCTION("""COMPUTED_VALUE"""),"Batch 2")</f>
        <v>Batch 2</v>
      </c>
      <c r="J329" s="225">
        <f>IFERROR(__xludf.DUMMYFUNCTION("""COMPUTED_VALUE"""),5.0)</f>
        <v>5</v>
      </c>
      <c r="K329" s="224">
        <f>IFERROR(__xludf.DUMMYFUNCTION("""COMPUTED_VALUE"""),40.0)</f>
        <v>40</v>
      </c>
      <c r="L329" s="226">
        <f>IFERROR(__xludf.DUMMYFUNCTION("""COMPUTED_VALUE"""),1331491.0)</f>
        <v>1331491</v>
      </c>
      <c r="M329" s="227">
        <f>IFERROR(__xludf.DUMMYFUNCTION("""COMPUTED_VALUE"""),5.3259601E7)</f>
        <v>53259601</v>
      </c>
      <c r="N329" s="222" t="str">
        <f>IFERROR(__xludf.DUMMYFUNCTION("""COMPUTED_VALUE"""),"PT MEDCOM SOLUTION")</f>
        <v>PT MEDCOM SOLUTION</v>
      </c>
      <c r="O329" s="222" t="str">
        <f>IFERROR(__xludf.DUMMYFUNCTION("""COMPUTED_VALUE"""),"0. DROP")</f>
        <v>0. DROP</v>
      </c>
      <c r="P329" s="222" t="str">
        <f>IFERROR(__xludf.DUMMYFUNCTION("""COMPUTED_VALUE"""),"0.4 CPP Tinggi Acc ED TIF")</f>
        <v>0.4 CPP Tinggi Acc ED TIF</v>
      </c>
      <c r="Q329" s="222" t="str">
        <f>IFERROR(__xludf.DUMMYFUNCTION("""COMPUTED_VALUE"""),"16/10 Feeder Redaman Tinggi 
16/10 Mapping Mitra")</f>
        <v>16/10 Feeder Redaman Tinggi 
16/10 Mapping Mitra</v>
      </c>
      <c r="R329" s="228"/>
      <c r="S329" s="11"/>
      <c r="T329" s="11"/>
      <c r="U329" s="11"/>
      <c r="V329" s="229"/>
      <c r="W329" s="229"/>
      <c r="X329" s="229" t="str">
        <f>IFERROR(__xludf.DUMMYFUNCTION("""COMPUTED_VALUE"""),"BELUM GOLIVE")</f>
        <v>BELUM GOLIVE</v>
      </c>
      <c r="Y329" s="229"/>
      <c r="Z329" s="229" t="str">
        <f>IFERROR(__xludf.DUMMYFUNCTION("""COMPUTED_VALUE"""),"#N/A")</f>
        <v>#N/A</v>
      </c>
      <c r="AA329" s="229"/>
      <c r="AB329" s="229"/>
      <c r="AC329" s="229"/>
      <c r="AD329" s="232"/>
      <c r="AE329" s="233"/>
      <c r="AF329" s="54" t="str">
        <f>IFERROR(__xludf.DUMMYFUNCTION("""COMPUTED_VALUE"""),"Draft BA DROP")</f>
        <v>Draft BA DROP</v>
      </c>
      <c r="AG329" s="54"/>
      <c r="AH329" s="54"/>
      <c r="AI329" s="55" t="str">
        <f t="shared" si="48"/>
        <v/>
      </c>
      <c r="AW329" s="234"/>
      <c r="BP329" s="11"/>
      <c r="BQ329" s="11"/>
      <c r="BR329" s="235"/>
      <c r="BV329" s="158"/>
      <c r="BY329" s="158"/>
      <c r="CB329" s="158"/>
    </row>
    <row r="330" ht="18.0" hidden="1" customHeight="1">
      <c r="A330" s="222">
        <f>IFERROR(__xludf.DUMMYFUNCTION("""COMPUTED_VALUE"""),2026.0)</f>
        <v>2026</v>
      </c>
      <c r="B330" s="221">
        <f>IFERROR(__xludf.DUMMYFUNCTION("""COMPUTED_VALUE"""),1.1282411E7)</f>
        <v>11282411</v>
      </c>
      <c r="C330" s="222" t="str">
        <f>IFERROR(__xludf.DUMMYFUNCTION("""COMPUTED_VALUE"""),"MDN PT3 P1I1 PDB-FAF GRIYA PERMATA 4")</f>
        <v>MDN PT3 P1I1 PDB-FAF GRIYA PERMATA 4</v>
      </c>
      <c r="D330" s="222" t="str">
        <f>IFERROR(__xludf.DUMMYFUNCTION("""COMPUTED_VALUE"""),"REGIONAL I")</f>
        <v>REGIONAL I</v>
      </c>
      <c r="E330" s="222" t="str">
        <f>IFERROR(__xludf.DUMMYFUNCTION("""COMPUTED_VALUE"""),"MEDAN")</f>
        <v>MEDAN</v>
      </c>
      <c r="F330" s="222" t="str">
        <f>IFERROR(__xludf.DUMMYFUNCTION("""COMPUTED_VALUE"""),"PDB")</f>
        <v>PDB</v>
      </c>
      <c r="G330" s="222" t="str">
        <f>IFERROR(__xludf.DUMMYFUNCTION("""COMPUTED_VALUE"""),"SUMBAGUT")</f>
        <v>SUMBAGUT</v>
      </c>
      <c r="H330" s="222" t="str">
        <f>IFERROR(__xludf.DUMMYFUNCTION("""COMPUTED_VALUE"""),"MEDAN")</f>
        <v>MEDAN</v>
      </c>
      <c r="I330" s="222" t="str">
        <f>IFERROR(__xludf.DUMMYFUNCTION("""COMPUTED_VALUE"""),"Batch 2")</f>
        <v>Batch 2</v>
      </c>
      <c r="J330" s="225">
        <f>IFERROR(__xludf.DUMMYFUNCTION("""COMPUTED_VALUE"""),19.0)</f>
        <v>19</v>
      </c>
      <c r="K330" s="224">
        <f>IFERROR(__xludf.DUMMYFUNCTION("""COMPUTED_VALUE"""),152.0)</f>
        <v>152</v>
      </c>
      <c r="L330" s="226">
        <f>IFERROR(__xludf.DUMMYFUNCTION("""COMPUTED_VALUE"""),1329919.0)</f>
        <v>1329919</v>
      </c>
      <c r="M330" s="227">
        <f>IFERROR(__xludf.DUMMYFUNCTION("""COMPUTED_VALUE"""),2.02147661E8)</f>
        <v>202147661</v>
      </c>
      <c r="N330" s="222" t="str">
        <f>IFERROR(__xludf.DUMMYFUNCTION("""COMPUTED_VALUE"""),"PT CAHAYA PERMATA MANDIRI")</f>
        <v>PT CAHAYA PERMATA MANDIRI</v>
      </c>
      <c r="O330" s="222" t="str">
        <f>IFERROR(__xludf.DUMMYFUNCTION("""COMPUTED_VALUE"""),"0. DROP")</f>
        <v>0. DROP</v>
      </c>
      <c r="P330" s="222" t="str">
        <f>IFERROR(__xludf.DUMMYFUNCTION("""COMPUTED_VALUE"""),"0.2 Tidak Dapat Izin Warga/Kades/Lurah/Developer")</f>
        <v>0.2 Tidak Dapat Izin Warga/Kades/Lurah/Developer</v>
      </c>
      <c r="Q330" s="222" t="str">
        <f>IFERROR(__xludf.DUMMYFUNCTION("""COMPUTED_VALUE"""),"DROP INFO CHAM (FITRI)")</f>
        <v>DROP INFO CHAM (FITRI)</v>
      </c>
      <c r="R330" s="228"/>
      <c r="S330" s="11"/>
      <c r="T330" s="11"/>
      <c r="U330" s="11"/>
      <c r="V330" s="229"/>
      <c r="W330" s="229"/>
      <c r="X330" s="229" t="str">
        <f>IFERROR(__xludf.DUMMYFUNCTION("""COMPUTED_VALUE"""),"BELUM GOLIVE")</f>
        <v>BELUM GOLIVE</v>
      </c>
      <c r="Y330" s="229"/>
      <c r="Z330" s="229" t="str">
        <f>IFERROR(__xludf.DUMMYFUNCTION("""COMPUTED_VALUE"""),"#N/A")</f>
        <v>#N/A</v>
      </c>
      <c r="AA330" s="229"/>
      <c r="AB330" s="229"/>
      <c r="AC330" s="229"/>
      <c r="AD330" s="232"/>
      <c r="AE330" s="233"/>
      <c r="AF330" s="54" t="str">
        <f>IFERROR(__xludf.DUMMYFUNCTION("""COMPUTED_VALUE"""),"Draft BA DROP")</f>
        <v>Draft BA DROP</v>
      </c>
      <c r="AG330" s="54"/>
      <c r="AH330" s="54"/>
      <c r="AI330" s="55" t="str">
        <f t="shared" si="48"/>
        <v/>
      </c>
      <c r="AW330" s="234"/>
      <c r="BP330" s="11"/>
      <c r="BQ330" s="11"/>
      <c r="BR330" s="235"/>
      <c r="BV330" s="158"/>
      <c r="BY330" s="158"/>
      <c r="CB330" s="158"/>
    </row>
    <row r="331" ht="18.0" customHeight="1">
      <c r="A331" s="222">
        <f>IFERROR(__xludf.DUMMYFUNCTION("""COMPUTED_VALUE"""),2026.0)</f>
        <v>2026</v>
      </c>
      <c r="B331" s="221">
        <f>IFERROR(__xludf.DUMMYFUNCTION("""COMPUTED_VALUE"""),1.1199919E7)</f>
        <v>11199919</v>
      </c>
      <c r="C331" s="222" t="str">
        <f>IFERROR(__xludf.DUMMYFUNCTION("""COMPUTED_VALUE"""),"RKP PT3 TSEL SLU-FCT PERUM. LAGUNA RAYA")</f>
        <v>RKP PT3 TSEL SLU-FCT PERUM. LAGUNA RAYA</v>
      </c>
      <c r="D331" s="222" t="str">
        <f>IFERROR(__xludf.DUMMYFUNCTION("""COMPUTED_VALUE"""),"REGIONAL I")</f>
        <v>REGIONAL I</v>
      </c>
      <c r="E331" s="222" t="str">
        <f>IFERROR(__xludf.DUMMYFUNCTION("""COMPUTED_VALUE"""),"RIKEP")</f>
        <v>RIKEP</v>
      </c>
      <c r="F331" s="222" t="str">
        <f>IFERROR(__xludf.DUMMYFUNCTION("""COMPUTED_VALUE"""),"SLU")</f>
        <v>SLU</v>
      </c>
      <c r="G331" s="222" t="str">
        <f>IFERROR(__xludf.DUMMYFUNCTION("""COMPUTED_VALUE"""),"SUMBAGTENG")</f>
        <v>SUMBAGTENG</v>
      </c>
      <c r="H331" s="222" t="str">
        <f>IFERROR(__xludf.DUMMYFUNCTION("""COMPUTED_VALUE"""),"BATAM")</f>
        <v>BATAM</v>
      </c>
      <c r="I331" s="222" t="str">
        <f>IFERROR(__xludf.DUMMYFUNCTION("""COMPUTED_VALUE"""),"Batch 2")</f>
        <v>Batch 2</v>
      </c>
      <c r="J331" s="225">
        <f>IFERROR(__xludf.DUMMYFUNCTION("""COMPUTED_VALUE"""),5.0)</f>
        <v>5</v>
      </c>
      <c r="K331" s="224">
        <f>IFERROR(__xludf.DUMMYFUNCTION("""COMPUTED_VALUE"""),40.0)</f>
        <v>40</v>
      </c>
      <c r="L331" s="226">
        <f>IFERROR(__xludf.DUMMYFUNCTION("""COMPUTED_VALUE"""),1328591.0)</f>
        <v>1328591</v>
      </c>
      <c r="M331" s="227">
        <f>IFERROR(__xludf.DUMMYFUNCTION("""COMPUTED_VALUE"""),5.3143605E7)</f>
        <v>53143605</v>
      </c>
      <c r="N331" s="222" t="str">
        <f>IFERROR(__xludf.DUMMYFUNCTION("""COMPUTED_VALUE"""),"PT MITRA SETIA INDONESIA")</f>
        <v>PT MITRA SETIA INDONESIA</v>
      </c>
      <c r="O331" s="222" t="str">
        <f>IFERROR(__xludf.DUMMYFUNCTION("""COMPUTED_VALUE"""),"0. DROP")</f>
        <v>0. DROP</v>
      </c>
      <c r="P331" s="222" t="str">
        <f>IFERROR(__xludf.DUMMYFUNCTION("""COMPUTED_VALUE"""),"0.2 Tidak Dapat Izin Warga/Kades/Lurah/Developer")</f>
        <v>0.2 Tidak Dapat Izin Warga/Kades/Lurah/Developer</v>
      </c>
      <c r="Q331" s="222" t="str">
        <f>IFERROR(__xludf.DUMMYFUNCTION("""COMPUTED_VALUE"""),"12/02 RT tidak merespond perizinan dan sudah di kunjungi 2x. 28/01 Surat izin sudah masuk, RT meminta waktu untuk rapat dengan warga, di info minggu depan.  21/01 plan fu perizinan tanggal 26 Jan")</f>
        <v>12/02 RT tidak merespond perizinan dan sudah di kunjungi 2x. 28/01 Surat izin sudah masuk, RT meminta waktu untuk rapat dengan warga, di info minggu depan.  21/01 plan fu perizinan tanggal 26 Jan</v>
      </c>
      <c r="R331" s="228"/>
      <c r="S331" s="11"/>
      <c r="T331" s="11"/>
      <c r="U331" s="11"/>
      <c r="V331" s="229" t="str">
        <f>IFERROR(__xludf.DUMMYFUNCTION("""COMPUTED_VALUE"""),"MUHAMMAD RIDHO FALFO")</f>
        <v>MUHAMMAD RIDHO FALFO</v>
      </c>
      <c r="W331" s="229" t="str">
        <f>IFERROR(__xludf.DUMMYFUNCTION("""COMPUTED_VALUE"""),"LEVITA INDRIYANI")</f>
        <v>LEVITA INDRIYANI</v>
      </c>
      <c r="X331" s="229" t="str">
        <f>IFERROR(__xludf.DUMMYFUNCTION("""COMPUTED_VALUE"""),"BELUM GOLIVE")</f>
        <v>BELUM GOLIVE</v>
      </c>
      <c r="Y331" s="229"/>
      <c r="Z331" s="229" t="str">
        <f>IFERROR(__xludf.DUMMYFUNCTION("""COMPUTED_VALUE"""),"#N/A")</f>
        <v>#N/A</v>
      </c>
      <c r="AA331" s="229"/>
      <c r="AB331" s="229"/>
      <c r="AC331" s="229"/>
      <c r="AD331" s="232"/>
      <c r="AE331" s="233"/>
      <c r="AF331" s="54" t="str">
        <f>IFERROR(__xludf.DUMMYFUNCTION("""COMPUTED_VALUE"""),"Draft BA DROP")</f>
        <v>Draft BA DROP</v>
      </c>
      <c r="AG331" s="54"/>
      <c r="AH331" s="54"/>
      <c r="AI331" s="55" t="str">
        <f t="shared" si="48"/>
        <v/>
      </c>
      <c r="AW331" s="234"/>
      <c r="BP331" s="11"/>
      <c r="BQ331" s="11"/>
      <c r="BR331" s="235"/>
      <c r="BV331" s="158"/>
      <c r="BY331" s="158"/>
      <c r="CB331" s="158"/>
    </row>
    <row r="332" ht="18.0" hidden="1" customHeight="1">
      <c r="A332" s="222">
        <f>IFERROR(__xludf.DUMMYFUNCTION("""COMPUTED_VALUE"""),2026.0)</f>
        <v>2026</v>
      </c>
      <c r="B332" s="221">
        <f>IFERROR(__xludf.DUMMYFUNCTION("""COMPUTED_VALUE"""),1.1272059E7)</f>
        <v>11272059</v>
      </c>
      <c r="C332" s="222" t="str">
        <f>IFERROR(__xludf.DUMMYFUNCTION("""COMPUTED_VALUE"""),"MDN PT3 P1I1 PUB-FBW JL.PEMBANGUNAN II")</f>
        <v>MDN PT3 P1I1 PUB-FBW JL.PEMBANGUNAN II</v>
      </c>
      <c r="D332" s="222" t="str">
        <f>IFERROR(__xludf.DUMMYFUNCTION("""COMPUTED_VALUE"""),"REGIONAL I")</f>
        <v>REGIONAL I</v>
      </c>
      <c r="E332" s="222" t="str">
        <f>IFERROR(__xludf.DUMMYFUNCTION("""COMPUTED_VALUE"""),"MEDAN")</f>
        <v>MEDAN</v>
      </c>
      <c r="F332" s="222" t="str">
        <f>IFERROR(__xludf.DUMMYFUNCTION("""COMPUTED_VALUE"""),"PUB")</f>
        <v>PUB</v>
      </c>
      <c r="G332" s="222" t="str">
        <f>IFERROR(__xludf.DUMMYFUNCTION("""COMPUTED_VALUE"""),"SUMBAGUT")</f>
        <v>SUMBAGUT</v>
      </c>
      <c r="H332" s="222" t="str">
        <f>IFERROR(__xludf.DUMMYFUNCTION("""COMPUTED_VALUE"""),"MEDAN")</f>
        <v>MEDAN</v>
      </c>
      <c r="I332" s="222" t="str">
        <f>IFERROR(__xludf.DUMMYFUNCTION("""COMPUTED_VALUE"""),"Batch 2")</f>
        <v>Batch 2</v>
      </c>
      <c r="J332" s="225">
        <f>IFERROR(__xludf.DUMMYFUNCTION("""COMPUTED_VALUE"""),2.0)</f>
        <v>2</v>
      </c>
      <c r="K332" s="224">
        <f>IFERROR(__xludf.DUMMYFUNCTION("""COMPUTED_VALUE"""),16.0)</f>
        <v>16</v>
      </c>
      <c r="L332" s="226">
        <f>IFERROR(__xludf.DUMMYFUNCTION("""COMPUTED_VALUE"""),620636.0)</f>
        <v>620636</v>
      </c>
      <c r="M332" s="227">
        <f>IFERROR(__xludf.DUMMYFUNCTION("""COMPUTED_VALUE"""),9930173.0)</f>
        <v>9930173</v>
      </c>
      <c r="N332" s="222" t="str">
        <f>IFERROR(__xludf.DUMMYFUNCTION("""COMPUTED_VALUE"""),"PT BENWA  MITRA PRATAMA")</f>
        <v>PT BENWA  MITRA PRATAMA</v>
      </c>
      <c r="O332" s="222" t="str">
        <f>IFERROR(__xludf.DUMMYFUNCTION("""COMPUTED_VALUE"""),"0. DROP")</f>
        <v>0. DROP</v>
      </c>
      <c r="P332" s="222" t="str">
        <f>IFERROR(__xludf.DUMMYFUNCTION("""COMPUTED_VALUE"""),"0.2 Tidak Dapat Izin Warga/Kades/Lurah/Developer")</f>
        <v>0.2 Tidak Dapat Izin Warga/Kades/Lurah/Developer</v>
      </c>
      <c r="Q332" s="222" t="str">
        <f>IFERROR(__xludf.DUMMYFUNCTION("""COMPUTED_VALUE"""),"Tidak Ada Space Tanam Tiang (07/01) Persiapan")</f>
        <v>Tidak Ada Space Tanam Tiang (07/01) Persiapan</v>
      </c>
      <c r="R332" s="228"/>
      <c r="S332" s="11"/>
      <c r="T332" s="11"/>
      <c r="U332" s="11"/>
      <c r="V332" s="229"/>
      <c r="W332" s="229"/>
      <c r="X332" s="229" t="str">
        <f>IFERROR(__xludf.DUMMYFUNCTION("""COMPUTED_VALUE"""),"BELUM GOLIVE")</f>
        <v>BELUM GOLIVE</v>
      </c>
      <c r="Y332" s="229"/>
      <c r="Z332" s="229" t="str">
        <f>IFERROR(__xludf.DUMMYFUNCTION("""COMPUTED_VALUE"""),"#N/A")</f>
        <v>#N/A</v>
      </c>
      <c r="AA332" s="229"/>
      <c r="AB332" s="229"/>
      <c r="AC332" s="229"/>
      <c r="AD332" s="232"/>
      <c r="AE332" s="233"/>
      <c r="AF332" s="54" t="str">
        <f>IFERROR(__xludf.DUMMYFUNCTION("""COMPUTED_VALUE"""),"Draft BA DROP")</f>
        <v>Draft BA DROP</v>
      </c>
      <c r="AG332" s="54"/>
      <c r="AH332" s="54"/>
      <c r="AI332" s="55" t="str">
        <f t="shared" si="48"/>
        <v/>
      </c>
      <c r="AW332" s="234"/>
      <c r="BP332" s="11"/>
      <c r="BQ332" s="11"/>
      <c r="BR332" s="235"/>
      <c r="BV332" s="158"/>
      <c r="BY332" s="158"/>
      <c r="CB332" s="158"/>
    </row>
    <row r="333" ht="18.0" hidden="1" customHeight="1">
      <c r="A333" s="222">
        <f>IFERROR(__xludf.DUMMYFUNCTION("""COMPUTED_VALUE"""),2026.0)</f>
        <v>2026</v>
      </c>
      <c r="B333" s="221">
        <f>IFERROR(__xludf.DUMMYFUNCTION("""COMPUTED_VALUE"""),1.2135236E7)</f>
        <v>12135236</v>
      </c>
      <c r="C333" s="222" t="str">
        <f>IFERROR(__xludf.DUMMYFUNCTION("""COMPUTED_VALUE"""),"SMU PT4 SBO CLUST 250_1156_2302")</f>
        <v>SMU PT4 SBO CLUST 250_1156_2302</v>
      </c>
      <c r="D333" s="222" t="str">
        <f>IFERROR(__xludf.DUMMYFUNCTION("""COMPUTED_VALUE"""),"REGIONAL I")</f>
        <v>REGIONAL I</v>
      </c>
      <c r="E333" s="222" t="str">
        <f>IFERROR(__xludf.DUMMYFUNCTION("""COMPUTED_VALUE"""),"SUMUT")</f>
        <v>SUMUT</v>
      </c>
      <c r="F333" s="222" t="str">
        <f>IFERROR(__xludf.DUMMYFUNCTION("""COMPUTED_VALUE"""),"SBO")</f>
        <v>SBO</v>
      </c>
      <c r="G333" s="222" t="str">
        <f>IFERROR(__xludf.DUMMYFUNCTION("""COMPUTED_VALUE"""),"SUMBAGUT")</f>
        <v>SUMBAGUT</v>
      </c>
      <c r="H333" s="222" t="str">
        <f>IFERROR(__xludf.DUMMYFUNCTION("""COMPUTED_VALUE"""),"RANTAU PRAPAT")</f>
        <v>RANTAU PRAPAT</v>
      </c>
      <c r="I333" s="222" t="str">
        <f>IFERROR(__xludf.DUMMYFUNCTION("""COMPUTED_VALUE"""),"Batch 2")</f>
        <v>Batch 2</v>
      </c>
      <c r="J333" s="225">
        <f>IFERROR(__xludf.DUMMYFUNCTION("""COMPUTED_VALUE"""),23.0)</f>
        <v>23</v>
      </c>
      <c r="K333" s="224">
        <f>IFERROR(__xludf.DUMMYFUNCTION("""COMPUTED_VALUE"""),184.0)</f>
        <v>184</v>
      </c>
      <c r="L333" s="226">
        <f>IFERROR(__xludf.DUMMYFUNCTION("""COMPUTED_VALUE"""),1327964.0)</f>
        <v>1327964</v>
      </c>
      <c r="M333" s="227">
        <f>IFERROR(__xludf.DUMMYFUNCTION("""COMPUTED_VALUE"""),2.44345227E8)</f>
        <v>244345227</v>
      </c>
      <c r="N333" s="222" t="str">
        <f>IFERROR(__xludf.DUMMYFUNCTION("""COMPUTED_VALUE"""),"PT UPAYA TEKNIK")</f>
        <v>PT UPAYA TEKNIK</v>
      </c>
      <c r="O333" s="222" t="str">
        <f>IFERROR(__xludf.DUMMYFUNCTION("""COMPUTED_VALUE"""),"4. MATDEL")</f>
        <v>4. MATDEL</v>
      </c>
      <c r="P333" s="222" t="str">
        <f>IFERROR(__xludf.DUMMYFUNCTION("""COMPUTED_VALUE"""),"4.1 Belum Request Material (Alista)")</f>
        <v>4.1 Belum Request Material (Alista)</v>
      </c>
      <c r="Q333" s="222" t="str">
        <f>IFERROR(__xludf.DUMMYFUNCTION("""COMPUTED_VALUE"""),"27/4 menunggu req kebutuhan matrial mitra, 23/4 menunggu req kebutuhan matrial mitra, 22/4 menunggu mitra untuk req material, 21/4 menunggu mitra untuk req material, 20/4 proses pengecekan cpp, 16/4 plan bsk fu kembali terkait perizinan ke lahan warga yan"&amp;"g terkena imbas tanam tiang, 15/4 plan upgrade odc , 14/4 plan upgrade odc dikarenakan sitak odc dilokasi tidak diberikan izin oleh warga, 13/4 plan upgrade odc dikarenakan sitak odc dilokasi tidak diberikan izin oleh warga, 9/4 plan upgrade odc dikarenak"&amp;"an sitak odc dilokasi tidak diberikan izin oleh warga, 8/4 plan upgrade odc dikarenakan sitak odc dilokasi tidak diberikan izin oleh warga, 6/4 plan team besok kelokasi untuk fu ulang perizina desa, 5/4 lanjut mengurus izin desa, 1/4 lanjut mengurus izin "&amp;"ke desa/kelurahan,(paling lambat senin tgl 6 selesai), 31/3 lanjut pengurusan izin ke desa/kelurahan,(paling lambat senin tgl 6 selesai), 30/3 proses cek cpp, 27/3 menunggu revisi boq kml survey, 26/3 menunggu revisi boq kml survey, 22/3 menunggu revisi b"&amp;"oq kml survey, 18/3 menunggu revisi boq kml survey,16/3 plan hari ini submit revisi boq kml, 13/3 menunggu revisi boq kml survey, 11/3 menunggu revisi boq kml survey, 10/3 menunggu boq kml survey redesign ,m3/3 menunggu boq kml survey redesign ,  2/3 menu"&amp;"nggu boq kml survey redesign , 27/2 plan submit boq kml survey besok 28 feb,25/2 menunggu boq kml survey redesign , 24/2 menunggu boq kml survey redesign ,23/2 menunggu boq kml survey redesign , 22/2 menunggu boq kml survey redesign , 20/2 menunggu boq km"&amp;"l survey redesign est submit 21 feb, 19/2 menunggu boq kml survey redesign,18/2 menunggu boq kml survey redesign,  16/2 menunggu boq kml survey redesign,  13/2 menunggu boq kml survey redesign, 12/2 plan survey redesign, 11/2 plan survey redesign, 10/2 pl"&amp;"an survey redesign, 9/2 plan survey redesign,  6/2 team hari ini menuju lokasi untuk survey, 5/2 prepair team untuk survey kelokasi est 13 feb , 3/2 prepair team untuk survey kelokasi  ( mitra balik kanan dikarnakan kendaraan rusak tidak bisa melintasi ja"&amp;"lan rusak), 2/2 prepair team untuk survey kelokasi  ( mitra balik kanan dikarnakan kendaraan rusak tidak bisa melintasi jalan rusak), 1/2 prepair team untuk survey kelokasi  ( mitra balik kanan dikarnakan kendaraan rusak tidak bisa melintasi jalan rusak),"&amp;"  30/1 prepair team untuk survey kelokasi  ( mitra balik kanan dikarnakan kendaraan rusak tidak bisa melintasi jalan rusak) , 28/1 prepair team untuk survey kelokasi  ( mitra balik kanan dikarnakan kendaraan rusak tidak bisa melintasi jalan rusak), 27/1 p"&amp;"repair team untuk survey kelokasi  ( mitra balik kanan dikarnakan kendaraan rusak tidak bisa melintasi jalan rusak), 26/1 prepair team untuk survey kelokasi  ( mitra balik kanan dikarnakan kendaraan rusak tidak bisa melintasi jalan rusak), 23/1 ogp survey"&amp;", 22/1 plan survey  23/1, 21/1 plan survey  23/1,  20/1 plan survey  23/1, 19/1 plan survey  23/1,  15/1 plan survey  23/1, 14/1 plan survey 19/1 s/d 21/1, 13/1 menunggu info kelanjutan dari mitra, (07/01) Persiapan")</f>
        <v>27/4 menunggu req kebutuhan matrial mitra, 23/4 menunggu req kebutuhan matrial mitra, 22/4 menunggu mitra untuk req material, 21/4 menunggu mitra untuk req material, 20/4 proses pengecekan cpp, 16/4 plan bsk fu kembali terkait perizinan ke lahan warga yang terkena imbas tanam tiang, 15/4 plan upgrade odc , 14/4 plan upgrade odc dikarenakan sitak odc dilokasi tidak diberikan izin oleh warga, 13/4 plan upgrade odc dikarenakan sitak odc dilokasi tidak diberikan izin oleh warga, 9/4 plan upgrade odc dikarenakan sitak odc dilokasi tidak diberikan izin oleh warga, 8/4 plan upgrade odc dikarenakan sitak odc dilokasi tidak diberikan izin oleh warga, 6/4 plan team besok kelokasi untuk fu ulang perizina desa, 5/4 lanjut mengurus izin desa, 1/4 lanjut mengurus izin ke desa/kelurahan,(paling lambat senin tgl 6 selesai), 31/3 lanjut pengurusan izin ke desa/kelurahan,(paling lambat senin tgl 6 selesai), 30/3 proses cek cpp, 27/3 menunggu revisi boq kml survey, 26/3 menunggu revisi boq kml survey, 22/3 menunggu revisi boq kml survey, 18/3 menunggu revisi boq kml survey,16/3 plan hari ini submit revisi boq kml, 13/3 menunggu revisi boq kml survey, 11/3 menunggu revisi boq kml survey, 10/3 menunggu boq kml survey redesign ,m3/3 menunggu boq kml survey redesign ,  2/3 menunggu boq kml survey redesign , 27/2 plan submit boq kml survey besok 28 feb,25/2 menunggu boq kml survey redesign , 24/2 menunggu boq kml survey redesign ,23/2 menunggu boq kml survey redesign , 22/2 menunggu boq kml survey redesign , 20/2 menunggu boq kml survey redesign est submit 21 feb, 19/2 menunggu boq kml survey redesign,18/2 menunggu boq kml survey redesign,  16/2 menunggu boq kml survey redesign,  13/2 menunggu boq kml survey redesign, 12/2 plan survey redesign, 11/2 plan survey redesign, 10/2 plan survey redesign, 9/2 plan survey redesign,  6/2 team hari ini menuju lokasi untuk survey, 5/2 prepair team untuk survey kelokasi est 13 feb , 3/2 prepair team untuk survey kelokasi  ( mitra balik kanan dikarnakan kendaraan rusak tidak bisa melintasi jalan rusak), 2/2 prepair team untuk survey kelokasi  ( mitra balik kanan dikarnakan kendaraan rusak tidak bisa melintasi jalan rusak), 1/2 prepair team untuk survey kelokasi  ( mitra balik kanan dikarnakan kendaraan rusak tidak bisa melintasi jalan rusak),  30/1 prepair team untuk survey kelokasi  ( mitra balik kanan dikarnakan kendaraan rusak tidak bisa melintasi jalan rusak) , 28/1 prepair team untuk survey kelokasi  ( mitra balik kanan dikarnakan kendaraan rusak tidak bisa melintasi jalan rusak), 27/1 prepair team untuk survey kelokasi  ( mitra balik kanan dikarnakan kendaraan rusak tidak bisa melintasi jalan rusak), 26/1 prepair team untuk survey kelokasi  ( mitra balik kanan dikarnakan kendaraan rusak tidak bisa melintasi jalan rusak), 23/1 ogp survey, 22/1 plan survey  23/1, 21/1 plan survey  23/1,  20/1 plan survey  23/1, 19/1 plan survey  23/1,  15/1 plan survey  23/1, 14/1 plan survey 19/1 s/d 21/1, 13/1 menunggu info kelanjutan dari mitra, (07/01) Persiapan</v>
      </c>
      <c r="R333" s="228"/>
      <c r="S333" s="11"/>
      <c r="T333" s="11"/>
      <c r="U333" s="11" t="str">
        <f>IFERROR(__xludf.DUMMYFUNCTION("""COMPUTED_VALUE"""),"W03-1694/2025")</f>
        <v>W03-1694/2025</v>
      </c>
      <c r="V333" s="229"/>
      <c r="W333" s="229"/>
      <c r="X333" s="229" t="str">
        <f>IFERROR(__xludf.DUMMYFUNCTION("""COMPUTED_VALUE"""),"BELUM GOLIVE")</f>
        <v>BELUM GOLIVE</v>
      </c>
      <c r="Y333" s="229"/>
      <c r="Z333" s="229" t="str">
        <f>IFERROR(__xludf.DUMMYFUNCTION("""COMPUTED_VALUE"""),"#N/A")</f>
        <v>#N/A</v>
      </c>
      <c r="AA333" s="229"/>
      <c r="AB333" s="229"/>
      <c r="AC333" s="229"/>
      <c r="AD333" s="232"/>
      <c r="AE333" s="233"/>
      <c r="AF333" s="54" t="str">
        <f>IFERROR(__xludf.DUMMYFUNCTION("""COMPUTED_VALUE"""),"Draft BA DROP")</f>
        <v>Draft BA DROP</v>
      </c>
      <c r="AG333" s="54"/>
      <c r="AH333" s="54"/>
      <c r="AI333" s="55" t="str">
        <f t="shared" si="48"/>
        <v/>
      </c>
      <c r="AW333" s="234"/>
      <c r="BP333" s="11"/>
      <c r="BQ333" s="11"/>
      <c r="BR333" s="235"/>
      <c r="BV333" s="158"/>
      <c r="BY333" s="158"/>
      <c r="CB333" s="158"/>
    </row>
    <row r="334" ht="18.0" customHeight="1">
      <c r="A334" s="222">
        <f>IFERROR(__xludf.DUMMYFUNCTION("""COMPUTED_VALUE"""),2026.0)</f>
        <v>2026</v>
      </c>
      <c r="B334" s="221">
        <f>IFERROR(__xludf.DUMMYFUNCTION("""COMPUTED_VALUE"""),1.1442433E7)</f>
        <v>11442433</v>
      </c>
      <c r="C334" s="222" t="str">
        <f>IFERROR(__xludf.DUMMYFUNCTION("""COMPUTED_VALUE"""),"RKP PT3 TSEL SLU-FCZ CLUSTER DAHLIA")</f>
        <v>RKP PT3 TSEL SLU-FCZ CLUSTER DAHLIA</v>
      </c>
      <c r="D334" s="222" t="str">
        <f>IFERROR(__xludf.DUMMYFUNCTION("""COMPUTED_VALUE"""),"REGIONAL I")</f>
        <v>REGIONAL I</v>
      </c>
      <c r="E334" s="222" t="str">
        <f>IFERROR(__xludf.DUMMYFUNCTION("""COMPUTED_VALUE"""),"RIKEP")</f>
        <v>RIKEP</v>
      </c>
      <c r="F334" s="222" t="str">
        <f>IFERROR(__xludf.DUMMYFUNCTION("""COMPUTED_VALUE"""),"SLU")</f>
        <v>SLU</v>
      </c>
      <c r="G334" s="222" t="str">
        <f>IFERROR(__xludf.DUMMYFUNCTION("""COMPUTED_VALUE"""),"SUMBAGTENG")</f>
        <v>SUMBAGTENG</v>
      </c>
      <c r="H334" s="222" t="str">
        <f>IFERROR(__xludf.DUMMYFUNCTION("""COMPUTED_VALUE"""),"BATAM")</f>
        <v>BATAM</v>
      </c>
      <c r="I334" s="222" t="str">
        <f>IFERROR(__xludf.DUMMYFUNCTION("""COMPUTED_VALUE"""),"Batch 2")</f>
        <v>Batch 2</v>
      </c>
      <c r="J334" s="225">
        <f>IFERROR(__xludf.DUMMYFUNCTION("""COMPUTED_VALUE"""),10.0)</f>
        <v>10</v>
      </c>
      <c r="K334" s="224">
        <f>IFERROR(__xludf.DUMMYFUNCTION("""COMPUTED_VALUE"""),80.0)</f>
        <v>80</v>
      </c>
      <c r="L334" s="226">
        <f>IFERROR(__xludf.DUMMYFUNCTION("""COMPUTED_VALUE"""),1327839.0)</f>
        <v>1327839</v>
      </c>
      <c r="M334" s="227">
        <f>IFERROR(__xludf.DUMMYFUNCTION("""COMPUTED_VALUE"""),1.06227104E8)</f>
        <v>106227104</v>
      </c>
      <c r="N334" s="222" t="str">
        <f>IFERROR(__xludf.DUMMYFUNCTION("""COMPUTED_VALUE"""),"PT MITRA SETIA INDONESIA")</f>
        <v>PT MITRA SETIA INDONESIA</v>
      </c>
      <c r="O334" s="222" t="str">
        <f>IFERROR(__xludf.DUMMYFUNCTION("""COMPUTED_VALUE"""),"0. DROP")</f>
        <v>0. DROP</v>
      </c>
      <c r="P334" s="222" t="str">
        <f>IFERROR(__xludf.DUMMYFUNCTION("""COMPUTED_VALUE"""),"0.2 Tidak Dapat Izin Warga/Kades/Lurah/Developer")</f>
        <v>0.2 Tidak Dapat Izin Warga/Kades/Lurah/Developer</v>
      </c>
      <c r="Q334" s="222" t="str">
        <f>IFERROR(__xludf.DUMMYFUNCTION("""COMPUTED_VALUE"""),"28/01 Izin di tolak karena sudah bekerja sama dengan provider lain. 27/01 Surat sudah masuk namun blm ada balasan dari RT/RW. 21/01 Sudah di survey namun RT belum memberi kepastian")</f>
        <v>28/01 Izin di tolak karena sudah bekerja sama dengan provider lain. 27/01 Surat sudah masuk namun blm ada balasan dari RT/RW. 21/01 Sudah di survey namun RT belum memberi kepastian</v>
      </c>
      <c r="R334" s="228"/>
      <c r="S334" s="11"/>
      <c r="T334" s="11"/>
      <c r="U334" s="11"/>
      <c r="V334" s="229" t="str">
        <f>IFERROR(__xludf.DUMMYFUNCTION("""COMPUTED_VALUE"""),"MUHAMMAD RIDHO FALFO")</f>
        <v>MUHAMMAD RIDHO FALFO</v>
      </c>
      <c r="W334" s="229" t="str">
        <f>IFERROR(__xludf.DUMMYFUNCTION("""COMPUTED_VALUE"""),"LEVITA INDRIYANI")</f>
        <v>LEVITA INDRIYANI</v>
      </c>
      <c r="X334" s="229" t="str">
        <f>IFERROR(__xludf.DUMMYFUNCTION("""COMPUTED_VALUE"""),"BELUM GOLIVE")</f>
        <v>BELUM GOLIVE</v>
      </c>
      <c r="Y334" s="229"/>
      <c r="Z334" s="229" t="str">
        <f>IFERROR(__xludf.DUMMYFUNCTION("""COMPUTED_VALUE"""),"#N/A")</f>
        <v>#N/A</v>
      </c>
      <c r="AA334" s="229"/>
      <c r="AB334" s="229"/>
      <c r="AC334" s="229"/>
      <c r="AD334" s="232"/>
      <c r="AE334" s="233"/>
      <c r="AF334" s="54" t="str">
        <f>IFERROR(__xludf.DUMMYFUNCTION("""COMPUTED_VALUE"""),"Draft BA DROP")</f>
        <v>Draft BA DROP</v>
      </c>
      <c r="AG334" s="54"/>
      <c r="AH334" s="54">
        <v>46137.0</v>
      </c>
      <c r="AI334" s="237">
        <f>AH334-NOW()</f>
        <v>-3.377989884</v>
      </c>
      <c r="AJ334" s="229" t="str">
        <f>if(AI334&gt;=0,"In Komitmen","Out Komitmen")</f>
        <v>Out Komitmen</v>
      </c>
      <c r="AW334" s="234"/>
      <c r="BP334" s="11"/>
      <c r="BQ334" s="11"/>
      <c r="BR334" s="235"/>
      <c r="BV334" s="158"/>
      <c r="BY334" s="158"/>
      <c r="CB334" s="158"/>
    </row>
    <row r="335" ht="18.0" customHeight="1">
      <c r="A335" s="222">
        <f>IFERROR(__xludf.DUMMYFUNCTION("""COMPUTED_VALUE"""),2026.0)</f>
        <v>2026</v>
      </c>
      <c r="B335" s="221">
        <f>IFERROR(__xludf.DUMMYFUNCTION("""COMPUTED_VALUE"""),1.1196593E7)</f>
        <v>11196593</v>
      </c>
      <c r="C335" s="222" t="str">
        <f>IFERROR(__xludf.DUMMYFUNCTION("""COMPUTED_VALUE"""),"RKP PT3 JPP SGT-FB PERUM. JALAN TULIP")</f>
        <v>RKP PT3 JPP SGT-FB PERUM. JALAN TULIP</v>
      </c>
      <c r="D335" s="222" t="str">
        <f>IFERROR(__xludf.DUMMYFUNCTION("""COMPUTED_VALUE"""),"REGIONAL I")</f>
        <v>REGIONAL I</v>
      </c>
      <c r="E335" s="222" t="str">
        <f>IFERROR(__xludf.DUMMYFUNCTION("""COMPUTED_VALUE"""),"RIKEP")</f>
        <v>RIKEP</v>
      </c>
      <c r="F335" s="222" t="str">
        <f>IFERROR(__xludf.DUMMYFUNCTION("""COMPUTED_VALUE"""),"SGT")</f>
        <v>SGT</v>
      </c>
      <c r="G335" s="222" t="str">
        <f>IFERROR(__xludf.DUMMYFUNCTION("""COMPUTED_VALUE"""),"SUMBAGTENG")</f>
        <v>SUMBAGTENG</v>
      </c>
      <c r="H335" s="222" t="str">
        <f>IFERROR(__xludf.DUMMYFUNCTION("""COMPUTED_VALUE"""),"BATAM")</f>
        <v>BATAM</v>
      </c>
      <c r="I335" s="222" t="str">
        <f>IFERROR(__xludf.DUMMYFUNCTION("""COMPUTED_VALUE"""),"Batch 2")</f>
        <v>Batch 2</v>
      </c>
      <c r="J335" s="225">
        <f>IFERROR(__xludf.DUMMYFUNCTION("""COMPUTED_VALUE"""),3.0)</f>
        <v>3</v>
      </c>
      <c r="K335" s="224">
        <f>IFERROR(__xludf.DUMMYFUNCTION("""COMPUTED_VALUE"""),24.0)</f>
        <v>24</v>
      </c>
      <c r="L335" s="226">
        <f>IFERROR(__xludf.DUMMYFUNCTION("""COMPUTED_VALUE"""),1326960.0)</f>
        <v>1326960</v>
      </c>
      <c r="M335" s="227">
        <f>IFERROR(__xludf.DUMMYFUNCTION("""COMPUTED_VALUE"""),3.1847035E7)</f>
        <v>31847035</v>
      </c>
      <c r="N335" s="222" t="str">
        <f>IFERROR(__xludf.DUMMYFUNCTION("""COMPUTED_VALUE"""),"PT MITRA AKSES INSANI")</f>
        <v>PT MITRA AKSES INSANI</v>
      </c>
      <c r="O335" s="222" t="str">
        <f>IFERROR(__xludf.DUMMYFUNCTION("""COMPUTED_VALUE"""),"4. MATDEL")</f>
        <v>4. MATDEL</v>
      </c>
      <c r="P335" s="222" t="str">
        <f>IFERROR(__xludf.DUMMYFUNCTION("""COMPUTED_VALUE"""),"4.3 Proses Kirim Mateial Kelokasi")</f>
        <v>4.3 Proses Kirim Mateial Kelokasi</v>
      </c>
      <c r="Q335" s="222" t="str">
        <f>IFERROR(__xludf.DUMMYFUNCTION("""COMPUTED_VALUE"""),"24/04 Take Over mitra, plan pengiriman material dan MP, tbc tanggal 20 Apr.
13/04 Menunggu pengiriman material dan prepare MP ke pulau sei guntung.
27/03 menunggu delivery material
05/03 menunggu delivery material
26/02 Pengiriman material 21/01 Proses pe"&amp;"rizinan")</f>
        <v>24/04 Take Over mitra, plan pengiriman material dan MP, tbc tanggal 20 Apr.
13/04 Menunggu pengiriman material dan prepare MP ke pulau sei guntung.
27/03 menunggu delivery material
05/03 menunggu delivery material
26/02 Pengiriman material 21/01 Proses perizinan</v>
      </c>
      <c r="R335" s="228"/>
      <c r="S335" s="11"/>
      <c r="T335" s="11"/>
      <c r="U335" s="11" t="str">
        <f>IFERROR(__xludf.DUMMYFUNCTION("""COMPUTED_VALUE"""),"W09-187/2026")</f>
        <v>W09-187/2026</v>
      </c>
      <c r="V335" s="229" t="str">
        <f>IFERROR(__xludf.DUMMYFUNCTION("""COMPUTED_VALUE"""),"MOHAMMAD FAUZY")</f>
        <v>MOHAMMAD FAUZY</v>
      </c>
      <c r="W335" s="229" t="str">
        <f>IFERROR(__xludf.DUMMYFUNCTION("""COMPUTED_VALUE"""),"LEVITA INDRIYANI")</f>
        <v>LEVITA INDRIYANI</v>
      </c>
      <c r="X335" s="229" t="str">
        <f>IFERROR(__xludf.DUMMYFUNCTION("""COMPUTED_VALUE"""),"BELUM GOLIVE")</f>
        <v>BELUM GOLIVE</v>
      </c>
      <c r="Y335" s="229"/>
      <c r="Z335" s="229" t="str">
        <f>IFERROR(__xludf.DUMMYFUNCTION("""COMPUTED_VALUE"""),"#N/A")</f>
        <v>#N/A</v>
      </c>
      <c r="AA335" s="229"/>
      <c r="AB335" s="229"/>
      <c r="AC335" s="229"/>
      <c r="AD335" s="232"/>
      <c r="AE335" s="233"/>
      <c r="AF335" s="54"/>
      <c r="AG335" s="54"/>
      <c r="AH335" s="54"/>
      <c r="AI335" s="55" t="str">
        <f t="shared" ref="AI335:AI342" si="49">IF(OR(R335="",AE335=""),"",R335-AE335)</f>
        <v/>
      </c>
      <c r="AW335" s="234"/>
      <c r="BP335" s="11"/>
      <c r="BQ335" s="11"/>
      <c r="BR335" s="235"/>
      <c r="BV335" s="158"/>
      <c r="BY335" s="158"/>
      <c r="CB335" s="158"/>
    </row>
    <row r="336" ht="18.0" customHeight="1">
      <c r="A336" s="222">
        <f>IFERROR(__xludf.DUMMYFUNCTION("""COMPUTED_VALUE"""),2026.0)</f>
        <v>2026</v>
      </c>
      <c r="B336" s="221">
        <f>IFERROR(__xludf.DUMMYFUNCTION("""COMPUTED_VALUE"""),1.1086333E7)</f>
        <v>11086333</v>
      </c>
      <c r="C336" s="222" t="str">
        <f>IFERROR(__xludf.DUMMYFUNCTION("""COMPUTED_VALUE"""),"RDR JPP PT3 RAMBAH HILIR 2")</f>
        <v>RDR JPP PT3 RAMBAH HILIR 2</v>
      </c>
      <c r="D336" s="222" t="str">
        <f>IFERROR(__xludf.DUMMYFUNCTION("""COMPUTED_VALUE"""),"REGIONAL I")</f>
        <v>REGIONAL I</v>
      </c>
      <c r="E336" s="222" t="str">
        <f>IFERROR(__xludf.DUMMYFUNCTION("""COMPUTED_VALUE"""),"RIDAR")</f>
        <v>RIDAR</v>
      </c>
      <c r="F336" s="222" t="str">
        <f>IFERROR(__xludf.DUMMYFUNCTION("""COMPUTED_VALUE"""),"PPN")</f>
        <v>PPN</v>
      </c>
      <c r="G336" s="222" t="str">
        <f>IFERROR(__xludf.DUMMYFUNCTION("""COMPUTED_VALUE"""),"SUMBAGTENG")</f>
        <v>SUMBAGTENG</v>
      </c>
      <c r="H336" s="222" t="str">
        <f>IFERROR(__xludf.DUMMYFUNCTION("""COMPUTED_VALUE"""),"DUMAI")</f>
        <v>DUMAI</v>
      </c>
      <c r="I336" s="222" t="str">
        <f>IFERROR(__xludf.DUMMYFUNCTION("""COMPUTED_VALUE"""),"Batch 2")</f>
        <v>Batch 2</v>
      </c>
      <c r="J336" s="225">
        <f>IFERROR(__xludf.DUMMYFUNCTION("""COMPUTED_VALUE"""),31.0)</f>
        <v>31</v>
      </c>
      <c r="K336" s="224">
        <f>IFERROR(__xludf.DUMMYFUNCTION("""COMPUTED_VALUE"""),248.0)</f>
        <v>248</v>
      </c>
      <c r="L336" s="226">
        <f>IFERROR(__xludf.DUMMYFUNCTION("""COMPUTED_VALUE"""),1326704.0)</f>
        <v>1326704</v>
      </c>
      <c r="M336" s="227">
        <f>IFERROR(__xludf.DUMMYFUNCTION("""COMPUTED_VALUE"""),3.29022464E8)</f>
        <v>329022464</v>
      </c>
      <c r="N336" s="222"/>
      <c r="O336" s="222" t="str">
        <f>IFERROR(__xludf.DUMMYFUNCTION("""COMPUTED_VALUE"""),"0. DROP")</f>
        <v>0. DROP</v>
      </c>
      <c r="P336" s="222" t="str">
        <f>IFERROR(__xludf.DUMMYFUNCTION("""COMPUTED_VALUE"""),"0.2 Tidak Dapat Izin Warga/Kades/Lurah/Developer")</f>
        <v>0.2 Tidak Dapat Izin Warga/Kades/Lurah/Developer</v>
      </c>
      <c r="Q336" s="222" t="str">
        <f>IFERROR(__xludf.DUMMYFUNCTION("""COMPUTED_VALUE"""),"20/01 Lop TOP tidak turun Order (07/01) Persiapan")</f>
        <v>20/01 Lop TOP tidak turun Order (07/01) Persiapan</v>
      </c>
      <c r="R336" s="228"/>
      <c r="S336" s="11"/>
      <c r="T336" s="11"/>
      <c r="U336" s="11"/>
      <c r="V336" s="229"/>
      <c r="W336" s="229"/>
      <c r="X336" s="229" t="str">
        <f>IFERROR(__xludf.DUMMYFUNCTION("""COMPUTED_VALUE"""),"BELUM GOLIVE")</f>
        <v>BELUM GOLIVE</v>
      </c>
      <c r="Y336" s="229"/>
      <c r="Z336" s="229" t="str">
        <f>IFERROR(__xludf.DUMMYFUNCTION("""COMPUTED_VALUE"""),"#N/A")</f>
        <v>#N/A</v>
      </c>
      <c r="AA336" s="229"/>
      <c r="AB336" s="229"/>
      <c r="AC336" s="229"/>
      <c r="AD336" s="232"/>
      <c r="AE336" s="233"/>
      <c r="AF336" s="54"/>
      <c r="AG336" s="54"/>
      <c r="AH336" s="54"/>
      <c r="AI336" s="55" t="str">
        <f t="shared" si="49"/>
        <v/>
      </c>
      <c r="AW336" s="234"/>
      <c r="BP336" s="11"/>
      <c r="BQ336" s="11"/>
      <c r="BR336" s="235"/>
      <c r="BV336" s="158"/>
      <c r="BY336" s="158"/>
      <c r="CB336" s="158"/>
    </row>
    <row r="337" ht="18.0" hidden="1" customHeight="1">
      <c r="A337" s="222">
        <f>IFERROR(__xludf.DUMMYFUNCTION("""COMPUTED_VALUE"""),2026.0)</f>
        <v>2026</v>
      </c>
      <c r="B337" s="221">
        <f>IFERROR(__xludf.DUMMYFUNCTION("""COMPUTED_VALUE"""),1.1294215E7)</f>
        <v>11294215</v>
      </c>
      <c r="C337" s="222" t="str">
        <f>IFERROR(__xludf.DUMMYFUNCTION("""COMPUTED_VALUE"""),"SMU SIH-FAI CLUST PASAR LATONG")</f>
        <v>SMU SIH-FAI CLUST PASAR LATONG</v>
      </c>
      <c r="D337" s="222" t="str">
        <f>IFERROR(__xludf.DUMMYFUNCTION("""COMPUTED_VALUE"""),"REGIONAL I")</f>
        <v>REGIONAL I</v>
      </c>
      <c r="E337" s="222" t="str">
        <f>IFERROR(__xludf.DUMMYFUNCTION("""COMPUTED_VALUE"""),"SUMUT")</f>
        <v>SUMUT</v>
      </c>
      <c r="F337" s="222" t="str">
        <f>IFERROR(__xludf.DUMMYFUNCTION("""COMPUTED_VALUE"""),"SIH")</f>
        <v>SIH</v>
      </c>
      <c r="G337" s="222" t="str">
        <f>IFERROR(__xludf.DUMMYFUNCTION("""COMPUTED_VALUE"""),"SUMBAGUT")</f>
        <v>SUMBAGUT</v>
      </c>
      <c r="H337" s="222" t="str">
        <f>IFERROR(__xludf.DUMMYFUNCTION("""COMPUTED_VALUE"""),"RANTAU PRAPAT")</f>
        <v>RANTAU PRAPAT</v>
      </c>
      <c r="I337" s="222" t="str">
        <f>IFERROR(__xludf.DUMMYFUNCTION("""COMPUTED_VALUE"""),"Batch 2")</f>
        <v>Batch 2</v>
      </c>
      <c r="J337" s="225">
        <f>IFERROR(__xludf.DUMMYFUNCTION("""COMPUTED_VALUE"""),45.0)</f>
        <v>45</v>
      </c>
      <c r="K337" s="224">
        <f>IFERROR(__xludf.DUMMYFUNCTION("""COMPUTED_VALUE"""),360.0)</f>
        <v>360</v>
      </c>
      <c r="L337" s="226">
        <f>IFERROR(__xludf.DUMMYFUNCTION("""COMPUTED_VALUE"""),1325050.0)</f>
        <v>1325050</v>
      </c>
      <c r="M337" s="227">
        <f>IFERROR(__xludf.DUMMYFUNCTION("""COMPUTED_VALUE"""),4.77017805E8)</f>
        <v>477017805</v>
      </c>
      <c r="N337" s="222" t="str">
        <f>IFERROR(__xludf.DUMMYFUNCTION("""COMPUTED_VALUE"""),"PT MEDCOM SOLUTION")</f>
        <v>PT MEDCOM SOLUTION</v>
      </c>
      <c r="O337" s="222" t="str">
        <f>IFERROR(__xludf.DUMMYFUNCTION("""COMPUTED_VALUE"""),"2. DONE AANWIJZING")</f>
        <v>2. DONE AANWIJZING</v>
      </c>
      <c r="P337" s="222" t="str">
        <f>IFERROR(__xludf.DUMMYFUNCTION("""COMPUTED_VALUE"""),"2.6 Tunggu Hasil DRM - ada Kenaikan CPP")</f>
        <v>2.6 Tunggu Hasil DRM - ada Kenaikan CPP</v>
      </c>
      <c r="Q337" s="222" t="str">
        <f>IFERROR(__xludf.DUMMYFUNCTION("""COMPUTED_VALUE"""),"27/4 ada kenaikan cpp menjadi 1,5, 24/4 ada kenaikan cpp menjadi 1,5, 23/4 ada kenaikan cpp menjadi 1,5, 22/4 ada kenaikan cpp menjadi 1,5,  22/4 ada kenaikan cpp menjadi 1,4, 21/4 ada kenaikan cpp menjadi 1,4, 20/4 ada kenaikan cpp menjadi 1,4, 16/4 ada "&amp;"kenaikan cpp menjadi 1,4, 15/4 mitra blm mengirim revisi boq, 14/4 mitra blm mengirim revisi boq, 13/4 mitra blm mengiirm revisi boq, 9/4 plan malam ini mengirim revisi boq kml, 8/4 proses revisi boq kml, 6/4 proses revisi boq kml boq, 5/4 menunggu submit"&amp;" revisi boq survey pararel pengantar izin pu prov, 1/4 menunggu submit revisi boq survey pararel pengantar izin pu prov, 31/3 menunggu submit revisi boq survey pararel pengantar izin pu prov, 30/3 menunggu submit revisi boq survey pararel pengantar izin p"&amp;"u prov,  27/3 menunggu boq kml paralel pengantar izin pu prov,plan submit boq minggu 29 maret,  26/3 menunggu boq kml paralel pengantar izin pu prov, 22/3 menunggu boq kml paralel pengantar izin pu prov),  18/3 menunggu boq kml paralel pengantar izin pu p"&amp;"rov), 16/3 (butuh izin pu prov),plan submit boq kml survey besok 17 maret,  13/3  ( izin pu prov), menunggu boq kml survey, 
13/3  ( izin pu prov), menunggu boq kml survey,  11/3  ( izin pu prov), menunggu boq kml survey, 10/3  ( izin pu prov), menunggu b"&amp;"oq kml survey, 6/3  ( izin pu prov), menunggu boq kml survey, 5/3  ( izin pu prov), menunggu boq kml survey,  4/3  ( izin pu prov), menunggu boq kml survey, 3/3  ( izin pu prov), menunggu boq kml survey,  2/3  ( izin pu prov), menunggu boq kml survey,  27"&amp;"/2  ( izin pu prov), menunggu boq kml survey,  25/2 plan besok 26 feb submit boq kml survey ( izin pu prov),  24/2  menunggu boq kml survey ( izin pu prov),   23/2  menunggu boq kml survey ( izin pu prov),  20/2 plan hari ini team melakukan fu terkait izi"&amp;"n desa paralel menunggu boq kml survey ( izin pu prov), 19/2 menunggu boq kml survey ( butuh perizinan pu prov), 18/2 menunggu boq kml survey ( butuh perizinan pu prov) ,16/2 team serial survey di lop GNT FD CLUSTER PALUTA,  13/2 prepair team untuk survey"&amp;" est paling lambat 14 feb,  11/2 prepair team untuk survey est paling lambat 14 feb, 10/2 prepair team untuk survey est paling lambat 14 feb, 9/2 prepair team untuk survey est paling lambat 14 feb, 6/2 prepair team untuk survey est paling lambat 14 feb, 5"&amp;"/2 prepair team untuk survey est paling lambat 14 feb, 3/2 plan survey 5/2 (peralihan dari mitra truputra), 2/2 penunjukan mitra ( peralihan dari mitra triputra),  1/2 penunjukan mitra ( peralihan dari mitra triputra), 30/1 penunjukan mitra ( peralihan da"&amp;"ri mitra triputra), 28/1 penu jukan mitra ( peralihan dari mitra triputra), 27/1 plan survey tgl 28/1 23/1 plan survey tgl 27/1, 22/1 prepair team untuk pelaksanaan survey dilokasi ( pengalihan dari medcom),  21/1 plan survey 22/1 ,20/1 plan survey 21/1 ,"&amp;"  19/1 plan survey 20/1,  15/1 plan survey 20/1,  14/1 prepair team untuk penjadwalan survey dengan waspang, 13/1 menunggu info kelanjutan dari mitra, (07/01) Persiapan")</f>
        <v>27/4 ada kenaikan cpp menjadi 1,5, 24/4 ada kenaikan cpp menjadi 1,5, 23/4 ada kenaikan cpp menjadi 1,5, 22/4 ada kenaikan cpp menjadi 1,5,  22/4 ada kenaikan cpp menjadi 1,4, 21/4 ada kenaikan cpp menjadi 1,4, 20/4 ada kenaikan cpp menjadi 1,4, 16/4 ada kenaikan cpp menjadi 1,4, 15/4 mitra blm mengirim revisi boq, 14/4 mitra blm mengirim revisi boq, 13/4 mitra blm mengiirm revisi boq, 9/4 plan malam ini mengirim revisi boq kml, 8/4 proses revisi boq kml, 6/4 proses revisi boq kml boq, 5/4 menunggu submit revisi boq survey pararel pengantar izin pu prov, 1/4 menunggu submit revisi boq survey pararel pengantar izin pu prov, 31/3 menunggu submit revisi boq survey pararel pengantar izin pu prov, 30/3 menunggu submit revisi boq survey pararel pengantar izin pu prov,  27/3 menunggu boq kml paralel pengantar izin pu prov,plan submit boq minggu 29 maret,  26/3 menunggu boq kml paralel pengantar izin pu prov, 22/3 menunggu boq kml paralel pengantar izin pu prov),  18/3 menunggu boq kml paralel pengantar izin pu prov), 16/3 (butuh izin pu prov),plan submit boq kml survey besok 17 maret,  13/3  ( izin pu prov), menunggu boq kml survey, 
13/3  ( izin pu prov), menunggu boq kml survey,  11/3  ( izin pu prov), menunggu boq kml survey, 10/3  ( izin pu prov), menunggu boq kml survey, 6/3  ( izin pu prov), menunggu boq kml survey, 5/3  ( izin pu prov), menunggu boq kml survey,  4/3  ( izin pu prov), menunggu boq kml survey, 3/3  ( izin pu prov), menunggu boq kml survey,  2/3  ( izin pu prov), menunggu boq kml survey,  27/2  ( izin pu prov), menunggu boq kml survey,  25/2 plan besok 26 feb submit boq kml survey ( izin pu prov),  24/2  menunggu boq kml survey ( izin pu prov),   23/2  menunggu boq kml survey ( izin pu prov),  20/2 plan hari ini team melakukan fu terkait izin desa paralel menunggu boq kml survey ( izin pu prov), 19/2 menunggu boq kml survey ( butuh perizinan pu prov), 18/2 menunggu boq kml survey ( butuh perizinan pu prov) ,16/2 team serial survey di lop GNT FD CLUSTER PALUTA,  13/2 prepair team untuk survey est paling lambat 14 feb,  11/2 prepair team untuk survey est paling lambat 14 feb, 10/2 prepair team untuk survey est paling lambat 14 feb, 9/2 prepair team untuk survey est paling lambat 14 feb, 6/2 prepair team untuk survey est paling lambat 14 feb, 5/2 prepair team untuk survey est paling lambat 14 feb, 3/2 plan survey 5/2 (peralihan dari mitra truputra), 2/2 penunjukan mitra ( peralihan dari mitra triputra),  1/2 penunjukan mitra ( peralihan dari mitra triputra), 30/1 penunjukan mitra ( peralihan dari mitra triputra), 28/1 penu jukan mitra ( peralihan dari mitra triputra), 27/1 plan survey tgl 28/1 23/1 plan survey tgl 27/1, 22/1 prepair team untuk pelaksanaan survey dilokasi ( pengalihan dari medcom),  21/1 plan survey 22/1 ,20/1 plan survey 21/1 ,  19/1 plan survey 20/1,  15/1 plan survey 20/1,  14/1 prepair team untuk penjadwalan survey dengan waspang, 13/1 menunggu info kelanjutan dari mitra, (07/01) Persiapan</v>
      </c>
      <c r="R337" s="228"/>
      <c r="S337" s="11"/>
      <c r="T337" s="11"/>
      <c r="U337" s="11" t="str">
        <f>IFERROR(__xludf.DUMMYFUNCTION("""COMPUTED_VALUE"""),"W03-515/2025")</f>
        <v>W03-515/2025</v>
      </c>
      <c r="V337" s="229"/>
      <c r="W337" s="229"/>
      <c r="X337" s="229" t="str">
        <f>IFERROR(__xludf.DUMMYFUNCTION("""COMPUTED_VALUE"""),"BELUM GOLIVE")</f>
        <v>BELUM GOLIVE</v>
      </c>
      <c r="Y337" s="229" t="str">
        <f>IFERROR(__xludf.DUMMYFUNCTION("""COMPUTED_VALUE"""),"Izin pu")</f>
        <v>Izin pu</v>
      </c>
      <c r="Z337" s="229" t="str">
        <f>IFERROR(__xludf.DUMMYFUNCTION("""COMPUTED_VALUE"""),"#N/A")</f>
        <v>#N/A</v>
      </c>
      <c r="AA337" s="229"/>
      <c r="AB337" s="229"/>
      <c r="AC337" s="229"/>
      <c r="AD337" s="232"/>
      <c r="AE337" s="233"/>
      <c r="AF337" s="54"/>
      <c r="AG337" s="54"/>
      <c r="AH337" s="54"/>
      <c r="AI337" s="55" t="str">
        <f t="shared" si="49"/>
        <v/>
      </c>
      <c r="AW337" s="234"/>
      <c r="BP337" s="11"/>
      <c r="BQ337" s="11"/>
      <c r="BR337" s="235"/>
      <c r="BV337" s="158"/>
      <c r="BY337" s="158"/>
      <c r="CB337" s="158"/>
    </row>
    <row r="338" ht="18.0" customHeight="1">
      <c r="A338" s="222">
        <f>IFERROR(__xludf.DUMMYFUNCTION("""COMPUTED_VALUE"""),2026.0)</f>
        <v>2026</v>
      </c>
      <c r="B338" s="221">
        <f>IFERROR(__xludf.DUMMYFUNCTION("""COMPUTED_VALUE"""),1.2099106E7)</f>
        <v>12099106</v>
      </c>
      <c r="C338" s="222" t="str">
        <f>IFERROR(__xludf.DUMMYFUNCTION("""COMPUTED_VALUE"""),"RKP TSEL PT3 NGS-FAD KOTA BATAM_27848")</f>
        <v>RKP TSEL PT3 NGS-FAD KOTA BATAM_27848</v>
      </c>
      <c r="D338" s="222" t="str">
        <f>IFERROR(__xludf.DUMMYFUNCTION("""COMPUTED_VALUE"""),"REGIONAL I")</f>
        <v>REGIONAL I</v>
      </c>
      <c r="E338" s="222" t="str">
        <f>IFERROR(__xludf.DUMMYFUNCTION("""COMPUTED_VALUE"""),"RIKEP")</f>
        <v>RIKEP</v>
      </c>
      <c r="F338" s="222" t="str">
        <f>IFERROR(__xludf.DUMMYFUNCTION("""COMPUTED_VALUE"""),"NGS")</f>
        <v>NGS</v>
      </c>
      <c r="G338" s="222" t="str">
        <f>IFERROR(__xludf.DUMMYFUNCTION("""COMPUTED_VALUE"""),"SUMBAGTENG")</f>
        <v>SUMBAGTENG</v>
      </c>
      <c r="H338" s="222" t="str">
        <f>IFERROR(__xludf.DUMMYFUNCTION("""COMPUTED_VALUE"""),"BATAM")</f>
        <v>BATAM</v>
      </c>
      <c r="I338" s="222" t="str">
        <f>IFERROR(__xludf.DUMMYFUNCTION("""COMPUTED_VALUE"""),"Batch 2")</f>
        <v>Batch 2</v>
      </c>
      <c r="J338" s="225">
        <f>IFERROR(__xludf.DUMMYFUNCTION("""COMPUTED_VALUE"""),7.0)</f>
        <v>7</v>
      </c>
      <c r="K338" s="224">
        <f>IFERROR(__xludf.DUMMYFUNCTION("""COMPUTED_VALUE"""),56.0)</f>
        <v>56</v>
      </c>
      <c r="L338" s="226">
        <f>IFERROR(__xludf.DUMMYFUNCTION("""COMPUTED_VALUE"""),1324260.0)</f>
        <v>1324260</v>
      </c>
      <c r="M338" s="227">
        <f>IFERROR(__xludf.DUMMYFUNCTION("""COMPUTED_VALUE"""),7.4158519E7)</f>
        <v>74158519</v>
      </c>
      <c r="N338" s="222" t="str">
        <f>IFERROR(__xludf.DUMMYFUNCTION("""COMPUTED_VALUE"""),"PT MITRA AKSES INSANI")</f>
        <v>PT MITRA AKSES INSANI</v>
      </c>
      <c r="O338" s="222" t="str">
        <f>IFERROR(__xludf.DUMMYFUNCTION("""COMPUTED_VALUE"""),"3. PERIZINAN")</f>
        <v>3. PERIZINAN</v>
      </c>
      <c r="P338" s="222" t="str">
        <f>IFERROR(__xludf.DUMMYFUNCTION("""COMPUTED_VALUE"""),"3.9 Izin Kades / Lurah / RTRW")</f>
        <v>3.9 Izin Kades / Lurah / RTRW</v>
      </c>
      <c r="Q338" s="222" t="str">
        <f>IFERROR(__xludf.DUMMYFUNCTION("""COMPUTED_VALUE"""),"22/07 pihak CLT masih belum acc jalur yang melewati perusahaan mereka. 
17/04 pihak kampung tua meminta kompensasi 7jt, namun jalur yang lewat kawasan PT CLT belum ada konfirmasi dari pimpinan perusahaan, sudah di nego kembali namun harga tetap dengan nil"&amp;"ai awal. 
30/03 pihak kampung tua meminta kompensasi 7jt, namun jalur yang lewat kawasan PT CLT belum ada konfirmasi dari pimpinan perusahaan. .03/03 pihak kampung tua meminta kompensasi 7jt, namun jalur yang lewat kawasan PT CLT belum ada konfirmasi. 16/"&amp;"02 Proses perizinan. 09/02 belum di survey karena, PIC mitra masih fokus di installasi dan LOP butuh percepatan dari Telkomsel. 29/01 Plan survey tanggal 30 karena PIC mitra sdg berhalangan. 28/01 Plan survey 29 Jan. 22/01 Plan survey 24 Jan ")</f>
        <v>22/07 pihak CLT masih belum acc jalur yang melewati perusahaan mereka. 
17/04 pihak kampung tua meminta kompensasi 7jt, namun jalur yang lewat kawasan PT CLT belum ada konfirmasi dari pimpinan perusahaan, sudah di nego kembali namun harga tetap dengan nilai awal. 
30/03 pihak kampung tua meminta kompensasi 7jt, namun jalur yang lewat kawasan PT CLT belum ada konfirmasi dari pimpinan perusahaan. .03/03 pihak kampung tua meminta kompensasi 7jt, namun jalur yang lewat kawasan PT CLT belum ada konfirmasi. 16/02 Proses perizinan. 09/02 belum di survey karena, PIC mitra masih fokus di installasi dan LOP butuh percepatan dari Telkomsel. 29/01 Plan survey tanggal 30 karena PIC mitra sdg berhalangan. 28/01 Plan survey 29 Jan. 22/01 Plan survey 24 Jan </v>
      </c>
      <c r="R338" s="228"/>
      <c r="S338" s="11"/>
      <c r="T338" s="11"/>
      <c r="U338" s="11"/>
      <c r="V338" s="229" t="str">
        <f>IFERROR(__xludf.DUMMYFUNCTION("""COMPUTED_VALUE"""),"GANI PRASTYO")</f>
        <v>GANI PRASTYO</v>
      </c>
      <c r="W338" s="229" t="str">
        <f>IFERROR(__xludf.DUMMYFUNCTION("""COMPUTED_VALUE"""),"LEVITA INDRIYANI")</f>
        <v>LEVITA INDRIYANI</v>
      </c>
      <c r="X338" s="229" t="str">
        <f>IFERROR(__xludf.DUMMYFUNCTION("""COMPUTED_VALUE"""),"BELUM GOLIVE")</f>
        <v>BELUM GOLIVE</v>
      </c>
      <c r="Y338" s="229"/>
      <c r="Z338" s="229" t="str">
        <f>IFERROR(__xludf.DUMMYFUNCTION("""COMPUTED_VALUE"""),"#N/A")</f>
        <v>#N/A</v>
      </c>
      <c r="AA338" s="229"/>
      <c r="AB338" s="229"/>
      <c r="AC338" s="229"/>
      <c r="AD338" s="232"/>
      <c r="AE338" s="233"/>
      <c r="AF338" s="54"/>
      <c r="AG338" s="54"/>
      <c r="AH338" s="54"/>
      <c r="AI338" s="55" t="str">
        <f t="shared" si="49"/>
        <v/>
      </c>
      <c r="AW338" s="234"/>
      <c r="BP338" s="11"/>
      <c r="BQ338" s="11"/>
      <c r="BR338" s="235"/>
      <c r="BV338" s="158"/>
      <c r="BY338" s="158"/>
      <c r="CB338" s="158"/>
    </row>
    <row r="339" ht="18.0" hidden="1" customHeight="1">
      <c r="A339" s="222">
        <f>IFERROR(__xludf.DUMMYFUNCTION("""COMPUTED_VALUE"""),2026.0)</f>
        <v>2026</v>
      </c>
      <c r="B339" s="221">
        <f>IFERROR(__xludf.DUMMYFUNCTION("""COMPUTED_VALUE"""),1.1219907E7)</f>
        <v>11219907</v>
      </c>
      <c r="C339" s="222" t="str">
        <f>IFERROR(__xludf.DUMMYFUNCTION("""COMPUTED_VALUE"""),"MDN PT3 CTD-FCR GRIYA MENCIRIM INDAH")</f>
        <v>MDN PT3 CTD-FCR GRIYA MENCIRIM INDAH</v>
      </c>
      <c r="D339" s="222" t="str">
        <f>IFERROR(__xludf.DUMMYFUNCTION("""COMPUTED_VALUE"""),"REGIONAL I")</f>
        <v>REGIONAL I</v>
      </c>
      <c r="E339" s="222" t="str">
        <f>IFERROR(__xludf.DUMMYFUNCTION("""COMPUTED_VALUE"""),"MEDAN")</f>
        <v>MEDAN</v>
      </c>
      <c r="F339" s="222" t="str">
        <f>IFERROR(__xludf.DUMMYFUNCTION("""COMPUTED_VALUE"""),"CTD")</f>
        <v>CTD</v>
      </c>
      <c r="G339" s="222" t="str">
        <f>IFERROR(__xludf.DUMMYFUNCTION("""COMPUTED_VALUE"""),"SUMBAGUT")</f>
        <v>SUMBAGUT</v>
      </c>
      <c r="H339" s="222" t="str">
        <f>IFERROR(__xludf.DUMMYFUNCTION("""COMPUTED_VALUE"""),"MEDAN")</f>
        <v>MEDAN</v>
      </c>
      <c r="I339" s="222" t="str">
        <f>IFERROR(__xludf.DUMMYFUNCTION("""COMPUTED_VALUE"""),"Batch 2")</f>
        <v>Batch 2</v>
      </c>
      <c r="J339" s="225">
        <f>IFERROR(__xludf.DUMMYFUNCTION("""COMPUTED_VALUE"""),7.0)</f>
        <v>7</v>
      </c>
      <c r="K339" s="224">
        <f>IFERROR(__xludf.DUMMYFUNCTION("""COMPUTED_VALUE"""),56.0)</f>
        <v>56</v>
      </c>
      <c r="L339" s="226">
        <f>IFERROR(__xludf.DUMMYFUNCTION("""COMPUTED_VALUE"""),1323867.0)</f>
        <v>1323867</v>
      </c>
      <c r="M339" s="227">
        <f>IFERROR(__xludf.DUMMYFUNCTION("""COMPUTED_VALUE"""),7.4136506E7)</f>
        <v>74136506</v>
      </c>
      <c r="N339" s="222" t="str">
        <f>IFERROR(__xludf.DUMMYFUNCTION("""COMPUTED_VALUE"""),"PT MILFHA MUTIARA PRIMA")</f>
        <v>PT MILFHA MUTIARA PRIMA</v>
      </c>
      <c r="O339" s="222" t="str">
        <f>IFERROR(__xludf.DUMMYFUNCTION("""COMPUTED_VALUE"""),"0. DROP")</f>
        <v>0. DROP</v>
      </c>
      <c r="P339" s="222" t="str">
        <f>IFERROR(__xludf.DUMMYFUNCTION("""COMPUTED_VALUE"""),"0.4 CPP Tinggi Acc ED TIF")</f>
        <v>0.4 CPP Tinggi Acc ED TIF</v>
      </c>
      <c r="Q339" s="222" t="str">
        <f>IFERROR(__xludf.DUMMYFUNCTION("""COMPUTED_VALUE"""),"(07/01) Persiapan")</f>
        <v>(07/01) Persiapan</v>
      </c>
      <c r="R339" s="228"/>
      <c r="S339" s="11"/>
      <c r="T339" s="11"/>
      <c r="U339" s="11"/>
      <c r="V339" s="229"/>
      <c r="W339" s="229"/>
      <c r="X339" s="229" t="str">
        <f>IFERROR(__xludf.DUMMYFUNCTION("""COMPUTED_VALUE"""),"BELUM GOLIVE")</f>
        <v>BELUM GOLIVE</v>
      </c>
      <c r="Y339" s="229"/>
      <c r="Z339" s="229" t="str">
        <f>IFERROR(__xludf.DUMMYFUNCTION("""COMPUTED_VALUE"""),"#N/A")</f>
        <v>#N/A</v>
      </c>
      <c r="AA339" s="229"/>
      <c r="AB339" s="229"/>
      <c r="AC339" s="229"/>
      <c r="AD339" s="232"/>
      <c r="AE339" s="233"/>
      <c r="AF339" s="54" t="str">
        <f>IFERROR(__xludf.DUMMYFUNCTION("""COMPUTED_VALUE"""),"Draft BA DROP")</f>
        <v>Draft BA DROP</v>
      </c>
      <c r="AG339" s="54"/>
      <c r="AH339" s="54"/>
      <c r="AI339" s="55" t="str">
        <f t="shared" si="49"/>
        <v/>
      </c>
      <c r="AW339" s="234"/>
      <c r="BP339" s="11"/>
      <c r="BQ339" s="11"/>
      <c r="BR339" s="235"/>
      <c r="BV339" s="158"/>
      <c r="BY339" s="158"/>
      <c r="CB339" s="158"/>
    </row>
    <row r="340" ht="18.0" hidden="1" customHeight="1">
      <c r="A340" s="222">
        <f>IFERROR(__xludf.DUMMYFUNCTION("""COMPUTED_VALUE"""),2026.0)</f>
        <v>2026</v>
      </c>
      <c r="B340" s="221">
        <f>IFERROR(__xludf.DUMMYFUNCTION("""COMPUTED_VALUE"""),1.2085972E7)</f>
        <v>12085972</v>
      </c>
      <c r="C340" s="222" t="str">
        <f>IFERROR(__xludf.DUMMYFUNCTION("""COMPUTED_VALUE"""),"LPG PT3 LAMPUNG BARAT_1803 LIW")</f>
        <v>LPG PT3 LAMPUNG BARAT_1803 LIW</v>
      </c>
      <c r="D340" s="222" t="str">
        <f>IFERROR(__xludf.DUMMYFUNCTION("""COMPUTED_VALUE"""),"REGIONAL I")</f>
        <v>REGIONAL I</v>
      </c>
      <c r="E340" s="222" t="str">
        <f>IFERROR(__xludf.DUMMYFUNCTION("""COMPUTED_VALUE"""),"LAMPUNG")</f>
        <v>LAMPUNG</v>
      </c>
      <c r="F340" s="222" t="str">
        <f>IFERROR(__xludf.DUMMYFUNCTION("""COMPUTED_VALUE"""),"LIW")</f>
        <v>LIW</v>
      </c>
      <c r="G340" s="222" t="str">
        <f>IFERROR(__xludf.DUMMYFUNCTION("""COMPUTED_VALUE"""),"SUMBAGSEL")</f>
        <v>SUMBAGSEL</v>
      </c>
      <c r="H340" s="222" t="str">
        <f>IFERROR(__xludf.DUMMYFUNCTION("""COMPUTED_VALUE"""),"LAMPUNG")</f>
        <v>LAMPUNG</v>
      </c>
      <c r="I340" s="222" t="str">
        <f>IFERROR(__xludf.DUMMYFUNCTION("""COMPUTED_VALUE"""),"Batch 2")</f>
        <v>Batch 2</v>
      </c>
      <c r="J340" s="225">
        <f>IFERROR(__xludf.DUMMYFUNCTION("""COMPUTED_VALUE"""),6.0)</f>
        <v>6</v>
      </c>
      <c r="K340" s="224">
        <f>IFERROR(__xludf.DUMMYFUNCTION("""COMPUTED_VALUE"""),48.0)</f>
        <v>48</v>
      </c>
      <c r="L340" s="226">
        <f>IFERROR(__xludf.DUMMYFUNCTION("""COMPUTED_VALUE"""),1323203.0)</f>
        <v>1323203</v>
      </c>
      <c r="M340" s="227">
        <f>IFERROR(__xludf.DUMMYFUNCTION("""COMPUTED_VALUE"""),6.3513713E7)</f>
        <v>63513713</v>
      </c>
      <c r="N340" s="222" t="str">
        <f>IFERROR(__xludf.DUMMYFUNCTION("""COMPUTED_VALUE"""),"PT GARINDO TECHNO MANDIRI")</f>
        <v>PT GARINDO TECHNO MANDIRI</v>
      </c>
      <c r="O340" s="222" t="str">
        <f>IFERROR(__xludf.DUMMYFUNCTION("""COMPUTED_VALUE"""),"0. DROP")</f>
        <v>0. DROP</v>
      </c>
      <c r="P340" s="222" t="str">
        <f>IFERROR(__xludf.DUMMYFUNCTION("""COMPUTED_VALUE"""),"0.1 Double Order")</f>
        <v>0.1 Double Order</v>
      </c>
      <c r="Q340" s="222" t="str">
        <f>IFERROR(__xludf.DUMMYFUNCTION("""COMPUTED_VALUE"""),"27/2  sudah Hidup di lop  LIWA JATIMULYO liw 
25/2 REDISG MENJADI LOP TEMBAHANG LIWA 
14/1 Tidak dapat izin dari lurah")</f>
        <v>27/2  sudah Hidup di lop  LIWA JATIMULYO liw 
25/2 REDISG MENJADI LOP TEMBAHANG LIWA 
14/1 Tidak dapat izin dari lurah</v>
      </c>
      <c r="R340" s="228"/>
      <c r="S340" s="11"/>
      <c r="T340" s="11"/>
      <c r="U340" s="11"/>
      <c r="V340" s="229"/>
      <c r="W340" s="229"/>
      <c r="X340" s="229" t="str">
        <f>IFERROR(__xludf.DUMMYFUNCTION("""COMPUTED_VALUE"""),"BELUM GOLIVE")</f>
        <v>BELUM GOLIVE</v>
      </c>
      <c r="Y340" s="229"/>
      <c r="Z340" s="229" t="str">
        <f>IFERROR(__xludf.DUMMYFUNCTION("""COMPUTED_VALUE"""),"#N/A")</f>
        <v>#N/A</v>
      </c>
      <c r="AA340" s="229"/>
      <c r="AB340" s="229"/>
      <c r="AC340" s="229"/>
      <c r="AD340" s="232"/>
      <c r="AE340" s="233"/>
      <c r="AF340" s="54" t="str">
        <f>IFERROR(__xludf.DUMMYFUNCTION("""COMPUTED_VALUE"""),"Draft BA DROP")</f>
        <v>Draft BA DROP</v>
      </c>
      <c r="AG340" s="54"/>
      <c r="AH340" s="54"/>
      <c r="AI340" s="55" t="str">
        <f t="shared" si="49"/>
        <v/>
      </c>
      <c r="AW340" s="234"/>
      <c r="BP340" s="11"/>
      <c r="BQ340" s="11"/>
      <c r="BR340" s="235"/>
      <c r="BV340" s="158"/>
      <c r="BY340" s="158"/>
      <c r="CB340" s="158"/>
    </row>
    <row r="341" ht="18.0" hidden="1" customHeight="1">
      <c r="A341" s="222">
        <f>IFERROR(__xludf.DUMMYFUNCTION("""COMPUTED_VALUE"""),2026.0)</f>
        <v>2026</v>
      </c>
      <c r="B341" s="221">
        <f>IFERROR(__xludf.DUMMYFUNCTION("""COMPUTED_VALUE"""),1.1332892E7)</f>
        <v>11332892</v>
      </c>
      <c r="C341" s="222" t="str">
        <f>IFERROR(__xludf.DUMMYFUNCTION("""COMPUTED_VALUE"""),"MDN PT3 P7I13 TTG-FK JL.BAKTI")</f>
        <v>MDN PT3 P7I13 TTG-FK JL.BAKTI</v>
      </c>
      <c r="D341" s="222" t="str">
        <f>IFERROR(__xludf.DUMMYFUNCTION("""COMPUTED_VALUE"""),"REGIONAL I")</f>
        <v>REGIONAL I</v>
      </c>
      <c r="E341" s="222" t="str">
        <f>IFERROR(__xludf.DUMMYFUNCTION("""COMPUTED_VALUE"""),"MEDAN")</f>
        <v>MEDAN</v>
      </c>
      <c r="F341" s="222" t="str">
        <f>IFERROR(__xludf.DUMMYFUNCTION("""COMPUTED_VALUE"""),"TTG")</f>
        <v>TTG</v>
      </c>
      <c r="G341" s="222" t="str">
        <f>IFERROR(__xludf.DUMMYFUNCTION("""COMPUTED_VALUE"""),"SUMBAGUT")</f>
        <v>SUMBAGUT</v>
      </c>
      <c r="H341" s="222" t="str">
        <f>IFERROR(__xludf.DUMMYFUNCTION("""COMPUTED_VALUE"""),"MEDAN")</f>
        <v>MEDAN</v>
      </c>
      <c r="I341" s="222" t="str">
        <f>IFERROR(__xludf.DUMMYFUNCTION("""COMPUTED_VALUE"""),"Batch 2")</f>
        <v>Batch 2</v>
      </c>
      <c r="J341" s="225">
        <f>IFERROR(__xludf.DUMMYFUNCTION("""COMPUTED_VALUE"""),14.0)</f>
        <v>14</v>
      </c>
      <c r="K341" s="224">
        <f>IFERROR(__xludf.DUMMYFUNCTION("""COMPUTED_VALUE"""),112.0)</f>
        <v>112</v>
      </c>
      <c r="L341" s="226">
        <f>IFERROR(__xludf.DUMMYFUNCTION("""COMPUTED_VALUE"""),576503.0)</f>
        <v>576503</v>
      </c>
      <c r="M341" s="227">
        <f>IFERROR(__xludf.DUMMYFUNCTION("""COMPUTED_VALUE"""),6.4568334E7)</f>
        <v>64568334</v>
      </c>
      <c r="N341" s="222" t="str">
        <f>IFERROR(__xludf.DUMMYFUNCTION("""COMPUTED_VALUE"""),"SWAKELOLA")</f>
        <v>SWAKELOLA</v>
      </c>
      <c r="O341" s="222" t="str">
        <f>IFERROR(__xludf.DUMMYFUNCTION("""COMPUTED_VALUE"""),"1. AANWIJZING")</f>
        <v>1. AANWIJZING</v>
      </c>
      <c r="P341" s="222" t="str">
        <f>IFERROR(__xludf.DUMMYFUNCTION("""COMPUTED_VALUE"""),"1.6 Ongoing Aanwidjzing")</f>
        <v>1.6 Ongoing Aanwidjzing</v>
      </c>
      <c r="Q341" s="222" t="str">
        <f>IFERROR(__xludf.DUMMYFUNCTION("""COMPUTED_VALUE"""),"20/04 pengecekan ulang core terkendala (07/01) Persiapan")</f>
        <v>20/04 pengecekan ulang core terkendala (07/01) Persiapan</v>
      </c>
      <c r="R341" s="228"/>
      <c r="S341" s="11"/>
      <c r="T341" s="11"/>
      <c r="U341" s="11"/>
      <c r="V341" s="229"/>
      <c r="W341" s="229"/>
      <c r="X341" s="229" t="str">
        <f>IFERROR(__xludf.DUMMYFUNCTION("""COMPUTED_VALUE"""),"BELUM GOLIVE")</f>
        <v>BELUM GOLIVE</v>
      </c>
      <c r="Y341" s="229"/>
      <c r="Z341" s="229" t="str">
        <f>IFERROR(__xludf.DUMMYFUNCTION("""COMPUTED_VALUE"""),"#N/A")</f>
        <v>#N/A</v>
      </c>
      <c r="AA341" s="229"/>
      <c r="AB341" s="229"/>
      <c r="AC341" s="229"/>
      <c r="AD341" s="232"/>
      <c r="AE341" s="233"/>
      <c r="AF341" s="54"/>
      <c r="AG341" s="54"/>
      <c r="AH341" s="54"/>
      <c r="AI341" s="55" t="str">
        <f t="shared" si="49"/>
        <v/>
      </c>
      <c r="AW341" s="234"/>
      <c r="BP341" s="11"/>
      <c r="BQ341" s="11"/>
      <c r="BR341" s="235"/>
      <c r="BV341" s="158"/>
      <c r="BY341" s="158"/>
      <c r="CB341" s="158"/>
    </row>
    <row r="342" ht="18.0" hidden="1" customHeight="1">
      <c r="A342" s="222">
        <f>IFERROR(__xludf.DUMMYFUNCTION("""COMPUTED_VALUE"""),2026.0)</f>
        <v>2026</v>
      </c>
      <c r="B342" s="221">
        <f>IFERROR(__xludf.DUMMYFUNCTION("""COMPUTED_VALUE"""),1.1197078E7)</f>
        <v>11197078</v>
      </c>
      <c r="C342" s="222" t="str">
        <f>IFERROR(__xludf.DUMMYFUNCTION("""COMPUTED_VALUE"""),"MDN PT3 P7I7 CTD-FCV MENCIRIM BOULEVARD")</f>
        <v>MDN PT3 P7I7 CTD-FCV MENCIRIM BOULEVARD</v>
      </c>
      <c r="D342" s="222" t="str">
        <f>IFERROR(__xludf.DUMMYFUNCTION("""COMPUTED_VALUE"""),"REGIONAL I")</f>
        <v>REGIONAL I</v>
      </c>
      <c r="E342" s="222" t="str">
        <f>IFERROR(__xludf.DUMMYFUNCTION("""COMPUTED_VALUE"""),"MEDAN")</f>
        <v>MEDAN</v>
      </c>
      <c r="F342" s="222" t="str">
        <f>IFERROR(__xludf.DUMMYFUNCTION("""COMPUTED_VALUE"""),"CTD")</f>
        <v>CTD</v>
      </c>
      <c r="G342" s="222" t="str">
        <f>IFERROR(__xludf.DUMMYFUNCTION("""COMPUTED_VALUE"""),"SUMBAGUT")</f>
        <v>SUMBAGUT</v>
      </c>
      <c r="H342" s="222" t="str">
        <f>IFERROR(__xludf.DUMMYFUNCTION("""COMPUTED_VALUE"""),"MEDAN")</f>
        <v>MEDAN</v>
      </c>
      <c r="I342" s="222" t="str">
        <f>IFERROR(__xludf.DUMMYFUNCTION("""COMPUTED_VALUE"""),"Batch 2")</f>
        <v>Batch 2</v>
      </c>
      <c r="J342" s="225">
        <f>IFERROR(__xludf.DUMMYFUNCTION("""COMPUTED_VALUE"""),2.0)</f>
        <v>2</v>
      </c>
      <c r="K342" s="224">
        <f>IFERROR(__xludf.DUMMYFUNCTION("""COMPUTED_VALUE"""),16.0)</f>
        <v>16</v>
      </c>
      <c r="L342" s="226">
        <f>IFERROR(__xludf.DUMMYFUNCTION("""COMPUTED_VALUE"""),1322837.0)</f>
        <v>1322837</v>
      </c>
      <c r="M342" s="227">
        <f>IFERROR(__xludf.DUMMYFUNCTION("""COMPUTED_VALUE"""),2.1165377E7)</f>
        <v>21165377</v>
      </c>
      <c r="N342" s="222" t="str">
        <f>IFERROR(__xludf.DUMMYFUNCTION("""COMPUTED_VALUE"""),"PT MILFHA MUTIARA PRIMA")</f>
        <v>PT MILFHA MUTIARA PRIMA</v>
      </c>
      <c r="O342" s="222" t="str">
        <f>IFERROR(__xludf.DUMMYFUNCTION("""COMPUTED_VALUE"""),"0. DROP")</f>
        <v>0. DROP</v>
      </c>
      <c r="P342" s="222" t="str">
        <f>IFERROR(__xludf.DUMMYFUNCTION("""COMPUTED_VALUE"""),"0.4 CPP Tinggi Acc ED TIF")</f>
        <v>0.4 CPP Tinggi Acc ED TIF</v>
      </c>
      <c r="Q342" s="222" t="str">
        <f>IFERROR(__xludf.DUMMYFUNCTION("""COMPUTED_VALUE"""),"0302 menunggu info CHAM (DODY) 02/02 Aanwidzing ok, lanjut perizinan kepling")</f>
        <v>0302 menunggu info CHAM (DODY) 02/02 Aanwidzing ok, lanjut perizinan kepling</v>
      </c>
      <c r="R342" s="228"/>
      <c r="S342" s="11"/>
      <c r="T342" s="11"/>
      <c r="U342" s="11"/>
      <c r="V342" s="229"/>
      <c r="W342" s="229"/>
      <c r="X342" s="229" t="str">
        <f>IFERROR(__xludf.DUMMYFUNCTION("""COMPUTED_VALUE"""),"BELUM GOLIVE")</f>
        <v>BELUM GOLIVE</v>
      </c>
      <c r="Y342" s="229"/>
      <c r="Z342" s="229" t="str">
        <f>IFERROR(__xludf.DUMMYFUNCTION("""COMPUTED_VALUE"""),"#N/A")</f>
        <v>#N/A</v>
      </c>
      <c r="AA342" s="229"/>
      <c r="AB342" s="229"/>
      <c r="AC342" s="229"/>
      <c r="AD342" s="232"/>
      <c r="AE342" s="233"/>
      <c r="AF342" s="54" t="str">
        <f>IFERROR(__xludf.DUMMYFUNCTION("""COMPUTED_VALUE"""),"Draft BA DROP")</f>
        <v>Draft BA DROP</v>
      </c>
      <c r="AG342" s="54"/>
      <c r="AH342" s="54"/>
      <c r="AI342" s="55" t="str">
        <f t="shared" si="49"/>
        <v/>
      </c>
      <c r="AW342" s="234"/>
      <c r="BP342" s="11"/>
      <c r="BQ342" s="11"/>
      <c r="BR342" s="235"/>
      <c r="BV342" s="158"/>
      <c r="BY342" s="158"/>
      <c r="CB342" s="158"/>
    </row>
    <row r="343" ht="18.0" customHeight="1">
      <c r="A343" s="222">
        <f>IFERROR(__xludf.DUMMYFUNCTION("""COMPUTED_VALUE"""),2026.0)</f>
        <v>2026</v>
      </c>
      <c r="B343" s="221">
        <f>IFERROR(__xludf.DUMMYFUNCTION("""COMPUTED_VALUE"""),1.1540996E7)</f>
        <v>11540996</v>
      </c>
      <c r="C343" s="222" t="str">
        <f>IFERROR(__xludf.DUMMYFUNCTION("""COMPUTED_VALUE"""),"RDR DUM PT3 P3I1 SOEKARNO HATTA BKK")</f>
        <v>RDR DUM PT3 P3I1 SOEKARNO HATTA BKK</v>
      </c>
      <c r="D343" s="222" t="str">
        <f>IFERROR(__xludf.DUMMYFUNCTION("""COMPUTED_VALUE"""),"REGIONAL I")</f>
        <v>REGIONAL I</v>
      </c>
      <c r="E343" s="222" t="str">
        <f>IFERROR(__xludf.DUMMYFUNCTION("""COMPUTED_VALUE"""),"RIDAR")</f>
        <v>RIDAR</v>
      </c>
      <c r="F343" s="222" t="str">
        <f>IFERROR(__xludf.DUMMYFUNCTION("""COMPUTED_VALUE"""),"DUM")</f>
        <v>DUM</v>
      </c>
      <c r="G343" s="222" t="str">
        <f>IFERROR(__xludf.DUMMYFUNCTION("""COMPUTED_VALUE"""),"SUMBAGTENG")</f>
        <v>SUMBAGTENG</v>
      </c>
      <c r="H343" s="222" t="str">
        <f>IFERROR(__xludf.DUMMYFUNCTION("""COMPUTED_VALUE"""),"DUMAI")</f>
        <v>DUMAI</v>
      </c>
      <c r="I343" s="222" t="str">
        <f>IFERROR(__xludf.DUMMYFUNCTION("""COMPUTED_VALUE"""),"Batch 2")</f>
        <v>Batch 2</v>
      </c>
      <c r="J343" s="225">
        <f>IFERROR(__xludf.DUMMYFUNCTION("""COMPUTED_VALUE"""),13.0)</f>
        <v>13</v>
      </c>
      <c r="K343" s="224">
        <f>IFERROR(__xludf.DUMMYFUNCTION("""COMPUTED_VALUE"""),104.0)</f>
        <v>104</v>
      </c>
      <c r="L343" s="226">
        <f>IFERROR(__xludf.DUMMYFUNCTION("""COMPUTED_VALUE"""),1322266.0)</f>
        <v>1322266</v>
      </c>
      <c r="M343" s="227">
        <f>IFERROR(__xludf.DUMMYFUNCTION("""COMPUTED_VALUE"""),1.37515598E8)</f>
        <v>137515598</v>
      </c>
      <c r="N343" s="222" t="str">
        <f>IFERROR(__xludf.DUMMYFUNCTION("""COMPUTED_VALUE"""),"PT TIGA AKSES MANDIRI")</f>
        <v>PT TIGA AKSES MANDIRI</v>
      </c>
      <c r="O343" s="222" t="str">
        <f>IFERROR(__xludf.DUMMYFUNCTION("""COMPUTED_VALUE"""),"2. DONE AANWIJZING")</f>
        <v>2. DONE AANWIJZING</v>
      </c>
      <c r="P343" s="222" t="str">
        <f>IFERROR(__xludf.DUMMYFUNCTION("""COMPUTED_VALUE"""),"2.10 Kendala - Feeder Rusak")</f>
        <v>2.10 Kendala - Feeder Rusak</v>
      </c>
      <c r="Q343" s="222" t="str">
        <f>IFERROR(__xludf.DUMMYFUNCTION("""COMPUTED_VALUE"""),"20/04 Pengambilan ulang hasil ukur OTDR 13/04 Survey ulang kebutuhan QE 08/04 Survey ulang kebutuhan QE 20/01 Drop kendala feeder(07/01) Persiapan")</f>
        <v>20/04 Pengambilan ulang hasil ukur OTDR 13/04 Survey ulang kebutuhan QE 08/04 Survey ulang kebutuhan QE 20/01 Drop kendala feeder(07/01) Persiapan</v>
      </c>
      <c r="R343" s="228"/>
      <c r="S343" s="11"/>
      <c r="T343" s="11"/>
      <c r="U343" s="11"/>
      <c r="V343" s="229" t="str">
        <f>IFERROR(__xludf.DUMMYFUNCTION("""COMPUTED_VALUE"""),"FIRDAUS ZULKARNAIEN")</f>
        <v>FIRDAUS ZULKARNAIEN</v>
      </c>
      <c r="W343" s="229" t="str">
        <f>IFERROR(__xludf.DUMMYFUNCTION("""COMPUTED_VALUE"""),"ANZALA SAKINAH")</f>
        <v>ANZALA SAKINAH</v>
      </c>
      <c r="X343" s="229" t="str">
        <f>IFERROR(__xludf.DUMMYFUNCTION("""COMPUTED_VALUE"""),"BELUM GOLIVE")</f>
        <v>BELUM GOLIVE</v>
      </c>
      <c r="Y343" s="229"/>
      <c r="Z343" s="229" t="str">
        <f>IFERROR(__xludf.DUMMYFUNCTION("""COMPUTED_VALUE"""),"#N/A")</f>
        <v>#N/A</v>
      </c>
      <c r="AA343" s="229"/>
      <c r="AB343" s="229"/>
      <c r="AC343" s="229"/>
      <c r="AD343" s="232"/>
      <c r="AE343" s="233"/>
      <c r="AF343" s="54"/>
      <c r="AG343" s="54"/>
      <c r="AH343" s="54">
        <v>46129.0</v>
      </c>
      <c r="AI343" s="237">
        <f>AH343-NOW()</f>
        <v>-11.37798988</v>
      </c>
      <c r="AJ343" s="229" t="str">
        <f>if(AI343&gt;=0,"In Komitmen","Out Komitmen")</f>
        <v>Out Komitmen</v>
      </c>
      <c r="AW343" s="234"/>
      <c r="BP343" s="11"/>
      <c r="BQ343" s="11"/>
      <c r="BR343" s="235"/>
      <c r="BV343" s="158"/>
      <c r="BY343" s="158"/>
      <c r="CB343" s="158"/>
    </row>
    <row r="344" ht="18.0" customHeight="1">
      <c r="A344" s="222">
        <f>IFERROR(__xludf.DUMMYFUNCTION("""COMPUTED_VALUE"""),2026.0)</f>
        <v>2026</v>
      </c>
      <c r="B344" s="221">
        <f>IFERROR(__xludf.DUMMYFUNCTION("""COMPUTED_VALUE"""),1.2415787E7)</f>
        <v>12415787</v>
      </c>
      <c r="C344" s="222" t="str">
        <f>IFERROR(__xludf.DUMMYFUNCTION("""COMPUTED_VALUE"""),"RDR JPP PT3 BENGKALIS_18602")</f>
        <v>RDR JPP PT3 BENGKALIS_18602</v>
      </c>
      <c r="D344" s="222" t="str">
        <f>IFERROR(__xludf.DUMMYFUNCTION("""COMPUTED_VALUE"""),"REGIONAL I")</f>
        <v>REGIONAL I</v>
      </c>
      <c r="E344" s="222" t="str">
        <f>IFERROR(__xludf.DUMMYFUNCTION("""COMPUTED_VALUE"""),"RIDAR")</f>
        <v>RIDAR</v>
      </c>
      <c r="F344" s="222" t="str">
        <f>IFERROR(__xludf.DUMMYFUNCTION("""COMPUTED_VALUE"""),"BAS")</f>
        <v>BAS</v>
      </c>
      <c r="G344" s="222" t="str">
        <f>IFERROR(__xludf.DUMMYFUNCTION("""COMPUTED_VALUE"""),"SUMBAGTENG")</f>
        <v>SUMBAGTENG</v>
      </c>
      <c r="H344" s="222" t="str">
        <f>IFERROR(__xludf.DUMMYFUNCTION("""COMPUTED_VALUE"""),"DUMAI")</f>
        <v>DUMAI</v>
      </c>
      <c r="I344" s="222" t="str">
        <f>IFERROR(__xludf.DUMMYFUNCTION("""COMPUTED_VALUE"""),"Batch 2")</f>
        <v>Batch 2</v>
      </c>
      <c r="J344" s="225">
        <f>IFERROR(__xludf.DUMMYFUNCTION("""COMPUTED_VALUE"""),28.0)</f>
        <v>28</v>
      </c>
      <c r="K344" s="224">
        <f>IFERROR(__xludf.DUMMYFUNCTION("""COMPUTED_VALUE"""),224.0)</f>
        <v>224</v>
      </c>
      <c r="L344" s="226">
        <f>IFERROR(__xludf.DUMMYFUNCTION("""COMPUTED_VALUE"""),1322182.0)</f>
        <v>1322182</v>
      </c>
      <c r="M344" s="227">
        <f>IFERROR(__xludf.DUMMYFUNCTION("""COMPUTED_VALUE"""),2.96168739E8)</f>
        <v>296168739</v>
      </c>
      <c r="N344" s="222" t="str">
        <f>IFERROR(__xludf.DUMMYFUNCTION("""COMPUTED_VALUE"""),"PT SAMUDERA PUTRA KENCANA")</f>
        <v>PT SAMUDERA PUTRA KENCANA</v>
      </c>
      <c r="O344" s="222" t="str">
        <f>IFERROR(__xludf.DUMMYFUNCTION("""COMPUTED_VALUE"""),"7. GOLIVE")</f>
        <v>7. GOLIVE</v>
      </c>
      <c r="P344" s="222" t="str">
        <f>IFERROR(__xludf.DUMMYFUNCTION("""COMPUTED_VALUE"""),"7.2 Golive Full / OA / DONE OTB")</f>
        <v>7.2 Golive Full / OA / DONE OTB</v>
      </c>
      <c r="Q344" s="222" t="str">
        <f>IFERROR(__xludf.DUMMYFUNCTION("""COMPUTED_VALUE"""),"20/04 Proses Validasi ODC 13/04 Plan CO W4 April 06/04 Plan CO 17 April 27/03 Proses CO di Week 2 April 16/03 Proses CO Setelah RAFI 03/03 Proses Validasi ODC 03/03 Fisik selesai, proses validasi ODC yg akan di CO 10/02 Penarikan kabel 29/01 Penanaman tia"&amp;"ng dan penarikan kabel (07/01) Persiapan")</f>
        <v>20/04 Proses Validasi ODC 13/04 Plan CO W4 April 06/04 Plan CO 17 April 27/03 Proses CO di Week 2 April 16/03 Proses CO Setelah RAFI 03/03 Proses Validasi ODC 03/03 Fisik selesai, proses validasi ODC yg akan di CO 10/02 Penarikan kabel 29/01 Penanaman tiang dan penarikan kabel (07/01) Persiapan</v>
      </c>
      <c r="R344" s="228">
        <f>IFERROR(__xludf.DUMMYFUNCTION("""COMPUTED_VALUE"""),46142.0)</f>
        <v>46142</v>
      </c>
      <c r="S344" s="11" t="str">
        <f>IFERROR(__xludf.DUMMYFUNCTION("""COMPUTED_VALUE"""),"APR")</f>
        <v>APR</v>
      </c>
      <c r="T344" s="73"/>
      <c r="U344" s="11" t="str">
        <f>IFERROR(__xludf.DUMMYFUNCTION("""COMPUTED_VALUE"""),"W08-83/2026")</f>
        <v>W08-83/2026</v>
      </c>
      <c r="V344" s="229" t="str">
        <f>IFERROR(__xludf.DUMMYFUNCTION("""COMPUTED_VALUE"""),"PIKI NOFRI SAPUTRA")</f>
        <v>PIKI NOFRI SAPUTRA</v>
      </c>
      <c r="W344" s="229" t="str">
        <f>IFERROR(__xludf.DUMMYFUNCTION("""COMPUTED_VALUE"""),"ANZALA SAKINAH")</f>
        <v>ANZALA SAKINAH</v>
      </c>
      <c r="X344" s="229" t="str">
        <f>IFERROR(__xludf.DUMMYFUNCTION("""COMPUTED_VALUE"""),"GOLIVE")</f>
        <v>GOLIVE</v>
      </c>
      <c r="Y344" s="229"/>
      <c r="Z344" s="229" t="str">
        <f>IFERROR(__xludf.DUMMYFUNCTION("""COMPUTED_VALUE"""),"#N/A")</f>
        <v>#N/A</v>
      </c>
      <c r="AA344" s="229">
        <f>IFERROR(__xludf.DUMMYFUNCTION("""COMPUTED_VALUE"""),28.0)</f>
        <v>28</v>
      </c>
      <c r="AB344" s="229"/>
      <c r="AC344" s="229" t="str">
        <f>IFERROR(__xludf.DUMMYFUNCTION("""COMPUTED_VALUE"""),"8966599#8966604")</f>
        <v>8966599#8966604</v>
      </c>
      <c r="AD344" s="232">
        <f>IFERROR(__xludf.DUMMYFUNCTION("""COMPUTED_VALUE"""),224.0)</f>
        <v>224</v>
      </c>
      <c r="AE344" s="233">
        <f>IFERROR(__xludf.DUMMYFUNCTION("""COMPUTED_VALUE"""),46138.0)</f>
        <v>46138</v>
      </c>
      <c r="AF344" s="54"/>
      <c r="AG344" s="54"/>
      <c r="AH344" s="54">
        <v>46129.0</v>
      </c>
      <c r="AI344" s="55">
        <f>AH344-AE344</f>
        <v>-9</v>
      </c>
      <c r="AJ344" s="229" t="str">
        <f>if(AI344&gt;=0,"Gl in Komitmen","Gl out komitmen")</f>
        <v>Gl out komitmen</v>
      </c>
      <c r="AK344" s="231" t="s">
        <v>199</v>
      </c>
      <c r="AW344" s="234"/>
      <c r="BP344" s="11"/>
      <c r="BQ344" s="11"/>
      <c r="BR344" s="235"/>
      <c r="BV344" s="158"/>
      <c r="BY344" s="158"/>
      <c r="CB344" s="158"/>
    </row>
    <row r="345" ht="18.0" hidden="1" customHeight="1">
      <c r="A345" s="222">
        <f>IFERROR(__xludf.DUMMYFUNCTION("""COMPUTED_VALUE"""),2026.0)</f>
        <v>2026</v>
      </c>
      <c r="B345" s="221">
        <f>IFERROR(__xludf.DUMMYFUNCTION("""COMPUTED_VALUE"""),1.1327298E7)</f>
        <v>11327298</v>
      </c>
      <c r="C345" s="222" t="str">
        <f>IFERROR(__xludf.DUMMYFUNCTION("""COMPUTED_VALUE"""),"MDN PT3 PUB-FX JL.MIRING")</f>
        <v>MDN PT3 PUB-FX JL.MIRING</v>
      </c>
      <c r="D345" s="222" t="str">
        <f>IFERROR(__xludf.DUMMYFUNCTION("""COMPUTED_VALUE"""),"REGIONAL I")</f>
        <v>REGIONAL I</v>
      </c>
      <c r="E345" s="222" t="str">
        <f>IFERROR(__xludf.DUMMYFUNCTION("""COMPUTED_VALUE"""),"MEDAN")</f>
        <v>MEDAN</v>
      </c>
      <c r="F345" s="222" t="str">
        <f>IFERROR(__xludf.DUMMYFUNCTION("""COMPUTED_VALUE"""),"PUB")</f>
        <v>PUB</v>
      </c>
      <c r="G345" s="222" t="str">
        <f>IFERROR(__xludf.DUMMYFUNCTION("""COMPUTED_VALUE"""),"SUMBAGUT")</f>
        <v>SUMBAGUT</v>
      </c>
      <c r="H345" s="222" t="str">
        <f>IFERROR(__xludf.DUMMYFUNCTION("""COMPUTED_VALUE"""),"MEDAN")</f>
        <v>MEDAN</v>
      </c>
      <c r="I345" s="222" t="str">
        <f>IFERROR(__xludf.DUMMYFUNCTION("""COMPUTED_VALUE"""),"Batch 2")</f>
        <v>Batch 2</v>
      </c>
      <c r="J345" s="225">
        <f>IFERROR(__xludf.DUMMYFUNCTION("""COMPUTED_VALUE"""),6.0)</f>
        <v>6</v>
      </c>
      <c r="K345" s="224">
        <f>IFERROR(__xludf.DUMMYFUNCTION("""COMPUTED_VALUE"""),48.0)</f>
        <v>48</v>
      </c>
      <c r="L345" s="226">
        <f>IFERROR(__xludf.DUMMYFUNCTION("""COMPUTED_VALUE"""),909254.0)</f>
        <v>909254</v>
      </c>
      <c r="M345" s="227">
        <f>IFERROR(__xludf.DUMMYFUNCTION("""COMPUTED_VALUE"""),4.3644173E7)</f>
        <v>43644173</v>
      </c>
      <c r="N345" s="222" t="str">
        <f>IFERROR(__xludf.DUMMYFUNCTION("""COMPUTED_VALUE"""),"PT GLOBAL KARYA WANDA")</f>
        <v>PT GLOBAL KARYA WANDA</v>
      </c>
      <c r="O345" s="222" t="str">
        <f>IFERROR(__xludf.DUMMYFUNCTION("""COMPUTED_VALUE"""),"0. DROP")</f>
        <v>0. DROP</v>
      </c>
      <c r="P345" s="222" t="str">
        <f>IFERROR(__xludf.DUMMYFUNCTION("""COMPUTED_VALUE"""),"0.3 Feeder Full")</f>
        <v>0.3 Feeder Full</v>
      </c>
      <c r="Q345" s="222" t="str">
        <f>IFERROR(__xludf.DUMMYFUNCTION("""COMPUTED_VALUE"""),"03/03 feeder penuh 02/03 done order")</f>
        <v>03/03 feeder penuh 02/03 done order</v>
      </c>
      <c r="R345" s="228"/>
      <c r="S345" s="11"/>
      <c r="T345" s="11"/>
      <c r="U345" s="11"/>
      <c r="V345" s="229"/>
      <c r="W345" s="229"/>
      <c r="X345" s="229" t="str">
        <f>IFERROR(__xludf.DUMMYFUNCTION("""COMPUTED_VALUE"""),"BELUM GOLIVE")</f>
        <v>BELUM GOLIVE</v>
      </c>
      <c r="Y345" s="229"/>
      <c r="Z345" s="229" t="str">
        <f>IFERROR(__xludf.DUMMYFUNCTION("""COMPUTED_VALUE"""),"#N/A")</f>
        <v>#N/A</v>
      </c>
      <c r="AA345" s="229"/>
      <c r="AB345" s="229"/>
      <c r="AC345" s="229"/>
      <c r="AD345" s="232"/>
      <c r="AE345" s="233"/>
      <c r="AF345" s="54" t="str">
        <f>IFERROR(__xludf.DUMMYFUNCTION("""COMPUTED_VALUE"""),"Draft BA DROP")</f>
        <v>Draft BA DROP</v>
      </c>
      <c r="AG345" s="54"/>
      <c r="AH345" s="54"/>
      <c r="AI345" s="55" t="str">
        <f t="shared" ref="AI345:AI367" si="50">IF(OR(R345="",AE345=""),"",R345-AE345)</f>
        <v/>
      </c>
      <c r="AW345" s="234"/>
      <c r="BP345" s="11"/>
      <c r="BQ345" s="11"/>
      <c r="BR345" s="235"/>
      <c r="BV345" s="158"/>
      <c r="BY345" s="158"/>
      <c r="CB345" s="158"/>
    </row>
    <row r="346" ht="18.0" customHeight="1">
      <c r="A346" s="222">
        <f>IFERROR(__xludf.DUMMYFUNCTION("""COMPUTED_VALUE"""),2026.0)</f>
        <v>2026</v>
      </c>
      <c r="B346" s="221">
        <f>IFERROR(__xludf.DUMMYFUNCTION("""COMPUTED_VALUE"""),1.1265752E7)</f>
        <v>11265752</v>
      </c>
      <c r="C346" s="222" t="str">
        <f>IFERROR(__xludf.DUMMYFUNCTION("""COMPUTED_VALUE"""),"RDR JPP PT3 RGT FQ")</f>
        <v>RDR JPP PT3 RGT FQ</v>
      </c>
      <c r="D346" s="222" t="str">
        <f>IFERROR(__xludf.DUMMYFUNCTION("""COMPUTED_VALUE"""),"REGIONAL I")</f>
        <v>REGIONAL I</v>
      </c>
      <c r="E346" s="222" t="str">
        <f>IFERROR(__xludf.DUMMYFUNCTION("""COMPUTED_VALUE"""),"RIDAR")</f>
        <v>RIDAR</v>
      </c>
      <c r="F346" s="222" t="str">
        <f>IFERROR(__xludf.DUMMYFUNCTION("""COMPUTED_VALUE"""),"RGT")</f>
        <v>RGT</v>
      </c>
      <c r="G346" s="222" t="str">
        <f>IFERROR(__xludf.DUMMYFUNCTION("""COMPUTED_VALUE"""),"SUMBAGTENG")</f>
        <v>SUMBAGTENG</v>
      </c>
      <c r="H346" s="222" t="str">
        <f>IFERROR(__xludf.DUMMYFUNCTION("""COMPUTED_VALUE"""),"PEKANBARU")</f>
        <v>PEKANBARU</v>
      </c>
      <c r="I346" s="222" t="str">
        <f>IFERROR(__xludf.DUMMYFUNCTION("""COMPUTED_VALUE"""),"Batch 2")</f>
        <v>Batch 2</v>
      </c>
      <c r="J346" s="225">
        <f>IFERROR(__xludf.DUMMYFUNCTION("""COMPUTED_VALUE"""),3.0)</f>
        <v>3</v>
      </c>
      <c r="K346" s="224">
        <f>IFERROR(__xludf.DUMMYFUNCTION("""COMPUTED_VALUE"""),24.0)</f>
        <v>24</v>
      </c>
      <c r="L346" s="226">
        <f>IFERROR(__xludf.DUMMYFUNCTION("""COMPUTED_VALUE"""),1322058.0)</f>
        <v>1322058</v>
      </c>
      <c r="M346" s="227">
        <f>IFERROR(__xludf.DUMMYFUNCTION("""COMPUTED_VALUE"""),3.1729376E7)</f>
        <v>31729376</v>
      </c>
      <c r="N346" s="222" t="str">
        <f>IFERROR(__xludf.DUMMYFUNCTION("""COMPUTED_VALUE"""),"PT SAMUDERA PUTRA KENCANA")</f>
        <v>PT SAMUDERA PUTRA KENCANA</v>
      </c>
      <c r="O346" s="222" t="str">
        <f>IFERROR(__xludf.DUMMYFUNCTION("""COMPUTED_VALUE"""),"0. DROP")</f>
        <v>0. DROP</v>
      </c>
      <c r="P346" s="222" t="str">
        <f>IFERROR(__xludf.DUMMYFUNCTION("""COMPUTED_VALUE"""),"0.2 Tidak Dapat Izin Warga/Kades/Lurah/Developer")</f>
        <v>0.2 Tidak Dapat Izin Warga/Kades/Lurah/Developer</v>
      </c>
      <c r="Q346" s="222" t="str">
        <f>IFERROR(__xludf.DUMMYFUNCTION("""COMPUTED_VALUE"""),"20/01 Drop sudah ada wifi bumdes dilokasi (07/01) Persiapan")</f>
        <v>20/01 Drop sudah ada wifi bumdes dilokasi (07/01) Persiapan</v>
      </c>
      <c r="R346" s="228"/>
      <c r="S346" s="11"/>
      <c r="T346" s="11"/>
      <c r="U346" s="11"/>
      <c r="V346" s="229" t="str">
        <f>IFERROR(__xludf.DUMMYFUNCTION("""COMPUTED_VALUE"""),"RORI MAHENDRA")</f>
        <v>RORI MAHENDRA</v>
      </c>
      <c r="W346" s="229" t="str">
        <f>IFERROR(__xludf.DUMMYFUNCTION("""COMPUTED_VALUE"""),"DESLITA RAHMADANI")</f>
        <v>DESLITA RAHMADANI</v>
      </c>
      <c r="X346" s="229" t="str">
        <f>IFERROR(__xludf.DUMMYFUNCTION("""COMPUTED_VALUE"""),"BELUM GOLIVE")</f>
        <v>BELUM GOLIVE</v>
      </c>
      <c r="Y346" s="229"/>
      <c r="Z346" s="229" t="str">
        <f>IFERROR(__xludf.DUMMYFUNCTION("""COMPUTED_VALUE"""),"#N/A")</f>
        <v>#N/A</v>
      </c>
      <c r="AA346" s="229"/>
      <c r="AB346" s="229"/>
      <c r="AC346" s="229"/>
      <c r="AD346" s="232"/>
      <c r="AE346" s="233"/>
      <c r="AF346" s="54" t="str">
        <f>IFERROR(__xludf.DUMMYFUNCTION("""COMPUTED_VALUE"""),"Draft BA DROP")</f>
        <v>Draft BA DROP</v>
      </c>
      <c r="AG346" s="54"/>
      <c r="AH346" s="54"/>
      <c r="AI346" s="55" t="str">
        <f t="shared" si="50"/>
        <v/>
      </c>
      <c r="AW346" s="234"/>
      <c r="BP346" s="11"/>
      <c r="BQ346" s="11"/>
      <c r="BR346" s="235"/>
      <c r="BV346" s="158"/>
      <c r="BY346" s="158"/>
      <c r="CB346" s="158"/>
    </row>
    <row r="347" ht="18.0" hidden="1" customHeight="1">
      <c r="A347" s="222">
        <f>IFERROR(__xludf.DUMMYFUNCTION("""COMPUTED_VALUE"""),2026.0)</f>
        <v>2026</v>
      </c>
      <c r="B347" s="221">
        <f>IFERROR(__xludf.DUMMYFUNCTION("""COMPUTED_VALUE"""),1.1384285E7)</f>
        <v>11384285</v>
      </c>
      <c r="C347" s="222" t="str">
        <f>IFERROR(__xludf.DUMMYFUNCTION("""COMPUTED_VALUE"""),"SMU BLG-FAD D07 LUMBAN GORAT")</f>
        <v>SMU BLG-FAD D07 LUMBAN GORAT</v>
      </c>
      <c r="D347" s="222" t="str">
        <f>IFERROR(__xludf.DUMMYFUNCTION("""COMPUTED_VALUE"""),"REGIONAL I")</f>
        <v>REGIONAL I</v>
      </c>
      <c r="E347" s="222" t="str">
        <f>IFERROR(__xludf.DUMMYFUNCTION("""COMPUTED_VALUE"""),"SUMUT")</f>
        <v>SUMUT</v>
      </c>
      <c r="F347" s="222" t="str">
        <f>IFERROR(__xludf.DUMMYFUNCTION("""COMPUTED_VALUE"""),"BLG")</f>
        <v>BLG</v>
      </c>
      <c r="G347" s="222" t="str">
        <f>IFERROR(__xludf.DUMMYFUNCTION("""COMPUTED_VALUE"""),"SUMBAGUT")</f>
        <v>SUMBAGUT</v>
      </c>
      <c r="H347" s="222" t="str">
        <f>IFERROR(__xludf.DUMMYFUNCTION("""COMPUTED_VALUE"""),"PEMATANG SIANTAR")</f>
        <v>PEMATANG SIANTAR</v>
      </c>
      <c r="I347" s="222" t="str">
        <f>IFERROR(__xludf.DUMMYFUNCTION("""COMPUTED_VALUE"""),"Batch 2")</f>
        <v>Batch 2</v>
      </c>
      <c r="J347" s="225">
        <f>IFERROR(__xludf.DUMMYFUNCTION("""COMPUTED_VALUE"""),4.0)</f>
        <v>4</v>
      </c>
      <c r="K347" s="224">
        <f>IFERROR(__xludf.DUMMYFUNCTION("""COMPUTED_VALUE"""),32.0)</f>
        <v>32</v>
      </c>
      <c r="L347" s="226">
        <f>IFERROR(__xludf.DUMMYFUNCTION("""COMPUTED_VALUE"""),1128249.0)</f>
        <v>1128249</v>
      </c>
      <c r="M347" s="227">
        <f>IFERROR(__xludf.DUMMYFUNCTION("""COMPUTED_VALUE"""),3.6103956E7)</f>
        <v>36103956</v>
      </c>
      <c r="N347" s="222" t="str">
        <f>IFERROR(__xludf.DUMMYFUNCTION("""COMPUTED_VALUE"""),"PT ALAM UTAMA MULIA")</f>
        <v>PT ALAM UTAMA MULIA</v>
      </c>
      <c r="O347" s="222" t="str">
        <f>IFERROR(__xludf.DUMMYFUNCTION("""COMPUTED_VALUE"""),"7. GOLIVE")</f>
        <v>7. GOLIVE</v>
      </c>
      <c r="P347" s="222" t="str">
        <f>IFERROR(__xludf.DUMMYFUNCTION("""COMPUTED_VALUE"""),"7.2 Golive Full / OA / DONE OTB")</f>
        <v>7.2 Golive Full / OA / DONE OTB</v>
      </c>
      <c r="Q347" s="222" t="str">
        <f>IFERROR(__xludf.DUMMYFUNCTION("""COMPUTED_VALUE"""),"GOLIVE 15/01 proses abd mancore (perapian kerja dilapangan est selesai minggu ini), 14/01 proses abd mancore (perapian kerja dilapangan est selesai minggu ini), 13/01 proses abd mancore (perapian kerja dilapangan est selesai minggu ini), (07/01) Persiapan")</f>
        <v>GOLIVE 15/01 proses abd mancore (perapian kerja dilapangan est selesai minggu ini), 14/01 proses abd mancore (perapian kerja dilapangan est selesai minggu ini), 13/01 proses abd mancore (perapian kerja dilapangan est selesai minggu ini), (07/01) Persiapan</v>
      </c>
      <c r="R347" s="228">
        <f>IFERROR(__xludf.DUMMYFUNCTION("""COMPUTED_VALUE"""),46037.0)</f>
        <v>46037</v>
      </c>
      <c r="S347" s="11"/>
      <c r="T347" s="11"/>
      <c r="U347" s="11" t="str">
        <f>IFERROR(__xludf.DUMMYFUNCTION("""COMPUTED_VALUE"""),"W03-1617/2025")</f>
        <v>W03-1617/2025</v>
      </c>
      <c r="V347" s="229"/>
      <c r="W347" s="229"/>
      <c r="X347" s="229" t="str">
        <f>IFERROR(__xludf.DUMMYFUNCTION("""COMPUTED_VALUE"""),"GOLIVE")</f>
        <v>GOLIVE</v>
      </c>
      <c r="Y347" s="229" t="str">
        <f>IFERROR(__xludf.DUMMYFUNCTION("""COMPUTED_VALUE"""),"DONE")</f>
        <v>DONE</v>
      </c>
      <c r="Z347" s="229" t="str">
        <f>IFERROR(__xludf.DUMMYFUNCTION("""COMPUTED_VALUE"""),"#N/A")</f>
        <v>#N/A</v>
      </c>
      <c r="AA347" s="229">
        <f>IFERROR(__xludf.DUMMYFUNCTION("""COMPUTED_VALUE"""),4.0)</f>
        <v>4</v>
      </c>
      <c r="AB347" s="229"/>
      <c r="AC347" s="229" t="str">
        <f>IFERROR(__xludf.DUMMYFUNCTION("""COMPUTED_VALUE"""),"8973383#8973388")</f>
        <v>8973383#8973388</v>
      </c>
      <c r="AD347" s="232">
        <f>IFERROR(__xludf.DUMMYFUNCTION("""COMPUTED_VALUE"""),32.0)</f>
        <v>32</v>
      </c>
      <c r="AE347" s="233">
        <f>IFERROR(__xludf.DUMMYFUNCTION("""COMPUTED_VALUE"""),46037.0)</f>
        <v>46037</v>
      </c>
      <c r="AF347" s="54"/>
      <c r="AG347" s="54"/>
      <c r="AH347" s="54">
        <v>46037.0</v>
      </c>
      <c r="AI347" s="55">
        <f t="shared" si="50"/>
        <v>0</v>
      </c>
      <c r="AW347" s="234"/>
      <c r="BP347" s="11"/>
      <c r="BQ347" s="11"/>
      <c r="BR347" s="235"/>
      <c r="BV347" s="158"/>
      <c r="BY347" s="158"/>
      <c r="CB347" s="158"/>
    </row>
    <row r="348" ht="18.0" hidden="1" customHeight="1">
      <c r="A348" s="222">
        <f>IFERROR(__xludf.DUMMYFUNCTION("""COMPUTED_VALUE"""),2026.0)</f>
        <v>2026</v>
      </c>
      <c r="B348" s="221">
        <f>IFERROR(__xludf.DUMMYFUNCTION("""COMPUTED_VALUE"""),1.1398739E7)</f>
        <v>11398739</v>
      </c>
      <c r="C348" s="222" t="str">
        <f>IFERROR(__xludf.DUMMYFUNCTION("""COMPUTED_VALUE"""),"MDN PT3 TJR-FK GG.SERASI")</f>
        <v>MDN PT3 TJR-FK GG.SERASI</v>
      </c>
      <c r="D348" s="222" t="str">
        <f>IFERROR(__xludf.DUMMYFUNCTION("""COMPUTED_VALUE"""),"REGIONAL I")</f>
        <v>REGIONAL I</v>
      </c>
      <c r="E348" s="222" t="str">
        <f>IFERROR(__xludf.DUMMYFUNCTION("""COMPUTED_VALUE"""),"MEDAN")</f>
        <v>MEDAN</v>
      </c>
      <c r="F348" s="222" t="str">
        <f>IFERROR(__xludf.DUMMYFUNCTION("""COMPUTED_VALUE"""),"TJR")</f>
        <v>TJR</v>
      </c>
      <c r="G348" s="222" t="str">
        <f>IFERROR(__xludf.DUMMYFUNCTION("""COMPUTED_VALUE"""),"SUMBAGUT")</f>
        <v>SUMBAGUT</v>
      </c>
      <c r="H348" s="222" t="str">
        <f>IFERROR(__xludf.DUMMYFUNCTION("""COMPUTED_VALUE"""),"MEDAN")</f>
        <v>MEDAN</v>
      </c>
      <c r="I348" s="222" t="str">
        <f>IFERROR(__xludf.DUMMYFUNCTION("""COMPUTED_VALUE"""),"Batch 2")</f>
        <v>Batch 2</v>
      </c>
      <c r="J348" s="225">
        <f>IFERROR(__xludf.DUMMYFUNCTION("""COMPUTED_VALUE"""),3.0)</f>
        <v>3</v>
      </c>
      <c r="K348" s="224">
        <f>IFERROR(__xludf.DUMMYFUNCTION("""COMPUTED_VALUE"""),24.0)</f>
        <v>24</v>
      </c>
      <c r="L348" s="226">
        <f>IFERROR(__xludf.DUMMYFUNCTION("""COMPUTED_VALUE"""),748262.0)</f>
        <v>748262</v>
      </c>
      <c r="M348" s="227">
        <f>IFERROR(__xludf.DUMMYFUNCTION("""COMPUTED_VALUE"""),1.7958267E7)</f>
        <v>17958267</v>
      </c>
      <c r="N348" s="222" t="str">
        <f>IFERROR(__xludf.DUMMYFUNCTION("""COMPUTED_VALUE"""),"PT MEDCOM SOLUTION")</f>
        <v>PT MEDCOM SOLUTION</v>
      </c>
      <c r="O348" s="222" t="str">
        <f>IFERROR(__xludf.DUMMYFUNCTION("""COMPUTED_VALUE"""),"0. DROP")</f>
        <v>0. DROP</v>
      </c>
      <c r="P348" s="222" t="str">
        <f>IFERROR(__xludf.DUMMYFUNCTION("""COMPUTED_VALUE"""),"0.2 Tidak Dapat Izin Warga/Kades/Lurah/Developer")</f>
        <v>0.2 Tidak Dapat Izin Warga/Kades/Lurah/Developer</v>
      </c>
      <c r="Q348" s="222" t="str">
        <f>IFERROR(__xludf.DUMMYFUNCTION("""COMPUTED_VALUE"""),"19/01 Perijinan Warga Menolak Tanam Tiang
(07/01) Persiapan")</f>
        <v>19/01 Perijinan Warga Menolak Tanam Tiang
(07/01) Persiapan</v>
      </c>
      <c r="R348" s="228"/>
      <c r="S348" s="11"/>
      <c r="T348" s="11"/>
      <c r="U348" s="11"/>
      <c r="V348" s="229"/>
      <c r="W348" s="229"/>
      <c r="X348" s="229" t="str">
        <f>IFERROR(__xludf.DUMMYFUNCTION("""COMPUTED_VALUE"""),"BELUM GOLIVE")</f>
        <v>BELUM GOLIVE</v>
      </c>
      <c r="Y348" s="229"/>
      <c r="Z348" s="229" t="str">
        <f>IFERROR(__xludf.DUMMYFUNCTION("""COMPUTED_VALUE"""),"#N/A")</f>
        <v>#N/A</v>
      </c>
      <c r="AA348" s="229"/>
      <c r="AB348" s="229"/>
      <c r="AC348" s="229"/>
      <c r="AD348" s="232"/>
      <c r="AE348" s="233"/>
      <c r="AF348" s="54" t="str">
        <f>IFERROR(__xludf.DUMMYFUNCTION("""COMPUTED_VALUE"""),"Draft BA DROP")</f>
        <v>Draft BA DROP</v>
      </c>
      <c r="AG348" s="54"/>
      <c r="AH348" s="54"/>
      <c r="AI348" s="55" t="str">
        <f t="shared" si="50"/>
        <v/>
      </c>
      <c r="AW348" s="234"/>
      <c r="BP348" s="11"/>
      <c r="BQ348" s="11"/>
      <c r="BR348" s="235"/>
      <c r="BV348" s="158"/>
      <c r="BY348" s="158"/>
      <c r="CB348" s="158"/>
    </row>
    <row r="349" ht="18.0" hidden="1" customHeight="1">
      <c r="A349" s="222">
        <f>IFERROR(__xludf.DUMMYFUNCTION("""COMPUTED_VALUE"""),2026.0)</f>
        <v>2026</v>
      </c>
      <c r="B349" s="221">
        <f>IFERROR(__xludf.DUMMYFUNCTION("""COMPUTED_VALUE"""),1.1357784E7)</f>
        <v>11357784</v>
      </c>
      <c r="C349" s="222" t="str">
        <f>IFERROR(__xludf.DUMMYFUNCTION("""COMPUTED_VALUE"""),"LPG PT3 PESAWARAN_31")</f>
        <v>LPG PT3 PESAWARAN_31</v>
      </c>
      <c r="D349" s="222" t="str">
        <f>IFERROR(__xludf.DUMMYFUNCTION("""COMPUTED_VALUE"""),"REGIONAL I")</f>
        <v>REGIONAL I</v>
      </c>
      <c r="E349" s="222" t="str">
        <f>IFERROR(__xludf.DUMMYFUNCTION("""COMPUTED_VALUE"""),"LAMPUNG")</f>
        <v>LAMPUNG</v>
      </c>
      <c r="F349" s="222" t="str">
        <f>IFERROR(__xludf.DUMMYFUNCTION("""COMPUTED_VALUE"""),"GDT")</f>
        <v>GDT</v>
      </c>
      <c r="G349" s="222" t="str">
        <f>IFERROR(__xludf.DUMMYFUNCTION("""COMPUTED_VALUE"""),"SUMBAGSEL")</f>
        <v>SUMBAGSEL</v>
      </c>
      <c r="H349" s="222" t="str">
        <f>IFERROR(__xludf.DUMMYFUNCTION("""COMPUTED_VALUE"""),"LAMPUNG")</f>
        <v>LAMPUNG</v>
      </c>
      <c r="I349" s="222" t="str">
        <f>IFERROR(__xludf.DUMMYFUNCTION("""COMPUTED_VALUE"""),"Batch 2")</f>
        <v>Batch 2</v>
      </c>
      <c r="J349" s="225">
        <f>IFERROR(__xludf.DUMMYFUNCTION("""COMPUTED_VALUE"""),60.0)</f>
        <v>60</v>
      </c>
      <c r="K349" s="224">
        <f>IFERROR(__xludf.DUMMYFUNCTION("""COMPUTED_VALUE"""),480.0)</f>
        <v>480</v>
      </c>
      <c r="L349" s="226">
        <f>IFERROR(__xludf.DUMMYFUNCTION("""COMPUTED_VALUE"""),1321644.0)</f>
        <v>1321644</v>
      </c>
      <c r="M349" s="227">
        <f>IFERROR(__xludf.DUMMYFUNCTION("""COMPUTED_VALUE"""),6.34388921E8)</f>
        <v>634388921</v>
      </c>
      <c r="N349" s="222" t="str">
        <f>IFERROR(__xludf.DUMMYFUNCTION("""COMPUTED_VALUE"""),"PT SARANA MITRA PERSADA")</f>
        <v>PT SARANA MITRA PERSADA</v>
      </c>
      <c r="O349" s="222" t="str">
        <f>IFERROR(__xludf.DUMMYFUNCTION("""COMPUTED_VALUE"""),"0. DROP")</f>
        <v>0. DROP</v>
      </c>
      <c r="P349" s="222" t="str">
        <f>IFERROR(__xludf.DUMMYFUNCTION("""COMPUTED_VALUE"""),"0.2 Tidak Dapat Izin Warga/Kades/Lurah/Developer")</f>
        <v>0.2 Tidak Dapat Izin Warga/Kades/Lurah/Developer</v>
      </c>
      <c r="Q349" s="222" t="str">
        <f>IFERROR(__xludf.DUMMYFUNCTION("""COMPUTED_VALUE"""),"3/2 Tidak dapat izin dari lurah
19/1 PLAN MATDEL TGL 21/1")</f>
        <v>3/2 Tidak dapat izin dari lurah
19/1 PLAN MATDEL TGL 21/1</v>
      </c>
      <c r="R349" s="228"/>
      <c r="S349" s="11"/>
      <c r="T349" s="11"/>
      <c r="U349" s="11" t="str">
        <f>IFERROR(__xludf.DUMMYFUNCTION("""COMPUTED_VALUE"""),"TIF-2029/2026")</f>
        <v>TIF-2029/2026</v>
      </c>
      <c r="V349" s="229"/>
      <c r="W349" s="229"/>
      <c r="X349" s="229" t="str">
        <f>IFERROR(__xludf.DUMMYFUNCTION("""COMPUTED_VALUE"""),"BELUM GOLIVE")</f>
        <v>BELUM GOLIVE</v>
      </c>
      <c r="Y349" s="229"/>
      <c r="Z349" s="229" t="str">
        <f>IFERROR(__xludf.DUMMYFUNCTION("""COMPUTED_VALUE"""),"#N/A")</f>
        <v>#N/A</v>
      </c>
      <c r="AA349" s="229"/>
      <c r="AB349" s="229"/>
      <c r="AC349" s="229"/>
      <c r="AD349" s="232"/>
      <c r="AE349" s="233"/>
      <c r="AF349" s="54" t="str">
        <f>IFERROR(__xludf.DUMMYFUNCTION("""COMPUTED_VALUE"""),"Draft BA DROP")</f>
        <v>Draft BA DROP</v>
      </c>
      <c r="AG349" s="54"/>
      <c r="AH349" s="54"/>
      <c r="AI349" s="55" t="str">
        <f t="shared" si="50"/>
        <v/>
      </c>
      <c r="AW349" s="234"/>
      <c r="BP349" s="11"/>
      <c r="BQ349" s="11"/>
      <c r="BR349" s="235"/>
      <c r="BV349" s="158"/>
      <c r="BY349" s="158"/>
      <c r="CB349" s="158"/>
    </row>
    <row r="350" ht="18.0" customHeight="1">
      <c r="A350" s="222">
        <f>IFERROR(__xludf.DUMMYFUNCTION("""COMPUTED_VALUE"""),2026.0)</f>
        <v>2026</v>
      </c>
      <c r="B350" s="221">
        <f>IFERROR(__xludf.DUMMYFUNCTION("""COMPUTED_VALUE"""),1.1360816E7)</f>
        <v>11360816</v>
      </c>
      <c r="C350" s="222" t="str">
        <f>IFERROR(__xludf.DUMMYFUNCTION("""COMPUTED_VALUE"""),"SMB P2I2 Jalan Lambung Bukik")</f>
        <v>SMB P2I2 Jalan Lambung Bukik</v>
      </c>
      <c r="D350" s="222" t="str">
        <f>IFERROR(__xludf.DUMMYFUNCTION("""COMPUTED_VALUE"""),"REGIONAL I")</f>
        <v>REGIONAL I</v>
      </c>
      <c r="E350" s="222" t="str">
        <f>IFERROR(__xludf.DUMMYFUNCTION("""COMPUTED_VALUE"""),"SUMBAR")</f>
        <v>SUMBAR</v>
      </c>
      <c r="F350" s="222" t="str">
        <f>IFERROR(__xludf.DUMMYFUNCTION("""COMPUTED_VALUE"""),"KJI")</f>
        <v>KJI</v>
      </c>
      <c r="G350" s="222" t="str">
        <f>IFERROR(__xludf.DUMMYFUNCTION("""COMPUTED_VALUE"""),"SUMBAGTENG")</f>
        <v>SUMBAGTENG</v>
      </c>
      <c r="H350" s="222" t="str">
        <f>IFERROR(__xludf.DUMMYFUNCTION("""COMPUTED_VALUE"""),"PADANG")</f>
        <v>PADANG</v>
      </c>
      <c r="I350" s="222" t="str">
        <f>IFERROR(__xludf.DUMMYFUNCTION("""COMPUTED_VALUE"""),"Batch 2")</f>
        <v>Batch 2</v>
      </c>
      <c r="J350" s="225">
        <f>IFERROR(__xludf.DUMMYFUNCTION("""COMPUTED_VALUE"""),11.0)</f>
        <v>11</v>
      </c>
      <c r="K350" s="224">
        <f>IFERROR(__xludf.DUMMYFUNCTION("""COMPUTED_VALUE"""),88.0)</f>
        <v>88</v>
      </c>
      <c r="L350" s="226">
        <f>IFERROR(__xludf.DUMMYFUNCTION("""COMPUTED_VALUE"""),1320989.0)</f>
        <v>1320989</v>
      </c>
      <c r="M350" s="227">
        <f>IFERROR(__xludf.DUMMYFUNCTION("""COMPUTED_VALUE"""),1.16246956E8)</f>
        <v>116246956</v>
      </c>
      <c r="N350" s="222" t="str">
        <f>IFERROR(__xludf.DUMMYFUNCTION("""COMPUTED_VALUE"""),"PT TRI PENAMAS")</f>
        <v>PT TRI PENAMAS</v>
      </c>
      <c r="O350" s="222" t="str">
        <f>IFERROR(__xludf.DUMMYFUNCTION("""COMPUTED_VALUE"""),"4. MATDEL")</f>
        <v>4. MATDEL</v>
      </c>
      <c r="P350" s="222" t="str">
        <f>IFERROR(__xludf.DUMMYFUNCTION("""COMPUTED_VALUE"""),"4.4 Proses Pengiriman Pabribak ke WH")</f>
        <v>4.4 Proses Pengiriman Pabribak ke WH</v>
      </c>
      <c r="Q350" s="222" t="str">
        <f>IFERROR(__xludf.DUMMYFUNCTION("""COMPUTED_VALUE"""),"(27/04) menunggu PO kabel 24 ADSS  (20/04) sudah aanwijziing, proses eval  (10/04) Proses aanwijziing , LOP HOLD FEEDER FULL ACC GO 08/01  KENDALA FEEDER KJI-FL FULL (07/01) Persiapan")</f>
        <v>(27/04) menunggu PO kabel 24 ADSS  (20/04) sudah aanwijziing, proses eval  (10/04) Proses aanwijziing , LOP HOLD FEEDER FULL ACC GO 08/01  KENDALA FEEDER KJI-FL FULL (07/01) Persiapan</v>
      </c>
      <c r="R350" s="228"/>
      <c r="S350" s="11"/>
      <c r="T350" s="11"/>
      <c r="U350" s="11"/>
      <c r="V350" s="229" t="str">
        <f>IFERROR(__xludf.DUMMYFUNCTION("""COMPUTED_VALUE"""),"FABIO RAHMAN")</f>
        <v>FABIO RAHMAN</v>
      </c>
      <c r="W350" s="229" t="str">
        <f>IFERROR(__xludf.DUMMYFUNCTION("""COMPUTED_VALUE"""),"MELKO NARWADI")</f>
        <v>MELKO NARWADI</v>
      </c>
      <c r="X350" s="229" t="str">
        <f>IFERROR(__xludf.DUMMYFUNCTION("""COMPUTED_VALUE"""),"BELUM GOLIVE")</f>
        <v>BELUM GOLIVE</v>
      </c>
      <c r="Y350" s="229"/>
      <c r="Z350" s="229" t="str">
        <f>IFERROR(__xludf.DUMMYFUNCTION("""COMPUTED_VALUE"""),"#N/A")</f>
        <v>#N/A</v>
      </c>
      <c r="AA350" s="229"/>
      <c r="AB350" s="229"/>
      <c r="AC350" s="229"/>
      <c r="AD350" s="232"/>
      <c r="AE350" s="233"/>
      <c r="AF350" s="54"/>
      <c r="AG350" s="54"/>
      <c r="AH350" s="54"/>
      <c r="AI350" s="55" t="str">
        <f t="shared" si="50"/>
        <v/>
      </c>
      <c r="AW350" s="234"/>
      <c r="BP350" s="11"/>
      <c r="BQ350" s="11"/>
      <c r="BR350" s="235"/>
      <c r="BV350" s="158"/>
      <c r="BY350" s="158"/>
      <c r="CB350" s="158"/>
    </row>
    <row r="351" ht="18.0" customHeight="1">
      <c r="A351" s="222">
        <f>IFERROR(__xludf.DUMMYFUNCTION("""COMPUTED_VALUE"""),2026.0)</f>
        <v>2026</v>
      </c>
      <c r="B351" s="221">
        <f>IFERROR(__xludf.DUMMYFUNCTION("""COMPUTED_VALUE"""),1.2367634E7)</f>
        <v>12367634</v>
      </c>
      <c r="C351" s="222" t="str">
        <f>IFERROR(__xludf.DUMMYFUNCTION("""COMPUTED_VALUE"""),"SMB P4I3 SCATTER PAUH SICINCIN")</f>
        <v>SMB P4I3 SCATTER PAUH SICINCIN</v>
      </c>
      <c r="D351" s="222" t="str">
        <f>IFERROR(__xludf.DUMMYFUNCTION("""COMPUTED_VALUE"""),"REGIONAL I")</f>
        <v>REGIONAL I</v>
      </c>
      <c r="E351" s="222" t="str">
        <f>IFERROR(__xludf.DUMMYFUNCTION("""COMPUTED_VALUE"""),"SUMBAR")</f>
        <v>SUMBAR</v>
      </c>
      <c r="F351" s="222" t="str">
        <f>IFERROR(__xludf.DUMMYFUNCTION("""COMPUTED_VALUE"""),"SCC")</f>
        <v>SCC</v>
      </c>
      <c r="G351" s="222" t="str">
        <f>IFERROR(__xludf.DUMMYFUNCTION("""COMPUTED_VALUE"""),"SUMBAGTENG")</f>
        <v>SUMBAGTENG</v>
      </c>
      <c r="H351" s="222" t="str">
        <f>IFERROR(__xludf.DUMMYFUNCTION("""COMPUTED_VALUE"""),"BUKIT TINGGI")</f>
        <v>BUKIT TINGGI</v>
      </c>
      <c r="I351" s="222" t="str">
        <f>IFERROR(__xludf.DUMMYFUNCTION("""COMPUTED_VALUE"""),"Batch 2")</f>
        <v>Batch 2</v>
      </c>
      <c r="J351" s="225">
        <f>IFERROR(__xludf.DUMMYFUNCTION("""COMPUTED_VALUE"""),3.0)</f>
        <v>3</v>
      </c>
      <c r="K351" s="224">
        <f>IFERROR(__xludf.DUMMYFUNCTION("""COMPUTED_VALUE"""),24.0)</f>
        <v>24</v>
      </c>
      <c r="L351" s="226">
        <f>IFERROR(__xludf.DUMMYFUNCTION("""COMPUTED_VALUE"""),1320667.0)</f>
        <v>1320667</v>
      </c>
      <c r="M351" s="227">
        <f>IFERROR(__xludf.DUMMYFUNCTION("""COMPUTED_VALUE"""),3.1696006E7)</f>
        <v>31696006</v>
      </c>
      <c r="N351" s="222" t="str">
        <f>IFERROR(__xludf.DUMMYFUNCTION("""COMPUTED_VALUE"""),"PT PUTRI JAYA AKSES")</f>
        <v>PT PUTRI JAYA AKSES</v>
      </c>
      <c r="O351" s="222" t="str">
        <f>IFERROR(__xludf.DUMMYFUNCTION("""COMPUTED_VALUE"""),"0. DROP")</f>
        <v>0. DROP</v>
      </c>
      <c r="P351" s="222" t="str">
        <f>IFERROR(__xludf.DUMMYFUNCTION("""COMPUTED_VALUE"""),"0.3 Feeder Full")</f>
        <v>0.3 Feeder Full</v>
      </c>
      <c r="Q351" s="222" t="str">
        <f>IFERROR(__xludf.DUMMYFUNCTION("""COMPUTED_VALUE"""),"(23/01) kendala feeder SCC-FA FULL, butuh tambah feeder Dan UP ODC 144 Ke 288 (21/01) proses aanwijziing (07/01) Persiapan")</f>
        <v>(23/01) kendala feeder SCC-FA FULL, butuh tambah feeder Dan UP ODC 144 Ke 288 (21/01) proses aanwijziing (07/01) Persiapan</v>
      </c>
      <c r="R351" s="228"/>
      <c r="S351" s="11"/>
      <c r="T351" s="11"/>
      <c r="U351" s="11"/>
      <c r="V351" s="229" t="str">
        <f>IFERROR(__xludf.DUMMYFUNCTION("""COMPUTED_VALUE"""),"JANUAR RIZAL")</f>
        <v>JANUAR RIZAL</v>
      </c>
      <c r="W351" s="229" t="str">
        <f>IFERROR(__xludf.DUMMYFUNCTION("""COMPUTED_VALUE"""),"MELKO NARWADI")</f>
        <v>MELKO NARWADI</v>
      </c>
      <c r="X351" s="229" t="str">
        <f>IFERROR(__xludf.DUMMYFUNCTION("""COMPUTED_VALUE"""),"BELUM GOLIVE")</f>
        <v>BELUM GOLIVE</v>
      </c>
      <c r="Y351" s="229"/>
      <c r="Z351" s="229" t="str">
        <f>IFERROR(__xludf.DUMMYFUNCTION("""COMPUTED_VALUE"""),"#N/A")</f>
        <v>#N/A</v>
      </c>
      <c r="AA351" s="229"/>
      <c r="AB351" s="229"/>
      <c r="AC351" s="229"/>
      <c r="AD351" s="232"/>
      <c r="AE351" s="233"/>
      <c r="AF351" s="54" t="str">
        <f>IFERROR(__xludf.DUMMYFUNCTION("""COMPUTED_VALUE"""),"Draft BA DROP")</f>
        <v>Draft BA DROP</v>
      </c>
      <c r="AG351" s="54"/>
      <c r="AH351" s="54"/>
      <c r="AI351" s="55" t="str">
        <f t="shared" si="50"/>
        <v/>
      </c>
      <c r="AW351" s="234"/>
      <c r="BP351" s="11"/>
      <c r="BQ351" s="11"/>
      <c r="BR351" s="235"/>
      <c r="BV351" s="158"/>
      <c r="BY351" s="158"/>
      <c r="CB351" s="158"/>
    </row>
    <row r="352" ht="18.0" hidden="1" customHeight="1">
      <c r="A352" s="222">
        <f>IFERROR(__xludf.DUMMYFUNCTION("""COMPUTED_VALUE"""),2026.0)</f>
        <v>2026</v>
      </c>
      <c r="B352" s="221">
        <f>IFERROR(__xludf.DUMMYFUNCTION("""COMPUTED_VALUE"""),1.1511806E7)</f>
        <v>11511806</v>
      </c>
      <c r="C352" s="222" t="str">
        <f>IFERROR(__xludf.DUMMYFUNCTION("""COMPUTED_VALUE"""),"ACH TTN PT3 TTN-FH PAYONAN GADANG")</f>
        <v>ACH TTN PT3 TTN-FH PAYONAN GADANG</v>
      </c>
      <c r="D352" s="222" t="str">
        <f>IFERROR(__xludf.DUMMYFUNCTION("""COMPUTED_VALUE"""),"REGIONAL I")</f>
        <v>REGIONAL I</v>
      </c>
      <c r="E352" s="222" t="str">
        <f>IFERROR(__xludf.DUMMYFUNCTION("""COMPUTED_VALUE"""),"ACEH")</f>
        <v>ACEH</v>
      </c>
      <c r="F352" s="222" t="str">
        <f>IFERROR(__xludf.DUMMYFUNCTION("""COMPUTED_VALUE"""),"TTN")</f>
        <v>TTN</v>
      </c>
      <c r="G352" s="222" t="str">
        <f>IFERROR(__xludf.DUMMYFUNCTION("""COMPUTED_VALUE"""),"SUMBAGUT")</f>
        <v>SUMBAGUT</v>
      </c>
      <c r="H352" s="222" t="str">
        <f>IFERROR(__xludf.DUMMYFUNCTION("""COMPUTED_VALUE"""),"BANDA ACEH")</f>
        <v>BANDA ACEH</v>
      </c>
      <c r="I352" s="222" t="str">
        <f>IFERROR(__xludf.DUMMYFUNCTION("""COMPUTED_VALUE"""),"Batch 2")</f>
        <v>Batch 2</v>
      </c>
      <c r="J352" s="225">
        <f>IFERROR(__xludf.DUMMYFUNCTION("""COMPUTED_VALUE"""),14.0)</f>
        <v>14</v>
      </c>
      <c r="K352" s="224">
        <f>IFERROR(__xludf.DUMMYFUNCTION("""COMPUTED_VALUE"""),112.0)</f>
        <v>112</v>
      </c>
      <c r="L352" s="226">
        <f>IFERROR(__xludf.DUMMYFUNCTION("""COMPUTED_VALUE"""),1320128.0)</f>
        <v>1320128</v>
      </c>
      <c r="M352" s="227">
        <f>IFERROR(__xludf.DUMMYFUNCTION("""COMPUTED_VALUE"""),1.47854324E8)</f>
        <v>147854324</v>
      </c>
      <c r="N352" s="222" t="str">
        <f>IFERROR(__xludf.DUMMYFUNCTION("""COMPUTED_VALUE"""),"PT ASWA KARYA DIFA")</f>
        <v>PT ASWA KARYA DIFA</v>
      </c>
      <c r="O352" s="222" t="str">
        <f>IFERROR(__xludf.DUMMYFUNCTION("""COMPUTED_VALUE"""),"0. DROP")</f>
        <v>0. DROP</v>
      </c>
      <c r="P352" s="222" t="str">
        <f>IFERROR(__xludf.DUMMYFUNCTION("""COMPUTED_VALUE"""),"0.3 Feeder Full")</f>
        <v>0.3 Feeder Full</v>
      </c>
      <c r="Q352" s="222" t="str">
        <f>IFERROR(__xludf.DUMMYFUNCTION("""COMPUTED_VALUE"""),"(14/02) Feeder Habis (11/02) feeder habis (07/01) Persiapan")</f>
        <v>(14/02) Feeder Habis (11/02) feeder habis (07/01) Persiapan</v>
      </c>
      <c r="R352" s="228"/>
      <c r="S352" s="11"/>
      <c r="T352" s="11"/>
      <c r="U352" s="11"/>
      <c r="V352" s="229"/>
      <c r="W352" s="229"/>
      <c r="X352" s="229" t="str">
        <f>IFERROR(__xludf.DUMMYFUNCTION("""COMPUTED_VALUE"""),"BELUM GOLIVE")</f>
        <v>BELUM GOLIVE</v>
      </c>
      <c r="Y352" s="229"/>
      <c r="Z352" s="229" t="str">
        <f>IFERROR(__xludf.DUMMYFUNCTION("""COMPUTED_VALUE"""),"#N/A")</f>
        <v>#N/A</v>
      </c>
      <c r="AA352" s="229"/>
      <c r="AB352" s="229"/>
      <c r="AC352" s="229"/>
      <c r="AD352" s="232"/>
      <c r="AE352" s="233"/>
      <c r="AF352" s="54"/>
      <c r="AG352" s="54"/>
      <c r="AH352" s="54"/>
      <c r="AI352" s="55" t="str">
        <f t="shared" si="50"/>
        <v/>
      </c>
      <c r="AW352" s="234"/>
      <c r="BP352" s="11"/>
      <c r="BQ352" s="11"/>
      <c r="BR352" s="235"/>
      <c r="BV352" s="158"/>
      <c r="BY352" s="158"/>
      <c r="CB352" s="158"/>
    </row>
    <row r="353" ht="18.0" customHeight="1">
      <c r="A353" s="222">
        <f>IFERROR(__xludf.DUMMYFUNCTION("""COMPUTED_VALUE"""),2026.0)</f>
        <v>2026</v>
      </c>
      <c r="B353" s="221">
        <f>IFERROR(__xludf.DUMMYFUNCTION("""COMPUTED_VALUE"""),1.1100228E7)</f>
        <v>11100228</v>
      </c>
      <c r="C353" s="222" t="str">
        <f>IFERROR(__xludf.DUMMYFUNCTION("""COMPUTED_VALUE"""),"SMB JPP PT3 MD PDG_ SUMATERA BARAT_8734_new")</f>
        <v>SMB JPP PT3 MD PDG_ SUMATERA BARAT_8734_new</v>
      </c>
      <c r="D353" s="222" t="str">
        <f>IFERROR(__xludf.DUMMYFUNCTION("""COMPUTED_VALUE"""),"REGIONAL I")</f>
        <v>REGIONAL I</v>
      </c>
      <c r="E353" s="222" t="str">
        <f>IFERROR(__xludf.DUMMYFUNCTION("""COMPUTED_VALUE"""),"SUMBAR")</f>
        <v>SUMBAR</v>
      </c>
      <c r="F353" s="222" t="str">
        <f>IFERROR(__xludf.DUMMYFUNCTION("""COMPUTED_VALUE"""),"KJI")</f>
        <v>KJI</v>
      </c>
      <c r="G353" s="222" t="str">
        <f>IFERROR(__xludf.DUMMYFUNCTION("""COMPUTED_VALUE"""),"SUMBAGTENG")</f>
        <v>SUMBAGTENG</v>
      </c>
      <c r="H353" s="222" t="str">
        <f>IFERROR(__xludf.DUMMYFUNCTION("""COMPUTED_VALUE"""),"PADANG")</f>
        <v>PADANG</v>
      </c>
      <c r="I353" s="222" t="str">
        <f>IFERROR(__xludf.DUMMYFUNCTION("""COMPUTED_VALUE"""),"Batch 2")</f>
        <v>Batch 2</v>
      </c>
      <c r="J353" s="225">
        <f>IFERROR(__xludf.DUMMYFUNCTION("""COMPUTED_VALUE"""),3.0)</f>
        <v>3</v>
      </c>
      <c r="K353" s="224">
        <f>IFERROR(__xludf.DUMMYFUNCTION("""COMPUTED_VALUE"""),24.0)</f>
        <v>24</v>
      </c>
      <c r="L353" s="226">
        <f>IFERROR(__xludf.DUMMYFUNCTION("""COMPUTED_VALUE"""),1319885.0)</f>
        <v>1319885</v>
      </c>
      <c r="M353" s="227">
        <f>IFERROR(__xludf.DUMMYFUNCTION("""COMPUTED_VALUE"""),3.1677224E7)</f>
        <v>31677224</v>
      </c>
      <c r="N353" s="222" t="str">
        <f>IFERROR(__xludf.DUMMYFUNCTION("""COMPUTED_VALUE"""),"PT ALAM UTAMA MULIA")</f>
        <v>PT ALAM UTAMA MULIA</v>
      </c>
      <c r="O353" s="222" t="str">
        <f>IFERROR(__xludf.DUMMYFUNCTION("""COMPUTED_VALUE"""),"8. UJI TERIMA")</f>
        <v>8. UJI TERIMA</v>
      </c>
      <c r="P353" s="222" t="str">
        <f>IFERROR(__xludf.DUMMYFUNCTION("""COMPUTED_VALUE"""),"8.1 Proses UT")</f>
        <v>8.1 Proses UT</v>
      </c>
      <c r="Q353" s="222" t="str">
        <f>IFERROR(__xludf.DUMMYFUNCTION("""COMPUTED_VALUE"""),"(08/01) terminasi   ,MATDEL ke site  menunggu PID , MATDEL ke site , proses aanwijziing ,Proses mapping mitra  (07/01) Persiapan")</f>
        <v>(08/01) terminasi   ,MATDEL ke site  menunggu PID , MATDEL ke site , proses aanwijziing ,Proses mapping mitra  (07/01) Persiapan</v>
      </c>
      <c r="R353" s="228"/>
      <c r="S353" s="11"/>
      <c r="T353" s="11"/>
      <c r="U353" s="11" t="str">
        <f>IFERROR(__xludf.DUMMYFUNCTION("""COMPUTED_VALUE"""),"W10-1794/2025 25KT03R158-0576")</f>
        <v>W10-1794/2025 25KT03R158-0576</v>
      </c>
      <c r="V353" s="229" t="str">
        <f>IFERROR(__xludf.DUMMYFUNCTION("""COMPUTED_VALUE"""),"ALDI EFENDI")</f>
        <v>ALDI EFENDI</v>
      </c>
      <c r="W353" s="229" t="str">
        <f>IFERROR(__xludf.DUMMYFUNCTION("""COMPUTED_VALUE"""),"MELKO NARWADI")</f>
        <v>MELKO NARWADI</v>
      </c>
      <c r="X353" s="229" t="str">
        <f>IFERROR(__xludf.DUMMYFUNCTION("""COMPUTED_VALUE"""),"GOLIVE")</f>
        <v>GOLIVE</v>
      </c>
      <c r="Y353" s="229" t="str">
        <f>IFERROR(__xludf.DUMMYFUNCTION("""COMPUTED_VALUE"""),"DONE")</f>
        <v>DONE</v>
      </c>
      <c r="Z353" s="229" t="str">
        <f>IFERROR(__xludf.DUMMYFUNCTION("""COMPUTED_VALUE"""),"#N/A")</f>
        <v>#N/A</v>
      </c>
      <c r="AA353" s="229">
        <f>IFERROR(__xludf.DUMMYFUNCTION("""COMPUTED_VALUE"""),3.0)</f>
        <v>3</v>
      </c>
      <c r="AB353" s="229"/>
      <c r="AC353" s="229" t="str">
        <f>IFERROR(__xludf.DUMMYFUNCTION("""COMPUTED_VALUE"""),"8943267#8943272")</f>
        <v>8943267#8943272</v>
      </c>
      <c r="AD353" s="232">
        <f>IFERROR(__xludf.DUMMYFUNCTION("""COMPUTED_VALUE"""),24.0)</f>
        <v>24</v>
      </c>
      <c r="AE353" s="233">
        <f>IFERROR(__xludf.DUMMYFUNCTION("""COMPUTED_VALUE"""),46034.0)</f>
        <v>46034</v>
      </c>
      <c r="AF353" s="54"/>
      <c r="AG353" s="54"/>
      <c r="AH353" s="54"/>
      <c r="AI353" s="55" t="str">
        <f t="shared" si="50"/>
        <v/>
      </c>
      <c r="AW353" s="234"/>
      <c r="BP353" s="11"/>
      <c r="BQ353" s="11"/>
      <c r="BR353" s="235"/>
      <c r="BV353" s="158"/>
      <c r="BY353" s="158"/>
      <c r="CB353" s="158"/>
    </row>
    <row r="354" ht="18.0" hidden="1" customHeight="1">
      <c r="A354" s="222">
        <f>IFERROR(__xludf.DUMMYFUNCTION("""COMPUTED_VALUE"""),2026.0)</f>
        <v>2026</v>
      </c>
      <c r="B354" s="221">
        <f>IFERROR(__xludf.DUMMYFUNCTION("""COMPUTED_VALUE"""),1.1263925E7)</f>
        <v>11263925</v>
      </c>
      <c r="C354" s="222" t="str">
        <f>IFERROR(__xludf.DUMMYFUNCTION("""COMPUTED_VALUE"""),"ACH PT3 BNN-FJ D10 REUBAT")</f>
        <v>ACH PT3 BNN-FJ D10 REUBAT</v>
      </c>
      <c r="D354" s="222" t="str">
        <f>IFERROR(__xludf.DUMMYFUNCTION("""COMPUTED_VALUE"""),"REGIONAL I")</f>
        <v>REGIONAL I</v>
      </c>
      <c r="E354" s="222" t="str">
        <f>IFERROR(__xludf.DUMMYFUNCTION("""COMPUTED_VALUE"""),"ACEH")</f>
        <v>ACEH</v>
      </c>
      <c r="F354" s="222" t="str">
        <f>IFERROR(__xludf.DUMMYFUNCTION("""COMPUTED_VALUE"""),"BNN")</f>
        <v>BNN</v>
      </c>
      <c r="G354" s="222" t="str">
        <f>IFERROR(__xludf.DUMMYFUNCTION("""COMPUTED_VALUE"""),"SUMBAGUT")</f>
        <v>SUMBAGUT</v>
      </c>
      <c r="H354" s="222" t="str">
        <f>IFERROR(__xludf.DUMMYFUNCTION("""COMPUTED_VALUE"""),"BANDA ACEH")</f>
        <v>BANDA ACEH</v>
      </c>
      <c r="I354" s="222" t="str">
        <f>IFERROR(__xludf.DUMMYFUNCTION("""COMPUTED_VALUE"""),"Batch 2")</f>
        <v>Batch 2</v>
      </c>
      <c r="J354" s="225">
        <f>IFERROR(__xludf.DUMMYFUNCTION("""COMPUTED_VALUE"""),18.0)</f>
        <v>18</v>
      </c>
      <c r="K354" s="224">
        <f>IFERROR(__xludf.DUMMYFUNCTION("""COMPUTED_VALUE"""),144.0)</f>
        <v>144</v>
      </c>
      <c r="L354" s="226">
        <f>IFERROR(__xludf.DUMMYFUNCTION("""COMPUTED_VALUE"""),1319032.0)</f>
        <v>1319032</v>
      </c>
      <c r="M354" s="227">
        <f>IFERROR(__xludf.DUMMYFUNCTION("""COMPUTED_VALUE"""),1.89940501E8)</f>
        <v>189940501</v>
      </c>
      <c r="N354" s="222" t="str">
        <f>IFERROR(__xludf.DUMMYFUNCTION("""COMPUTED_VALUE"""),"PT NIAGA NUSANTARA DIVA")</f>
        <v>PT NIAGA NUSANTARA DIVA</v>
      </c>
      <c r="O354" s="222" t="str">
        <f>IFERROR(__xludf.DUMMYFUNCTION("""COMPUTED_VALUE"""),"7. GOLIVE")</f>
        <v>7. GOLIVE</v>
      </c>
      <c r="P354" s="222" t="str">
        <f>IFERROR(__xludf.DUMMYFUNCTION("""COMPUTED_VALUE"""),"7.2 Golive Full / OA / DONE OTB")</f>
        <v>7.2 Golive Full / OA / DONE OTB</v>
      </c>
      <c r="Q354" s="222" t="str">
        <f>IFERROR(__xludf.DUMMYFUNCTION("""COMPUTED_VALUE"""),"(24/04) Terminasi )21/04) Alih Rute kabel, konfirm TSEL (13/04) Penarikan Kabel (03/03) Tanam Tiang (07/02) DelMat (29/01) AANWIJZING (07/01) Persiapan")</f>
        <v>(24/04) Terminasi )21/04) Alih Rute kabel, konfirm TSEL (13/04) Penarikan Kabel (03/03) Tanam Tiang (07/02) DelMat (29/01) AANWIJZING (07/01) Persiapan</v>
      </c>
      <c r="R354" s="228">
        <f>IFERROR(__xludf.DUMMYFUNCTION("""COMPUTED_VALUE"""),46137.0)</f>
        <v>46137</v>
      </c>
      <c r="S354" s="11" t="str">
        <f>IFERROR(__xludf.DUMMYFUNCTION("""COMPUTED_VALUE"""),"APR")</f>
        <v>APR</v>
      </c>
      <c r="T354" s="73"/>
      <c r="U354" s="11"/>
      <c r="V354" s="229"/>
      <c r="W354" s="229" t="str">
        <f>IFERROR(__xludf.DUMMYFUNCTION("""COMPUTED_VALUE"""),"#N/A")</f>
        <v>#N/A</v>
      </c>
      <c r="X354" s="229" t="str">
        <f>IFERROR(__xludf.DUMMYFUNCTION("""COMPUTED_VALUE"""),"GOLIVE")</f>
        <v>GOLIVE</v>
      </c>
      <c r="Y354" s="229" t="str">
        <f>IFERROR(__xludf.DUMMYFUNCTION("""COMPUTED_VALUE"""),"DONE")</f>
        <v>DONE</v>
      </c>
      <c r="Z354" s="229" t="str">
        <f>IFERROR(__xludf.DUMMYFUNCTION("""COMPUTED_VALUE"""),"#N/A")</f>
        <v>#N/A</v>
      </c>
      <c r="AA354" s="229">
        <f>IFERROR(__xludf.DUMMYFUNCTION("""COMPUTED_VALUE"""),18.0)</f>
        <v>18</v>
      </c>
      <c r="AB354" s="229"/>
      <c r="AC354" s="229" t="str">
        <f>IFERROR(__xludf.DUMMYFUNCTION("""COMPUTED_VALUE"""),"9312813#9312818")</f>
        <v>9312813#9312818</v>
      </c>
      <c r="AD354" s="232">
        <f>IFERROR(__xludf.DUMMYFUNCTION("""COMPUTED_VALUE"""),144.0)</f>
        <v>144</v>
      </c>
      <c r="AE354" s="233">
        <f>IFERROR(__xludf.DUMMYFUNCTION("""COMPUTED_VALUE"""),46138.0)</f>
        <v>46138</v>
      </c>
      <c r="AF354" s="54"/>
      <c r="AG354" s="54"/>
      <c r="AH354" s="54">
        <v>46137.0</v>
      </c>
      <c r="AI354" s="55">
        <f t="shared" si="50"/>
        <v>-1</v>
      </c>
      <c r="AW354" s="234"/>
      <c r="BP354" s="11"/>
      <c r="BQ354" s="11"/>
      <c r="BR354" s="235"/>
      <c r="BV354" s="158"/>
      <c r="BY354" s="158"/>
      <c r="CB354" s="158"/>
    </row>
    <row r="355" ht="18.0" hidden="1" customHeight="1">
      <c r="A355" s="222">
        <f>IFERROR(__xludf.DUMMYFUNCTION("""COMPUTED_VALUE"""),2026.0)</f>
        <v>2026</v>
      </c>
      <c r="B355" s="221">
        <f>IFERROR(__xludf.DUMMYFUNCTION("""COMPUTED_VALUE"""),1.1265742E7)</f>
        <v>11265742</v>
      </c>
      <c r="C355" s="222" t="str">
        <f>IFERROR(__xludf.DUMMYFUNCTION("""COMPUTED_VALUE"""),"MDN PT3 PDB-FAG TUAH SEJAHTERA RESIDENCE")</f>
        <v>MDN PT3 PDB-FAG TUAH SEJAHTERA RESIDENCE</v>
      </c>
      <c r="D355" s="222" t="str">
        <f>IFERROR(__xludf.DUMMYFUNCTION("""COMPUTED_VALUE"""),"REGIONAL I")</f>
        <v>REGIONAL I</v>
      </c>
      <c r="E355" s="222" t="str">
        <f>IFERROR(__xludf.DUMMYFUNCTION("""COMPUTED_VALUE"""),"MEDAN")</f>
        <v>MEDAN</v>
      </c>
      <c r="F355" s="222" t="str">
        <f>IFERROR(__xludf.DUMMYFUNCTION("""COMPUTED_VALUE"""),"PDB")</f>
        <v>PDB</v>
      </c>
      <c r="G355" s="222" t="str">
        <f>IFERROR(__xludf.DUMMYFUNCTION("""COMPUTED_VALUE"""),"SUMBAGUT")</f>
        <v>SUMBAGUT</v>
      </c>
      <c r="H355" s="222" t="str">
        <f>IFERROR(__xludf.DUMMYFUNCTION("""COMPUTED_VALUE"""),"MEDAN")</f>
        <v>MEDAN</v>
      </c>
      <c r="I355" s="222" t="str">
        <f>IFERROR(__xludf.DUMMYFUNCTION("""COMPUTED_VALUE"""),"Batch 2")</f>
        <v>Batch 2</v>
      </c>
      <c r="J355" s="225">
        <f>IFERROR(__xludf.DUMMYFUNCTION("""COMPUTED_VALUE"""),14.0)</f>
        <v>14</v>
      </c>
      <c r="K355" s="224">
        <f>IFERROR(__xludf.DUMMYFUNCTION("""COMPUTED_VALUE"""),112.0)</f>
        <v>112</v>
      </c>
      <c r="L355" s="226">
        <f>IFERROR(__xludf.DUMMYFUNCTION("""COMPUTED_VALUE"""),1318944.0)</f>
        <v>1318944</v>
      </c>
      <c r="M355" s="227">
        <f>IFERROR(__xludf.DUMMYFUNCTION("""COMPUTED_VALUE"""),1.47721719E8)</f>
        <v>147721719</v>
      </c>
      <c r="N355" s="222" t="str">
        <f>IFERROR(__xludf.DUMMYFUNCTION("""COMPUTED_VALUE"""),"PT PILAR HARAPAN SENTOSA")</f>
        <v>PT PILAR HARAPAN SENTOSA</v>
      </c>
      <c r="O355" s="222" t="str">
        <f>IFERROR(__xludf.DUMMYFUNCTION("""COMPUTED_VALUE"""),"0. DROP")</f>
        <v>0. DROP</v>
      </c>
      <c r="P355" s="222" t="str">
        <f>IFERROR(__xludf.DUMMYFUNCTION("""COMPUTED_VALUE"""),"0.4 CPP Tinggi Acc ED TIF")</f>
        <v>0.4 CPP Tinggi Acc ED TIF</v>
      </c>
      <c r="Q355" s="222" t="str">
        <f>IFERROR(__xludf.DUMMYFUNCTION("""COMPUTED_VALUE"""),"16/10 Feeder Redaman Tinggi 
16/10 Mapping Mitra")</f>
        <v>16/10 Feeder Redaman Tinggi 
16/10 Mapping Mitra</v>
      </c>
      <c r="R355" s="228"/>
      <c r="S355" s="11"/>
      <c r="T355" s="11"/>
      <c r="U355" s="11"/>
      <c r="V355" s="229"/>
      <c r="W355" s="229"/>
      <c r="X355" s="229" t="str">
        <f>IFERROR(__xludf.DUMMYFUNCTION("""COMPUTED_VALUE"""),"BELUM GOLIVE")</f>
        <v>BELUM GOLIVE</v>
      </c>
      <c r="Y355" s="229"/>
      <c r="Z355" s="229" t="str">
        <f>IFERROR(__xludf.DUMMYFUNCTION("""COMPUTED_VALUE"""),"#N/A")</f>
        <v>#N/A</v>
      </c>
      <c r="AA355" s="229"/>
      <c r="AB355" s="229"/>
      <c r="AC355" s="229"/>
      <c r="AD355" s="232"/>
      <c r="AE355" s="233"/>
      <c r="AF355" s="54" t="str">
        <f>IFERROR(__xludf.DUMMYFUNCTION("""COMPUTED_VALUE"""),"Draft BA DROP")</f>
        <v>Draft BA DROP</v>
      </c>
      <c r="AG355" s="54"/>
      <c r="AH355" s="54"/>
      <c r="AI355" s="55" t="str">
        <f t="shared" si="50"/>
        <v/>
      </c>
      <c r="AW355" s="234"/>
      <c r="BP355" s="11"/>
      <c r="BQ355" s="11"/>
      <c r="BR355" s="235"/>
      <c r="BV355" s="158"/>
      <c r="BY355" s="158"/>
      <c r="CB355" s="158"/>
    </row>
    <row r="356" ht="18.0" hidden="1" customHeight="1">
      <c r="A356" s="222">
        <f>IFERROR(__xludf.DUMMYFUNCTION("""COMPUTED_VALUE"""),2026.0)</f>
        <v>2026</v>
      </c>
      <c r="B356" s="221">
        <f>IFERROR(__xludf.DUMMYFUNCTION("""COMPUTED_VALUE"""),1.1289375E7)</f>
        <v>11289375</v>
      </c>
      <c r="C356" s="222" t="str">
        <f>IFERROR(__xludf.DUMMYFUNCTION("""COMPUTED_VALUE"""),"MDN PT3 P7I9 TTG-FN JL.KUTALIMBARU")</f>
        <v>MDN PT3 P7I9 TTG-FN JL.KUTALIMBARU</v>
      </c>
      <c r="D356" s="222" t="str">
        <f>IFERROR(__xludf.DUMMYFUNCTION("""COMPUTED_VALUE"""),"REGIONAL I")</f>
        <v>REGIONAL I</v>
      </c>
      <c r="E356" s="222" t="str">
        <f>IFERROR(__xludf.DUMMYFUNCTION("""COMPUTED_VALUE"""),"MEDAN")</f>
        <v>MEDAN</v>
      </c>
      <c r="F356" s="222" t="str">
        <f>IFERROR(__xludf.DUMMYFUNCTION("""COMPUTED_VALUE"""),"TTG")</f>
        <v>TTG</v>
      </c>
      <c r="G356" s="222" t="str">
        <f>IFERROR(__xludf.DUMMYFUNCTION("""COMPUTED_VALUE"""),"SUMBAGUT")</f>
        <v>SUMBAGUT</v>
      </c>
      <c r="H356" s="222" t="str">
        <f>IFERROR(__xludf.DUMMYFUNCTION("""COMPUTED_VALUE"""),"MEDAN")</f>
        <v>MEDAN</v>
      </c>
      <c r="I356" s="222" t="str">
        <f>IFERROR(__xludf.DUMMYFUNCTION("""COMPUTED_VALUE"""),"Batch 2")</f>
        <v>Batch 2</v>
      </c>
      <c r="J356" s="225">
        <f>IFERROR(__xludf.DUMMYFUNCTION("""COMPUTED_VALUE"""),3.0)</f>
        <v>3</v>
      </c>
      <c r="K356" s="224">
        <f>IFERROR(__xludf.DUMMYFUNCTION("""COMPUTED_VALUE"""),24.0)</f>
        <v>24</v>
      </c>
      <c r="L356" s="226">
        <f>IFERROR(__xludf.DUMMYFUNCTION("""COMPUTED_VALUE"""),1318823.0)</f>
        <v>1318823</v>
      </c>
      <c r="M356" s="227">
        <f>IFERROR(__xludf.DUMMYFUNCTION("""COMPUTED_VALUE"""),3.1651733E7)</f>
        <v>31651733</v>
      </c>
      <c r="N356" s="222" t="str">
        <f>IFERROR(__xludf.DUMMYFUNCTION("""COMPUTED_VALUE"""),"PT WALET SOLUSINDO")</f>
        <v>PT WALET SOLUSINDO</v>
      </c>
      <c r="O356" s="222" t="str">
        <f>IFERROR(__xludf.DUMMYFUNCTION("""COMPUTED_VALUE"""),"0. DROP")</f>
        <v>0. DROP</v>
      </c>
      <c r="P356" s="222" t="str">
        <f>IFERROR(__xludf.DUMMYFUNCTION("""COMPUTED_VALUE"""),"0.4 CPP Tinggi Acc ED TIF")</f>
        <v>0.4 CPP Tinggi Acc ED TIF</v>
      </c>
      <c r="Q356" s="222" t="str">
        <f>IFERROR(__xludf.DUMMYFUNCTION("""COMPUTED_VALUE"""),"02/02 Feeder Habis
(07/01) Persiapan")</f>
        <v>02/02 Feeder Habis
(07/01) Persiapan</v>
      </c>
      <c r="R356" s="228"/>
      <c r="S356" s="11"/>
      <c r="T356" s="11"/>
      <c r="U356" s="11"/>
      <c r="V356" s="229"/>
      <c r="W356" s="229"/>
      <c r="X356" s="229" t="str">
        <f>IFERROR(__xludf.DUMMYFUNCTION("""COMPUTED_VALUE"""),"BELUM GOLIVE")</f>
        <v>BELUM GOLIVE</v>
      </c>
      <c r="Y356" s="229"/>
      <c r="Z356" s="229" t="str">
        <f>IFERROR(__xludf.DUMMYFUNCTION("""COMPUTED_VALUE"""),"#N/A")</f>
        <v>#N/A</v>
      </c>
      <c r="AA356" s="229"/>
      <c r="AB356" s="229"/>
      <c r="AC356" s="229"/>
      <c r="AD356" s="232"/>
      <c r="AE356" s="233"/>
      <c r="AF356" s="54" t="str">
        <f>IFERROR(__xludf.DUMMYFUNCTION("""COMPUTED_VALUE"""),"Draft BA DROP")</f>
        <v>Draft BA DROP</v>
      </c>
      <c r="AG356" s="54"/>
      <c r="AH356" s="54"/>
      <c r="AI356" s="55" t="str">
        <f t="shared" si="50"/>
        <v/>
      </c>
      <c r="AW356" s="234"/>
      <c r="BP356" s="11"/>
      <c r="BQ356" s="11"/>
      <c r="BR356" s="235"/>
      <c r="BV356" s="158"/>
      <c r="BY356" s="158"/>
      <c r="CB356" s="158"/>
    </row>
    <row r="357" ht="18.0" hidden="1" customHeight="1">
      <c r="A357" s="222">
        <f>IFERROR(__xludf.DUMMYFUNCTION("""COMPUTED_VALUE"""),2026.0)</f>
        <v>2026</v>
      </c>
      <c r="B357" s="221">
        <f>IFERROR(__xludf.DUMMYFUNCTION("""COMPUTED_VALUE"""),1.1394089E7)</f>
        <v>11394089</v>
      </c>
      <c r="C357" s="222" t="str">
        <f>IFERROR(__xludf.DUMMYFUNCTION("""COMPUTED_VALUE"""),"BNK-PT3-PDW-FZ-JPPTSEL-PERUM SAVA SAFIRA")</f>
        <v>BNK-PT3-PDW-FZ-JPPTSEL-PERUM SAVA SAFIRA</v>
      </c>
      <c r="D357" s="222" t="str">
        <f>IFERROR(__xludf.DUMMYFUNCTION("""COMPUTED_VALUE"""),"REGIONAL I")</f>
        <v>REGIONAL I</v>
      </c>
      <c r="E357" s="222" t="str">
        <f>IFERROR(__xludf.DUMMYFUNCTION("""COMPUTED_VALUE"""),"BENGKULU")</f>
        <v>BENGKULU</v>
      </c>
      <c r="F357" s="222" t="str">
        <f>IFERROR(__xludf.DUMMYFUNCTION("""COMPUTED_VALUE"""),"PDW")</f>
        <v>PDW</v>
      </c>
      <c r="G357" s="222" t="str">
        <f>IFERROR(__xludf.DUMMYFUNCTION("""COMPUTED_VALUE"""),"SUMBAGSEL")</f>
        <v>SUMBAGSEL</v>
      </c>
      <c r="H357" s="222" t="str">
        <f>IFERROR(__xludf.DUMMYFUNCTION("""COMPUTED_VALUE"""),"BENGKULU")</f>
        <v>BENGKULU</v>
      </c>
      <c r="I357" s="222" t="str">
        <f>IFERROR(__xludf.DUMMYFUNCTION("""COMPUTED_VALUE"""),"Batch 2")</f>
        <v>Batch 2</v>
      </c>
      <c r="J357" s="225">
        <f>IFERROR(__xludf.DUMMYFUNCTION("""COMPUTED_VALUE"""),22.0)</f>
        <v>22</v>
      </c>
      <c r="K357" s="224">
        <f>IFERROR(__xludf.DUMMYFUNCTION("""COMPUTED_VALUE"""),176.0)</f>
        <v>176</v>
      </c>
      <c r="L357" s="226">
        <f>IFERROR(__xludf.DUMMYFUNCTION("""COMPUTED_VALUE"""),1318510.0)</f>
        <v>1318510</v>
      </c>
      <c r="M357" s="227">
        <f>IFERROR(__xludf.DUMMYFUNCTION("""COMPUTED_VALUE"""),2.32057663E8)</f>
        <v>232057663</v>
      </c>
      <c r="N357" s="222" t="str">
        <f>IFERROR(__xludf.DUMMYFUNCTION("""COMPUTED_VALUE"""),"PT TELAGA RESTU ABADI")</f>
        <v>PT TELAGA RESTU ABADI</v>
      </c>
      <c r="O357" s="222" t="str">
        <f>IFERROR(__xludf.DUMMYFUNCTION("""COMPUTED_VALUE"""),"0. DROP")</f>
        <v>0. DROP</v>
      </c>
      <c r="P357" s="222" t="str">
        <f>IFERROR(__xludf.DUMMYFUNCTION("""COMPUTED_VALUE"""),"0.2 Tidak Dapat Izin Warga/Kades/Lurah/Developer")</f>
        <v>0.2 Tidak Dapat Izin Warga/Kades/Lurah/Developer</v>
      </c>
      <c r="Q357" s="222" t="str">
        <f>IFERROR(__xludf.DUMMYFUNCTION("""COMPUTED_VALUE"""),"22/2 tidak mendapat IZIN 23/01 : Drop TSEL")</f>
        <v>22/2 tidak mendapat IZIN 23/01 : Drop TSEL</v>
      </c>
      <c r="R357" s="228"/>
      <c r="S357" s="11"/>
      <c r="T357" s="11"/>
      <c r="U357" s="11"/>
      <c r="V357" s="229"/>
      <c r="W357" s="229"/>
      <c r="X357" s="229" t="str">
        <f>IFERROR(__xludf.DUMMYFUNCTION("""COMPUTED_VALUE"""),"BELUM GOLIVE")</f>
        <v>BELUM GOLIVE</v>
      </c>
      <c r="Y357" s="229"/>
      <c r="Z357" s="229" t="str">
        <f>IFERROR(__xludf.DUMMYFUNCTION("""COMPUTED_VALUE"""),"#N/A")</f>
        <v>#N/A</v>
      </c>
      <c r="AA357" s="229"/>
      <c r="AB357" s="229"/>
      <c r="AC357" s="229"/>
      <c r="AD357" s="232"/>
      <c r="AE357" s="233"/>
      <c r="AF357" s="54" t="str">
        <f>IFERROR(__xludf.DUMMYFUNCTION("""COMPUTED_VALUE"""),"Draft BA DROP")</f>
        <v>Draft BA DROP</v>
      </c>
      <c r="AG357" s="54"/>
      <c r="AH357" s="54"/>
      <c r="AI357" s="55" t="str">
        <f t="shared" si="50"/>
        <v/>
      </c>
      <c r="AW357" s="234"/>
      <c r="BP357" s="11"/>
      <c r="BQ357" s="11"/>
      <c r="BR357" s="235"/>
      <c r="BV357" s="158"/>
      <c r="BY357" s="158"/>
      <c r="CB357" s="158"/>
    </row>
    <row r="358" ht="18.0" hidden="1" customHeight="1">
      <c r="A358" s="222">
        <f>IFERROR(__xludf.DUMMYFUNCTION("""COMPUTED_VALUE"""),2026.0)</f>
        <v>2026</v>
      </c>
      <c r="B358" s="221">
        <f>IFERROR(__xludf.DUMMYFUNCTION("""COMPUTED_VALUE"""),1.1093094E7)</f>
        <v>11093094</v>
      </c>
      <c r="C358" s="222" t="str">
        <f>IFERROR(__xludf.DUMMYFUNCTION("""COMPUTED_VALUE"""),"MDN PT3 P7I6 CTD-FBB SCATER BALAI DESA")</f>
        <v>MDN PT3 P7I6 CTD-FBB SCATER BALAI DESA</v>
      </c>
      <c r="D358" s="222" t="str">
        <f>IFERROR(__xludf.DUMMYFUNCTION("""COMPUTED_VALUE"""),"REGIONAL I")</f>
        <v>REGIONAL I</v>
      </c>
      <c r="E358" s="222" t="str">
        <f>IFERROR(__xludf.DUMMYFUNCTION("""COMPUTED_VALUE"""),"MEDAN")</f>
        <v>MEDAN</v>
      </c>
      <c r="F358" s="222" t="str">
        <f>IFERROR(__xludf.DUMMYFUNCTION("""COMPUTED_VALUE"""),"CTD")</f>
        <v>CTD</v>
      </c>
      <c r="G358" s="222" t="str">
        <f>IFERROR(__xludf.DUMMYFUNCTION("""COMPUTED_VALUE"""),"SUMBAGUT")</f>
        <v>SUMBAGUT</v>
      </c>
      <c r="H358" s="222" t="str">
        <f>IFERROR(__xludf.DUMMYFUNCTION("""COMPUTED_VALUE"""),"MEDAN")</f>
        <v>MEDAN</v>
      </c>
      <c r="I358" s="222" t="str">
        <f>IFERROR(__xludf.DUMMYFUNCTION("""COMPUTED_VALUE"""),"Batch 2")</f>
        <v>Batch 2</v>
      </c>
      <c r="J358" s="225">
        <f>IFERROR(__xludf.DUMMYFUNCTION("""COMPUTED_VALUE"""),6.0)</f>
        <v>6</v>
      </c>
      <c r="K358" s="224">
        <f>IFERROR(__xludf.DUMMYFUNCTION("""COMPUTED_VALUE"""),48.0)</f>
        <v>48</v>
      </c>
      <c r="L358" s="226">
        <f>IFERROR(__xludf.DUMMYFUNCTION("""COMPUTED_VALUE"""),1317561.0)</f>
        <v>1317561</v>
      </c>
      <c r="M358" s="227">
        <f>IFERROR(__xludf.DUMMYFUNCTION("""COMPUTED_VALUE"""),6.3242923E7)</f>
        <v>63242923</v>
      </c>
      <c r="N358" s="222" t="str">
        <f>IFERROR(__xludf.DUMMYFUNCTION("""COMPUTED_VALUE"""),"PT M JUSUF AND SONS")</f>
        <v>PT M JUSUF AND SONS</v>
      </c>
      <c r="O358" s="222" t="str">
        <f>IFERROR(__xludf.DUMMYFUNCTION("""COMPUTED_VALUE"""),"0. DROP")</f>
        <v>0. DROP</v>
      </c>
      <c r="P358" s="222" t="str">
        <f>IFERROR(__xludf.DUMMYFUNCTION("""COMPUTED_VALUE"""),"0.4 CPP Tinggi Acc ED TIF")</f>
        <v>0.4 CPP Tinggi Acc ED TIF</v>
      </c>
      <c r="Q358" s="222" t="str">
        <f>IFERROR(__xludf.DUMMYFUNCTION("""COMPUTED_VALUE"""),"16/10 Feeder Habis
16/10 Mapping Mitra")</f>
        <v>16/10 Feeder Habis
16/10 Mapping Mitra</v>
      </c>
      <c r="R358" s="228"/>
      <c r="S358" s="11"/>
      <c r="T358" s="11"/>
      <c r="U358" s="11"/>
      <c r="V358" s="229"/>
      <c r="W358" s="229"/>
      <c r="X358" s="229" t="str">
        <f>IFERROR(__xludf.DUMMYFUNCTION("""COMPUTED_VALUE"""),"BELUM GOLIVE")</f>
        <v>BELUM GOLIVE</v>
      </c>
      <c r="Y358" s="229"/>
      <c r="Z358" s="229" t="str">
        <f>IFERROR(__xludf.DUMMYFUNCTION("""COMPUTED_VALUE"""),"#N/A")</f>
        <v>#N/A</v>
      </c>
      <c r="AA358" s="229"/>
      <c r="AB358" s="229"/>
      <c r="AC358" s="229"/>
      <c r="AD358" s="232"/>
      <c r="AE358" s="233"/>
      <c r="AF358" s="54" t="str">
        <f>IFERROR(__xludf.DUMMYFUNCTION("""COMPUTED_VALUE"""),"Draft BA DROP")</f>
        <v>Draft BA DROP</v>
      </c>
      <c r="AG358" s="54"/>
      <c r="AH358" s="54"/>
      <c r="AI358" s="55" t="str">
        <f t="shared" si="50"/>
        <v/>
      </c>
      <c r="AW358" s="234"/>
      <c r="BP358" s="11"/>
      <c r="BQ358" s="11"/>
      <c r="BR358" s="235"/>
      <c r="BV358" s="158"/>
      <c r="BY358" s="158"/>
      <c r="CB358" s="158"/>
    </row>
    <row r="359" ht="18.0" hidden="1" customHeight="1">
      <c r="A359" s="222">
        <f>IFERROR(__xludf.DUMMYFUNCTION("""COMPUTED_VALUE"""),2026.0)</f>
        <v>2026</v>
      </c>
      <c r="B359" s="221">
        <f>IFERROR(__xludf.DUMMYFUNCTION("""COMPUTED_VALUE"""),1.2099388E7)</f>
        <v>12099388</v>
      </c>
      <c r="C359" s="222" t="str">
        <f>IFERROR(__xludf.DUMMYFUNCTION("""COMPUTED_VALUE"""),"SMU PT4 ANP CLUST INNER AEK KANOPAN 2")</f>
        <v>SMU PT4 ANP CLUST INNER AEK KANOPAN 2</v>
      </c>
      <c r="D359" s="222" t="str">
        <f>IFERROR(__xludf.DUMMYFUNCTION("""COMPUTED_VALUE"""),"REGIONAL I")</f>
        <v>REGIONAL I</v>
      </c>
      <c r="E359" s="222" t="str">
        <f>IFERROR(__xludf.DUMMYFUNCTION("""COMPUTED_VALUE"""),"SUMUT")</f>
        <v>SUMUT</v>
      </c>
      <c r="F359" s="222" t="str">
        <f>IFERROR(__xludf.DUMMYFUNCTION("""COMPUTED_VALUE"""),"ANP")</f>
        <v>ANP</v>
      </c>
      <c r="G359" s="222" t="str">
        <f>IFERROR(__xludf.DUMMYFUNCTION("""COMPUTED_VALUE"""),"SUMBAGUT")</f>
        <v>SUMBAGUT</v>
      </c>
      <c r="H359" s="222" t="str">
        <f>IFERROR(__xludf.DUMMYFUNCTION("""COMPUTED_VALUE"""),"RANTAU PRAPAT")</f>
        <v>RANTAU PRAPAT</v>
      </c>
      <c r="I359" s="222" t="str">
        <f>IFERROR(__xludf.DUMMYFUNCTION("""COMPUTED_VALUE"""),"Batch 2")</f>
        <v>Batch 2</v>
      </c>
      <c r="J359" s="225">
        <f>IFERROR(__xludf.DUMMYFUNCTION("""COMPUTED_VALUE"""),72.0)</f>
        <v>72</v>
      </c>
      <c r="K359" s="224">
        <f>IFERROR(__xludf.DUMMYFUNCTION("""COMPUTED_VALUE"""),576.0)</f>
        <v>576</v>
      </c>
      <c r="L359" s="226">
        <f>IFERROR(__xludf.DUMMYFUNCTION("""COMPUTED_VALUE"""),1129406.0)</f>
        <v>1129406</v>
      </c>
      <c r="M359" s="227">
        <f>IFERROR(__xludf.DUMMYFUNCTION("""COMPUTED_VALUE"""),6.50537734E8)</f>
        <v>650537734</v>
      </c>
      <c r="N359" s="222" t="str">
        <f>IFERROR(__xludf.DUMMYFUNCTION("""COMPUTED_VALUE"""),"PT UPENTEL INTERNASIONAL")</f>
        <v>PT UPENTEL INTERNASIONAL</v>
      </c>
      <c r="O359" s="222" t="str">
        <f>IFERROR(__xludf.DUMMYFUNCTION("""COMPUTED_VALUE"""),"4. MATDEL")</f>
        <v>4. MATDEL</v>
      </c>
      <c r="P359" s="222" t="str">
        <f>IFERROR(__xludf.DUMMYFUNCTION("""COMPUTED_VALUE"""),"4.1 Belum Request Material (Alista)")</f>
        <v>4.1 Belum Request Material (Alista)</v>
      </c>
      <c r="Q359" s="222" t="str">
        <f>IFERROR(__xludf.DUMMYFUNCTION("""COMPUTED_VALUE"""),"27/4 menunggu mitra mengirim req material,  24/4 menunggu mitra mengirim req material, 23/4 plan hari ini pembayaran prelim, 22/4 proses pembayaran prelim, 21/4 proses pembayaran prelim, 16/4 proses pembayaran prelim, 15/4 masih proses pembayaran prelim, "&amp;"14/4 plan fu kembali terkait perizinan karena adanya permintaan diluar prelim tiang 4 btg, 13/4 plan fu kembali terkait perizinan karena adanya permintaan diluar prelim tiang 4 btg, 10/4 plan fu kembali terkait perizinan karena adanya permintaan diluar pr"&amp;"elim tiang 4 btg, 9/4 plan fu kembali terkait perizinan karena adanya permintaan diluar prelim tiang 4 btg, 8/4  plan bsk pengajuan ke ED terkait adanya permintaan diluar prelim tiang 4 btg, 6/4 plan fu kmbali perizina hari ini , 5/4  plan bsk pengajuan k"&amp;"e ED terkait adanya permintaan diluar prelim tiang 4 btg, 1/4 plan bsk pengajuan ke ED terkait adanya permintaan diluar prelim tiang 4 btg, 31/3 plan bsk pengajuan ke ED terkait adanya permintaan diluar prelim tiang 4 btg, 30/3 menunggu req kebutuhan mate"&amp;"rial pararel mengurus perizinan ke desa, 27/3 menunggu req kebutuhan material dari mitra, 26/3 menunggu req kebeutuhan matrial dari mitra. 22/3 menunggu req kebeutuhan matrial dari mitra. 18/3 menunggu req matrial setelah lebaran selesai, 16/3 belum req m"&amp;"aterial, 13/3 belum req material, 11/3 belum req material, 10/3 belum req matrial, 6/3 proses req material, 5/3 proses req material, 4/3 proses req material, 3/3 proses req material, 2/3 proses req material, 27/2 proses req matrial,  25/2 proses req matri"&amp;"al, 24/2 proses req matrial, 23/2 proses req matrial, 20/2 proses req matrial, 19/2 proses req matrial paralel izin desa,  18/2 proses req matrial paralel izin desa,   16/2 proses req matrial paralel izin desa,  13/2 proses req matrial paralel izin desa, "&amp;" 12/2 proses req matrial paralle izin desa, 11/2 proses req matrial paralle izin desa, 10/2 menunggu boq kml survey, 9/2 menunggu boq kml survey, 6/2 menunggu boq kml survey, 5/2 menunggu boq kml survey, 3/2 menunggu boq kml survey, 2/2 menunggu boq kml s"&amp;"urvey, 1/2 menunggu boq kml survey, 30/1 menunggu report paralel boq kml survey,28/1 menunggu boq kml survey, 27/1 plan submit boq kml hari ini 28/1, 26/1 menunggu report paralel boq kml survey,  23/1 menunggu report paralel boq kml survey, 22/1 menunggu "&amp;"report paralel boq kml survey, 21/1 plan survey est 22/1, 20/1 plan survey est 22/1, 19/1 plan survey est 22/1, 15/1 plan survey est 22/1, 14/1 plan survey est 20/1, 13/1 menunggu info kelanjutan dari mitra est besok 14/1, (07/01) Persiapan")</f>
        <v>27/4 menunggu mitra mengirim req material,  24/4 menunggu mitra mengirim req material, 23/4 plan hari ini pembayaran prelim, 22/4 proses pembayaran prelim, 21/4 proses pembayaran prelim, 16/4 proses pembayaran prelim, 15/4 masih proses pembayaran prelim, 14/4 plan fu kembali terkait perizinan karena adanya permintaan diluar prelim tiang 4 btg, 13/4 plan fu kembali terkait perizinan karena adanya permintaan diluar prelim tiang 4 btg, 10/4 plan fu kembali terkait perizinan karena adanya permintaan diluar prelim tiang 4 btg, 9/4 plan fu kembali terkait perizinan karena adanya permintaan diluar prelim tiang 4 btg, 8/4  plan bsk pengajuan ke ED terkait adanya permintaan diluar prelim tiang 4 btg, 6/4 plan fu kmbali perizina hari ini , 5/4  plan bsk pengajuan ke ED terkait adanya permintaan diluar prelim tiang 4 btg, 1/4 plan bsk pengajuan ke ED terkait adanya permintaan diluar prelim tiang 4 btg, 31/3 plan bsk pengajuan ke ED terkait adanya permintaan diluar prelim tiang 4 btg, 30/3 menunggu req kebutuhan material pararel mengurus perizinan ke desa, 27/3 menunggu req kebutuhan material dari mitra, 26/3 menunggu req kebeutuhan matrial dari mitra. 22/3 menunggu req kebeutuhan matrial dari mitra. 18/3 menunggu req matrial setelah lebaran selesai, 16/3 belum req material, 13/3 belum req material, 11/3 belum req material, 10/3 belum req matrial, 6/3 proses req material, 5/3 proses req material, 4/3 proses req material, 3/3 proses req material, 2/3 proses req material, 27/2 proses req matrial,  25/2 proses req matrial, 24/2 proses req matrial, 23/2 proses req matrial, 20/2 proses req matrial, 19/2 proses req matrial paralel izin desa,  18/2 proses req matrial paralel izin desa,   16/2 proses req matrial paralel izin desa,  13/2 proses req matrial paralel izin desa,  12/2 proses req matrial paralle izin desa, 11/2 proses req matrial paralle izin desa, 10/2 menunggu boq kml survey, 9/2 menunggu boq kml survey, 6/2 menunggu boq kml survey, 5/2 menunggu boq kml survey, 3/2 menunggu boq kml survey, 2/2 menunggu boq kml survey, 1/2 menunggu boq kml survey, 30/1 menunggu report paralel boq kml survey,28/1 menunggu boq kml survey, 27/1 plan submit boq kml hari ini 28/1, 26/1 menunggu report paralel boq kml survey,  23/1 menunggu report paralel boq kml survey, 22/1 menunggu report paralel boq kml survey, 21/1 plan survey est 22/1, 20/1 plan survey est 22/1, 19/1 plan survey est 22/1, 15/1 plan survey est 22/1, 14/1 plan survey est 20/1, 13/1 menunggu info kelanjutan dari mitra est besok 14/1, (07/01) Persiapan</v>
      </c>
      <c r="R359" s="228"/>
      <c r="S359" s="11"/>
      <c r="T359" s="73" t="str">
        <f>IFERROR(__xludf.DUMMYFUNCTION("""COMPUTED_VALUE"""),"P1")</f>
        <v>P1</v>
      </c>
      <c r="U359" s="11" t="str">
        <f>IFERROR(__xludf.DUMMYFUNCTION("""COMPUTED_VALUE"""),"W03-1620/2025")</f>
        <v>W03-1620/2025</v>
      </c>
      <c r="V359" s="229"/>
      <c r="W359" s="229" t="str">
        <f>IFERROR(__xludf.DUMMYFUNCTION("""COMPUTED_VALUE"""),"#N/A")</f>
        <v>#N/A</v>
      </c>
      <c r="X359" s="229" t="str">
        <f>IFERROR(__xludf.DUMMYFUNCTION("""COMPUTED_VALUE"""),"BELUM GOLIVE")</f>
        <v>BELUM GOLIVE</v>
      </c>
      <c r="Y359" s="229"/>
      <c r="Z359" s="229" t="str">
        <f>IFERROR(__xludf.DUMMYFUNCTION("""COMPUTED_VALUE"""),"#N/A")</f>
        <v>#N/A</v>
      </c>
      <c r="AA359" s="229"/>
      <c r="AB359" s="229"/>
      <c r="AC359" s="229"/>
      <c r="AD359" s="232"/>
      <c r="AE359" s="233"/>
      <c r="AF359" s="54"/>
      <c r="AG359" s="54"/>
      <c r="AH359" s="54">
        <v>46142.0</v>
      </c>
      <c r="AI359" s="55" t="str">
        <f t="shared" si="50"/>
        <v/>
      </c>
      <c r="AW359" s="234"/>
      <c r="BP359" s="11"/>
      <c r="BQ359" s="11"/>
      <c r="BR359" s="235"/>
      <c r="BV359" s="158"/>
      <c r="BY359" s="158"/>
      <c r="CB359" s="158"/>
    </row>
    <row r="360" ht="18.0" hidden="1" customHeight="1">
      <c r="A360" s="222">
        <f>IFERROR(__xludf.DUMMYFUNCTION("""COMPUTED_VALUE"""),2026.0)</f>
        <v>2026</v>
      </c>
      <c r="B360" s="221">
        <f>IFERROR(__xludf.DUMMYFUNCTION("""COMPUTED_VALUE"""),1.1189173E7)</f>
        <v>11189173</v>
      </c>
      <c r="C360" s="222" t="str">
        <f>IFERROR(__xludf.DUMMYFUNCTION("""COMPUTED_VALUE"""),"MDN PT3 P7I10 PUB-FCP GG.TURI")</f>
        <v>MDN PT3 P7I10 PUB-FCP GG.TURI</v>
      </c>
      <c r="D360" s="222" t="str">
        <f>IFERROR(__xludf.DUMMYFUNCTION("""COMPUTED_VALUE"""),"REGIONAL I")</f>
        <v>REGIONAL I</v>
      </c>
      <c r="E360" s="222" t="str">
        <f>IFERROR(__xludf.DUMMYFUNCTION("""COMPUTED_VALUE"""),"MEDAN")</f>
        <v>MEDAN</v>
      </c>
      <c r="F360" s="222" t="str">
        <f>IFERROR(__xludf.DUMMYFUNCTION("""COMPUTED_VALUE"""),"PUB")</f>
        <v>PUB</v>
      </c>
      <c r="G360" s="222" t="str">
        <f>IFERROR(__xludf.DUMMYFUNCTION("""COMPUTED_VALUE"""),"SUMBAGUT")</f>
        <v>SUMBAGUT</v>
      </c>
      <c r="H360" s="222" t="str">
        <f>IFERROR(__xludf.DUMMYFUNCTION("""COMPUTED_VALUE"""),"MEDAN")</f>
        <v>MEDAN</v>
      </c>
      <c r="I360" s="222" t="str">
        <f>IFERROR(__xludf.DUMMYFUNCTION("""COMPUTED_VALUE"""),"Batch 2")</f>
        <v>Batch 2</v>
      </c>
      <c r="J360" s="225">
        <f>IFERROR(__xludf.DUMMYFUNCTION("""COMPUTED_VALUE"""),1.0)</f>
        <v>1</v>
      </c>
      <c r="K360" s="224">
        <f>IFERROR(__xludf.DUMMYFUNCTION("""COMPUTED_VALUE"""),8.0)</f>
        <v>8</v>
      </c>
      <c r="L360" s="226">
        <f>IFERROR(__xludf.DUMMYFUNCTION("""COMPUTED_VALUE"""),1148969.0)</f>
        <v>1148969</v>
      </c>
      <c r="M360" s="227">
        <f>IFERROR(__xludf.DUMMYFUNCTION("""COMPUTED_VALUE"""),9191752.0)</f>
        <v>9191752</v>
      </c>
      <c r="N360" s="222" t="str">
        <f>IFERROR(__xludf.DUMMYFUNCTION("""COMPUTED_VALUE"""),"PT BENWA  MITRA PRATAMA")</f>
        <v>PT BENWA  MITRA PRATAMA</v>
      </c>
      <c r="O360" s="222" t="str">
        <f>IFERROR(__xludf.DUMMYFUNCTION("""COMPUTED_VALUE"""),"0. DROP")</f>
        <v>0. DROP</v>
      </c>
      <c r="P360" s="222" t="str">
        <f>IFERROR(__xludf.DUMMYFUNCTION("""COMPUTED_VALUE"""),"0.4 CPP Tinggi Acc ED TIF")</f>
        <v>0.4 CPP Tinggi Acc ED TIF</v>
      </c>
      <c r="Q360" s="222" t="str">
        <f>IFERROR(__xludf.DUMMYFUNCTION("""COMPUTED_VALUE"""),"10/02 Komitmen Aanwidzing 13/02/2026 08/02 Done Order, lnjut Aanwidzing")</f>
        <v>10/02 Komitmen Aanwidzing 13/02/2026 08/02 Done Order, lnjut Aanwidzing</v>
      </c>
      <c r="R360" s="228"/>
      <c r="S360" s="11"/>
      <c r="T360" s="11"/>
      <c r="U360" s="11"/>
      <c r="V360" s="229"/>
      <c r="W360" s="229"/>
      <c r="X360" s="229" t="str">
        <f>IFERROR(__xludf.DUMMYFUNCTION("""COMPUTED_VALUE"""),"BELUM GOLIVE")</f>
        <v>BELUM GOLIVE</v>
      </c>
      <c r="Y360" s="229"/>
      <c r="Z360" s="229" t="str">
        <f>IFERROR(__xludf.DUMMYFUNCTION("""COMPUTED_VALUE"""),"#N/A")</f>
        <v>#N/A</v>
      </c>
      <c r="AA360" s="229"/>
      <c r="AB360" s="229"/>
      <c r="AC360" s="229"/>
      <c r="AD360" s="232"/>
      <c r="AE360" s="233"/>
      <c r="AF360" s="54" t="str">
        <f>IFERROR(__xludf.DUMMYFUNCTION("""COMPUTED_VALUE"""),"Draft BA DROP")</f>
        <v>Draft BA DROP</v>
      </c>
      <c r="AG360" s="54"/>
      <c r="AH360" s="54"/>
      <c r="AI360" s="55" t="str">
        <f t="shared" si="50"/>
        <v/>
      </c>
      <c r="AW360" s="234"/>
      <c r="BP360" s="11"/>
      <c r="BQ360" s="11"/>
      <c r="BR360" s="235"/>
      <c r="BV360" s="158"/>
      <c r="BY360" s="158"/>
      <c r="CB360" s="158"/>
    </row>
    <row r="361" ht="18.0" hidden="1" customHeight="1">
      <c r="A361" s="222">
        <f>IFERROR(__xludf.DUMMYFUNCTION("""COMPUTED_VALUE"""),2026.0)</f>
        <v>2026</v>
      </c>
      <c r="B361" s="221">
        <f>IFERROR(__xludf.DUMMYFUNCTION("""COMPUTED_VALUE"""),1.1271914E7)</f>
        <v>11271914</v>
      </c>
      <c r="C361" s="222" t="str">
        <f>IFERROR(__xludf.DUMMYFUNCTION("""COMPUTED_VALUE"""),"MDN PT3 P1I1 TTG-FBH JL.BUNGA NICOLE 8")</f>
        <v>MDN PT3 P1I1 TTG-FBH JL.BUNGA NICOLE 8</v>
      </c>
      <c r="D361" s="222" t="str">
        <f>IFERROR(__xludf.DUMMYFUNCTION("""COMPUTED_VALUE"""),"REGIONAL I")</f>
        <v>REGIONAL I</v>
      </c>
      <c r="E361" s="222" t="str">
        <f>IFERROR(__xludf.DUMMYFUNCTION("""COMPUTED_VALUE"""),"MEDAN")</f>
        <v>MEDAN</v>
      </c>
      <c r="F361" s="222" t="str">
        <f>IFERROR(__xludf.DUMMYFUNCTION("""COMPUTED_VALUE"""),"TTG")</f>
        <v>TTG</v>
      </c>
      <c r="G361" s="222" t="str">
        <f>IFERROR(__xludf.DUMMYFUNCTION("""COMPUTED_VALUE"""),"SUMBAGUT")</f>
        <v>SUMBAGUT</v>
      </c>
      <c r="H361" s="222" t="str">
        <f>IFERROR(__xludf.DUMMYFUNCTION("""COMPUTED_VALUE"""),"MEDAN")</f>
        <v>MEDAN</v>
      </c>
      <c r="I361" s="222" t="str">
        <f>IFERROR(__xludf.DUMMYFUNCTION("""COMPUTED_VALUE"""),"Batch 2")</f>
        <v>Batch 2</v>
      </c>
      <c r="J361" s="225">
        <f>IFERROR(__xludf.DUMMYFUNCTION("""COMPUTED_VALUE"""),9.0)</f>
        <v>9</v>
      </c>
      <c r="K361" s="224">
        <f>IFERROR(__xludf.DUMMYFUNCTION("""COMPUTED_VALUE"""),72.0)</f>
        <v>72</v>
      </c>
      <c r="L361" s="226">
        <f>IFERROR(__xludf.DUMMYFUNCTION("""COMPUTED_VALUE"""),759698.0)</f>
        <v>759698</v>
      </c>
      <c r="M361" s="227">
        <f>IFERROR(__xludf.DUMMYFUNCTION("""COMPUTED_VALUE"""),5.4698228E7)</f>
        <v>54698228</v>
      </c>
      <c r="N361" s="222" t="str">
        <f>IFERROR(__xludf.DUMMYFUNCTION("""COMPUTED_VALUE"""),"SWAKELOLA")</f>
        <v>SWAKELOLA</v>
      </c>
      <c r="O361" s="222" t="str">
        <f>IFERROR(__xludf.DUMMYFUNCTION("""COMPUTED_VALUE"""),"3. PERIZINAN")</f>
        <v>3. PERIZINAN</v>
      </c>
      <c r="P361" s="222" t="str">
        <f>IFERROR(__xludf.DUMMYFUNCTION("""COMPUTED_VALUE"""),"3.10 Izin Developer / Private area")</f>
        <v>3.10 Izin Developer / Private area</v>
      </c>
      <c r="Q361" s="222" t="str">
        <f>IFERROR(__xludf.DUMMYFUNCTION("""COMPUTED_VALUE"""),"16/02 submit perizinan CP TRANTIP KEL. KEMENANGAN TANI")</f>
        <v>16/02 submit perizinan CP TRANTIP KEL. KEMENANGAN TANI</v>
      </c>
      <c r="R361" s="228"/>
      <c r="S361" s="11"/>
      <c r="T361" s="73"/>
      <c r="U361" s="11"/>
      <c r="V361" s="229" t="str">
        <f>IFERROR(__xludf.DUMMYFUNCTION("""COMPUTED_VALUE"""),"27/Apr/2026")</f>
        <v>27/Apr/2026</v>
      </c>
      <c r="W361" s="229"/>
      <c r="X361" s="229" t="str">
        <f>IFERROR(__xludf.DUMMYFUNCTION("""COMPUTED_VALUE"""),"BELUM GOLIVE")</f>
        <v>BELUM GOLIVE</v>
      </c>
      <c r="Y361" s="229"/>
      <c r="Z361" s="229" t="str">
        <f>IFERROR(__xludf.DUMMYFUNCTION("""COMPUTED_VALUE"""),"#N/A")</f>
        <v>#N/A</v>
      </c>
      <c r="AA361" s="229"/>
      <c r="AB361" s="229"/>
      <c r="AC361" s="229"/>
      <c r="AD361" s="232"/>
      <c r="AE361" s="233"/>
      <c r="AF361" s="54"/>
      <c r="AG361" s="54"/>
      <c r="AH361" s="54"/>
      <c r="AI361" s="55" t="str">
        <f t="shared" si="50"/>
        <v/>
      </c>
      <c r="AW361" s="234"/>
      <c r="BP361" s="11"/>
      <c r="BQ361" s="11"/>
      <c r="BR361" s="235"/>
      <c r="BV361" s="158"/>
      <c r="BY361" s="158"/>
      <c r="CB361" s="158"/>
    </row>
    <row r="362" ht="18.0" hidden="1" customHeight="1">
      <c r="A362" s="222">
        <f>IFERROR(__xludf.DUMMYFUNCTION("""COMPUTED_VALUE"""),2026.0)</f>
        <v>2026</v>
      </c>
      <c r="B362" s="221">
        <f>IFERROR(__xludf.DUMMYFUNCTION("""COMPUTED_VALUE"""),1.2424707E7)</f>
        <v>12424707</v>
      </c>
      <c r="C362" s="222" t="str">
        <f>IFERROR(__xludf.DUMMYFUNCTION("""COMPUTED_VALUE"""),"SMU ODC-TGD-FAD D07 B BARA 150725")</f>
        <v>SMU ODC-TGD-FAD D07 B BARA 150725</v>
      </c>
      <c r="D362" s="222" t="str">
        <f>IFERROR(__xludf.DUMMYFUNCTION("""COMPUTED_VALUE"""),"REGIONAL I")</f>
        <v>REGIONAL I</v>
      </c>
      <c r="E362" s="222" t="str">
        <f>IFERROR(__xludf.DUMMYFUNCTION("""COMPUTED_VALUE"""),"SUMUT")</f>
        <v>SUMUT</v>
      </c>
      <c r="F362" s="222" t="str">
        <f>IFERROR(__xludf.DUMMYFUNCTION("""COMPUTED_VALUE"""),"TGD")</f>
        <v>TGD</v>
      </c>
      <c r="G362" s="222" t="str">
        <f>IFERROR(__xludf.DUMMYFUNCTION("""COMPUTED_VALUE"""),"SUMBAGUT")</f>
        <v>SUMBAGUT</v>
      </c>
      <c r="H362" s="222" t="str">
        <f>IFERROR(__xludf.DUMMYFUNCTION("""COMPUTED_VALUE"""),"PEMATANG SIANTAR")</f>
        <v>PEMATANG SIANTAR</v>
      </c>
      <c r="I362" s="222" t="str">
        <f>IFERROR(__xludf.DUMMYFUNCTION("""COMPUTED_VALUE"""),"Batch 2")</f>
        <v>Batch 2</v>
      </c>
      <c r="J362" s="225">
        <f>IFERROR(__xludf.DUMMYFUNCTION("""COMPUTED_VALUE"""),6.0)</f>
        <v>6</v>
      </c>
      <c r="K362" s="224">
        <f>IFERROR(__xludf.DUMMYFUNCTION("""COMPUTED_VALUE"""),48.0)</f>
        <v>48</v>
      </c>
      <c r="L362" s="226">
        <f>IFERROR(__xludf.DUMMYFUNCTION("""COMPUTED_VALUE"""),1316182.0)</f>
        <v>1316182</v>
      </c>
      <c r="M362" s="227">
        <f>IFERROR(__xludf.DUMMYFUNCTION("""COMPUTED_VALUE"""),6.3176698E7)</f>
        <v>63176698</v>
      </c>
      <c r="N362" s="222" t="str">
        <f>IFERROR(__xludf.DUMMYFUNCTION("""COMPUTED_VALUE"""),"PT GARINDO TECHNO MANDIRI")</f>
        <v>PT GARINDO TECHNO MANDIRI</v>
      </c>
      <c r="O362" s="222" t="str">
        <f>IFERROR(__xludf.DUMMYFUNCTION("""COMPUTED_VALUE"""),"7. GOLIVE")</f>
        <v>7. GOLIVE</v>
      </c>
      <c r="P362" s="222" t="str">
        <f>IFERROR(__xludf.DUMMYFUNCTION("""COMPUTED_VALUE"""),"7.2 Golive Full / OA / DONE OTB")</f>
        <v>7.2 Golive Full / OA / DONE OTB</v>
      </c>
      <c r="Q362" s="222" t="str">
        <f>IFERROR(__xludf.DUMMYFUNCTION("""COMPUTED_VALUE"""),"4/2 validasi sdi, 3/2 proses valins paralel abd mancore, 2/2 sisa valins paralel sabd mancore, 1/2 sisa valins paralel sabd mancore,  30/1 sisa terminasi 6 odp, ku12 (1420 selesai), tiang 1, 28/1 gali dan tanam tiang, 27/1 plan ambil matrial ke gudang bes"&amp;"ok 28/1, 26/1 prepair team untuk pengambilan matrial ke gudang, plan progres 23/1 proses input matrial, 22/1 menunggu boq kml survey,  21/1 menunggu boq kml survey, 20/1 prepair team untuk survey kelokasi, 19/1 plan survey 20/1, 18/1 plan survey 19/1,15/1"&amp;" plan survey tanggal 16/1, 14/01 plan survey tanggal 15/01, 13/01 plan survey tanggal 15/01, (07/01) Persiapan")</f>
        <v>4/2 validasi sdi, 3/2 proses valins paralel abd mancore, 2/2 sisa valins paralel sabd mancore, 1/2 sisa valins paralel sabd mancore,  30/1 sisa terminasi 6 odp, ku12 (1420 selesai), tiang 1, 28/1 gali dan tanam tiang, 27/1 plan ambil matrial ke gudang besok 28/1, 26/1 prepair team untuk pengambilan matrial ke gudang, plan progres 23/1 proses input matrial, 22/1 menunggu boq kml survey,  21/1 menunggu boq kml survey, 20/1 prepair team untuk survey kelokasi, 19/1 plan survey 20/1, 18/1 plan survey 19/1,15/1 plan survey tanggal 16/1, 14/01 plan survey tanggal 15/01, 13/01 plan survey tanggal 15/01, (07/01) Persiapan</v>
      </c>
      <c r="R362" s="228">
        <f>IFERROR(__xludf.DUMMYFUNCTION("""COMPUTED_VALUE"""),46057.0)</f>
        <v>46057</v>
      </c>
      <c r="S362" s="11"/>
      <c r="T362" s="11"/>
      <c r="U362" s="11" t="str">
        <f>IFERROR(__xludf.DUMMYFUNCTION("""COMPUTED_VALUE"""),"TIF-1408/2026")</f>
        <v>TIF-1408/2026</v>
      </c>
      <c r="V362" s="229"/>
      <c r="W362" s="229"/>
      <c r="X362" s="229" t="str">
        <f>IFERROR(__xludf.DUMMYFUNCTION("""COMPUTED_VALUE"""),"GOLIVE")</f>
        <v>GOLIVE</v>
      </c>
      <c r="Y362" s="229" t="str">
        <f>IFERROR(__xludf.DUMMYFUNCTION("""COMPUTED_VALUE"""),"DONE")</f>
        <v>DONE</v>
      </c>
      <c r="Z362" s="229" t="str">
        <f>IFERROR(__xludf.DUMMYFUNCTION("""COMPUTED_VALUE"""),"#N/A")</f>
        <v>#N/A</v>
      </c>
      <c r="AA362" s="229">
        <f>IFERROR(__xludf.DUMMYFUNCTION("""COMPUTED_VALUE"""),6.0)</f>
        <v>6</v>
      </c>
      <c r="AB362" s="229"/>
      <c r="AC362" s="229" t="str">
        <f>IFERROR(__xludf.DUMMYFUNCTION("""COMPUTED_VALUE"""),"9064503#9064508")</f>
        <v>9064503#9064508</v>
      </c>
      <c r="AD362" s="232">
        <f>IFERROR(__xludf.DUMMYFUNCTION("""COMPUTED_VALUE"""),48.0)</f>
        <v>48</v>
      </c>
      <c r="AE362" s="233">
        <f>IFERROR(__xludf.DUMMYFUNCTION("""COMPUTED_VALUE"""),46057.0)</f>
        <v>46057</v>
      </c>
      <c r="AF362" s="54"/>
      <c r="AG362" s="54"/>
      <c r="AH362" s="54">
        <v>46057.0</v>
      </c>
      <c r="AI362" s="55">
        <f t="shared" si="50"/>
        <v>0</v>
      </c>
      <c r="AW362" s="234"/>
      <c r="BP362" s="11"/>
      <c r="BQ362" s="11"/>
      <c r="BR362" s="235"/>
      <c r="BV362" s="158"/>
      <c r="BY362" s="158"/>
      <c r="CB362" s="158"/>
    </row>
    <row r="363" ht="18.0" hidden="1" customHeight="1">
      <c r="A363" s="222">
        <f>IFERROR(__xludf.DUMMYFUNCTION("""COMPUTED_VALUE"""),2026.0)</f>
        <v>2026</v>
      </c>
      <c r="B363" s="221">
        <f>IFERROR(__xludf.DUMMYFUNCTION("""COMPUTED_VALUE"""),1.152581E7)</f>
        <v>11525810</v>
      </c>
      <c r="C363" s="222" t="str">
        <f>IFERROR(__xludf.DUMMYFUNCTION("""COMPUTED_VALUE"""),"BNK-PT4-BNC-FEA-JPPTSEL- SUMUR MELELEH")</f>
        <v>BNK-PT4-BNC-FEA-JPPTSEL- SUMUR MELELEH</v>
      </c>
      <c r="D363" s="222" t="str">
        <f>IFERROR(__xludf.DUMMYFUNCTION("""COMPUTED_VALUE"""),"REGIONAL I")</f>
        <v>REGIONAL I</v>
      </c>
      <c r="E363" s="222" t="str">
        <f>IFERROR(__xludf.DUMMYFUNCTION("""COMPUTED_VALUE"""),"BENGKULU")</f>
        <v>BENGKULU</v>
      </c>
      <c r="F363" s="222" t="str">
        <f>IFERROR(__xludf.DUMMYFUNCTION("""COMPUTED_VALUE"""),"BNC")</f>
        <v>BNC</v>
      </c>
      <c r="G363" s="222" t="str">
        <f>IFERROR(__xludf.DUMMYFUNCTION("""COMPUTED_VALUE"""),"SUMBAGSEL")</f>
        <v>SUMBAGSEL</v>
      </c>
      <c r="H363" s="222" t="str">
        <f>IFERROR(__xludf.DUMMYFUNCTION("""COMPUTED_VALUE"""),"BENGKULU")</f>
        <v>BENGKULU</v>
      </c>
      <c r="I363" s="222" t="str">
        <f>IFERROR(__xludf.DUMMYFUNCTION("""COMPUTED_VALUE"""),"Batch 2")</f>
        <v>Batch 2</v>
      </c>
      <c r="J363" s="225">
        <f>IFERROR(__xludf.DUMMYFUNCTION("""COMPUTED_VALUE"""),9.0)</f>
        <v>9</v>
      </c>
      <c r="K363" s="224">
        <f>IFERROR(__xludf.DUMMYFUNCTION("""COMPUTED_VALUE"""),72.0)</f>
        <v>72</v>
      </c>
      <c r="L363" s="226">
        <f>IFERROR(__xludf.DUMMYFUNCTION("""COMPUTED_VALUE"""),1131085.0)</f>
        <v>1131085</v>
      </c>
      <c r="M363" s="227">
        <f>IFERROR(__xludf.DUMMYFUNCTION("""COMPUTED_VALUE"""),8.1438078E7)</f>
        <v>81438078</v>
      </c>
      <c r="N363" s="222" t="str">
        <f>IFERROR(__xludf.DUMMYFUNCTION("""COMPUTED_VALUE"""),"PT SARANA MITRA PERSADA")</f>
        <v>PT SARANA MITRA PERSADA</v>
      </c>
      <c r="O363" s="222" t="str">
        <f>IFERROR(__xludf.DUMMYFUNCTION("""COMPUTED_VALUE"""),"0. DROP")</f>
        <v>0. DROP</v>
      </c>
      <c r="P363" s="222" t="str">
        <f>IFERROR(__xludf.DUMMYFUNCTION("""COMPUTED_VALUE"""),"0.2 Tidak Dapat Izin Warga/Kades/Lurah/Developer")</f>
        <v>0.2 Tidak Dapat Izin Warga/Kades/Lurah/Developer</v>
      </c>
      <c r="Q363" s="222" t="str">
        <f>IFERROR(__xludf.DUMMYFUNCTION("""COMPUTED_VALUE"""),"22/2 tidak mendapat IZIN 23/01 : Drop TSEL")</f>
        <v>22/2 tidak mendapat IZIN 23/01 : Drop TSEL</v>
      </c>
      <c r="R363" s="228"/>
      <c r="S363" s="11"/>
      <c r="T363" s="11"/>
      <c r="U363" s="11"/>
      <c r="V363" s="229"/>
      <c r="W363" s="229"/>
      <c r="X363" s="229" t="str">
        <f>IFERROR(__xludf.DUMMYFUNCTION("""COMPUTED_VALUE"""),"BELUM GOLIVE")</f>
        <v>BELUM GOLIVE</v>
      </c>
      <c r="Y363" s="229"/>
      <c r="Z363" s="229" t="str">
        <f>IFERROR(__xludf.DUMMYFUNCTION("""COMPUTED_VALUE"""),"#N/A")</f>
        <v>#N/A</v>
      </c>
      <c r="AA363" s="229"/>
      <c r="AB363" s="229"/>
      <c r="AC363" s="229"/>
      <c r="AD363" s="232"/>
      <c r="AE363" s="233"/>
      <c r="AF363" s="54" t="str">
        <f>IFERROR(__xludf.DUMMYFUNCTION("""COMPUTED_VALUE"""),"Draft BA DROP")</f>
        <v>Draft BA DROP</v>
      </c>
      <c r="AG363" s="54"/>
      <c r="AH363" s="54"/>
      <c r="AI363" s="55" t="str">
        <f t="shared" si="50"/>
        <v/>
      </c>
      <c r="AW363" s="234"/>
      <c r="BP363" s="11"/>
      <c r="BQ363" s="11"/>
      <c r="BR363" s="235"/>
      <c r="BV363" s="158"/>
      <c r="BY363" s="158"/>
      <c r="CB363" s="158"/>
    </row>
    <row r="364" ht="18.0" hidden="1" customHeight="1">
      <c r="A364" s="222">
        <f>IFERROR(__xludf.DUMMYFUNCTION("""COMPUTED_VALUE"""),2026.0)</f>
        <v>2026</v>
      </c>
      <c r="B364" s="221">
        <f>IFERROR(__xludf.DUMMYFUNCTION("""COMPUTED_VALUE"""),1.1272342E7)</f>
        <v>11272342</v>
      </c>
      <c r="C364" s="222" t="str">
        <f>IFERROR(__xludf.DUMMYFUNCTION("""COMPUTED_VALUE"""),"MDN PT3 P1I1 DLT-FQ GN RINTIH")</f>
        <v>MDN PT3 P1I1 DLT-FQ GN RINTIH</v>
      </c>
      <c r="D364" s="222" t="str">
        <f>IFERROR(__xludf.DUMMYFUNCTION("""COMPUTED_VALUE"""),"REGIONAL I")</f>
        <v>REGIONAL I</v>
      </c>
      <c r="E364" s="222" t="str">
        <f>IFERROR(__xludf.DUMMYFUNCTION("""COMPUTED_VALUE"""),"MEDAN")</f>
        <v>MEDAN</v>
      </c>
      <c r="F364" s="222" t="str">
        <f>IFERROR(__xludf.DUMMYFUNCTION("""COMPUTED_VALUE"""),"DLT")</f>
        <v>DLT</v>
      </c>
      <c r="G364" s="222" t="str">
        <f>IFERROR(__xludf.DUMMYFUNCTION("""COMPUTED_VALUE"""),"SUMBAGUT")</f>
        <v>SUMBAGUT</v>
      </c>
      <c r="H364" s="222" t="str">
        <f>IFERROR(__xludf.DUMMYFUNCTION("""COMPUTED_VALUE"""),"MEDAN")</f>
        <v>MEDAN</v>
      </c>
      <c r="I364" s="222" t="str">
        <f>IFERROR(__xludf.DUMMYFUNCTION("""COMPUTED_VALUE"""),"Batch 2")</f>
        <v>Batch 2</v>
      </c>
      <c r="J364" s="225">
        <f>IFERROR(__xludf.DUMMYFUNCTION("""COMPUTED_VALUE"""),3.0)</f>
        <v>3</v>
      </c>
      <c r="K364" s="224">
        <f>IFERROR(__xludf.DUMMYFUNCTION("""COMPUTED_VALUE"""),24.0)</f>
        <v>24</v>
      </c>
      <c r="L364" s="226">
        <f>IFERROR(__xludf.DUMMYFUNCTION("""COMPUTED_VALUE"""),768965.0)</f>
        <v>768965</v>
      </c>
      <c r="M364" s="227">
        <f>IFERROR(__xludf.DUMMYFUNCTION("""COMPUTED_VALUE"""),1.8455153E7)</f>
        <v>18455153</v>
      </c>
      <c r="N364" s="222" t="str">
        <f>IFERROR(__xludf.DUMMYFUNCTION("""COMPUTED_VALUE"""),"PT UPENTEL INTERNASIONAL")</f>
        <v>PT UPENTEL INTERNASIONAL</v>
      </c>
      <c r="O364" s="222" t="str">
        <f>IFERROR(__xludf.DUMMYFUNCTION("""COMPUTED_VALUE"""),"7. GOLIVE")</f>
        <v>7. GOLIVE</v>
      </c>
      <c r="P364" s="222" t="str">
        <f>IFERROR(__xludf.DUMMYFUNCTION("""COMPUTED_VALUE"""),"7.2 Golive Full / OA / DONE OTB")</f>
        <v>7.2 Golive Full / OA / DONE OTB</v>
      </c>
      <c r="Q364" s="222" t="str">
        <f>IFERROR(__xludf.DUMMYFUNCTION("""COMPUTED_VALUE"""),"21/04 done abd (20/04) OGP instalasi ODP , target 21/04 selsai
17/04 instalasi odp 15/04 sudah ambil material menunggu instalasi 09/04 pengambilan material 10/04 06/04 up budget ke reg 28/03 menunggu req material 11/03 aanwidzing OK, biaya commcase 2.5jt "&amp;"kenaikan &gt; 10% menunggu eval 27/02 done order")</f>
        <v>21/04 done abd (20/04) OGP instalasi ODP , target 21/04 selsai
17/04 instalasi odp 15/04 sudah ambil material menunggu instalasi 09/04 pengambilan material 10/04 06/04 up budget ke reg 28/03 menunggu req material 11/03 aanwidzing OK, biaya commcase 2.5jt kenaikan &gt; 10% menunggu eval 27/02 done order</v>
      </c>
      <c r="R364" s="228">
        <f>IFERROR(__xludf.DUMMYFUNCTION("""COMPUTED_VALUE"""),46134.0)</f>
        <v>46134</v>
      </c>
      <c r="S364" s="11" t="str">
        <f>IFERROR(__xludf.DUMMYFUNCTION("""COMPUTED_VALUE"""),"APR")</f>
        <v>APR</v>
      </c>
      <c r="T364" s="73"/>
      <c r="U364" s="11"/>
      <c r="V364" s="229" t="str">
        <f>IFERROR(__xludf.DUMMYFUNCTION("""COMPUTED_VALUE"""),"16/Apr/2026")</f>
        <v>16/Apr/2026</v>
      </c>
      <c r="W364" s="229"/>
      <c r="X364" s="229" t="str">
        <f>IFERROR(__xludf.DUMMYFUNCTION("""COMPUTED_VALUE"""),"GOLIVE")</f>
        <v>GOLIVE</v>
      </c>
      <c r="Y364" s="229" t="str">
        <f>IFERROR(__xludf.DUMMYFUNCTION("""COMPUTED_VALUE"""),"DONE")</f>
        <v>DONE</v>
      </c>
      <c r="Z364" s="229" t="str">
        <f>IFERROR(__xludf.DUMMYFUNCTION("""COMPUTED_VALUE"""),"#N/A")</f>
        <v>#N/A</v>
      </c>
      <c r="AA364" s="229">
        <f>IFERROR(__xludf.DUMMYFUNCTION("""COMPUTED_VALUE"""),3.0)</f>
        <v>3</v>
      </c>
      <c r="AB364" s="229"/>
      <c r="AC364" s="229" t="str">
        <f>IFERROR(__xludf.DUMMYFUNCTION("""COMPUTED_VALUE"""),"9298064#9298069")</f>
        <v>9298064#9298069</v>
      </c>
      <c r="AD364" s="232">
        <f>IFERROR(__xludf.DUMMYFUNCTION("""COMPUTED_VALUE"""),24.0)</f>
        <v>24</v>
      </c>
      <c r="AE364" s="233">
        <f>IFERROR(__xludf.DUMMYFUNCTION("""COMPUTED_VALUE"""),46134.0)</f>
        <v>46134</v>
      </c>
      <c r="AF364" s="54"/>
      <c r="AG364" s="54"/>
      <c r="AH364" s="54">
        <v>46137.0</v>
      </c>
      <c r="AI364" s="55">
        <f t="shared" si="50"/>
        <v>0</v>
      </c>
      <c r="AW364" s="234"/>
      <c r="BP364" s="11"/>
      <c r="BQ364" s="11"/>
      <c r="BR364" s="235"/>
      <c r="BV364" s="158"/>
      <c r="BY364" s="158"/>
      <c r="CB364" s="158"/>
    </row>
    <row r="365" ht="18.0" hidden="1" customHeight="1">
      <c r="A365" s="222">
        <f>IFERROR(__xludf.DUMMYFUNCTION("""COMPUTED_VALUE"""),2026.0)</f>
        <v>2026</v>
      </c>
      <c r="B365" s="221">
        <f>IFERROR(__xludf.DUMMYFUNCTION("""COMPUTED_VALUE"""),1.1268582E7)</f>
        <v>11268582</v>
      </c>
      <c r="C365" s="222" t="str">
        <f>IFERROR(__xludf.DUMMYFUNCTION("""COMPUTED_VALUE"""),"BNK-PT4-JPPTSEL DESA COKO BETUNG-BTH")</f>
        <v>BNK-PT4-JPPTSEL DESA COKO BETUNG-BTH</v>
      </c>
      <c r="D365" s="222" t="str">
        <f>IFERROR(__xludf.DUMMYFUNCTION("""COMPUTED_VALUE"""),"REGIONAL I")</f>
        <v>REGIONAL I</v>
      </c>
      <c r="E365" s="222" t="str">
        <f>IFERROR(__xludf.DUMMYFUNCTION("""COMPUTED_VALUE"""),"BENGKULU")</f>
        <v>BENGKULU</v>
      </c>
      <c r="F365" s="222" t="str">
        <f>IFERROR(__xludf.DUMMYFUNCTION("""COMPUTED_VALUE"""),"BTH")</f>
        <v>BTH</v>
      </c>
      <c r="G365" s="222" t="str">
        <f>IFERROR(__xludf.DUMMYFUNCTION("""COMPUTED_VALUE"""),"SUMBAGSEL")</f>
        <v>SUMBAGSEL</v>
      </c>
      <c r="H365" s="222" t="str">
        <f>IFERROR(__xludf.DUMMYFUNCTION("""COMPUTED_VALUE"""),"BENGKULU")</f>
        <v>BENGKULU</v>
      </c>
      <c r="I365" s="222" t="str">
        <f>IFERROR(__xludf.DUMMYFUNCTION("""COMPUTED_VALUE"""),"Batch 2")</f>
        <v>Batch 2</v>
      </c>
      <c r="J365" s="225">
        <f>IFERROR(__xludf.DUMMYFUNCTION("""COMPUTED_VALUE"""),40.0)</f>
        <v>40</v>
      </c>
      <c r="K365" s="224">
        <f>IFERROR(__xludf.DUMMYFUNCTION("""COMPUTED_VALUE"""),320.0)</f>
        <v>320</v>
      </c>
      <c r="L365" s="226">
        <f>IFERROR(__xludf.DUMMYFUNCTION("""COMPUTED_VALUE"""),1315658.0)</f>
        <v>1315658</v>
      </c>
      <c r="M365" s="227">
        <f>IFERROR(__xludf.DUMMYFUNCTION("""COMPUTED_VALUE"""),4.21010353E8)</f>
        <v>421010353</v>
      </c>
      <c r="N365" s="222" t="str">
        <f>IFERROR(__xludf.DUMMYFUNCTION("""COMPUTED_VALUE"""),"PT GITA PRIMA TAMBA PERKASA")</f>
        <v>PT GITA PRIMA TAMBA PERKASA</v>
      </c>
      <c r="O365" s="222" t="str">
        <f>IFERROR(__xludf.DUMMYFUNCTION("""COMPUTED_VALUE"""),"0. DROP")</f>
        <v>0. DROP</v>
      </c>
      <c r="P365" s="222" t="str">
        <f>IFERROR(__xludf.DUMMYFUNCTION("""COMPUTED_VALUE"""),"0.1 Double Order")</f>
        <v>0.1 Double Order</v>
      </c>
      <c r="Q365" s="222" t="str">
        <f>IFERROR(__xludf.DUMMYFUNCTION("""COMPUTED_VALUE"""),"22/01 : DOUBLE ORDER")</f>
        <v>22/01 : DOUBLE ORDER</v>
      </c>
      <c r="R365" s="228"/>
      <c r="S365" s="11"/>
      <c r="T365" s="11"/>
      <c r="U365" s="11"/>
      <c r="V365" s="229"/>
      <c r="W365" s="229"/>
      <c r="X365" s="229" t="str">
        <f>IFERROR(__xludf.DUMMYFUNCTION("""COMPUTED_VALUE"""),"BELUM GOLIVE")</f>
        <v>BELUM GOLIVE</v>
      </c>
      <c r="Y365" s="229"/>
      <c r="Z365" s="229" t="str">
        <f>IFERROR(__xludf.DUMMYFUNCTION("""COMPUTED_VALUE"""),"#N/A")</f>
        <v>#N/A</v>
      </c>
      <c r="AA365" s="229"/>
      <c r="AB365" s="229"/>
      <c r="AC365" s="229"/>
      <c r="AD365" s="232"/>
      <c r="AE365" s="233"/>
      <c r="AF365" s="54" t="str">
        <f>IFERROR(__xludf.DUMMYFUNCTION("""COMPUTED_VALUE"""),"Draft BA DROP")</f>
        <v>Draft BA DROP</v>
      </c>
      <c r="AG365" s="54"/>
      <c r="AH365" s="54"/>
      <c r="AI365" s="55" t="str">
        <f t="shared" si="50"/>
        <v/>
      </c>
      <c r="AW365" s="234"/>
      <c r="BP365" s="11"/>
      <c r="BQ365" s="11"/>
      <c r="BR365" s="235"/>
      <c r="BV365" s="158"/>
      <c r="BY365" s="158"/>
      <c r="CB365" s="158"/>
    </row>
    <row r="366" ht="18.0" hidden="1" customHeight="1">
      <c r="A366" s="222">
        <f>IFERROR(__xludf.DUMMYFUNCTION("""COMPUTED_VALUE"""),2026.0)</f>
        <v>2026</v>
      </c>
      <c r="B366" s="221">
        <f>IFERROR(__xludf.DUMMYFUNCTION("""COMPUTED_VALUE"""),1.2436448E7)</f>
        <v>12436448</v>
      </c>
      <c r="C366" s="222" t="str">
        <f>IFERROR(__xludf.DUMMYFUNCTION("""COMPUTED_VALUE"""),"SMS P4I4 PT3 PBI FT D02 PT KAM")</f>
        <v>SMS P4I4 PT3 PBI FT D02 PT KAM</v>
      </c>
      <c r="D366" s="222" t="str">
        <f>IFERROR(__xludf.DUMMYFUNCTION("""COMPUTED_VALUE"""),"REGIONAL I")</f>
        <v>REGIONAL I</v>
      </c>
      <c r="E366" s="222" t="str">
        <f>IFERROR(__xludf.DUMMYFUNCTION("""COMPUTED_VALUE"""),"SUMSEL")</f>
        <v>SUMSEL</v>
      </c>
      <c r="F366" s="222" t="str">
        <f>IFERROR(__xludf.DUMMYFUNCTION("""COMPUTED_VALUE"""),"PBI")</f>
        <v>PBI</v>
      </c>
      <c r="G366" s="222" t="str">
        <f>IFERROR(__xludf.DUMMYFUNCTION("""COMPUTED_VALUE"""),"SUMBAGSEL")</f>
        <v>SUMBAGSEL</v>
      </c>
      <c r="H366" s="222" t="str">
        <f>IFERROR(__xludf.DUMMYFUNCTION("""COMPUTED_VALUE"""),"PALEMBANG")</f>
        <v>PALEMBANG</v>
      </c>
      <c r="I366" s="222" t="str">
        <f>IFERROR(__xludf.DUMMYFUNCTION("""COMPUTED_VALUE"""),"Batch 2")</f>
        <v>Batch 2</v>
      </c>
      <c r="J366" s="225">
        <f>IFERROR(__xludf.DUMMYFUNCTION("""COMPUTED_VALUE"""),6.0)</f>
        <v>6</v>
      </c>
      <c r="K366" s="224">
        <f>IFERROR(__xludf.DUMMYFUNCTION("""COMPUTED_VALUE"""),48.0)</f>
        <v>48</v>
      </c>
      <c r="L366" s="226">
        <f>IFERROR(__xludf.DUMMYFUNCTION("""COMPUTED_VALUE"""),1315298.0)</f>
        <v>1315298</v>
      </c>
      <c r="M366" s="227">
        <f>IFERROR(__xludf.DUMMYFUNCTION("""COMPUTED_VALUE"""),6.3134286E7)</f>
        <v>63134286</v>
      </c>
      <c r="N366" s="222" t="str">
        <f>IFERROR(__xludf.DUMMYFUNCTION("""COMPUTED_VALUE"""),"PT MAJU JAYA TEKNOLOGI")</f>
        <v>PT MAJU JAYA TEKNOLOGI</v>
      </c>
      <c r="O366" s="222" t="str">
        <f>IFERROR(__xludf.DUMMYFUNCTION("""COMPUTED_VALUE"""),"2. DONE AANWIJZING")</f>
        <v>2. DONE AANWIJZING</v>
      </c>
      <c r="P366" s="222" t="str">
        <f>IFERROR(__xludf.DUMMYFUNCTION("""COMPUTED_VALUE"""),"2.10 Kendala - Feeder Rusak")</f>
        <v>2.10 Kendala - Feeder Rusak</v>
      </c>
      <c r="Q366" s="222" t="str">
        <f>IFERROR(__xludf.DUMMYFUNCTION("""COMPUTED_VALUE"""),"27/04 MASIH MENUNGGU KUNCI SITE DAN TPAS, 24/04 MASIH MENUNGGU KUNCI SITE DAN TPAS, 13/04 Sedang Menunggu kunci dan tipas untuk melakukan pengukuran di eksisting09/06 MASIH PROGRESS REDESIGN,, MENUNGGU PENGUKURAN BERSAMA TIM MTC, 30/03 PROGRESS REDESIGN,,"&amp;" MENUNGGU PENGUKURAN BERSAMA TIM MTC, 25/03 PROGRESS REDESIGN, 21/03 PENCARIAN CORE, 16/03 MASIH MENCARI CORE, 12/03 PROGRESS CEK UPLINK DAN KEBUTUHAN QE, 06/03 HASIL REVIEW TIF - PASTIKAN HITUNG QE - NEED DAMPINGAN MTC, 03/03 HASIL REVIEW TIF - PASTIKAN "&amp;"HITUNG QE, 28/2 Riview TIF 2 Mar 26/02 MEMASTIKAN CORE DI TEMPORERAN DI JALAN TOL,  25/02 MEMASTIKAN CORE DI TEMPORERAN DI JALAN TOL,  22/2 Boq naik dari plam, butuh qe 06/02 HASIL REVIEW TSEL NEED FU TIF UTK QE FEEDER RUAS NASIONAL, 04/03 DONE EVAL, HOLD"&amp;",CPP 1,3 JT, INFO HISTORIS UNTUK FEEDER ODC PBI FT DARI TIM MTC KABEL 144 EXT NODE B BUTUH QE D RUAS JALAN PU NASIONAL, DAN UNTUK DIST PENARIKAN BARU MASUK KE RUAS PU NASIONAL, 15/01 menunggu jadwal aanwijzing dg mitra 04/02 DONE EVAL, HOLD,CPP 1,3 JT, IN"&amp;"FO HISTORIS UNTUK FEEDER ODC PBI FT DARI TIM MTC KABEL 144 EXT NODE B BUTUH QE D RUAS JALAN PU NASIONAL, DAN UNTUK DIST PENARIKAN BARU MASUK KE RUAS PU NASIONAL, 30/01 MENUNGGU ANTRIAN AANWIDJZING, (24/1) plan aawijdizng 26/1( 20/1) MJT setuju (15/1) ORDE"&amp;"R DITERIMA 14/1 ,PLAN AANWIJDZING 21 JAN 26 (06/01)order JPP batch-2 2026 ((14/11)HOLD- tidak masuk target Optimis 2025 ((11/11) Penunjukkan MITRA oleh Procurement 
 14/01 Surat lanjut kerja oleh procurement")</f>
        <v>27/04 MASIH MENUNGGU KUNCI SITE DAN TPAS, 24/04 MASIH MENUNGGU KUNCI SITE DAN TPAS, 13/04 Sedang Menunggu kunci dan tipas untuk melakukan pengukuran di eksisting09/06 MASIH PROGRESS REDESIGN,, MENUNGGU PENGUKURAN BERSAMA TIM MTC, 30/03 PROGRESS REDESIGN,, MENUNGGU PENGUKURAN BERSAMA TIM MTC, 25/03 PROGRESS REDESIGN, 21/03 PENCARIAN CORE, 16/03 MASIH MENCARI CORE, 12/03 PROGRESS CEK UPLINK DAN KEBUTUHAN QE, 06/03 HASIL REVIEW TIF - PASTIKAN HITUNG QE - NEED DAMPINGAN MTC, 03/03 HASIL REVIEW TIF - PASTIKAN HITUNG QE, 28/2 Riview TIF 2 Mar 26/02 MEMASTIKAN CORE DI TEMPORERAN DI JALAN TOL,  25/02 MEMASTIKAN CORE DI TEMPORERAN DI JALAN TOL,  22/2 Boq naik dari plam, butuh qe 06/02 HASIL REVIEW TSEL NEED FU TIF UTK QE FEEDER RUAS NASIONAL, 04/03 DONE EVAL, HOLD,CPP 1,3 JT, INFO HISTORIS UNTUK FEEDER ODC PBI FT DARI TIM MTC KABEL 144 EXT NODE B BUTUH QE D RUAS JALAN PU NASIONAL, DAN UNTUK DIST PENARIKAN BARU MASUK KE RUAS PU NASIONAL, 15/01 menunggu jadwal aanwijzing dg mitra 04/02 DONE EVAL, HOLD,CPP 1,3 JT, INFO HISTORIS UNTUK FEEDER ODC PBI FT DARI TIM MTC KABEL 144 EXT NODE B BUTUH QE D RUAS JALAN PU NASIONAL, DAN UNTUK DIST PENARIKAN BARU MASUK KE RUAS PU NASIONAL, 30/01 MENUNGGU ANTRIAN AANWIDJZING, (24/1) plan aawijdizng 26/1( 20/1) MJT setuju (15/1) ORDER DITERIMA 14/1 ,PLAN AANWIJDZING 21 JAN 26 (06/01)order JPP batch-2 2026 ((14/11)HOLD- tidak masuk target Optimis 2025 ((11/11) Penunjukkan MITRA oleh Procurement 
 14/01 Surat lanjut kerja oleh procurement</v>
      </c>
      <c r="R366" s="228"/>
      <c r="S366" s="11"/>
      <c r="T366" s="11"/>
      <c r="U366" s="11"/>
      <c r="V366" s="229" t="str">
        <f>IFERROR(__xludf.DUMMYFUNCTION("""COMPUTED_VALUE"""),"TEGAR")</f>
        <v>TEGAR</v>
      </c>
      <c r="W366" s="229"/>
      <c r="X366" s="229" t="str">
        <f>IFERROR(__xludf.DUMMYFUNCTION("""COMPUTED_VALUE"""),"BELUM GOLIVE")</f>
        <v>BELUM GOLIVE</v>
      </c>
      <c r="Y366" s="229"/>
      <c r="Z366" s="229" t="str">
        <f>IFERROR(__xludf.DUMMYFUNCTION("""COMPUTED_VALUE"""),"#N/A")</f>
        <v>#N/A</v>
      </c>
      <c r="AA366" s="229"/>
      <c r="AB366" s="229"/>
      <c r="AC366" s="229"/>
      <c r="AD366" s="232"/>
      <c r="AE366" s="233"/>
      <c r="AF366" s="54"/>
      <c r="AG366" s="54"/>
      <c r="AH366" s="54"/>
      <c r="AI366" s="55" t="str">
        <f t="shared" si="50"/>
        <v/>
      </c>
      <c r="AW366" s="234"/>
      <c r="BP366" s="11"/>
      <c r="BQ366" s="11"/>
      <c r="BR366" s="235"/>
      <c r="BV366" s="158"/>
      <c r="BY366" s="158"/>
      <c r="CB366" s="158"/>
    </row>
    <row r="367" ht="18.0" hidden="1" customHeight="1">
      <c r="A367" s="222">
        <f>IFERROR(__xludf.DUMMYFUNCTION("""COMPUTED_VALUE"""),2026.0)</f>
        <v>2026</v>
      </c>
      <c r="B367" s="221">
        <f>IFERROR(__xludf.DUMMYFUNCTION("""COMPUTED_VALUE"""),1.1316646E7)</f>
        <v>11316646</v>
      </c>
      <c r="C367" s="222" t="str">
        <f>IFERROR(__xludf.DUMMYFUNCTION("""COMPUTED_VALUE"""),"BNK-PT4-TIS-JPPTSEL-KOTA AGUNG")</f>
        <v>BNK-PT4-TIS-JPPTSEL-KOTA AGUNG</v>
      </c>
      <c r="D367" s="222" t="str">
        <f>IFERROR(__xludf.DUMMYFUNCTION("""COMPUTED_VALUE"""),"REGIONAL I")</f>
        <v>REGIONAL I</v>
      </c>
      <c r="E367" s="222" t="str">
        <f>IFERROR(__xludf.DUMMYFUNCTION("""COMPUTED_VALUE"""),"BENGKULU")</f>
        <v>BENGKULU</v>
      </c>
      <c r="F367" s="222" t="str">
        <f>IFERROR(__xludf.DUMMYFUNCTION("""COMPUTED_VALUE"""),"TIS")</f>
        <v>TIS</v>
      </c>
      <c r="G367" s="222" t="str">
        <f>IFERROR(__xludf.DUMMYFUNCTION("""COMPUTED_VALUE"""),"SUMBAGSEL")</f>
        <v>SUMBAGSEL</v>
      </c>
      <c r="H367" s="222" t="str">
        <f>IFERROR(__xludf.DUMMYFUNCTION("""COMPUTED_VALUE"""),"BENGKULU")</f>
        <v>BENGKULU</v>
      </c>
      <c r="I367" s="222" t="str">
        <f>IFERROR(__xludf.DUMMYFUNCTION("""COMPUTED_VALUE"""),"Batch 2")</f>
        <v>Batch 2</v>
      </c>
      <c r="J367" s="225">
        <f>IFERROR(__xludf.DUMMYFUNCTION("""COMPUTED_VALUE"""),44.0)</f>
        <v>44</v>
      </c>
      <c r="K367" s="224">
        <f>IFERROR(__xludf.DUMMYFUNCTION("""COMPUTED_VALUE"""),352.0)</f>
        <v>352</v>
      </c>
      <c r="L367" s="226">
        <f>IFERROR(__xludf.DUMMYFUNCTION("""COMPUTED_VALUE"""),1736050.0)</f>
        <v>1736050</v>
      </c>
      <c r="M367" s="227">
        <f>IFERROR(__xludf.DUMMYFUNCTION("""COMPUTED_VALUE"""),6.1108943E8)</f>
        <v>611089430</v>
      </c>
      <c r="N367" s="222" t="str">
        <f>IFERROR(__xludf.DUMMYFUNCTION("""COMPUTED_VALUE"""),"PT JAGO MULTI DIMENSI")</f>
        <v>PT JAGO MULTI DIMENSI</v>
      </c>
      <c r="O367" s="222" t="str">
        <f>IFERROR(__xludf.DUMMYFUNCTION("""COMPUTED_VALUE"""),"7. GOLIVE")</f>
        <v>7. GOLIVE</v>
      </c>
      <c r="P367" s="222" t="str">
        <f>IFERROR(__xludf.DUMMYFUNCTION("""COMPUTED_VALUE"""),"7.2 Golive Full / OA / DONE OTB")</f>
        <v>7.2 Golive Full / OA / DONE OTB</v>
      </c>
      <c r="Q367" s="222" t="str">
        <f>IFERROR(__xludf.DUMMYFUNCTION("""COMPUTED_VALUE"""),"23/04 : Sudah submit ABD ke SDI // 22/04 : Eval ABD Golive // 21/04 : Proses Vallins // 19/04: terminasi mini olt / 15/04: progres instal odp 20/44 pcs // 14/04: Progres terminasi ODP: 10/44 pcs // 13/04 : Terminasi ODP, Pembutan ODC // 12/04: Finish pena"&amp;"rikan feeder, lanjut progres instal ODP // 10/04 : Penarikan Feeder // 09/04 : Kabel KT 48 sudah onsite hari ini // 08/04 Menunggu Kabel KT48 datang estimasi 8 April // 03/04 : masih evaluasi dari TIF terkait comecase kades kota gung // 31/03 : Pekerjaan "&amp;"kota agung distop pihak Desa Kota agung, Kades minta kompensasi, Awalnya pihak desa sudah mengizinkan dan ttd di BAKP tanpa ada embel embel, tapi setelah pekerjaan tanam tiang sudah di mulai pak kades menyetop pekerjaan dan minta biaya kompensasi sebesar "&amp;"5.5jt sesuai kesepakatan perangkat desa, Pekerjaan baru bisa dilanjut setelah case diselesaikan, untuk masalah ini sedang di FU ke pihak TIF // 10/03: progres penggalian lobang untuk tanam tiang //06/03: proses PO KU FEEDER ke vendor // 24/02 ://22/2 PO m"&amp;"aterial , perizinan PU NASIONAL 18/2 proses PR PO- Pid menunggu Approval pakk Arief  09/02://08/02://07/02://06/02://05/02://03/02 : konfirmasi TIF, menunggu keputusan HO TIF terkait kenaikan cpp hasil anwizing senilai ( 1,736,050 ) // 26/01 : penambahan "&amp;"mini olt  (masih evaluasi TIF) // 20/01 : masih nego perizinan sama titik new ODC // 19/01 : kades minta kompensasi 5 juta //  (07/01) Persiapan")</f>
        <v>23/04 : Sudah submit ABD ke SDI // 22/04 : Eval ABD Golive // 21/04 : Proses Vallins // 19/04: terminasi mini olt / 15/04: progres instal odp 20/44 pcs // 14/04: Progres terminasi ODP: 10/44 pcs // 13/04 : Terminasi ODP, Pembutan ODC // 12/04: Finish penarikan feeder, lanjut progres instal ODP // 10/04 : Penarikan Feeder // 09/04 : Kabel KT 48 sudah onsite hari ini // 08/04 Menunggu Kabel KT48 datang estimasi 8 April // 03/04 : masih evaluasi dari TIF terkait comecase kades kota gung // 31/03 : Pekerjaan kota agung distop pihak Desa Kota agung, Kades minta kompensasi, Awalnya pihak desa sudah mengizinkan dan ttd di BAKP tanpa ada embel embel, tapi setelah pekerjaan tanam tiang sudah di mulai pak kades menyetop pekerjaan dan minta biaya kompensasi sebesar 5.5jt sesuai kesepakatan perangkat desa, Pekerjaan baru bisa dilanjut setelah case diselesaikan, untuk masalah ini sedang di FU ke pihak TIF // 10/03: progres penggalian lobang untuk tanam tiang //06/03: proses PO KU FEEDER ke vendor // 24/02 ://22/2 PO material , perizinan PU NASIONAL 18/2 proses PR PO- Pid menunggu Approval pakk Arief  09/02://08/02://07/02://06/02://05/02://03/02 : konfirmasi TIF, menunggu keputusan HO TIF terkait kenaikan cpp hasil anwizing senilai ( 1,736,050 ) // 26/01 : penambahan mini olt  (masih evaluasi TIF) // 20/01 : masih nego perizinan sama titik new ODC // 19/01 : kades minta kompensasi 5 juta //  (07/01) Persiapan</v>
      </c>
      <c r="R367" s="228">
        <f>IFERROR(__xludf.DUMMYFUNCTION("""COMPUTED_VALUE"""),46135.0)</f>
        <v>46135</v>
      </c>
      <c r="S367" s="11" t="str">
        <f>IFERROR(__xludf.DUMMYFUNCTION("""COMPUTED_VALUE"""),"APR")</f>
        <v>APR</v>
      </c>
      <c r="T367" s="73" t="str">
        <f>IFERROR(__xludf.DUMMYFUNCTION("""COMPUTED_VALUE"""),"P1")</f>
        <v>P1</v>
      </c>
      <c r="U367" s="11"/>
      <c r="V367" s="229"/>
      <c r="W367" s="229"/>
      <c r="X367" s="229" t="str">
        <f>IFERROR(__xludf.DUMMYFUNCTION("""COMPUTED_VALUE"""),"GOLIVE")</f>
        <v>GOLIVE</v>
      </c>
      <c r="Y367" s="229" t="str">
        <f>IFERROR(__xludf.DUMMYFUNCTION("""COMPUTED_VALUE"""),"DONE")</f>
        <v>DONE</v>
      </c>
      <c r="Z367" s="229"/>
      <c r="AA367" s="229">
        <f>IFERROR(__xludf.DUMMYFUNCTION("""COMPUTED_VALUE"""),44.0)</f>
        <v>44</v>
      </c>
      <c r="AB367" s="229"/>
      <c r="AC367" s="229" t="str">
        <f>IFERROR(__xludf.DUMMYFUNCTION("""COMPUTED_VALUE"""),"9298470#9298475")</f>
        <v>9298470#9298475</v>
      </c>
      <c r="AD367" s="232">
        <f>IFERROR(__xludf.DUMMYFUNCTION("""COMPUTED_VALUE"""),352.0)</f>
        <v>352</v>
      </c>
      <c r="AE367" s="233">
        <f>IFERROR(__xludf.DUMMYFUNCTION("""COMPUTED_VALUE"""),46135.0)</f>
        <v>46135</v>
      </c>
      <c r="AF367" s="54"/>
      <c r="AG367" s="54"/>
      <c r="AH367" s="54">
        <v>46140.0</v>
      </c>
      <c r="AI367" s="55">
        <f t="shared" si="50"/>
        <v>0</v>
      </c>
      <c r="AW367" s="234"/>
      <c r="BP367" s="11"/>
      <c r="BQ367" s="11"/>
      <c r="BR367" s="235"/>
      <c r="BV367" s="158"/>
      <c r="BY367" s="158"/>
      <c r="CB367" s="158"/>
    </row>
    <row r="368" ht="18.0" hidden="1" customHeight="1">
      <c r="A368" s="222">
        <f>IFERROR(__xludf.DUMMYFUNCTION("""COMPUTED_VALUE"""),2026.0)</f>
        <v>2026</v>
      </c>
      <c r="B368" s="221">
        <f>IFERROR(__xludf.DUMMYFUNCTION("""COMPUTED_VALUE"""),1.1410978E7)</f>
        <v>11410978</v>
      </c>
      <c r="C368" s="222" t="str">
        <f>IFERROR(__xludf.DUMMYFUNCTION("""COMPUTED_VALUE"""),"MDN PT3 KUL-FG PEKAN KUALA LANGKAT")</f>
        <v>MDN PT3 KUL-FG PEKAN KUALA LANGKAT</v>
      </c>
      <c r="D368" s="222" t="str">
        <f>IFERROR(__xludf.DUMMYFUNCTION("""COMPUTED_VALUE"""),"REGIONAL I")</f>
        <v>REGIONAL I</v>
      </c>
      <c r="E368" s="222" t="str">
        <f>IFERROR(__xludf.DUMMYFUNCTION("""COMPUTED_VALUE"""),"MEDAN")</f>
        <v>MEDAN</v>
      </c>
      <c r="F368" s="222" t="str">
        <f>IFERROR(__xludf.DUMMYFUNCTION("""COMPUTED_VALUE"""),"KUL")</f>
        <v>KUL</v>
      </c>
      <c r="G368" s="222" t="str">
        <f>IFERROR(__xludf.DUMMYFUNCTION("""COMPUTED_VALUE"""),"SUMBAGUT")</f>
        <v>SUMBAGUT</v>
      </c>
      <c r="H368" s="222" t="str">
        <f>IFERROR(__xludf.DUMMYFUNCTION("""COMPUTED_VALUE"""),"BINJAI")</f>
        <v>BINJAI</v>
      </c>
      <c r="I368" s="222" t="str">
        <f>IFERROR(__xludf.DUMMYFUNCTION("""COMPUTED_VALUE"""),"Batch 2")</f>
        <v>Batch 2</v>
      </c>
      <c r="J368" s="225">
        <f>IFERROR(__xludf.DUMMYFUNCTION("""COMPUTED_VALUE"""),5.0)</f>
        <v>5</v>
      </c>
      <c r="K368" s="224">
        <f>IFERROR(__xludf.DUMMYFUNCTION("""COMPUTED_VALUE"""),40.0)</f>
        <v>40</v>
      </c>
      <c r="L368" s="226">
        <f>IFERROR(__xludf.DUMMYFUNCTION("""COMPUTED_VALUE"""),1314936.0)</f>
        <v>1314936</v>
      </c>
      <c r="M368" s="227">
        <f>IFERROR(__xludf.DUMMYFUNCTION("""COMPUTED_VALUE"""),5.2597419E7)</f>
        <v>52597419</v>
      </c>
      <c r="N368" s="222" t="str">
        <f>IFERROR(__xludf.DUMMYFUNCTION("""COMPUTED_VALUE"""),"PT NIAGA NUSANTARA DIVA")</f>
        <v>PT NIAGA NUSANTARA DIVA</v>
      </c>
      <c r="O368" s="222" t="str">
        <f>IFERROR(__xludf.DUMMYFUNCTION("""COMPUTED_VALUE"""),"0. DROP")</f>
        <v>0. DROP</v>
      </c>
      <c r="P368" s="222" t="str">
        <f>IFERROR(__xludf.DUMMYFUNCTION("""COMPUTED_VALUE"""),"0.4 CPP Tinggi Acc ED TIF")</f>
        <v>0.4 CPP Tinggi Acc ED TIF</v>
      </c>
      <c r="Q368" s="222" t="str">
        <f>IFERROR(__xludf.DUMMYFUNCTION("""COMPUTED_VALUE"""),"(07/01) Persiapan
06/10 pengecekan core idle feeder habis KUL-FG")</f>
        <v>(07/01) Persiapan
06/10 pengecekan core idle feeder habis KUL-FG</v>
      </c>
      <c r="R368" s="228"/>
      <c r="S368" s="11"/>
      <c r="T368" s="11"/>
      <c r="U368" s="11"/>
      <c r="V368" s="229"/>
      <c r="W368" s="229"/>
      <c r="X368" s="229" t="str">
        <f>IFERROR(__xludf.DUMMYFUNCTION("""COMPUTED_VALUE"""),"BELUM GOLIVE")</f>
        <v>BELUM GOLIVE</v>
      </c>
      <c r="Y368" s="229"/>
      <c r="Z368" s="229" t="str">
        <f>IFERROR(__xludf.DUMMYFUNCTION("""COMPUTED_VALUE"""),"#N/A")</f>
        <v>#N/A</v>
      </c>
      <c r="AA368" s="229"/>
      <c r="AB368" s="229"/>
      <c r="AC368" s="229"/>
      <c r="AD368" s="232"/>
      <c r="AE368" s="233"/>
      <c r="AF368" s="54" t="str">
        <f>IFERROR(__xludf.DUMMYFUNCTION("""COMPUTED_VALUE"""),"Draft BA DROP")</f>
        <v>Draft BA DROP</v>
      </c>
      <c r="AG368" s="54"/>
      <c r="AH368" s="54">
        <v>46139.0</v>
      </c>
      <c r="AI368" s="237">
        <f>AH368-NOW()</f>
        <v>-1.377989884</v>
      </c>
      <c r="AJ368" s="229" t="str">
        <f>if(AI368&gt;=0,"In Komitmen","Out Komitmen")</f>
        <v>Out Komitmen</v>
      </c>
      <c r="AK368" s="229" t="e">
        <v>#N/A</v>
      </c>
      <c r="AW368" s="234"/>
      <c r="BP368" s="11"/>
      <c r="BQ368" s="11"/>
      <c r="BR368" s="235"/>
      <c r="BV368" s="158"/>
      <c r="BY368" s="158"/>
      <c r="CB368" s="158"/>
    </row>
    <row r="369" ht="18.0" customHeight="1">
      <c r="A369" s="222">
        <f>IFERROR(__xludf.DUMMYFUNCTION("""COMPUTED_VALUE"""),2026.0)</f>
        <v>2026</v>
      </c>
      <c r="B369" s="221">
        <f>IFERROR(__xludf.DUMMYFUNCTION("""COMPUTED_VALUE"""),1.1348217E7)</f>
        <v>11348217</v>
      </c>
      <c r="C369" s="222" t="str">
        <f>IFERROR(__xludf.DUMMYFUNCTION("""COMPUTED_VALUE"""),"RDR JPP PT3 JL.LINTAS  SUMATRA KM 14")</f>
        <v>RDR JPP PT3 JL.LINTAS  SUMATRA KM 14</v>
      </c>
      <c r="D369" s="222" t="str">
        <f>IFERROR(__xludf.DUMMYFUNCTION("""COMPUTED_VALUE"""),"REGIONAL I")</f>
        <v>REGIONAL I</v>
      </c>
      <c r="E369" s="222" t="str">
        <f>IFERROR(__xludf.DUMMYFUNCTION("""COMPUTED_VALUE"""),"RIDAR")</f>
        <v>RIDAR</v>
      </c>
      <c r="F369" s="222" t="str">
        <f>IFERROR(__xludf.DUMMYFUNCTION("""COMPUTED_VALUE"""),"BGU")</f>
        <v>BGU</v>
      </c>
      <c r="G369" s="222" t="str">
        <f>IFERROR(__xludf.DUMMYFUNCTION("""COMPUTED_VALUE"""),"SUMBAGTENG")</f>
        <v>SUMBAGTENG</v>
      </c>
      <c r="H369" s="222" t="str">
        <f>IFERROR(__xludf.DUMMYFUNCTION("""COMPUTED_VALUE"""),"DUMAI")</f>
        <v>DUMAI</v>
      </c>
      <c r="I369" s="222" t="str">
        <f>IFERROR(__xludf.DUMMYFUNCTION("""COMPUTED_VALUE"""),"Batch 2")</f>
        <v>Batch 2</v>
      </c>
      <c r="J369" s="225">
        <f>IFERROR(__xludf.DUMMYFUNCTION("""COMPUTED_VALUE"""),15.0)</f>
        <v>15</v>
      </c>
      <c r="K369" s="224">
        <f>IFERROR(__xludf.DUMMYFUNCTION("""COMPUTED_VALUE"""),120.0)</f>
        <v>120</v>
      </c>
      <c r="L369" s="226">
        <f>IFERROR(__xludf.DUMMYFUNCTION("""COMPUTED_VALUE"""),1132928.0)</f>
        <v>1132928</v>
      </c>
      <c r="M369" s="227">
        <f>IFERROR(__xludf.DUMMYFUNCTION("""COMPUTED_VALUE"""),1.35951312E8)</f>
        <v>135951312</v>
      </c>
      <c r="N369" s="222" t="str">
        <f>IFERROR(__xludf.DUMMYFUNCTION("""COMPUTED_VALUE"""),"PT DWI MITRA JAYA UTAMA")</f>
        <v>PT DWI MITRA JAYA UTAMA</v>
      </c>
      <c r="O369" s="222" t="str">
        <f>IFERROR(__xludf.DUMMYFUNCTION("""COMPUTED_VALUE"""),"5. INSTALASI")</f>
        <v>5. INSTALASI</v>
      </c>
      <c r="P369" s="222" t="str">
        <f>IFERROR(__xludf.DUMMYFUNCTION("""COMPUTED_VALUE"""),"5.6 Proses Penarikan Kabel")</f>
        <v>5.6 Proses Penarikan Kabel</v>
      </c>
      <c r="Q369" s="222" t="str">
        <f>IFERROR(__xludf.DUMMYFUNCTION("""COMPUTED_VALUE"""),"20/04 Menunggu Feeder JL Kencana 13/04 Pemasangan dan terminasi ODP, Tim Serial 08/04 Pemasangn ODP 06/04 Pemasangan ODP 27/03 Proses CO di Week 2 April 16/03 Proses CO Setelah RAFI 04/03 Proses validasi Feeder ODC BGU FL 12/02 Proses CO Feeder ODC BGU FL"&amp;" 29/01 Menunggu CO Feeder ODC BGU FL di Week 1 Feb (07/01) Persiapan")</f>
        <v>20/04 Menunggu Feeder JL Kencana 13/04 Pemasangan dan terminasi ODP, Tim Serial 08/04 Pemasangn ODP 06/04 Pemasangan ODP 27/03 Proses CO di Week 2 April 16/03 Proses CO Setelah RAFI 04/03 Proses validasi Feeder ODC BGU FL 12/02 Proses CO Feeder ODC BGU FL 29/01 Menunggu CO Feeder ODC BGU FL di Week 1 Feb (07/01) Persiapan</v>
      </c>
      <c r="R369" s="228">
        <f>IFERROR(__xludf.DUMMYFUNCTION("""COMPUTED_VALUE"""),46142.0)</f>
        <v>46142</v>
      </c>
      <c r="S369" s="11"/>
      <c r="T369" s="11" t="str">
        <f>IFERROR(__xludf.DUMMYFUNCTION("""COMPUTED_VALUE"""),"P1")</f>
        <v>P1</v>
      </c>
      <c r="U369" s="11" t="str">
        <f>IFERROR(__xludf.DUMMYFUNCTION("""COMPUTED_VALUE"""),"W08-740/2025")</f>
        <v>W08-740/2025</v>
      </c>
      <c r="V369" s="229" t="str">
        <f>IFERROR(__xludf.DUMMYFUNCTION("""COMPUTED_VALUE"""),"ADIL WAHYUDI")</f>
        <v>ADIL WAHYUDI</v>
      </c>
      <c r="W369" s="229" t="str">
        <f>IFERROR(__xludf.DUMMYFUNCTION("""COMPUTED_VALUE"""),"ANZALA SAKINAH")</f>
        <v>ANZALA SAKINAH</v>
      </c>
      <c r="X369" s="229" t="str">
        <f>IFERROR(__xludf.DUMMYFUNCTION("""COMPUTED_VALUE"""),"BELUM GOLIVE")</f>
        <v>BELUM GOLIVE</v>
      </c>
      <c r="Y369" s="229"/>
      <c r="Z369" s="229" t="str">
        <f>IFERROR(__xludf.DUMMYFUNCTION("""COMPUTED_VALUE"""),"#N/A")</f>
        <v>#N/A</v>
      </c>
      <c r="AA369" s="229"/>
      <c r="AB369" s="229"/>
      <c r="AC369" s="229"/>
      <c r="AD369" s="232"/>
      <c r="AE369" s="233"/>
      <c r="AF369" s="54"/>
      <c r="AG369" s="54"/>
      <c r="AH369" s="54">
        <v>46151.0</v>
      </c>
      <c r="AI369" s="55" t="str">
        <f t="shared" ref="AI369:AI401" si="51">IF(OR(R369="",AE369=""),"",R369-AE369)</f>
        <v/>
      </c>
      <c r="AW369" s="234"/>
      <c r="BP369" s="11"/>
      <c r="BQ369" s="11"/>
      <c r="BR369" s="235"/>
      <c r="BV369" s="158"/>
      <c r="BY369" s="158"/>
      <c r="CB369" s="158"/>
    </row>
    <row r="370" ht="18.0" hidden="1" customHeight="1">
      <c r="A370" s="222">
        <f>IFERROR(__xludf.DUMMYFUNCTION("""COMPUTED_VALUE"""),2026.0)</f>
        <v>2026</v>
      </c>
      <c r="B370" s="221">
        <f>IFERROR(__xludf.DUMMYFUNCTION("""COMPUTED_VALUE"""),1.2298877E7)</f>
        <v>12298877</v>
      </c>
      <c r="C370" s="222" t="str">
        <f>IFERROR(__xludf.DUMMYFUNCTION("""COMPUTED_VALUE"""),"LPT PT3 TULANG BAWANG_91802_H2_2025 UNT")</f>
        <v>LPT PT3 TULANG BAWANG_91802_H2_2025 UNT</v>
      </c>
      <c r="D370" s="222" t="str">
        <f>IFERROR(__xludf.DUMMYFUNCTION("""COMPUTED_VALUE"""),"REGIONAL I")</f>
        <v>REGIONAL I</v>
      </c>
      <c r="E370" s="222" t="str">
        <f>IFERROR(__xludf.DUMMYFUNCTION("""COMPUTED_VALUE"""),"LAMPUNG")</f>
        <v>LAMPUNG</v>
      </c>
      <c r="F370" s="222" t="str">
        <f>IFERROR(__xludf.DUMMYFUNCTION("""COMPUTED_VALUE"""),"UNT")</f>
        <v>UNT</v>
      </c>
      <c r="G370" s="222" t="str">
        <f>IFERROR(__xludf.DUMMYFUNCTION("""COMPUTED_VALUE"""),"SUMBAGSEL")</f>
        <v>SUMBAGSEL</v>
      </c>
      <c r="H370" s="222" t="str">
        <f>IFERROR(__xludf.DUMMYFUNCTION("""COMPUTED_VALUE"""),"PALEMBANG")</f>
        <v>PALEMBANG</v>
      </c>
      <c r="I370" s="222" t="str">
        <f>IFERROR(__xludf.DUMMYFUNCTION("""COMPUTED_VALUE"""),"Batch 2")</f>
        <v>Batch 2</v>
      </c>
      <c r="J370" s="225">
        <f>IFERROR(__xludf.DUMMYFUNCTION("""COMPUTED_VALUE"""),4.0)</f>
        <v>4</v>
      </c>
      <c r="K370" s="224">
        <f>IFERROR(__xludf.DUMMYFUNCTION("""COMPUTED_VALUE"""),32.0)</f>
        <v>32</v>
      </c>
      <c r="L370" s="226">
        <f>IFERROR(__xludf.DUMMYFUNCTION("""COMPUTED_VALUE"""),1132945.0)</f>
        <v>1132945</v>
      </c>
      <c r="M370" s="227">
        <f>IFERROR(__xludf.DUMMYFUNCTION("""COMPUTED_VALUE"""),3.6254215E7)</f>
        <v>36254215</v>
      </c>
      <c r="N370" s="222" t="str">
        <f>IFERROR(__xludf.DUMMYFUNCTION("""COMPUTED_VALUE"""),"SWAKELOLA")</f>
        <v>SWAKELOLA</v>
      </c>
      <c r="O370" s="222" t="str">
        <f>IFERROR(__xludf.DUMMYFUNCTION("""COMPUTED_VALUE"""),"0. DROP")</f>
        <v>0. DROP</v>
      </c>
      <c r="P370" s="222" t="str">
        <f>IFERROR(__xludf.DUMMYFUNCTION("""COMPUTED_VALUE"""),"0.1 Double Order")</f>
        <v>0.1 Double Order</v>
      </c>
      <c r="Q370" s="222" t="str">
        <f>IFERROR(__xludf.DUMMYFUNCTION("""COMPUTED_VALUE"""),"30/03 HASIL AANWIDJZING DROP, SUDAH DI KERJAKAN, 27/03 LANJUT EVAL DG TIF EST TGL 30 MAR, 26/3 DONE AANWIJDZING , SUDAH TERPASANG DI LOKASI, 25/03 LANJUT EVAL DG TIF EST TGL 30 MAR ,21/03 MENUNGGU EVAL SETELAH LEBARAN, 13/03 DONE AANWIDJZING - DROP SDH DI"&amp;"BANGUN, 09/03 Sudah kordinasi dengan sumsel. Mulai Aanwizing 5/3 masuk area sumsel,, kendala OLT di status Terakhir  (18/2) konfirmasi ke tif  terkait penambahan mini OLT (11/2) masuk lop sumsel (6/2) butuh penambahan mini OLT
14/1 butuh penambahan mini O"&amp;"LT")</f>
        <v>30/03 HASIL AANWIDJZING DROP, SUDAH DI KERJAKAN, 27/03 LANJUT EVAL DG TIF EST TGL 30 MAR, 26/3 DONE AANWIJDZING , SUDAH TERPASANG DI LOKASI, 25/03 LANJUT EVAL DG TIF EST TGL 30 MAR ,21/03 MENUNGGU EVAL SETELAH LEBARAN, 13/03 DONE AANWIDJZING - DROP SDH DIBANGUN, 09/03 Sudah kordinasi dengan sumsel. Mulai Aanwizing 5/3 masuk area sumsel,, kendala OLT di status Terakhir  (18/2) konfirmasi ke tif  terkait penambahan mini OLT (11/2) masuk lop sumsel (6/2) butuh penambahan mini OLT
14/1 butuh penambahan mini OLT</v>
      </c>
      <c r="R370" s="228"/>
      <c r="S370" s="11"/>
      <c r="T370" s="11"/>
      <c r="U370" s="11"/>
      <c r="V370" s="229"/>
      <c r="W370" s="229"/>
      <c r="X370" s="229" t="str">
        <f>IFERROR(__xludf.DUMMYFUNCTION("""COMPUTED_VALUE"""),"BELUM GOLIVE")</f>
        <v>BELUM GOLIVE</v>
      </c>
      <c r="Y370" s="229" t="str">
        <f>IFERROR(__xludf.DUMMYFUNCTION("""COMPUTED_VALUE"""),"PORT OLT Penuh")</f>
        <v>PORT OLT Penuh</v>
      </c>
      <c r="Z370" s="229" t="str">
        <f>IFERROR(__xludf.DUMMYFUNCTION("""COMPUTED_VALUE"""),"#N/A")</f>
        <v>#N/A</v>
      </c>
      <c r="AA370" s="229"/>
      <c r="AB370" s="229"/>
      <c r="AC370" s="229"/>
      <c r="AD370" s="232"/>
      <c r="AE370" s="233"/>
      <c r="AF370" s="54"/>
      <c r="AG370" s="54"/>
      <c r="AH370" s="54"/>
      <c r="AI370" s="55" t="str">
        <f t="shared" si="51"/>
        <v/>
      </c>
      <c r="AW370" s="234"/>
      <c r="BP370" s="11"/>
      <c r="BQ370" s="11"/>
      <c r="BR370" s="235"/>
      <c r="BV370" s="158"/>
      <c r="BY370" s="158"/>
      <c r="CB370" s="158"/>
    </row>
    <row r="371" ht="18.0" hidden="1" customHeight="1">
      <c r="A371" s="222">
        <f>IFERROR(__xludf.DUMMYFUNCTION("""COMPUTED_VALUE"""),2026.0)</f>
        <v>2026</v>
      </c>
      <c r="B371" s="221">
        <f>IFERROR(__xludf.DUMMYFUNCTION("""COMPUTED_VALUE"""),1.1163654E7)</f>
        <v>11163654</v>
      </c>
      <c r="C371" s="222" t="str">
        <f>IFERROR(__xludf.DUMMYFUNCTION("""COMPUTED_VALUE"""),"MDN PT3 P7I4 BJI-FYC MORO ASRI RESIDENCE")</f>
        <v>MDN PT3 P7I4 BJI-FYC MORO ASRI RESIDENCE</v>
      </c>
      <c r="D371" s="222" t="str">
        <f>IFERROR(__xludf.DUMMYFUNCTION("""COMPUTED_VALUE"""),"REGIONAL I")</f>
        <v>REGIONAL I</v>
      </c>
      <c r="E371" s="222" t="str">
        <f>IFERROR(__xludf.DUMMYFUNCTION("""COMPUTED_VALUE"""),"MEDAN")</f>
        <v>MEDAN</v>
      </c>
      <c r="F371" s="222" t="str">
        <f>IFERROR(__xludf.DUMMYFUNCTION("""COMPUTED_VALUE"""),"BJI")</f>
        <v>BJI</v>
      </c>
      <c r="G371" s="222" t="str">
        <f>IFERROR(__xludf.DUMMYFUNCTION("""COMPUTED_VALUE"""),"SUMBAGUT")</f>
        <v>SUMBAGUT</v>
      </c>
      <c r="H371" s="222" t="str">
        <f>IFERROR(__xludf.DUMMYFUNCTION("""COMPUTED_VALUE"""),"BINJAI")</f>
        <v>BINJAI</v>
      </c>
      <c r="I371" s="222" t="str">
        <f>IFERROR(__xludf.DUMMYFUNCTION("""COMPUTED_VALUE"""),"Batch 2")</f>
        <v>Batch 2</v>
      </c>
      <c r="J371" s="225">
        <f>IFERROR(__xludf.DUMMYFUNCTION("""COMPUTED_VALUE"""),16.0)</f>
        <v>16</v>
      </c>
      <c r="K371" s="224">
        <f>IFERROR(__xludf.DUMMYFUNCTION("""COMPUTED_VALUE"""),128.0)</f>
        <v>128</v>
      </c>
      <c r="L371" s="226">
        <f>IFERROR(__xludf.DUMMYFUNCTION("""COMPUTED_VALUE"""),787264.0)</f>
        <v>787264</v>
      </c>
      <c r="M371" s="227">
        <f>IFERROR(__xludf.DUMMYFUNCTION("""COMPUTED_VALUE"""),1.0076978E8)</f>
        <v>100769780</v>
      </c>
      <c r="N371" s="222" t="str">
        <f>IFERROR(__xludf.DUMMYFUNCTION("""COMPUTED_VALUE"""),"PT FIBERHOME TECHNOLOGIES INDONESIA")</f>
        <v>PT FIBERHOME TECHNOLOGIES INDONESIA</v>
      </c>
      <c r="O371" s="222" t="str">
        <f>IFERROR(__xludf.DUMMYFUNCTION("""COMPUTED_VALUE"""),"0. DROP")</f>
        <v>0. DROP</v>
      </c>
      <c r="P371" s="222" t="str">
        <f>IFERROR(__xludf.DUMMYFUNCTION("""COMPUTED_VALUE"""),"0.2 Tidak Dapat Izin Warga/Kades/Lurah/Developer")</f>
        <v>0.2 Tidak Dapat Izin Warga/Kades/Lurah/Developer</v>
      </c>
      <c r="Q371" s="222" t="str">
        <f>IFERROR(__xludf.DUMMYFUNCTION("""COMPUTED_VALUE"""),"31/03 tidak ada perizinan masuk komplek (07/01) Persiapan")</f>
        <v>31/03 tidak ada perizinan masuk komplek (07/01) Persiapan</v>
      </c>
      <c r="R371" s="228"/>
      <c r="S371" s="11"/>
      <c r="T371" s="11"/>
      <c r="U371" s="11"/>
      <c r="V371" s="229"/>
      <c r="W371" s="229"/>
      <c r="X371" s="229" t="str">
        <f>IFERROR(__xludf.DUMMYFUNCTION("""COMPUTED_VALUE"""),"BELUM GOLIVE")</f>
        <v>BELUM GOLIVE</v>
      </c>
      <c r="Y371" s="229"/>
      <c r="Z371" s="229" t="str">
        <f>IFERROR(__xludf.DUMMYFUNCTION("""COMPUTED_VALUE"""),"#N/A")</f>
        <v>#N/A</v>
      </c>
      <c r="AA371" s="229"/>
      <c r="AB371" s="229"/>
      <c r="AC371" s="229"/>
      <c r="AD371" s="232"/>
      <c r="AE371" s="233"/>
      <c r="AF371" s="54"/>
      <c r="AG371" s="54"/>
      <c r="AH371" s="54"/>
      <c r="AI371" s="55" t="str">
        <f t="shared" si="51"/>
        <v/>
      </c>
      <c r="AW371" s="234"/>
      <c r="BP371" s="11"/>
      <c r="BQ371" s="11"/>
      <c r="BR371" s="235"/>
      <c r="BV371" s="158"/>
      <c r="BY371" s="158"/>
      <c r="CB371" s="158"/>
    </row>
    <row r="372" ht="18.0" hidden="1" customHeight="1">
      <c r="A372" s="222">
        <f>IFERROR(__xludf.DUMMYFUNCTION("""COMPUTED_VALUE"""),2026.0)</f>
        <v>2026</v>
      </c>
      <c r="B372" s="221">
        <f>IFERROR(__xludf.DUMMYFUNCTION("""COMPUTED_VALUE"""),1.1187135E7)</f>
        <v>11187135</v>
      </c>
      <c r="C372" s="222" t="str">
        <f>IFERROR(__xludf.DUMMYFUNCTION("""COMPUTED_VALUE"""),"MDN PT3 DLT-FC JL.PERTANAHAN GG.NASIONAL")</f>
        <v>MDN PT3 DLT-FC JL.PERTANAHAN GG.NASIONAL</v>
      </c>
      <c r="D372" s="222" t="str">
        <f>IFERROR(__xludf.DUMMYFUNCTION("""COMPUTED_VALUE"""),"REGIONAL I")</f>
        <v>REGIONAL I</v>
      </c>
      <c r="E372" s="222" t="str">
        <f>IFERROR(__xludf.DUMMYFUNCTION("""COMPUTED_VALUE"""),"MEDAN")</f>
        <v>MEDAN</v>
      </c>
      <c r="F372" s="222" t="str">
        <f>IFERROR(__xludf.DUMMYFUNCTION("""COMPUTED_VALUE"""),"DLT")</f>
        <v>DLT</v>
      </c>
      <c r="G372" s="222" t="str">
        <f>IFERROR(__xludf.DUMMYFUNCTION("""COMPUTED_VALUE"""),"SUMBAGUT")</f>
        <v>SUMBAGUT</v>
      </c>
      <c r="H372" s="222" t="str">
        <f>IFERROR(__xludf.DUMMYFUNCTION("""COMPUTED_VALUE"""),"MEDAN")</f>
        <v>MEDAN</v>
      </c>
      <c r="I372" s="222" t="str">
        <f>IFERROR(__xludf.DUMMYFUNCTION("""COMPUTED_VALUE"""),"Batch 2")</f>
        <v>Batch 2</v>
      </c>
      <c r="J372" s="225">
        <f>IFERROR(__xludf.DUMMYFUNCTION("""COMPUTED_VALUE"""),2.0)</f>
        <v>2</v>
      </c>
      <c r="K372" s="224">
        <f>IFERROR(__xludf.DUMMYFUNCTION("""COMPUTED_VALUE"""),16.0)</f>
        <v>16</v>
      </c>
      <c r="L372" s="226">
        <f>IFERROR(__xludf.DUMMYFUNCTION("""COMPUTED_VALUE"""),1356817.0)</f>
        <v>1356817</v>
      </c>
      <c r="M372" s="227">
        <f>IFERROR(__xludf.DUMMYFUNCTION("""COMPUTED_VALUE"""),2.1709058E7)</f>
        <v>21709058</v>
      </c>
      <c r="N372" s="222" t="str">
        <f>IFERROR(__xludf.DUMMYFUNCTION("""COMPUTED_VALUE"""),"PT SALTTEK DUMPANG JAYA")</f>
        <v>PT SALTTEK DUMPANG JAYA</v>
      </c>
      <c r="O372" s="222" t="str">
        <f>IFERROR(__xludf.DUMMYFUNCTION("""COMPUTED_VALUE"""),"0. DROP")</f>
        <v>0. DROP</v>
      </c>
      <c r="P372" s="222" t="str">
        <f>IFERROR(__xludf.DUMMYFUNCTION("""COMPUTED_VALUE"""),"0.4 CPP Tinggi Acc ED TIF")</f>
        <v>0.4 CPP Tinggi Acc ED TIF</v>
      </c>
      <c r="Q372" s="222" t="str">
        <f>IFERROR(__xludf.DUMMYFUNCTION("""COMPUTED_VALUE"""),"05/02 Feeder Redti, Plan repair by mitra (07/01) Persiapan")</f>
        <v>05/02 Feeder Redti, Plan repair by mitra (07/01) Persiapan</v>
      </c>
      <c r="R372" s="228"/>
      <c r="S372" s="11"/>
      <c r="T372" s="11"/>
      <c r="U372" s="11"/>
      <c r="V372" s="229"/>
      <c r="W372" s="229"/>
      <c r="X372" s="229" t="str">
        <f>IFERROR(__xludf.DUMMYFUNCTION("""COMPUTED_VALUE"""),"BELUM GOLIVE")</f>
        <v>BELUM GOLIVE</v>
      </c>
      <c r="Y372" s="229"/>
      <c r="Z372" s="229" t="str">
        <f>IFERROR(__xludf.DUMMYFUNCTION("""COMPUTED_VALUE"""),"#N/A")</f>
        <v>#N/A</v>
      </c>
      <c r="AA372" s="229"/>
      <c r="AB372" s="229"/>
      <c r="AC372" s="229"/>
      <c r="AD372" s="232"/>
      <c r="AE372" s="233"/>
      <c r="AF372" s="54" t="str">
        <f>IFERROR(__xludf.DUMMYFUNCTION("""COMPUTED_VALUE"""),"Draft BA DROP")</f>
        <v>Draft BA DROP</v>
      </c>
      <c r="AG372" s="54"/>
      <c r="AH372" s="54"/>
      <c r="AI372" s="55" t="str">
        <f t="shared" si="51"/>
        <v/>
      </c>
      <c r="AW372" s="234"/>
      <c r="BP372" s="11"/>
      <c r="BQ372" s="11"/>
      <c r="BR372" s="235"/>
      <c r="BV372" s="158"/>
      <c r="BY372" s="158"/>
      <c r="CB372" s="158"/>
    </row>
    <row r="373" ht="18.0" customHeight="1">
      <c r="A373" s="222">
        <f>IFERROR(__xludf.DUMMYFUNCTION("""COMPUTED_VALUE"""),2026.0)</f>
        <v>2026</v>
      </c>
      <c r="B373" s="221">
        <f>IFERROR(__xludf.DUMMYFUNCTION("""COMPUTED_VALUE"""),1.1506918E7)</f>
        <v>11506918</v>
      </c>
      <c r="C373" s="222" t="str">
        <f>IFERROR(__xludf.DUMMYFUNCTION("""COMPUTED_VALUE"""),"RKP PT3 TSEL TBK-FZ KP. LEMBAH HARAPAN")</f>
        <v>RKP PT3 TSEL TBK-FZ KP. LEMBAH HARAPAN</v>
      </c>
      <c r="D373" s="222" t="str">
        <f>IFERROR(__xludf.DUMMYFUNCTION("""COMPUTED_VALUE"""),"REGIONAL I")</f>
        <v>REGIONAL I</v>
      </c>
      <c r="E373" s="222" t="str">
        <f>IFERROR(__xludf.DUMMYFUNCTION("""COMPUTED_VALUE"""),"RIKEP")</f>
        <v>RIKEP</v>
      </c>
      <c r="F373" s="222" t="str">
        <f>IFERROR(__xludf.DUMMYFUNCTION("""COMPUTED_VALUE"""),"TBK")</f>
        <v>TBK</v>
      </c>
      <c r="G373" s="222" t="str">
        <f>IFERROR(__xludf.DUMMYFUNCTION("""COMPUTED_VALUE"""),"SUMBAGTENG")</f>
        <v>SUMBAGTENG</v>
      </c>
      <c r="H373" s="222" t="str">
        <f>IFERROR(__xludf.DUMMYFUNCTION("""COMPUTED_VALUE"""),"BATAM")</f>
        <v>BATAM</v>
      </c>
      <c r="I373" s="222" t="str">
        <f>IFERROR(__xludf.DUMMYFUNCTION("""COMPUTED_VALUE"""),"Batch 2")</f>
        <v>Batch 2</v>
      </c>
      <c r="J373" s="225">
        <f>IFERROR(__xludf.DUMMYFUNCTION("""COMPUTED_VALUE"""),1.0)</f>
        <v>1</v>
      </c>
      <c r="K373" s="224">
        <f>IFERROR(__xludf.DUMMYFUNCTION("""COMPUTED_VALUE"""),8.0)</f>
        <v>8</v>
      </c>
      <c r="L373" s="226">
        <f>IFERROR(__xludf.DUMMYFUNCTION("""COMPUTED_VALUE"""),1313564.0)</f>
        <v>1313564</v>
      </c>
      <c r="M373" s="227">
        <f>IFERROR(__xludf.DUMMYFUNCTION("""COMPUTED_VALUE"""),1.0508508E7)</f>
        <v>10508508</v>
      </c>
      <c r="N373" s="222" t="str">
        <f>IFERROR(__xludf.DUMMYFUNCTION("""COMPUTED_VALUE"""),"PT DWI MITRA JAYA UTAMA")</f>
        <v>PT DWI MITRA JAYA UTAMA</v>
      </c>
      <c r="O373" s="222" t="str">
        <f>IFERROR(__xludf.DUMMYFUNCTION("""COMPUTED_VALUE"""),"0. DROP")</f>
        <v>0. DROP</v>
      </c>
      <c r="P373" s="222" t="str">
        <f>IFERROR(__xludf.DUMMYFUNCTION("""COMPUTED_VALUE"""),"0.2 Tidak Dapat Izin Warga/Kades/Lurah/Developer")</f>
        <v>0.2 Tidak Dapat Izin Warga/Kades/Lurah/Developer</v>
      </c>
      <c r="Q373" s="222" t="str">
        <f>IFERROR(__xludf.DUMMYFUNCTION("""COMPUTED_VALUE"""),"16/02 Tuan tanah tidak acc tanam tiang. 09/02 FU kembali izin besok 10 Feb karena PIC sedang fokus installasi. 28/01 Plan survey tanggal 29 Jan.  21/01 plan anwijzing 26 jan, peralihan mitra")</f>
        <v>16/02 Tuan tanah tidak acc tanam tiang. 09/02 FU kembali izin besok 10 Feb karena PIC sedang fokus installasi. 28/01 Plan survey tanggal 29 Jan.  21/01 plan anwijzing 26 jan, peralihan mitra</v>
      </c>
      <c r="R373" s="228"/>
      <c r="S373" s="11"/>
      <c r="T373" s="11"/>
      <c r="U373" s="11"/>
      <c r="V373" s="229" t="str">
        <f>IFERROR(__xludf.DUMMYFUNCTION("""COMPUTED_VALUE"""),"MOHAMMAD FAUZY")</f>
        <v>MOHAMMAD FAUZY</v>
      </c>
      <c r="W373" s="229" t="str">
        <f>IFERROR(__xludf.DUMMYFUNCTION("""COMPUTED_VALUE"""),"LEVITA INDRIYANI")</f>
        <v>LEVITA INDRIYANI</v>
      </c>
      <c r="X373" s="229" t="str">
        <f>IFERROR(__xludf.DUMMYFUNCTION("""COMPUTED_VALUE"""),"BELUM GOLIVE")</f>
        <v>BELUM GOLIVE</v>
      </c>
      <c r="Y373" s="229"/>
      <c r="Z373" s="229" t="str">
        <f>IFERROR(__xludf.DUMMYFUNCTION("""COMPUTED_VALUE"""),"#N/A")</f>
        <v>#N/A</v>
      </c>
      <c r="AA373" s="229"/>
      <c r="AB373" s="229"/>
      <c r="AC373" s="229"/>
      <c r="AD373" s="232"/>
      <c r="AE373" s="233"/>
      <c r="AF373" s="54" t="str">
        <f>IFERROR(__xludf.DUMMYFUNCTION("""COMPUTED_VALUE"""),"Draft BA DROP")</f>
        <v>Draft BA DROP</v>
      </c>
      <c r="AG373" s="54"/>
      <c r="AH373" s="54"/>
      <c r="AI373" s="55" t="str">
        <f t="shared" si="51"/>
        <v/>
      </c>
      <c r="AW373" s="234"/>
      <c r="BP373" s="11"/>
      <c r="BQ373" s="11"/>
      <c r="BR373" s="235"/>
      <c r="BV373" s="158"/>
      <c r="BY373" s="158"/>
      <c r="CB373" s="158"/>
    </row>
    <row r="374" ht="18.0" hidden="1" customHeight="1">
      <c r="A374" s="222">
        <f>IFERROR(__xludf.DUMMYFUNCTION("""COMPUTED_VALUE"""),2026.0)</f>
        <v>2026</v>
      </c>
      <c r="B374" s="221">
        <f>IFERROR(__xludf.DUMMYFUNCTION("""COMPUTED_VALUE"""),1.119722E7)</f>
        <v>11197220</v>
      </c>
      <c r="C374" s="222" t="str">
        <f>IFERROR(__xludf.DUMMYFUNCTION("""COMPUTED_VALUE"""),"MDN PT3 SPM-FCX JL.PERTANAHAN GG.SETIA")</f>
        <v>MDN PT3 SPM-FCX JL.PERTANAHAN GG.SETIA</v>
      </c>
      <c r="D374" s="222" t="str">
        <f>IFERROR(__xludf.DUMMYFUNCTION("""COMPUTED_VALUE"""),"REGIONAL I")</f>
        <v>REGIONAL I</v>
      </c>
      <c r="E374" s="222" t="str">
        <f>IFERROR(__xludf.DUMMYFUNCTION("""COMPUTED_VALUE"""),"MEDAN")</f>
        <v>MEDAN</v>
      </c>
      <c r="F374" s="222" t="str">
        <f>IFERROR(__xludf.DUMMYFUNCTION("""COMPUTED_VALUE"""),"SPM")</f>
        <v>SPM</v>
      </c>
      <c r="G374" s="222" t="str">
        <f>IFERROR(__xludf.DUMMYFUNCTION("""COMPUTED_VALUE"""),"SUMBAGUT")</f>
        <v>SUMBAGUT</v>
      </c>
      <c r="H374" s="222" t="str">
        <f>IFERROR(__xludf.DUMMYFUNCTION("""COMPUTED_VALUE"""),"MEDAN")</f>
        <v>MEDAN</v>
      </c>
      <c r="I374" s="222" t="str">
        <f>IFERROR(__xludf.DUMMYFUNCTION("""COMPUTED_VALUE"""),"Batch 2")</f>
        <v>Batch 2</v>
      </c>
      <c r="J374" s="225">
        <f>IFERROR(__xludf.DUMMYFUNCTION("""COMPUTED_VALUE"""),2.0)</f>
        <v>2</v>
      </c>
      <c r="K374" s="224">
        <f>IFERROR(__xludf.DUMMYFUNCTION("""COMPUTED_VALUE"""),16.0)</f>
        <v>16</v>
      </c>
      <c r="L374" s="226">
        <f>IFERROR(__xludf.DUMMYFUNCTION("""COMPUTED_VALUE"""),977335.0)</f>
        <v>977335</v>
      </c>
      <c r="M374" s="227">
        <f>IFERROR(__xludf.DUMMYFUNCTION("""COMPUTED_VALUE"""),1.5637355E7)</f>
        <v>15637355</v>
      </c>
      <c r="N374" s="222" t="str">
        <f>IFERROR(__xludf.DUMMYFUNCTION("""COMPUTED_VALUE"""),"PT WALET SOLUSINDO")</f>
        <v>PT WALET SOLUSINDO</v>
      </c>
      <c r="O374" s="222" t="str">
        <f>IFERROR(__xludf.DUMMYFUNCTION("""COMPUTED_VALUE"""),"0. DROP")</f>
        <v>0. DROP</v>
      </c>
      <c r="P374" s="222" t="str">
        <f>IFERROR(__xludf.DUMMYFUNCTION("""COMPUTED_VALUE"""),"0.3 Feeder Full")</f>
        <v>0.3 Feeder Full</v>
      </c>
      <c r="Q374" s="222" t="str">
        <f>IFERROR(__xludf.DUMMYFUNCTION("""COMPUTED_VALUE"""),"14/11 Feeder penuh
19/09 Kades belum bisa dijumpai
18/09 Perizinan kades
15/09 proses aanwijzing")</f>
        <v>14/11 Feeder penuh
19/09 Kades belum bisa dijumpai
18/09 Perizinan kades
15/09 proses aanwijzing</v>
      </c>
      <c r="R374" s="228"/>
      <c r="S374" s="11"/>
      <c r="T374" s="11"/>
      <c r="U374" s="11"/>
      <c r="V374" s="229"/>
      <c r="W374" s="229"/>
      <c r="X374" s="229" t="str">
        <f>IFERROR(__xludf.DUMMYFUNCTION("""COMPUTED_VALUE"""),"BELUM GOLIVE")</f>
        <v>BELUM GOLIVE</v>
      </c>
      <c r="Y374" s="229"/>
      <c r="Z374" s="229" t="str">
        <f>IFERROR(__xludf.DUMMYFUNCTION("""COMPUTED_VALUE"""),"#N/A")</f>
        <v>#N/A</v>
      </c>
      <c r="AA374" s="229"/>
      <c r="AB374" s="229"/>
      <c r="AC374" s="229"/>
      <c r="AD374" s="232"/>
      <c r="AE374" s="233"/>
      <c r="AF374" s="54"/>
      <c r="AG374" s="54"/>
      <c r="AH374" s="54"/>
      <c r="AI374" s="55" t="str">
        <f t="shared" si="51"/>
        <v/>
      </c>
      <c r="AW374" s="234"/>
      <c r="BP374" s="11"/>
      <c r="BQ374" s="11"/>
      <c r="BR374" s="235"/>
      <c r="BV374" s="158"/>
      <c r="BY374" s="158"/>
      <c r="CB374" s="158"/>
    </row>
    <row r="375" ht="18.0" hidden="1" customHeight="1">
      <c r="A375" s="222">
        <f>IFERROR(__xludf.DUMMYFUNCTION("""COMPUTED_VALUE"""),2026.0)</f>
        <v>2026</v>
      </c>
      <c r="B375" s="221">
        <f>IFERROR(__xludf.DUMMYFUNCTION("""COMPUTED_VALUE"""),1.1272013E7)</f>
        <v>11272013</v>
      </c>
      <c r="C375" s="222" t="str">
        <f>IFERROR(__xludf.DUMMYFUNCTION("""COMPUTED_VALUE"""),"MDN PT3 P1I1 SPM-FBP TMN CITRA MANDIRI")</f>
        <v>MDN PT3 P1I1 SPM-FBP TMN CITRA MANDIRI</v>
      </c>
      <c r="D375" s="222" t="str">
        <f>IFERROR(__xludf.DUMMYFUNCTION("""COMPUTED_VALUE"""),"REGIONAL I")</f>
        <v>REGIONAL I</v>
      </c>
      <c r="E375" s="222" t="str">
        <f>IFERROR(__xludf.DUMMYFUNCTION("""COMPUTED_VALUE"""),"MEDAN")</f>
        <v>MEDAN</v>
      </c>
      <c r="F375" s="222" t="str">
        <f>IFERROR(__xludf.DUMMYFUNCTION("""COMPUTED_VALUE"""),"SPM")</f>
        <v>SPM</v>
      </c>
      <c r="G375" s="222" t="str">
        <f>IFERROR(__xludf.DUMMYFUNCTION("""COMPUTED_VALUE"""),"SUMBAGUT")</f>
        <v>SUMBAGUT</v>
      </c>
      <c r="H375" s="222" t="str">
        <f>IFERROR(__xludf.DUMMYFUNCTION("""COMPUTED_VALUE"""),"MEDAN")</f>
        <v>MEDAN</v>
      </c>
      <c r="I375" s="222" t="str">
        <f>IFERROR(__xludf.DUMMYFUNCTION("""COMPUTED_VALUE"""),"Batch 2")</f>
        <v>Batch 2</v>
      </c>
      <c r="J375" s="225">
        <f>IFERROR(__xludf.DUMMYFUNCTION("""COMPUTED_VALUE"""),4.0)</f>
        <v>4</v>
      </c>
      <c r="K375" s="224">
        <f>IFERROR(__xludf.DUMMYFUNCTION("""COMPUTED_VALUE"""),32.0)</f>
        <v>32</v>
      </c>
      <c r="L375" s="226">
        <f>IFERROR(__xludf.DUMMYFUNCTION("""COMPUTED_VALUE"""),799686.0)</f>
        <v>799686</v>
      </c>
      <c r="M375" s="227">
        <f>IFERROR(__xludf.DUMMYFUNCTION("""COMPUTED_VALUE"""),2.5589945E7)</f>
        <v>25589945</v>
      </c>
      <c r="N375" s="222" t="str">
        <f>IFERROR(__xludf.DUMMYFUNCTION("""COMPUTED_VALUE"""),"PT UPENTEL INTERNASIONAL")</f>
        <v>PT UPENTEL INTERNASIONAL</v>
      </c>
      <c r="O375" s="222" t="str">
        <f>IFERROR(__xludf.DUMMYFUNCTION("""COMPUTED_VALUE"""),"2. DONE AANWIJZING")</f>
        <v>2. DONE AANWIJZING</v>
      </c>
      <c r="P375" s="222" t="str">
        <f>IFERROR(__xludf.DUMMYFUNCTION("""COMPUTED_VALUE"""),"2.9 Kendala - Distribusi Penuh / Rusak")</f>
        <v>2.9 Kendala - Distribusi Penuh / Rusak</v>
      </c>
      <c r="Q375" s="222" t="str">
        <f>IFERROR(__xludf.DUMMYFUNCTION("""COMPUTED_VALUE"""),"16/10 Distribusi Habis, Usulan Redesign New Disitrusi
(24/09) Perizinan Warga dan Kades / Lurah
(23/09) Perizinan Warga dan Kades / Lurah
15/09 proses aanwijzing")</f>
        <v>16/10 Distribusi Habis, Usulan Redesign New Disitrusi
(24/09) Perizinan Warga dan Kades / Lurah
(23/09) Perizinan Warga dan Kades / Lurah
15/09 proses aanwijzing</v>
      </c>
      <c r="R375" s="228"/>
      <c r="S375" s="11"/>
      <c r="T375" s="11"/>
      <c r="U375" s="11"/>
      <c r="V375" s="229"/>
      <c r="W375" s="229"/>
      <c r="X375" s="229" t="str">
        <f>IFERROR(__xludf.DUMMYFUNCTION("""COMPUTED_VALUE"""),"BELUM GOLIVE")</f>
        <v>BELUM GOLIVE</v>
      </c>
      <c r="Y375" s="229"/>
      <c r="Z375" s="229" t="str">
        <f>IFERROR(__xludf.DUMMYFUNCTION("""COMPUTED_VALUE"""),"#N/A")</f>
        <v>#N/A</v>
      </c>
      <c r="AA375" s="229"/>
      <c r="AB375" s="229"/>
      <c r="AC375" s="229"/>
      <c r="AD375" s="232"/>
      <c r="AE375" s="233"/>
      <c r="AF375" s="54"/>
      <c r="AG375" s="54"/>
      <c r="AH375" s="54"/>
      <c r="AI375" s="55" t="str">
        <f t="shared" si="51"/>
        <v/>
      </c>
      <c r="AW375" s="234"/>
      <c r="BP375" s="11"/>
      <c r="BQ375" s="11"/>
      <c r="BR375" s="235"/>
      <c r="BV375" s="158"/>
      <c r="BY375" s="158"/>
      <c r="CB375" s="158"/>
    </row>
    <row r="376" ht="18.0" customHeight="1">
      <c r="A376" s="222">
        <f>IFERROR(__xludf.DUMMYFUNCTION("""COMPUTED_VALUE"""),2026.0)</f>
        <v>2026</v>
      </c>
      <c r="B376" s="221">
        <f>IFERROR(__xludf.DUMMYFUNCTION("""COMPUTED_VALUE"""),1.2034601E7)</f>
        <v>12034601</v>
      </c>
      <c r="C376" s="222" t="str">
        <f>IFERROR(__xludf.DUMMYFUNCTION("""COMPUTED_VALUE"""),"SMB SCATTER NAGARI KASANG PRS")</f>
        <v>SMB SCATTER NAGARI KASANG PRS</v>
      </c>
      <c r="D376" s="222" t="str">
        <f>IFERROR(__xludf.DUMMYFUNCTION("""COMPUTED_VALUE"""),"REGIONAL I")</f>
        <v>REGIONAL I</v>
      </c>
      <c r="E376" s="222" t="str">
        <f>IFERROR(__xludf.DUMMYFUNCTION("""COMPUTED_VALUE"""),"SUMBAR")</f>
        <v>SUMBAR</v>
      </c>
      <c r="F376" s="222" t="str">
        <f>IFERROR(__xludf.DUMMYFUNCTION("""COMPUTED_VALUE"""),"PRS")</f>
        <v>PRS</v>
      </c>
      <c r="G376" s="222" t="str">
        <f>IFERROR(__xludf.DUMMYFUNCTION("""COMPUTED_VALUE"""),"SUMBAGTENG")</f>
        <v>SUMBAGTENG</v>
      </c>
      <c r="H376" s="222" t="str">
        <f>IFERROR(__xludf.DUMMYFUNCTION("""COMPUTED_VALUE"""),"BUKIT TINGGI")</f>
        <v>BUKIT TINGGI</v>
      </c>
      <c r="I376" s="222" t="str">
        <f>IFERROR(__xludf.DUMMYFUNCTION("""COMPUTED_VALUE"""),"Batch 2")</f>
        <v>Batch 2</v>
      </c>
      <c r="J376" s="225">
        <f>IFERROR(__xludf.DUMMYFUNCTION("""COMPUTED_VALUE"""),12.0)</f>
        <v>12</v>
      </c>
      <c r="K376" s="224">
        <f>IFERROR(__xludf.DUMMYFUNCTION("""COMPUTED_VALUE"""),96.0)</f>
        <v>96</v>
      </c>
      <c r="L376" s="226">
        <f>IFERROR(__xludf.DUMMYFUNCTION("""COMPUTED_VALUE"""),1312678.0)</f>
        <v>1312678</v>
      </c>
      <c r="M376" s="227">
        <f>IFERROR(__xludf.DUMMYFUNCTION("""COMPUTED_VALUE"""),1.26017066E8)</f>
        <v>126017066</v>
      </c>
      <c r="N376" s="222" t="str">
        <f>IFERROR(__xludf.DUMMYFUNCTION("""COMPUTED_VALUE"""),"PT PUTRI JAYA AKSES")</f>
        <v>PT PUTRI JAYA AKSES</v>
      </c>
      <c r="O376" s="222" t="str">
        <f>IFERROR(__xludf.DUMMYFUNCTION("""COMPUTED_VALUE"""),"2. DONE AANWIJZING")</f>
        <v>2. DONE AANWIJZING</v>
      </c>
      <c r="P376" s="222" t="str">
        <f>IFERROR(__xludf.DUMMYFUNCTION("""COMPUTED_VALUE"""),"2.10 Kendala - Feeder Rusak")</f>
        <v>2.10 Kendala - Feeder Rusak</v>
      </c>
      <c r="Q376" s="222" t="str">
        <f>IFERROR(__xludf.DUMMYFUNCTION("""COMPUTED_VALUE"""),"(20/04Proses identifikasi QE feeder  (12/03) proses pengukuran tipus feeder PRS-FB (27/01) Kendala feeder PRS-FB rusak (07/01) Persiapan")</f>
        <v>(20/04Proses identifikasi QE feeder  (12/03) proses pengukuran tipus feeder PRS-FB (27/01) Kendala feeder PRS-FB rusak (07/01) Persiapan</v>
      </c>
      <c r="R376" s="228"/>
      <c r="S376" s="11"/>
      <c r="T376" s="11"/>
      <c r="U376" s="11"/>
      <c r="V376" s="229"/>
      <c r="W376" s="229"/>
      <c r="X376" s="229" t="str">
        <f>IFERROR(__xludf.DUMMYFUNCTION("""COMPUTED_VALUE"""),"BELUM GOLIVE")</f>
        <v>BELUM GOLIVE</v>
      </c>
      <c r="Y376" s="229"/>
      <c r="Z376" s="229" t="str">
        <f>IFERROR(__xludf.DUMMYFUNCTION("""COMPUTED_VALUE"""),"#N/A")</f>
        <v>#N/A</v>
      </c>
      <c r="AA376" s="229"/>
      <c r="AB376" s="229"/>
      <c r="AC376" s="229"/>
      <c r="AD376" s="232"/>
      <c r="AE376" s="233"/>
      <c r="AF376" s="54"/>
      <c r="AG376" s="54"/>
      <c r="AH376" s="54"/>
      <c r="AI376" s="55" t="str">
        <f t="shared" si="51"/>
        <v/>
      </c>
      <c r="AW376" s="234"/>
      <c r="BP376" s="11"/>
      <c r="BQ376" s="11"/>
      <c r="BR376" s="235"/>
      <c r="BV376" s="158"/>
      <c r="BY376" s="158"/>
      <c r="CB376" s="158"/>
    </row>
    <row r="377" ht="18.0" hidden="1" customHeight="1">
      <c r="A377" s="222">
        <f>IFERROR(__xludf.DUMMYFUNCTION("""COMPUTED_VALUE"""),2026.0)</f>
        <v>2026</v>
      </c>
      <c r="B377" s="221">
        <f>IFERROR(__xludf.DUMMYFUNCTION("""COMPUTED_VALUE"""),1.1163996E7)</f>
        <v>11163996</v>
      </c>
      <c r="C377" s="222" t="str">
        <f>IFERROR(__xludf.DUMMYFUNCTION("""COMPUTED_VALUE"""),"MDN PT3 P7I5 CTD-FCL JL.SERBAGUNA UJUNG")</f>
        <v>MDN PT3 P7I5 CTD-FCL JL.SERBAGUNA UJUNG</v>
      </c>
      <c r="D377" s="222" t="str">
        <f>IFERROR(__xludf.DUMMYFUNCTION("""COMPUTED_VALUE"""),"REGIONAL I")</f>
        <v>REGIONAL I</v>
      </c>
      <c r="E377" s="222" t="str">
        <f>IFERROR(__xludf.DUMMYFUNCTION("""COMPUTED_VALUE"""),"MEDAN")</f>
        <v>MEDAN</v>
      </c>
      <c r="F377" s="222" t="str">
        <f>IFERROR(__xludf.DUMMYFUNCTION("""COMPUTED_VALUE"""),"CTD")</f>
        <v>CTD</v>
      </c>
      <c r="G377" s="222" t="str">
        <f>IFERROR(__xludf.DUMMYFUNCTION("""COMPUTED_VALUE"""),"SUMBAGUT")</f>
        <v>SUMBAGUT</v>
      </c>
      <c r="H377" s="222" t="str">
        <f>IFERROR(__xludf.DUMMYFUNCTION("""COMPUTED_VALUE"""),"MEDAN")</f>
        <v>MEDAN</v>
      </c>
      <c r="I377" s="222" t="str">
        <f>IFERROR(__xludf.DUMMYFUNCTION("""COMPUTED_VALUE"""),"Batch 2")</f>
        <v>Batch 2</v>
      </c>
      <c r="J377" s="225">
        <f>IFERROR(__xludf.DUMMYFUNCTION("""COMPUTED_VALUE"""),4.0)</f>
        <v>4</v>
      </c>
      <c r="K377" s="224">
        <f>IFERROR(__xludf.DUMMYFUNCTION("""COMPUTED_VALUE"""),32.0)</f>
        <v>32</v>
      </c>
      <c r="L377" s="226">
        <f>IFERROR(__xludf.DUMMYFUNCTION("""COMPUTED_VALUE"""),1312311.0)</f>
        <v>1312311</v>
      </c>
      <c r="M377" s="227">
        <f>IFERROR(__xludf.DUMMYFUNCTION("""COMPUTED_VALUE"""),4.1993929E7)</f>
        <v>41993929</v>
      </c>
      <c r="N377" s="222" t="str">
        <f>IFERROR(__xludf.DUMMYFUNCTION("""COMPUTED_VALUE"""),"PT MEDCOM SOLUTION")</f>
        <v>PT MEDCOM SOLUTION</v>
      </c>
      <c r="O377" s="222" t="str">
        <f>IFERROR(__xludf.DUMMYFUNCTION("""COMPUTED_VALUE"""),"0. DROP")</f>
        <v>0. DROP</v>
      </c>
      <c r="P377" s="222" t="str">
        <f>IFERROR(__xludf.DUMMYFUNCTION("""COMPUTED_VALUE"""),"0.2 Tidak Dapat Izin Warga/Kades/Lurah/Developer")</f>
        <v>0.2 Tidak Dapat Izin Warga/Kades/Lurah/Developer</v>
      </c>
      <c r="Q377" s="222" t="str">
        <f>IFERROR(__xludf.DUMMYFUNCTION("""COMPUTED_VALUE"""),"Tidak Ada Space Tanam Tiang (07/01) Persiapan")</f>
        <v>Tidak Ada Space Tanam Tiang (07/01) Persiapan</v>
      </c>
      <c r="R377" s="228"/>
      <c r="S377" s="11"/>
      <c r="T377" s="11"/>
      <c r="U377" s="11"/>
      <c r="V377" s="229"/>
      <c r="W377" s="229"/>
      <c r="X377" s="229" t="str">
        <f>IFERROR(__xludf.DUMMYFUNCTION("""COMPUTED_VALUE"""),"BELUM GOLIVE")</f>
        <v>BELUM GOLIVE</v>
      </c>
      <c r="Y377" s="229"/>
      <c r="Z377" s="229" t="str">
        <f>IFERROR(__xludf.DUMMYFUNCTION("""COMPUTED_VALUE"""),"#N/A")</f>
        <v>#N/A</v>
      </c>
      <c r="AA377" s="229"/>
      <c r="AB377" s="229"/>
      <c r="AC377" s="229"/>
      <c r="AD377" s="232"/>
      <c r="AE377" s="233"/>
      <c r="AF377" s="54" t="str">
        <f>IFERROR(__xludf.DUMMYFUNCTION("""COMPUTED_VALUE"""),"Draft BA DROP")</f>
        <v>Draft BA DROP</v>
      </c>
      <c r="AG377" s="54"/>
      <c r="AH377" s="54"/>
      <c r="AI377" s="55" t="str">
        <f t="shared" si="51"/>
        <v/>
      </c>
      <c r="AW377" s="234"/>
      <c r="BP377" s="11"/>
      <c r="BQ377" s="11"/>
      <c r="BR377" s="235"/>
      <c r="BV377" s="158"/>
      <c r="BY377" s="158"/>
      <c r="CB377" s="158"/>
    </row>
    <row r="378" ht="18.0" hidden="1" customHeight="1">
      <c r="A378" s="222">
        <f>IFERROR(__xludf.DUMMYFUNCTION("""COMPUTED_VALUE"""),2026.0)</f>
        <v>2026</v>
      </c>
      <c r="B378" s="221">
        <f>IFERROR(__xludf.DUMMYFUNCTION("""COMPUTED_VALUE"""),1.196721E7)</f>
        <v>11967210</v>
      </c>
      <c r="C378" s="222" t="str">
        <f>IFERROR(__xludf.DUMMYFUNCTION("""COMPUTED_VALUE"""),"BNK-PT3-JPPTSEL-MUKO MUKO_91332_H2_2025")</f>
        <v>BNK-PT3-JPPTSEL-MUKO MUKO_91332_H2_2025</v>
      </c>
      <c r="D378" s="222" t="str">
        <f>IFERROR(__xludf.DUMMYFUNCTION("""COMPUTED_VALUE"""),"REGIONAL I")</f>
        <v>REGIONAL I</v>
      </c>
      <c r="E378" s="222" t="str">
        <f>IFERROR(__xludf.DUMMYFUNCTION("""COMPUTED_VALUE"""),"BENGKULU")</f>
        <v>BENGKULU</v>
      </c>
      <c r="F378" s="222" t="str">
        <f>IFERROR(__xludf.DUMMYFUNCTION("""COMPUTED_VALUE"""),"IPU")</f>
        <v>IPU</v>
      </c>
      <c r="G378" s="222" t="str">
        <f>IFERROR(__xludf.DUMMYFUNCTION("""COMPUTED_VALUE"""),"SUMBAGSEL")</f>
        <v>SUMBAGSEL</v>
      </c>
      <c r="H378" s="222" t="str">
        <f>IFERROR(__xludf.DUMMYFUNCTION("""COMPUTED_VALUE"""),"BENGKULU")</f>
        <v>BENGKULU</v>
      </c>
      <c r="I378" s="222" t="str">
        <f>IFERROR(__xludf.DUMMYFUNCTION("""COMPUTED_VALUE"""),"Batch 2")</f>
        <v>Batch 2</v>
      </c>
      <c r="J378" s="225">
        <f>IFERROR(__xludf.DUMMYFUNCTION("""COMPUTED_VALUE"""),6.0)</f>
        <v>6</v>
      </c>
      <c r="K378" s="224">
        <f>IFERROR(__xludf.DUMMYFUNCTION("""COMPUTED_VALUE"""),48.0)</f>
        <v>48</v>
      </c>
      <c r="L378" s="226">
        <f>IFERROR(__xludf.DUMMYFUNCTION("""COMPUTED_VALUE"""),1176446.0)</f>
        <v>1176446</v>
      </c>
      <c r="M378" s="227">
        <f>IFERROR(__xludf.DUMMYFUNCTION("""COMPUTED_VALUE"""),5.6469374E7)</f>
        <v>56469374</v>
      </c>
      <c r="N378" s="222" t="str">
        <f>IFERROR(__xludf.DUMMYFUNCTION("""COMPUTED_VALUE"""),"PT GITA PRIMA TAMBA PERKASA")</f>
        <v>PT GITA PRIMA TAMBA PERKASA</v>
      </c>
      <c r="O378" s="222" t="str">
        <f>IFERROR(__xludf.DUMMYFUNCTION("""COMPUTED_VALUE"""),"7. GOLIVE")</f>
        <v>7. GOLIVE</v>
      </c>
      <c r="P378" s="222" t="str">
        <f>IFERROR(__xludf.DUMMYFUNCTION("""COMPUTED_VALUE"""),"7.2 Golive Full / OA / DONE OTB")</f>
        <v>7.2 Golive Full / OA / DONE OTB</v>
      </c>
      <c r="Q378" s="222" t="str">
        <f>IFERROR(__xludf.DUMMYFUNCTION("""COMPUTED_VALUE"""),"18/2 sudah Sumbit ABD  12/2 plan close instal odp  10/2 : instalasi kabel, plan terminasi ODP  11-12 // 09/02: menunggu antian pekerjaan // 07/02: pengecoran tiang dan perapihan tiang // 06/02: proses penarikan kabel // 05/02 : progres pengecatan tiang, g"&amp;"ali lobang, penanaman tiang dan penarikan kabel 24 // 04/02: Tim progres sedang dalam perjalanan ke lokasi // 03/02: pengambilan material di gudang, dan delivery ke lokasi // 30/01 : Proses PR PO // 22/01 : Done Anwidjzing // 14/01 : proses anwizing dan p"&amp;"erizinan ke lapangan // (07/01) Persiapan")</f>
        <v>18/2 sudah Sumbit ABD  12/2 plan close instal odp  10/2 : instalasi kabel, plan terminasi ODP  11-12 // 09/02: menunggu antian pekerjaan // 07/02: pengecoran tiang dan perapihan tiang // 06/02: proses penarikan kabel // 05/02 : progres pengecatan tiang, gali lobang, penanaman tiang dan penarikan kabel 24 // 04/02: Tim progres sedang dalam perjalanan ke lokasi // 03/02: pengambilan material di gudang, dan delivery ke lokasi // 30/01 : Proses PR PO // 22/01 : Done Anwidjzing // 14/01 : proses anwizing dan perizinan ke lapangan // (07/01) Persiapan</v>
      </c>
      <c r="R378" s="228">
        <f>IFERROR(__xludf.DUMMYFUNCTION("""COMPUTED_VALUE"""),46072.0)</f>
        <v>46072</v>
      </c>
      <c r="S378" s="11"/>
      <c r="T378" s="11"/>
      <c r="U378" s="11" t="str">
        <f>IFERROR(__xludf.DUMMYFUNCTION("""COMPUTED_VALUE"""),"TIF-2118/2026")</f>
        <v>TIF-2118/2026</v>
      </c>
      <c r="V378" s="229"/>
      <c r="W378" s="229"/>
      <c r="X378" s="229" t="str">
        <f>IFERROR(__xludf.DUMMYFUNCTION("""COMPUTED_VALUE"""),"GOLIVE")</f>
        <v>GOLIVE</v>
      </c>
      <c r="Y378" s="229" t="str">
        <f>IFERROR(__xludf.DUMMYFUNCTION("""COMPUTED_VALUE"""),"DONE")</f>
        <v>DONE</v>
      </c>
      <c r="Z378" s="229" t="str">
        <f>IFERROR(__xludf.DUMMYFUNCTION("""COMPUTED_VALUE"""),"#N/A")</f>
        <v>#N/A</v>
      </c>
      <c r="AA378" s="229">
        <f>IFERROR(__xludf.DUMMYFUNCTION("""COMPUTED_VALUE"""),6.0)</f>
        <v>6</v>
      </c>
      <c r="AB378" s="229"/>
      <c r="AC378" s="229" t="str">
        <f>IFERROR(__xludf.DUMMYFUNCTION("""COMPUTED_VALUE"""),"9118089#9118094")</f>
        <v>9118089#9118094</v>
      </c>
      <c r="AD378" s="232">
        <f>IFERROR(__xludf.DUMMYFUNCTION("""COMPUTED_VALUE"""),48.0)</f>
        <v>48</v>
      </c>
      <c r="AE378" s="233">
        <f>IFERROR(__xludf.DUMMYFUNCTION("""COMPUTED_VALUE"""),46072.0)</f>
        <v>46072</v>
      </c>
      <c r="AF378" s="54"/>
      <c r="AG378" s="54"/>
      <c r="AH378" s="54">
        <v>46072.0</v>
      </c>
      <c r="AI378" s="55">
        <f t="shared" si="51"/>
        <v>0</v>
      </c>
      <c r="AW378" s="234"/>
      <c r="BP378" s="11"/>
      <c r="BQ378" s="11"/>
      <c r="BR378" s="235"/>
      <c r="BV378" s="158"/>
      <c r="BY378" s="158"/>
      <c r="CB378" s="158"/>
    </row>
    <row r="379" ht="18.0" hidden="1" customHeight="1">
      <c r="A379" s="222">
        <f>IFERROR(__xludf.DUMMYFUNCTION("""COMPUTED_VALUE"""),2026.0)</f>
        <v>2026</v>
      </c>
      <c r="B379" s="221">
        <f>IFERROR(__xludf.DUMMYFUNCTION("""COMPUTED_VALUE"""),1.1258971E7)</f>
        <v>11258971</v>
      </c>
      <c r="C379" s="222" t="str">
        <f>IFERROR(__xludf.DUMMYFUNCTION("""COMPUTED_VALUE"""),"MDN PT3 BJI-FEB PERUM BINJAI ECO PARK")</f>
        <v>MDN PT3 BJI-FEB PERUM BINJAI ECO PARK</v>
      </c>
      <c r="D379" s="222" t="str">
        <f>IFERROR(__xludf.DUMMYFUNCTION("""COMPUTED_VALUE"""),"REGIONAL I")</f>
        <v>REGIONAL I</v>
      </c>
      <c r="E379" s="222" t="str">
        <f>IFERROR(__xludf.DUMMYFUNCTION("""COMPUTED_VALUE"""),"MEDAN")</f>
        <v>MEDAN</v>
      </c>
      <c r="F379" s="222" t="str">
        <f>IFERROR(__xludf.DUMMYFUNCTION("""COMPUTED_VALUE"""),"BJI")</f>
        <v>BJI</v>
      </c>
      <c r="G379" s="222" t="str">
        <f>IFERROR(__xludf.DUMMYFUNCTION("""COMPUTED_VALUE"""),"SUMBAGUT")</f>
        <v>SUMBAGUT</v>
      </c>
      <c r="H379" s="222" t="str">
        <f>IFERROR(__xludf.DUMMYFUNCTION("""COMPUTED_VALUE"""),"BINJAI")</f>
        <v>BINJAI</v>
      </c>
      <c r="I379" s="222" t="str">
        <f>IFERROR(__xludf.DUMMYFUNCTION("""COMPUTED_VALUE"""),"Batch 2")</f>
        <v>Batch 2</v>
      </c>
      <c r="J379" s="225">
        <f>IFERROR(__xludf.DUMMYFUNCTION("""COMPUTED_VALUE"""),4.0)</f>
        <v>4</v>
      </c>
      <c r="K379" s="224">
        <f>IFERROR(__xludf.DUMMYFUNCTION("""COMPUTED_VALUE"""),32.0)</f>
        <v>32</v>
      </c>
      <c r="L379" s="226">
        <f>IFERROR(__xludf.DUMMYFUNCTION("""COMPUTED_VALUE"""),1311845.0)</f>
        <v>1311845</v>
      </c>
      <c r="M379" s="227">
        <f>IFERROR(__xludf.DUMMYFUNCTION("""COMPUTED_VALUE"""),4.197902E7)</f>
        <v>41979020</v>
      </c>
      <c r="N379" s="222" t="str">
        <f>IFERROR(__xludf.DUMMYFUNCTION("""COMPUTED_VALUE"""),"SWAKELOLA")</f>
        <v>SWAKELOLA</v>
      </c>
      <c r="O379" s="222" t="str">
        <f>IFERROR(__xludf.DUMMYFUNCTION("""COMPUTED_VALUE"""),"0. DROP")</f>
        <v>0. DROP</v>
      </c>
      <c r="P379" s="222" t="str">
        <f>IFERROR(__xludf.DUMMYFUNCTION("""COMPUTED_VALUE"""),"0.4 CPP Tinggi Acc ED TIF")</f>
        <v>0.4 CPP Tinggi Acc ED TIF</v>
      </c>
      <c r="Q379" s="222" t="str">
        <f>IFERROR(__xludf.DUMMYFUNCTION("""COMPUTED_VALUE"""),"(07/01) Persiapan")</f>
        <v>(07/01) Persiapan</v>
      </c>
      <c r="R379" s="228"/>
      <c r="S379" s="11"/>
      <c r="T379" s="11"/>
      <c r="U379" s="11"/>
      <c r="V379" s="229"/>
      <c r="W379" s="229"/>
      <c r="X379" s="229" t="str">
        <f>IFERROR(__xludf.DUMMYFUNCTION("""COMPUTED_VALUE"""),"BELUM GOLIVE")</f>
        <v>BELUM GOLIVE</v>
      </c>
      <c r="Y379" s="229"/>
      <c r="Z379" s="229" t="str">
        <f>IFERROR(__xludf.DUMMYFUNCTION("""COMPUTED_VALUE"""),"#N/A")</f>
        <v>#N/A</v>
      </c>
      <c r="AA379" s="229"/>
      <c r="AB379" s="229"/>
      <c r="AC379" s="229"/>
      <c r="AD379" s="232"/>
      <c r="AE379" s="233"/>
      <c r="AF379" s="54" t="str">
        <f>IFERROR(__xludf.DUMMYFUNCTION("""COMPUTED_VALUE"""),"Draft BA DROP")</f>
        <v>Draft BA DROP</v>
      </c>
      <c r="AG379" s="54"/>
      <c r="AH379" s="54"/>
      <c r="AI379" s="55" t="str">
        <f t="shared" si="51"/>
        <v/>
      </c>
      <c r="AW379" s="234"/>
      <c r="BP379" s="11"/>
      <c r="BQ379" s="11"/>
      <c r="BR379" s="235"/>
      <c r="BV379" s="158"/>
      <c r="BY379" s="158"/>
      <c r="CB379" s="158"/>
    </row>
    <row r="380" ht="18.0" hidden="1" customHeight="1">
      <c r="A380" s="222">
        <f>IFERROR(__xludf.DUMMYFUNCTION("""COMPUTED_VALUE"""),2026.0)</f>
        <v>2026</v>
      </c>
      <c r="B380" s="221">
        <f>IFERROR(__xludf.DUMMYFUNCTION("""COMPUTED_VALUE"""),1.1237081E7)</f>
        <v>11237081</v>
      </c>
      <c r="C380" s="222" t="str">
        <f>IFERROR(__xludf.DUMMYFUNCTION("""COMPUTED_VALUE"""),"SMS P1I1 PT3 TRA FF D02 PINANG MAS")</f>
        <v>SMS P1I1 PT3 TRA FF D02 PINANG MAS</v>
      </c>
      <c r="D380" s="222" t="str">
        <f>IFERROR(__xludf.DUMMYFUNCTION("""COMPUTED_VALUE"""),"REGIONAL I")</f>
        <v>REGIONAL I</v>
      </c>
      <c r="E380" s="222" t="str">
        <f>IFERROR(__xludf.DUMMYFUNCTION("""COMPUTED_VALUE"""),"SUMSEL")</f>
        <v>SUMSEL</v>
      </c>
      <c r="F380" s="222" t="str">
        <f>IFERROR(__xludf.DUMMYFUNCTION("""COMPUTED_VALUE"""),"TRA")</f>
        <v>TRA</v>
      </c>
      <c r="G380" s="222" t="str">
        <f>IFERROR(__xludf.DUMMYFUNCTION("""COMPUTED_VALUE"""),"SUMBAGSEL")</f>
        <v>SUMBAGSEL</v>
      </c>
      <c r="H380" s="222" t="str">
        <f>IFERROR(__xludf.DUMMYFUNCTION("""COMPUTED_VALUE"""),"PALEMBANG")</f>
        <v>PALEMBANG</v>
      </c>
      <c r="I380" s="222" t="str">
        <f>IFERROR(__xludf.DUMMYFUNCTION("""COMPUTED_VALUE"""),"Batch 2")</f>
        <v>Batch 2</v>
      </c>
      <c r="J380" s="225">
        <f>IFERROR(__xludf.DUMMYFUNCTION("""COMPUTED_VALUE"""),8.0)</f>
        <v>8</v>
      </c>
      <c r="K380" s="224">
        <f>IFERROR(__xludf.DUMMYFUNCTION("""COMPUTED_VALUE"""),64.0)</f>
        <v>64</v>
      </c>
      <c r="L380" s="226">
        <f>IFERROR(__xludf.DUMMYFUNCTION("""COMPUTED_VALUE"""),1311243.0)</f>
        <v>1311243</v>
      </c>
      <c r="M380" s="227">
        <f>IFERROR(__xludf.DUMMYFUNCTION("""COMPUTED_VALUE"""),8.391949E7)</f>
        <v>83919490</v>
      </c>
      <c r="N380" s="222" t="str">
        <f>IFERROR(__xludf.DUMMYFUNCTION("""COMPUTED_VALUE"""),"PT SARANA MITRA PERSADA")</f>
        <v>PT SARANA MITRA PERSADA</v>
      </c>
      <c r="O380" s="222" t="str">
        <f>IFERROR(__xludf.DUMMYFUNCTION("""COMPUTED_VALUE"""),"0. DROP")</f>
        <v>0. DROP</v>
      </c>
      <c r="P380" s="222" t="str">
        <f>IFERROR(__xludf.DUMMYFUNCTION("""COMPUTED_VALUE"""),"0.2 Tidak Dapat Izin Warga/Kades/Lurah/Developer")</f>
        <v>0.2 Tidak Dapat Izin Warga/Kades/Lurah/Developer</v>
      </c>
      <c r="Q380" s="222" t="str">
        <f>IFERROR(__xludf.DUMMYFUNCTION("""COMPUTED_VALUE"""),"24/02 DROP MASUK PU NASIONAL, 06/02 HASIL REVIEW TSEL KONFIRM DROP, 15/01 DROP, masuk ruas pu nasional dan sdh berkoordinasi dg tsel (21/01) DROP, karena masuk ruas pu nasional, (06/01)order JPP batch-2 2026 (23/10 proposesd drop karena butuh pengurusan i"&amp;"zin pu nasional
 15/10 menunggu konfirm dari pihak sales untuk order ini di lanjut atau tidak, krena masuk ruas pu nasional
 08/10 jalur masuk ruas pu nasional, order sebelumnya dg nama dan lokasi yg sama d drop
 01/10 proses koord dgn TIF.")</f>
        <v>24/02 DROP MASUK PU NASIONAL, 06/02 HASIL REVIEW TSEL KONFIRM DROP, 15/01 DROP, masuk ruas pu nasional dan sdh berkoordinasi dg tsel (21/01) DROP, karena masuk ruas pu nasional, (06/01)order JPP batch-2 2026 (23/10 proposesd drop karena butuh pengurusan izin pu nasional
 15/10 menunggu konfirm dari pihak sales untuk order ini di lanjut atau tidak, krena masuk ruas pu nasional
 08/10 jalur masuk ruas pu nasional, order sebelumnya dg nama dan lokasi yg sama d drop
 01/10 proses koord dgn TIF.</v>
      </c>
      <c r="R380" s="228"/>
      <c r="S380" s="11"/>
      <c r="T380" s="11"/>
      <c r="U380" s="11"/>
      <c r="V380" s="229" t="str">
        <f>IFERROR(__xludf.DUMMYFUNCTION("""COMPUTED_VALUE"""),"RENALDO")</f>
        <v>RENALDO</v>
      </c>
      <c r="W380" s="229"/>
      <c r="X380" s="229" t="str">
        <f>IFERROR(__xludf.DUMMYFUNCTION("""COMPUTED_VALUE"""),"BELUM GOLIVE")</f>
        <v>BELUM GOLIVE</v>
      </c>
      <c r="Y380" s="229"/>
      <c r="Z380" s="229" t="str">
        <f>IFERROR(__xludf.DUMMYFUNCTION("""COMPUTED_VALUE"""),"#N/A")</f>
        <v>#N/A</v>
      </c>
      <c r="AA380" s="229"/>
      <c r="AB380" s="229"/>
      <c r="AC380" s="229"/>
      <c r="AD380" s="232"/>
      <c r="AE380" s="233"/>
      <c r="AF380" s="54" t="str">
        <f>IFERROR(__xludf.DUMMYFUNCTION("""COMPUTED_VALUE"""),"Draft BA DROP")</f>
        <v>Draft BA DROP</v>
      </c>
      <c r="AG380" s="54"/>
      <c r="AH380" s="54"/>
      <c r="AI380" s="55" t="str">
        <f t="shared" si="51"/>
        <v/>
      </c>
      <c r="AW380" s="234"/>
      <c r="BP380" s="11"/>
      <c r="BQ380" s="11"/>
      <c r="BR380" s="235"/>
      <c r="BV380" s="158"/>
      <c r="BY380" s="158"/>
      <c r="CB380" s="158"/>
    </row>
    <row r="381" ht="18.0" hidden="1" customHeight="1">
      <c r="A381" s="222">
        <f>IFERROR(__xludf.DUMMYFUNCTION("""COMPUTED_VALUE"""),2026.0)</f>
        <v>2026</v>
      </c>
      <c r="B381" s="221">
        <f>IFERROR(__xludf.DUMMYFUNCTION("""COMPUTED_VALUE"""),1.1453101E7)</f>
        <v>11453101</v>
      </c>
      <c r="C381" s="222" t="str">
        <f>IFERROR(__xludf.DUMMYFUNCTION("""COMPUTED_VALUE"""),"ACH PT3 KTN-FD BR.D01 KAMPUNG BAKTI_MD")</f>
        <v>ACH PT3 KTN-FD BR.D01 KAMPUNG BAKTI_MD</v>
      </c>
      <c r="D381" s="222" t="str">
        <f>IFERROR(__xludf.DUMMYFUNCTION("""COMPUTED_VALUE"""),"REGIONAL I")</f>
        <v>REGIONAL I</v>
      </c>
      <c r="E381" s="222" t="str">
        <f>IFERROR(__xludf.DUMMYFUNCTION("""COMPUTED_VALUE"""),"ACEH")</f>
        <v>ACEH</v>
      </c>
      <c r="F381" s="222" t="str">
        <f>IFERROR(__xludf.DUMMYFUNCTION("""COMPUTED_VALUE"""),"KTN")</f>
        <v>KTN</v>
      </c>
      <c r="G381" s="222" t="str">
        <f>IFERROR(__xludf.DUMMYFUNCTION("""COMPUTED_VALUE"""),"SUMBAGUT")</f>
        <v>SUMBAGUT</v>
      </c>
      <c r="H381" s="222" t="str">
        <f>IFERROR(__xludf.DUMMYFUNCTION("""COMPUTED_VALUE"""),"BANDA ACEH")</f>
        <v>BANDA ACEH</v>
      </c>
      <c r="I381" s="222" t="str">
        <f>IFERROR(__xludf.DUMMYFUNCTION("""COMPUTED_VALUE"""),"Batch 2")</f>
        <v>Batch 2</v>
      </c>
      <c r="J381" s="225">
        <f>IFERROR(__xludf.DUMMYFUNCTION("""COMPUTED_VALUE"""),7.0)</f>
        <v>7</v>
      </c>
      <c r="K381" s="224">
        <f>IFERROR(__xludf.DUMMYFUNCTION("""COMPUTED_VALUE"""),56.0)</f>
        <v>56</v>
      </c>
      <c r="L381" s="226">
        <f>IFERROR(__xludf.DUMMYFUNCTION("""COMPUTED_VALUE"""),1134182.0)</f>
        <v>1134182</v>
      </c>
      <c r="M381" s="227">
        <f>IFERROR(__xludf.DUMMYFUNCTION("""COMPUTED_VALUE"""),6.3514171E7)</f>
        <v>63514171</v>
      </c>
      <c r="N381" s="222" t="str">
        <f>IFERROR(__xludf.DUMMYFUNCTION("""COMPUTED_VALUE"""),"PT NURISA JAYA PERKASA")</f>
        <v>PT NURISA JAYA PERKASA</v>
      </c>
      <c r="O381" s="222" t="str">
        <f>IFERROR(__xludf.DUMMYFUNCTION("""COMPUTED_VALUE"""),"0. DROP")</f>
        <v>0. DROP</v>
      </c>
      <c r="P381" s="222" t="str">
        <f>IFERROR(__xludf.DUMMYFUNCTION("""COMPUTED_VALUE"""),"0.2 Tidak Dapat Izin Warga/Kades/Lurah/Developer")</f>
        <v>0.2 Tidak Dapat Izin Warga/Kades/Lurah/Developer</v>
      </c>
      <c r="Q381" s="222" t="str">
        <f>IFERROR(__xludf.DUMMYFUNCTION("""COMPUTED_VALUE"""),"(19/02) Comcase Warga (07/01) Persiapan")</f>
        <v>(19/02) Comcase Warga (07/01) Persiapan</v>
      </c>
      <c r="R381" s="228"/>
      <c r="S381" s="11"/>
      <c r="T381" s="11"/>
      <c r="U381" s="11"/>
      <c r="V381" s="229"/>
      <c r="W381" s="229"/>
      <c r="X381" s="229" t="str">
        <f>IFERROR(__xludf.DUMMYFUNCTION("""COMPUTED_VALUE"""),"BELUM GOLIVE")</f>
        <v>BELUM GOLIVE</v>
      </c>
      <c r="Y381" s="229"/>
      <c r="Z381" s="229" t="str">
        <f>IFERROR(__xludf.DUMMYFUNCTION("""COMPUTED_VALUE"""),"#N/A")</f>
        <v>#N/A</v>
      </c>
      <c r="AA381" s="229"/>
      <c r="AB381" s="229"/>
      <c r="AC381" s="229"/>
      <c r="AD381" s="232"/>
      <c r="AE381" s="233"/>
      <c r="AF381" s="54" t="str">
        <f>IFERROR(__xludf.DUMMYFUNCTION("""COMPUTED_VALUE"""),"Draft BA DROP")</f>
        <v>Draft BA DROP</v>
      </c>
      <c r="AG381" s="54"/>
      <c r="AH381" s="54"/>
      <c r="AI381" s="55" t="str">
        <f t="shared" si="51"/>
        <v/>
      </c>
      <c r="AW381" s="234"/>
      <c r="BP381" s="11"/>
      <c r="BQ381" s="11"/>
      <c r="BR381" s="235"/>
      <c r="BV381" s="158"/>
      <c r="BY381" s="158"/>
      <c r="CB381" s="158"/>
    </row>
    <row r="382" ht="18.0" hidden="1" customHeight="1">
      <c r="A382" s="222">
        <f>IFERROR(__xludf.DUMMYFUNCTION("""COMPUTED_VALUE"""),2026.0)</f>
        <v>2026</v>
      </c>
      <c r="B382" s="221">
        <f>IFERROR(__xludf.DUMMYFUNCTION("""COMPUTED_VALUE"""),1.2261547E7)</f>
        <v>12261547</v>
      </c>
      <c r="C382" s="222" t="str">
        <f>IFERROR(__xludf.DUMMYFUNCTION("""COMPUTED_VALUE"""),"LPG PT3 MESUJI_143337_H2_2025 UNT")</f>
        <v>LPG PT3 MESUJI_143337_H2_2025 UNT</v>
      </c>
      <c r="D382" s="222" t="str">
        <f>IFERROR(__xludf.DUMMYFUNCTION("""COMPUTED_VALUE"""),"REGIONAL I")</f>
        <v>REGIONAL I</v>
      </c>
      <c r="E382" s="222" t="str">
        <f>IFERROR(__xludf.DUMMYFUNCTION("""COMPUTED_VALUE"""),"LAMPUNG")</f>
        <v>LAMPUNG</v>
      </c>
      <c r="F382" s="222" t="str">
        <f>IFERROR(__xludf.DUMMYFUNCTION("""COMPUTED_VALUE"""),"UNT")</f>
        <v>UNT</v>
      </c>
      <c r="G382" s="222" t="str">
        <f>IFERROR(__xludf.DUMMYFUNCTION("""COMPUTED_VALUE"""),"SUMBAGSEL")</f>
        <v>SUMBAGSEL</v>
      </c>
      <c r="H382" s="222" t="str">
        <f>IFERROR(__xludf.DUMMYFUNCTION("""COMPUTED_VALUE"""),"PALEMBANG")</f>
        <v>PALEMBANG</v>
      </c>
      <c r="I382" s="222" t="str">
        <f>IFERROR(__xludf.DUMMYFUNCTION("""COMPUTED_VALUE"""),"Batch 2")</f>
        <v>Batch 2</v>
      </c>
      <c r="J382" s="225">
        <f>IFERROR(__xludf.DUMMYFUNCTION("""COMPUTED_VALUE"""),8.0)</f>
        <v>8</v>
      </c>
      <c r="K382" s="224">
        <f>IFERROR(__xludf.DUMMYFUNCTION("""COMPUTED_VALUE"""),64.0)</f>
        <v>64</v>
      </c>
      <c r="L382" s="226">
        <f>IFERROR(__xludf.DUMMYFUNCTION("""COMPUTED_VALUE"""),1310872.0)</f>
        <v>1310872</v>
      </c>
      <c r="M382" s="227">
        <f>IFERROR(__xludf.DUMMYFUNCTION("""COMPUTED_VALUE"""),8.3895803E7)</f>
        <v>83895803</v>
      </c>
      <c r="N382" s="222" t="str">
        <f>IFERROR(__xludf.DUMMYFUNCTION("""COMPUTED_VALUE"""),"SWAKELOLA")</f>
        <v>SWAKELOLA</v>
      </c>
      <c r="O382" s="222" t="str">
        <f>IFERROR(__xludf.DUMMYFUNCTION("""COMPUTED_VALUE"""),"0. DROP")</f>
        <v>0. DROP</v>
      </c>
      <c r="P382" s="222" t="str">
        <f>IFERROR(__xludf.DUMMYFUNCTION("""COMPUTED_VALUE"""),"0.5 DROP TSEL - Acc ED TIF")</f>
        <v>0.5 DROP TSEL - Acc ED TIF</v>
      </c>
      <c r="Q382" s="222" t="str">
        <f>IFERROR(__xludf.DUMMYFUNCTION("""COMPUTED_VALUE"""),"01/04 HASIL ZOOM DG TIF - DROP CPP NAIK, 30/03 HASIL AANWIDJZING HOLD PERUBAHAN DESIGN, CPP NAIK NEW DISTRIBUSI KARENA DISTRIBUSI PLAN D06 SUDAH PENUH CPP PLAN 1,3JT CPP AANWIZING 2JT, 27/03 LANJUT EVAL DG TIF EST TGL 30 MAR, 26/3 DONE AANWIJDZING , MENUN"&amp;"GGU HASIL EVAL  25/03 LANJUT EVAL DG TIF EST TGL 30 MAR ,21/03 MENUNGGU EVAL SETELAH LEBARAN, 13/03 DONE AANWIDJZING - BERUBAH CATUAN DARI DIST 6 JADI NEW DIST KRNA PENUH DAN SISA CORE TIDAK TEMBUS OTDR, 09/03 Sudah kordinasi dengan sumsel. Mulai Aanwizin"&amp;"g 5/3 masuk area sumsel,, kendala OLT di status Terakhir  (18/2) konfirmasi ke tif  terkait penambahan mini OLT (11/2) masuk lop sumsel (6/2) butuh penambahan mini OLT
14/1 butuh penambahan mini OLT")</f>
        <v>01/04 HASIL ZOOM DG TIF - DROP CPP NAIK, 30/03 HASIL AANWIDJZING HOLD PERUBAHAN DESIGN, CPP NAIK NEW DISTRIBUSI KARENA DISTRIBUSI PLAN D06 SUDAH PENUH CPP PLAN 1,3JT CPP AANWIZING 2JT, 27/03 LANJUT EVAL DG TIF EST TGL 30 MAR, 26/3 DONE AANWIJDZING , MENUNGGU HASIL EVAL  25/03 LANJUT EVAL DG TIF EST TGL 30 MAR ,21/03 MENUNGGU EVAL SETELAH LEBARAN, 13/03 DONE AANWIDJZING - BERUBAH CATUAN DARI DIST 6 JADI NEW DIST KRNA PENUH DAN SISA CORE TIDAK TEMBUS OTDR, 09/03 Sudah kordinasi dengan sumsel. Mulai Aanwizing 5/3 masuk area sumsel,, kendala OLT di status Terakhir  (18/2) konfirmasi ke tif  terkait penambahan mini OLT (11/2) masuk lop sumsel (6/2) butuh penambahan mini OLT
14/1 butuh penambahan mini OLT</v>
      </c>
      <c r="R382" s="228"/>
      <c r="S382" s="11"/>
      <c r="T382" s="11"/>
      <c r="U382" s="11"/>
      <c r="V382" s="229"/>
      <c r="W382" s="229"/>
      <c r="X382" s="229" t="str">
        <f>IFERROR(__xludf.DUMMYFUNCTION("""COMPUTED_VALUE"""),"BELUM GOLIVE")</f>
        <v>BELUM GOLIVE</v>
      </c>
      <c r="Y382" s="229" t="str">
        <f>IFERROR(__xludf.DUMMYFUNCTION("""COMPUTED_VALUE"""),"PORT OLT Penuh")</f>
        <v>PORT OLT Penuh</v>
      </c>
      <c r="Z382" s="229" t="str">
        <f>IFERROR(__xludf.DUMMYFUNCTION("""COMPUTED_VALUE"""),"#N/A")</f>
        <v>#N/A</v>
      </c>
      <c r="AA382" s="229"/>
      <c r="AB382" s="229"/>
      <c r="AC382" s="229"/>
      <c r="AD382" s="232"/>
      <c r="AE382" s="233"/>
      <c r="AF382" s="54"/>
      <c r="AG382" s="54"/>
      <c r="AH382" s="54"/>
      <c r="AI382" s="55" t="str">
        <f t="shared" si="51"/>
        <v/>
      </c>
      <c r="AW382" s="234"/>
      <c r="BP382" s="11"/>
      <c r="BQ382" s="11"/>
      <c r="BR382" s="235"/>
      <c r="BV382" s="158"/>
      <c r="BY382" s="158"/>
      <c r="CB382" s="158"/>
    </row>
    <row r="383" ht="18.0" hidden="1" customHeight="1">
      <c r="A383" s="222">
        <f>IFERROR(__xludf.DUMMYFUNCTION("""COMPUTED_VALUE"""),2026.0)</f>
        <v>2026</v>
      </c>
      <c r="B383" s="221">
        <f>IFERROR(__xludf.DUMMYFUNCTION("""COMPUTED_VALUE"""),1.119726E7)</f>
        <v>11197260</v>
      </c>
      <c r="C383" s="222" t="str">
        <f>IFERROR(__xludf.DUMMYFUNCTION("""COMPUTED_VALUE"""),"MDN PT3 BJI-FEG JL.PS KWALA MENCIRIM")</f>
        <v>MDN PT3 BJI-FEG JL.PS KWALA MENCIRIM</v>
      </c>
      <c r="D383" s="222" t="str">
        <f>IFERROR(__xludf.DUMMYFUNCTION("""COMPUTED_VALUE"""),"REGIONAL I")</f>
        <v>REGIONAL I</v>
      </c>
      <c r="E383" s="222" t="str">
        <f>IFERROR(__xludf.DUMMYFUNCTION("""COMPUTED_VALUE"""),"MEDAN")</f>
        <v>MEDAN</v>
      </c>
      <c r="F383" s="222" t="str">
        <f>IFERROR(__xludf.DUMMYFUNCTION("""COMPUTED_VALUE"""),"BJI")</f>
        <v>BJI</v>
      </c>
      <c r="G383" s="222" t="str">
        <f>IFERROR(__xludf.DUMMYFUNCTION("""COMPUTED_VALUE"""),"SUMBAGUT")</f>
        <v>SUMBAGUT</v>
      </c>
      <c r="H383" s="222" t="str">
        <f>IFERROR(__xludf.DUMMYFUNCTION("""COMPUTED_VALUE"""),"BINJAI")</f>
        <v>BINJAI</v>
      </c>
      <c r="I383" s="222" t="str">
        <f>IFERROR(__xludf.DUMMYFUNCTION("""COMPUTED_VALUE"""),"Batch 2")</f>
        <v>Batch 2</v>
      </c>
      <c r="J383" s="225">
        <f>IFERROR(__xludf.DUMMYFUNCTION("""COMPUTED_VALUE"""),6.0)</f>
        <v>6</v>
      </c>
      <c r="K383" s="224">
        <f>IFERROR(__xludf.DUMMYFUNCTION("""COMPUTED_VALUE"""),48.0)</f>
        <v>48</v>
      </c>
      <c r="L383" s="226">
        <f>IFERROR(__xludf.DUMMYFUNCTION("""COMPUTED_VALUE"""),1310436.0)</f>
        <v>1310436</v>
      </c>
      <c r="M383" s="227">
        <f>IFERROR(__xludf.DUMMYFUNCTION("""COMPUTED_VALUE"""),6.2900901E7)</f>
        <v>62900901</v>
      </c>
      <c r="N383" s="222" t="str">
        <f>IFERROR(__xludf.DUMMYFUNCTION("""COMPUTED_VALUE"""),"PT FIBERHOME TECHNOLOGIES INDONESIA")</f>
        <v>PT FIBERHOME TECHNOLOGIES INDONESIA</v>
      </c>
      <c r="O383" s="222" t="str">
        <f>IFERROR(__xludf.DUMMYFUNCTION("""COMPUTED_VALUE"""),"0. DROP")</f>
        <v>0. DROP</v>
      </c>
      <c r="P383" s="222" t="str">
        <f>IFERROR(__xludf.DUMMYFUNCTION("""COMPUTED_VALUE"""),"0.4 CPP Tinggi Acc ED TIF")</f>
        <v>0.4 CPP Tinggi Acc ED TIF</v>
      </c>
      <c r="Q383" s="222" t="str">
        <f>IFERROR(__xludf.DUMMYFUNCTION("""COMPUTED_VALUE"""),"(07/02) done permit lanjut cek alpro (07/01) on going permit tiang (07/01) Persiapan")</f>
        <v>(07/02) done permit lanjut cek alpro (07/01) on going permit tiang (07/01) Persiapan</v>
      </c>
      <c r="R383" s="228"/>
      <c r="S383" s="11"/>
      <c r="T383" s="11"/>
      <c r="U383" s="11"/>
      <c r="V383" s="229"/>
      <c r="W383" s="229"/>
      <c r="X383" s="229" t="str">
        <f>IFERROR(__xludf.DUMMYFUNCTION("""COMPUTED_VALUE"""),"BELUM GOLIVE")</f>
        <v>BELUM GOLIVE</v>
      </c>
      <c r="Y383" s="229"/>
      <c r="Z383" s="229" t="str">
        <f>IFERROR(__xludf.DUMMYFUNCTION("""COMPUTED_VALUE"""),"#N/A")</f>
        <v>#N/A</v>
      </c>
      <c r="AA383" s="229"/>
      <c r="AB383" s="229"/>
      <c r="AC383" s="229"/>
      <c r="AD383" s="232"/>
      <c r="AE383" s="233"/>
      <c r="AF383" s="54" t="str">
        <f>IFERROR(__xludf.DUMMYFUNCTION("""COMPUTED_VALUE"""),"Draft BA DROP")</f>
        <v>Draft BA DROP</v>
      </c>
      <c r="AG383" s="54"/>
      <c r="AH383" s="54"/>
      <c r="AI383" s="55" t="str">
        <f t="shared" si="51"/>
        <v/>
      </c>
      <c r="AW383" s="234"/>
      <c r="BP383" s="11"/>
      <c r="BQ383" s="11"/>
      <c r="BR383" s="235"/>
      <c r="BV383" s="158"/>
      <c r="BY383" s="158"/>
      <c r="CB383" s="158"/>
    </row>
    <row r="384" ht="18.0" hidden="1" customHeight="1">
      <c r="A384" s="222">
        <f>IFERROR(__xludf.DUMMYFUNCTION("""COMPUTED_VALUE"""),2026.0)</f>
        <v>2026</v>
      </c>
      <c r="B384" s="221">
        <f>IFERROR(__xludf.DUMMYFUNCTION("""COMPUTED_VALUE"""),1.1516472E7)</f>
        <v>11516472</v>
      </c>
      <c r="C384" s="222" t="str">
        <f>IFERROR(__xludf.DUMMYFUNCTION("""COMPUTED_VALUE"""),"ACH PT3 KTN-FK BR.D04 LEMBAH ALAS")</f>
        <v>ACH PT3 KTN-FK BR.D04 LEMBAH ALAS</v>
      </c>
      <c r="D384" s="222" t="str">
        <f>IFERROR(__xludf.DUMMYFUNCTION("""COMPUTED_VALUE"""),"REGIONAL I")</f>
        <v>REGIONAL I</v>
      </c>
      <c r="E384" s="222" t="str">
        <f>IFERROR(__xludf.DUMMYFUNCTION("""COMPUTED_VALUE"""),"ACEH")</f>
        <v>ACEH</v>
      </c>
      <c r="F384" s="222" t="str">
        <f>IFERROR(__xludf.DUMMYFUNCTION("""COMPUTED_VALUE"""),"KTN")</f>
        <v>KTN</v>
      </c>
      <c r="G384" s="222" t="str">
        <f>IFERROR(__xludf.DUMMYFUNCTION("""COMPUTED_VALUE"""),"SUMBAGUT")</f>
        <v>SUMBAGUT</v>
      </c>
      <c r="H384" s="222" t="str">
        <f>IFERROR(__xludf.DUMMYFUNCTION("""COMPUTED_VALUE"""),"BANDA ACEH")</f>
        <v>BANDA ACEH</v>
      </c>
      <c r="I384" s="222" t="str">
        <f>IFERROR(__xludf.DUMMYFUNCTION("""COMPUTED_VALUE"""),"Batch 2")</f>
        <v>Batch 2</v>
      </c>
      <c r="J384" s="225">
        <f>IFERROR(__xludf.DUMMYFUNCTION("""COMPUTED_VALUE"""),4.0)</f>
        <v>4</v>
      </c>
      <c r="K384" s="224">
        <f>IFERROR(__xludf.DUMMYFUNCTION("""COMPUTED_VALUE"""),32.0)</f>
        <v>32</v>
      </c>
      <c r="L384" s="226">
        <f>IFERROR(__xludf.DUMMYFUNCTION("""COMPUTED_VALUE"""),1309762.0)</f>
        <v>1309762</v>
      </c>
      <c r="M384" s="227">
        <f>IFERROR(__xludf.DUMMYFUNCTION("""COMPUTED_VALUE"""),4.1912356E7)</f>
        <v>41912356</v>
      </c>
      <c r="N384" s="222" t="str">
        <f>IFERROR(__xludf.DUMMYFUNCTION("""COMPUTED_VALUE"""),"PT NURISA JAYA PERKASA")</f>
        <v>PT NURISA JAYA PERKASA</v>
      </c>
      <c r="O384" s="222" t="str">
        <f>IFERROR(__xludf.DUMMYFUNCTION("""COMPUTED_VALUE"""),"7. GOLIVE")</f>
        <v>7. GOLIVE</v>
      </c>
      <c r="P384" s="222" t="str">
        <f>IFERROR(__xludf.DUMMYFUNCTION("""COMPUTED_VALUE"""),"7.2 Golive Full / OA / DONE OTB")</f>
        <v>7.2 Golive Full / OA / DONE OTB</v>
      </c>
      <c r="Q384" s="222" t="str">
        <f>IFERROR(__xludf.DUMMYFUNCTION("""COMPUTED_VALUE"""),"(02/02) ABD Mancore (30/01) proses ABD MANCORE (21/01) Penarikan Kabel (16/02) Tanam Tiang (07/01) Persiapan")</f>
        <v>(02/02) ABD Mancore (30/01) proses ABD MANCORE (21/01) Penarikan Kabel (16/02) Tanam Tiang (07/01) Persiapan</v>
      </c>
      <c r="R384" s="228">
        <f>IFERROR(__xludf.DUMMYFUNCTION("""COMPUTED_VALUE"""),46057.0)</f>
        <v>46057</v>
      </c>
      <c r="S384" s="11"/>
      <c r="T384" s="11"/>
      <c r="U384" s="11" t="str">
        <f>IFERROR(__xludf.DUMMYFUNCTION("""COMPUTED_VALUE"""),"W04-981/2025")</f>
        <v>W04-981/2025</v>
      </c>
      <c r="V384" s="229"/>
      <c r="W384" s="229"/>
      <c r="X384" s="229" t="str">
        <f>IFERROR(__xludf.DUMMYFUNCTION("""COMPUTED_VALUE"""),"GOLIVE")</f>
        <v>GOLIVE</v>
      </c>
      <c r="Y384" s="229" t="str">
        <f>IFERROR(__xludf.DUMMYFUNCTION("""COMPUTED_VALUE"""),"DONE")</f>
        <v>DONE</v>
      </c>
      <c r="Z384" s="229" t="str">
        <f>IFERROR(__xludf.DUMMYFUNCTION("""COMPUTED_VALUE"""),"#N/A")</f>
        <v>#N/A</v>
      </c>
      <c r="AA384" s="229">
        <f>IFERROR(__xludf.DUMMYFUNCTION("""COMPUTED_VALUE"""),4.0)</f>
        <v>4</v>
      </c>
      <c r="AB384" s="229"/>
      <c r="AC384" s="229" t="str">
        <f>IFERROR(__xludf.DUMMYFUNCTION("""COMPUTED_VALUE"""),"9057741#9057746")</f>
        <v>9057741#9057746</v>
      </c>
      <c r="AD384" s="232">
        <f>IFERROR(__xludf.DUMMYFUNCTION("""COMPUTED_VALUE"""),32.0)</f>
        <v>32</v>
      </c>
      <c r="AE384" s="233">
        <f>IFERROR(__xludf.DUMMYFUNCTION("""COMPUTED_VALUE"""),46057.0)</f>
        <v>46057</v>
      </c>
      <c r="AF384" s="54"/>
      <c r="AG384" s="54"/>
      <c r="AH384" s="54">
        <v>46057.0</v>
      </c>
      <c r="AI384" s="55">
        <f t="shared" si="51"/>
        <v>0</v>
      </c>
      <c r="AW384" s="234"/>
      <c r="BP384" s="11"/>
      <c r="BQ384" s="11"/>
      <c r="BR384" s="235"/>
      <c r="BV384" s="158"/>
      <c r="BY384" s="158"/>
      <c r="CB384" s="158"/>
    </row>
    <row r="385" ht="18.0" hidden="1" customHeight="1">
      <c r="A385" s="222">
        <f>IFERROR(__xludf.DUMMYFUNCTION("""COMPUTED_VALUE"""),2026.0)</f>
        <v>2026</v>
      </c>
      <c r="B385" s="221">
        <f>IFERROR(__xludf.DUMMYFUNCTION("""COMPUTED_VALUE"""),1.1389518E7)</f>
        <v>11389518</v>
      </c>
      <c r="C385" s="222" t="str">
        <f>IFERROR(__xludf.DUMMYFUNCTION("""COMPUTED_VALUE"""),"MDN PT3 TJR-FQ JL.TENGKU BERGALT")</f>
        <v>MDN PT3 TJR-FQ JL.TENGKU BERGALT</v>
      </c>
      <c r="D385" s="222" t="str">
        <f>IFERROR(__xludf.DUMMYFUNCTION("""COMPUTED_VALUE"""),"REGIONAL I")</f>
        <v>REGIONAL I</v>
      </c>
      <c r="E385" s="222" t="str">
        <f>IFERROR(__xludf.DUMMYFUNCTION("""COMPUTED_VALUE"""),"MEDAN")</f>
        <v>MEDAN</v>
      </c>
      <c r="F385" s="222" t="str">
        <f>IFERROR(__xludf.DUMMYFUNCTION("""COMPUTED_VALUE"""),"TJR")</f>
        <v>TJR</v>
      </c>
      <c r="G385" s="222" t="str">
        <f>IFERROR(__xludf.DUMMYFUNCTION("""COMPUTED_VALUE"""),"SUMBAGUT")</f>
        <v>SUMBAGUT</v>
      </c>
      <c r="H385" s="222" t="str">
        <f>IFERROR(__xludf.DUMMYFUNCTION("""COMPUTED_VALUE"""),"MEDAN")</f>
        <v>MEDAN</v>
      </c>
      <c r="I385" s="222" t="str">
        <f>IFERROR(__xludf.DUMMYFUNCTION("""COMPUTED_VALUE"""),"Batch 2")</f>
        <v>Batch 2</v>
      </c>
      <c r="J385" s="225">
        <f>IFERROR(__xludf.DUMMYFUNCTION("""COMPUTED_VALUE"""),2.0)</f>
        <v>2</v>
      </c>
      <c r="K385" s="224">
        <f>IFERROR(__xludf.DUMMYFUNCTION("""COMPUTED_VALUE"""),16.0)</f>
        <v>16</v>
      </c>
      <c r="L385" s="226">
        <f>IFERROR(__xludf.DUMMYFUNCTION("""COMPUTED_VALUE"""),821741.0)</f>
        <v>821741</v>
      </c>
      <c r="M385" s="227">
        <f>IFERROR(__xludf.DUMMYFUNCTION("""COMPUTED_VALUE"""),1.3147853E7)</f>
        <v>13147853</v>
      </c>
      <c r="N385" s="222" t="str">
        <f>IFERROR(__xludf.DUMMYFUNCTION("""COMPUTED_VALUE"""),"PT MEDCOM SOLUTION")</f>
        <v>PT MEDCOM SOLUTION</v>
      </c>
      <c r="O385" s="222" t="str">
        <f>IFERROR(__xludf.DUMMYFUNCTION("""COMPUTED_VALUE"""),"2. DONE AANWIJZING")</f>
        <v>2. DONE AANWIJZING</v>
      </c>
      <c r="P385" s="222" t="str">
        <f>IFERROR(__xludf.DUMMYFUNCTION("""COMPUTED_VALUE"""),"2.9 Kendala - Distribusi Penuh / Rusak")</f>
        <v>2.9 Kendala - Distribusi Penuh / Rusak</v>
      </c>
      <c r="Q385" s="222" t="str">
        <f>IFERROR(__xludf.DUMMYFUNCTION("""COMPUTED_VALUE"""),"21/04 dist full perlu redisgn
29/01 depedensi drop PT3 TJR-FQ PLATINUM RESIDENCE
(07/01) Persiapan")</f>
        <v>21/04 dist full perlu redisgn
29/01 depedensi drop PT3 TJR-FQ PLATINUM RESIDENCE
(07/01) Persiapan</v>
      </c>
      <c r="R385" s="228"/>
      <c r="S385" s="11"/>
      <c r="T385" s="11"/>
      <c r="U385" s="11"/>
      <c r="V385" s="229"/>
      <c r="W385" s="229"/>
      <c r="X385" s="229" t="str">
        <f>IFERROR(__xludf.DUMMYFUNCTION("""COMPUTED_VALUE"""),"BELUM GOLIVE")</f>
        <v>BELUM GOLIVE</v>
      </c>
      <c r="Y385" s="229" t="str">
        <f>IFERROR(__xludf.DUMMYFUNCTION("""COMPUTED_VALUE"""),"Butuh Big OLT")</f>
        <v>Butuh Big OLT</v>
      </c>
      <c r="Z385" s="229" t="str">
        <f>IFERROR(__xludf.DUMMYFUNCTION("""COMPUTED_VALUE"""),"#N/A")</f>
        <v>#N/A</v>
      </c>
      <c r="AA385" s="229"/>
      <c r="AB385" s="229"/>
      <c r="AC385" s="229"/>
      <c r="AD385" s="232"/>
      <c r="AE385" s="233"/>
      <c r="AF385" s="54"/>
      <c r="AG385" s="54"/>
      <c r="AH385" s="54"/>
      <c r="AI385" s="55" t="str">
        <f t="shared" si="51"/>
        <v/>
      </c>
      <c r="AW385" s="234"/>
      <c r="BP385" s="11"/>
      <c r="BQ385" s="11"/>
      <c r="BR385" s="235"/>
      <c r="BV385" s="158"/>
      <c r="BY385" s="158"/>
      <c r="CB385" s="158"/>
    </row>
    <row r="386" ht="18.0" hidden="1" customHeight="1">
      <c r="A386" s="222">
        <f>IFERROR(__xludf.DUMMYFUNCTION("""COMPUTED_VALUE"""),2026.0)</f>
        <v>2026</v>
      </c>
      <c r="B386" s="221">
        <f>IFERROR(__xludf.DUMMYFUNCTION("""COMPUTED_VALUE"""),1.2422592E7)</f>
        <v>12422592</v>
      </c>
      <c r="C386" s="222" t="str">
        <f>IFERROR(__xludf.DUMMYFUNCTION("""COMPUTED_VALUE"""),"SMU ODC-SRA-FAH D04 PAYALOMBANG DS 2")</f>
        <v>SMU ODC-SRA-FAH D04 PAYALOMBANG DS 2</v>
      </c>
      <c r="D386" s="222" t="str">
        <f>IFERROR(__xludf.DUMMYFUNCTION("""COMPUTED_VALUE"""),"REGIONAL I")</f>
        <v>REGIONAL I</v>
      </c>
      <c r="E386" s="222" t="str">
        <f>IFERROR(__xludf.DUMMYFUNCTION("""COMPUTED_VALUE"""),"SUMUT")</f>
        <v>SUMUT</v>
      </c>
      <c r="F386" s="222" t="str">
        <f>IFERROR(__xludf.DUMMYFUNCTION("""COMPUTED_VALUE"""),"SRA")</f>
        <v>SRA</v>
      </c>
      <c r="G386" s="222" t="str">
        <f>IFERROR(__xludf.DUMMYFUNCTION("""COMPUTED_VALUE"""),"SUMBAGUT")</f>
        <v>SUMBAGUT</v>
      </c>
      <c r="H386" s="222" t="str">
        <f>IFERROR(__xludf.DUMMYFUNCTION("""COMPUTED_VALUE"""),"PEMATANG SIANTAR")</f>
        <v>PEMATANG SIANTAR</v>
      </c>
      <c r="I386" s="222" t="str">
        <f>IFERROR(__xludf.DUMMYFUNCTION("""COMPUTED_VALUE"""),"Batch 2")</f>
        <v>Batch 2</v>
      </c>
      <c r="J386" s="225">
        <f>IFERROR(__xludf.DUMMYFUNCTION("""COMPUTED_VALUE"""),22.0)</f>
        <v>22</v>
      </c>
      <c r="K386" s="224">
        <f>IFERROR(__xludf.DUMMYFUNCTION("""COMPUTED_VALUE"""),176.0)</f>
        <v>176</v>
      </c>
      <c r="L386" s="226">
        <f>IFERROR(__xludf.DUMMYFUNCTION("""COMPUTED_VALUE"""),1308730.0)</f>
        <v>1308730</v>
      </c>
      <c r="M386" s="227">
        <f>IFERROR(__xludf.DUMMYFUNCTION("""COMPUTED_VALUE"""),2.30336385E8)</f>
        <v>230336385</v>
      </c>
      <c r="N386" s="222" t="str">
        <f>IFERROR(__xludf.DUMMYFUNCTION("""COMPUTED_VALUE"""),"PT GARINDO TECHNO MANDIRI")</f>
        <v>PT GARINDO TECHNO MANDIRI</v>
      </c>
      <c r="O386" s="222" t="str">
        <f>IFERROR(__xludf.DUMMYFUNCTION("""COMPUTED_VALUE"""),"7. GOLIVE")</f>
        <v>7. GOLIVE</v>
      </c>
      <c r="P386" s="222" t="str">
        <f>IFERROR(__xludf.DUMMYFUNCTION("""COMPUTED_VALUE"""),"7.1 Golive Parsial")</f>
        <v>7.1 Golive Parsial</v>
      </c>
      <c r="Q386" s="222" t="str">
        <f>IFERROR(__xludf.DUMMYFUNCTION("""COMPUTED_VALUE"""),"24/3 hari ni team kelokasi valins 12 odp sisa 10 odp butuh repair feder, 23/4 repair 3 port feder selesai, team masih lanjut untuk repair sisa feeder untuk kebutuhan 22 odp, progres lapangan  22 odp selesia, ku 12 (387 selesai, ku 24 (6240 selesai, tiang "&amp;"15 selesai,  22/4 team masih lanjut repair feeder exis,progres lapangan  22 odp selesia, ku 12 (387 selesai, ku 24 (6240 selesai, tiang 15 selesai, 21/4 team masih lanjut repair feeder exis,progres lapangan  22 odp selesia, ku 12 (387 selesai, ku 24 (6240"&amp;" selesai, tiang 15 selesai, 20/4 team masih lanjut repair feeder exis,progres lapangan  22 odp selesia, ku 12 (387 selesai, ku 24 (6240 selesai, tiang 15 selesai, 14/4 prepair teamuntuk lanjut repair  feeder exis,progres lapangan  22 odp selesia, ku 12 (3"&amp;"87 selesai, ku 24 (6240 selesai, tiang 15 selesai, 13/4 prepair teamuntuk lanjut repair  feeder exis,progres lapangan  22 odp selesia, ku 12 (387 selesai, ku 24 (6240 selesai, tiang 15 selesai, 9/4 prepair teamuntuk lanjut repair  feeder exis,progres lapa"&amp;"ngan  22 odp selesia, ku 12 (387 selesai, ku 24 (6240 selesai, tiang 15 selesai, 8/4 prepair teamuntuk lanjut repair  feeder exis,progres lapangan  22 odp selesia, ku 12 (387 selesai, ku 24 (6240 selesai, tiang 15 selesai, 6/4 prepair teamuntuk lanjut rep"&amp;"air  feeder exis,progres lapangan  22 odp selesia, ku 12 (387 selesai, ku 24 (6240 selesai, tiang 15 selesai, 5/4 prepair teamuntuk lanjut repair  feeder exis,progres lapangan  22 odp selesia, ku 12 (387 selesai, ku 24 (6240 selesai, tiang 15 selesai, 1/4"&amp;" prepair teamuntuk lanjut repair  feeder exis,progres lapangan  22 odp selesia, ku 12 (387 selesai, ku 24 (6240 selesai, tiang 15 selesai, 31/3 prepair teamuntuk lanjut repair  feeder exis,progres lapangan  22 odp selesia, ku 12 (387 selesai, ku 24 (6240 "&amp;"selesai, tiang 15 selesai, 30/3 prepair teamuntuk lanjut repair  feeder exis,progres lapangan  22 odp selesia, ku 12 (387 selesai, ku 24 (6240 selesai, tiang 15 selesai, 27/3 prepair teamuntuk lanjut repair  feeder exis,progres lapangan  22 odp selesia, k"&amp;"u 12 (387 selesai, ku 24 (6240 selesai, tiang 15 selesai,  26/3 prepair teamuntuk lanjut repair  feeder exis,progres lapangan  22 odp selesia, ku 12 (387 selesai, ku 24 (6240 selesai, tiang 15 selesai, 22/3 prepair teamuntuk lanjut repair  feeder exis,pro"&amp;"gres lapangan  22 odp selesia, ku 12 (387 selesai, ku 24 (6240 selesai, tiang 15 selesai,   18/3 plan repair  feeder setelah lebaran, 22 odp selesia, ku 12 (387 selesai, ku 24 (6240 selesai, tiang 15 selesai,  16/3 plan repair  feeder setelah lebaran, 22 "&amp;"odp selesia, ku 12 (387 selesai, ku 24 (6240 selesai, tiang 15 selesai,  13/3 prepair team untuk  lanjut repair  feeder , 22 odp selesia, ku 12 (387 selesai, ku 24 (6240 selesai, tiang 15 selesai,   11/3 prepair team untuk  lanjut repair  feeder , 22 odp "&amp;"selesia, ku 12 (387 selesai, ku 24 (6240 selesai, tiang 15 selesai,   10/3 prepair team untuk  lanjut repair  feeder , 22 odp selesia, ku 12 (387 selesai, ku 24 (6240 selesai, tiang 15 selesai,  6/3 prepair team untuk  lanjut repair  feeder , 22 odp seles"&amp;"ia, ku 12 (387 selesai, ku 24 (6240 selesai, tiang 15 selesai, 4/3 terminasi 21 odp, sisa 1 odp lanjut besok,  3/3 proses terminasi 22 odp, 2/3 tean hari ini progres terminasi odp terminasi 22 odp, ku 12 (387 selesai, ku 24 (6240 selesai, tiang 15 selesai"&amp;",  paralel repair qe , 27/2 team serial di lop tbt faz, sisa instal dan terminasi 22 odp, ku 12 (387 selesai, ku 24 (6240 selesai, tiang 15 selesai,  25/2 team serial di lop tbt faz, sisa instal dan terminasi 22 odp, ku 12 (387 selesai, ku 24 (6240 selesa"&amp;"i, tiang 15 selesai, 23/2 team serial di lop pms faz, sisa instal dan terminasi 22 odp, ku 12 (387 selesai, ku 24 (6240 selesai, tiang 15 selesai,23/2 team serial di lop pms faz, sisa instal dan terminasi 22 odp, ku 12 (387 selesai, ku 24 (6240 selesai, t"&amp;"iang 15 selesai,20/2  team serial di lop tbt faz, sisa instal dan terminasi 22 odp, ku 12 (387 selesai, ku 24 (6240 selesai, tiang 15 selesai, 19/2 sisa terminasi 22 odp, ku 12 (387 selesai, ku 24 (6240 selesai, tiang 15 selesai, 18/2 sisa terminasi 22 od"&amp;"p, ku 12 (387 selesai, ku 24 (6240 selesai, tiang 15 selesai, 16/2 proses tanam tiang, 12/2 pengambilan material, 11/2 prepair team pengambilan matrial ke gudang est besok 12 feb, 10/2 prepair team untuk pengurusan ijin ke desa, 9/2 prepair team untuk pen"&amp;"gurusan ijin ke desa, 6/2 prepair team untuk pengurusan ijin ke desa, 5/2 prepair team untuk pengurusan ijin ke desa,  4/2 prepair team untuk pengurusan ijin ke desa,  3/2 prepair team untuk pengurusan ijin ke desa, 2/2 prepair team untuk pengurusan ijin "&amp;"ke desa, 1/2 prepair team untuk pengurusan ijin ke desa, 30/1 prepair team untuk pengurusan ijin ke desa, 28/1 plan besok team kelokasi untuk progres perizinan ke desa, 27/1 plan besok 28/1 team kelokasi untuk progres perizinan ke desa, 26/1 lanjut periji"&amp;"nan desa, 23/1 proses boq kml hasil survey incloude kebutuhan qe ( feeder cut di 3,2 dari odc),  22/1 proses boq kml hasil survey incloude kebutuhan qe ( feeder cut di 3,2 dari odc), 21/1 proses boq kml hasil survey incloude kebutuhan qe ( feeder cut di 3"&amp;",2 dari odc),   20/1 proses boq kml hasil survey incloude kebutuhan qe ( feeder cut di 3,2 dari odc),  19/1 proses boq kml hasil survey incloude kebutuhan qe ( feeder cut di 3,2 dari odc), 15/1 plan survey tanggal 16/1, 14/01 plan survey tanggal 15/01, 13"&amp;"/01 plan survey tanggal 15/01, (07/01) Persiapan")</f>
        <v>24/3 hari ni team kelokasi valins 12 odp sisa 10 odp butuh repair feder, 23/4 repair 3 port feder selesai, team masih lanjut untuk repair sisa feeder untuk kebutuhan 22 odp, progres lapangan  22 odp selesia, ku 12 (387 selesai, ku 24 (6240 selesai, tiang 15 selesai,  22/4 team masih lanjut repair feeder exis,progres lapangan  22 odp selesia, ku 12 (387 selesai, ku 24 (6240 selesai, tiang 15 selesai, 21/4 team masih lanjut repair feeder exis,progres lapangan  22 odp selesia, ku 12 (387 selesai, ku 24 (6240 selesai, tiang 15 selesai, 20/4 team masih lanjut repair feeder exis,progres lapangan  22 odp selesia, ku 12 (387 selesai, ku 24 (6240 selesai, tiang 15 selesai, 14/4 prepair teamuntuk lanjut repair  feeder exis,progres lapangan  22 odp selesia, ku 12 (387 selesai, ku 24 (6240 selesai, tiang 15 selesai, 13/4 prepair teamuntuk lanjut repair  feeder exis,progres lapangan  22 odp selesia, ku 12 (387 selesai, ku 24 (6240 selesai, tiang 15 selesai, 9/4 prepair teamuntuk lanjut repair  feeder exis,progres lapangan  22 odp selesia, ku 12 (387 selesai, ku 24 (6240 selesai, tiang 15 selesai, 8/4 prepair teamuntuk lanjut repair  feeder exis,progres lapangan  22 odp selesia, ku 12 (387 selesai, ku 24 (6240 selesai, tiang 15 selesai, 6/4 prepair teamuntuk lanjut repair  feeder exis,progres lapangan  22 odp selesia, ku 12 (387 selesai, ku 24 (6240 selesai, tiang 15 selesai, 5/4 prepair teamuntuk lanjut repair  feeder exis,progres lapangan  22 odp selesia, ku 12 (387 selesai, ku 24 (6240 selesai, tiang 15 selesai, 1/4 prepair teamuntuk lanjut repair  feeder exis,progres lapangan  22 odp selesia, ku 12 (387 selesai, ku 24 (6240 selesai, tiang 15 selesai, 31/3 prepair teamuntuk lanjut repair  feeder exis,progres lapangan  22 odp selesia, ku 12 (387 selesai, ku 24 (6240 selesai, tiang 15 selesai, 30/3 prepair teamuntuk lanjut repair  feeder exis,progres lapangan  22 odp selesia, ku 12 (387 selesai, ku 24 (6240 selesai, tiang 15 selesai, 27/3 prepair teamuntuk lanjut repair  feeder exis,progres lapangan  22 odp selesia, ku 12 (387 selesai, ku 24 (6240 selesai, tiang 15 selesai,  26/3 prepair teamuntuk lanjut repair  feeder exis,progres lapangan  22 odp selesia, ku 12 (387 selesai, ku 24 (6240 selesai, tiang 15 selesai, 22/3 prepair teamuntuk lanjut repair  feeder exis,progres lapangan  22 odp selesia, ku 12 (387 selesai, ku 24 (6240 selesai, tiang 15 selesai,   18/3 plan repair  feeder setelah lebaran, 22 odp selesia, ku 12 (387 selesai, ku 24 (6240 selesai, tiang 15 selesai,  16/3 plan repair  feeder setelah lebaran, 22 odp selesia, ku 12 (387 selesai, ku 24 (6240 selesai, tiang 15 selesai,  13/3 prepair team untuk  lanjut repair  feeder , 22 odp selesia, ku 12 (387 selesai, ku 24 (6240 selesai, tiang 15 selesai,   11/3 prepair team untuk  lanjut repair  feeder , 22 odp selesia, ku 12 (387 selesai, ku 24 (6240 selesai, tiang 15 selesai,   10/3 prepair team untuk  lanjut repair  feeder , 22 odp selesia, ku 12 (387 selesai, ku 24 (6240 selesai, tiang 15 selesai,  6/3 prepair team untuk  lanjut repair  feeder , 22 odp selesia, ku 12 (387 selesai, ku 24 (6240 selesai, tiang 15 selesai, 4/3 terminasi 21 odp, sisa 1 odp lanjut besok,  3/3 proses terminasi 22 odp, 2/3 tean hari ini progres terminasi odp terminasi 22 odp, ku 12 (387 selesai, ku 24 (6240 selesai, tiang 15 selesai,  paralel repair qe , 27/2 team serial di lop tbt faz, sisa instal dan terminasi 22 odp, ku 12 (387 selesai, ku 24 (6240 selesai, tiang 15 selesai,  25/2 team serial di lop tbt faz, sisa instal dan terminasi 22 odp, ku 12 (387 selesai, ku 24 (6240 selesai, tiang 15 selesai, 23/2 team serial di lop pms faz, sisa instal dan terminasi 22 odp, ku 12 (387 selesai, ku 24 (6240 selesai, tiang 15 selesai,23/2 team serial di lop pms faz, sisa instal dan terminasi 22 odp, ku 12 (387 selesai, ku 24 (6240 selesai, tiang 15 selesai,20/2  team serial di lop tbt faz, sisa instal dan terminasi 22 odp, ku 12 (387 selesai, ku 24 (6240 selesai, tiang 15 selesai, 19/2 sisa terminasi 22 odp, ku 12 (387 selesai, ku 24 (6240 selesai, tiang 15 selesai, 18/2 sisa terminasi 22 odp, ku 12 (387 selesai, ku 24 (6240 selesai, tiang 15 selesai, 16/2 proses tanam tiang, 12/2 pengambilan material, 11/2 prepair team pengambilan matrial ke gudang est besok 12 feb, 10/2 prepair team untuk pengurusan ijin ke desa, 9/2 prepair team untuk pengurusan ijin ke desa, 6/2 prepair team untuk pengurusan ijin ke desa, 5/2 prepair team untuk pengurusan ijin ke desa,  4/2 prepair team untuk pengurusan ijin ke desa,  3/2 prepair team untuk pengurusan ijin ke desa, 2/2 prepair team untuk pengurusan ijin ke desa, 1/2 prepair team untuk pengurusan ijin ke desa, 30/1 prepair team untuk pengurusan ijin ke desa, 28/1 plan besok team kelokasi untuk progres perizinan ke desa, 27/1 plan besok 28/1 team kelokasi untuk progres perizinan ke desa, 26/1 lanjut perijinan desa, 23/1 proses boq kml hasil survey incloude kebutuhan qe ( feeder cut di 3,2 dari odc),  22/1 proses boq kml hasil survey incloude kebutuhan qe ( feeder cut di 3,2 dari odc), 21/1 proses boq kml hasil survey incloude kebutuhan qe ( feeder cut di 3,2 dari odc),   20/1 proses boq kml hasil survey incloude kebutuhan qe ( feeder cut di 3,2 dari odc),  19/1 proses boq kml hasil survey incloude kebutuhan qe ( feeder cut di 3,2 dari odc), 15/1 plan survey tanggal 16/1, 14/01 plan survey tanggal 15/01, 13/01 plan survey tanggal 15/01, (07/01) Persiapan</v>
      </c>
      <c r="R386" s="228">
        <f>IFERROR(__xludf.DUMMYFUNCTION("""COMPUTED_VALUE"""),46136.0)</f>
        <v>46136</v>
      </c>
      <c r="S386" s="11" t="str">
        <f>IFERROR(__xludf.DUMMYFUNCTION("""COMPUTED_VALUE"""),"APR")</f>
        <v>APR</v>
      </c>
      <c r="T386" s="73"/>
      <c r="U386" s="11" t="str">
        <f>IFERROR(__xludf.DUMMYFUNCTION("""COMPUTED_VALUE"""),"TIF-1409/2026")</f>
        <v>TIF-1409/2026</v>
      </c>
      <c r="V386" s="229"/>
      <c r="W386" s="229" t="str">
        <f>IFERROR(__xludf.DUMMYFUNCTION("""COMPUTED_VALUE"""),"#N/A")</f>
        <v>#N/A</v>
      </c>
      <c r="X386" s="229" t="str">
        <f>IFERROR(__xludf.DUMMYFUNCTION("""COMPUTED_VALUE"""),"GOLIVE")</f>
        <v>GOLIVE</v>
      </c>
      <c r="Y386" s="229" t="str">
        <f>IFERROR(__xludf.DUMMYFUNCTION("""COMPUTED_VALUE"""),"Golive Parsial")</f>
        <v>Golive Parsial</v>
      </c>
      <c r="Z386" s="229" t="str">
        <f>IFERROR(__xludf.DUMMYFUNCTION("""COMPUTED_VALUE"""),"#N/A")</f>
        <v>#N/A</v>
      </c>
      <c r="AA386" s="229">
        <f>IFERROR(__xludf.DUMMYFUNCTION("""COMPUTED_VALUE"""),12.0)</f>
        <v>12</v>
      </c>
      <c r="AB386" s="229"/>
      <c r="AC386" s="229" t="str">
        <f>IFERROR(__xludf.DUMMYFUNCTION("""COMPUTED_VALUE"""),"9311531#9311536")</f>
        <v>9311531#9311536</v>
      </c>
      <c r="AD386" s="232">
        <f>IFERROR(__xludf.DUMMYFUNCTION("""COMPUTED_VALUE"""),96.0)</f>
        <v>96</v>
      </c>
      <c r="AE386" s="233">
        <f>IFERROR(__xludf.DUMMYFUNCTION("""COMPUTED_VALUE"""),46136.0)</f>
        <v>46136</v>
      </c>
      <c r="AF386" s="54"/>
      <c r="AG386" s="54"/>
      <c r="AH386" s="54">
        <v>46141.0</v>
      </c>
      <c r="AI386" s="55">
        <f t="shared" si="51"/>
        <v>0</v>
      </c>
      <c r="AW386" s="234"/>
      <c r="BP386" s="11"/>
      <c r="BQ386" s="11"/>
      <c r="BR386" s="235"/>
      <c r="BV386" s="158"/>
      <c r="BY386" s="158"/>
      <c r="CB386" s="158"/>
    </row>
    <row r="387" ht="18.0" hidden="1" customHeight="1">
      <c r="A387" s="222">
        <f>IFERROR(__xludf.DUMMYFUNCTION("""COMPUTED_VALUE"""),2026.0)</f>
        <v>2026</v>
      </c>
      <c r="B387" s="221">
        <f>IFERROR(__xludf.DUMMYFUNCTION("""COMPUTED_VALUE"""),1.1326029E7)</f>
        <v>11326029</v>
      </c>
      <c r="C387" s="222" t="str">
        <f>IFERROR(__xludf.DUMMYFUNCTION("""COMPUTED_VALUE"""),"MDN PT3 TMU-FB ODP PRIORITAS")</f>
        <v>MDN PT3 TMU-FB ODP PRIORITAS</v>
      </c>
      <c r="D387" s="222" t="str">
        <f>IFERROR(__xludf.DUMMYFUNCTION("""COMPUTED_VALUE"""),"REGIONAL I")</f>
        <v>REGIONAL I</v>
      </c>
      <c r="E387" s="222" t="str">
        <f>IFERROR(__xludf.DUMMYFUNCTION("""COMPUTED_VALUE"""),"MEDAN")</f>
        <v>MEDAN</v>
      </c>
      <c r="F387" s="222" t="str">
        <f>IFERROR(__xludf.DUMMYFUNCTION("""COMPUTED_VALUE"""),"TMU")</f>
        <v>TMU</v>
      </c>
      <c r="G387" s="222" t="str">
        <f>IFERROR(__xludf.DUMMYFUNCTION("""COMPUTED_VALUE"""),"SUMBAGUT")</f>
        <v>SUMBAGUT</v>
      </c>
      <c r="H387" s="222" t="str">
        <f>IFERROR(__xludf.DUMMYFUNCTION("""COMPUTED_VALUE"""),"MEDAN")</f>
        <v>MEDAN</v>
      </c>
      <c r="I387" s="222" t="str">
        <f>IFERROR(__xludf.DUMMYFUNCTION("""COMPUTED_VALUE"""),"Batch 2")</f>
        <v>Batch 2</v>
      </c>
      <c r="J387" s="225">
        <f>IFERROR(__xludf.DUMMYFUNCTION("""COMPUTED_VALUE"""),22.0)</f>
        <v>22</v>
      </c>
      <c r="K387" s="224">
        <f>IFERROR(__xludf.DUMMYFUNCTION("""COMPUTED_VALUE"""),176.0)</f>
        <v>176</v>
      </c>
      <c r="L387" s="226">
        <f>IFERROR(__xludf.DUMMYFUNCTION("""COMPUTED_VALUE"""),648156.0)</f>
        <v>648156</v>
      </c>
      <c r="M387" s="227">
        <f>IFERROR(__xludf.DUMMYFUNCTION("""COMPUTED_VALUE"""),1.14075377E8)</f>
        <v>114075377</v>
      </c>
      <c r="N387" s="222" t="str">
        <f>IFERROR(__xludf.DUMMYFUNCTION("""COMPUTED_VALUE"""),"PT GLOBAL KARYA WANDA")</f>
        <v>PT GLOBAL KARYA WANDA</v>
      </c>
      <c r="O387" s="222" t="str">
        <f>IFERROR(__xludf.DUMMYFUNCTION("""COMPUTED_VALUE"""),"0. DROP")</f>
        <v>0. DROP</v>
      </c>
      <c r="P387" s="222" t="str">
        <f>IFERROR(__xludf.DUMMYFUNCTION("""COMPUTED_VALUE"""),"0.3 Feeder Full")</f>
        <v>0.3 Feeder Full</v>
      </c>
      <c r="Q387"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387" s="228"/>
      <c r="S387" s="11"/>
      <c r="T387" s="11"/>
      <c r="U387" s="11"/>
      <c r="V387" s="229"/>
      <c r="W387" s="229"/>
      <c r="X387" s="229" t="str">
        <f>IFERROR(__xludf.DUMMYFUNCTION("""COMPUTED_VALUE"""),"BELUM GOLIVE")</f>
        <v>BELUM GOLIVE</v>
      </c>
      <c r="Y387" s="229"/>
      <c r="Z387" s="229" t="str">
        <f>IFERROR(__xludf.DUMMYFUNCTION("""COMPUTED_VALUE"""),"#N/A")</f>
        <v>#N/A</v>
      </c>
      <c r="AA387" s="229"/>
      <c r="AB387" s="229"/>
      <c r="AC387" s="229"/>
      <c r="AD387" s="232"/>
      <c r="AE387" s="233"/>
      <c r="AF387" s="54"/>
      <c r="AG387" s="54"/>
      <c r="AH387" s="54"/>
      <c r="AI387" s="55" t="str">
        <f t="shared" si="51"/>
        <v/>
      </c>
      <c r="AW387" s="234"/>
      <c r="BP387" s="11"/>
      <c r="BQ387" s="11"/>
      <c r="BR387" s="235"/>
      <c r="BV387" s="158"/>
      <c r="BY387" s="158"/>
      <c r="CB387" s="158"/>
    </row>
    <row r="388" ht="18.0" customHeight="1">
      <c r="A388" s="222">
        <f>IFERROR(__xludf.DUMMYFUNCTION("""COMPUTED_VALUE"""),2026.0)</f>
        <v>2026</v>
      </c>
      <c r="B388" s="221">
        <f>IFERROR(__xludf.DUMMYFUNCTION("""COMPUTED_VALUE"""),1.1224891E7)</f>
        <v>11224891</v>
      </c>
      <c r="C388" s="222" t="str">
        <f>IFERROR(__xludf.DUMMYFUNCTION("""COMPUTED_VALUE"""),"SMB P1I2 Alana Residence 4")</f>
        <v>SMB P1I2 Alana Residence 4</v>
      </c>
      <c r="D388" s="222" t="str">
        <f>IFERROR(__xludf.DUMMYFUNCTION("""COMPUTED_VALUE"""),"REGIONAL I")</f>
        <v>REGIONAL I</v>
      </c>
      <c r="E388" s="222" t="str">
        <f>IFERROR(__xludf.DUMMYFUNCTION("""COMPUTED_VALUE"""),"SUMBAR")</f>
        <v>SUMBAR</v>
      </c>
      <c r="F388" s="222" t="str">
        <f>IFERROR(__xludf.DUMMYFUNCTION("""COMPUTED_VALUE"""),"PRS")</f>
        <v>PRS</v>
      </c>
      <c r="G388" s="222" t="str">
        <f>IFERROR(__xludf.DUMMYFUNCTION("""COMPUTED_VALUE"""),"SUMBAGTENG")</f>
        <v>SUMBAGTENG</v>
      </c>
      <c r="H388" s="222" t="str">
        <f>IFERROR(__xludf.DUMMYFUNCTION("""COMPUTED_VALUE"""),"BUKIT TINGGI")</f>
        <v>BUKIT TINGGI</v>
      </c>
      <c r="I388" s="222" t="str">
        <f>IFERROR(__xludf.DUMMYFUNCTION("""COMPUTED_VALUE"""),"Batch 2")</f>
        <v>Batch 2</v>
      </c>
      <c r="J388" s="225">
        <f>IFERROR(__xludf.DUMMYFUNCTION("""COMPUTED_VALUE"""),15.0)</f>
        <v>15</v>
      </c>
      <c r="K388" s="224">
        <f>IFERROR(__xludf.DUMMYFUNCTION("""COMPUTED_VALUE"""),120.0)</f>
        <v>120</v>
      </c>
      <c r="L388" s="226">
        <f>IFERROR(__xludf.DUMMYFUNCTION("""COMPUTED_VALUE"""),1307567.0)</f>
        <v>1307567</v>
      </c>
      <c r="M388" s="227">
        <f>IFERROR(__xludf.DUMMYFUNCTION("""COMPUTED_VALUE"""),1.56907989E8)</f>
        <v>156907989</v>
      </c>
      <c r="N388" s="222" t="str">
        <f>IFERROR(__xludf.DUMMYFUNCTION("""COMPUTED_VALUE"""),"PT PUTRI JAYA AKSES")</f>
        <v>PT PUTRI JAYA AKSES</v>
      </c>
      <c r="O388" s="222" t="str">
        <f>IFERROR(__xludf.DUMMYFUNCTION("""COMPUTED_VALUE"""),"0. DROP")</f>
        <v>0. DROP</v>
      </c>
      <c r="P388" s="222" t="str">
        <f>IFERROR(__xludf.DUMMYFUNCTION("""COMPUTED_VALUE"""),"0.1 Double Order")</f>
        <v>0.1 Double Order</v>
      </c>
      <c r="Q388" s="222" t="str">
        <f>IFERROR(__xludf.DUMMYFUNCTION("""COMPUTED_VALUE"""),"(04/03) doubel order SMB P2I2 Alana Residence 4-3LOP (02/03) proses aanwijziing (26/01) DROP, permintaan tsel (tidak potensial) ")</f>
        <v>(04/03) doubel order SMB P2I2 Alana Residence 4-3LOP (02/03) proses aanwijziing (26/01) DROP, permintaan tsel (tidak potensial) </v>
      </c>
      <c r="R388" s="228"/>
      <c r="S388" s="11"/>
      <c r="T388" s="11"/>
      <c r="U388" s="11"/>
      <c r="V388" s="229"/>
      <c r="W388" s="229"/>
      <c r="X388" s="229" t="str">
        <f>IFERROR(__xludf.DUMMYFUNCTION("""COMPUTED_VALUE"""),"BELUM GOLIVE")</f>
        <v>BELUM GOLIVE</v>
      </c>
      <c r="Y388" s="229"/>
      <c r="Z388" s="229" t="str">
        <f>IFERROR(__xludf.DUMMYFUNCTION("""COMPUTED_VALUE"""),"#N/A")</f>
        <v>#N/A</v>
      </c>
      <c r="AA388" s="229"/>
      <c r="AB388" s="229"/>
      <c r="AC388" s="229"/>
      <c r="AD388" s="232"/>
      <c r="AE388" s="233"/>
      <c r="AF388" s="54"/>
      <c r="AG388" s="54"/>
      <c r="AH388" s="54"/>
      <c r="AI388" s="55" t="str">
        <f t="shared" si="51"/>
        <v/>
      </c>
      <c r="AW388" s="234"/>
      <c r="BP388" s="11"/>
      <c r="BQ388" s="11"/>
      <c r="BR388" s="235"/>
      <c r="BV388" s="158"/>
      <c r="BY388" s="158"/>
      <c r="CB388" s="158"/>
    </row>
    <row r="389" ht="18.0" hidden="1" customHeight="1">
      <c r="A389" s="222">
        <f>IFERROR(__xludf.DUMMYFUNCTION("""COMPUTED_VALUE"""),2026.0)</f>
        <v>2026</v>
      </c>
      <c r="B389" s="221">
        <f>IFERROR(__xludf.DUMMYFUNCTION("""COMPUTED_VALUE"""),1.1188686E7)</f>
        <v>11188686</v>
      </c>
      <c r="C389" s="222" t="str">
        <f>IFERROR(__xludf.DUMMYFUNCTION("""COMPUTED_VALUE"""),"MDN PT3 CTD-FCB JL.SEI MUSI SUNGGAL")</f>
        <v>MDN PT3 CTD-FCB JL.SEI MUSI SUNGGAL</v>
      </c>
      <c r="D389" s="222" t="str">
        <f>IFERROR(__xludf.DUMMYFUNCTION("""COMPUTED_VALUE"""),"REGIONAL I")</f>
        <v>REGIONAL I</v>
      </c>
      <c r="E389" s="222" t="str">
        <f>IFERROR(__xludf.DUMMYFUNCTION("""COMPUTED_VALUE"""),"MEDAN")</f>
        <v>MEDAN</v>
      </c>
      <c r="F389" s="222" t="str">
        <f>IFERROR(__xludf.DUMMYFUNCTION("""COMPUTED_VALUE"""),"CTD")</f>
        <v>CTD</v>
      </c>
      <c r="G389" s="222" t="str">
        <f>IFERROR(__xludf.DUMMYFUNCTION("""COMPUTED_VALUE"""),"SUMBAGUT")</f>
        <v>SUMBAGUT</v>
      </c>
      <c r="H389" s="222" t="str">
        <f>IFERROR(__xludf.DUMMYFUNCTION("""COMPUTED_VALUE"""),"MEDAN")</f>
        <v>MEDAN</v>
      </c>
      <c r="I389" s="222" t="str">
        <f>IFERROR(__xludf.DUMMYFUNCTION("""COMPUTED_VALUE"""),"Batch 2")</f>
        <v>Batch 2</v>
      </c>
      <c r="J389" s="225">
        <f>IFERROR(__xludf.DUMMYFUNCTION("""COMPUTED_VALUE"""),3.0)</f>
        <v>3</v>
      </c>
      <c r="K389" s="224">
        <f>IFERROR(__xludf.DUMMYFUNCTION("""COMPUTED_VALUE"""),24.0)</f>
        <v>24</v>
      </c>
      <c r="L389" s="226">
        <f>IFERROR(__xludf.DUMMYFUNCTION("""COMPUTED_VALUE"""),1307144.0)</f>
        <v>1307144</v>
      </c>
      <c r="M389" s="227">
        <f>IFERROR(__xludf.DUMMYFUNCTION("""COMPUTED_VALUE"""),3.1371437E7)</f>
        <v>31371437</v>
      </c>
      <c r="N389" s="222" t="str">
        <f>IFERROR(__xludf.DUMMYFUNCTION("""COMPUTED_VALUE"""),"PT GLOBAL KARYA WANDA")</f>
        <v>PT GLOBAL KARYA WANDA</v>
      </c>
      <c r="O389" s="222" t="str">
        <f>IFERROR(__xludf.DUMMYFUNCTION("""COMPUTED_VALUE"""),"0. DROP")</f>
        <v>0. DROP</v>
      </c>
      <c r="P389" s="222" t="str">
        <f>IFERROR(__xludf.DUMMYFUNCTION("""COMPUTED_VALUE"""),"0.4 CPP Tinggi Acc ED TIF")</f>
        <v>0.4 CPP Tinggi Acc ED TIF</v>
      </c>
      <c r="Q389" s="222" t="str">
        <f>IFERROR(__xludf.DUMMYFUNCTION("""COMPUTED_VALUE"""),"21/02 Feeder REDAMAN TINGGI 19/02 Done Order")</f>
        <v>21/02 Feeder REDAMAN TINGGI 19/02 Done Order</v>
      </c>
      <c r="R389" s="228"/>
      <c r="S389" s="11"/>
      <c r="T389" s="11"/>
      <c r="U389" s="11"/>
      <c r="V389" s="229"/>
      <c r="W389" s="229"/>
      <c r="X389" s="229" t="str">
        <f>IFERROR(__xludf.DUMMYFUNCTION("""COMPUTED_VALUE"""),"BELUM GOLIVE")</f>
        <v>BELUM GOLIVE</v>
      </c>
      <c r="Y389" s="229"/>
      <c r="Z389" s="229" t="str">
        <f>IFERROR(__xludf.DUMMYFUNCTION("""COMPUTED_VALUE"""),"#N/A")</f>
        <v>#N/A</v>
      </c>
      <c r="AA389" s="229"/>
      <c r="AB389" s="229"/>
      <c r="AC389" s="229"/>
      <c r="AD389" s="232"/>
      <c r="AE389" s="233"/>
      <c r="AF389" s="54" t="str">
        <f>IFERROR(__xludf.DUMMYFUNCTION("""COMPUTED_VALUE"""),"Draft BA DROP")</f>
        <v>Draft BA DROP</v>
      </c>
      <c r="AG389" s="54"/>
      <c r="AH389" s="54"/>
      <c r="AI389" s="55" t="str">
        <f t="shared" si="51"/>
        <v/>
      </c>
      <c r="AW389" s="234"/>
      <c r="BP389" s="11"/>
      <c r="BQ389" s="11"/>
      <c r="BR389" s="235"/>
      <c r="BV389" s="158"/>
      <c r="BY389" s="158"/>
      <c r="CB389" s="158"/>
    </row>
    <row r="390" ht="18.0" customHeight="1">
      <c r="A390" s="222">
        <f>IFERROR(__xludf.DUMMYFUNCTION("""COMPUTED_VALUE"""),2026.0)</f>
        <v>2026</v>
      </c>
      <c r="B390" s="221">
        <f>IFERROR(__xludf.DUMMYFUNCTION("""COMPUTED_VALUE"""),1.1853007E7)</f>
        <v>11853007</v>
      </c>
      <c r="C390" s="222" t="str">
        <f>IFERROR(__xludf.DUMMYFUNCTION("""COMPUTED_VALUE"""),"RKP TSEL PT3 PNI-FAL VILLA DAUN REGENCY")</f>
        <v>RKP TSEL PT3 PNI-FAL VILLA DAUN REGENCY</v>
      </c>
      <c r="D390" s="222" t="str">
        <f>IFERROR(__xludf.DUMMYFUNCTION("""COMPUTED_VALUE"""),"REGIONAL I")</f>
        <v>REGIONAL I</v>
      </c>
      <c r="E390" s="222" t="str">
        <f>IFERROR(__xludf.DUMMYFUNCTION("""COMPUTED_VALUE"""),"RIKEP")</f>
        <v>RIKEP</v>
      </c>
      <c r="F390" s="222" t="str">
        <f>IFERROR(__xludf.DUMMYFUNCTION("""COMPUTED_VALUE"""),"PNI")</f>
        <v>PNI</v>
      </c>
      <c r="G390" s="222" t="str">
        <f>IFERROR(__xludf.DUMMYFUNCTION("""COMPUTED_VALUE"""),"SUMBAGTENG")</f>
        <v>SUMBAGTENG</v>
      </c>
      <c r="H390" s="222" t="str">
        <f>IFERROR(__xludf.DUMMYFUNCTION("""COMPUTED_VALUE"""),"BATAM")</f>
        <v>BATAM</v>
      </c>
      <c r="I390" s="222" t="str">
        <f>IFERROR(__xludf.DUMMYFUNCTION("""COMPUTED_VALUE"""),"Batch 2")</f>
        <v>Batch 2</v>
      </c>
      <c r="J390" s="225">
        <f>IFERROR(__xludf.DUMMYFUNCTION("""COMPUTED_VALUE"""),6.0)</f>
        <v>6</v>
      </c>
      <c r="K390" s="224">
        <f>IFERROR(__xludf.DUMMYFUNCTION("""COMPUTED_VALUE"""),48.0)</f>
        <v>48</v>
      </c>
      <c r="L390" s="226">
        <f>IFERROR(__xludf.DUMMYFUNCTION("""COMPUTED_VALUE"""),1306503.0)</f>
        <v>1306503</v>
      </c>
      <c r="M390" s="227">
        <f>IFERROR(__xludf.DUMMYFUNCTION("""COMPUTED_VALUE"""),6.2712133E7)</f>
        <v>62712133</v>
      </c>
      <c r="N390" s="222" t="str">
        <f>IFERROR(__xludf.DUMMYFUNCTION("""COMPUTED_VALUE"""),"PT GLOBAL VISINDO")</f>
        <v>PT GLOBAL VISINDO</v>
      </c>
      <c r="O390" s="222" t="str">
        <f>IFERROR(__xludf.DUMMYFUNCTION("""COMPUTED_VALUE"""),"0. DROP")</f>
        <v>0. DROP</v>
      </c>
      <c r="P390" s="222" t="str">
        <f>IFERROR(__xludf.DUMMYFUNCTION("""COMPUTED_VALUE"""),"0.2 Tidak Dapat Izin Warga/Kades/Lurah/Developer")</f>
        <v>0.2 Tidak Dapat Izin Warga/Kades/Lurah/Developer</v>
      </c>
      <c r="Q390" s="222" t="str">
        <f>IFERROR(__xludf.DUMMYFUNCTION("""COMPUTED_VALUE"""),"09/02 Pemilik lahan meminta kompensasi 15-18 juta setiap ada project galian di lahan milik pribadi nya21/01 Proses pengajuan SPK dari TSEL ke dveloper")</f>
        <v>09/02 Pemilik lahan meminta kompensasi 15-18 juta setiap ada project galian di lahan milik pribadi nya21/01 Proses pengajuan SPK dari TSEL ke dveloper</v>
      </c>
      <c r="R390" s="228"/>
      <c r="S390" s="11"/>
      <c r="T390" s="11"/>
      <c r="U390" s="11"/>
      <c r="V390" s="229" t="str">
        <f>IFERROR(__xludf.DUMMYFUNCTION("""COMPUTED_VALUE"""),"GANI PRASTYO")</f>
        <v>GANI PRASTYO</v>
      </c>
      <c r="W390" s="229" t="str">
        <f>IFERROR(__xludf.DUMMYFUNCTION("""COMPUTED_VALUE"""),"LEVITA INDRIYANI")</f>
        <v>LEVITA INDRIYANI</v>
      </c>
      <c r="X390" s="229" t="str">
        <f>IFERROR(__xludf.DUMMYFUNCTION("""COMPUTED_VALUE"""),"BELUM GOLIVE")</f>
        <v>BELUM GOLIVE</v>
      </c>
      <c r="Y390" s="229"/>
      <c r="Z390" s="229" t="str">
        <f>IFERROR(__xludf.DUMMYFUNCTION("""COMPUTED_VALUE"""),"#N/A")</f>
        <v>#N/A</v>
      </c>
      <c r="AA390" s="229"/>
      <c r="AB390" s="229"/>
      <c r="AC390" s="229"/>
      <c r="AD390" s="232"/>
      <c r="AE390" s="233"/>
      <c r="AF390" s="54" t="str">
        <f>IFERROR(__xludf.DUMMYFUNCTION("""COMPUTED_VALUE"""),"Draft BA DROP")</f>
        <v>Draft BA DROP</v>
      </c>
      <c r="AG390" s="54"/>
      <c r="AH390" s="54"/>
      <c r="AI390" s="55" t="str">
        <f t="shared" si="51"/>
        <v/>
      </c>
      <c r="AW390" s="234"/>
      <c r="BP390" s="11"/>
      <c r="BQ390" s="11"/>
      <c r="BR390" s="235"/>
      <c r="BV390" s="158"/>
      <c r="BY390" s="158"/>
      <c r="CB390" s="158"/>
    </row>
    <row r="391" ht="18.0" hidden="1" customHeight="1">
      <c r="A391" s="222">
        <f>IFERROR(__xludf.DUMMYFUNCTION("""COMPUTED_VALUE"""),2026.0)</f>
        <v>2026</v>
      </c>
      <c r="B391" s="221">
        <f>IFERROR(__xludf.DUMMYFUNCTION("""COMPUTED_VALUE"""),1.1271882E7)</f>
        <v>11271882</v>
      </c>
      <c r="C391" s="222" t="str">
        <f>IFERROR(__xludf.DUMMYFUNCTION("""COMPUTED_VALUE"""),"MDN PT3 P1I1 GLG-FJ JL.JAHARUM B")</f>
        <v>MDN PT3 P1I1 GLG-FJ JL.JAHARUM B</v>
      </c>
      <c r="D391" s="222" t="str">
        <f>IFERROR(__xludf.DUMMYFUNCTION("""COMPUTED_VALUE"""),"REGIONAL I")</f>
        <v>REGIONAL I</v>
      </c>
      <c r="E391" s="222" t="str">
        <f>IFERROR(__xludf.DUMMYFUNCTION("""COMPUTED_VALUE"""),"MEDAN")</f>
        <v>MEDAN</v>
      </c>
      <c r="F391" s="222" t="str">
        <f>IFERROR(__xludf.DUMMYFUNCTION("""COMPUTED_VALUE"""),"GLG")</f>
        <v>GLG</v>
      </c>
      <c r="G391" s="222" t="str">
        <f>IFERROR(__xludf.DUMMYFUNCTION("""COMPUTED_VALUE"""),"SUMBAGUT")</f>
        <v>SUMBAGUT</v>
      </c>
      <c r="H391" s="222" t="str">
        <f>IFERROR(__xludf.DUMMYFUNCTION("""COMPUTED_VALUE"""),"MEDAN")</f>
        <v>MEDAN</v>
      </c>
      <c r="I391" s="222" t="str">
        <f>IFERROR(__xludf.DUMMYFUNCTION("""COMPUTED_VALUE"""),"Batch 2")</f>
        <v>Batch 2</v>
      </c>
      <c r="J391" s="225">
        <f>IFERROR(__xludf.DUMMYFUNCTION("""COMPUTED_VALUE"""),4.0)</f>
        <v>4</v>
      </c>
      <c r="K391" s="224">
        <f>IFERROR(__xludf.DUMMYFUNCTION("""COMPUTED_VALUE"""),32.0)</f>
        <v>32</v>
      </c>
      <c r="L391" s="226">
        <f>IFERROR(__xludf.DUMMYFUNCTION("""COMPUTED_VALUE"""),781954.0)</f>
        <v>781954</v>
      </c>
      <c r="M391" s="227">
        <f>IFERROR(__xludf.DUMMYFUNCTION("""COMPUTED_VALUE"""),2.5022515E7)</f>
        <v>25022515</v>
      </c>
      <c r="N391" s="222" t="str">
        <f>IFERROR(__xludf.DUMMYFUNCTION("""COMPUTED_VALUE"""),"PT NIAGA NUSANTARA DIVA")</f>
        <v>PT NIAGA NUSANTARA DIVA</v>
      </c>
      <c r="O391" s="222" t="str">
        <f>IFERROR(__xludf.DUMMYFUNCTION("""COMPUTED_VALUE"""),"0. DROP")</f>
        <v>0. DROP</v>
      </c>
      <c r="P391" s="222" t="str">
        <f>IFERROR(__xludf.DUMMYFUNCTION("""COMPUTED_VALUE"""),"0.4 CPP Tinggi Acc ED TIF")</f>
        <v>0.4 CPP Tinggi Acc ED TIF</v>
      </c>
      <c r="Q391" s="222" t="str">
        <f>IFERROR(__xludf.DUMMYFUNCTION("""COMPUTED_VALUE"""),"13/03 high CPP &gt;10%
03/03 redisgn jalur
(07/01) Persiapan")</f>
        <v>13/03 high CPP &gt;10%
03/03 redisgn jalur
(07/01) Persiapan</v>
      </c>
      <c r="R391" s="228"/>
      <c r="S391" s="11"/>
      <c r="T391" s="11"/>
      <c r="U391" s="11"/>
      <c r="V391" s="229"/>
      <c r="W391" s="229"/>
      <c r="X391" s="229" t="str">
        <f>IFERROR(__xludf.DUMMYFUNCTION("""COMPUTED_VALUE"""),"BELUM GOLIVE")</f>
        <v>BELUM GOLIVE</v>
      </c>
      <c r="Y391" s="229"/>
      <c r="Z391" s="229" t="str">
        <f>IFERROR(__xludf.DUMMYFUNCTION("""COMPUTED_VALUE"""),"#N/A")</f>
        <v>#N/A</v>
      </c>
      <c r="AA391" s="229"/>
      <c r="AB391" s="229"/>
      <c r="AC391" s="229"/>
      <c r="AD391" s="232"/>
      <c r="AE391" s="233"/>
      <c r="AF391" s="54" t="str">
        <f>IFERROR(__xludf.DUMMYFUNCTION("""COMPUTED_VALUE"""),"Draft BA DROP")</f>
        <v>Draft BA DROP</v>
      </c>
      <c r="AG391" s="54"/>
      <c r="AH391" s="54"/>
      <c r="AI391" s="55" t="str">
        <f t="shared" si="51"/>
        <v/>
      </c>
      <c r="AW391" s="234"/>
      <c r="BP391" s="11"/>
      <c r="BQ391" s="11"/>
      <c r="BR391" s="235"/>
      <c r="BV391" s="158"/>
      <c r="BY391" s="158"/>
      <c r="CB391" s="158"/>
    </row>
    <row r="392" ht="18.0" hidden="1" customHeight="1">
      <c r="A392" s="222">
        <f>IFERROR(__xludf.DUMMYFUNCTION("""COMPUTED_VALUE"""),2026.0)</f>
        <v>2026</v>
      </c>
      <c r="B392" s="221">
        <f>IFERROR(__xludf.DUMMYFUNCTION("""COMPUTED_VALUE"""),1.2386495E7)</f>
        <v>12386495</v>
      </c>
      <c r="C392" s="222" t="str">
        <f>IFERROR(__xludf.DUMMYFUNCTION("""COMPUTED_VALUE"""),"SMU ODC-PMS-FAH D03 GRIYA HARMONI")</f>
        <v>SMU ODC-PMS-FAH D03 GRIYA HARMONI</v>
      </c>
      <c r="D392" s="222" t="str">
        <f>IFERROR(__xludf.DUMMYFUNCTION("""COMPUTED_VALUE"""),"REGIONAL I")</f>
        <v>REGIONAL I</v>
      </c>
      <c r="E392" s="222" t="str">
        <f>IFERROR(__xludf.DUMMYFUNCTION("""COMPUTED_VALUE"""),"SUMUT")</f>
        <v>SUMUT</v>
      </c>
      <c r="F392" s="222" t="str">
        <f>IFERROR(__xludf.DUMMYFUNCTION("""COMPUTED_VALUE"""),"PMS")</f>
        <v>PMS</v>
      </c>
      <c r="G392" s="222" t="str">
        <f>IFERROR(__xludf.DUMMYFUNCTION("""COMPUTED_VALUE"""),"SUMBAGUT")</f>
        <v>SUMBAGUT</v>
      </c>
      <c r="H392" s="222" t="str">
        <f>IFERROR(__xludf.DUMMYFUNCTION("""COMPUTED_VALUE"""),"PEMATANG SIANTAR")</f>
        <v>PEMATANG SIANTAR</v>
      </c>
      <c r="I392" s="222" t="str">
        <f>IFERROR(__xludf.DUMMYFUNCTION("""COMPUTED_VALUE"""),"Batch 2")</f>
        <v>Batch 2</v>
      </c>
      <c r="J392" s="225">
        <f>IFERROR(__xludf.DUMMYFUNCTION("""COMPUTED_VALUE"""),10.0)</f>
        <v>10</v>
      </c>
      <c r="K392" s="224">
        <f>IFERROR(__xludf.DUMMYFUNCTION("""COMPUTED_VALUE"""),80.0)</f>
        <v>80</v>
      </c>
      <c r="L392" s="226">
        <f>IFERROR(__xludf.DUMMYFUNCTION("""COMPUTED_VALUE"""),1306351.0)</f>
        <v>1306351</v>
      </c>
      <c r="M392" s="227">
        <f>IFERROR(__xludf.DUMMYFUNCTION("""COMPUTED_VALUE"""),1.04508024E8)</f>
        <v>104508024</v>
      </c>
      <c r="N392" s="222" t="str">
        <f>IFERROR(__xludf.DUMMYFUNCTION("""COMPUTED_VALUE"""),"PT ARTHA MANDIRI BERSAMA")</f>
        <v>PT ARTHA MANDIRI BERSAMA</v>
      </c>
      <c r="O392" s="222" t="str">
        <f>IFERROR(__xludf.DUMMYFUNCTION("""COMPUTED_VALUE"""),"2. DONE AANWIJZING")</f>
        <v>2. DONE AANWIJZING</v>
      </c>
      <c r="P392" s="222" t="str">
        <f>IFERROR(__xludf.DUMMYFUNCTION("""COMPUTED_VALUE"""),"2.6 Tunggu Hasil DRM - ada Kenaikan CPP")</f>
        <v>2.6 Tunggu Hasil DRM - ada Kenaikan CPP</v>
      </c>
      <c r="Q392" s="222" t="str">
        <f>IFERROR(__xludf.DUMMYFUNCTION("""COMPUTED_VALUE"""),"27/4 ada kenaikan cpp dari 1,6 ke 1,7, 24/4 ada kenaikan cpp dari 1,6 ke 1,7, 23/4 ada kenaikan cpp dari 1,6 ke 1,7,  22/4 ada kenaikan cpp dari 1,6 ke 1,7, 21/4 ada kenaikan cpp dari 1,6 ke 1,7, 16/4 ada kenaikan cpp dari 1,6 ke 1,7, 15/4 ada kenaikan cp"&amp;"p dari 1,6 ke 1,7, 14/4 ada kenaikan cpp dari 1,6 ke 1,7, 13/4 ada kenaikan cpp dari 1,6 ke 1,7, 8/4 feeder banyak yg tidak tembus butuh cek odtr ulang dan tes redaman  dari sto ke odc plan 8 april, 6/4 feeder banyak yg tidak tembus butuh cek odtr ulang d"&amp;"an tes redaman  dari sto ke odc plan 7 april,   5/4 plan fu kembali terkait perizinan ke desa (pengalihan dari mitra cpm), 1/4 plan fu kembali terkait perizinan ke desa (pengalihan dari mitra cpm), 31/3 mitra cpm menolak untuk lanjut progres ( plan pengal"&amp;"ihan mitra ke upentel), 30/3 mitra cpm menolak untuk lanjut progres ( plan pengalihan mitra ke upentel), 27/3 mitra cpm menolak untuk lanjut progres ( plan pengalihan mitra ke upentel), 26/3 plan fu kmbali terkait perizinan desa setelah lebaran, 22/3 plan"&amp;" fu kmbali terkait perizinan desa setelah lebaran, 18/3 plan fu kmbali terkait perizinan desa setelah lebaran,16/3 plan fu kembali terkait perizinan desa, 13/3 plan fu kembali terkait perizinan desa, 11/3 plan fu kembali terkait perizinan desa, 10/3 plan "&amp;"besok 11 mar fu kembali terkait izin ke desa, 3/3 hasil meeting ED1-ED-RSBU-TA1: drop CPP tinggi 2/3 kenaikan cpp dari 1,6 ke 1,7,  27/2 kenaikan cpp dari 1,6 ke 1,7,  25/2 kenaikan cpp dari 1,6 ke 1,7,  24/2 kenaikan cpp dari 1,6 ke 1,7,  23/2 kenaikan c"&amp;"pp dari 1,6 ke 1,7, 20/2 plan submit boq hari ini, 19/2 menunggu boq kml hasil redesign incloude kebutuhan qe distribusi, 18/2 menunggu boq kml hasil redesign , 16/2 menunggu boq kml hasil redesign, 13/2 menunggu boq kml hasil redesign, 12/2 menunggu boq "&amp;"kml hasil redesign, 11/2 menunggu boq kml hasil redesign, 10/2 menunggu boq kml hasil redesign, 9/2 menunggu boq kml hasil redesign, 6/2 menunggu boq kml hasil redesign,  5/2 menunggu boq kml hasil redesign,  4/2 menunggu boq kml hasil redesign, 3/2 prepa"&amp;"ir team untuk survey hasil redesign, 2/2 prepair team untuk survey hasil redesign,1/2 prepair team untuk survey hasil redesign, 30/1 prepair team untuk survey hasil redesign, 28/1 plan besok 29/1 survey ulamng terkait redesign, 27/1 menunggu info tif terk"&amp;"ait adanya revisi kml plan pengurangan  5 odp dari plan 10 kendala  metik dari kabel brenching exis sisa 5 core , 26/1 revisi kml plan pengurangan  5 odp dari plan 10 kendala  metik dari kabel brenching exis sisa 5 core  ,  23/1 revisi kml plan penguranga"&amp;"n  5 odp dari plan 10 kendala  metik dari kabel brenching exis sisa 5 core  , 22/1 pengajuan ke tif terkait kenaikan cpp dari 1,3 jadi 2,3,  22/1 pengajuan ke tif terkait kenaikan cpp dari 1,3 jadi 2,3, 21/1 menunggu boq kml survey, pengurangan odp kendal"&amp;"a  metik dari kabel brenching exis sisa 5 core , 20/1 (menunggu info tif dan tsel) plan pengurangan odp kendala  metik dari kabel brenching exis sisa 5 core ,  18/1 plan survey 19/1,  1/1 plan survey 19/1,  14/1 PLAN SURVEY TANGGAL 19/01, 13/1 plan survey"&amp;" senin 19/1, (07/01) Persiapan")</f>
        <v>27/4 ada kenaikan cpp dari 1,6 ke 1,7, 24/4 ada kenaikan cpp dari 1,6 ke 1,7, 23/4 ada kenaikan cpp dari 1,6 ke 1,7,  22/4 ada kenaikan cpp dari 1,6 ke 1,7, 21/4 ada kenaikan cpp dari 1,6 ke 1,7, 16/4 ada kenaikan cpp dari 1,6 ke 1,7, 15/4 ada kenaikan cpp dari 1,6 ke 1,7, 14/4 ada kenaikan cpp dari 1,6 ke 1,7, 13/4 ada kenaikan cpp dari 1,6 ke 1,7, 8/4 feeder banyak yg tidak tembus butuh cek odtr ulang dan tes redaman  dari sto ke odc plan 8 april, 6/4 feeder banyak yg tidak tembus butuh cek odtr ulang dan tes redaman  dari sto ke odc plan 7 april,   5/4 plan fu kembali terkait perizinan ke desa (pengalihan dari mitra cpm), 1/4 plan fu kembali terkait perizinan ke desa (pengalihan dari mitra cpm), 31/3 mitra cpm menolak untuk lanjut progres ( plan pengalihan mitra ke upentel), 30/3 mitra cpm menolak untuk lanjut progres ( plan pengalihan mitra ke upentel), 27/3 mitra cpm menolak untuk lanjut progres ( plan pengalihan mitra ke upentel), 26/3 plan fu kmbali terkait perizinan desa setelah lebaran, 22/3 plan fu kmbali terkait perizinan desa setelah lebaran, 18/3 plan fu kmbali terkait perizinan desa setelah lebaran,16/3 plan fu kembali terkait perizinan desa, 13/3 plan fu kembali terkait perizinan desa, 11/3 plan fu kembali terkait perizinan desa, 10/3 plan besok 11 mar fu kembali terkait izin ke desa, 3/3 hasil meeting ED1-ED-RSBU-TA1: drop CPP tinggi 2/3 kenaikan cpp dari 1,6 ke 1,7,  27/2 kenaikan cpp dari 1,6 ke 1,7,  25/2 kenaikan cpp dari 1,6 ke 1,7,  24/2 kenaikan cpp dari 1,6 ke 1,7,  23/2 kenaikan cpp dari 1,6 ke 1,7, 20/2 plan submit boq hari ini, 19/2 menunggu boq kml hasil redesign incloude kebutuhan qe distribusi, 18/2 menunggu boq kml hasil redesign , 16/2 menunggu boq kml hasil redesign, 13/2 menunggu boq kml hasil redesign, 12/2 menunggu boq kml hasil redesign, 11/2 menunggu boq kml hasil redesign, 10/2 menunggu boq kml hasil redesign, 9/2 menunggu boq kml hasil redesign, 6/2 menunggu boq kml hasil redesign,  5/2 menunggu boq kml hasil redesign,  4/2 menunggu boq kml hasil redesign, 3/2 prepair team untuk survey hasil redesign, 2/2 prepair team untuk survey hasil redesign,1/2 prepair team untuk survey hasil redesign, 30/1 prepair team untuk survey hasil redesign, 28/1 plan besok 29/1 survey ulamng terkait redesign, 27/1 menunggu info tif terkait adanya revisi kml plan pengurangan  5 odp dari plan 10 kendala  metik dari kabel brenching exis sisa 5 core , 26/1 revisi kml plan pengurangan  5 odp dari plan 10 kendala  metik dari kabel brenching exis sisa 5 core  ,  23/1 revisi kml plan pengurangan  5 odp dari plan 10 kendala  metik dari kabel brenching exis sisa 5 core  , 22/1 pengajuan ke tif terkait kenaikan cpp dari 1,3 jadi 2,3,  22/1 pengajuan ke tif terkait kenaikan cpp dari 1,3 jadi 2,3, 21/1 menunggu boq kml survey, pengurangan odp kendala  metik dari kabel brenching exis sisa 5 core , 20/1 (menunggu info tif dan tsel) plan pengurangan odp kendala  metik dari kabel brenching exis sisa 5 core ,  18/1 plan survey 19/1,  1/1 plan survey 19/1,  14/1 PLAN SURVEY TANGGAL 19/01, 13/1 plan survey senin 19/1, (07/01) Persiapan</v>
      </c>
      <c r="R392" s="228"/>
      <c r="S392" s="11"/>
      <c r="T392" s="73"/>
      <c r="U392" s="11" t="str">
        <f>IFERROR(__xludf.DUMMYFUNCTION("""COMPUTED_VALUE"""),"TIF-1411/2026")</f>
        <v>TIF-1411/2026</v>
      </c>
      <c r="V392" s="229" t="str">
        <f>IFERROR(__xludf.DUMMYFUNCTION("""COMPUTED_VALUE"""),"25/Apr/2026")</f>
        <v>25/Apr/2026</v>
      </c>
      <c r="W392" s="229"/>
      <c r="X392" s="229" t="str">
        <f>IFERROR(__xludf.DUMMYFUNCTION("""COMPUTED_VALUE"""),"BELUM GOLIVE")</f>
        <v>BELUM GOLIVE</v>
      </c>
      <c r="Y392" s="229"/>
      <c r="Z392" s="229" t="str">
        <f>IFERROR(__xludf.DUMMYFUNCTION("""COMPUTED_VALUE"""),"#N/A")</f>
        <v>#N/A</v>
      </c>
      <c r="AA392" s="229"/>
      <c r="AB392" s="229"/>
      <c r="AC392" s="229"/>
      <c r="AD392" s="232"/>
      <c r="AE392" s="233"/>
      <c r="AF392" s="54" t="str">
        <f>IFERROR(__xludf.DUMMYFUNCTION("""COMPUTED_VALUE"""),"Draft BA DROP")</f>
        <v>Draft BA DROP</v>
      </c>
      <c r="AG392" s="54"/>
      <c r="AH392" s="54"/>
      <c r="AI392" s="55" t="str">
        <f t="shared" si="51"/>
        <v/>
      </c>
      <c r="AW392" s="234"/>
      <c r="BP392" s="11"/>
      <c r="BQ392" s="11"/>
      <c r="BR392" s="235"/>
      <c r="BV392" s="158"/>
      <c r="BY392" s="158"/>
      <c r="CB392" s="158"/>
    </row>
    <row r="393" ht="18.0" hidden="1" customHeight="1">
      <c r="A393" s="222">
        <f>IFERROR(__xludf.DUMMYFUNCTION("""COMPUTED_VALUE"""),2026.0)</f>
        <v>2026</v>
      </c>
      <c r="B393" s="221">
        <f>IFERROR(__xludf.DUMMYFUNCTION("""COMPUTED_VALUE"""),1.1288362E7)</f>
        <v>11288362</v>
      </c>
      <c r="C393" s="222" t="str">
        <f>IFERROR(__xludf.DUMMYFUNCTION("""COMPUTED_VALUE"""),"MDN PT3 CTD-FCJ JL.BESAR HAMPARAN PERAK")</f>
        <v>MDN PT3 CTD-FCJ JL.BESAR HAMPARAN PERAK</v>
      </c>
      <c r="D393" s="222" t="str">
        <f>IFERROR(__xludf.DUMMYFUNCTION("""COMPUTED_VALUE"""),"REGIONAL I")</f>
        <v>REGIONAL I</v>
      </c>
      <c r="E393" s="222" t="str">
        <f>IFERROR(__xludf.DUMMYFUNCTION("""COMPUTED_VALUE"""),"MEDAN")</f>
        <v>MEDAN</v>
      </c>
      <c r="F393" s="222" t="str">
        <f>IFERROR(__xludf.DUMMYFUNCTION("""COMPUTED_VALUE"""),"CTD")</f>
        <v>CTD</v>
      </c>
      <c r="G393" s="222" t="str">
        <f>IFERROR(__xludf.DUMMYFUNCTION("""COMPUTED_VALUE"""),"SUMBAGUT")</f>
        <v>SUMBAGUT</v>
      </c>
      <c r="H393" s="222" t="str">
        <f>IFERROR(__xludf.DUMMYFUNCTION("""COMPUTED_VALUE"""),"MEDAN")</f>
        <v>MEDAN</v>
      </c>
      <c r="I393" s="222" t="str">
        <f>IFERROR(__xludf.DUMMYFUNCTION("""COMPUTED_VALUE"""),"Batch 2")</f>
        <v>Batch 2</v>
      </c>
      <c r="J393" s="225">
        <f>IFERROR(__xludf.DUMMYFUNCTION("""COMPUTED_VALUE"""),6.0)</f>
        <v>6</v>
      </c>
      <c r="K393" s="224">
        <f>IFERROR(__xludf.DUMMYFUNCTION("""COMPUTED_VALUE"""),48.0)</f>
        <v>48</v>
      </c>
      <c r="L393" s="226">
        <f>IFERROR(__xludf.DUMMYFUNCTION("""COMPUTED_VALUE"""),1306018.0)</f>
        <v>1306018</v>
      </c>
      <c r="M393" s="227">
        <f>IFERROR(__xludf.DUMMYFUNCTION("""COMPUTED_VALUE"""),6.2688854E7)</f>
        <v>62688854</v>
      </c>
      <c r="N393" s="222" t="str">
        <f>IFERROR(__xludf.DUMMYFUNCTION("""COMPUTED_VALUE"""),"PT M JUSUF AND SONS")</f>
        <v>PT M JUSUF AND SONS</v>
      </c>
      <c r="O393" s="222" t="str">
        <f>IFERROR(__xludf.DUMMYFUNCTION("""COMPUTED_VALUE"""),"0. DROP")</f>
        <v>0. DROP</v>
      </c>
      <c r="P393" s="222" t="str">
        <f>IFERROR(__xludf.DUMMYFUNCTION("""COMPUTED_VALUE"""),"0.4 CPP Tinggi Acc ED TIF")</f>
        <v>0.4 CPP Tinggi Acc ED TIF</v>
      </c>
      <c r="Q393" s="222" t="str">
        <f>IFERROR(__xludf.DUMMYFUNCTION("""COMPUTED_VALUE"""),"02/02 Feeder Tidak Tembus")</f>
        <v>02/02 Feeder Tidak Tembus</v>
      </c>
      <c r="R393" s="228"/>
      <c r="S393" s="11"/>
      <c r="T393" s="11"/>
      <c r="U393" s="11"/>
      <c r="V393" s="229"/>
      <c r="W393" s="229"/>
      <c r="X393" s="229" t="str">
        <f>IFERROR(__xludf.DUMMYFUNCTION("""COMPUTED_VALUE"""),"BELUM GOLIVE")</f>
        <v>BELUM GOLIVE</v>
      </c>
      <c r="Y393" s="229"/>
      <c r="Z393" s="229" t="str">
        <f>IFERROR(__xludf.DUMMYFUNCTION("""COMPUTED_VALUE"""),"#N/A")</f>
        <v>#N/A</v>
      </c>
      <c r="AA393" s="229"/>
      <c r="AB393" s="229"/>
      <c r="AC393" s="229"/>
      <c r="AD393" s="232"/>
      <c r="AE393" s="233"/>
      <c r="AF393" s="54" t="str">
        <f>IFERROR(__xludf.DUMMYFUNCTION("""COMPUTED_VALUE"""),"Draft BA DROP")</f>
        <v>Draft BA DROP</v>
      </c>
      <c r="AG393" s="54"/>
      <c r="AH393" s="54"/>
      <c r="AI393" s="55" t="str">
        <f t="shared" si="51"/>
        <v/>
      </c>
      <c r="AW393" s="234"/>
      <c r="BP393" s="11"/>
      <c r="BQ393" s="11"/>
      <c r="BR393" s="235"/>
      <c r="BV393" s="158"/>
      <c r="BY393" s="158"/>
      <c r="CB393" s="158"/>
    </row>
    <row r="394" ht="18.0" hidden="1" customHeight="1">
      <c r="A394" s="222">
        <f>IFERROR(__xludf.DUMMYFUNCTION("""COMPUTED_VALUE"""),2026.0)</f>
        <v>2026</v>
      </c>
      <c r="B394" s="221">
        <f>IFERROR(__xludf.DUMMYFUNCTION("""COMPUTED_VALUE"""),1.1282558E7)</f>
        <v>11282558</v>
      </c>
      <c r="C394" s="222" t="str">
        <f>IFERROR(__xludf.DUMMYFUNCTION("""COMPUTED_VALUE"""),"MDN PT3 PDB-FAG PERUM PURI ANOM ASRI")</f>
        <v>MDN PT3 PDB-FAG PERUM PURI ANOM ASRI</v>
      </c>
      <c r="D394" s="222" t="str">
        <f>IFERROR(__xludf.DUMMYFUNCTION("""COMPUTED_VALUE"""),"REGIONAL I")</f>
        <v>REGIONAL I</v>
      </c>
      <c r="E394" s="222" t="str">
        <f>IFERROR(__xludf.DUMMYFUNCTION("""COMPUTED_VALUE"""),"MEDAN")</f>
        <v>MEDAN</v>
      </c>
      <c r="F394" s="222" t="str">
        <f>IFERROR(__xludf.DUMMYFUNCTION("""COMPUTED_VALUE"""),"PDB")</f>
        <v>PDB</v>
      </c>
      <c r="G394" s="222" t="str">
        <f>IFERROR(__xludf.DUMMYFUNCTION("""COMPUTED_VALUE"""),"SUMBAGUT")</f>
        <v>SUMBAGUT</v>
      </c>
      <c r="H394" s="222" t="str">
        <f>IFERROR(__xludf.DUMMYFUNCTION("""COMPUTED_VALUE"""),"MEDAN")</f>
        <v>MEDAN</v>
      </c>
      <c r="I394" s="222" t="str">
        <f>IFERROR(__xludf.DUMMYFUNCTION("""COMPUTED_VALUE"""),"Batch 2")</f>
        <v>Batch 2</v>
      </c>
      <c r="J394" s="225">
        <f>IFERROR(__xludf.DUMMYFUNCTION("""COMPUTED_VALUE"""),26.0)</f>
        <v>26</v>
      </c>
      <c r="K394" s="224">
        <f>IFERROR(__xludf.DUMMYFUNCTION("""COMPUTED_VALUE"""),208.0)</f>
        <v>208</v>
      </c>
      <c r="L394" s="226">
        <f>IFERROR(__xludf.DUMMYFUNCTION("""COMPUTED_VALUE"""),1304940.0)</f>
        <v>1304940</v>
      </c>
      <c r="M394" s="227">
        <f>IFERROR(__xludf.DUMMYFUNCTION("""COMPUTED_VALUE"""),2.71427503E8)</f>
        <v>271427503</v>
      </c>
      <c r="N394" s="222" t="str">
        <f>IFERROR(__xludf.DUMMYFUNCTION("""COMPUTED_VALUE"""),"PT CAHAYA PERMATA MANDIRI")</f>
        <v>PT CAHAYA PERMATA MANDIRI</v>
      </c>
      <c r="O394" s="222" t="str">
        <f>IFERROR(__xludf.DUMMYFUNCTION("""COMPUTED_VALUE"""),"0. DROP")</f>
        <v>0. DROP</v>
      </c>
      <c r="P394" s="222" t="str">
        <f>IFERROR(__xludf.DUMMYFUNCTION("""COMPUTED_VALUE"""),"0.4 CPP Tinggi Acc ED TIF")</f>
        <v>0.4 CPP Tinggi Acc ED TIF</v>
      </c>
      <c r="Q394" s="222" t="str">
        <f>IFERROR(__xludf.DUMMYFUNCTION("""COMPUTED_VALUE"""),"16/10 Feeder Habis
16/10 Mapping Mitra")</f>
        <v>16/10 Feeder Habis
16/10 Mapping Mitra</v>
      </c>
      <c r="R394" s="228"/>
      <c r="S394" s="11"/>
      <c r="T394" s="11"/>
      <c r="U394" s="11"/>
      <c r="V394" s="229"/>
      <c r="W394" s="229"/>
      <c r="X394" s="229" t="str">
        <f>IFERROR(__xludf.DUMMYFUNCTION("""COMPUTED_VALUE"""),"BELUM GOLIVE")</f>
        <v>BELUM GOLIVE</v>
      </c>
      <c r="Y394" s="229"/>
      <c r="Z394" s="229" t="str">
        <f>IFERROR(__xludf.DUMMYFUNCTION("""COMPUTED_VALUE"""),"#N/A")</f>
        <v>#N/A</v>
      </c>
      <c r="AA394" s="229"/>
      <c r="AB394" s="229"/>
      <c r="AC394" s="229"/>
      <c r="AD394" s="232"/>
      <c r="AE394" s="233"/>
      <c r="AF394" s="54" t="str">
        <f>IFERROR(__xludf.DUMMYFUNCTION("""COMPUTED_VALUE"""),"Draft BA DROP")</f>
        <v>Draft BA DROP</v>
      </c>
      <c r="AG394" s="54"/>
      <c r="AH394" s="54"/>
      <c r="AI394" s="55" t="str">
        <f t="shared" si="51"/>
        <v/>
      </c>
      <c r="AW394" s="234"/>
      <c r="BP394" s="11"/>
      <c r="BQ394" s="11"/>
      <c r="BR394" s="235"/>
      <c r="BV394" s="158"/>
      <c r="BY394" s="158"/>
      <c r="CB394" s="158"/>
    </row>
    <row r="395" ht="18.0" hidden="1" customHeight="1">
      <c r="A395" s="222">
        <f>IFERROR(__xludf.DUMMYFUNCTION("""COMPUTED_VALUE"""),2026.0)</f>
        <v>2026</v>
      </c>
      <c r="B395" s="221">
        <f>IFERROR(__xludf.DUMMYFUNCTION("""COMPUTED_VALUE"""),1.1418523E7)</f>
        <v>11418523</v>
      </c>
      <c r="C395" s="222" t="str">
        <f>IFERROR(__xludf.DUMMYFUNCTION("""COMPUTED_VALUE"""),"SMS P3I1 PT3 LLG FAB D07 SMA PLUS")</f>
        <v>SMS P3I1 PT3 LLG FAB D07 SMA PLUS</v>
      </c>
      <c r="D395" s="222" t="str">
        <f>IFERROR(__xludf.DUMMYFUNCTION("""COMPUTED_VALUE"""),"REGIONAL I")</f>
        <v>REGIONAL I</v>
      </c>
      <c r="E395" s="222" t="str">
        <f>IFERROR(__xludf.DUMMYFUNCTION("""COMPUTED_VALUE"""),"SUMSEL")</f>
        <v>SUMSEL</v>
      </c>
      <c r="F395" s="222" t="str">
        <f>IFERROR(__xludf.DUMMYFUNCTION("""COMPUTED_VALUE"""),"LLG")</f>
        <v>LLG</v>
      </c>
      <c r="G395" s="222" t="str">
        <f>IFERROR(__xludf.DUMMYFUNCTION("""COMPUTED_VALUE"""),"SUMBAGSEL")</f>
        <v>SUMBAGSEL</v>
      </c>
      <c r="H395" s="222" t="str">
        <f>IFERROR(__xludf.DUMMYFUNCTION("""COMPUTED_VALUE"""),"BENGKULU")</f>
        <v>BENGKULU</v>
      </c>
      <c r="I395" s="222" t="str">
        <f>IFERROR(__xludf.DUMMYFUNCTION("""COMPUTED_VALUE"""),"Batch 2")</f>
        <v>Batch 2</v>
      </c>
      <c r="J395" s="225">
        <f>IFERROR(__xludf.DUMMYFUNCTION("""COMPUTED_VALUE"""),7.0)</f>
        <v>7</v>
      </c>
      <c r="K395" s="224">
        <f>IFERROR(__xludf.DUMMYFUNCTION("""COMPUTED_VALUE"""),56.0)</f>
        <v>56</v>
      </c>
      <c r="L395" s="226">
        <f>IFERROR(__xludf.DUMMYFUNCTION("""COMPUTED_VALUE"""),1304237.0)</f>
        <v>1304237</v>
      </c>
      <c r="M395" s="227">
        <f>IFERROR(__xludf.DUMMYFUNCTION("""COMPUTED_VALUE"""),7.3037235E7)</f>
        <v>73037235</v>
      </c>
      <c r="N395" s="222" t="str">
        <f>IFERROR(__xludf.DUMMYFUNCTION("""COMPUTED_VALUE"""),"PT DIAN KARYA")</f>
        <v>PT DIAN KARYA</v>
      </c>
      <c r="O395" s="222" t="str">
        <f>IFERROR(__xludf.DUMMYFUNCTION("""COMPUTED_VALUE"""),"8. UJI TERIMA")</f>
        <v>8. UJI TERIMA</v>
      </c>
      <c r="P395" s="222" t="str">
        <f>IFERROR(__xludf.DUMMYFUNCTION("""COMPUTED_VALUE"""),"8.1 Proses UT")</f>
        <v>8.1 Proses UT</v>
      </c>
      <c r="Q395" s="222" t="str">
        <f>IFERROR(__xludf.DUMMYFUNCTION("""COMPUTED_VALUE"""),"(4/2)golive sdi (4/2)sudah submit abd v4(3/2) data valid4 masih belum masuk ke SDI 31/1 2feb Plan Jumper dan GOLIVE (21/01) selesai fisik, kendala BIG OLT STO LLG belum ready, (18/01) KENDALA BIG OLT STO LLG, 01/12 menunggu redaman dari OLT, 25/11 termina"&amp;"sI ODP, 20/11 selesai penanaman tiang,  19/11 OGP matdel, 17/11 masih matdel, 13/11 MATDEL, (07/11) Matdel ditanggung TA ,BA ttd GM (3/11 Kendala pengiriman Matrial Mitra 08/10 kirim material ke lokasi
(01/10) proses pengiriman material
(25/09) dri pihak "&amp;"RT meminta kompensasi untuk izin tanam tiang, maish mau berkoordinasi dg sales untuk bantu negosiasi dg RT
(19/09) proses izin dg pihak RT setempat
(15/09) Proses Redesign Permintaan Sales Tsel")</f>
        <v>(4/2)golive sdi (4/2)sudah submit abd v4(3/2) data valid4 masih belum masuk ke SDI 31/1 2feb Plan Jumper dan GOLIVE (21/01) selesai fisik, kendala BIG OLT STO LLG belum ready, (18/01) KENDALA BIG OLT STO LLG, 01/12 menunggu redaman dari OLT, 25/11 terminasI ODP, 20/11 selesai penanaman tiang,  19/11 OGP matdel, 17/11 masih matdel, 13/11 MATDEL, (07/11) Matdel ditanggung TA ,BA ttd GM (3/11 Kendala pengiriman Matrial Mitra 08/10 kirim material ke lokasi
(01/10) proses pengiriman material
(25/09) dri pihak RT meminta kompensasi untuk izin tanam tiang, maish mau berkoordinasi dg sales untuk bantu negosiasi dg RT
(19/09) proses izin dg pihak RT setempat
(15/09) Proses Redesign Permintaan Sales Tsel</v>
      </c>
      <c r="R395" s="228">
        <f>IFERROR(__xludf.DUMMYFUNCTION("""COMPUTED_VALUE"""),46057.0)</f>
        <v>46057</v>
      </c>
      <c r="S395" s="11"/>
      <c r="T395" s="11"/>
      <c r="U395" s="11"/>
      <c r="V395" s="229" t="str">
        <f>IFERROR(__xludf.DUMMYFUNCTION("""COMPUTED_VALUE"""),"PUTRA")</f>
        <v>PUTRA</v>
      </c>
      <c r="W395" s="229"/>
      <c r="X395" s="229" t="str">
        <f>IFERROR(__xludf.DUMMYFUNCTION("""COMPUTED_VALUE"""),"GOLIVE")</f>
        <v>GOLIVE</v>
      </c>
      <c r="Y395" s="229" t="str">
        <f>IFERROR(__xludf.DUMMYFUNCTION("""COMPUTED_VALUE"""),"DONE")</f>
        <v>DONE</v>
      </c>
      <c r="Z395" s="229" t="str">
        <f>IFERROR(__xludf.DUMMYFUNCTION("""COMPUTED_VALUE"""),"#N/A")</f>
        <v>#N/A</v>
      </c>
      <c r="AA395" s="229">
        <f>IFERROR(__xludf.DUMMYFUNCTION("""COMPUTED_VALUE"""),7.0)</f>
        <v>7</v>
      </c>
      <c r="AB395" s="229"/>
      <c r="AC395" s="229" t="str">
        <f>IFERROR(__xludf.DUMMYFUNCTION("""COMPUTED_VALUE"""),"9063383#9063388")</f>
        <v>9063383#9063388</v>
      </c>
      <c r="AD395" s="232">
        <f>IFERROR(__xludf.DUMMYFUNCTION("""COMPUTED_VALUE"""),56.0)</f>
        <v>56</v>
      </c>
      <c r="AE395" s="233">
        <f>IFERROR(__xludf.DUMMYFUNCTION("""COMPUTED_VALUE"""),46057.0)</f>
        <v>46057</v>
      </c>
      <c r="AF395" s="54"/>
      <c r="AG395" s="54"/>
      <c r="AH395" s="54">
        <v>46057.0</v>
      </c>
      <c r="AI395" s="55">
        <f t="shared" si="51"/>
        <v>0</v>
      </c>
      <c r="AW395" s="234"/>
      <c r="BP395" s="11"/>
      <c r="BQ395" s="11"/>
      <c r="BR395" s="235"/>
      <c r="BV395" s="158"/>
      <c r="BY395" s="158"/>
      <c r="CB395" s="158"/>
    </row>
    <row r="396" ht="18.0" hidden="1" customHeight="1">
      <c r="A396" s="222">
        <f>IFERROR(__xludf.DUMMYFUNCTION("""COMPUTED_VALUE"""),2026.0)</f>
        <v>2026</v>
      </c>
      <c r="B396" s="221">
        <f>IFERROR(__xludf.DUMMYFUNCTION("""COMPUTED_VALUE"""),1.1327164E7)</f>
        <v>11327164</v>
      </c>
      <c r="C396" s="222" t="str">
        <f>IFERROR(__xludf.DUMMYFUNCTION("""COMPUTED_VALUE"""),"MDN PT3 PUB-FAA JL.ORDE BARU")</f>
        <v>MDN PT3 PUB-FAA JL.ORDE BARU</v>
      </c>
      <c r="D396" s="222" t="str">
        <f>IFERROR(__xludf.DUMMYFUNCTION("""COMPUTED_VALUE"""),"REGIONAL I")</f>
        <v>REGIONAL I</v>
      </c>
      <c r="E396" s="222" t="str">
        <f>IFERROR(__xludf.DUMMYFUNCTION("""COMPUTED_VALUE"""),"MEDAN")</f>
        <v>MEDAN</v>
      </c>
      <c r="F396" s="222" t="str">
        <f>IFERROR(__xludf.DUMMYFUNCTION("""COMPUTED_VALUE"""),"PUB")</f>
        <v>PUB</v>
      </c>
      <c r="G396" s="222" t="str">
        <f>IFERROR(__xludf.DUMMYFUNCTION("""COMPUTED_VALUE"""),"SUMBAGUT")</f>
        <v>SUMBAGUT</v>
      </c>
      <c r="H396" s="222" t="str">
        <f>IFERROR(__xludf.DUMMYFUNCTION("""COMPUTED_VALUE"""),"MEDAN")</f>
        <v>MEDAN</v>
      </c>
      <c r="I396" s="222" t="str">
        <f>IFERROR(__xludf.DUMMYFUNCTION("""COMPUTED_VALUE"""),"Batch 2")</f>
        <v>Batch 2</v>
      </c>
      <c r="J396" s="225">
        <f>IFERROR(__xludf.DUMMYFUNCTION("""COMPUTED_VALUE"""),3.0)</f>
        <v>3</v>
      </c>
      <c r="K396" s="224">
        <f>IFERROR(__xludf.DUMMYFUNCTION("""COMPUTED_VALUE"""),24.0)</f>
        <v>24</v>
      </c>
      <c r="L396" s="226">
        <f>IFERROR(__xludf.DUMMYFUNCTION("""COMPUTED_VALUE"""),539773.0)</f>
        <v>539773</v>
      </c>
      <c r="M396" s="227">
        <f>IFERROR(__xludf.DUMMYFUNCTION("""COMPUTED_VALUE"""),1.295455E7)</f>
        <v>12954550</v>
      </c>
      <c r="N396" s="222" t="str">
        <f>IFERROR(__xludf.DUMMYFUNCTION("""COMPUTED_VALUE"""),"PT BENWA  MITRA PRATAMA")</f>
        <v>PT BENWA  MITRA PRATAMA</v>
      </c>
      <c r="O396" s="222" t="str">
        <f>IFERROR(__xludf.DUMMYFUNCTION("""COMPUTED_VALUE"""),"2. DONE AANWIJZING")</f>
        <v>2. DONE AANWIJZING</v>
      </c>
      <c r="P396" s="222" t="str">
        <f>IFERROR(__xludf.DUMMYFUNCTION("""COMPUTED_VALUE"""),"2.10 Kendala - Feeder Rusak")</f>
        <v>2.10 Kendala - Feeder Rusak</v>
      </c>
      <c r="Q396" s="222" t="str">
        <f>IFERROR(__xludf.DUMMYFUNCTION("""COMPUTED_VALUE"""),"14/11 Feeder redeti
11/11 Feeder Penuh , Perlu Redesign
(24/09) Perizinan Warga dan Kades / Lurah
(23/09) Perizinan Warga dan Kades / Lurah
15/09 proses aanwijzing")</f>
        <v>14/11 Feeder redeti
11/11 Feeder Penuh , Perlu Redesign
(24/09) Perizinan Warga dan Kades / Lurah
(23/09) Perizinan Warga dan Kades / Lurah
15/09 proses aanwijzing</v>
      </c>
      <c r="R396" s="228"/>
      <c r="S396" s="11"/>
      <c r="T396" s="11"/>
      <c r="U396" s="11"/>
      <c r="V396" s="229"/>
      <c r="W396" s="229"/>
      <c r="X396" s="229" t="str">
        <f>IFERROR(__xludf.DUMMYFUNCTION("""COMPUTED_VALUE"""),"BELUM GOLIVE")</f>
        <v>BELUM GOLIVE</v>
      </c>
      <c r="Y396" s="229"/>
      <c r="Z396" s="229" t="str">
        <f>IFERROR(__xludf.DUMMYFUNCTION("""COMPUTED_VALUE"""),"#N/A")</f>
        <v>#N/A</v>
      </c>
      <c r="AA396" s="229"/>
      <c r="AB396" s="229"/>
      <c r="AC396" s="229"/>
      <c r="AD396" s="232"/>
      <c r="AE396" s="233"/>
      <c r="AF396" s="54"/>
      <c r="AG396" s="54"/>
      <c r="AH396" s="54"/>
      <c r="AI396" s="55" t="str">
        <f t="shared" si="51"/>
        <v/>
      </c>
      <c r="AW396" s="234"/>
      <c r="BP396" s="11"/>
      <c r="BQ396" s="11"/>
      <c r="BR396" s="235"/>
      <c r="BV396" s="158"/>
      <c r="BY396" s="158"/>
      <c r="CB396" s="158"/>
    </row>
    <row r="397" ht="18.0" hidden="1" customHeight="1">
      <c r="A397" s="222">
        <f>IFERROR(__xludf.DUMMYFUNCTION("""COMPUTED_VALUE"""),2026.0)</f>
        <v>2026</v>
      </c>
      <c r="B397" s="221">
        <f>IFERROR(__xludf.DUMMYFUNCTION("""COMPUTED_VALUE"""),1.1318218E7)</f>
        <v>11318218</v>
      </c>
      <c r="C397" s="222" t="str">
        <f>IFERROR(__xludf.DUMMYFUNCTION("""COMPUTED_VALUE"""),"MDN PT3 P7I13 TTG-FGB JL.KOPRA I")</f>
        <v>MDN PT3 P7I13 TTG-FGB JL.KOPRA I</v>
      </c>
      <c r="D397" s="222" t="str">
        <f>IFERROR(__xludf.DUMMYFUNCTION("""COMPUTED_VALUE"""),"REGIONAL I")</f>
        <v>REGIONAL I</v>
      </c>
      <c r="E397" s="222" t="str">
        <f>IFERROR(__xludf.DUMMYFUNCTION("""COMPUTED_VALUE"""),"MEDAN")</f>
        <v>MEDAN</v>
      </c>
      <c r="F397" s="222" t="str">
        <f>IFERROR(__xludf.DUMMYFUNCTION("""COMPUTED_VALUE"""),"TTG")</f>
        <v>TTG</v>
      </c>
      <c r="G397" s="222" t="str">
        <f>IFERROR(__xludf.DUMMYFUNCTION("""COMPUTED_VALUE"""),"SUMBAGUT")</f>
        <v>SUMBAGUT</v>
      </c>
      <c r="H397" s="222" t="str">
        <f>IFERROR(__xludf.DUMMYFUNCTION("""COMPUTED_VALUE"""),"MEDAN")</f>
        <v>MEDAN</v>
      </c>
      <c r="I397" s="222" t="str">
        <f>IFERROR(__xludf.DUMMYFUNCTION("""COMPUTED_VALUE"""),"Batch 2")</f>
        <v>Batch 2</v>
      </c>
      <c r="J397" s="225">
        <f>IFERROR(__xludf.DUMMYFUNCTION("""COMPUTED_VALUE"""),9.0)</f>
        <v>9</v>
      </c>
      <c r="K397" s="224">
        <f>IFERROR(__xludf.DUMMYFUNCTION("""COMPUTED_VALUE"""),72.0)</f>
        <v>72</v>
      </c>
      <c r="L397" s="226">
        <f>IFERROR(__xludf.DUMMYFUNCTION("""COMPUTED_VALUE"""),730466.0)</f>
        <v>730466</v>
      </c>
      <c r="M397" s="227">
        <f>IFERROR(__xludf.DUMMYFUNCTION("""COMPUTED_VALUE"""),5.2593506E7)</f>
        <v>52593506</v>
      </c>
      <c r="N397" s="222" t="str">
        <f>IFERROR(__xludf.DUMMYFUNCTION("""COMPUTED_VALUE"""),"PT FAJAR MITRA KRIDA ABADI")</f>
        <v>PT FAJAR MITRA KRIDA ABADI</v>
      </c>
      <c r="O397" s="222" t="str">
        <f>IFERROR(__xludf.DUMMYFUNCTION("""COMPUTED_VALUE"""),"0. DROP")</f>
        <v>0. DROP</v>
      </c>
      <c r="P397" s="222" t="str">
        <f>IFERROR(__xludf.DUMMYFUNCTION("""COMPUTED_VALUE"""),"0.3 Feeder Full")</f>
        <v>0.3 Feeder Full</v>
      </c>
      <c r="Q397" s="222" t="str">
        <f>IFERROR(__xludf.DUMMYFUNCTION("""COMPUTED_VALUE"""),"5/11 Feeder Habis
(24/09) Perizinan Warga dan Kades / Lurah
(23/09) Perizinan Warga dan Kades / Lurah
15/09 proses aanwijzing")</f>
        <v>5/11 Feeder Habis
(24/09) Perizinan Warga dan Kades / Lurah
(23/09) Perizinan Warga dan Kades / Lurah
15/09 proses aanwijzing</v>
      </c>
      <c r="R397" s="228"/>
      <c r="S397" s="11"/>
      <c r="T397" s="11"/>
      <c r="U397" s="11"/>
      <c r="V397" s="229"/>
      <c r="W397" s="229"/>
      <c r="X397" s="229" t="str">
        <f>IFERROR(__xludf.DUMMYFUNCTION("""COMPUTED_VALUE"""),"BELUM GOLIVE")</f>
        <v>BELUM GOLIVE</v>
      </c>
      <c r="Y397" s="229"/>
      <c r="Z397" s="229" t="str">
        <f>IFERROR(__xludf.DUMMYFUNCTION("""COMPUTED_VALUE"""),"#N/A")</f>
        <v>#N/A</v>
      </c>
      <c r="AA397" s="229"/>
      <c r="AB397" s="229"/>
      <c r="AC397" s="229"/>
      <c r="AD397" s="232"/>
      <c r="AE397" s="233"/>
      <c r="AF397" s="54"/>
      <c r="AG397" s="54"/>
      <c r="AH397" s="54"/>
      <c r="AI397" s="55" t="str">
        <f t="shared" si="51"/>
        <v/>
      </c>
      <c r="AW397" s="234"/>
      <c r="BP397" s="11"/>
      <c r="BQ397" s="11"/>
      <c r="BR397" s="235"/>
      <c r="BV397" s="158"/>
      <c r="BY397" s="158"/>
      <c r="CB397" s="158"/>
    </row>
    <row r="398" ht="18.0" hidden="1" customHeight="1">
      <c r="A398" s="222">
        <f>IFERROR(__xludf.DUMMYFUNCTION("""COMPUTED_VALUE"""),2026.0)</f>
        <v>2026</v>
      </c>
      <c r="B398" s="221">
        <f>IFERROR(__xludf.DUMMYFUNCTION("""COMPUTED_VALUE"""),1.1396944E7)</f>
        <v>11396944</v>
      </c>
      <c r="C398" s="222" t="str">
        <f>IFERROR(__xludf.DUMMYFUNCTION("""COMPUTED_VALUE"""),"JBI-PT3-MRO-FC-JL PADANG LAMO")</f>
        <v>JBI-PT3-MRO-FC-JL PADANG LAMO</v>
      </c>
      <c r="D398" s="222" t="str">
        <f>IFERROR(__xludf.DUMMYFUNCTION("""COMPUTED_VALUE"""),"REGIONAL I")</f>
        <v>REGIONAL I</v>
      </c>
      <c r="E398" s="222" t="str">
        <f>IFERROR(__xludf.DUMMYFUNCTION("""COMPUTED_VALUE"""),"JAMBI")</f>
        <v>JAMBI</v>
      </c>
      <c r="F398" s="222" t="str">
        <f>IFERROR(__xludf.DUMMYFUNCTION("""COMPUTED_VALUE"""),"MRO")</f>
        <v>MRO</v>
      </c>
      <c r="G398" s="222" t="str">
        <f>IFERROR(__xludf.DUMMYFUNCTION("""COMPUTED_VALUE"""),"SUMBAGSEL")</f>
        <v>SUMBAGSEL</v>
      </c>
      <c r="H398" s="222" t="str">
        <f>IFERROR(__xludf.DUMMYFUNCTION("""COMPUTED_VALUE"""),"JAMBI")</f>
        <v>JAMBI</v>
      </c>
      <c r="I398" s="222" t="str">
        <f>IFERROR(__xludf.DUMMYFUNCTION("""COMPUTED_VALUE"""),"Batch 2")</f>
        <v>Batch 2</v>
      </c>
      <c r="J398" s="225">
        <f>IFERROR(__xludf.DUMMYFUNCTION("""COMPUTED_VALUE"""),10.0)</f>
        <v>10</v>
      </c>
      <c r="K398" s="224">
        <f>IFERROR(__xludf.DUMMYFUNCTION("""COMPUTED_VALUE"""),96.0)</f>
        <v>96</v>
      </c>
      <c r="L398" s="226">
        <f>IFERROR(__xludf.DUMMYFUNCTION("""COMPUTED_VALUE"""),1303972.0)</f>
        <v>1303972</v>
      </c>
      <c r="M398" s="227">
        <f>IFERROR(__xludf.DUMMYFUNCTION("""COMPUTED_VALUE"""),1.25181233E8)</f>
        <v>125181233</v>
      </c>
      <c r="N398" s="222" t="str">
        <f>IFERROR(__xludf.DUMMYFUNCTION("""COMPUTED_VALUE"""),"PT TRIPUTRA ANDALAN")</f>
        <v>PT TRIPUTRA ANDALAN</v>
      </c>
      <c r="O398" s="222" t="str">
        <f>IFERROR(__xludf.DUMMYFUNCTION("""COMPUTED_VALUE"""),"7. GOLIVE")</f>
        <v>7. GOLIVE</v>
      </c>
      <c r="P398" s="222" t="str">
        <f>IFERROR(__xludf.DUMMYFUNCTION("""COMPUTED_VALUE"""),"7.2 Golive Full / OA / DONE OTB")</f>
        <v>7.2 Golive Full / OA / DONE OTB</v>
      </c>
      <c r="Q398" s="222" t="str">
        <f>IFERROR(__xludf.DUMMYFUNCTION("""COMPUTED_VALUE"""),"(05/03) Valins (28/02) FI kendala Sfp blum terpasang di Modul Olt (22/2) distop kades,perizinan 3 jt (16/2) plan ganti mitra , triputra tidak jelas (5/2) MITRA KENDALA OPERASIONAL  (29/1) REQUEST MATERIAL (22/01) Create PID (12/1) Proses aanwidjizing ,PLA"&amp;"N VISIT 14 JAN 7/1 DRM (06/01)order JPP batch-2 2026 (28/11 HOLD 17/11 matdel 10/11 kendala operasional mitra (21/10) Mapping Mitra")</f>
        <v>(05/03) Valins (28/02) FI kendala Sfp blum terpasang di Modul Olt (22/2) distop kades,perizinan 3 jt (16/2) plan ganti mitra , triputra tidak jelas (5/2) MITRA KENDALA OPERASIONAL  (29/1) REQUEST MATERIAL (22/01) Create PID (12/1) Proses aanwidjizing ,PLAN VISIT 14 JAN 7/1 DRM (06/01)order JPP batch-2 2026 (28/11 HOLD 17/11 matdel 10/11 kendala operasional mitra (21/10) Mapping Mitra</v>
      </c>
      <c r="R398" s="228">
        <f>IFERROR(__xludf.DUMMYFUNCTION("""COMPUTED_VALUE"""),46092.0)</f>
        <v>46092</v>
      </c>
      <c r="S398" s="11" t="str">
        <f>IFERROR(__xludf.DUMMYFUNCTION("""COMPUTED_VALUE"""),"MAR")</f>
        <v>MAR</v>
      </c>
      <c r="T398" s="11"/>
      <c r="U398" s="11"/>
      <c r="V398" s="229"/>
      <c r="W398" s="229"/>
      <c r="X398" s="229" t="str">
        <f>IFERROR(__xludf.DUMMYFUNCTION("""COMPUTED_VALUE"""),"GOLIVE")</f>
        <v>GOLIVE</v>
      </c>
      <c r="Y398" s="229" t="str">
        <f>IFERROR(__xludf.DUMMYFUNCTION("""COMPUTED_VALUE"""),"DONE")</f>
        <v>DONE</v>
      </c>
      <c r="Z398" s="229" t="str">
        <f>IFERROR(__xludf.DUMMYFUNCTION("""COMPUTED_VALUE"""),"#N/A")</f>
        <v>#N/A</v>
      </c>
      <c r="AA398" s="229">
        <f>IFERROR(__xludf.DUMMYFUNCTION("""COMPUTED_VALUE"""),10.0)</f>
        <v>10</v>
      </c>
      <c r="AB398" s="229"/>
      <c r="AC398" s="229" t="str">
        <f>IFERROR(__xludf.DUMMYFUNCTION("""COMPUTED_VALUE"""),"9182842#9182847")</f>
        <v>9182842#9182847</v>
      </c>
      <c r="AD398" s="232">
        <f>IFERROR(__xludf.DUMMYFUNCTION("""COMPUTED_VALUE"""),80.0)</f>
        <v>80</v>
      </c>
      <c r="AE398" s="233">
        <f>IFERROR(__xludf.DUMMYFUNCTION("""COMPUTED_VALUE"""),46087.0)</f>
        <v>46087</v>
      </c>
      <c r="AF398" s="54"/>
      <c r="AG398" s="54"/>
      <c r="AH398" s="54">
        <v>46092.0</v>
      </c>
      <c r="AI398" s="55">
        <f t="shared" si="51"/>
        <v>5</v>
      </c>
      <c r="AW398" s="234"/>
      <c r="BP398" s="11"/>
      <c r="BQ398" s="11"/>
      <c r="BR398" s="235"/>
      <c r="BV398" s="158"/>
      <c r="BY398" s="158"/>
      <c r="CB398" s="158"/>
    </row>
    <row r="399" ht="18.0" hidden="1" customHeight="1">
      <c r="A399" s="222">
        <f>IFERROR(__xludf.DUMMYFUNCTION("""COMPUTED_VALUE"""),2026.0)</f>
        <v>2026</v>
      </c>
      <c r="B399" s="221">
        <f>IFERROR(__xludf.DUMMYFUNCTION("""COMPUTED_VALUE"""),1.1220085E7)</f>
        <v>11220085</v>
      </c>
      <c r="C399" s="222" t="str">
        <f>IFERROR(__xludf.DUMMYFUNCTION("""COMPUTED_VALUE"""),"MDN PT3 P7I5 TTG-FBE KOMP BEKALA ASRI")</f>
        <v>MDN PT3 P7I5 TTG-FBE KOMP BEKALA ASRI</v>
      </c>
      <c r="D399" s="222" t="str">
        <f>IFERROR(__xludf.DUMMYFUNCTION("""COMPUTED_VALUE"""),"REGIONAL I")</f>
        <v>REGIONAL I</v>
      </c>
      <c r="E399" s="222" t="str">
        <f>IFERROR(__xludf.DUMMYFUNCTION("""COMPUTED_VALUE"""),"MEDAN")</f>
        <v>MEDAN</v>
      </c>
      <c r="F399" s="222" t="str">
        <f>IFERROR(__xludf.DUMMYFUNCTION("""COMPUTED_VALUE"""),"TTG")</f>
        <v>TTG</v>
      </c>
      <c r="G399" s="222" t="str">
        <f>IFERROR(__xludf.DUMMYFUNCTION("""COMPUTED_VALUE"""),"SUMBAGUT")</f>
        <v>SUMBAGUT</v>
      </c>
      <c r="H399" s="222" t="str">
        <f>IFERROR(__xludf.DUMMYFUNCTION("""COMPUTED_VALUE"""),"MEDAN")</f>
        <v>MEDAN</v>
      </c>
      <c r="I399" s="222" t="str">
        <f>IFERROR(__xludf.DUMMYFUNCTION("""COMPUTED_VALUE"""),"Batch 2")</f>
        <v>Batch 2</v>
      </c>
      <c r="J399" s="225">
        <f>IFERROR(__xludf.DUMMYFUNCTION("""COMPUTED_VALUE"""),3.0)</f>
        <v>3</v>
      </c>
      <c r="K399" s="224">
        <f>IFERROR(__xludf.DUMMYFUNCTION("""COMPUTED_VALUE"""),24.0)</f>
        <v>24</v>
      </c>
      <c r="L399" s="226">
        <f>IFERROR(__xludf.DUMMYFUNCTION("""COMPUTED_VALUE"""),1302726.0)</f>
        <v>1302726</v>
      </c>
      <c r="M399" s="227">
        <f>IFERROR(__xludf.DUMMYFUNCTION("""COMPUTED_VALUE"""),3.1265408E7)</f>
        <v>31265408</v>
      </c>
      <c r="N399" s="222" t="str">
        <f>IFERROR(__xludf.DUMMYFUNCTION("""COMPUTED_VALUE"""),"SWAKELOLA")</f>
        <v>SWAKELOLA</v>
      </c>
      <c r="O399" s="222" t="str">
        <f>IFERROR(__xludf.DUMMYFUNCTION("""COMPUTED_VALUE"""),"0. DROP")</f>
        <v>0. DROP</v>
      </c>
      <c r="P399" s="222" t="str">
        <f>IFERROR(__xludf.DUMMYFUNCTION("""COMPUTED_VALUE"""),"0.4 CPP Tinggi Acc ED TIF")</f>
        <v>0.4 CPP Tinggi Acc ED TIF</v>
      </c>
      <c r="Q399" s="222" t="str">
        <f>IFERROR(__xludf.DUMMYFUNCTION("""COMPUTED_VALUE"""),"(07/01) Persiapan")</f>
        <v>(07/01) Persiapan</v>
      </c>
      <c r="R399" s="228"/>
      <c r="S399" s="11"/>
      <c r="T399" s="11"/>
      <c r="U399" s="11"/>
      <c r="V399" s="229"/>
      <c r="W399" s="229"/>
      <c r="X399" s="229" t="str">
        <f>IFERROR(__xludf.DUMMYFUNCTION("""COMPUTED_VALUE"""),"BELUM GOLIVE")</f>
        <v>BELUM GOLIVE</v>
      </c>
      <c r="Y399" s="229"/>
      <c r="Z399" s="229" t="str">
        <f>IFERROR(__xludf.DUMMYFUNCTION("""COMPUTED_VALUE"""),"#N/A")</f>
        <v>#N/A</v>
      </c>
      <c r="AA399" s="229"/>
      <c r="AB399" s="229"/>
      <c r="AC399" s="229"/>
      <c r="AD399" s="232"/>
      <c r="AE399" s="233"/>
      <c r="AF399" s="54" t="str">
        <f>IFERROR(__xludf.DUMMYFUNCTION("""COMPUTED_VALUE"""),"Draft BA DROP")</f>
        <v>Draft BA DROP</v>
      </c>
      <c r="AG399" s="54"/>
      <c r="AH399" s="54"/>
      <c r="AI399" s="55" t="str">
        <f t="shared" si="51"/>
        <v/>
      </c>
      <c r="AW399" s="234"/>
      <c r="BP399" s="11"/>
      <c r="BQ399" s="11"/>
      <c r="BR399" s="235"/>
      <c r="BV399" s="158"/>
      <c r="BY399" s="158"/>
      <c r="CB399" s="158"/>
    </row>
    <row r="400" ht="18.0" hidden="1" customHeight="1">
      <c r="A400" s="222">
        <f>IFERROR(__xludf.DUMMYFUNCTION("""COMPUTED_VALUE"""),2026.0)</f>
        <v>2026</v>
      </c>
      <c r="B400" s="221">
        <f>IFERROR(__xludf.DUMMYFUNCTION("""COMPUTED_VALUE"""),1.2110108E7)</f>
        <v>12110108</v>
      </c>
      <c r="C400" s="222" t="str">
        <f>IFERROR(__xludf.DUMMYFUNCTION("""COMPUTED_VALUE"""),"JBI-PT3 BRANCHING-MND-FC-ID 542409")</f>
        <v>JBI-PT3 BRANCHING-MND-FC-ID 542409</v>
      </c>
      <c r="D400" s="222" t="str">
        <f>IFERROR(__xludf.DUMMYFUNCTION("""COMPUTED_VALUE"""),"REGIONAL I")</f>
        <v>REGIONAL I</v>
      </c>
      <c r="E400" s="222" t="str">
        <f>IFERROR(__xludf.DUMMYFUNCTION("""COMPUTED_VALUE"""),"JAMBI")</f>
        <v>JAMBI</v>
      </c>
      <c r="F400" s="222" t="str">
        <f>IFERROR(__xludf.DUMMYFUNCTION("""COMPUTED_VALUE"""),"MND")</f>
        <v>MND</v>
      </c>
      <c r="G400" s="222" t="str">
        <f>IFERROR(__xludf.DUMMYFUNCTION("""COMPUTED_VALUE"""),"SUMBAGSEL")</f>
        <v>SUMBAGSEL</v>
      </c>
      <c r="H400" s="222" t="str">
        <f>IFERROR(__xludf.DUMMYFUNCTION("""COMPUTED_VALUE"""),"JAMBI")</f>
        <v>JAMBI</v>
      </c>
      <c r="I400" s="222" t="str">
        <f>IFERROR(__xludf.DUMMYFUNCTION("""COMPUTED_VALUE"""),"Batch 2")</f>
        <v>Batch 2</v>
      </c>
      <c r="J400" s="225">
        <f>IFERROR(__xludf.DUMMYFUNCTION("""COMPUTED_VALUE"""),4.0)</f>
        <v>4</v>
      </c>
      <c r="K400" s="224">
        <f>IFERROR(__xludf.DUMMYFUNCTION("""COMPUTED_VALUE"""),32.0)</f>
        <v>32</v>
      </c>
      <c r="L400" s="226">
        <f>IFERROR(__xludf.DUMMYFUNCTION("""COMPUTED_VALUE"""),1302287.0)</f>
        <v>1302287</v>
      </c>
      <c r="M400" s="227">
        <f>IFERROR(__xludf.DUMMYFUNCTION("""COMPUTED_VALUE"""),4.167316E7)</f>
        <v>41673160</v>
      </c>
      <c r="N400" s="222"/>
      <c r="O400" s="222" t="str">
        <f>IFERROR(__xludf.DUMMYFUNCTION("""COMPUTED_VALUE"""),"0. DROP")</f>
        <v>0. DROP</v>
      </c>
      <c r="P400" s="222" t="str">
        <f>IFERROR(__xludf.DUMMYFUNCTION("""COMPUTED_VALUE"""),"0.1 Double Order")</f>
        <v>0.1 Double Order</v>
      </c>
      <c r="Q400" s="222" t="str">
        <f>IFERROR(__xludf.DUMMYFUNCTION("""COMPUTED_VALUE"""),"(12/1) BA Drop Sirkulir  (06/01)order JPP batch-2 2026 ((16/10) Info Tsel Drop sudah ada ODP eksisting (15/10) Mapping Mitra")</f>
        <v>(12/1) BA Drop Sirkulir  (06/01)order JPP batch-2 2026 ((16/10) Info Tsel Drop sudah ada ODP eksisting (15/10) Mapping Mitra</v>
      </c>
      <c r="R400" s="228"/>
      <c r="S400" s="11"/>
      <c r="T400" s="11"/>
      <c r="U400" s="11"/>
      <c r="V400" s="229"/>
      <c r="W400" s="229"/>
      <c r="X400" s="229" t="str">
        <f>IFERROR(__xludf.DUMMYFUNCTION("""COMPUTED_VALUE"""),"BELUM GOLIVE")</f>
        <v>BELUM GOLIVE</v>
      </c>
      <c r="Y400" s="229"/>
      <c r="Z400" s="229" t="str">
        <f>IFERROR(__xludf.DUMMYFUNCTION("""COMPUTED_VALUE"""),"#N/A")</f>
        <v>#N/A</v>
      </c>
      <c r="AA400" s="229"/>
      <c r="AB400" s="229"/>
      <c r="AC400" s="229"/>
      <c r="AD400" s="232"/>
      <c r="AE400" s="233"/>
      <c r="AF400" s="54" t="str">
        <f>IFERROR(__xludf.DUMMYFUNCTION("""COMPUTED_VALUE"""),"Draft BA DROP")</f>
        <v>Draft BA DROP</v>
      </c>
      <c r="AG400" s="54"/>
      <c r="AH400" s="54"/>
      <c r="AI400" s="55" t="str">
        <f t="shared" si="51"/>
        <v/>
      </c>
      <c r="AW400" s="234"/>
      <c r="BP400" s="11"/>
      <c r="BQ400" s="11"/>
      <c r="BR400" s="235"/>
      <c r="BV400" s="158"/>
      <c r="BY400" s="158"/>
      <c r="CB400" s="158"/>
    </row>
    <row r="401" ht="18.0" hidden="1" customHeight="1">
      <c r="A401" s="222">
        <f>IFERROR(__xludf.DUMMYFUNCTION("""COMPUTED_VALUE"""),2026.0)</f>
        <v>2026</v>
      </c>
      <c r="B401" s="221">
        <f>IFERROR(__xludf.DUMMYFUNCTION("""COMPUTED_VALUE"""),1.089471E7)</f>
        <v>10894710</v>
      </c>
      <c r="C401" s="222" t="str">
        <f>IFERROR(__xludf.DUMMYFUNCTION("""COMPUTED_VALUE"""),"ACH PT3 DAR-FBD D02 PERUM LAMGAPANG")</f>
        <v>ACH PT3 DAR-FBD D02 PERUM LAMGAPANG</v>
      </c>
      <c r="D401" s="222" t="str">
        <f>IFERROR(__xludf.DUMMYFUNCTION("""COMPUTED_VALUE"""),"REGIONAL I")</f>
        <v>REGIONAL I</v>
      </c>
      <c r="E401" s="222" t="str">
        <f>IFERROR(__xludf.DUMMYFUNCTION("""COMPUTED_VALUE"""),"ACEH")</f>
        <v>ACEH</v>
      </c>
      <c r="F401" s="222" t="str">
        <f>IFERROR(__xludf.DUMMYFUNCTION("""COMPUTED_VALUE"""),"DAR")</f>
        <v>DAR</v>
      </c>
      <c r="G401" s="222" t="str">
        <f>IFERROR(__xludf.DUMMYFUNCTION("""COMPUTED_VALUE"""),"SUMBAGUT")</f>
        <v>SUMBAGUT</v>
      </c>
      <c r="H401" s="222" t="str">
        <f>IFERROR(__xludf.DUMMYFUNCTION("""COMPUTED_VALUE"""),"BANDA ACEH")</f>
        <v>BANDA ACEH</v>
      </c>
      <c r="I401" s="222" t="str">
        <f>IFERROR(__xludf.DUMMYFUNCTION("""COMPUTED_VALUE"""),"Batch 2")</f>
        <v>Batch 2</v>
      </c>
      <c r="J401" s="225">
        <f>IFERROR(__xludf.DUMMYFUNCTION("""COMPUTED_VALUE"""),14.0)</f>
        <v>14</v>
      </c>
      <c r="K401" s="224">
        <f>IFERROR(__xludf.DUMMYFUNCTION("""COMPUTED_VALUE"""),112.0)</f>
        <v>112</v>
      </c>
      <c r="L401" s="226">
        <f>IFERROR(__xludf.DUMMYFUNCTION("""COMPUTED_VALUE"""),1302014.0)</f>
        <v>1302014</v>
      </c>
      <c r="M401" s="227">
        <f>IFERROR(__xludf.DUMMYFUNCTION("""COMPUTED_VALUE"""),1.45825537E8)</f>
        <v>145825537</v>
      </c>
      <c r="N401" s="222" t="str">
        <f>IFERROR(__xludf.DUMMYFUNCTION("""COMPUTED_VALUE"""),"PT NIAGA NUSANTARA DIVA")</f>
        <v>PT NIAGA NUSANTARA DIVA</v>
      </c>
      <c r="O401" s="222" t="str">
        <f>IFERROR(__xludf.DUMMYFUNCTION("""COMPUTED_VALUE"""),"7. GOLIVE")</f>
        <v>7. GOLIVE</v>
      </c>
      <c r="P401" s="222" t="str">
        <f>IFERROR(__xludf.DUMMYFUNCTION("""COMPUTED_VALUE"""),"7.2 Golive Full / OA / DONE OTB")</f>
        <v>7.2 Golive Full / OA / DONE OTB</v>
      </c>
      <c r="Q401" s="222" t="str">
        <f>IFERROR(__xludf.DUMMYFUNCTION("""COMPUTED_VALUE"""),"(09/02) DelMat (09/02) Proses Nego dgn Kepala Desa (29/01) Proses Negosiasi dengan Kepala Desa
(21/01) DelMat (07/01) Persiapan")</f>
        <v>(09/02) DelMat (09/02) Proses Nego dgn Kepala Desa (29/01) Proses Negosiasi dengan Kepala Desa
(21/01) DelMat (07/01) Persiapan</v>
      </c>
      <c r="R401" s="228"/>
      <c r="S401" s="11"/>
      <c r="T401" s="11"/>
      <c r="U401" s="11"/>
      <c r="V401" s="229"/>
      <c r="W401" s="229"/>
      <c r="X401" s="229" t="str">
        <f>IFERROR(__xludf.DUMMYFUNCTION("""COMPUTED_VALUE"""),"GOLIVE")</f>
        <v>GOLIVE</v>
      </c>
      <c r="Y401" s="229" t="str">
        <f>IFERROR(__xludf.DUMMYFUNCTION("""COMPUTED_VALUE"""),"DONE")</f>
        <v>DONE</v>
      </c>
      <c r="Z401" s="229" t="str">
        <f>IFERROR(__xludf.DUMMYFUNCTION("""COMPUTED_VALUE"""),"#N/A")</f>
        <v>#N/A</v>
      </c>
      <c r="AA401" s="229">
        <f>IFERROR(__xludf.DUMMYFUNCTION("""COMPUTED_VALUE"""),14.0)</f>
        <v>14</v>
      </c>
      <c r="AB401" s="229"/>
      <c r="AC401" s="229" t="str">
        <f>IFERROR(__xludf.DUMMYFUNCTION("""COMPUTED_VALUE"""),"9210747#9210752")</f>
        <v>9210747#9210752</v>
      </c>
      <c r="AD401" s="232">
        <f>IFERROR(__xludf.DUMMYFUNCTION("""COMPUTED_VALUE"""),112.0)</f>
        <v>112</v>
      </c>
      <c r="AE401" s="233">
        <f>IFERROR(__xludf.DUMMYFUNCTION("""COMPUTED_VALUE"""),46109.0)</f>
        <v>46109</v>
      </c>
      <c r="AF401" s="54"/>
      <c r="AG401" s="54"/>
      <c r="AH401" s="54"/>
      <c r="AI401" s="55" t="str">
        <f t="shared" si="51"/>
        <v/>
      </c>
      <c r="AW401" s="234"/>
      <c r="BP401" s="11"/>
      <c r="BQ401" s="11"/>
      <c r="BR401" s="235"/>
      <c r="BV401" s="158"/>
      <c r="BY401" s="158"/>
      <c r="CB401" s="158"/>
    </row>
    <row r="402" ht="18.0" hidden="1" customHeight="1">
      <c r="A402" s="222">
        <f>IFERROR(__xludf.DUMMYFUNCTION("""COMPUTED_VALUE"""),2026.0)</f>
        <v>2026</v>
      </c>
      <c r="B402" s="221">
        <f>IFERROR(__xludf.DUMMYFUNCTION("""COMPUTED_VALUE"""),1.1587636E7)</f>
        <v>11587636</v>
      </c>
      <c r="C402" s="222" t="str">
        <f>IFERROR(__xludf.DUMMYFUNCTION("""COMPUTED_VALUE"""),"ACH BPD PT3 BPD-FQ D04 COT MANE")</f>
        <v>ACH BPD PT3 BPD-FQ D04 COT MANE</v>
      </c>
      <c r="D402" s="222" t="str">
        <f>IFERROR(__xludf.DUMMYFUNCTION("""COMPUTED_VALUE"""),"REGIONAL I")</f>
        <v>REGIONAL I</v>
      </c>
      <c r="E402" s="222" t="str">
        <f>IFERROR(__xludf.DUMMYFUNCTION("""COMPUTED_VALUE"""),"ACEH")</f>
        <v>ACEH</v>
      </c>
      <c r="F402" s="222" t="str">
        <f>IFERROR(__xludf.DUMMYFUNCTION("""COMPUTED_VALUE"""),"BPD")</f>
        <v>BPD</v>
      </c>
      <c r="G402" s="222" t="str">
        <f>IFERROR(__xludf.DUMMYFUNCTION("""COMPUTED_VALUE"""),"SUMBAGUT")</f>
        <v>SUMBAGUT</v>
      </c>
      <c r="H402" s="222" t="str">
        <f>IFERROR(__xludf.DUMMYFUNCTION("""COMPUTED_VALUE"""),"BANDA ACEH")</f>
        <v>BANDA ACEH</v>
      </c>
      <c r="I402" s="222" t="str">
        <f>IFERROR(__xludf.DUMMYFUNCTION("""COMPUTED_VALUE"""),"Batch 2")</f>
        <v>Batch 2</v>
      </c>
      <c r="J402" s="225">
        <f>IFERROR(__xludf.DUMMYFUNCTION("""COMPUTED_VALUE"""),8.0)</f>
        <v>8</v>
      </c>
      <c r="K402" s="224">
        <f>IFERROR(__xludf.DUMMYFUNCTION("""COMPUTED_VALUE"""),64.0)</f>
        <v>64</v>
      </c>
      <c r="L402" s="226">
        <f>IFERROR(__xludf.DUMMYFUNCTION("""COMPUTED_VALUE"""),1301702.0)</f>
        <v>1301702</v>
      </c>
      <c r="M402" s="227">
        <f>IFERROR(__xludf.DUMMYFUNCTION("""COMPUTED_VALUE"""),8.3308899E7)</f>
        <v>83308899</v>
      </c>
      <c r="N402" s="222" t="str">
        <f>IFERROR(__xludf.DUMMYFUNCTION("""COMPUTED_VALUE"""),"PT NIAGA NUSANTARA DIVA")</f>
        <v>PT NIAGA NUSANTARA DIVA</v>
      </c>
      <c r="O402" s="222" t="str">
        <f>IFERROR(__xludf.DUMMYFUNCTION("""COMPUTED_VALUE"""),"7. GOLIVE")</f>
        <v>7. GOLIVE</v>
      </c>
      <c r="P402" s="222" t="str">
        <f>IFERROR(__xludf.DUMMYFUNCTION("""COMPUTED_VALUE"""),"7.2 Golive Full / OA / DONE OTB")</f>
        <v>7.2 Golive Full / OA / DONE OTB</v>
      </c>
      <c r="Q402" s="222" t="str">
        <f>IFERROR(__xludf.DUMMYFUNCTION("""COMPUTED_VALUE"""),"(29/01)selesai fisik")</f>
        <v>(29/01)selesai fisik</v>
      </c>
      <c r="R402" s="228">
        <f>IFERROR(__xludf.DUMMYFUNCTION("""COMPUTED_VALUE"""),46056.0)</f>
        <v>46056</v>
      </c>
      <c r="S402" s="11"/>
      <c r="T402" s="11"/>
      <c r="U402" s="11" t="str">
        <f>IFERROR(__xludf.DUMMYFUNCTION("""COMPUTED_VALUE"""),"W04-917/2025")</f>
        <v>W04-917/2025</v>
      </c>
      <c r="V402" s="229"/>
      <c r="W402" s="229"/>
      <c r="X402" s="229" t="str">
        <f>IFERROR(__xludf.DUMMYFUNCTION("""COMPUTED_VALUE"""),"GOLIVE")</f>
        <v>GOLIVE</v>
      </c>
      <c r="Y402" s="229" t="str">
        <f>IFERROR(__xludf.DUMMYFUNCTION("""COMPUTED_VALUE"""),"DONE")</f>
        <v>DONE</v>
      </c>
      <c r="Z402" s="229" t="str">
        <f>IFERROR(__xludf.DUMMYFUNCTION("""COMPUTED_VALUE"""),"#N/A")</f>
        <v>#N/A</v>
      </c>
      <c r="AA402" s="229">
        <f>IFERROR(__xludf.DUMMYFUNCTION("""COMPUTED_VALUE"""),8.0)</f>
        <v>8</v>
      </c>
      <c r="AB402" s="229"/>
      <c r="AC402" s="229" t="str">
        <f>IFERROR(__xludf.DUMMYFUNCTION("""COMPUTED_VALUE"""),"9054101#9054106")</f>
        <v>9054101#9054106</v>
      </c>
      <c r="AD402" s="232">
        <f>IFERROR(__xludf.DUMMYFUNCTION("""COMPUTED_VALUE"""),64.0)</f>
        <v>64</v>
      </c>
      <c r="AE402" s="233">
        <f>IFERROR(__xludf.DUMMYFUNCTION("""COMPUTED_VALUE"""),46056.0)</f>
        <v>46056</v>
      </c>
      <c r="AF402" s="54"/>
      <c r="AG402" s="54"/>
      <c r="AH402" s="54">
        <v>46137.0</v>
      </c>
      <c r="AI402" s="237">
        <f>AH402-NOW()</f>
        <v>-3.377989884</v>
      </c>
      <c r="AJ402" s="229" t="str">
        <f>if(AI402&gt;=0,"In Komitmen","Out Komitmen")</f>
        <v>Out Komitmen</v>
      </c>
      <c r="AK402" s="229" t="e">
        <v>#N/A</v>
      </c>
      <c r="AW402" s="234"/>
      <c r="BP402" s="11"/>
      <c r="BQ402" s="11"/>
      <c r="BR402" s="235"/>
      <c r="BV402" s="158"/>
      <c r="BY402" s="158"/>
      <c r="CB402" s="158"/>
    </row>
    <row r="403" ht="18.0" customHeight="1">
      <c r="A403" s="222">
        <f>IFERROR(__xludf.DUMMYFUNCTION("""COMPUTED_VALUE"""),2026.0)</f>
        <v>2026</v>
      </c>
      <c r="B403" s="221">
        <f>IFERROR(__xludf.DUMMYFUNCTION("""COMPUTED_VALUE"""),1.136772E7)</f>
        <v>11367720</v>
      </c>
      <c r="C403" s="222" t="str">
        <f>IFERROR(__xludf.DUMMYFUNCTION("""COMPUTED_VALUE"""),"RKP PT3 TSEL DBS-FD PASIR KUNING")</f>
        <v>RKP PT3 TSEL DBS-FD PASIR KUNING</v>
      </c>
      <c r="D403" s="222" t="str">
        <f>IFERROR(__xludf.DUMMYFUNCTION("""COMPUTED_VALUE"""),"REGIONAL I")</f>
        <v>REGIONAL I</v>
      </c>
      <c r="E403" s="222" t="str">
        <f>IFERROR(__xludf.DUMMYFUNCTION("""COMPUTED_VALUE"""),"RIKEP")</f>
        <v>RIKEP</v>
      </c>
      <c r="F403" s="222" t="str">
        <f>IFERROR(__xludf.DUMMYFUNCTION("""COMPUTED_VALUE"""),"DBS")</f>
        <v>DBS</v>
      </c>
      <c r="G403" s="222" t="str">
        <f>IFERROR(__xludf.DUMMYFUNCTION("""COMPUTED_VALUE"""),"SUMBAGTENG")</f>
        <v>SUMBAGTENG</v>
      </c>
      <c r="H403" s="222" t="str">
        <f>IFERROR(__xludf.DUMMYFUNCTION("""COMPUTED_VALUE"""),"BATAM")</f>
        <v>BATAM</v>
      </c>
      <c r="I403" s="222" t="str">
        <f>IFERROR(__xludf.DUMMYFUNCTION("""COMPUTED_VALUE"""),"Batch 2")</f>
        <v>Batch 2</v>
      </c>
      <c r="J403" s="225">
        <f>IFERROR(__xludf.DUMMYFUNCTION("""COMPUTED_VALUE"""),2.0)</f>
        <v>2</v>
      </c>
      <c r="K403" s="224">
        <f>IFERROR(__xludf.DUMMYFUNCTION("""COMPUTED_VALUE"""),16.0)</f>
        <v>16</v>
      </c>
      <c r="L403" s="226">
        <f>IFERROR(__xludf.DUMMYFUNCTION("""COMPUTED_VALUE"""),1300814.0)</f>
        <v>1300814</v>
      </c>
      <c r="M403" s="227">
        <f>IFERROR(__xludf.DUMMYFUNCTION("""COMPUTED_VALUE"""),2.0813023E7)</f>
        <v>20813023</v>
      </c>
      <c r="N403" s="222" t="str">
        <f>IFERROR(__xludf.DUMMYFUNCTION("""COMPUTED_VALUE"""),"SWAKELOLA")</f>
        <v>SWAKELOLA</v>
      </c>
      <c r="O403" s="222" t="str">
        <f>IFERROR(__xludf.DUMMYFUNCTION("""COMPUTED_VALUE"""),"4. MATDEL")</f>
        <v>4. MATDEL</v>
      </c>
      <c r="P403" s="222" t="str">
        <f>IFERROR(__xludf.DUMMYFUNCTION("""COMPUTED_VALUE"""),"4.3 Proses Kirim Mateial Kelokasi")</f>
        <v>4.3 Proses Kirim Mateial Kelokasi</v>
      </c>
      <c r="Q403"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403" s="228"/>
      <c r="S403" s="11"/>
      <c r="T403" s="11"/>
      <c r="U403" s="11" t="str">
        <f>IFERROR(__xludf.DUMMYFUNCTION("""COMPUTED_VALUE"""),"W09-305/2026")</f>
        <v>W09-305/2026</v>
      </c>
      <c r="V403" s="229" t="str">
        <f>IFERROR(__xludf.DUMMYFUNCTION("""COMPUTED_VALUE"""),"DEDY IRAWAN")</f>
        <v>DEDY IRAWAN</v>
      </c>
      <c r="W403" s="229" t="str">
        <f>IFERROR(__xludf.DUMMYFUNCTION("""COMPUTED_VALUE"""),"LEVITA INDRIYANI")</f>
        <v>LEVITA INDRIYANI</v>
      </c>
      <c r="X403" s="229" t="str">
        <f>IFERROR(__xludf.DUMMYFUNCTION("""COMPUTED_VALUE"""),"BELUM GOLIVE")</f>
        <v>BELUM GOLIVE</v>
      </c>
      <c r="Y403" s="229"/>
      <c r="Z403" s="229" t="str">
        <f>IFERROR(__xludf.DUMMYFUNCTION("""COMPUTED_VALUE"""),"#N/A")</f>
        <v>#N/A</v>
      </c>
      <c r="AA403" s="229"/>
      <c r="AB403" s="229"/>
      <c r="AC403" s="229"/>
      <c r="AD403" s="232"/>
      <c r="AE403" s="233"/>
      <c r="AF403" s="54"/>
      <c r="AG403" s="54"/>
      <c r="AH403" s="54"/>
      <c r="AI403" s="55" t="str">
        <f t="shared" ref="AI403:AI405" si="52">IF(OR(R403="",AE403=""),"",R403-AE403)</f>
        <v/>
      </c>
      <c r="AW403" s="234"/>
      <c r="BP403" s="11"/>
      <c r="BQ403" s="11"/>
      <c r="BR403" s="235"/>
      <c r="BV403" s="158"/>
      <c r="BY403" s="158"/>
      <c r="CB403" s="158"/>
    </row>
    <row r="404" ht="18.0" hidden="1" customHeight="1">
      <c r="A404" s="222">
        <f>IFERROR(__xludf.DUMMYFUNCTION("""COMPUTED_VALUE"""),2026.0)</f>
        <v>2026</v>
      </c>
      <c r="B404" s="221">
        <f>IFERROR(__xludf.DUMMYFUNCTION("""COMPUTED_VALUE"""),1.1194118E7)</f>
        <v>11194118</v>
      </c>
      <c r="C404" s="222" t="str">
        <f>IFERROR(__xludf.DUMMYFUNCTION("""COMPUTED_VALUE"""),"MDN PT3 TTG-FBJ VILLA NUSA SETIA BUDI")</f>
        <v>MDN PT3 TTG-FBJ VILLA NUSA SETIA BUDI</v>
      </c>
      <c r="D404" s="222" t="str">
        <f>IFERROR(__xludf.DUMMYFUNCTION("""COMPUTED_VALUE"""),"REGIONAL I")</f>
        <v>REGIONAL I</v>
      </c>
      <c r="E404" s="222" t="str">
        <f>IFERROR(__xludf.DUMMYFUNCTION("""COMPUTED_VALUE"""),"MEDAN")</f>
        <v>MEDAN</v>
      </c>
      <c r="F404" s="222" t="str">
        <f>IFERROR(__xludf.DUMMYFUNCTION("""COMPUTED_VALUE"""),"TTG")</f>
        <v>TTG</v>
      </c>
      <c r="G404" s="222" t="str">
        <f>IFERROR(__xludf.DUMMYFUNCTION("""COMPUTED_VALUE"""),"SUMBAGUT")</f>
        <v>SUMBAGUT</v>
      </c>
      <c r="H404" s="222" t="str">
        <f>IFERROR(__xludf.DUMMYFUNCTION("""COMPUTED_VALUE"""),"MEDAN")</f>
        <v>MEDAN</v>
      </c>
      <c r="I404" s="222" t="str">
        <f>IFERROR(__xludf.DUMMYFUNCTION("""COMPUTED_VALUE"""),"Batch 2")</f>
        <v>Batch 2</v>
      </c>
      <c r="J404" s="225">
        <f>IFERROR(__xludf.DUMMYFUNCTION("""COMPUTED_VALUE"""),8.0)</f>
        <v>8</v>
      </c>
      <c r="K404" s="224">
        <f>IFERROR(__xludf.DUMMYFUNCTION("""COMPUTED_VALUE"""),64.0)</f>
        <v>64</v>
      </c>
      <c r="L404" s="226">
        <f>IFERROR(__xludf.DUMMYFUNCTION("""COMPUTED_VALUE"""),1098320.0)</f>
        <v>1098320</v>
      </c>
      <c r="M404" s="227">
        <f>IFERROR(__xludf.DUMMYFUNCTION("""COMPUTED_VALUE"""),7.0292422E7)</f>
        <v>70292422</v>
      </c>
      <c r="N404" s="222" t="str">
        <f>IFERROR(__xludf.DUMMYFUNCTION("""COMPUTED_VALUE"""),"PT FAJAR MITRA KRIDA ABADI")</f>
        <v>PT FAJAR MITRA KRIDA ABADI</v>
      </c>
      <c r="O404" s="222" t="str">
        <f>IFERROR(__xludf.DUMMYFUNCTION("""COMPUTED_VALUE"""),"0. DROP")</f>
        <v>0. DROP</v>
      </c>
      <c r="P404" s="222" t="str">
        <f>IFERROR(__xludf.DUMMYFUNCTION("""COMPUTED_VALUE"""),"0.2 Tidak Dapat Izin Warga/Kades/Lurah/Developer")</f>
        <v>0.2 Tidak Dapat Izin Warga/Kades/Lurah/Developer</v>
      </c>
      <c r="Q404" s="222" t="str">
        <f>IFERROR(__xludf.DUMMYFUNCTION("""COMPUTED_VALUE"""),"Tidak diberi izin tanam tiang")</f>
        <v>Tidak diberi izin tanam tiang</v>
      </c>
      <c r="R404" s="228"/>
      <c r="S404" s="11"/>
      <c r="T404" s="11"/>
      <c r="U404" s="11"/>
      <c r="V404" s="229"/>
      <c r="W404" s="229"/>
      <c r="X404" s="229" t="str">
        <f>IFERROR(__xludf.DUMMYFUNCTION("""COMPUTED_VALUE"""),"BELUM GOLIVE")</f>
        <v>BELUM GOLIVE</v>
      </c>
      <c r="Y404" s="229"/>
      <c r="Z404" s="229" t="str">
        <f>IFERROR(__xludf.DUMMYFUNCTION("""COMPUTED_VALUE"""),"#N/A")</f>
        <v>#N/A</v>
      </c>
      <c r="AA404" s="229"/>
      <c r="AB404" s="229"/>
      <c r="AC404" s="229"/>
      <c r="AD404" s="232"/>
      <c r="AE404" s="233"/>
      <c r="AF404" s="54" t="str">
        <f>IFERROR(__xludf.DUMMYFUNCTION("""COMPUTED_VALUE"""),"Draft BA DROP")</f>
        <v>Draft BA DROP</v>
      </c>
      <c r="AG404" s="54"/>
      <c r="AH404" s="54"/>
      <c r="AI404" s="55" t="str">
        <f t="shared" si="52"/>
        <v/>
      </c>
      <c r="AW404" s="234"/>
      <c r="BP404" s="11"/>
      <c r="BQ404" s="11"/>
      <c r="BR404" s="235"/>
      <c r="BV404" s="158"/>
      <c r="BY404" s="158"/>
      <c r="CB404" s="158"/>
    </row>
    <row r="405" ht="18.0" customHeight="1">
      <c r="A405" s="222">
        <f>IFERROR(__xludf.DUMMYFUNCTION("""COMPUTED_VALUE"""),2026.0)</f>
        <v>2026</v>
      </c>
      <c r="B405" s="221">
        <f>IFERROR(__xludf.DUMMYFUNCTION("""COMPUTED_VALUE"""),1.1094731E7)</f>
        <v>11094731</v>
      </c>
      <c r="C405" s="222" t="str">
        <f>IFERROR(__xludf.DUMMYFUNCTION("""COMPUTED_VALUE"""),"RkP PT3 JPPTSEL KMS-FBJ PERUM. SIDOMULYO_ASRI")</f>
        <v>RkP PT3 JPPTSEL KMS-FBJ PERUM. SIDOMULYO_ASRI</v>
      </c>
      <c r="D405" s="222" t="str">
        <f>IFERROR(__xludf.DUMMYFUNCTION("""COMPUTED_VALUE"""),"REGIONAL I")</f>
        <v>REGIONAL I</v>
      </c>
      <c r="E405" s="222" t="str">
        <f>IFERROR(__xludf.DUMMYFUNCTION("""COMPUTED_VALUE"""),"RIKEP")</f>
        <v>RIKEP</v>
      </c>
      <c r="F405" s="222" t="str">
        <f>IFERROR(__xludf.DUMMYFUNCTION("""COMPUTED_VALUE"""),"KIJ")</f>
        <v>KIJ</v>
      </c>
      <c r="G405" s="222" t="str">
        <f>IFERROR(__xludf.DUMMYFUNCTION("""COMPUTED_VALUE"""),"SUMBAGTENG")</f>
        <v>SUMBAGTENG</v>
      </c>
      <c r="H405" s="222" t="str">
        <f>IFERROR(__xludf.DUMMYFUNCTION("""COMPUTED_VALUE"""),"BATAM")</f>
        <v>BATAM</v>
      </c>
      <c r="I405" s="222" t="str">
        <f>IFERROR(__xludf.DUMMYFUNCTION("""COMPUTED_VALUE"""),"Batch 2")</f>
        <v>Batch 2</v>
      </c>
      <c r="J405" s="225">
        <f>IFERROR(__xludf.DUMMYFUNCTION("""COMPUTED_VALUE"""),4.0)</f>
        <v>4</v>
      </c>
      <c r="K405" s="224">
        <f>IFERROR(__xludf.DUMMYFUNCTION("""COMPUTED_VALUE"""),32.0)</f>
        <v>32</v>
      </c>
      <c r="L405" s="226">
        <f>IFERROR(__xludf.DUMMYFUNCTION("""COMPUTED_VALUE"""),1300190.0)</f>
        <v>1300190</v>
      </c>
      <c r="M405" s="227">
        <f>IFERROR(__xludf.DUMMYFUNCTION("""COMPUTED_VALUE"""),4.160607E7)</f>
        <v>41606070</v>
      </c>
      <c r="N405" s="222" t="str">
        <f>IFERROR(__xludf.DUMMYFUNCTION("""COMPUTED_VALUE"""),"PT SALTTEK DUMPANG JAYA")</f>
        <v>PT SALTTEK DUMPANG JAYA</v>
      </c>
      <c r="O405" s="222" t="str">
        <f>IFERROR(__xludf.DUMMYFUNCTION("""COMPUTED_VALUE"""),"0. DROP")</f>
        <v>0. DROP</v>
      </c>
      <c r="P405" s="222" t="str">
        <f>IFERROR(__xludf.DUMMYFUNCTION("""COMPUTED_VALUE"""),"0.2 Tidak Dapat Izin Warga/Kades/Lurah/Developer")</f>
        <v>0.2 Tidak Dapat Izin Warga/Kades/Lurah/Developer</v>
      </c>
      <c r="Q405" s="222" t="str">
        <f>IFERROR(__xludf.DUMMYFUNCTION("""COMPUTED_VALUE"""),"28/01 Izin ditolak oleh korlap perumahan dan tidak acc untuk tanam tiang. 21/01 plan fu perizinan tanggal 26 Jan")</f>
        <v>28/01 Izin ditolak oleh korlap perumahan dan tidak acc untuk tanam tiang. 21/01 plan fu perizinan tanggal 26 Jan</v>
      </c>
      <c r="R405" s="228"/>
      <c r="S405" s="11"/>
      <c r="T405" s="11"/>
      <c r="U405" s="11"/>
      <c r="V405" s="229" t="str">
        <f>IFERROR(__xludf.DUMMYFUNCTION("""COMPUTED_VALUE"""),"DEDY IRAWAN")</f>
        <v>DEDY IRAWAN</v>
      </c>
      <c r="W405" s="229" t="str">
        <f>IFERROR(__xludf.DUMMYFUNCTION("""COMPUTED_VALUE"""),"LEVITA INDRIYANI")</f>
        <v>LEVITA INDRIYANI</v>
      </c>
      <c r="X405" s="229" t="str">
        <f>IFERROR(__xludf.DUMMYFUNCTION("""COMPUTED_VALUE"""),"BELUM GOLIVE")</f>
        <v>BELUM GOLIVE</v>
      </c>
      <c r="Y405" s="229"/>
      <c r="Z405" s="229" t="str">
        <f>IFERROR(__xludf.DUMMYFUNCTION("""COMPUTED_VALUE"""),"#N/A")</f>
        <v>#N/A</v>
      </c>
      <c r="AA405" s="229"/>
      <c r="AB405" s="229"/>
      <c r="AC405" s="229"/>
      <c r="AD405" s="232"/>
      <c r="AE405" s="233"/>
      <c r="AF405" s="54" t="str">
        <f>IFERROR(__xludf.DUMMYFUNCTION("""COMPUTED_VALUE"""),"Draft BA DROP")</f>
        <v>Draft BA DROP</v>
      </c>
      <c r="AG405" s="54"/>
      <c r="AH405" s="54">
        <v>46119.0</v>
      </c>
      <c r="AI405" s="55" t="str">
        <f t="shared" si="52"/>
        <v/>
      </c>
      <c r="AJ405" s="229" t="str">
        <f t="shared" ref="AJ405:AJ406" si="53">if(AI405&gt;=0,"Gl in Komitmen","Gl out komitmen")</f>
        <v>Gl in Komitmen</v>
      </c>
      <c r="AW405" s="234"/>
      <c r="BP405" s="11"/>
      <c r="BQ405" s="11"/>
      <c r="BR405" s="235"/>
      <c r="BV405" s="158"/>
      <c r="BY405" s="158"/>
      <c r="CB405" s="158"/>
    </row>
    <row r="406" ht="18.0" customHeight="1">
      <c r="A406" s="222">
        <f>IFERROR(__xludf.DUMMYFUNCTION("""COMPUTED_VALUE"""),2026.0)</f>
        <v>2026</v>
      </c>
      <c r="B406" s="221">
        <f>IFERROR(__xludf.DUMMYFUNCTION("""COMPUTED_VALUE"""),1.1100272E7)</f>
        <v>11100272</v>
      </c>
      <c r="C406" s="222" t="str">
        <f>IFERROR(__xludf.DUMMYFUNCTION("""COMPUTED_VALUE"""),"RKP PT3 JPPTSEL KMS-FBJ PERUM TIRTA KENCANA_")</f>
        <v>RKP PT3 JPPTSEL KMS-FBJ PERUM TIRTA KENCANA_</v>
      </c>
      <c r="D406" s="222" t="str">
        <f>IFERROR(__xludf.DUMMYFUNCTION("""COMPUTED_VALUE"""),"REGIONAL I")</f>
        <v>REGIONAL I</v>
      </c>
      <c r="E406" s="222" t="str">
        <f>IFERROR(__xludf.DUMMYFUNCTION("""COMPUTED_VALUE"""),"RIKEP")</f>
        <v>RIKEP</v>
      </c>
      <c r="F406" s="222" t="str">
        <f>IFERROR(__xludf.DUMMYFUNCTION("""COMPUTED_VALUE"""),"KMS")</f>
        <v>KMS</v>
      </c>
      <c r="G406" s="222" t="str">
        <f>IFERROR(__xludf.DUMMYFUNCTION("""COMPUTED_VALUE"""),"SUMBAGTENG")</f>
        <v>SUMBAGTENG</v>
      </c>
      <c r="H406" s="222" t="str">
        <f>IFERROR(__xludf.DUMMYFUNCTION("""COMPUTED_VALUE"""),"BATAM")</f>
        <v>BATAM</v>
      </c>
      <c r="I406" s="222" t="str">
        <f>IFERROR(__xludf.DUMMYFUNCTION("""COMPUTED_VALUE"""),"Batch 2")</f>
        <v>Batch 2</v>
      </c>
      <c r="J406" s="225">
        <f>IFERROR(__xludf.DUMMYFUNCTION("""COMPUTED_VALUE"""),2.0)</f>
        <v>2</v>
      </c>
      <c r="K406" s="224">
        <f>IFERROR(__xludf.DUMMYFUNCTION("""COMPUTED_VALUE"""),16.0)</f>
        <v>16</v>
      </c>
      <c r="L406" s="226">
        <f>IFERROR(__xludf.DUMMYFUNCTION("""COMPUTED_VALUE"""),1300154.0)</f>
        <v>1300154</v>
      </c>
      <c r="M406" s="227">
        <f>IFERROR(__xludf.DUMMYFUNCTION("""COMPUTED_VALUE"""),2.0802464E7)</f>
        <v>20802464</v>
      </c>
      <c r="N406" s="222" t="str">
        <f>IFERROR(__xludf.DUMMYFUNCTION("""COMPUTED_VALUE"""),"PT SALTTEK DUMPANG JAYA")</f>
        <v>PT SALTTEK DUMPANG JAYA</v>
      </c>
      <c r="O406" s="222" t="str">
        <f>IFERROR(__xludf.DUMMYFUNCTION("""COMPUTED_VALUE"""),"7. GOLIVE")</f>
        <v>7. GOLIVE</v>
      </c>
      <c r="P406" s="222" t="str">
        <f>IFERROR(__xludf.DUMMYFUNCTION("""COMPUTED_VALUE"""),"7.2 Golive Full / OA / DONE OTB")</f>
        <v>7.2 Golive Full / OA / DONE OTB</v>
      </c>
      <c r="Q406" s="222" t="str">
        <f>IFERROR(__xludf.DUMMYFUNCTION("""COMPUTED_VALUE"""),"31/03 Progres tanam tiang, Plan GL, 07 april. 30/03 pengambilan material dan progres tanam tiang.  27/03 MP mitra cuma ada 1 masih mengerjakan LOP lain / tematik lain. 09/03 tim serial, dan menunggu pelunasan prelim dalam beberapa hari ini. 05/03 proses p"&amp;"elunasan prelim. 25/02 Pelunasan prelim di minggu ini karena RT tidak di tempat. 16/02 Kompensasi pelunasan di minggu ini.   09/02 menunggu pembayaran uang kompensasi dari mitra. 04/02 proses penyerahan uang kompensasi, 1 jt rupiah. 28/01 RT meminta kompe"&amp;"nasi 1 jt, menunggu BOQ survey untuk di eval ke AOM. 26/01 RT meminta 1 jt dan sudah bisa di lanjut kalau di bayar. 21/01 plan fu perizinan tanggal 26 Jan")</f>
        <v>31/03 Progres tanam tiang, Plan GL, 07 april. 30/03 pengambilan material dan progres tanam tiang.  27/03 MP mitra cuma ada 1 masih mengerjakan LOP lain / tematik lain. 09/03 tim serial, dan menunggu pelunasan prelim dalam beberapa hari ini. 05/03 proses pelunasan prelim. 25/02 Pelunasan prelim di minggu ini karena RT tidak di tempat. 16/02 Kompensasi pelunasan di minggu ini.   09/02 menunggu pembayaran uang kompensasi dari mitra. 04/02 proses penyerahan uang kompensasi, 1 jt rupiah. 28/01 RT meminta kompenasi 1 jt, menunggu BOQ survey untuk di eval ke AOM. 26/01 RT meminta 1 jt dan sudah bisa di lanjut kalau di bayar. 21/01 plan fu perizinan tanggal 26 Jan</v>
      </c>
      <c r="R406" s="228">
        <f>IFERROR(__xludf.DUMMYFUNCTION("""COMPUTED_VALUE"""),46119.0)</f>
        <v>46119</v>
      </c>
      <c r="S406" s="11" t="str">
        <f>IFERROR(__xludf.DUMMYFUNCTION("""COMPUTED_VALUE"""),"APR")</f>
        <v>APR</v>
      </c>
      <c r="T406" s="73"/>
      <c r="U406" s="11" t="str">
        <f>IFERROR(__xludf.DUMMYFUNCTION("""COMPUTED_VALUE"""),"W09-269/2026")</f>
        <v>W09-269/2026</v>
      </c>
      <c r="V406" s="229" t="str">
        <f>IFERROR(__xludf.DUMMYFUNCTION("""COMPUTED_VALUE"""),"DEDY IRAWAN")</f>
        <v>DEDY IRAWAN</v>
      </c>
      <c r="W406" s="229" t="str">
        <f>IFERROR(__xludf.DUMMYFUNCTION("""COMPUTED_VALUE"""),"LEVITA INDRIYANI")</f>
        <v>LEVITA INDRIYANI</v>
      </c>
      <c r="X406" s="229" t="str">
        <f>IFERROR(__xludf.DUMMYFUNCTION("""COMPUTED_VALUE"""),"GOLIVE")</f>
        <v>GOLIVE</v>
      </c>
      <c r="Y406" s="229" t="str">
        <f>IFERROR(__xludf.DUMMYFUNCTION("""COMPUTED_VALUE"""),"DONE")</f>
        <v>DONE</v>
      </c>
      <c r="Z406" s="229" t="str">
        <f>IFERROR(__xludf.DUMMYFUNCTION("""COMPUTED_VALUE"""),"#N/A")</f>
        <v>#N/A</v>
      </c>
      <c r="AA406" s="229">
        <f>IFERROR(__xludf.DUMMYFUNCTION("""COMPUTED_VALUE"""),2.0)</f>
        <v>2</v>
      </c>
      <c r="AB406" s="229"/>
      <c r="AC406" s="229" t="str">
        <f>IFERROR(__xludf.DUMMYFUNCTION("""COMPUTED_VALUE"""),"9196641#9196646")</f>
        <v>9196641#9196646</v>
      </c>
      <c r="AD406" s="232">
        <f>IFERROR(__xludf.DUMMYFUNCTION("""COMPUTED_VALUE"""),16.0)</f>
        <v>16</v>
      </c>
      <c r="AE406" s="233">
        <f>IFERROR(__xludf.DUMMYFUNCTION("""COMPUTED_VALUE"""),46119.0)</f>
        <v>46119</v>
      </c>
      <c r="AF406" s="54"/>
      <c r="AG406" s="54"/>
      <c r="AH406" s="54">
        <v>46119.0</v>
      </c>
      <c r="AI406" s="55">
        <f>IF(OR(AH406="",AE406=""),"",AH406-AE406)</f>
        <v>0</v>
      </c>
      <c r="AJ406" s="229" t="str">
        <f t="shared" si="53"/>
        <v>Gl in Komitmen</v>
      </c>
      <c r="AK406" s="231" t="s">
        <v>199</v>
      </c>
      <c r="AW406" s="234"/>
      <c r="BP406" s="11"/>
      <c r="BQ406" s="11"/>
      <c r="BR406" s="235"/>
      <c r="BV406" s="158"/>
      <c r="BY406" s="158"/>
      <c r="CB406" s="158"/>
    </row>
    <row r="407" ht="18.0" hidden="1" customHeight="1">
      <c r="A407" s="222">
        <f>IFERROR(__xludf.DUMMYFUNCTION("""COMPUTED_VALUE"""),2026.0)</f>
        <v>2026</v>
      </c>
      <c r="B407" s="221">
        <f>IFERROR(__xludf.DUMMYFUNCTION("""COMPUTED_VALUE"""),1.2422137E7)</f>
        <v>12422137</v>
      </c>
      <c r="C407" s="222" t="str">
        <f>IFERROR(__xludf.DUMMYFUNCTION("""COMPUTED_VALUE"""),"JBI-PT3 BRAN-BKO-FM-Rizky Cell")</f>
        <v>JBI-PT3 BRAN-BKO-FM-Rizky Cell</v>
      </c>
      <c r="D407" s="222" t="str">
        <f>IFERROR(__xludf.DUMMYFUNCTION("""COMPUTED_VALUE"""),"REGIONAL I")</f>
        <v>REGIONAL I</v>
      </c>
      <c r="E407" s="222" t="str">
        <f>IFERROR(__xludf.DUMMYFUNCTION("""COMPUTED_VALUE"""),"JAMBI")</f>
        <v>JAMBI</v>
      </c>
      <c r="F407" s="222" t="str">
        <f>IFERROR(__xludf.DUMMYFUNCTION("""COMPUTED_VALUE"""),"BKO")</f>
        <v>BKO</v>
      </c>
      <c r="G407" s="222" t="str">
        <f>IFERROR(__xludf.DUMMYFUNCTION("""COMPUTED_VALUE"""),"SUMBAGSEL")</f>
        <v>SUMBAGSEL</v>
      </c>
      <c r="H407" s="222" t="str">
        <f>IFERROR(__xludf.DUMMYFUNCTION("""COMPUTED_VALUE"""),"JAMBI")</f>
        <v>JAMBI</v>
      </c>
      <c r="I407" s="222" t="str">
        <f>IFERROR(__xludf.DUMMYFUNCTION("""COMPUTED_VALUE"""),"Batch 2")</f>
        <v>Batch 2</v>
      </c>
      <c r="J407" s="225">
        <f>IFERROR(__xludf.DUMMYFUNCTION("""COMPUTED_VALUE"""),2.0)</f>
        <v>2</v>
      </c>
      <c r="K407" s="224">
        <f>IFERROR(__xludf.DUMMYFUNCTION("""COMPUTED_VALUE"""),16.0)</f>
        <v>16</v>
      </c>
      <c r="L407" s="226">
        <f>IFERROR(__xludf.DUMMYFUNCTION("""COMPUTED_VALUE"""),1299369.0)</f>
        <v>1299369</v>
      </c>
      <c r="M407" s="227">
        <f>IFERROR(__xludf.DUMMYFUNCTION("""COMPUTED_VALUE"""),2.0789903E7)</f>
        <v>20789903</v>
      </c>
      <c r="N407" s="222" t="str">
        <f>IFERROR(__xludf.DUMMYFUNCTION("""COMPUTED_VALUE"""),"PT TSUIKA BERKAH RAYA")</f>
        <v>PT TSUIKA BERKAH RAYA</v>
      </c>
      <c r="O407" s="222" t="str">
        <f>IFERROR(__xludf.DUMMYFUNCTION("""COMPUTED_VALUE"""),"7. GOLIVE")</f>
        <v>7. GOLIVE</v>
      </c>
      <c r="P407" s="222" t="str">
        <f>IFERROR(__xludf.DUMMYFUNCTION("""COMPUTED_VALUE"""),"7.2 Golive Full / OA / DONE OTB")</f>
        <v>7.2 Golive Full / OA / DONE OTB</v>
      </c>
      <c r="Q407" s="222" t="str">
        <f>IFERROR(__xludf.DUMMYFUNCTION("""COMPUTED_VALUE"""),"(03/03) Golive (22/2) tinggal jumper dan ABD (16/2) instal odp hi clear , plan submit abd 18 feb (5/2) MENUNGGU ANTRIAN PEKERJAAN LOKASI LAIN (29/1) MATDEL (12/1) Proses aanwidjizing 7/1 DRM  (06/01)order JPP batch-2 2026 ((06/01)order JPP batch-2 2026 (("&amp;"06/01)order JPP batch-2 2026 ((06/01)order JPP batch-2 2026 ((06/01)order JPP batch-2 2026 ((06/01)order JPP batch-2 2026 ((18/11)HOLD-  tidak masuk target Optimis 2025(17/11) kendala mitra10/11 mapping mitra")</f>
        <v>(03/03) Golive (22/2) tinggal jumper dan ABD (16/2) instal odp hi clear , plan submit abd 18 feb (5/2) MENUNGGU ANTRIAN PEKERJAAN LOKASI LAIN (29/1) MATDEL (12/1) Proses aanwidjizing 7/1 DRM  (06/01)order JPP batch-2 2026 ((06/01)order JPP batch-2 2026 ((06/01)order JPP batch-2 2026 ((06/01)order JPP batch-2 2026 ((06/01)order JPP batch-2 2026 ((06/01)order JPP batch-2 2026 ((18/11)HOLD-  tidak masuk target Optimis 2025(17/11) kendala mitra10/11 mapping mitra</v>
      </c>
      <c r="R407" s="228">
        <f>IFERROR(__xludf.DUMMYFUNCTION("""COMPUTED_VALUE"""),46084.0)</f>
        <v>46084</v>
      </c>
      <c r="S407" s="11" t="str">
        <f>IFERROR(__xludf.DUMMYFUNCTION("""COMPUTED_VALUE"""),"MAR")</f>
        <v>MAR</v>
      </c>
      <c r="T407" s="11"/>
      <c r="U407" s="11"/>
      <c r="V407" s="229" t="str">
        <f>IFERROR(__xludf.DUMMYFUNCTION("""COMPUTED_VALUE"""),"RUDI PRAYITNO")</f>
        <v>RUDI PRAYITNO</v>
      </c>
      <c r="W407" s="229"/>
      <c r="X407" s="229" t="str">
        <f>IFERROR(__xludf.DUMMYFUNCTION("""COMPUTED_VALUE"""),"GOLIVE")</f>
        <v>GOLIVE</v>
      </c>
      <c r="Y407" s="229" t="str">
        <f>IFERROR(__xludf.DUMMYFUNCTION("""COMPUTED_VALUE"""),"DONE")</f>
        <v>DONE</v>
      </c>
      <c r="Z407" s="229" t="str">
        <f>IFERROR(__xludf.DUMMYFUNCTION("""COMPUTED_VALUE"""),"#N/A")</f>
        <v>#N/A</v>
      </c>
      <c r="AA407" s="229">
        <f>IFERROR(__xludf.DUMMYFUNCTION("""COMPUTED_VALUE"""),2.0)</f>
        <v>2</v>
      </c>
      <c r="AB407" s="229"/>
      <c r="AC407" s="229" t="str">
        <f>IFERROR(__xludf.DUMMYFUNCTION("""COMPUTED_VALUE"""),"9168483#9168488")</f>
        <v>9168483#9168488</v>
      </c>
      <c r="AD407" s="232">
        <f>IFERROR(__xludf.DUMMYFUNCTION("""COMPUTED_VALUE"""),16.0)</f>
        <v>16</v>
      </c>
      <c r="AE407" s="233">
        <f>IFERROR(__xludf.DUMMYFUNCTION("""COMPUTED_VALUE"""),46084.0)</f>
        <v>46084</v>
      </c>
      <c r="AF407" s="54"/>
      <c r="AG407" s="54"/>
      <c r="AH407" s="54">
        <v>46140.0</v>
      </c>
      <c r="AI407" s="237">
        <f>AH407-NOW()</f>
        <v>-0.3779898843</v>
      </c>
      <c r="AJ407" s="229" t="str">
        <f>if(AI407&gt;=0,"Gl in Komitmen","Gl out Komitmen")</f>
        <v>Gl out Komitmen</v>
      </c>
      <c r="AK407" s="229" t="s">
        <v>199</v>
      </c>
      <c r="AW407" s="234"/>
      <c r="BP407" s="11"/>
      <c r="BQ407" s="11"/>
      <c r="BR407" s="235"/>
      <c r="BV407" s="158"/>
      <c r="BY407" s="158"/>
      <c r="CB407" s="158"/>
    </row>
    <row r="408" ht="18.0" customHeight="1">
      <c r="A408" s="222">
        <f>IFERROR(__xludf.DUMMYFUNCTION("""COMPUTED_VALUE"""),2026.0)</f>
        <v>2026</v>
      </c>
      <c r="B408" s="221">
        <f>IFERROR(__xludf.DUMMYFUNCTION("""COMPUTED_VALUE"""),1.2276743E7)</f>
        <v>12276743</v>
      </c>
      <c r="C408" s="222" t="str">
        <f>IFERROR(__xludf.DUMMYFUNCTION("""COMPUTED_VALUE"""),"SMB-PT3-ODC-SUN-FB-TEBO_8447 - 6 Cluster")</f>
        <v>SMB-PT3-ODC-SUN-FB-TEBO_8447 - 6 Cluster</v>
      </c>
      <c r="D408" s="222" t="str">
        <f>IFERROR(__xludf.DUMMYFUNCTION("""COMPUTED_VALUE"""),"REGIONAL I")</f>
        <v>REGIONAL I</v>
      </c>
      <c r="E408" s="222" t="str">
        <f>IFERROR(__xludf.DUMMYFUNCTION("""COMPUTED_VALUE"""),"SUMBAR")</f>
        <v>SUMBAR</v>
      </c>
      <c r="F408" s="222" t="str">
        <f>IFERROR(__xludf.DUMMYFUNCTION("""COMPUTED_VALUE"""),"SUN")</f>
        <v>SUN</v>
      </c>
      <c r="G408" s="222" t="str">
        <f>IFERROR(__xludf.DUMMYFUNCTION("""COMPUTED_VALUE"""),"SUMBAGTENG")</f>
        <v>SUMBAGTENG</v>
      </c>
      <c r="H408" s="222" t="str">
        <f>IFERROR(__xludf.DUMMYFUNCTION("""COMPUTED_VALUE"""),"PADANG")</f>
        <v>PADANG</v>
      </c>
      <c r="I408" s="222" t="str">
        <f>IFERROR(__xludf.DUMMYFUNCTION("""COMPUTED_VALUE"""),"Batch 2")</f>
        <v>Batch 2</v>
      </c>
      <c r="J408" s="225">
        <f>IFERROR(__xludf.DUMMYFUNCTION("""COMPUTED_VALUE"""),10.0)</f>
        <v>10</v>
      </c>
      <c r="K408" s="224">
        <f>IFERROR(__xludf.DUMMYFUNCTION("""COMPUTED_VALUE"""),80.0)</f>
        <v>80</v>
      </c>
      <c r="L408" s="226">
        <f>IFERROR(__xludf.DUMMYFUNCTION("""COMPUTED_VALUE"""),1299129.0)</f>
        <v>1299129</v>
      </c>
      <c r="M408" s="227">
        <f>IFERROR(__xludf.DUMMYFUNCTION("""COMPUTED_VALUE"""),1.03930264E8)</f>
        <v>103930264</v>
      </c>
      <c r="N408" s="222" t="str">
        <f>IFERROR(__xludf.DUMMYFUNCTION("""COMPUTED_VALUE"""),"PT TIGA AKSES MANDIRI")</f>
        <v>PT TIGA AKSES MANDIRI</v>
      </c>
      <c r="O408" s="222" t="str">
        <f>IFERROR(__xludf.DUMMYFUNCTION("""COMPUTED_VALUE"""),"7. GOLIVE")</f>
        <v>7. GOLIVE</v>
      </c>
      <c r="P408" s="222" t="str">
        <f>IFERROR(__xludf.DUMMYFUNCTION("""COMPUTED_VALUE"""),"7.2 Golive Full / OA / DONE OTB")</f>
        <v>7.2 Golive Full / OA / DONE OTB</v>
      </c>
      <c r="Q408" s="222" t="str">
        <f>IFERROR(__xludf.DUMMYFUNCTION("""COMPUTED_VALUE"""),"(20/04) abd masuk HI ke SDI (13/04) terminasi odp (06/04) penarikan kabel (02/04) tanam tiang (30/03) material onsite (16/03) proses PO ke mitra dan menunggu kabel 12 ADSS (06/03) Proses create PID (05/03) proses aanwijziing plan selesai 10/03  23/2 hold "&amp;"kendala OLT di status Terakhir  22/01 : kendala mini olt ampalu koto slot full
(07/01) Persiapan")</f>
        <v>(20/04) abd masuk HI ke SDI (13/04) terminasi odp (06/04) penarikan kabel (02/04) tanam tiang (30/03) material onsite (16/03) proses PO ke mitra dan menunggu kabel 12 ADSS (06/03) Proses create PID (05/03) proses aanwijziing plan selesai 10/03  23/2 hold kendala OLT di status Terakhir  22/01 : kendala mini olt ampalu koto slot full
(07/01) Persiapan</v>
      </c>
      <c r="R408" s="228">
        <f>IFERROR(__xludf.DUMMYFUNCTION("""COMPUTED_VALUE"""),46140.0)</f>
        <v>46140</v>
      </c>
      <c r="S408" s="11"/>
      <c r="T408" s="73"/>
      <c r="U408" s="11" t="str">
        <f>IFERROR(__xludf.DUMMYFUNCTION("""COMPUTED_VALUE"""),"TIF-5651/2026  26KT03R158-0073")</f>
        <v>TIF-5651/2026  26KT03R158-0073</v>
      </c>
      <c r="V408" s="229" t="str">
        <f>IFERROR(__xludf.DUMMYFUNCTION("""COMPUTED_VALUE"""),"YULIO NOVIKO")</f>
        <v>YULIO NOVIKO</v>
      </c>
      <c r="W408" s="229" t="str">
        <f>IFERROR(__xludf.DUMMYFUNCTION("""COMPUTED_VALUE"""),"MELKO NARWADI")</f>
        <v>MELKO NARWADI</v>
      </c>
      <c r="X408" s="229" t="str">
        <f>IFERROR(__xludf.DUMMYFUNCTION("""COMPUTED_VALUE"""),"GOLIVE")</f>
        <v>GOLIVE</v>
      </c>
      <c r="Y408" s="229" t="str">
        <f>IFERROR(__xludf.DUMMYFUNCTION("""COMPUTED_VALUE"""),"DONE")</f>
        <v>DONE</v>
      </c>
      <c r="Z408" s="229" t="str">
        <f>IFERROR(__xludf.DUMMYFUNCTION("""COMPUTED_VALUE"""),"#N/A")</f>
        <v>#N/A</v>
      </c>
      <c r="AA408" s="229">
        <f>IFERROR(__xludf.DUMMYFUNCTION("""COMPUTED_VALUE"""),11.0)</f>
        <v>11</v>
      </c>
      <c r="AB408" s="229"/>
      <c r="AC408" s="229" t="str">
        <f>IFERROR(__xludf.DUMMYFUNCTION("""COMPUTED_VALUE"""),"9296854#9296859")</f>
        <v>9296854#9296859</v>
      </c>
      <c r="AD408" s="232">
        <f>IFERROR(__xludf.DUMMYFUNCTION("""COMPUTED_VALUE"""),88.0)</f>
        <v>88</v>
      </c>
      <c r="AE408" s="233">
        <f>IFERROR(__xludf.DUMMYFUNCTION("""COMPUTED_VALUE"""),46137.0)</f>
        <v>46137</v>
      </c>
      <c r="AF408" s="54"/>
      <c r="AG408" s="54"/>
      <c r="AH408" s="54">
        <v>46140.0</v>
      </c>
      <c r="AI408" s="55">
        <f>AH408-AE408</f>
        <v>3</v>
      </c>
      <c r="AJ408" s="229" t="str">
        <f>if(AI408&gt;=0,"Gl in Komitmen","Gl out komitmen")</f>
        <v>Gl in Komitmen</v>
      </c>
      <c r="AK408" s="231" t="s">
        <v>199</v>
      </c>
      <c r="AW408" s="234"/>
      <c r="BP408" s="11"/>
      <c r="BQ408" s="11"/>
      <c r="BR408" s="235"/>
      <c r="BV408" s="158"/>
      <c r="BY408" s="158"/>
      <c r="CB408" s="158"/>
    </row>
    <row r="409" ht="18.0" hidden="1" customHeight="1">
      <c r="A409" s="222">
        <f>IFERROR(__xludf.DUMMYFUNCTION("""COMPUTED_VALUE"""),2026.0)</f>
        <v>2026</v>
      </c>
      <c r="B409" s="221">
        <f>IFERROR(__xludf.DUMMYFUNCTION("""COMPUTED_VALUE"""),1.1572553E7)</f>
        <v>11572553</v>
      </c>
      <c r="C409" s="222" t="str">
        <f>IFERROR(__xludf.DUMMYFUNCTION("""COMPUTED_VALUE"""),"BNK-PT3 BRC-JPPTSEL-TANJUNG DALAM TETAP")</f>
        <v>BNK-PT3 BRC-JPPTSEL-TANJUNG DALAM TETAP</v>
      </c>
      <c r="D409" s="222" t="str">
        <f>IFERROR(__xludf.DUMMYFUNCTION("""COMPUTED_VALUE"""),"REGIONAL I")</f>
        <v>REGIONAL I</v>
      </c>
      <c r="E409" s="222" t="str">
        <f>IFERROR(__xludf.DUMMYFUNCTION("""COMPUTED_VALUE"""),"BENGKULU")</f>
        <v>BENGKULU</v>
      </c>
      <c r="F409" s="222" t="str">
        <f>IFERROR(__xludf.DUMMYFUNCTION("""COMPUTED_VALUE"""),"BTH")</f>
        <v>BTH</v>
      </c>
      <c r="G409" s="222" t="str">
        <f>IFERROR(__xludf.DUMMYFUNCTION("""COMPUTED_VALUE"""),"SUMBAGSEL")</f>
        <v>SUMBAGSEL</v>
      </c>
      <c r="H409" s="222" t="str">
        <f>IFERROR(__xludf.DUMMYFUNCTION("""COMPUTED_VALUE"""),"BENGKULU")</f>
        <v>BENGKULU</v>
      </c>
      <c r="I409" s="222" t="str">
        <f>IFERROR(__xludf.DUMMYFUNCTION("""COMPUTED_VALUE"""),"Batch 2")</f>
        <v>Batch 2</v>
      </c>
      <c r="J409" s="225">
        <f>IFERROR(__xludf.DUMMYFUNCTION("""COMPUTED_VALUE"""),6.0)</f>
        <v>6</v>
      </c>
      <c r="K409" s="224">
        <f>IFERROR(__xludf.DUMMYFUNCTION("""COMPUTED_VALUE"""),48.0)</f>
        <v>48</v>
      </c>
      <c r="L409" s="226">
        <f>IFERROR(__xludf.DUMMYFUNCTION("""COMPUTED_VALUE"""),1298778.0)</f>
        <v>1298778</v>
      </c>
      <c r="M409" s="227">
        <f>IFERROR(__xludf.DUMMYFUNCTION("""COMPUTED_VALUE"""),6.2341329E7)</f>
        <v>62341329</v>
      </c>
      <c r="N409" s="222" t="str">
        <f>IFERROR(__xludf.DUMMYFUNCTION("""COMPUTED_VALUE"""),"PT GITA PRIMA TAMBA PERKASA")</f>
        <v>PT GITA PRIMA TAMBA PERKASA</v>
      </c>
      <c r="O409" s="222" t="str">
        <f>IFERROR(__xludf.DUMMYFUNCTION("""COMPUTED_VALUE"""),"7. GOLIVE")</f>
        <v>7. GOLIVE</v>
      </c>
      <c r="P409" s="222" t="str">
        <f>IFERROR(__xludf.DUMMYFUNCTION("""COMPUTED_VALUE"""),"7.2 Golive Full / OA / DONE OTB")</f>
        <v>7.2 Golive Full / OA / DONE OTB</v>
      </c>
      <c r="Q409" s="222" t="str">
        <f>IFERROR(__xludf.DUMMYFUNCTION("""COMPUTED_VALUE"""),"(07/01) Persiapan")</f>
        <v>(07/01) Persiapan</v>
      </c>
      <c r="R409" s="228"/>
      <c r="S409" s="11"/>
      <c r="T409" s="11"/>
      <c r="U409" s="11" t="str">
        <f>IFERROR(__xludf.DUMMYFUNCTION("""COMPUTED_VALUE"""),"W06-353/2025")</f>
        <v>W06-353/2025</v>
      </c>
      <c r="V409" s="229"/>
      <c r="W409" s="229"/>
      <c r="X409" s="229" t="str">
        <f>IFERROR(__xludf.DUMMYFUNCTION("""COMPUTED_VALUE"""),"GOLIVE")</f>
        <v>GOLIVE</v>
      </c>
      <c r="Y409" s="229" t="str">
        <f>IFERROR(__xludf.DUMMYFUNCTION("""COMPUTED_VALUE"""),"DONE")</f>
        <v>DONE</v>
      </c>
      <c r="Z409" s="229" t="str">
        <f>IFERROR(__xludf.DUMMYFUNCTION("""COMPUTED_VALUE"""),"#N/A")</f>
        <v>#N/A</v>
      </c>
      <c r="AA409" s="229">
        <f>IFERROR(__xludf.DUMMYFUNCTION("""COMPUTED_VALUE"""),6.0)</f>
        <v>6</v>
      </c>
      <c r="AB409" s="229"/>
      <c r="AC409" s="229" t="str">
        <f>IFERROR(__xludf.DUMMYFUNCTION("""COMPUTED_VALUE"""),"8799409#8799414")</f>
        <v>8799409#8799414</v>
      </c>
      <c r="AD409" s="232">
        <f>IFERROR(__xludf.DUMMYFUNCTION("""COMPUTED_VALUE"""),48.0)</f>
        <v>48</v>
      </c>
      <c r="AE409" s="233">
        <f>IFERROR(__xludf.DUMMYFUNCTION("""COMPUTED_VALUE"""),46035.0)</f>
        <v>46035</v>
      </c>
      <c r="AF409" s="54"/>
      <c r="AG409" s="54"/>
      <c r="AH409" s="54"/>
      <c r="AI409" s="55" t="str">
        <f>IF(OR(R409="",AE409=""),"",R409-AE409)</f>
        <v/>
      </c>
      <c r="AW409" s="234"/>
      <c r="BP409" s="11"/>
      <c r="BQ409" s="11"/>
      <c r="BR409" s="235"/>
      <c r="BV409" s="158"/>
      <c r="BY409" s="158"/>
      <c r="CB409" s="158"/>
    </row>
    <row r="410" ht="18.0" customHeight="1">
      <c r="A410" s="222">
        <f>IFERROR(__xludf.DUMMYFUNCTION("""COMPUTED_VALUE"""),2026.0)</f>
        <v>2026</v>
      </c>
      <c r="B410" s="221">
        <f>IFERROR(__xludf.DUMMYFUNCTION("""COMPUTED_VALUE"""),1.1015037E7)</f>
        <v>11015037</v>
      </c>
      <c r="C410" s="222" t="str">
        <f>IFERROR(__xludf.DUMMYFUNCTION("""COMPUTED_VALUE"""),"RKP PT3 JPPTSEL NGS-FAB ANGSANA GADING THP 3")</f>
        <v>RKP PT3 JPPTSEL NGS-FAB ANGSANA GADING THP 3</v>
      </c>
      <c r="D410" s="222" t="str">
        <f>IFERROR(__xludf.DUMMYFUNCTION("""COMPUTED_VALUE"""),"REGIONAL I")</f>
        <v>REGIONAL I</v>
      </c>
      <c r="E410" s="222" t="str">
        <f>IFERROR(__xludf.DUMMYFUNCTION("""COMPUTED_VALUE"""),"RIKEP")</f>
        <v>RIKEP</v>
      </c>
      <c r="F410" s="222" t="str">
        <f>IFERROR(__xludf.DUMMYFUNCTION("""COMPUTED_VALUE"""),"NGS")</f>
        <v>NGS</v>
      </c>
      <c r="G410" s="222" t="str">
        <f>IFERROR(__xludf.DUMMYFUNCTION("""COMPUTED_VALUE"""),"SUMBAGTENG")</f>
        <v>SUMBAGTENG</v>
      </c>
      <c r="H410" s="222" t="str">
        <f>IFERROR(__xludf.DUMMYFUNCTION("""COMPUTED_VALUE"""),"BATAM")</f>
        <v>BATAM</v>
      </c>
      <c r="I410" s="222" t="str">
        <f>IFERROR(__xludf.DUMMYFUNCTION("""COMPUTED_VALUE"""),"Batch 2")</f>
        <v>Batch 2</v>
      </c>
      <c r="J410" s="225">
        <f>IFERROR(__xludf.DUMMYFUNCTION("""COMPUTED_VALUE"""),2.0)</f>
        <v>2</v>
      </c>
      <c r="K410" s="224">
        <f>IFERROR(__xludf.DUMMYFUNCTION("""COMPUTED_VALUE"""),16.0)</f>
        <v>16</v>
      </c>
      <c r="L410" s="226">
        <f>IFERROR(__xludf.DUMMYFUNCTION("""COMPUTED_VALUE"""),1298750.0)</f>
        <v>1298750</v>
      </c>
      <c r="M410" s="227">
        <f>IFERROR(__xludf.DUMMYFUNCTION("""COMPUTED_VALUE"""),2.0779985E7)</f>
        <v>20779985</v>
      </c>
      <c r="N410" s="222" t="str">
        <f>IFERROR(__xludf.DUMMYFUNCTION("""COMPUTED_VALUE"""),"PT MITRA AKSES INSANI")</f>
        <v>PT MITRA AKSES INSANI</v>
      </c>
      <c r="O410" s="222" t="str">
        <f>IFERROR(__xludf.DUMMYFUNCTION("""COMPUTED_VALUE"""),"7. GOLIVE")</f>
        <v>7. GOLIVE</v>
      </c>
      <c r="P410" s="222" t="str">
        <f>IFERROR(__xludf.DUMMYFUNCTION("""COMPUTED_VALUE"""),"7.2 Golive Full / OA / DONE OTB")</f>
        <v>7.2 Golive Full / OA / DONE OTB</v>
      </c>
      <c r="Q410" s="222" t="str">
        <f>IFERROR(__xludf.DUMMYFUNCTION("""COMPUTED_VALUE"""),"05/03 proses validasi
18/02 Jointer tiba di hari jumat tanggal 20 Feb, plan FI tanggal 21 Feb, ABD submit 23 Feb.  16/02 Progres terminasi ODP. 12/02 Proses galian dan tanam tiang. 09/02 belum di survey karena, PIC mitra masih fokus di installasi dan LOP "&amp;"butuh percepatan dari Telkomsel. 29/01 Plan survey tanggal 30 karena PIC mitra sdg berhalangan. 28/01 Plan survey 29 Jan. 22/01 Plan survey 24 Jan 
")</f>
        <v>05/03 proses validasi
18/02 Jointer tiba di hari jumat tanggal 20 Feb, plan FI tanggal 21 Feb, ABD submit 23 Feb.  16/02 Progres terminasi ODP. 12/02 Proses galian dan tanam tiang. 09/02 belum di survey karena, PIC mitra masih fokus di installasi dan LOP butuh percepatan dari Telkomsel. 29/01 Plan survey tanggal 30 karena PIC mitra sdg berhalangan. 28/01 Plan survey 29 Jan. 22/01 Plan survey 24 Jan 
</v>
      </c>
      <c r="R410" s="228">
        <f>IFERROR(__xludf.DUMMYFUNCTION("""COMPUTED_VALUE"""),46088.0)</f>
        <v>46088</v>
      </c>
      <c r="S410" s="11" t="str">
        <f>IFERROR(__xludf.DUMMYFUNCTION("""COMPUTED_VALUE"""),"MAR")</f>
        <v>MAR</v>
      </c>
      <c r="T410" s="11"/>
      <c r="U410" s="11" t="str">
        <f>IFERROR(__xludf.DUMMYFUNCTION("""COMPUTED_VALUE"""),"W09-169/2026")</f>
        <v>W09-169/2026</v>
      </c>
      <c r="V410" s="229" t="str">
        <f>IFERROR(__xludf.DUMMYFUNCTION("""COMPUTED_VALUE"""),"GANI PRASTYO")</f>
        <v>GANI PRASTYO</v>
      </c>
      <c r="W410" s="229" t="str">
        <f>IFERROR(__xludf.DUMMYFUNCTION("""COMPUTED_VALUE"""),"LEVITA INDRIYANI")</f>
        <v>LEVITA INDRIYANI</v>
      </c>
      <c r="X410" s="229" t="str">
        <f>IFERROR(__xludf.DUMMYFUNCTION("""COMPUTED_VALUE"""),"GOLIVE")</f>
        <v>GOLIVE</v>
      </c>
      <c r="Y410" s="229" t="str">
        <f>IFERROR(__xludf.DUMMYFUNCTION("""COMPUTED_VALUE"""),"DONE")</f>
        <v>DONE</v>
      </c>
      <c r="Z410" s="229" t="str">
        <f>IFERROR(__xludf.DUMMYFUNCTION("""COMPUTED_VALUE"""),"#N/A")</f>
        <v>#N/A</v>
      </c>
      <c r="AA410" s="229">
        <f>IFERROR(__xludf.DUMMYFUNCTION("""COMPUTED_VALUE"""),3.0)</f>
        <v>3</v>
      </c>
      <c r="AB410" s="229"/>
      <c r="AC410" s="229" t="str">
        <f>IFERROR(__xludf.DUMMYFUNCTION("""COMPUTED_VALUE"""),"9146237#9146242")</f>
        <v>9146237#9146242</v>
      </c>
      <c r="AD410" s="232">
        <f>IFERROR(__xludf.DUMMYFUNCTION("""COMPUTED_VALUE"""),24.0)</f>
        <v>24</v>
      </c>
      <c r="AE410" s="233">
        <f>IFERROR(__xludf.DUMMYFUNCTION("""COMPUTED_VALUE"""),46088.0)</f>
        <v>46088</v>
      </c>
      <c r="AF410" s="54"/>
      <c r="AG410" s="54"/>
      <c r="AH410" s="54">
        <v>46088.0</v>
      </c>
      <c r="AI410" s="55">
        <f>IF(OR(AH410="",AE410=""),"",AH410-AE410)</f>
        <v>0</v>
      </c>
      <c r="AW410" s="234"/>
      <c r="BP410" s="11"/>
      <c r="BQ410" s="11"/>
      <c r="BR410" s="235"/>
      <c r="BV410" s="158"/>
      <c r="BY410" s="158"/>
      <c r="CB410" s="158"/>
    </row>
    <row r="411" ht="18.0" hidden="1" customHeight="1">
      <c r="A411" s="222">
        <f>IFERROR(__xludf.DUMMYFUNCTION("""COMPUTED_VALUE"""),2026.0)</f>
        <v>2026</v>
      </c>
      <c r="B411" s="221">
        <f>IFERROR(__xludf.DUMMYFUNCTION("""COMPUTED_VALUE"""),1.1580373E7)</f>
        <v>11580373</v>
      </c>
      <c r="C411" s="222" t="str">
        <f>IFERROR(__xludf.DUMMYFUNCTION("""COMPUTED_VALUE"""),"SMS P3I1 PT3 PLJ FL D04 RAHMADILLA")</f>
        <v>SMS P3I1 PT3 PLJ FL D04 RAHMADILLA</v>
      </c>
      <c r="D411" s="222" t="str">
        <f>IFERROR(__xludf.DUMMYFUNCTION("""COMPUTED_VALUE"""),"REGIONAL I")</f>
        <v>REGIONAL I</v>
      </c>
      <c r="E411" s="222" t="str">
        <f>IFERROR(__xludf.DUMMYFUNCTION("""COMPUTED_VALUE"""),"SUMSEL")</f>
        <v>SUMSEL</v>
      </c>
      <c r="F411" s="222" t="str">
        <f>IFERROR(__xludf.DUMMYFUNCTION("""COMPUTED_VALUE"""),"PLJ")</f>
        <v>PLJ</v>
      </c>
      <c r="G411" s="222" t="str">
        <f>IFERROR(__xludf.DUMMYFUNCTION("""COMPUTED_VALUE"""),"SUMBAGSEL")</f>
        <v>SUMBAGSEL</v>
      </c>
      <c r="H411" s="222" t="str">
        <f>IFERROR(__xludf.DUMMYFUNCTION("""COMPUTED_VALUE"""),"PALEMBANG")</f>
        <v>PALEMBANG</v>
      </c>
      <c r="I411" s="222" t="str">
        <f>IFERROR(__xludf.DUMMYFUNCTION("""COMPUTED_VALUE"""),"Batch 2")</f>
        <v>Batch 2</v>
      </c>
      <c r="J411" s="225">
        <f>IFERROR(__xludf.DUMMYFUNCTION("""COMPUTED_VALUE"""),2.0)</f>
        <v>2</v>
      </c>
      <c r="K411" s="224">
        <f>IFERROR(__xludf.DUMMYFUNCTION("""COMPUTED_VALUE"""),16.0)</f>
        <v>16</v>
      </c>
      <c r="L411" s="226">
        <f>IFERROR(__xludf.DUMMYFUNCTION("""COMPUTED_VALUE"""),1298352.0)</f>
        <v>1298352</v>
      </c>
      <c r="M411" s="227">
        <f>IFERROR(__xludf.DUMMYFUNCTION("""COMPUTED_VALUE"""),2.0773625E7)</f>
        <v>20773625</v>
      </c>
      <c r="N411" s="222" t="str">
        <f>IFERROR(__xludf.DUMMYFUNCTION("""COMPUTED_VALUE"""),"PT ACERO CETHA METALINDO")</f>
        <v>PT ACERO CETHA METALINDO</v>
      </c>
      <c r="O411" s="222" t="str">
        <f>IFERROR(__xludf.DUMMYFUNCTION("""COMPUTED_VALUE"""),"0. DROP")</f>
        <v>0. DROP</v>
      </c>
      <c r="P411" s="222" t="str">
        <f>IFERROR(__xludf.DUMMYFUNCTION("""COMPUTED_VALUE"""),"0.2 Tidak Dapat Izin Warga/Kades/Lurah/Developer")</f>
        <v>0.2 Tidak Dapat Izin Warga/Kades/Lurah/Developer</v>
      </c>
      <c r="Q411" s="222" t="str">
        <f>IFERROR(__xludf.DUMMYFUNCTION("""COMPUTED_VALUE"""),"06/02 HASIL REVIEW DRI TSEL UNTUK PENGURUSAN IZIN, EST SENIN TGL 09/02, (27/01) DROP, tidak dpt izin dari ketua RT setempat, 07/01 DROP tidak dpt izin dari RT (27/01) DROP, tidak dpt izin dari ketua RT setempat, (15/1) ORDER DITERIMA MITRA 14/1, plan Aanw"&amp;"ijdzing 19 Jan (06/01)order JPP batch-2 2026 (20/11 propose DROP karena tidak dapat izin dari RT, 18/11 propose DROP karena tidak dapat izin dari RT, (15/11) kunjungan dengan tim sales , untuk tanam tiang dan tarik kabel tidak dapat izin karena dilokasi s"&amp;"udah banyak tiang provider lain (14/11) plan kunjungan bersama tim sales 15 nov (12/11) masih kendala perizinan 11/11 masih nunggu perizinan (08/11) core idle ready , proses izin lanjut senin 10 nov (5/11) baru selesai aanwidzjing 23/10 penunjukan mitra")</f>
        <v>06/02 HASIL REVIEW DRI TSEL UNTUK PENGURUSAN IZIN, EST SENIN TGL 09/02, (27/01) DROP, tidak dpt izin dari ketua RT setempat, 07/01 DROP tidak dpt izin dari RT (27/01) DROP, tidak dpt izin dari ketua RT setempat, (15/1) ORDER DITERIMA MITRA 14/1, plan Aanwijdzing 19 Jan (06/01)order JPP batch-2 2026 (20/11 propose DROP karena tidak dapat izin dari RT, 18/11 propose DROP karena tidak dapat izin dari RT, (15/11) kunjungan dengan tim sales , untuk tanam tiang dan tarik kabel tidak dapat izin karena dilokasi sudah banyak tiang provider lain (14/11) plan kunjungan bersama tim sales 15 nov (12/11) masih kendala perizinan 11/11 masih nunggu perizinan (08/11) core idle ready , proses izin lanjut senin 10 nov (5/11) baru selesai aanwidzjing 23/10 penunjukan mitra</v>
      </c>
      <c r="R411" s="228"/>
      <c r="S411" s="11"/>
      <c r="T411" s="11"/>
      <c r="U411" s="11"/>
      <c r="V411" s="229" t="str">
        <f>IFERROR(__xludf.DUMMYFUNCTION("""COMPUTED_VALUE"""),"PRIGUS")</f>
        <v>PRIGUS</v>
      </c>
      <c r="W411" s="229"/>
      <c r="X411" s="229" t="str">
        <f>IFERROR(__xludf.DUMMYFUNCTION("""COMPUTED_VALUE"""),"BELUM GOLIVE")</f>
        <v>BELUM GOLIVE</v>
      </c>
      <c r="Y411" s="229"/>
      <c r="Z411" s="229" t="str">
        <f>IFERROR(__xludf.DUMMYFUNCTION("""COMPUTED_VALUE"""),"#N/A")</f>
        <v>#N/A</v>
      </c>
      <c r="AA411" s="229"/>
      <c r="AB411" s="229"/>
      <c r="AC411" s="229"/>
      <c r="AD411" s="232"/>
      <c r="AE411" s="233"/>
      <c r="AF411" s="54" t="str">
        <f>IFERROR(__xludf.DUMMYFUNCTION("""COMPUTED_VALUE"""),"Draft BA DROP")</f>
        <v>Draft BA DROP</v>
      </c>
      <c r="AG411" s="54"/>
      <c r="AH411" s="54"/>
      <c r="AI411" s="55" t="str">
        <f t="shared" ref="AI411:AI412" si="54">IF(OR(R411="",AE411=""),"",R411-AE411)</f>
        <v/>
      </c>
      <c r="AW411" s="234"/>
      <c r="BP411" s="11"/>
      <c r="BQ411" s="11"/>
      <c r="BR411" s="235"/>
      <c r="BV411" s="158"/>
      <c r="BY411" s="158"/>
      <c r="CB411" s="158"/>
    </row>
    <row r="412" ht="18.0" customHeight="1">
      <c r="A412" s="222">
        <f>IFERROR(__xludf.DUMMYFUNCTION("""COMPUTED_VALUE"""),2026.0)</f>
        <v>2026</v>
      </c>
      <c r="B412" s="221">
        <f>IFERROR(__xludf.DUMMYFUNCTION("""COMPUTED_VALUE"""),1.0122266E7)</f>
        <v>10122266</v>
      </c>
      <c r="C412" s="222" t="str">
        <f>IFERROR(__xludf.DUMMYFUNCTION("""COMPUTED_VALUE"""),"SMB P3I7 542154450 YULISMA")</f>
        <v>SMB P3I7 542154450 YULISMA</v>
      </c>
      <c r="D412" s="222" t="str">
        <f>IFERROR(__xludf.DUMMYFUNCTION("""COMPUTED_VALUE"""),"REGIONAL I")</f>
        <v>REGIONAL I</v>
      </c>
      <c r="E412" s="222" t="str">
        <f>IFERROR(__xludf.DUMMYFUNCTION("""COMPUTED_VALUE"""),"SUMBAR")</f>
        <v>SUMBAR</v>
      </c>
      <c r="F412" s="222" t="str">
        <f>IFERROR(__xludf.DUMMYFUNCTION("""COMPUTED_VALUE"""),"MIN")</f>
        <v>MIN</v>
      </c>
      <c r="G412" s="222" t="str">
        <f>IFERROR(__xludf.DUMMYFUNCTION("""COMPUTED_VALUE"""),"SUMBAGTENG")</f>
        <v>SUMBAGTENG</v>
      </c>
      <c r="H412" s="222" t="str">
        <f>IFERROR(__xludf.DUMMYFUNCTION("""COMPUTED_VALUE"""),"BUKIT TINGGI")</f>
        <v>BUKIT TINGGI</v>
      </c>
      <c r="I412" s="222" t="str">
        <f>IFERROR(__xludf.DUMMYFUNCTION("""COMPUTED_VALUE"""),"Batch 2")</f>
        <v>Batch 2</v>
      </c>
      <c r="J412" s="225">
        <f>IFERROR(__xludf.DUMMYFUNCTION("""COMPUTED_VALUE"""),1.0)</f>
        <v>1</v>
      </c>
      <c r="K412" s="224">
        <f>IFERROR(__xludf.DUMMYFUNCTION("""COMPUTED_VALUE"""),8.0)</f>
        <v>8</v>
      </c>
      <c r="L412" s="226">
        <f>IFERROR(__xludf.DUMMYFUNCTION("""COMPUTED_VALUE"""),1298071.0)</f>
        <v>1298071</v>
      </c>
      <c r="M412" s="227">
        <f>IFERROR(__xludf.DUMMYFUNCTION("""COMPUTED_VALUE"""),1.0384562E7)</f>
        <v>10384562</v>
      </c>
      <c r="N412" s="222" t="str">
        <f>IFERROR(__xludf.DUMMYFUNCTION("""COMPUTED_VALUE"""),"PT GARINDO TECHNO MANDIRI")</f>
        <v>PT GARINDO TECHNO MANDIRI</v>
      </c>
      <c r="O412" s="222" t="str">
        <f>IFERROR(__xludf.DUMMYFUNCTION("""COMPUTED_VALUE"""),"0. DROP")</f>
        <v>0. DROP</v>
      </c>
      <c r="P412" s="222" t="str">
        <f>IFERROR(__xludf.DUMMYFUNCTION("""COMPUTED_VALUE"""),"0.5 DROP TSEL - Acc ED TIF")</f>
        <v>0.5 DROP TSEL - Acc ED TIF</v>
      </c>
      <c r="Q412" s="222" t="str">
        <f>IFERROR(__xludf.DUMMYFUNCTION("""COMPUTED_VALUE"""),"(05/03) doubel dengan LOP PT2 07/03 (02/03) proses aanwijziing (26/01) DROP, permintaan tsel (tidak potensial) ")</f>
        <v>(05/03) doubel dengan LOP PT2 07/03 (02/03) proses aanwijziing (26/01) DROP, permintaan tsel (tidak potensial) </v>
      </c>
      <c r="R412" s="228"/>
      <c r="S412" s="11"/>
      <c r="T412" s="11"/>
      <c r="U412" s="11"/>
      <c r="V412" s="229" t="str">
        <f>IFERROR(__xludf.DUMMYFUNCTION("""COMPUTED_VALUE"""),"DELPA YANDA")</f>
        <v>DELPA YANDA</v>
      </c>
      <c r="W412" s="229" t="str">
        <f>IFERROR(__xludf.DUMMYFUNCTION("""COMPUTED_VALUE"""),"MELKO NARWADI")</f>
        <v>MELKO NARWADI</v>
      </c>
      <c r="X412" s="229" t="str">
        <f>IFERROR(__xludf.DUMMYFUNCTION("""COMPUTED_VALUE"""),"BELUM GOLIVE")</f>
        <v>BELUM GOLIVE</v>
      </c>
      <c r="Y412" s="229"/>
      <c r="Z412" s="229" t="str">
        <f>IFERROR(__xludf.DUMMYFUNCTION("""COMPUTED_VALUE"""),"#N/A")</f>
        <v>#N/A</v>
      </c>
      <c r="AA412" s="229"/>
      <c r="AB412" s="229"/>
      <c r="AC412" s="229"/>
      <c r="AD412" s="232"/>
      <c r="AE412" s="233"/>
      <c r="AF412" s="54"/>
      <c r="AG412" s="54"/>
      <c r="AH412" s="54"/>
      <c r="AI412" s="55" t="str">
        <f t="shared" si="54"/>
        <v/>
      </c>
      <c r="AW412" s="234"/>
      <c r="BP412" s="11"/>
      <c r="BQ412" s="11"/>
      <c r="BR412" s="235"/>
      <c r="BV412" s="158"/>
      <c r="BY412" s="158"/>
      <c r="CB412" s="158"/>
    </row>
    <row r="413" ht="18.0" customHeight="1">
      <c r="A413" s="222">
        <f>IFERROR(__xludf.DUMMYFUNCTION("""COMPUTED_VALUE"""),2026.0)</f>
        <v>2026</v>
      </c>
      <c r="B413" s="221">
        <f>IFERROR(__xludf.DUMMYFUNCTION("""COMPUTED_VALUE"""),1.1417924E7)</f>
        <v>11417924</v>
      </c>
      <c r="C413" s="222" t="str">
        <f>IFERROR(__xludf.DUMMYFUNCTION("""COMPUTED_VALUE"""),"RDR SOK PT3 P3I1 SOK FE")</f>
        <v>RDR SOK PT3 P3I1 SOK FE</v>
      </c>
      <c r="D413" s="222" t="str">
        <f>IFERROR(__xludf.DUMMYFUNCTION("""COMPUTED_VALUE"""),"REGIONAL I")</f>
        <v>REGIONAL I</v>
      </c>
      <c r="E413" s="222" t="str">
        <f>IFERROR(__xludf.DUMMYFUNCTION("""COMPUTED_VALUE"""),"RIDAR")</f>
        <v>RIDAR</v>
      </c>
      <c r="F413" s="222" t="str">
        <f>IFERROR(__xludf.DUMMYFUNCTION("""COMPUTED_VALUE"""),"SOK")</f>
        <v>SOK</v>
      </c>
      <c r="G413" s="222" t="str">
        <f>IFERROR(__xludf.DUMMYFUNCTION("""COMPUTED_VALUE"""),"SUMBAGTENG")</f>
        <v>SUMBAGTENG</v>
      </c>
      <c r="H413" s="222" t="str">
        <f>IFERROR(__xludf.DUMMYFUNCTION("""COMPUTED_VALUE"""),"PEKANBARU")</f>
        <v>PEKANBARU</v>
      </c>
      <c r="I413" s="222" t="str">
        <f>IFERROR(__xludf.DUMMYFUNCTION("""COMPUTED_VALUE"""),"Batch 2")</f>
        <v>Batch 2</v>
      </c>
      <c r="J413" s="225">
        <f>IFERROR(__xludf.DUMMYFUNCTION("""COMPUTED_VALUE"""),19.0)</f>
        <v>19</v>
      </c>
      <c r="K413" s="224">
        <f>IFERROR(__xludf.DUMMYFUNCTION("""COMPUTED_VALUE"""),160.0)</f>
        <v>160</v>
      </c>
      <c r="L413" s="226">
        <f>IFERROR(__xludf.DUMMYFUNCTION("""COMPUTED_VALUE"""),1297848.0)</f>
        <v>1297848</v>
      </c>
      <c r="M413" s="227">
        <f>IFERROR(__xludf.DUMMYFUNCTION("""COMPUTED_VALUE"""),2.0765566E8)</f>
        <v>207655660</v>
      </c>
      <c r="N413" s="222" t="str">
        <f>IFERROR(__xludf.DUMMYFUNCTION("""COMPUTED_VALUE"""),"PT KENCANA RAYA INDONESIA")</f>
        <v>PT KENCANA RAYA INDONESIA</v>
      </c>
      <c r="O413" s="222" t="str">
        <f>IFERROR(__xludf.DUMMYFUNCTION("""COMPUTED_VALUE"""),"7. GOLIVE")</f>
        <v>7. GOLIVE</v>
      </c>
      <c r="P413" s="222" t="str">
        <f>IFERROR(__xludf.DUMMYFUNCTION("""COMPUTED_VALUE"""),"7.2 Golive Full / OA / DONE OTB")</f>
        <v>7.2 Golive Full / OA / DONE OTB</v>
      </c>
      <c r="Q413" s="222" t="str">
        <f>IFERROR(__xludf.DUMMYFUNCTION("""COMPUTED_VALUE"""),"27/03 Proses redraw 16/03 Proses jumper dan valins 05/03 Penarikan kabel 20/02 Plan selesai fisik 28 Feb 10/02 Antrian Tim Mitra 09/02 Antrian Review 29/01 Antrian Review hasil anwidzing 21/01 Terget selesai survey 24 Jan (07/01) Persiapan")</f>
        <v>27/03 Proses redraw 16/03 Proses jumper dan valins 05/03 Penarikan kabel 20/02 Plan selesai fisik 28 Feb 10/02 Antrian Tim Mitra 09/02 Antrian Review 29/01 Antrian Review hasil anwidzing 21/01 Terget selesai survey 24 Jan (07/01) Persiapan</v>
      </c>
      <c r="R413" s="228">
        <f>IFERROR(__xludf.DUMMYFUNCTION("""COMPUTED_VALUE"""),46109.0)</f>
        <v>46109</v>
      </c>
      <c r="S413" s="11"/>
      <c r="T413" s="11" t="str">
        <f>IFERROR(__xludf.DUMMYFUNCTION("""COMPUTED_VALUE"""),"P1")</f>
        <v>P1</v>
      </c>
      <c r="U413" s="11" t="str">
        <f>IFERROR(__xludf.DUMMYFUNCTION("""COMPUTED_VALUE"""),"W08-2135/2025")</f>
        <v>W08-2135/2025</v>
      </c>
      <c r="V413" s="229" t="str">
        <f>IFERROR(__xludf.DUMMYFUNCTION("""COMPUTED_VALUE"""),"ADIL WAHYUDI")</f>
        <v>ADIL WAHYUDI</v>
      </c>
      <c r="W413" s="229" t="str">
        <f>IFERROR(__xludf.DUMMYFUNCTION("""COMPUTED_VALUE"""),"ANZALA SAKINAH")</f>
        <v>ANZALA SAKINAH</v>
      </c>
      <c r="X413" s="229" t="str">
        <f>IFERROR(__xludf.DUMMYFUNCTION("""COMPUTED_VALUE"""),"GOLIVE")</f>
        <v>GOLIVE</v>
      </c>
      <c r="Y413" s="229" t="str">
        <f>IFERROR(__xludf.DUMMYFUNCTION("""COMPUTED_VALUE"""),"DONE")</f>
        <v>DONE</v>
      </c>
      <c r="Z413" s="229" t="str">
        <f>IFERROR(__xludf.DUMMYFUNCTION("""COMPUTED_VALUE"""),"#N/A")</f>
        <v>#N/A</v>
      </c>
      <c r="AA413" s="229">
        <f>IFERROR(__xludf.DUMMYFUNCTION("""COMPUTED_VALUE"""),19.0)</f>
        <v>19</v>
      </c>
      <c r="AB413" s="229"/>
      <c r="AC413" s="229" t="str">
        <f>IFERROR(__xludf.DUMMYFUNCTION("""COMPUTED_VALUE"""),"9227260#9227265")</f>
        <v>9227260#9227265</v>
      </c>
      <c r="AD413" s="232">
        <f>IFERROR(__xludf.DUMMYFUNCTION("""COMPUTED_VALUE"""),160.0)</f>
        <v>160</v>
      </c>
      <c r="AE413" s="233">
        <f>IFERROR(__xludf.DUMMYFUNCTION("""COMPUTED_VALUE"""),46109.0)</f>
        <v>46109</v>
      </c>
      <c r="AF413" s="54"/>
      <c r="AG413" s="54"/>
      <c r="AH413" s="54">
        <v>46109.0</v>
      </c>
      <c r="AI413" s="55">
        <f>IF(OR(AH413="",AE413=""),"",AH413-AE413)</f>
        <v>0</v>
      </c>
      <c r="AW413" s="234"/>
      <c r="BP413" s="11"/>
      <c r="BQ413" s="11"/>
      <c r="BR413" s="235"/>
      <c r="BV413" s="158"/>
      <c r="BY413" s="158"/>
      <c r="CB413" s="158"/>
    </row>
    <row r="414" ht="18.0" hidden="1" customHeight="1">
      <c r="A414" s="222">
        <f>IFERROR(__xludf.DUMMYFUNCTION("""COMPUTED_VALUE"""),2026.0)</f>
        <v>2026</v>
      </c>
      <c r="B414" s="221">
        <f>IFERROR(__xludf.DUMMYFUNCTION("""COMPUTED_VALUE"""),1.1100172E7)</f>
        <v>11100172</v>
      </c>
      <c r="C414" s="222" t="str">
        <f>IFERROR(__xludf.DUMMYFUNCTION("""COMPUTED_VALUE"""),"MDN PT3 P7I5 GLG-FC JAHARUN ASRI")</f>
        <v>MDN PT3 P7I5 GLG-FC JAHARUN ASRI</v>
      </c>
      <c r="D414" s="222" t="str">
        <f>IFERROR(__xludf.DUMMYFUNCTION("""COMPUTED_VALUE"""),"REGIONAL I")</f>
        <v>REGIONAL I</v>
      </c>
      <c r="E414" s="222" t="str">
        <f>IFERROR(__xludf.DUMMYFUNCTION("""COMPUTED_VALUE"""),"MEDAN")</f>
        <v>MEDAN</v>
      </c>
      <c r="F414" s="222" t="str">
        <f>IFERROR(__xludf.DUMMYFUNCTION("""COMPUTED_VALUE"""),"GLG")</f>
        <v>GLG</v>
      </c>
      <c r="G414" s="222" t="str">
        <f>IFERROR(__xludf.DUMMYFUNCTION("""COMPUTED_VALUE"""),"SUMBAGUT")</f>
        <v>SUMBAGUT</v>
      </c>
      <c r="H414" s="222" t="str">
        <f>IFERROR(__xludf.DUMMYFUNCTION("""COMPUTED_VALUE"""),"MEDAN")</f>
        <v>MEDAN</v>
      </c>
      <c r="I414" s="222" t="str">
        <f>IFERROR(__xludf.DUMMYFUNCTION("""COMPUTED_VALUE"""),"Batch 2")</f>
        <v>Batch 2</v>
      </c>
      <c r="J414" s="225">
        <f>IFERROR(__xludf.DUMMYFUNCTION("""COMPUTED_VALUE"""),6.0)</f>
        <v>6</v>
      </c>
      <c r="K414" s="224">
        <f>IFERROR(__xludf.DUMMYFUNCTION("""COMPUTED_VALUE"""),48.0)</f>
        <v>48</v>
      </c>
      <c r="L414" s="226">
        <f>IFERROR(__xludf.DUMMYFUNCTION("""COMPUTED_VALUE"""),1297235.0)</f>
        <v>1297235</v>
      </c>
      <c r="M414" s="227">
        <f>IFERROR(__xludf.DUMMYFUNCTION("""COMPUTED_VALUE"""),6.2267247E7)</f>
        <v>62267247</v>
      </c>
      <c r="N414" s="222" t="str">
        <f>IFERROR(__xludf.DUMMYFUNCTION("""COMPUTED_VALUE"""),"PT NIAGA NUSANTARA DIVA")</f>
        <v>PT NIAGA NUSANTARA DIVA</v>
      </c>
      <c r="O414" s="222" t="str">
        <f>IFERROR(__xludf.DUMMYFUNCTION("""COMPUTED_VALUE"""),"0. DROP")</f>
        <v>0. DROP</v>
      </c>
      <c r="P414" s="222" t="str">
        <f>IFERROR(__xludf.DUMMYFUNCTION("""COMPUTED_VALUE"""),"0.4 CPP Tinggi Acc ED TIF")</f>
        <v>0.4 CPP Tinggi Acc ED TIF</v>
      </c>
      <c r="Q414" s="222" t="str">
        <f>IFERROR(__xludf.DUMMYFUNCTION("""COMPUTED_VALUE"""),"12/02 info cham dari Tsel, kalau di perumahan ini tidak ada potensi pelanggan. Karena perumahan ini tidak ada orangnya
(07/01) Persiapan")</f>
        <v>12/02 info cham dari Tsel, kalau di perumahan ini tidak ada potensi pelanggan. Karena perumahan ini tidak ada orangnya
(07/01) Persiapan</v>
      </c>
      <c r="R414" s="228"/>
      <c r="S414" s="11"/>
      <c r="T414" s="11"/>
      <c r="U414" s="11"/>
      <c r="V414" s="229"/>
      <c r="W414" s="229"/>
      <c r="X414" s="229" t="str">
        <f>IFERROR(__xludf.DUMMYFUNCTION("""COMPUTED_VALUE"""),"BELUM GOLIVE")</f>
        <v>BELUM GOLIVE</v>
      </c>
      <c r="Y414" s="229"/>
      <c r="Z414" s="229" t="str">
        <f>IFERROR(__xludf.DUMMYFUNCTION("""COMPUTED_VALUE"""),"#N/A")</f>
        <v>#N/A</v>
      </c>
      <c r="AA414" s="229"/>
      <c r="AB414" s="229"/>
      <c r="AC414" s="229"/>
      <c r="AD414" s="232"/>
      <c r="AE414" s="233"/>
      <c r="AF414" s="54" t="str">
        <f>IFERROR(__xludf.DUMMYFUNCTION("""COMPUTED_VALUE"""),"Draft BA DROP")</f>
        <v>Draft BA DROP</v>
      </c>
      <c r="AG414" s="54"/>
      <c r="AH414" s="54"/>
      <c r="AI414" s="55" t="str">
        <f t="shared" ref="AI414:AI426" si="55">IF(OR(R414="",AE414=""),"",R414-AE414)</f>
        <v/>
      </c>
      <c r="AW414" s="234"/>
      <c r="BP414" s="11"/>
      <c r="BQ414" s="11"/>
      <c r="BR414" s="235"/>
      <c r="BV414" s="158"/>
      <c r="BY414" s="158"/>
      <c r="CB414" s="158"/>
    </row>
    <row r="415" ht="18.0" hidden="1" customHeight="1">
      <c r="A415" s="222">
        <f>IFERROR(__xludf.DUMMYFUNCTION("""COMPUTED_VALUE"""),2026.0)</f>
        <v>2026</v>
      </c>
      <c r="B415" s="221">
        <f>IFERROR(__xludf.DUMMYFUNCTION("""COMPUTED_VALUE"""),1.1189175E7)</f>
        <v>11189175</v>
      </c>
      <c r="C415" s="222" t="str">
        <f>IFERROR(__xludf.DUMMYFUNCTION("""COMPUTED_VALUE"""),"MDN PT3 P7I10 PUB-FF GG.MAKMUR")</f>
        <v>MDN PT3 P7I10 PUB-FF GG.MAKMUR</v>
      </c>
      <c r="D415" s="222" t="str">
        <f>IFERROR(__xludf.DUMMYFUNCTION("""COMPUTED_VALUE"""),"REGIONAL I")</f>
        <v>REGIONAL I</v>
      </c>
      <c r="E415" s="222" t="str">
        <f>IFERROR(__xludf.DUMMYFUNCTION("""COMPUTED_VALUE"""),"MEDAN")</f>
        <v>MEDAN</v>
      </c>
      <c r="F415" s="222" t="str">
        <f>IFERROR(__xludf.DUMMYFUNCTION("""COMPUTED_VALUE"""),"PUB")</f>
        <v>PUB</v>
      </c>
      <c r="G415" s="222" t="str">
        <f>IFERROR(__xludf.DUMMYFUNCTION("""COMPUTED_VALUE"""),"SUMBAGUT")</f>
        <v>SUMBAGUT</v>
      </c>
      <c r="H415" s="222" t="str">
        <f>IFERROR(__xludf.DUMMYFUNCTION("""COMPUTED_VALUE"""),"MEDAN")</f>
        <v>MEDAN</v>
      </c>
      <c r="I415" s="222" t="str">
        <f>IFERROR(__xludf.DUMMYFUNCTION("""COMPUTED_VALUE"""),"Batch 2")</f>
        <v>Batch 2</v>
      </c>
      <c r="J415" s="225">
        <f>IFERROR(__xludf.DUMMYFUNCTION("""COMPUTED_VALUE"""),1.0)</f>
        <v>1</v>
      </c>
      <c r="K415" s="224">
        <f>IFERROR(__xludf.DUMMYFUNCTION("""COMPUTED_VALUE"""),8.0)</f>
        <v>8</v>
      </c>
      <c r="L415" s="226">
        <f>IFERROR(__xludf.DUMMYFUNCTION("""COMPUTED_VALUE"""),1201094.0)</f>
        <v>1201094</v>
      </c>
      <c r="M415" s="227">
        <f>IFERROR(__xludf.DUMMYFUNCTION("""COMPUTED_VALUE"""),9608751.0)</f>
        <v>9608751</v>
      </c>
      <c r="N415" s="222" t="str">
        <f>IFERROR(__xludf.DUMMYFUNCTION("""COMPUTED_VALUE"""),"PT BENWA  MITRA PRATAMA")</f>
        <v>PT BENWA  MITRA PRATAMA</v>
      </c>
      <c r="O415" s="222" t="str">
        <f>IFERROR(__xludf.DUMMYFUNCTION("""COMPUTED_VALUE"""),"0. DROP")</f>
        <v>0. DROP</v>
      </c>
      <c r="P415" s="222" t="str">
        <f>IFERROR(__xludf.DUMMYFUNCTION("""COMPUTED_VALUE"""),"0.4 CPP Tinggi Acc ED TIF")</f>
        <v>0.4 CPP Tinggi Acc ED TIF</v>
      </c>
      <c r="Q415" s="222" t="str">
        <f>IFERROR(__xludf.DUMMYFUNCTION("""COMPUTED_VALUE"""),"(25/09) Feeder Tidak Tembus PUB-FF
(24/09) Perizinan Warga dan Kades / Lurah
(23/09) Perizinan Warga dan Kades / Lurah
15/09 proses aanwijzing")</f>
        <v>(25/09) Feeder Tidak Tembus PUB-FF
(24/09) Perizinan Warga dan Kades / Lurah
(23/09) Perizinan Warga dan Kades / Lurah
15/09 proses aanwijzing</v>
      </c>
      <c r="R415" s="228"/>
      <c r="S415" s="11"/>
      <c r="T415" s="11"/>
      <c r="U415" s="11"/>
      <c r="V415" s="229"/>
      <c r="W415" s="229"/>
      <c r="X415" s="229" t="str">
        <f>IFERROR(__xludf.DUMMYFUNCTION("""COMPUTED_VALUE"""),"BELUM GOLIVE")</f>
        <v>BELUM GOLIVE</v>
      </c>
      <c r="Y415" s="229"/>
      <c r="Z415" s="229" t="str">
        <f>IFERROR(__xludf.DUMMYFUNCTION("""COMPUTED_VALUE"""),"#N/A")</f>
        <v>#N/A</v>
      </c>
      <c r="AA415" s="229"/>
      <c r="AB415" s="229"/>
      <c r="AC415" s="229"/>
      <c r="AD415" s="232"/>
      <c r="AE415" s="233"/>
      <c r="AF415" s="54" t="str">
        <f>IFERROR(__xludf.DUMMYFUNCTION("""COMPUTED_VALUE"""),"Draft BA DROP")</f>
        <v>Draft BA DROP</v>
      </c>
      <c r="AG415" s="54"/>
      <c r="AH415" s="54"/>
      <c r="AI415" s="55" t="str">
        <f t="shared" si="55"/>
        <v/>
      </c>
      <c r="AW415" s="234"/>
      <c r="BP415" s="11"/>
      <c r="BQ415" s="11"/>
      <c r="BR415" s="235"/>
      <c r="BV415" s="158"/>
      <c r="BY415" s="158"/>
      <c r="CB415" s="158"/>
    </row>
    <row r="416" ht="18.0" hidden="1" customHeight="1">
      <c r="A416" s="222">
        <f>IFERROR(__xludf.DUMMYFUNCTION("""COMPUTED_VALUE"""),2026.0)</f>
        <v>2026</v>
      </c>
      <c r="B416" s="221">
        <f>IFERROR(__xludf.DUMMYFUNCTION("""COMPUTED_VALUE"""),1.1987116E7)</f>
        <v>11987116</v>
      </c>
      <c r="C416" s="222" t="str">
        <f>IFERROR(__xludf.DUMMYFUNCTION("""COMPUTED_VALUE"""),"ACH SAB PT3 SAB-FF KOMP.TSUNAMI KRUENG R")</f>
        <v>ACH SAB PT3 SAB-FF KOMP.TSUNAMI KRUENG R</v>
      </c>
      <c r="D416" s="222" t="str">
        <f>IFERROR(__xludf.DUMMYFUNCTION("""COMPUTED_VALUE"""),"REGIONAL I")</f>
        <v>REGIONAL I</v>
      </c>
      <c r="E416" s="222" t="str">
        <f>IFERROR(__xludf.DUMMYFUNCTION("""COMPUTED_VALUE"""),"ACEH")</f>
        <v>ACEH</v>
      </c>
      <c r="F416" s="222" t="str">
        <f>IFERROR(__xludf.DUMMYFUNCTION("""COMPUTED_VALUE"""),"SAB")</f>
        <v>SAB</v>
      </c>
      <c r="G416" s="222" t="str">
        <f>IFERROR(__xludf.DUMMYFUNCTION("""COMPUTED_VALUE"""),"SUMBAGUT")</f>
        <v>SUMBAGUT</v>
      </c>
      <c r="H416" s="222" t="str">
        <f>IFERROR(__xludf.DUMMYFUNCTION("""COMPUTED_VALUE"""),"BANDA ACEH")</f>
        <v>BANDA ACEH</v>
      </c>
      <c r="I416" s="222" t="str">
        <f>IFERROR(__xludf.DUMMYFUNCTION("""COMPUTED_VALUE"""),"Batch 2")</f>
        <v>Batch 2</v>
      </c>
      <c r="J416" s="225">
        <f>IFERROR(__xludf.DUMMYFUNCTION("""COMPUTED_VALUE"""),2.0)</f>
        <v>2</v>
      </c>
      <c r="K416" s="224">
        <f>IFERROR(__xludf.DUMMYFUNCTION("""COMPUTED_VALUE"""),24.0)</f>
        <v>24</v>
      </c>
      <c r="L416" s="226">
        <f>IFERROR(__xludf.DUMMYFUNCTION("""COMPUTED_VALUE"""),1296314.0)</f>
        <v>1296314</v>
      </c>
      <c r="M416" s="227">
        <f>IFERROR(__xludf.DUMMYFUNCTION("""COMPUTED_VALUE"""),3.1111534E7)</f>
        <v>31111534</v>
      </c>
      <c r="N416" s="222" t="str">
        <f>IFERROR(__xludf.DUMMYFUNCTION("""COMPUTED_VALUE"""),"PT TRIPOLA PANATA")</f>
        <v>PT TRIPOLA PANATA</v>
      </c>
      <c r="O416" s="222" t="str">
        <f>IFERROR(__xludf.DUMMYFUNCTION("""COMPUTED_VALUE"""),"7. GOLIVE")</f>
        <v>7. GOLIVE</v>
      </c>
      <c r="P416" s="222" t="str">
        <f>IFERROR(__xludf.DUMMYFUNCTION("""COMPUTED_VALUE"""),"7.2 Golive Full / OA / DONE OTB")</f>
        <v>7.2 Golive Full / OA / DONE OTB</v>
      </c>
      <c r="Q416" s="222" t="str">
        <f>IFERROR(__xludf.DUMMYFUNCTION("""COMPUTED_VALUE"""),"(13/02) ABD Mancore (11/02) Jumper OLT (07/02) Persiapan Terminasi (02/02) Tanam Tiang (23/01) PO Material (21/01) DelMat (07/01) Persiapan")</f>
        <v>(13/02) ABD Mancore (11/02) Jumper OLT (07/02) Persiapan Terminasi (02/02) Tanam Tiang (23/01) PO Material (21/01) DelMat (07/01) Persiapan</v>
      </c>
      <c r="R416" s="228">
        <f>IFERROR(__xludf.DUMMYFUNCTION("""COMPUTED_VALUE"""),46069.0)</f>
        <v>46069</v>
      </c>
      <c r="S416" s="11"/>
      <c r="T416" s="11"/>
      <c r="U416" s="11" t="str">
        <f>IFERROR(__xludf.DUMMYFUNCTION("""COMPUTED_VALUE"""),"W04-1066/2025")</f>
        <v>W04-1066/2025</v>
      </c>
      <c r="V416" s="229"/>
      <c r="W416" s="229"/>
      <c r="X416" s="229" t="str">
        <f>IFERROR(__xludf.DUMMYFUNCTION("""COMPUTED_VALUE"""),"GOLIVE")</f>
        <v>GOLIVE</v>
      </c>
      <c r="Y416" s="229" t="str">
        <f>IFERROR(__xludf.DUMMYFUNCTION("""COMPUTED_VALUE"""),"DONE")</f>
        <v>DONE</v>
      </c>
      <c r="Z416" s="229" t="str">
        <f>IFERROR(__xludf.DUMMYFUNCTION("""COMPUTED_VALUE"""),"#N/A")</f>
        <v>#N/A</v>
      </c>
      <c r="AA416" s="229">
        <f>IFERROR(__xludf.DUMMYFUNCTION("""COMPUTED_VALUE"""),3.0)</f>
        <v>3</v>
      </c>
      <c r="AB416" s="229"/>
      <c r="AC416" s="229" t="str">
        <f>IFERROR(__xludf.DUMMYFUNCTION("""COMPUTED_VALUE"""),"9111377#9111382")</f>
        <v>9111377#9111382</v>
      </c>
      <c r="AD416" s="232">
        <f>IFERROR(__xludf.DUMMYFUNCTION("""COMPUTED_VALUE"""),24.0)</f>
        <v>24</v>
      </c>
      <c r="AE416" s="233">
        <f>IFERROR(__xludf.DUMMYFUNCTION("""COMPUTED_VALUE"""),46069.0)</f>
        <v>46069</v>
      </c>
      <c r="AF416" s="54"/>
      <c r="AG416" s="54"/>
      <c r="AH416" s="54">
        <v>46069.0</v>
      </c>
      <c r="AI416" s="55">
        <f t="shared" si="55"/>
        <v>0</v>
      </c>
      <c r="AW416" s="234"/>
      <c r="BP416" s="11"/>
      <c r="BQ416" s="11"/>
      <c r="BR416" s="235"/>
      <c r="BV416" s="158"/>
      <c r="BY416" s="158"/>
      <c r="CB416" s="158"/>
    </row>
    <row r="417" ht="18.0" hidden="1" customHeight="1">
      <c r="A417" s="222">
        <f>IFERROR(__xludf.DUMMYFUNCTION("""COMPUTED_VALUE"""),2026.0)</f>
        <v>2026</v>
      </c>
      <c r="B417" s="221">
        <f>IFERROR(__xludf.DUMMYFUNCTION("""COMPUTED_VALUE"""),1.1268495E7)</f>
        <v>11268495</v>
      </c>
      <c r="C417" s="222" t="str">
        <f>IFERROR(__xludf.DUMMYFUNCTION("""COMPUTED_VALUE"""),"MDN PT3 P7I9 PUB-FCC JL.TANGKUL 2")</f>
        <v>MDN PT3 P7I9 PUB-FCC JL.TANGKUL 2</v>
      </c>
      <c r="D417" s="222" t="str">
        <f>IFERROR(__xludf.DUMMYFUNCTION("""COMPUTED_VALUE"""),"REGIONAL I")</f>
        <v>REGIONAL I</v>
      </c>
      <c r="E417" s="222" t="str">
        <f>IFERROR(__xludf.DUMMYFUNCTION("""COMPUTED_VALUE"""),"MEDAN")</f>
        <v>MEDAN</v>
      </c>
      <c r="F417" s="222" t="str">
        <f>IFERROR(__xludf.DUMMYFUNCTION("""COMPUTED_VALUE"""),"PUB")</f>
        <v>PUB</v>
      </c>
      <c r="G417" s="222" t="str">
        <f>IFERROR(__xludf.DUMMYFUNCTION("""COMPUTED_VALUE"""),"SUMBAGUT")</f>
        <v>SUMBAGUT</v>
      </c>
      <c r="H417" s="222" t="str">
        <f>IFERROR(__xludf.DUMMYFUNCTION("""COMPUTED_VALUE"""),"MEDAN")</f>
        <v>MEDAN</v>
      </c>
      <c r="I417" s="222" t="str">
        <f>IFERROR(__xludf.DUMMYFUNCTION("""COMPUTED_VALUE"""),"Batch 2")</f>
        <v>Batch 2</v>
      </c>
      <c r="J417" s="225">
        <f>IFERROR(__xludf.DUMMYFUNCTION("""COMPUTED_VALUE"""),6.0)</f>
        <v>6</v>
      </c>
      <c r="K417" s="224">
        <f>IFERROR(__xludf.DUMMYFUNCTION("""COMPUTED_VALUE"""),48.0)</f>
        <v>48</v>
      </c>
      <c r="L417" s="226">
        <f>IFERROR(__xludf.DUMMYFUNCTION("""COMPUTED_VALUE"""),1295755.0)</f>
        <v>1295755</v>
      </c>
      <c r="M417" s="227">
        <f>IFERROR(__xludf.DUMMYFUNCTION("""COMPUTED_VALUE"""),6.2196202E7)</f>
        <v>62196202</v>
      </c>
      <c r="N417" s="222" t="str">
        <f>IFERROR(__xludf.DUMMYFUNCTION("""COMPUTED_VALUE"""),"PT M JUSUF AND SONS")</f>
        <v>PT M JUSUF AND SONS</v>
      </c>
      <c r="O417" s="222" t="str">
        <f>IFERROR(__xludf.DUMMYFUNCTION("""COMPUTED_VALUE"""),"0. DROP")</f>
        <v>0. DROP</v>
      </c>
      <c r="P417" s="222" t="str">
        <f>IFERROR(__xludf.DUMMYFUNCTION("""COMPUTED_VALUE"""),"0.4 CPP Tinggi Acc ED TIF")</f>
        <v>0.4 CPP Tinggi Acc ED TIF</v>
      </c>
      <c r="Q417" s="222" t="str">
        <f>IFERROR(__xludf.DUMMYFUNCTION("""COMPUTED_VALUE"""),"16/10 Feeder Habis
16/10 Mapping Mitra")</f>
        <v>16/10 Feeder Habis
16/10 Mapping Mitra</v>
      </c>
      <c r="R417" s="228"/>
      <c r="S417" s="11"/>
      <c r="T417" s="11"/>
      <c r="U417" s="11"/>
      <c r="V417" s="229"/>
      <c r="W417" s="229"/>
      <c r="X417" s="229" t="str">
        <f>IFERROR(__xludf.DUMMYFUNCTION("""COMPUTED_VALUE"""),"BELUM GOLIVE")</f>
        <v>BELUM GOLIVE</v>
      </c>
      <c r="Y417" s="229"/>
      <c r="Z417" s="229" t="str">
        <f>IFERROR(__xludf.DUMMYFUNCTION("""COMPUTED_VALUE"""),"#N/A")</f>
        <v>#N/A</v>
      </c>
      <c r="AA417" s="229"/>
      <c r="AB417" s="229"/>
      <c r="AC417" s="229"/>
      <c r="AD417" s="232"/>
      <c r="AE417" s="233"/>
      <c r="AF417" s="54" t="str">
        <f>IFERROR(__xludf.DUMMYFUNCTION("""COMPUTED_VALUE"""),"Draft BA DROP")</f>
        <v>Draft BA DROP</v>
      </c>
      <c r="AG417" s="54"/>
      <c r="AH417" s="54"/>
      <c r="AI417" s="55" t="str">
        <f t="shared" si="55"/>
        <v/>
      </c>
      <c r="AW417" s="234"/>
      <c r="BP417" s="11"/>
      <c r="BQ417" s="11"/>
      <c r="BR417" s="235"/>
      <c r="BV417" s="158"/>
      <c r="BY417" s="158"/>
      <c r="CB417" s="158"/>
    </row>
    <row r="418" ht="18.0" hidden="1" customHeight="1">
      <c r="A418" s="222">
        <f>IFERROR(__xludf.DUMMYFUNCTION("""COMPUTED_VALUE"""),2026.0)</f>
        <v>2026</v>
      </c>
      <c r="B418" s="221">
        <f>IFERROR(__xludf.DUMMYFUNCTION("""COMPUTED_VALUE"""),1.1263845E7)</f>
        <v>11263845</v>
      </c>
      <c r="C418" s="222" t="str">
        <f>IFERROR(__xludf.DUMMYFUNCTION("""COMPUTED_VALUE"""),"ACH PT3 BNN-FJ D09 ULEE GAMPONG")</f>
        <v>ACH PT3 BNN-FJ D09 ULEE GAMPONG</v>
      </c>
      <c r="D418" s="222" t="str">
        <f>IFERROR(__xludf.DUMMYFUNCTION("""COMPUTED_VALUE"""),"REGIONAL I")</f>
        <v>REGIONAL I</v>
      </c>
      <c r="E418" s="222" t="str">
        <f>IFERROR(__xludf.DUMMYFUNCTION("""COMPUTED_VALUE"""),"ACEH")</f>
        <v>ACEH</v>
      </c>
      <c r="F418" s="222" t="str">
        <f>IFERROR(__xludf.DUMMYFUNCTION("""COMPUTED_VALUE"""),"BNN")</f>
        <v>BNN</v>
      </c>
      <c r="G418" s="222" t="str">
        <f>IFERROR(__xludf.DUMMYFUNCTION("""COMPUTED_VALUE"""),"SUMBAGUT")</f>
        <v>SUMBAGUT</v>
      </c>
      <c r="H418" s="222" t="str">
        <f>IFERROR(__xludf.DUMMYFUNCTION("""COMPUTED_VALUE"""),"BANDA ACEH")</f>
        <v>BANDA ACEH</v>
      </c>
      <c r="I418" s="222" t="str">
        <f>IFERROR(__xludf.DUMMYFUNCTION("""COMPUTED_VALUE"""),"Batch 2")</f>
        <v>Batch 2</v>
      </c>
      <c r="J418" s="225">
        <f>IFERROR(__xludf.DUMMYFUNCTION("""COMPUTED_VALUE"""),18.0)</f>
        <v>18</v>
      </c>
      <c r="K418" s="224">
        <f>IFERROR(__xludf.DUMMYFUNCTION("""COMPUTED_VALUE"""),144.0)</f>
        <v>144</v>
      </c>
      <c r="L418" s="226">
        <f>IFERROR(__xludf.DUMMYFUNCTION("""COMPUTED_VALUE"""),1295161.0)</f>
        <v>1295161</v>
      </c>
      <c r="M418" s="227">
        <f>IFERROR(__xludf.DUMMYFUNCTION("""COMPUTED_VALUE"""),1.86503082E8)</f>
        <v>186503082</v>
      </c>
      <c r="N418" s="222" t="str">
        <f>IFERROR(__xludf.DUMMYFUNCTION("""COMPUTED_VALUE"""),"PT NIAGA NUSANTARA DIVA")</f>
        <v>PT NIAGA NUSANTARA DIVA</v>
      </c>
      <c r="O418" s="222" t="str">
        <f>IFERROR(__xludf.DUMMYFUNCTION("""COMPUTED_VALUE"""),"5. INSTALASI")</f>
        <v>5. INSTALASI</v>
      </c>
      <c r="P418" s="222" t="str">
        <f>IFERROR(__xludf.DUMMYFUNCTION("""COMPUTED_VALUE"""),"5.4 Proses Penanaman Tiang")</f>
        <v>5.4 Proses Penanaman Tiang</v>
      </c>
      <c r="Q418" s="222" t="str">
        <f>IFERROR(__xludf.DUMMYFUNCTION("""COMPUTED_VALUE"""),"(24/04) Comcase sudah Clear, lanjut tanam tiang (20/04) Commcase tanam tiang 1 kampung blm clear, est 21/04 clear perijinan
(13/04) Tanam Tiang (03/03) Tanam Tiang (07/02) DelMat (06/02) Done Aanwijzing (29/01)proses  AANWIJZING(07/01) Persiapan")</f>
        <v>(24/04) Comcase sudah Clear, lanjut tanam tiang (20/04) Commcase tanam tiang 1 kampung blm clear, est 21/04 clear perijinan
(13/04) Tanam Tiang (03/03) Tanam Tiang (07/02) DelMat (06/02) Done Aanwijzing (29/01)proses  AANWIJZING(07/01) Persiapan</v>
      </c>
      <c r="R418" s="228">
        <f>IFERROR(__xludf.DUMMYFUNCTION("""COMPUTED_VALUE"""),46141.0)</f>
        <v>46141</v>
      </c>
      <c r="S418" s="11" t="str">
        <f>IFERROR(__xludf.DUMMYFUNCTION("""COMPUTED_VALUE"""),"APR")</f>
        <v>APR</v>
      </c>
      <c r="T418" s="73"/>
      <c r="U418" s="11"/>
      <c r="V418" s="229"/>
      <c r="W418" s="229" t="str">
        <f>IFERROR(__xludf.DUMMYFUNCTION("""COMPUTED_VALUE"""),"#N/A")</f>
        <v>#N/A</v>
      </c>
      <c r="X418" s="229" t="str">
        <f>IFERROR(__xludf.DUMMYFUNCTION("""COMPUTED_VALUE"""),"BELUM GOLIVE")</f>
        <v>BELUM GOLIVE</v>
      </c>
      <c r="Y418" s="229"/>
      <c r="Z418" s="229" t="str">
        <f>IFERROR(__xludf.DUMMYFUNCTION("""COMPUTED_VALUE"""),"#N/A")</f>
        <v>#N/A</v>
      </c>
      <c r="AA418" s="229"/>
      <c r="AB418" s="229"/>
      <c r="AC418" s="229"/>
      <c r="AD418" s="232"/>
      <c r="AE418" s="233"/>
      <c r="AF418" s="54"/>
      <c r="AG418" s="54"/>
      <c r="AH418" s="54">
        <v>46131.0</v>
      </c>
      <c r="AI418" s="55" t="str">
        <f t="shared" si="55"/>
        <v/>
      </c>
      <c r="AW418" s="234"/>
      <c r="BP418" s="11"/>
      <c r="BQ418" s="11"/>
      <c r="BR418" s="235"/>
      <c r="BV418" s="158"/>
      <c r="BY418" s="158"/>
      <c r="CB418" s="158"/>
    </row>
    <row r="419" ht="18.0" customHeight="1">
      <c r="A419" s="222">
        <f>IFERROR(__xludf.DUMMYFUNCTION("""COMPUTED_VALUE"""),2026.0)</f>
        <v>2026</v>
      </c>
      <c r="B419" s="221">
        <f>IFERROR(__xludf.DUMMYFUNCTION("""COMPUTED_VALUE"""),1.1526564E7)</f>
        <v>11526564</v>
      </c>
      <c r="C419" s="222" t="str">
        <f>IFERROR(__xludf.DUMMYFUNCTION("""COMPUTED_VALUE"""),"RKP TSEL PT3 LBJ-FAH VALLEY GARDEN")</f>
        <v>RKP TSEL PT3 LBJ-FAH VALLEY GARDEN</v>
      </c>
      <c r="D419" s="222" t="str">
        <f>IFERROR(__xludf.DUMMYFUNCTION("""COMPUTED_VALUE"""),"REGIONAL I")</f>
        <v>REGIONAL I</v>
      </c>
      <c r="E419" s="222" t="str">
        <f>IFERROR(__xludf.DUMMYFUNCTION("""COMPUTED_VALUE"""),"RIKEP")</f>
        <v>RIKEP</v>
      </c>
      <c r="F419" s="222" t="str">
        <f>IFERROR(__xludf.DUMMYFUNCTION("""COMPUTED_VALUE"""),"LBJ")</f>
        <v>LBJ</v>
      </c>
      <c r="G419" s="222" t="str">
        <f>IFERROR(__xludf.DUMMYFUNCTION("""COMPUTED_VALUE"""),"SUMBAGTENG")</f>
        <v>SUMBAGTENG</v>
      </c>
      <c r="H419" s="222" t="str">
        <f>IFERROR(__xludf.DUMMYFUNCTION("""COMPUTED_VALUE"""),"BATAM")</f>
        <v>BATAM</v>
      </c>
      <c r="I419" s="222" t="str">
        <f>IFERROR(__xludf.DUMMYFUNCTION("""COMPUTED_VALUE"""),"Batch 2")</f>
        <v>Batch 2</v>
      </c>
      <c r="J419" s="225">
        <f>IFERROR(__xludf.DUMMYFUNCTION("""COMPUTED_VALUE"""),2.0)</f>
        <v>2</v>
      </c>
      <c r="K419" s="224">
        <f>IFERROR(__xludf.DUMMYFUNCTION("""COMPUTED_VALUE"""),16.0)</f>
        <v>16</v>
      </c>
      <c r="L419" s="226">
        <f>IFERROR(__xludf.DUMMYFUNCTION("""COMPUTED_VALUE"""),1292316.0)</f>
        <v>1292316</v>
      </c>
      <c r="M419" s="227">
        <f>IFERROR(__xludf.DUMMYFUNCTION("""COMPUTED_VALUE"""),2.0677046E7)</f>
        <v>20677046</v>
      </c>
      <c r="N419" s="222" t="str">
        <f>IFERROR(__xludf.DUMMYFUNCTION("""COMPUTED_VALUE"""),"PT. JARI TRIMINDO")</f>
        <v>PT. JARI TRIMINDO</v>
      </c>
      <c r="O419" s="222" t="str">
        <f>IFERROR(__xludf.DUMMYFUNCTION("""COMPUTED_VALUE"""),"0. DROP")</f>
        <v>0. DROP</v>
      </c>
      <c r="P419" s="222" t="str">
        <f>IFERROR(__xludf.DUMMYFUNCTION("""COMPUTED_VALUE"""),"0.2 Tidak Dapat Izin Warga/Kades/Lurah/Developer")</f>
        <v>0.2 Tidak Dapat Izin Warga/Kades/Lurah/Developer</v>
      </c>
      <c r="Q419" s="222" t="str">
        <f>IFERROR(__xludf.DUMMYFUNCTION("""COMPUTED_VALUE"""),"09/03 RT meminta wifi gratis untuk pribadi selamanya dan tidak ada space tanam 2 tiang tidak di acc kalau bongkar coran jalan
09/03 Izin OK. tim masih mengerjakan LOP lain
 23/01 Plan anwijzing 26 Jan, PIC mitra belum sampai. 21/01 proses penunjukan mitra"&amp;" 
05/03 pengurusan izin ke pihak RT &amp; RW setempat ")</f>
        <v>09/03 RT meminta wifi gratis untuk pribadi selamanya dan tidak ada space tanam 2 tiang tidak di acc kalau bongkar coran jalan
09/03 Izin OK. tim masih mengerjakan LOP lain
 23/01 Plan anwijzing 26 Jan, PIC mitra belum sampai. 21/01 proses penunjukan mitra 
05/03 pengurusan izin ke pihak RT &amp; RW setempat </v>
      </c>
      <c r="R419" s="228"/>
      <c r="S419" s="11"/>
      <c r="T419" s="11"/>
      <c r="U419" s="11"/>
      <c r="V419" s="229" t="str">
        <f>IFERROR(__xludf.DUMMYFUNCTION("""COMPUTED_VALUE"""),"RONALDO LEO INFANTRI")</f>
        <v>RONALDO LEO INFANTRI</v>
      </c>
      <c r="W419" s="229" t="str">
        <f>IFERROR(__xludf.DUMMYFUNCTION("""COMPUTED_VALUE"""),"LEVITA INDRIYANI")</f>
        <v>LEVITA INDRIYANI</v>
      </c>
      <c r="X419" s="229" t="str">
        <f>IFERROR(__xludf.DUMMYFUNCTION("""COMPUTED_VALUE"""),"BELUM GOLIVE")</f>
        <v>BELUM GOLIVE</v>
      </c>
      <c r="Y419" s="229"/>
      <c r="Z419" s="229" t="str">
        <f>IFERROR(__xludf.DUMMYFUNCTION("""COMPUTED_VALUE"""),"#N/A")</f>
        <v>#N/A</v>
      </c>
      <c r="AA419" s="229"/>
      <c r="AB419" s="229"/>
      <c r="AC419" s="229"/>
      <c r="AD419" s="232"/>
      <c r="AE419" s="233"/>
      <c r="AF419" s="54"/>
      <c r="AG419" s="54"/>
      <c r="AH419" s="54"/>
      <c r="AI419" s="55" t="str">
        <f t="shared" si="55"/>
        <v/>
      </c>
      <c r="AW419" s="234"/>
      <c r="BP419" s="11"/>
      <c r="BQ419" s="11"/>
      <c r="BR419" s="235"/>
      <c r="BV419" s="158"/>
      <c r="BY419" s="158"/>
      <c r="CB419" s="158"/>
    </row>
    <row r="420" ht="18.0" hidden="1" customHeight="1">
      <c r="A420" s="222">
        <f>IFERROR(__xludf.DUMMYFUNCTION("""COMPUTED_VALUE"""),2026.0)</f>
        <v>2026</v>
      </c>
      <c r="B420" s="221">
        <f>IFERROR(__xludf.DUMMYFUNCTION("""COMPUTED_VALUE"""),1.1323699E7)</f>
        <v>11323699</v>
      </c>
      <c r="C420" s="222" t="str">
        <f>IFERROR(__xludf.DUMMYFUNCTION("""COMPUTED_VALUE"""),"MDN PT3 CTD-FBF JL.SUMARSONO")</f>
        <v>MDN PT3 CTD-FBF JL.SUMARSONO</v>
      </c>
      <c r="D420" s="222" t="str">
        <f>IFERROR(__xludf.DUMMYFUNCTION("""COMPUTED_VALUE"""),"REGIONAL I")</f>
        <v>REGIONAL I</v>
      </c>
      <c r="E420" s="222" t="str">
        <f>IFERROR(__xludf.DUMMYFUNCTION("""COMPUTED_VALUE"""),"MEDAN")</f>
        <v>MEDAN</v>
      </c>
      <c r="F420" s="222" t="str">
        <f>IFERROR(__xludf.DUMMYFUNCTION("""COMPUTED_VALUE"""),"CTD")</f>
        <v>CTD</v>
      </c>
      <c r="G420" s="222" t="str">
        <f>IFERROR(__xludf.DUMMYFUNCTION("""COMPUTED_VALUE"""),"SUMBAGUT")</f>
        <v>SUMBAGUT</v>
      </c>
      <c r="H420" s="222" t="str">
        <f>IFERROR(__xludf.DUMMYFUNCTION("""COMPUTED_VALUE"""),"MEDAN")</f>
        <v>MEDAN</v>
      </c>
      <c r="I420" s="222" t="str">
        <f>IFERROR(__xludf.DUMMYFUNCTION("""COMPUTED_VALUE"""),"Batch 2")</f>
        <v>Batch 2</v>
      </c>
      <c r="J420" s="225">
        <f>IFERROR(__xludf.DUMMYFUNCTION("""COMPUTED_VALUE"""),3.0)</f>
        <v>3</v>
      </c>
      <c r="K420" s="224">
        <f>IFERROR(__xludf.DUMMYFUNCTION("""COMPUTED_VALUE"""),24.0)</f>
        <v>24</v>
      </c>
      <c r="L420" s="226">
        <f>IFERROR(__xludf.DUMMYFUNCTION("""COMPUTED_VALUE"""),579520.0)</f>
        <v>579520</v>
      </c>
      <c r="M420" s="227">
        <f>IFERROR(__xludf.DUMMYFUNCTION("""COMPUTED_VALUE"""),1.3908471E7)</f>
        <v>13908471</v>
      </c>
      <c r="N420" s="222" t="str">
        <f>IFERROR(__xludf.DUMMYFUNCTION("""COMPUTED_VALUE"""),"PT GLOBAL KARYA WANDA")</f>
        <v>PT GLOBAL KARYA WANDA</v>
      </c>
      <c r="O420" s="222" t="str">
        <f>IFERROR(__xludf.DUMMYFUNCTION("""COMPUTED_VALUE"""),"7. GOLIVE")</f>
        <v>7. GOLIVE</v>
      </c>
      <c r="P420" s="222" t="str">
        <f>IFERROR(__xludf.DUMMYFUNCTION("""COMPUTED_VALUE"""),"7.2 Golive Full / OA / DONE OTB")</f>
        <v>7.2 Golive Full / OA / DONE OTB</v>
      </c>
      <c r="Q420" s="222" t="str">
        <f>IFERROR(__xludf.DUMMYFUNCTION("""COMPUTED_VALUE"""),"19/02 submit ABD 12/02 Penarikan kabel 10/02 Comcase approved 30/01 pengajuan comecase 
28/01 Done Order, lnjut Aanwidzing")</f>
        <v>19/02 submit ABD 12/02 Penarikan kabel 10/02 Comcase approved 30/01 pengajuan comecase 
28/01 Done Order, lnjut Aanwidzing</v>
      </c>
      <c r="R420" s="228">
        <f>IFERROR(__xludf.DUMMYFUNCTION("""COMPUTED_VALUE"""),46072.0)</f>
        <v>46072</v>
      </c>
      <c r="S420" s="11"/>
      <c r="T420" s="11"/>
      <c r="U420" s="11" t="str">
        <f>IFERROR(__xludf.DUMMYFUNCTION("""COMPUTED_VALUE"""),"W01-2037/2025")</f>
        <v>W01-2037/2025</v>
      </c>
      <c r="V420" s="229"/>
      <c r="W420" s="229"/>
      <c r="X420" s="229" t="str">
        <f>IFERROR(__xludf.DUMMYFUNCTION("""COMPUTED_VALUE"""),"GOLIVE")</f>
        <v>GOLIVE</v>
      </c>
      <c r="Y420" s="229" t="str">
        <f>IFERROR(__xludf.DUMMYFUNCTION("""COMPUTED_VALUE"""),"DONE")</f>
        <v>DONE</v>
      </c>
      <c r="Z420" s="229" t="str">
        <f>IFERROR(__xludf.DUMMYFUNCTION("""COMPUTED_VALUE"""),"#N/A")</f>
        <v>#N/A</v>
      </c>
      <c r="AA420" s="229">
        <f>IFERROR(__xludf.DUMMYFUNCTION("""COMPUTED_VALUE"""),3.0)</f>
        <v>3</v>
      </c>
      <c r="AB420" s="229"/>
      <c r="AC420" s="229" t="str">
        <f>IFERROR(__xludf.DUMMYFUNCTION("""COMPUTED_VALUE"""),"9125051#9125056")</f>
        <v>9125051#9125056</v>
      </c>
      <c r="AD420" s="232">
        <f>IFERROR(__xludf.DUMMYFUNCTION("""COMPUTED_VALUE"""),24.0)</f>
        <v>24</v>
      </c>
      <c r="AE420" s="233">
        <f>IFERROR(__xludf.DUMMYFUNCTION("""COMPUTED_VALUE"""),46072.0)</f>
        <v>46072</v>
      </c>
      <c r="AF420" s="54"/>
      <c r="AG420" s="54"/>
      <c r="AH420" s="54">
        <v>46072.0</v>
      </c>
      <c r="AI420" s="55">
        <f t="shared" si="55"/>
        <v>0</v>
      </c>
      <c r="AW420" s="234"/>
      <c r="BP420" s="11"/>
      <c r="BQ420" s="11"/>
      <c r="BR420" s="235"/>
      <c r="BV420" s="158"/>
      <c r="BY420" s="158"/>
      <c r="CB420" s="158"/>
    </row>
    <row r="421" ht="18.0" hidden="1" customHeight="1">
      <c r="A421" s="222">
        <f>IFERROR(__xludf.DUMMYFUNCTION("""COMPUTED_VALUE"""),2026.0)</f>
        <v>2026</v>
      </c>
      <c r="B421" s="221">
        <f>IFERROR(__xludf.DUMMYFUNCTION("""COMPUTED_VALUE"""),1.1360694E7)</f>
        <v>11360694</v>
      </c>
      <c r="C421" s="222" t="str">
        <f>IFERROR(__xludf.DUMMYFUNCTION("""COMPUTED_VALUE"""),"MDN PT3 TMU-FE SCATER GG.BALAM DSN 1_")</f>
        <v>MDN PT3 TMU-FE SCATER GG.BALAM DSN 1_</v>
      </c>
      <c r="D421" s="222" t="str">
        <f>IFERROR(__xludf.DUMMYFUNCTION("""COMPUTED_VALUE"""),"REGIONAL I")</f>
        <v>REGIONAL I</v>
      </c>
      <c r="E421" s="222" t="str">
        <f>IFERROR(__xludf.DUMMYFUNCTION("""COMPUTED_VALUE"""),"MEDAN")</f>
        <v>MEDAN</v>
      </c>
      <c r="F421" s="222" t="str">
        <f>IFERROR(__xludf.DUMMYFUNCTION("""COMPUTED_VALUE"""),"TMU")</f>
        <v>TMU</v>
      </c>
      <c r="G421" s="222" t="str">
        <f>IFERROR(__xludf.DUMMYFUNCTION("""COMPUTED_VALUE"""),"SUMBAGUT")</f>
        <v>SUMBAGUT</v>
      </c>
      <c r="H421" s="222" t="str">
        <f>IFERROR(__xludf.DUMMYFUNCTION("""COMPUTED_VALUE"""),"MEDAN")</f>
        <v>MEDAN</v>
      </c>
      <c r="I421" s="222" t="str">
        <f>IFERROR(__xludf.DUMMYFUNCTION("""COMPUTED_VALUE"""),"Batch 2")</f>
        <v>Batch 2</v>
      </c>
      <c r="J421" s="225">
        <f>IFERROR(__xludf.DUMMYFUNCTION("""COMPUTED_VALUE"""),7.0)</f>
        <v>7</v>
      </c>
      <c r="K421" s="224">
        <f>IFERROR(__xludf.DUMMYFUNCTION("""COMPUTED_VALUE"""),56.0)</f>
        <v>56</v>
      </c>
      <c r="L421" s="226">
        <f>IFERROR(__xludf.DUMMYFUNCTION("""COMPUTED_VALUE"""),736635.0)</f>
        <v>736635</v>
      </c>
      <c r="M421" s="227">
        <f>IFERROR(__xludf.DUMMYFUNCTION("""COMPUTED_VALUE"""),4.1251512E7)</f>
        <v>41251512</v>
      </c>
      <c r="N421" s="222" t="str">
        <f>IFERROR(__xludf.DUMMYFUNCTION("""COMPUTED_VALUE"""),"SWAKELOLA")</f>
        <v>SWAKELOLA</v>
      </c>
      <c r="O421" s="222" t="str">
        <f>IFERROR(__xludf.DUMMYFUNCTION("""COMPUTED_VALUE"""),"0. DROP")</f>
        <v>0. DROP</v>
      </c>
      <c r="P421" s="222" t="str">
        <f>IFERROR(__xludf.DUMMYFUNCTION("""COMPUTED_VALUE"""),"0.3 Feeder Full")</f>
        <v>0.3 Feeder Full</v>
      </c>
      <c r="Q421" s="222" t="str">
        <f>IFERROR(__xludf.DUMMYFUNCTION("""COMPUTED_VALUE"""),"08/03 Feeder Penuh (07/01) Persiapan")</f>
        <v>08/03 Feeder Penuh (07/01) Persiapan</v>
      </c>
      <c r="R421" s="228"/>
      <c r="S421" s="11"/>
      <c r="T421" s="11"/>
      <c r="U421" s="11"/>
      <c r="V421" s="229"/>
      <c r="W421" s="229"/>
      <c r="X421" s="229" t="str">
        <f>IFERROR(__xludf.DUMMYFUNCTION("""COMPUTED_VALUE"""),"BELUM GOLIVE")</f>
        <v>BELUM GOLIVE</v>
      </c>
      <c r="Y421" s="229"/>
      <c r="Z421" s="229" t="str">
        <f>IFERROR(__xludf.DUMMYFUNCTION("""COMPUTED_VALUE"""),"#N/A")</f>
        <v>#N/A</v>
      </c>
      <c r="AA421" s="229"/>
      <c r="AB421" s="229"/>
      <c r="AC421" s="229"/>
      <c r="AD421" s="232"/>
      <c r="AE421" s="233"/>
      <c r="AF421" s="54"/>
      <c r="AG421" s="54"/>
      <c r="AH421" s="54"/>
      <c r="AI421" s="55" t="str">
        <f t="shared" si="55"/>
        <v/>
      </c>
      <c r="AW421" s="234"/>
      <c r="BP421" s="11"/>
      <c r="BQ421" s="11"/>
      <c r="BR421" s="235"/>
      <c r="BV421" s="158"/>
      <c r="BY421" s="158"/>
      <c r="CB421" s="158"/>
    </row>
    <row r="422" ht="18.0" hidden="1" customHeight="1">
      <c r="A422" s="222">
        <f>IFERROR(__xludf.DUMMYFUNCTION("""COMPUTED_VALUE"""),2026.0)</f>
        <v>2026</v>
      </c>
      <c r="B422" s="221">
        <f>IFERROR(__xludf.DUMMYFUNCTION("""COMPUTED_VALUE"""),1.1189182E7)</f>
        <v>11189182</v>
      </c>
      <c r="C422" s="222" t="str">
        <f>IFERROR(__xludf.DUMMYFUNCTION("""COMPUTED_VALUE"""),"MDN PT3 P7I10 PUB-FF JL.PETUA ADAT")</f>
        <v>MDN PT3 P7I10 PUB-FF JL.PETUA ADAT</v>
      </c>
      <c r="D422" s="222" t="str">
        <f>IFERROR(__xludf.DUMMYFUNCTION("""COMPUTED_VALUE"""),"REGIONAL I")</f>
        <v>REGIONAL I</v>
      </c>
      <c r="E422" s="222" t="str">
        <f>IFERROR(__xludf.DUMMYFUNCTION("""COMPUTED_VALUE"""),"MEDAN")</f>
        <v>MEDAN</v>
      </c>
      <c r="F422" s="222" t="str">
        <f>IFERROR(__xludf.DUMMYFUNCTION("""COMPUTED_VALUE"""),"PUB")</f>
        <v>PUB</v>
      </c>
      <c r="G422" s="222" t="str">
        <f>IFERROR(__xludf.DUMMYFUNCTION("""COMPUTED_VALUE"""),"SUMBAGUT")</f>
        <v>SUMBAGUT</v>
      </c>
      <c r="H422" s="222" t="str">
        <f>IFERROR(__xludf.DUMMYFUNCTION("""COMPUTED_VALUE"""),"MEDAN")</f>
        <v>MEDAN</v>
      </c>
      <c r="I422" s="222" t="str">
        <f>IFERROR(__xludf.DUMMYFUNCTION("""COMPUTED_VALUE"""),"Batch 2")</f>
        <v>Batch 2</v>
      </c>
      <c r="J422" s="225">
        <f>IFERROR(__xludf.DUMMYFUNCTION("""COMPUTED_VALUE"""),2.0)</f>
        <v>2</v>
      </c>
      <c r="K422" s="224">
        <f>IFERROR(__xludf.DUMMYFUNCTION("""COMPUTED_VALUE"""),16.0)</f>
        <v>16</v>
      </c>
      <c r="L422" s="226">
        <f>IFERROR(__xludf.DUMMYFUNCTION("""COMPUTED_VALUE"""),1183480.0)</f>
        <v>1183480</v>
      </c>
      <c r="M422" s="227">
        <f>IFERROR(__xludf.DUMMYFUNCTION("""COMPUTED_VALUE"""),1.8935667E7)</f>
        <v>18935667</v>
      </c>
      <c r="N422" s="222" t="str">
        <f>IFERROR(__xludf.DUMMYFUNCTION("""COMPUTED_VALUE"""),"PT BENWA  MITRA PRATAMA")</f>
        <v>PT BENWA  MITRA PRATAMA</v>
      </c>
      <c r="O422" s="222" t="str">
        <f>IFERROR(__xludf.DUMMYFUNCTION("""COMPUTED_VALUE"""),"0. DROP")</f>
        <v>0. DROP</v>
      </c>
      <c r="P422" s="222" t="str">
        <f>IFERROR(__xludf.DUMMYFUNCTION("""COMPUTED_VALUE"""),"0.4 CPP Tinggi Acc ED TIF")</f>
        <v>0.4 CPP Tinggi Acc ED TIF</v>
      </c>
      <c r="Q422" s="222" t="str">
        <f>IFERROR(__xludf.DUMMYFUNCTION("""COMPUTED_VALUE"""),"(25/09) Feeder Tidak Tembus PUB-FF
(24/09) Perizinan Warga dan Kades / Lurah
(23/09) Perizinan Warga dan Kades / Lurah
15/09 proses aanwijzing")</f>
        <v>(25/09) Feeder Tidak Tembus PUB-FF
(24/09) Perizinan Warga dan Kades / Lurah
(23/09) Perizinan Warga dan Kades / Lurah
15/09 proses aanwijzing</v>
      </c>
      <c r="R422" s="228"/>
      <c r="S422" s="11"/>
      <c r="T422" s="11"/>
      <c r="U422" s="11"/>
      <c r="V422" s="229"/>
      <c r="W422" s="229"/>
      <c r="X422" s="229" t="str">
        <f>IFERROR(__xludf.DUMMYFUNCTION("""COMPUTED_VALUE"""),"BELUM GOLIVE")</f>
        <v>BELUM GOLIVE</v>
      </c>
      <c r="Y422" s="229"/>
      <c r="Z422" s="229" t="str">
        <f>IFERROR(__xludf.DUMMYFUNCTION("""COMPUTED_VALUE"""),"#N/A")</f>
        <v>#N/A</v>
      </c>
      <c r="AA422" s="229"/>
      <c r="AB422" s="229"/>
      <c r="AC422" s="229"/>
      <c r="AD422" s="232"/>
      <c r="AE422" s="233"/>
      <c r="AF422" s="54" t="str">
        <f>IFERROR(__xludf.DUMMYFUNCTION("""COMPUTED_VALUE"""),"Draft BA DROP")</f>
        <v>Draft BA DROP</v>
      </c>
      <c r="AG422" s="54"/>
      <c r="AH422" s="54"/>
      <c r="AI422" s="55" t="str">
        <f t="shared" si="55"/>
        <v/>
      </c>
      <c r="AW422" s="234"/>
      <c r="BP422" s="11"/>
      <c r="BQ422" s="11"/>
      <c r="BR422" s="235"/>
      <c r="BV422" s="158"/>
      <c r="BY422" s="158"/>
      <c r="CB422" s="158"/>
    </row>
    <row r="423" ht="18.0" hidden="1" customHeight="1">
      <c r="A423" s="222">
        <f>IFERROR(__xludf.DUMMYFUNCTION("""COMPUTED_VALUE"""),2026.0)</f>
        <v>2026</v>
      </c>
      <c r="B423" s="221">
        <f>IFERROR(__xludf.DUMMYFUNCTION("""COMPUTED_VALUE"""),1.144752E7)</f>
        <v>11447520</v>
      </c>
      <c r="C423" s="222" t="str">
        <f>IFERROR(__xludf.DUMMYFUNCTION("""COMPUTED_VALUE"""),"SMS P3I1 PT3 PLJ FBJ D02 POPAYE RSDN 11")</f>
        <v>SMS P3I1 PT3 PLJ FBJ D02 POPAYE RSDN 11</v>
      </c>
      <c r="D423" s="222" t="str">
        <f>IFERROR(__xludf.DUMMYFUNCTION("""COMPUTED_VALUE"""),"REGIONAL I")</f>
        <v>REGIONAL I</v>
      </c>
      <c r="E423" s="222" t="str">
        <f>IFERROR(__xludf.DUMMYFUNCTION("""COMPUTED_VALUE"""),"SUMSEL")</f>
        <v>SUMSEL</v>
      </c>
      <c r="F423" s="222" t="str">
        <f>IFERROR(__xludf.DUMMYFUNCTION("""COMPUTED_VALUE"""),"PLJ")</f>
        <v>PLJ</v>
      </c>
      <c r="G423" s="222" t="str">
        <f>IFERROR(__xludf.DUMMYFUNCTION("""COMPUTED_VALUE"""),"SUMBAGSEL")</f>
        <v>SUMBAGSEL</v>
      </c>
      <c r="H423" s="222" t="str">
        <f>IFERROR(__xludf.DUMMYFUNCTION("""COMPUTED_VALUE"""),"PALEMBANG")</f>
        <v>PALEMBANG</v>
      </c>
      <c r="I423" s="222" t="str">
        <f>IFERROR(__xludf.DUMMYFUNCTION("""COMPUTED_VALUE"""),"Batch 2")</f>
        <v>Batch 2</v>
      </c>
      <c r="J423" s="225">
        <f>IFERROR(__xludf.DUMMYFUNCTION("""COMPUTED_VALUE"""),2.0)</f>
        <v>2</v>
      </c>
      <c r="K423" s="224">
        <f>IFERROR(__xludf.DUMMYFUNCTION("""COMPUTED_VALUE"""),16.0)</f>
        <v>16</v>
      </c>
      <c r="L423" s="226">
        <f>IFERROR(__xludf.DUMMYFUNCTION("""COMPUTED_VALUE"""),1291923.0)</f>
        <v>1291923</v>
      </c>
      <c r="M423" s="227">
        <f>IFERROR(__xludf.DUMMYFUNCTION("""COMPUTED_VALUE"""),2.0670761E7)</f>
        <v>20670761</v>
      </c>
      <c r="N423" s="222" t="str">
        <f>IFERROR(__xludf.DUMMYFUNCTION("""COMPUTED_VALUE"""),"PT ACERO CETHA METALINDO")</f>
        <v>PT ACERO CETHA METALINDO</v>
      </c>
      <c r="O423" s="222" t="str">
        <f>IFERROR(__xludf.DUMMYFUNCTION("""COMPUTED_VALUE"""),"7. GOLIVE")</f>
        <v>7. GOLIVE</v>
      </c>
      <c r="P423" s="222" t="str">
        <f>IFERROR(__xludf.DUMMYFUNCTION("""COMPUTED_VALUE"""),"7.2 Golive Full / OA / DONE OTB")</f>
        <v>7.2 Golive Full / OA / DONE OTB</v>
      </c>
      <c r="Q423" s="222" t="str">
        <f>IFERROR(__xludf.DUMMYFUNCTION("""COMPUTED_VALUE"""),"06/04 DONE VALINS, 04/04 PROGRESS PENARIKAN KABEL 800M/1200M,  02/04 PROGRESS PENARIKAN KABEL, 01/04 PROSES INPUT MATERIAL - KENDALA OVER BUDGET, 31/03 OGP INPUT MATERIAL, 30/03 LANJUT KOORDINASI DG TIM MITRA TERKAIT PENGAMBILAN MATERIAL - DONE PERIZINAN,"&amp;" 26/03 PROGRESS PERIZIINAN BERSAMA TIM SALES - MASIH KOORDINASI DG MITRA TERKAIT JADWAL BON MATERIAL, 25/03 MASIH KOORDINASI DG MITRA TERKAIT JADWAL BON MATERIAL, 24/03 DONE PR PO, EST TGL 30 MAR INPUT MATERIAL, 21/03 EST TGL 30 MAR INPUT MATERIAL, 18/03 "&amp;"DONE PR PO, EST TGL 30 MAR INPUT MATERIAL, 16/03 DONE PR PO, EST TGL 30 MAR INPUT MATERIAL, 13/03 OGP PR PO, 12/03 MENUNGGU TTD DRM MITRA, 11/03 OGP DRM,  10/03 OGP DRM, 04/03 LANJUT DRM, 22/2 BOQ naik dari plan  06/02 INFO DARI TSEL KONFIRM KE ED, 03/02 "&amp;"DONE EVAL, HOLD NILAI CPP JADI 1,3 JT, KENAIKAN NILAI BOQ SEBESAR 1,5 % DARI PLAN, 27/01 done aanwizjing, menunggu hasil evaluasi karena nilai cpp lbh dri 1,3 jt 03/02 DONE EVAL, HOLD NILAI CPP JADI 1,3 JT, KENAIKAN NILAI BOQ SEBESAR 1,5 % DARI PLAN, (27/"&amp;"01 done aanwizjing, menunggu hasil evaluasi karena nilai cpp 1,3 jt (15/1) ORDER DITERIMA MITRA 14/1, plan Aanwijdzing 19 Jan (06/01)order JPP batch-2 2026 (25/11 DROP, 20/11 selesai DRM, 18/11 masih progress input material, (14/11) proses input material "&amp;"(12/11) masih kendala perizinan 11/11 masih nunggu perizinan (08/11) core idle ready , proses izin lanjut senin 10 nov (5/11) baru selesai aanwidzjing 23/10 penunjukan mitra")</f>
        <v>06/04 DONE VALINS, 04/04 PROGRESS PENARIKAN KABEL 800M/1200M,  02/04 PROGRESS PENARIKAN KABEL, 01/04 PROSES INPUT MATERIAL - KENDALA OVER BUDGET, 31/03 OGP INPUT MATERIAL, 30/03 LANJUT KOORDINASI DG TIM MITRA TERKAIT PENGAMBILAN MATERIAL - DONE PERIZINAN, 26/03 PROGRESS PERIZIINAN BERSAMA TIM SALES - MASIH KOORDINASI DG MITRA TERKAIT JADWAL BON MATERIAL, 25/03 MASIH KOORDINASI DG MITRA TERKAIT JADWAL BON MATERIAL, 24/03 DONE PR PO, EST TGL 30 MAR INPUT MATERIAL, 21/03 EST TGL 30 MAR INPUT MATERIAL, 18/03 DONE PR PO, EST TGL 30 MAR INPUT MATERIAL, 16/03 DONE PR PO, EST TGL 30 MAR INPUT MATERIAL, 13/03 OGP PR PO, 12/03 MENUNGGU TTD DRM MITRA, 11/03 OGP DRM,  10/03 OGP DRM, 04/03 LANJUT DRM, 22/2 BOQ naik dari plan  06/02 INFO DARI TSEL KONFIRM KE ED, 03/02 DONE EVAL, HOLD NILAI CPP JADI 1,3 JT, KENAIKAN NILAI BOQ SEBESAR 1,5 % DARI PLAN, 27/01 done aanwizjing, menunggu hasil evaluasi karena nilai cpp lbh dri 1,3 jt 03/02 DONE EVAL, HOLD NILAI CPP JADI 1,3 JT, KENAIKAN NILAI BOQ SEBESAR 1,5 % DARI PLAN, (27/01 done aanwizjing, menunggu hasil evaluasi karena nilai cpp 1,3 jt (15/1) ORDER DITERIMA MITRA 14/1, plan Aanwijdzing 19 Jan (06/01)order JPP batch-2 2026 (25/11 DROP, 20/11 selesai DRM, 18/11 masih progress input material, (14/11) proses input material (12/11) masih kendala perizinan 11/11 masih nunggu perizinan (08/11) core idle ready , proses izin lanjut senin 10 nov (5/11) baru selesai aanwidzjing 23/10 penunjukan mitra</v>
      </c>
      <c r="R423" s="228">
        <f>IFERROR(__xludf.DUMMYFUNCTION("""COMPUTED_VALUE"""),46118.0)</f>
        <v>46118</v>
      </c>
      <c r="S423" s="11" t="str">
        <f>IFERROR(__xludf.DUMMYFUNCTION("""COMPUTED_VALUE"""),"APR")</f>
        <v>APR</v>
      </c>
      <c r="T423" s="73" t="str">
        <f>IFERROR(__xludf.DUMMYFUNCTION("""COMPUTED_VALUE"""),"P1")</f>
        <v>P1</v>
      </c>
      <c r="U423" s="11"/>
      <c r="V423" s="229" t="str">
        <f>IFERROR(__xludf.DUMMYFUNCTION("""COMPUTED_VALUE"""),"PRIGUS")</f>
        <v>PRIGUS</v>
      </c>
      <c r="W423" s="229"/>
      <c r="X423" s="229" t="str">
        <f>IFERROR(__xludf.DUMMYFUNCTION("""COMPUTED_VALUE"""),"GOLIVE")</f>
        <v>GOLIVE</v>
      </c>
      <c r="Y423" s="229" t="str">
        <f>IFERROR(__xludf.DUMMYFUNCTION("""COMPUTED_VALUE"""),"DONE")</f>
        <v>DONE</v>
      </c>
      <c r="Z423" s="229" t="str">
        <f>IFERROR(__xludf.DUMMYFUNCTION("""COMPUTED_VALUE"""),"#N/A")</f>
        <v>#N/A</v>
      </c>
      <c r="AA423" s="229">
        <f>IFERROR(__xludf.DUMMYFUNCTION("""COMPUTED_VALUE"""),2.0)</f>
        <v>2</v>
      </c>
      <c r="AB423" s="229"/>
      <c r="AC423" s="229" t="str">
        <f>IFERROR(__xludf.DUMMYFUNCTION("""COMPUTED_VALUE"""),"9244244#9244249")</f>
        <v>9244244#9244249</v>
      </c>
      <c r="AD423" s="232">
        <f>IFERROR(__xludf.DUMMYFUNCTION("""COMPUTED_VALUE"""),16.0)</f>
        <v>16</v>
      </c>
      <c r="AE423" s="233">
        <f>IFERROR(__xludf.DUMMYFUNCTION("""COMPUTED_VALUE"""),46118.0)</f>
        <v>46118</v>
      </c>
      <c r="AF423" s="54"/>
      <c r="AG423" s="54"/>
      <c r="AH423" s="54">
        <v>46118.0</v>
      </c>
      <c r="AI423" s="55">
        <f t="shared" si="55"/>
        <v>0</v>
      </c>
      <c r="AW423" s="234"/>
      <c r="BP423" s="11"/>
      <c r="BQ423" s="11"/>
      <c r="BR423" s="235"/>
      <c r="BV423" s="158"/>
      <c r="BY423" s="158"/>
      <c r="CB423" s="158"/>
    </row>
    <row r="424" ht="18.0" hidden="1" customHeight="1">
      <c r="A424" s="222">
        <f>IFERROR(__xludf.DUMMYFUNCTION("""COMPUTED_VALUE"""),2026.0)</f>
        <v>2026</v>
      </c>
      <c r="B424" s="221">
        <f>IFERROR(__xludf.DUMMYFUNCTION("""COMPUTED_VALUE"""),1.1405786E7)</f>
        <v>11405786</v>
      </c>
      <c r="C424" s="222" t="str">
        <f>IFERROR(__xludf.DUMMYFUNCTION("""COMPUTED_VALUE"""),"LPG PT3 JPP PESAWARAN_279 GDT")</f>
        <v>LPG PT3 JPP PESAWARAN_279 GDT</v>
      </c>
      <c r="D424" s="222" t="str">
        <f>IFERROR(__xludf.DUMMYFUNCTION("""COMPUTED_VALUE"""),"REGIONAL I")</f>
        <v>REGIONAL I</v>
      </c>
      <c r="E424" s="222" t="str">
        <f>IFERROR(__xludf.DUMMYFUNCTION("""COMPUTED_VALUE"""),"LAMPUNG")</f>
        <v>LAMPUNG</v>
      </c>
      <c r="F424" s="222" t="str">
        <f>IFERROR(__xludf.DUMMYFUNCTION("""COMPUTED_VALUE"""),"GDT")</f>
        <v>GDT</v>
      </c>
      <c r="G424" s="222" t="str">
        <f>IFERROR(__xludf.DUMMYFUNCTION("""COMPUTED_VALUE"""),"SUMBAGSEL")</f>
        <v>SUMBAGSEL</v>
      </c>
      <c r="H424" s="222" t="str">
        <f>IFERROR(__xludf.DUMMYFUNCTION("""COMPUTED_VALUE"""),"LAMPUNG")</f>
        <v>LAMPUNG</v>
      </c>
      <c r="I424" s="222" t="str">
        <f>IFERROR(__xludf.DUMMYFUNCTION("""COMPUTED_VALUE"""),"Batch 2")</f>
        <v>Batch 2</v>
      </c>
      <c r="J424" s="225">
        <f>IFERROR(__xludf.DUMMYFUNCTION("""COMPUTED_VALUE"""),18.0)</f>
        <v>18</v>
      </c>
      <c r="K424" s="224">
        <f>IFERROR(__xludf.DUMMYFUNCTION("""COMPUTED_VALUE"""),144.0)</f>
        <v>144</v>
      </c>
      <c r="L424" s="226">
        <f>IFERROR(__xludf.DUMMYFUNCTION("""COMPUTED_VALUE"""),1291816.0)</f>
        <v>1291816</v>
      </c>
      <c r="M424" s="227">
        <f>IFERROR(__xludf.DUMMYFUNCTION("""COMPUTED_VALUE"""),1.86021434E8)</f>
        <v>186021434</v>
      </c>
      <c r="N424" s="222" t="str">
        <f>IFERROR(__xludf.DUMMYFUNCTION("""COMPUTED_VALUE"""),"PT SARANA MITRA PERSADA")</f>
        <v>PT SARANA MITRA PERSADA</v>
      </c>
      <c r="O424" s="222" t="str">
        <f>IFERROR(__xludf.DUMMYFUNCTION("""COMPUTED_VALUE"""),"7. GOLIVE")</f>
        <v>7. GOLIVE</v>
      </c>
      <c r="P424" s="222" t="str">
        <f>IFERROR(__xludf.DUMMYFUNCTION("""COMPUTED_VALUE"""),"7.2 Golive Full / OA / DONE OTB")</f>
        <v>7.2 Golive Full / OA / DONE OTB</v>
      </c>
      <c r="Q424" s="222" t="str">
        <f>IFERROR(__xludf.DUMMYFUNCTION("""COMPUTED_VALUE"""),"13/3 proses golive,, 9/3 paln intlasi 5/3 plan abd + valin 8/3 plan golive 12/3 
2/3  proses penanaman tiang,, plan FI 3/3 plan abd+valins 4/3 plan golive 5/3
27/2 proses penanaman tiang,, plan FI 3/3 plan abd+valins 4/3 plan golive 5/3,, 26/2 material on"&amp;"site 25/2 PROGRES MATDEL 23/2 plan matdel 24/2, 18/2 kendala release PO 11/2 KENDALA AMBIL MATERIAL, KARENA PRPO BARU CLEAR PLAN 13 FEB   (9/2)PLAN MATDEL 10 FEB 6/2 plan matdel 10/2 
4/2 stok material kosong ,estimasi tiba 07/2 
19/1 PENGECEKAN MENCORE")</f>
        <v>13/3 proses golive,, 9/3 paln intlasi 5/3 plan abd + valin 8/3 plan golive 12/3 
2/3  proses penanaman tiang,, plan FI 3/3 plan abd+valins 4/3 plan golive 5/3
27/2 proses penanaman tiang,, plan FI 3/3 plan abd+valins 4/3 plan golive 5/3,, 26/2 material onsite 25/2 PROGRES MATDEL 23/2 plan matdel 24/2, 18/2 kendala release PO 11/2 KENDALA AMBIL MATERIAL, KARENA PRPO BARU CLEAR PLAN 13 FEB   (9/2)PLAN MATDEL 10 FEB 6/2 plan matdel 10/2 
4/2 stok material kosong ,estimasi tiba 07/2 
19/1 PENGECEKAN MENCORE</v>
      </c>
      <c r="R424" s="228">
        <f>IFERROR(__xludf.DUMMYFUNCTION("""COMPUTED_VALUE"""),46095.0)</f>
        <v>46095</v>
      </c>
      <c r="S424" s="11" t="str">
        <f>IFERROR(__xludf.DUMMYFUNCTION("""COMPUTED_VALUE"""),"MAR")</f>
        <v>MAR</v>
      </c>
      <c r="T424" s="11" t="str">
        <f>IFERROR(__xludf.DUMMYFUNCTION("""COMPUTED_VALUE"""),"P1")</f>
        <v>P1</v>
      </c>
      <c r="U424" s="11" t="str">
        <f>IFERROR(__xludf.DUMMYFUNCTION("""COMPUTED_VALUE"""),"TIF-4013/2026")</f>
        <v>TIF-4013/2026</v>
      </c>
      <c r="V424" s="229"/>
      <c r="W424" s="229"/>
      <c r="X424" s="229" t="str">
        <f>IFERROR(__xludf.DUMMYFUNCTION("""COMPUTED_VALUE"""),"GOLIVE")</f>
        <v>GOLIVE</v>
      </c>
      <c r="Y424" s="229" t="str">
        <f>IFERROR(__xludf.DUMMYFUNCTION("""COMPUTED_VALUE"""),"DONE")</f>
        <v>DONE</v>
      </c>
      <c r="Z424" s="229" t="str">
        <f>IFERROR(__xludf.DUMMYFUNCTION("""COMPUTED_VALUE"""),"#N/A")</f>
        <v>#N/A</v>
      </c>
      <c r="AA424" s="229">
        <f>IFERROR(__xludf.DUMMYFUNCTION("""COMPUTED_VALUE"""),16.0)</f>
        <v>16</v>
      </c>
      <c r="AB424" s="229"/>
      <c r="AC424" s="229" t="str">
        <f>IFERROR(__xludf.DUMMYFUNCTION("""COMPUTED_VALUE"""),"9109711#9109716")</f>
        <v>9109711#9109716</v>
      </c>
      <c r="AD424" s="232">
        <f>IFERROR(__xludf.DUMMYFUNCTION("""COMPUTED_VALUE"""),128.0)</f>
        <v>128</v>
      </c>
      <c r="AE424" s="233">
        <f>IFERROR(__xludf.DUMMYFUNCTION("""COMPUTED_VALUE"""),46095.0)</f>
        <v>46095</v>
      </c>
      <c r="AF424" s="54"/>
      <c r="AG424" s="54"/>
      <c r="AH424" s="54">
        <v>46095.0</v>
      </c>
      <c r="AI424" s="55">
        <f t="shared" si="55"/>
        <v>0</v>
      </c>
      <c r="AW424" s="234"/>
      <c r="BP424" s="11"/>
      <c r="BQ424" s="11"/>
      <c r="BR424" s="235"/>
      <c r="BV424" s="158"/>
      <c r="BY424" s="158"/>
      <c r="CB424" s="158"/>
    </row>
    <row r="425" ht="18.0" hidden="1" customHeight="1">
      <c r="A425" s="222">
        <f>IFERROR(__xludf.DUMMYFUNCTION("""COMPUTED_VALUE"""),2026.0)</f>
        <v>2026</v>
      </c>
      <c r="B425" s="221">
        <f>IFERROR(__xludf.DUMMYFUNCTION("""COMPUTED_VALUE"""),1.1271957E7)</f>
        <v>11271957</v>
      </c>
      <c r="C425" s="222" t="str">
        <f>IFERROR(__xludf.DUMMYFUNCTION("""COMPUTED_VALUE"""),"MDN PT3 P1I1 LBP-FG GG.PINANG JL.GALANG")</f>
        <v>MDN PT3 P1I1 LBP-FG GG.PINANG JL.GALANG</v>
      </c>
      <c r="D425" s="222" t="str">
        <f>IFERROR(__xludf.DUMMYFUNCTION("""COMPUTED_VALUE"""),"REGIONAL I")</f>
        <v>REGIONAL I</v>
      </c>
      <c r="E425" s="222" t="str">
        <f>IFERROR(__xludf.DUMMYFUNCTION("""COMPUTED_VALUE"""),"MEDAN")</f>
        <v>MEDAN</v>
      </c>
      <c r="F425" s="222" t="str">
        <f>IFERROR(__xludf.DUMMYFUNCTION("""COMPUTED_VALUE"""),"LBP")</f>
        <v>LBP</v>
      </c>
      <c r="G425" s="222" t="str">
        <f>IFERROR(__xludf.DUMMYFUNCTION("""COMPUTED_VALUE"""),"SUMBAGUT")</f>
        <v>SUMBAGUT</v>
      </c>
      <c r="H425" s="222" t="str">
        <f>IFERROR(__xludf.DUMMYFUNCTION("""COMPUTED_VALUE"""),"MEDAN")</f>
        <v>MEDAN</v>
      </c>
      <c r="I425" s="222" t="str">
        <f>IFERROR(__xludf.DUMMYFUNCTION("""COMPUTED_VALUE"""),"Batch 2")</f>
        <v>Batch 2</v>
      </c>
      <c r="J425" s="225">
        <f>IFERROR(__xludf.DUMMYFUNCTION("""COMPUTED_VALUE"""),14.0)</f>
        <v>14</v>
      </c>
      <c r="K425" s="224">
        <f>IFERROR(__xludf.DUMMYFUNCTION("""COMPUTED_VALUE"""),112.0)</f>
        <v>112</v>
      </c>
      <c r="L425" s="226">
        <f>IFERROR(__xludf.DUMMYFUNCTION("""COMPUTED_VALUE"""),881853.0)</f>
        <v>881853</v>
      </c>
      <c r="M425" s="227">
        <f>IFERROR(__xludf.DUMMYFUNCTION("""COMPUTED_VALUE"""),9.8767433E7)</f>
        <v>98767433</v>
      </c>
      <c r="N425" s="222" t="str">
        <f>IFERROR(__xludf.DUMMYFUNCTION("""COMPUTED_VALUE"""),"PT BONGKAR SEJATI ANDALAN")</f>
        <v>PT BONGKAR SEJATI ANDALAN</v>
      </c>
      <c r="O425" s="222" t="str">
        <f>IFERROR(__xludf.DUMMYFUNCTION("""COMPUTED_VALUE"""),"7. GOLIVE")</f>
        <v>7. GOLIVE</v>
      </c>
      <c r="P425" s="222" t="str">
        <f>IFERROR(__xludf.DUMMYFUNCTION("""COMPUTED_VALUE"""),"7.2 Golive Full / OA / DONE OTB")</f>
        <v>7.2 Golive Full / OA / DONE OTB</v>
      </c>
      <c r="Q425" s="222" t="str">
        <f>IFERROR(__xludf.DUMMYFUNCTION("""COMPUTED_VALUE"""),"25/04 pemasangan odp &amp; terminasi
(20/04) Case vandalisme , kabel di potong OTK
14/04 penarikan kabel
09/04 estimasi start pekerjaan 13/04 07/04 proses matrial
02/10 Kades setempat keluar kota besok di datangin kembali
(07/01) Persiapan
02/10 Kades setempa"&amp;"t keluar kota besok di datangin kembali")</f>
        <v>25/04 pemasangan odp &amp; terminasi
(20/04) Case vandalisme , kabel di potong OTK
14/04 penarikan kabel
09/04 estimasi start pekerjaan 13/04 07/04 proses matrial
02/10 Kades setempat keluar kota besok di datangin kembali
(07/01) Persiapan
02/10 Kades setempat keluar kota besok di datangin kembali</v>
      </c>
      <c r="R425" s="228">
        <f>IFERROR(__xludf.DUMMYFUNCTION("""COMPUTED_VALUE"""),46139.0)</f>
        <v>46139</v>
      </c>
      <c r="S425" s="11" t="str">
        <f>IFERROR(__xludf.DUMMYFUNCTION("""COMPUTED_VALUE"""),"-")</f>
        <v>-</v>
      </c>
      <c r="T425" s="73"/>
      <c r="U425" s="11"/>
      <c r="V425" s="229" t="str">
        <f>IFERROR(__xludf.DUMMYFUNCTION("""COMPUTED_VALUE"""),"25/Apr/2026")</f>
        <v>25/Apr/2026</v>
      </c>
      <c r="W425" s="229"/>
      <c r="X425" s="229" t="str">
        <f>IFERROR(__xludf.DUMMYFUNCTION("""COMPUTED_VALUE"""),"GOLIVE")</f>
        <v>GOLIVE</v>
      </c>
      <c r="Y425" s="229" t="str">
        <f>IFERROR(__xludf.DUMMYFUNCTION("""COMPUTED_VALUE"""),"DONE")</f>
        <v>DONE</v>
      </c>
      <c r="Z425" s="229" t="str">
        <f>IFERROR(__xludf.DUMMYFUNCTION("""COMPUTED_VALUE"""),"#N/A")</f>
        <v>#N/A</v>
      </c>
      <c r="AA425" s="229">
        <f>IFERROR(__xludf.DUMMYFUNCTION("""COMPUTED_VALUE"""),14.0)</f>
        <v>14</v>
      </c>
      <c r="AB425" s="229"/>
      <c r="AC425" s="229" t="str">
        <f>IFERROR(__xludf.DUMMYFUNCTION("""COMPUTED_VALUE"""),"9318738#9318743")</f>
        <v>9318738#9318743</v>
      </c>
      <c r="AD425" s="232">
        <f>IFERROR(__xludf.DUMMYFUNCTION("""COMPUTED_VALUE"""),112.0)</f>
        <v>112</v>
      </c>
      <c r="AE425" s="233">
        <f>IFERROR(__xludf.DUMMYFUNCTION("""COMPUTED_VALUE"""),46139.0)</f>
        <v>46139</v>
      </c>
      <c r="AF425" s="54"/>
      <c r="AG425" s="54"/>
      <c r="AH425" s="54">
        <v>46135.0</v>
      </c>
      <c r="AI425" s="55">
        <f t="shared" si="55"/>
        <v>0</v>
      </c>
      <c r="AW425" s="234"/>
      <c r="BP425" s="11"/>
      <c r="BQ425" s="11"/>
      <c r="BR425" s="235"/>
      <c r="BV425" s="158"/>
      <c r="BY425" s="158"/>
      <c r="CB425" s="158"/>
    </row>
    <row r="426" ht="18.0" hidden="1" customHeight="1">
      <c r="A426" s="222">
        <f>IFERROR(__xludf.DUMMYFUNCTION("""COMPUTED_VALUE"""),2026.0)</f>
        <v>2026</v>
      </c>
      <c r="B426" s="221">
        <f>IFERROR(__xludf.DUMMYFUNCTION("""COMPUTED_VALUE"""),1.1271907E7)</f>
        <v>11271907</v>
      </c>
      <c r="C426" s="222" t="str">
        <f>IFERROR(__xludf.DUMMYFUNCTION("""COMPUTED_VALUE"""),"MDN PT3 SKI-FS GG.PANJANG")</f>
        <v>MDN PT3 SKI-FS GG.PANJANG</v>
      </c>
      <c r="D426" s="222" t="str">
        <f>IFERROR(__xludf.DUMMYFUNCTION("""COMPUTED_VALUE"""),"REGIONAL I")</f>
        <v>REGIONAL I</v>
      </c>
      <c r="E426" s="222" t="str">
        <f>IFERROR(__xludf.DUMMYFUNCTION("""COMPUTED_VALUE"""),"MEDAN")</f>
        <v>MEDAN</v>
      </c>
      <c r="F426" s="222" t="str">
        <f>IFERROR(__xludf.DUMMYFUNCTION("""COMPUTED_VALUE"""),"SKI")</f>
        <v>SKI</v>
      </c>
      <c r="G426" s="222" t="str">
        <f>IFERROR(__xludf.DUMMYFUNCTION("""COMPUTED_VALUE"""),"SUMBAGUT")</f>
        <v>SUMBAGUT</v>
      </c>
      <c r="H426" s="222" t="str">
        <f>IFERROR(__xludf.DUMMYFUNCTION("""COMPUTED_VALUE"""),"MEDAN")</f>
        <v>MEDAN</v>
      </c>
      <c r="I426" s="222" t="str">
        <f>IFERROR(__xludf.DUMMYFUNCTION("""COMPUTED_VALUE"""),"Batch 2")</f>
        <v>Batch 2</v>
      </c>
      <c r="J426" s="225">
        <f>IFERROR(__xludf.DUMMYFUNCTION("""COMPUTED_VALUE"""),4.0)</f>
        <v>4</v>
      </c>
      <c r="K426" s="224">
        <f>IFERROR(__xludf.DUMMYFUNCTION("""COMPUTED_VALUE"""),32.0)</f>
        <v>32</v>
      </c>
      <c r="L426" s="226">
        <f>IFERROR(__xludf.DUMMYFUNCTION("""COMPUTED_VALUE"""),579532.0)</f>
        <v>579532</v>
      </c>
      <c r="M426" s="227">
        <f>IFERROR(__xludf.DUMMYFUNCTION("""COMPUTED_VALUE"""),1.8545001E7)</f>
        <v>18545001</v>
      </c>
      <c r="N426" s="222" t="str">
        <f>IFERROR(__xludf.DUMMYFUNCTION("""COMPUTED_VALUE"""),"PT UPENTEL INTERNASIONAL")</f>
        <v>PT UPENTEL INTERNASIONAL</v>
      </c>
      <c r="O426" s="222" t="str">
        <f>IFERROR(__xludf.DUMMYFUNCTION("""COMPUTED_VALUE"""),"0. DROP")</f>
        <v>0. DROP</v>
      </c>
      <c r="P426" s="222" t="str">
        <f>IFERROR(__xludf.DUMMYFUNCTION("""COMPUTED_VALUE"""),"0.3 Feeder Full")</f>
        <v>0.3 Feeder Full</v>
      </c>
      <c r="Q426"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426" s="228"/>
      <c r="S426" s="11"/>
      <c r="T426" s="11"/>
      <c r="U426" s="11"/>
      <c r="V426" s="229"/>
      <c r="W426" s="229"/>
      <c r="X426" s="229" t="str">
        <f>IFERROR(__xludf.DUMMYFUNCTION("""COMPUTED_VALUE"""),"BELUM GOLIVE")</f>
        <v>BELUM GOLIVE</v>
      </c>
      <c r="Y426" s="229"/>
      <c r="Z426" s="229" t="str">
        <f>IFERROR(__xludf.DUMMYFUNCTION("""COMPUTED_VALUE"""),"#N/A")</f>
        <v>#N/A</v>
      </c>
      <c r="AA426" s="229"/>
      <c r="AB426" s="229"/>
      <c r="AC426" s="229"/>
      <c r="AD426" s="232"/>
      <c r="AE426" s="233"/>
      <c r="AF426" s="54"/>
      <c r="AG426" s="54"/>
      <c r="AH426" s="54"/>
      <c r="AI426" s="55" t="str">
        <f t="shared" si="55"/>
        <v/>
      </c>
      <c r="AW426" s="234"/>
      <c r="BP426" s="11"/>
      <c r="BQ426" s="11"/>
      <c r="BR426" s="235"/>
      <c r="BV426" s="158"/>
      <c r="BY426" s="158"/>
      <c r="CB426" s="158"/>
    </row>
    <row r="427" ht="18.0" customHeight="1">
      <c r="A427" s="222">
        <f>IFERROR(__xludf.DUMMYFUNCTION("""COMPUTED_VALUE"""),2026.0)</f>
        <v>2026</v>
      </c>
      <c r="B427" s="221">
        <f>IFERROR(__xludf.DUMMYFUNCTION("""COMPUTED_VALUE"""),1.1201886E7)</f>
        <v>11201886</v>
      </c>
      <c r="C427" s="222" t="str">
        <f>IFERROR(__xludf.DUMMYFUNCTION("""COMPUTED_VALUE"""),"RKP PT3 TSEL BUM-FG JL. SEI TERING")</f>
        <v>RKP PT3 TSEL BUM-FG JL. SEI TERING</v>
      </c>
      <c r="D427" s="222" t="str">
        <f>IFERROR(__xludf.DUMMYFUNCTION("""COMPUTED_VALUE"""),"REGIONAL I")</f>
        <v>REGIONAL I</v>
      </c>
      <c r="E427" s="222" t="str">
        <f>IFERROR(__xludf.DUMMYFUNCTION("""COMPUTED_VALUE"""),"RIKEP")</f>
        <v>RIKEP</v>
      </c>
      <c r="F427" s="222" t="str">
        <f>IFERROR(__xludf.DUMMYFUNCTION("""COMPUTED_VALUE"""),"BUM")</f>
        <v>BUM</v>
      </c>
      <c r="G427" s="222" t="str">
        <f>IFERROR(__xludf.DUMMYFUNCTION("""COMPUTED_VALUE"""),"SUMBAGTENG")</f>
        <v>SUMBAGTENG</v>
      </c>
      <c r="H427" s="222" t="str">
        <f>IFERROR(__xludf.DUMMYFUNCTION("""COMPUTED_VALUE"""),"BATAM")</f>
        <v>BATAM</v>
      </c>
      <c r="I427" s="222" t="str">
        <f>IFERROR(__xludf.DUMMYFUNCTION("""COMPUTED_VALUE"""),"Batch 2")</f>
        <v>Batch 2</v>
      </c>
      <c r="J427" s="225">
        <f>IFERROR(__xludf.DUMMYFUNCTION("""COMPUTED_VALUE"""),1.0)</f>
        <v>1</v>
      </c>
      <c r="K427" s="224">
        <f>IFERROR(__xludf.DUMMYFUNCTION("""COMPUTED_VALUE"""),8.0)</f>
        <v>8</v>
      </c>
      <c r="L427" s="226">
        <f>IFERROR(__xludf.DUMMYFUNCTION("""COMPUTED_VALUE"""),1290718.0)</f>
        <v>1290718</v>
      </c>
      <c r="M427" s="227">
        <f>IFERROR(__xludf.DUMMYFUNCTION("""COMPUTED_VALUE"""),1.0325737E7)</f>
        <v>10325737</v>
      </c>
      <c r="N427" s="222" t="str">
        <f>IFERROR(__xludf.DUMMYFUNCTION("""COMPUTED_VALUE"""),"PT HDUA PUTRA PRAJODA")</f>
        <v>PT HDUA PUTRA PRAJODA</v>
      </c>
      <c r="O427" s="222" t="str">
        <f>IFERROR(__xludf.DUMMYFUNCTION("""COMPUTED_VALUE"""),"8. UJI TERIMA")</f>
        <v>8. UJI TERIMA</v>
      </c>
      <c r="P427" s="222" t="str">
        <f>IFERROR(__xludf.DUMMYFUNCTION("""COMPUTED_VALUE"""),"8.3 Penyusunan Foto/ Hasil Ukur menjadi Dokument UT")</f>
        <v>8.3 Penyusunan Foto/ Hasil Ukur menjadi Dokument UT</v>
      </c>
      <c r="Q427" s="222" t="str">
        <f>IFERROR(__xludf.DUMMYFUNCTION("""COMPUTED_VALUE"""),"15/02 Terminasi ODP. 13/02 Proses gali dan tanam tiang. 09/02 Pengecekan  core hari ini. izin OK. 29/01 Izin sudah di acc proses req material dan pengecekan core tgl 31 Jan.  28/01 Izin RW ke dua kali tanggal 28 jan. 22/01 Plan survey 24 Jan ")</f>
        <v>15/02 Terminasi ODP. 13/02 Proses gali dan tanam tiang. 09/02 Pengecekan  core hari ini. izin OK. 29/01 Izin sudah di acc proses req material dan pengecekan core tgl 31 Jan.  28/01 Izin RW ke dua kali tanggal 28 jan. 22/01 Plan survey 24 Jan </v>
      </c>
      <c r="R427" s="228">
        <f>IFERROR(__xludf.DUMMYFUNCTION("""COMPUTED_VALUE"""),46074.0)</f>
        <v>46074</v>
      </c>
      <c r="S427" s="11"/>
      <c r="T427" s="11"/>
      <c r="U427" s="11" t="str">
        <f>IFERROR(__xludf.DUMMYFUNCTION("""COMPUTED_VALUE"""),"W09-177/2026")</f>
        <v>W09-177/2026</v>
      </c>
      <c r="V427" s="229" t="str">
        <f>IFERROR(__xludf.DUMMYFUNCTION("""COMPUTED_VALUE"""),"RONALDO LEO INFANTRI")</f>
        <v>RONALDO LEO INFANTRI</v>
      </c>
      <c r="W427" s="229" t="str">
        <f>IFERROR(__xludf.DUMMYFUNCTION("""COMPUTED_VALUE"""),"LEVITA INDRIYANI")</f>
        <v>LEVITA INDRIYANI</v>
      </c>
      <c r="X427" s="229" t="str">
        <f>IFERROR(__xludf.DUMMYFUNCTION("""COMPUTED_VALUE"""),"GOLIVE")</f>
        <v>GOLIVE</v>
      </c>
      <c r="Y427" s="229" t="str">
        <f>IFERROR(__xludf.DUMMYFUNCTION("""COMPUTED_VALUE"""),"DONE")</f>
        <v>DONE</v>
      </c>
      <c r="Z427" s="229" t="str">
        <f>IFERROR(__xludf.DUMMYFUNCTION("""COMPUTED_VALUE"""),"#N/A")</f>
        <v>#N/A</v>
      </c>
      <c r="AA427" s="229">
        <f>IFERROR(__xludf.DUMMYFUNCTION("""COMPUTED_VALUE"""),1.0)</f>
        <v>1</v>
      </c>
      <c r="AB427" s="229"/>
      <c r="AC427" s="229" t="str">
        <f>IFERROR(__xludf.DUMMYFUNCTION("""COMPUTED_VALUE"""),"9119038#9119043")</f>
        <v>9119038#9119043</v>
      </c>
      <c r="AD427" s="232">
        <f>IFERROR(__xludf.DUMMYFUNCTION("""COMPUTED_VALUE"""),8.0)</f>
        <v>8</v>
      </c>
      <c r="AE427" s="233">
        <f>IFERROR(__xludf.DUMMYFUNCTION("""COMPUTED_VALUE"""),46071.0)</f>
        <v>46071</v>
      </c>
      <c r="AF427" s="54"/>
      <c r="AG427" s="54"/>
      <c r="AH427" s="54">
        <v>46074.0</v>
      </c>
      <c r="AI427" s="55">
        <f>IF(OR(AH427="",AE427=""),"",AH427-AE427)</f>
        <v>3</v>
      </c>
      <c r="AW427" s="234"/>
      <c r="BP427" s="11"/>
      <c r="BQ427" s="11"/>
      <c r="BR427" s="235"/>
      <c r="BV427" s="158"/>
      <c r="BY427" s="158"/>
      <c r="CB427" s="158"/>
    </row>
    <row r="428" ht="18.0" hidden="1" customHeight="1">
      <c r="A428" s="222">
        <f>IFERROR(__xludf.DUMMYFUNCTION("""COMPUTED_VALUE"""),2026.0)</f>
        <v>2026</v>
      </c>
      <c r="B428" s="221">
        <f>IFERROR(__xludf.DUMMYFUNCTION("""COMPUTED_VALUE"""),1.2423455E7)</f>
        <v>12423455</v>
      </c>
      <c r="C428" s="222" t="str">
        <f>IFERROR(__xludf.DUMMYFUNCTION("""COMPUTED_VALUE"""),"LPG PT3 JPP PERUM TABITA RAYA SRW")</f>
        <v>LPG PT3 JPP PERUM TABITA RAYA SRW</v>
      </c>
      <c r="D428" s="222" t="str">
        <f>IFERROR(__xludf.DUMMYFUNCTION("""COMPUTED_VALUE"""),"REGIONAL I")</f>
        <v>REGIONAL I</v>
      </c>
      <c r="E428" s="222" t="str">
        <f>IFERROR(__xludf.DUMMYFUNCTION("""COMPUTED_VALUE"""),"LAMPUNG")</f>
        <v>LAMPUNG</v>
      </c>
      <c r="F428" s="222" t="str">
        <f>IFERROR(__xludf.DUMMYFUNCTION("""COMPUTED_VALUE"""),"SRW")</f>
        <v>SRW</v>
      </c>
      <c r="G428" s="222" t="str">
        <f>IFERROR(__xludf.DUMMYFUNCTION("""COMPUTED_VALUE"""),"SUMBAGSEL")</f>
        <v>SUMBAGSEL</v>
      </c>
      <c r="H428" s="222" t="str">
        <f>IFERROR(__xludf.DUMMYFUNCTION("""COMPUTED_VALUE"""),"LAMPUNG")</f>
        <v>LAMPUNG</v>
      </c>
      <c r="I428" s="222" t="str">
        <f>IFERROR(__xludf.DUMMYFUNCTION("""COMPUTED_VALUE"""),"Batch 2")</f>
        <v>Batch 2</v>
      </c>
      <c r="J428" s="225">
        <f>IFERROR(__xludf.DUMMYFUNCTION("""COMPUTED_VALUE"""),5.0)</f>
        <v>5</v>
      </c>
      <c r="K428" s="224">
        <f>IFERROR(__xludf.DUMMYFUNCTION("""COMPUTED_VALUE"""),40.0)</f>
        <v>40</v>
      </c>
      <c r="L428" s="226">
        <f>IFERROR(__xludf.DUMMYFUNCTION("""COMPUTED_VALUE"""),1289326.0)</f>
        <v>1289326</v>
      </c>
      <c r="M428" s="227">
        <f>IFERROR(__xludf.DUMMYFUNCTION("""COMPUTED_VALUE"""),5.1573013E7)</f>
        <v>51573013</v>
      </c>
      <c r="N428" s="222" t="str">
        <f>IFERROR(__xludf.DUMMYFUNCTION("""COMPUTED_VALUE"""),"PT BANGTELINDO")</f>
        <v>PT BANGTELINDO</v>
      </c>
      <c r="O428" s="222" t="str">
        <f>IFERROR(__xludf.DUMMYFUNCTION("""COMPUTED_VALUE"""),"7. GOLIVE")</f>
        <v>7. GOLIVE</v>
      </c>
      <c r="P428" s="222" t="str">
        <f>IFERROR(__xludf.DUMMYFUNCTION("""COMPUTED_VALUE"""),"7.2 Golive Full / OA / DONE OTB")</f>
        <v>7.2 Golive Full / OA / DONE OTB</v>
      </c>
      <c r="Q428" s="222" t="str">
        <f>IFERROR(__xludf.DUMMYFUNCTION("""COMPUTED_VALUE"""),"4/3 golivve")</f>
        <v>4/3 golivve</v>
      </c>
      <c r="R428" s="228"/>
      <c r="S428" s="11"/>
      <c r="T428" s="11"/>
      <c r="U428" s="11" t="str">
        <f>IFERROR(__xludf.DUMMYFUNCTION("""COMPUTED_VALUE"""),"W02-681/2025")</f>
        <v>W02-681/2025</v>
      </c>
      <c r="V428" s="229"/>
      <c r="W428" s="229"/>
      <c r="X428" s="229" t="str">
        <f>IFERROR(__xludf.DUMMYFUNCTION("""COMPUTED_VALUE"""),"GOLIVE")</f>
        <v>GOLIVE</v>
      </c>
      <c r="Y428" s="229" t="str">
        <f>IFERROR(__xludf.DUMMYFUNCTION("""COMPUTED_VALUE"""),"DONE")</f>
        <v>DONE</v>
      </c>
      <c r="Z428" s="229" t="str">
        <f>IFERROR(__xludf.DUMMYFUNCTION("""COMPUTED_VALUE"""),"#N/A")</f>
        <v>#N/A</v>
      </c>
      <c r="AA428" s="229">
        <f>IFERROR(__xludf.DUMMYFUNCTION("""COMPUTED_VALUE"""),5.0)</f>
        <v>5</v>
      </c>
      <c r="AB428" s="229"/>
      <c r="AC428" s="229" t="str">
        <f>IFERROR(__xludf.DUMMYFUNCTION("""COMPUTED_VALUE"""),"8677351#8677356")</f>
        <v>8677351#8677356</v>
      </c>
      <c r="AD428" s="232">
        <f>IFERROR(__xludf.DUMMYFUNCTION("""COMPUTED_VALUE"""),40.0)</f>
        <v>40</v>
      </c>
      <c r="AE428" s="233">
        <f>IFERROR(__xludf.DUMMYFUNCTION("""COMPUTED_VALUE"""),46034.0)</f>
        <v>46034</v>
      </c>
      <c r="AF428" s="54"/>
      <c r="AG428" s="54"/>
      <c r="AH428" s="54"/>
      <c r="AI428" s="55" t="str">
        <f t="shared" ref="AI428:AI431" si="56">IF(OR(R428="",AE428=""),"",R428-AE428)</f>
        <v/>
      </c>
      <c r="AW428" s="234"/>
      <c r="BP428" s="11"/>
      <c r="BQ428" s="11"/>
      <c r="BR428" s="235"/>
      <c r="BV428" s="158"/>
      <c r="BY428" s="158"/>
      <c r="CB428" s="158"/>
    </row>
    <row r="429" ht="18.0" hidden="1" customHeight="1">
      <c r="A429" s="222">
        <f>IFERROR(__xludf.DUMMYFUNCTION("""COMPUTED_VALUE"""),2026.0)</f>
        <v>2026</v>
      </c>
      <c r="B429" s="221">
        <f>IFERROR(__xludf.DUMMYFUNCTION("""COMPUTED_VALUE"""),1.1508181E7)</f>
        <v>11508181</v>
      </c>
      <c r="C429" s="222" t="str">
        <f>IFERROR(__xludf.DUMMYFUNCTION("""COMPUTED_VALUE"""),"SMU PT4 RAP CLUST PERUM BARU SUKA DAME")</f>
        <v>SMU PT4 RAP CLUST PERUM BARU SUKA DAME</v>
      </c>
      <c r="D429" s="222" t="str">
        <f>IFERROR(__xludf.DUMMYFUNCTION("""COMPUTED_VALUE"""),"REGIONAL I")</f>
        <v>REGIONAL I</v>
      </c>
      <c r="E429" s="222" t="str">
        <f>IFERROR(__xludf.DUMMYFUNCTION("""COMPUTED_VALUE"""),"SUMUT")</f>
        <v>SUMUT</v>
      </c>
      <c r="F429" s="222" t="str">
        <f>IFERROR(__xludf.DUMMYFUNCTION("""COMPUTED_VALUE"""),"RAP")</f>
        <v>RAP</v>
      </c>
      <c r="G429" s="222" t="str">
        <f>IFERROR(__xludf.DUMMYFUNCTION("""COMPUTED_VALUE"""),"SUMBAGUT")</f>
        <v>SUMBAGUT</v>
      </c>
      <c r="H429" s="222" t="str">
        <f>IFERROR(__xludf.DUMMYFUNCTION("""COMPUTED_VALUE"""),"RANTAU PRAPAT")</f>
        <v>RANTAU PRAPAT</v>
      </c>
      <c r="I429" s="222" t="str">
        <f>IFERROR(__xludf.DUMMYFUNCTION("""COMPUTED_VALUE"""),"Batch 2")</f>
        <v>Batch 2</v>
      </c>
      <c r="J429" s="225">
        <f>IFERROR(__xludf.DUMMYFUNCTION("""COMPUTED_VALUE"""),78.0)</f>
        <v>78</v>
      </c>
      <c r="K429" s="224">
        <f>IFERROR(__xludf.DUMMYFUNCTION("""COMPUTED_VALUE"""),624.0)</f>
        <v>624</v>
      </c>
      <c r="L429" s="226">
        <f>IFERROR(__xludf.DUMMYFUNCTION("""COMPUTED_VALUE"""),1288296.0)</f>
        <v>1288296</v>
      </c>
      <c r="M429" s="227">
        <f>IFERROR(__xludf.DUMMYFUNCTION("""COMPUTED_VALUE"""),8.03896686E8)</f>
        <v>803896686</v>
      </c>
      <c r="N429" s="222" t="str">
        <f>IFERROR(__xludf.DUMMYFUNCTION("""COMPUTED_VALUE"""),"PT UPAYA TEKNIK")</f>
        <v>PT UPAYA TEKNIK</v>
      </c>
      <c r="O429" s="222" t="str">
        <f>IFERROR(__xludf.DUMMYFUNCTION("""COMPUTED_VALUE"""),"3. PERIZINAN")</f>
        <v>3. PERIZINAN</v>
      </c>
      <c r="P429" s="222" t="str">
        <f>IFERROR(__xludf.DUMMYFUNCTION("""COMPUTED_VALUE"""),"3.10 Izin Developer / Private area")</f>
        <v>3.10 Izin Developer / Private area</v>
      </c>
      <c r="Q429" s="222" t="str">
        <f>IFERROR(__xludf.DUMMYFUNCTION("""COMPUTED_VALUE"""),"27/4 proses perizinan sisa 2 desa plan team fu hari ini  ke perumahan grand wilnata dan graha sasya, untuk perumahan suka dame done prelim 3 jt,  23/4 proses perizinan sisa 2 desa plan team fu besok 24 april ke perumahan grand wilnata dan graha sasya, unt"&amp;"uk perumahan suka dame done prelim 3 jt, 22/4 perumahan padang pasir meminta kompensasi sebesar 3 jt, bsk fu kembali perizinan ke perumahan grand wilnata residence, 21/4 perumahan padang pasir meminta kompensasi sebesar 3 jt, bsk fu kembali perizinan ke p"&amp;"erumahan grand wilnata residence, 20/4 perumahan padang pasir meminta kompensasi sebesar 3 jt, bsk fu kembali perizinan ke perumahan grand wilnata residence, 16/4 perumahan padang pasir meminta kompensasi sebesar 3 jt, bsk fu kembali perizinan ke perumaha"&amp;"n grand wilnata residence, 15/4 plan bsk fu kembali terkait perizinan tanam tiang dengan pihak developer,  14/4 plan bsk fu kembali terkait perizinan tanam tiang dengan pihak developer, 13/4 plan bsk fu kembali terkait perizinan tanam tiang dengan pihak d"&amp;"eveloper,  9/4 plan bsk fu kembali terkait perizinan tanam tiang dengan pihak developer, 8/4 plan fu kembali terkait perizinan tanam tiang dengan pihak devloper, 6/4 plan lusa 7 april team bertemu dengan pihak devloper terkait perizinan tanam tiang, 5/4 f"&amp;"u kmbali dengan tsel terkait redesign kendala tidak ada space tanam tiang, 1/4 menunggu mitra turun ke lokasi untuk fu ke developer,  31/3 menunggu mitra turun ke lokasi untuk fu ke developer, 30/3 menunggu balasan izin dari perumahan padang pasir, 27/3  "&amp;"plan fu kembali keperumahan senin 30 maret, terkait perizinan dilanjut setelah lebaran selesai, 26/3 fu terkait perizinan dilanjut setelah lebaran selesai, 22/3 fu terkait perizinan dilanjut setelah lebaran selesai,  18/3 fu terkait perizina dilanjut sete"&amp;"lah lebaran selesai, 16/3 plan fu terkait perizina  dev besok 17/3 bersama tsel, , 13/3 plab bsk fu kembali terkait perizinan ke developer, pararel menunggu approve terkait pengantar izin pu kab, 11/3 menunggu approve terkait pengantar izin pu kab, 10/3 m"&amp;"enunggu approve terkait pengantar izin pu kab,. 3/3 cpp 1,3 (plan 1,2) proses penambahan odp, butuh izin pu kab,  2/3 cpp 1,3 (plan 1,2) proses penambahan odp, butuh izin pu kab, 27/2 cpp 1,3 (plan 1,2) proses penambahan odp, butuh izin pu kab,  25/2 cpp "&amp;"1,3 (plan 1,2) proses penambahan odp, butuh izin pu kab,  24/2 cpp 1,3 (plan 1,2) proses penambahan odp, butuh izin pu kab,  23/2 cpp 1,3 (plan 1,2) proses penambahan odp, butuh izin pu kab,  20/2 cpp 1,3 (plan 1,2) proses penambahan odp, butuh izin pu ka"&amp;"b, 19/2 cpp 1,3 (plan 1,2) proses penambahan odp, butuh izin pu kab, 18/2 cpp 1,3 (plan 1,2) proses penambahan odp, butuh izin pu kab,  16/2 cpp 1,3 (plan 1,2) proses penambahan odp, butuh izin pu kab,  13/2 cpp 1,3 (plan 1,2) proses penambahan odp, butuh"&amp;" izin pu kab, 12/2 cpp 1,3 (plan 1,2) proses penambahan odp,   11/2 cpp 1,3 (plan 1,2) proses penambahan odp,  10/2 revisi boq kml survey terkait sitac odc, 9/2 revisi boq kml survey terkait sitac odc, 6/2 revisi boq kml survey, 5/2 ada kenaikan cpp 1,3 ,"&amp;"  3/2 ada kenaikan cpp 1,3 , 2/2 ada kenaikan cpp 1,3 dari plan 1,2,  1/2 cpp 1,3 dari plan 1,2, 30/1 cpp 1,3 dari plan 1,2, 28/1 cpp 1,3 dari plan 1,2, 27/1 menunggu  boq kml survey paralel hasil cek otdr, 27/1 menunggu  boq kml survey paralel hasil cek "&amp;"otdr, 26/1 menunggu  boq kml survey,23/1 menunggu boq kml survey.22/1 menunggu boq kml survey, 21/1 menunggu report paralel boq kml survey,  20/1 menunggu report paralel boq kml survey, 18/1 plan survey 19/1,  15/1 plan survey 19/1, 14/1 plan survey 19/1 "&amp;"s/d 21/1, 13/1 menunggu info kelanjutan dari mitra, (07/01) Persiapan")</f>
        <v>27/4 proses perizinan sisa 2 desa plan team fu hari ini  ke perumahan grand wilnata dan graha sasya, untuk perumahan suka dame done prelim 3 jt,  23/4 proses perizinan sisa 2 desa plan team fu besok 24 april ke perumahan grand wilnata dan graha sasya, untuk perumahan suka dame done prelim 3 jt, 22/4 perumahan padang pasir meminta kompensasi sebesar 3 jt, bsk fu kembali perizinan ke perumahan grand wilnata residence, 21/4 perumahan padang pasir meminta kompensasi sebesar 3 jt, bsk fu kembali perizinan ke perumahan grand wilnata residence, 20/4 perumahan padang pasir meminta kompensasi sebesar 3 jt, bsk fu kembali perizinan ke perumahan grand wilnata residence, 16/4 perumahan padang pasir meminta kompensasi sebesar 3 jt, bsk fu kembali perizinan ke perumahan grand wilnata residence, 15/4 plan bsk fu kembali terkait perizinan tanam tiang dengan pihak developer,  14/4 plan bsk fu kembali terkait perizinan tanam tiang dengan pihak developer, 13/4 plan bsk fu kembali terkait perizinan tanam tiang dengan pihak developer,  9/4 plan bsk fu kembali terkait perizinan tanam tiang dengan pihak developer, 8/4 plan fu kembali terkait perizinan tanam tiang dengan pihak devloper, 6/4 plan lusa 7 april team bertemu dengan pihak devloper terkait perizinan tanam tiang, 5/4 fu kmbali dengan tsel terkait redesign kendala tidak ada space tanam tiang, 1/4 menunggu mitra turun ke lokasi untuk fu ke developer,  31/3 menunggu mitra turun ke lokasi untuk fu ke developer, 30/3 menunggu balasan izin dari perumahan padang pasir, 27/3  plan fu kembali keperumahan senin 30 maret, terkait perizinan dilanjut setelah lebaran selesai, 26/3 fu terkait perizinan dilanjut setelah lebaran selesai, 22/3 fu terkait perizinan dilanjut setelah lebaran selesai,  18/3 fu terkait perizina dilanjut setelah lebaran selesai, 16/3 plan fu terkait perizina  dev besok 17/3 bersama tsel, , 13/3 plab bsk fu kembali terkait perizinan ke developer, pararel menunggu approve terkait pengantar izin pu kab, 11/3 menunggu approve terkait pengantar izin pu kab, 10/3 menunggu approve terkait pengantar izin pu kab,. 3/3 cpp 1,3 (plan 1,2) proses penambahan odp, butuh izin pu kab,  2/3 cpp 1,3 (plan 1,2) proses penambahan odp, butuh izin pu kab, 27/2 cpp 1,3 (plan 1,2) proses penambahan odp, butuh izin pu kab,  25/2 cpp 1,3 (plan 1,2) proses penambahan odp, butuh izin pu kab,  24/2 cpp 1,3 (plan 1,2) proses penambahan odp, butuh izin pu kab,  23/2 cpp 1,3 (plan 1,2) proses penambahan odp, butuh izin pu kab,  20/2 cpp 1,3 (plan 1,2) proses penambahan odp, butuh izin pu kab, 19/2 cpp 1,3 (plan 1,2) proses penambahan odp, butuh izin pu kab, 18/2 cpp 1,3 (plan 1,2) proses penambahan odp, butuh izin pu kab,  16/2 cpp 1,3 (plan 1,2) proses penambahan odp, butuh izin pu kab,  13/2 cpp 1,3 (plan 1,2) proses penambahan odp, butuh izin pu kab, 12/2 cpp 1,3 (plan 1,2) proses penambahan odp,   11/2 cpp 1,3 (plan 1,2) proses penambahan odp,  10/2 revisi boq kml survey terkait sitac odc, 9/2 revisi boq kml survey terkait sitac odc, 6/2 revisi boq kml survey, 5/2 ada kenaikan cpp 1,3 ,  3/2 ada kenaikan cpp 1,3 , 2/2 ada kenaikan cpp 1,3 dari plan 1,2,  1/2 cpp 1,3 dari plan 1,2, 30/1 cpp 1,3 dari plan 1,2, 28/1 cpp 1,3 dari plan 1,2, 27/1 menunggu  boq kml survey paralel hasil cek otdr, 27/1 menunggu  boq kml survey paralel hasil cek otdr, 26/1 menunggu  boq kml survey,23/1 menunggu boq kml survey.22/1 menunggu boq kml survey, 21/1 menunggu report paralel boq kml survey,  20/1 menunggu report paralel boq kml survey, 18/1 plan survey 19/1,  15/1 plan survey 19/1, 14/1 plan survey 19/1 s/d 21/1, 13/1 menunggu info kelanjutan dari mitra, (07/01) Persiapan</v>
      </c>
      <c r="R429" s="228"/>
      <c r="S429" s="11"/>
      <c r="T429" s="11"/>
      <c r="U429" s="11" t="str">
        <f>IFERROR(__xludf.DUMMYFUNCTION("""COMPUTED_VALUE"""),"W03-1753/2025")</f>
        <v>W03-1753/2025</v>
      </c>
      <c r="V429" s="229"/>
      <c r="W429" s="229"/>
      <c r="X429" s="229" t="str">
        <f>IFERROR(__xludf.DUMMYFUNCTION("""COMPUTED_VALUE"""),"BELUM GOLIVE")</f>
        <v>BELUM GOLIVE</v>
      </c>
      <c r="Y429" s="229" t="str">
        <f>IFERROR(__xludf.DUMMYFUNCTION("""COMPUTED_VALUE"""),"Izin pu")</f>
        <v>Izin pu</v>
      </c>
      <c r="Z429" s="229" t="str">
        <f>IFERROR(__xludf.DUMMYFUNCTION("""COMPUTED_VALUE"""),"#N/A")</f>
        <v>#N/A</v>
      </c>
      <c r="AA429" s="229"/>
      <c r="AB429" s="229"/>
      <c r="AC429" s="229"/>
      <c r="AD429" s="232"/>
      <c r="AE429" s="233"/>
      <c r="AF429" s="54" t="str">
        <f>IFERROR(__xludf.DUMMYFUNCTION("""COMPUTED_VALUE"""),"Draft BA DROP")</f>
        <v>Draft BA DROP</v>
      </c>
      <c r="AG429" s="54"/>
      <c r="AH429" s="54"/>
      <c r="AI429" s="55" t="str">
        <f t="shared" si="56"/>
        <v/>
      </c>
      <c r="AW429" s="234"/>
      <c r="BP429" s="11"/>
      <c r="BQ429" s="11"/>
      <c r="BR429" s="235"/>
      <c r="BV429" s="158"/>
      <c r="BY429" s="158"/>
      <c r="CB429" s="158"/>
    </row>
    <row r="430" ht="18.0" hidden="1" customHeight="1">
      <c r="A430" s="222">
        <f>IFERROR(__xludf.DUMMYFUNCTION("""COMPUTED_VALUE"""),2026.0)</f>
        <v>2026</v>
      </c>
      <c r="B430" s="221">
        <f>IFERROR(__xludf.DUMMYFUNCTION("""COMPUTED_VALUE"""),1.1187857E7)</f>
        <v>11187857</v>
      </c>
      <c r="C430" s="222" t="str">
        <f>IFERROR(__xludf.DUMMYFUNCTION("""COMPUTED_VALUE"""),"MDN PT3 P7I11 LBP-FK ABDI LAND D'PRIME")</f>
        <v>MDN PT3 P7I11 LBP-FK ABDI LAND D'PRIME</v>
      </c>
      <c r="D430" s="222" t="str">
        <f>IFERROR(__xludf.DUMMYFUNCTION("""COMPUTED_VALUE"""),"REGIONAL I")</f>
        <v>REGIONAL I</v>
      </c>
      <c r="E430" s="222" t="str">
        <f>IFERROR(__xludf.DUMMYFUNCTION("""COMPUTED_VALUE"""),"MEDAN")</f>
        <v>MEDAN</v>
      </c>
      <c r="F430" s="222" t="str">
        <f>IFERROR(__xludf.DUMMYFUNCTION("""COMPUTED_VALUE"""),"LBP")</f>
        <v>LBP</v>
      </c>
      <c r="G430" s="222" t="str">
        <f>IFERROR(__xludf.DUMMYFUNCTION("""COMPUTED_VALUE"""),"SUMBAGUT")</f>
        <v>SUMBAGUT</v>
      </c>
      <c r="H430" s="222" t="str">
        <f>IFERROR(__xludf.DUMMYFUNCTION("""COMPUTED_VALUE"""),"MEDAN")</f>
        <v>MEDAN</v>
      </c>
      <c r="I430" s="222" t="str">
        <f>IFERROR(__xludf.DUMMYFUNCTION("""COMPUTED_VALUE"""),"Batch 2")</f>
        <v>Batch 2</v>
      </c>
      <c r="J430" s="225">
        <f>IFERROR(__xludf.DUMMYFUNCTION("""COMPUTED_VALUE"""),15.0)</f>
        <v>15</v>
      </c>
      <c r="K430" s="224">
        <f>IFERROR(__xludf.DUMMYFUNCTION("""COMPUTED_VALUE"""),120.0)</f>
        <v>120</v>
      </c>
      <c r="L430" s="226">
        <f>IFERROR(__xludf.DUMMYFUNCTION("""COMPUTED_VALUE"""),782751.0)</f>
        <v>782751</v>
      </c>
      <c r="M430" s="227">
        <f>IFERROR(__xludf.DUMMYFUNCTION("""COMPUTED_VALUE"""),9.393001E7)</f>
        <v>93930010</v>
      </c>
      <c r="N430" s="222" t="str">
        <f>IFERROR(__xludf.DUMMYFUNCTION("""COMPUTED_VALUE"""),"PT TEKNOLOGI KARYA MANDIRI")</f>
        <v>PT TEKNOLOGI KARYA MANDIRI</v>
      </c>
      <c r="O430" s="222" t="str">
        <f>IFERROR(__xludf.DUMMYFUNCTION("""COMPUTED_VALUE"""),"3. PERIZINAN")</f>
        <v>3. PERIZINAN</v>
      </c>
      <c r="P430" s="222" t="str">
        <f>IFERROR(__xludf.DUMMYFUNCTION("""COMPUTED_VALUE"""),"3.10 Izin Developer / Private area")</f>
        <v>3.10 Izin Developer / Private area</v>
      </c>
      <c r="Q430" s="222" t="str">
        <f>IFERROR(__xludf.DUMMYFUNCTION("""COMPUTED_VALUE"""),"20/04 FU kembali devlope visit 21/04
09/04 fu perizinan ke CHAM 23/02 proses izin devloper
21/02 feeder ok
27/01 order mitra
(07/01) Persiapan")</f>
        <v>20/04 FU kembali devlope visit 21/04
09/04 fu perizinan ke CHAM 23/02 proses izin devloper
21/02 feeder ok
27/01 order mitra
(07/01) Persiapan</v>
      </c>
      <c r="R430" s="228"/>
      <c r="S430" s="11"/>
      <c r="T430" s="73"/>
      <c r="U430" s="11"/>
      <c r="V430" s="229" t="str">
        <f>IFERROR(__xludf.DUMMYFUNCTION("""COMPUTED_VALUE"""),"27/Apr/2026")</f>
        <v>27/Apr/2026</v>
      </c>
      <c r="W430" s="229"/>
      <c r="X430" s="229" t="str">
        <f>IFERROR(__xludf.DUMMYFUNCTION("""COMPUTED_VALUE"""),"BELUM GOLIVE")</f>
        <v>BELUM GOLIVE</v>
      </c>
      <c r="Y430" s="229"/>
      <c r="Z430" s="229" t="str">
        <f>IFERROR(__xludf.DUMMYFUNCTION("""COMPUTED_VALUE"""),"#N/A")</f>
        <v>#N/A</v>
      </c>
      <c r="AA430" s="229"/>
      <c r="AB430" s="229"/>
      <c r="AC430" s="229"/>
      <c r="AD430" s="232"/>
      <c r="AE430" s="233"/>
      <c r="AF430" s="54"/>
      <c r="AG430" s="54"/>
      <c r="AH430" s="54"/>
      <c r="AI430" s="55" t="str">
        <f t="shared" si="56"/>
        <v/>
      </c>
      <c r="AW430" s="234"/>
      <c r="BP430" s="11"/>
      <c r="BQ430" s="11"/>
      <c r="BR430" s="235"/>
      <c r="BV430" s="158"/>
      <c r="BY430" s="158"/>
      <c r="CB430" s="158"/>
    </row>
    <row r="431" ht="18.0" hidden="1" customHeight="1">
      <c r="A431" s="222">
        <f>IFERROR(__xludf.DUMMYFUNCTION("""COMPUTED_VALUE"""),2026.0)</f>
        <v>2026</v>
      </c>
      <c r="B431" s="221">
        <f>IFERROR(__xludf.DUMMYFUNCTION("""COMPUTED_VALUE"""),1.2436737E7)</f>
        <v>12436737</v>
      </c>
      <c r="C431" s="222" t="str">
        <f>IFERROR(__xludf.DUMMYFUNCTION("""COMPUTED_VALUE"""),"ACH PT3 BNA-FE EXP.D07 GAMPONG PANDE")</f>
        <v>ACH PT3 BNA-FE EXP.D07 GAMPONG PANDE</v>
      </c>
      <c r="D431" s="222" t="str">
        <f>IFERROR(__xludf.DUMMYFUNCTION("""COMPUTED_VALUE"""),"REGIONAL I")</f>
        <v>REGIONAL I</v>
      </c>
      <c r="E431" s="222" t="str">
        <f>IFERROR(__xludf.DUMMYFUNCTION("""COMPUTED_VALUE"""),"ACEH")</f>
        <v>ACEH</v>
      </c>
      <c r="F431" s="222" t="str">
        <f>IFERROR(__xludf.DUMMYFUNCTION("""COMPUTED_VALUE"""),"BNA")</f>
        <v>BNA</v>
      </c>
      <c r="G431" s="222" t="str">
        <f>IFERROR(__xludf.DUMMYFUNCTION("""COMPUTED_VALUE"""),"SUMBAGUT")</f>
        <v>SUMBAGUT</v>
      </c>
      <c r="H431" s="222" t="str">
        <f>IFERROR(__xludf.DUMMYFUNCTION("""COMPUTED_VALUE"""),"BANDA ACEH")</f>
        <v>BANDA ACEH</v>
      </c>
      <c r="I431" s="222" t="str">
        <f>IFERROR(__xludf.DUMMYFUNCTION("""COMPUTED_VALUE"""),"Batch 2")</f>
        <v>Batch 2</v>
      </c>
      <c r="J431" s="225">
        <f>IFERROR(__xludf.DUMMYFUNCTION("""COMPUTED_VALUE"""),4.0)</f>
        <v>4</v>
      </c>
      <c r="K431" s="224">
        <f>IFERROR(__xludf.DUMMYFUNCTION("""COMPUTED_VALUE"""),32.0)</f>
        <v>32</v>
      </c>
      <c r="L431" s="226">
        <f>IFERROR(__xludf.DUMMYFUNCTION("""COMPUTED_VALUE"""),1287993.0)</f>
        <v>1287993</v>
      </c>
      <c r="M431" s="227">
        <f>IFERROR(__xludf.DUMMYFUNCTION("""COMPUTED_VALUE"""),4.1215745E7)</f>
        <v>41215745</v>
      </c>
      <c r="N431" s="222" t="str">
        <f>IFERROR(__xludf.DUMMYFUNCTION("""COMPUTED_VALUE"""),"PT NURISA JAYA PERKASA")</f>
        <v>PT NURISA JAYA PERKASA</v>
      </c>
      <c r="O431" s="222" t="str">
        <f>IFERROR(__xludf.DUMMYFUNCTION("""COMPUTED_VALUE"""),"7. GOLIVE")</f>
        <v>7. GOLIVE</v>
      </c>
      <c r="P431" s="222" t="str">
        <f>IFERROR(__xludf.DUMMYFUNCTION("""COMPUTED_VALUE"""),"7.2 Golive Full / OA / DONE OTB")</f>
        <v>7.2 Golive Full / OA / DONE OTB</v>
      </c>
      <c r="Q431" s="222" t="str">
        <f>IFERROR(__xludf.DUMMYFUNCTION("""COMPUTED_VALUE"""),"(25/03) Penarikan Kabel (16/03 Tanam Tiang (05/03) Tanam Tiang (14/02) Proses Negosiasi dgn Warga (07/02) Dependensi LOP Lampaseh - 11346444 (21/01) DelMat (07/01) Persiapan")</f>
        <v>(25/03) Penarikan Kabel (16/03 Tanam Tiang (05/03) Tanam Tiang (14/02) Proses Negosiasi dgn Warga (07/02) Dependensi LOP Lampaseh - 11346444 (21/01) DelMat (07/01) Persiapan</v>
      </c>
      <c r="R431" s="228"/>
      <c r="S431" s="11"/>
      <c r="T431" s="11"/>
      <c r="U431" s="11"/>
      <c r="V431" s="229"/>
      <c r="W431" s="229"/>
      <c r="X431" s="229" t="str">
        <f>IFERROR(__xludf.DUMMYFUNCTION("""COMPUTED_VALUE"""),"GOLIVE")</f>
        <v>GOLIVE</v>
      </c>
      <c r="Y431" s="229" t="str">
        <f>IFERROR(__xludf.DUMMYFUNCTION("""COMPUTED_VALUE"""),"DONE")</f>
        <v>DONE</v>
      </c>
      <c r="Z431" s="229" t="str">
        <f>IFERROR(__xludf.DUMMYFUNCTION("""COMPUTED_VALUE"""),"#N/A")</f>
        <v>#N/A</v>
      </c>
      <c r="AA431" s="229">
        <f>IFERROR(__xludf.DUMMYFUNCTION("""COMPUTED_VALUE"""),3.0)</f>
        <v>3</v>
      </c>
      <c r="AB431" s="229"/>
      <c r="AC431" s="229" t="str">
        <f>IFERROR(__xludf.DUMMYFUNCTION("""COMPUTED_VALUE"""),"9220541#9220546")</f>
        <v>9220541#9220546</v>
      </c>
      <c r="AD431" s="232">
        <f>IFERROR(__xludf.DUMMYFUNCTION("""COMPUTED_VALUE"""),24.0)</f>
        <v>24</v>
      </c>
      <c r="AE431" s="233">
        <f>IFERROR(__xludf.DUMMYFUNCTION("""COMPUTED_VALUE"""),46108.0)</f>
        <v>46108</v>
      </c>
      <c r="AF431" s="54"/>
      <c r="AG431" s="54"/>
      <c r="AH431" s="54"/>
      <c r="AI431" s="55" t="str">
        <f t="shared" si="56"/>
        <v/>
      </c>
      <c r="AW431" s="234"/>
      <c r="BP431" s="11"/>
      <c r="BQ431" s="11"/>
      <c r="BR431" s="235"/>
      <c r="BV431" s="158"/>
      <c r="BY431" s="158"/>
      <c r="CB431" s="158"/>
    </row>
    <row r="432" ht="18.0" customHeight="1">
      <c r="A432" s="222">
        <f>IFERROR(__xludf.DUMMYFUNCTION("""COMPUTED_VALUE"""),2026.0)</f>
        <v>2026</v>
      </c>
      <c r="B432" s="221">
        <f>IFERROR(__xludf.DUMMYFUNCTION("""COMPUTED_VALUE"""),1.109428E7)</f>
        <v>11094280</v>
      </c>
      <c r="C432" s="222" t="str">
        <f>IFERROR(__xludf.DUMMYFUNCTION("""COMPUTED_VALUE"""),"RKP PT3 JPPTSEL KMS-FT GRIYA HANG LEKIR INDAH 2")</f>
        <v>RKP PT3 JPPTSEL KMS-FT GRIYA HANG LEKIR INDAH 2</v>
      </c>
      <c r="D432" s="222" t="str">
        <f>IFERROR(__xludf.DUMMYFUNCTION("""COMPUTED_VALUE"""),"REGIONAL I")</f>
        <v>REGIONAL I</v>
      </c>
      <c r="E432" s="222" t="str">
        <f>IFERROR(__xludf.DUMMYFUNCTION("""COMPUTED_VALUE"""),"RIKEP")</f>
        <v>RIKEP</v>
      </c>
      <c r="F432" s="222" t="str">
        <f>IFERROR(__xludf.DUMMYFUNCTION("""COMPUTED_VALUE"""),"KMS")</f>
        <v>KMS</v>
      </c>
      <c r="G432" s="222" t="str">
        <f>IFERROR(__xludf.DUMMYFUNCTION("""COMPUTED_VALUE"""),"SUMBAGTENG")</f>
        <v>SUMBAGTENG</v>
      </c>
      <c r="H432" s="222" t="str">
        <f>IFERROR(__xludf.DUMMYFUNCTION("""COMPUTED_VALUE"""),"BATAM")</f>
        <v>BATAM</v>
      </c>
      <c r="I432" s="222" t="str">
        <f>IFERROR(__xludf.DUMMYFUNCTION("""COMPUTED_VALUE"""),"Batch 2")</f>
        <v>Batch 2</v>
      </c>
      <c r="J432" s="225">
        <f>IFERROR(__xludf.DUMMYFUNCTION("""COMPUTED_VALUE"""),4.0)</f>
        <v>4</v>
      </c>
      <c r="K432" s="224">
        <f>IFERROR(__xludf.DUMMYFUNCTION("""COMPUTED_VALUE"""),32.0)</f>
        <v>32</v>
      </c>
      <c r="L432" s="226">
        <f>IFERROR(__xludf.DUMMYFUNCTION("""COMPUTED_VALUE"""),1287274.0)</f>
        <v>1287274</v>
      </c>
      <c r="M432" s="227">
        <f>IFERROR(__xludf.DUMMYFUNCTION("""COMPUTED_VALUE"""),4.1192764E7)</f>
        <v>41192764</v>
      </c>
      <c r="N432" s="222" t="str">
        <f>IFERROR(__xludf.DUMMYFUNCTION("""COMPUTED_VALUE"""),"PT SALTTEK DUMPANG JAYA")</f>
        <v>PT SALTTEK DUMPANG JAYA</v>
      </c>
      <c r="O432" s="222" t="str">
        <f>IFERROR(__xludf.DUMMYFUNCTION("""COMPUTED_VALUE"""),"0. DROP")</f>
        <v>0. DROP</v>
      </c>
      <c r="P432" s="222" t="str">
        <f>IFERROR(__xludf.DUMMYFUNCTION("""COMPUTED_VALUE"""),"0.2 Tidak Dapat Izin Warga/Kades/Lurah/Developer")</f>
        <v>0.2 Tidak Dapat Izin Warga/Kades/Lurah/Developer</v>
      </c>
      <c r="Q432" s="222" t="str">
        <f>IFERROR(__xludf.DUMMYFUNCTION("""COMPUTED_VALUE"""),"28/01 Izin tanam tiang di tolak oleh developer, harus pakai tiang PLN, dan meminta wifi seumur hidup. 22/01 Feeder OK, proses perizinan. 21/01 Proses anwijzing tanggal 22 Jan 2026")</f>
        <v>28/01 Izin tanam tiang di tolak oleh developer, harus pakai tiang PLN, dan meminta wifi seumur hidup. 22/01 Feeder OK, proses perizinan. 21/01 Proses anwijzing tanggal 22 Jan 2026</v>
      </c>
      <c r="R432" s="228"/>
      <c r="S432" s="11"/>
      <c r="T432" s="11"/>
      <c r="U432" s="11"/>
      <c r="V432" s="229" t="str">
        <f>IFERROR(__xludf.DUMMYFUNCTION("""COMPUTED_VALUE"""),"DEDY IRAWAN")</f>
        <v>DEDY IRAWAN</v>
      </c>
      <c r="W432" s="229" t="str">
        <f>IFERROR(__xludf.DUMMYFUNCTION("""COMPUTED_VALUE"""),"LEVITA INDRIYANI")</f>
        <v>LEVITA INDRIYANI</v>
      </c>
      <c r="X432" s="229" t="str">
        <f>IFERROR(__xludf.DUMMYFUNCTION("""COMPUTED_VALUE"""),"BELUM GOLIVE")</f>
        <v>BELUM GOLIVE</v>
      </c>
      <c r="Y432" s="229"/>
      <c r="Z432" s="229" t="str">
        <f>IFERROR(__xludf.DUMMYFUNCTION("""COMPUTED_VALUE"""),"#N/A")</f>
        <v>#N/A</v>
      </c>
      <c r="AA432" s="229"/>
      <c r="AB432" s="229"/>
      <c r="AC432" s="229"/>
      <c r="AD432" s="232"/>
      <c r="AE432" s="233"/>
      <c r="AF432" s="54" t="str">
        <f>IFERROR(__xludf.DUMMYFUNCTION("""COMPUTED_VALUE"""),"Draft BA DROP")</f>
        <v>Draft BA DROP</v>
      </c>
      <c r="AG432" s="54"/>
      <c r="AH432" s="54">
        <v>46138.0</v>
      </c>
      <c r="AI432" s="237">
        <f>AH432-NOW()</f>
        <v>-2.377989884</v>
      </c>
      <c r="AJ432" s="229" t="str">
        <f>if(AI432&gt;=0,"In Komitmen","Out Komitmen")</f>
        <v>Out Komitmen</v>
      </c>
      <c r="AW432" s="234"/>
      <c r="BP432" s="11"/>
      <c r="BQ432" s="11"/>
      <c r="BR432" s="235"/>
      <c r="BV432" s="158"/>
      <c r="BY432" s="158"/>
      <c r="CB432" s="158"/>
    </row>
    <row r="433" ht="18.0" customHeight="1">
      <c r="A433" s="222">
        <f>IFERROR(__xludf.DUMMYFUNCTION("""COMPUTED_VALUE"""),2026.0)</f>
        <v>2026</v>
      </c>
      <c r="B433" s="221">
        <f>IFERROR(__xludf.DUMMYFUNCTION("""COMPUTED_VALUE"""),1.1580712E7)</f>
        <v>11580712</v>
      </c>
      <c r="C433" s="222" t="str">
        <f>IFERROR(__xludf.DUMMYFUNCTION("""COMPUTED_VALUE"""),"RKP TSEL PT3 TUB-FU JL. TAMAN SARI")</f>
        <v>RKP TSEL PT3 TUB-FU JL. TAMAN SARI</v>
      </c>
      <c r="D433" s="222" t="str">
        <f>IFERROR(__xludf.DUMMYFUNCTION("""COMPUTED_VALUE"""),"REGIONAL I")</f>
        <v>REGIONAL I</v>
      </c>
      <c r="E433" s="222" t="str">
        <f>IFERROR(__xludf.DUMMYFUNCTION("""COMPUTED_VALUE"""),"RIKEP")</f>
        <v>RIKEP</v>
      </c>
      <c r="F433" s="222" t="str">
        <f>IFERROR(__xludf.DUMMYFUNCTION("""COMPUTED_VALUE"""),"TUB")</f>
        <v>TUB</v>
      </c>
      <c r="G433" s="222" t="str">
        <f>IFERROR(__xludf.DUMMYFUNCTION("""COMPUTED_VALUE"""),"SUMBAGTENG")</f>
        <v>SUMBAGTENG</v>
      </c>
      <c r="H433" s="222" t="str">
        <f>IFERROR(__xludf.DUMMYFUNCTION("""COMPUTED_VALUE"""),"BATAM")</f>
        <v>BATAM</v>
      </c>
      <c r="I433" s="222" t="str">
        <f>IFERROR(__xludf.DUMMYFUNCTION("""COMPUTED_VALUE"""),"Batch 2")</f>
        <v>Batch 2</v>
      </c>
      <c r="J433" s="225">
        <f>IFERROR(__xludf.DUMMYFUNCTION("""COMPUTED_VALUE"""),9.0)</f>
        <v>9</v>
      </c>
      <c r="K433" s="224">
        <f>IFERROR(__xludf.DUMMYFUNCTION("""COMPUTED_VALUE"""),72.0)</f>
        <v>72</v>
      </c>
      <c r="L433" s="226">
        <f>IFERROR(__xludf.DUMMYFUNCTION("""COMPUTED_VALUE"""),1286882.0)</f>
        <v>1286882</v>
      </c>
      <c r="M433" s="227">
        <f>IFERROR(__xludf.DUMMYFUNCTION("""COMPUTED_VALUE"""),9.2655439E7)</f>
        <v>92655439</v>
      </c>
      <c r="N433" s="222" t="str">
        <f>IFERROR(__xludf.DUMMYFUNCTION("""COMPUTED_VALUE"""),"PT SALTTEK DUMPANG JAYA")</f>
        <v>PT SALTTEK DUMPANG JAYA</v>
      </c>
      <c r="O433" s="222" t="str">
        <f>IFERROR(__xludf.DUMMYFUNCTION("""COMPUTED_VALUE"""),"4. MATDEL")</f>
        <v>4. MATDEL</v>
      </c>
      <c r="P433" s="222" t="str">
        <f>IFERROR(__xludf.DUMMYFUNCTION("""COMPUTED_VALUE"""),"4.3 Proses Kirim Mateial Kelokasi")</f>
        <v>4.3 Proses Kirim Mateial Kelokasi</v>
      </c>
      <c r="Q433" s="222" t="str">
        <f>IFERROR(__xludf.DUMMYFUNCTION("""COMPUTED_VALUE"""),"24/04 Tim serial, di kerjakan setelah LOP TUB FC.
21/04 Material kabel PO belum sampai di WH.
17/04 Plan naik ke tg uban tanggal 25 apr. 06/04  LOP Serial di pulau tanjung uban. Plan installasi tgl 02 Mei, Plan GL 16 Mei. 30/03 MP mitra serial, fokus daer"&amp;"ah tanjung pinang kota baru pindah ke tanjung uban. 27/03 MP mitra cuma ada 1 serial masih mengerjakan LOP lain / tematik lain. 05/03 Manpower Serial di wilayah tanjung uban, mengerjakan LOP lain. 25/02 Manpower Serial di wilayah tanjung uban, mengerjakan"&amp;" LOP lain. 16/02 Plan progres tanggal 27, Plan FI, 13 maret 2026. 12/02 Plan progres tanggal 27, Plan FI, 13 maret 2026. 04/02 Plan Progres, setelah selesai mengerjakan LOP di STO KMS. 28/01 Anwijzing OK nilai survey turun, proses perizinan. 21/01 Plan an"&amp;"wijzing di minggu depan 27 jan
05/03 perizinan oke plan anwijzing tgl 26/03 ")</f>
        <v>24/04 Tim serial, di kerjakan setelah LOP TUB FC.
21/04 Material kabel PO belum sampai di WH.
17/04 Plan naik ke tg uban tanggal 25 apr. 06/04  LOP Serial di pulau tanjung uban. Plan installasi tgl 02 Mei, Plan GL 16 Mei. 30/03 MP mitra serial, fokus daerah tanjung pinang kota baru pindah ke tanjung uban. 27/03 MP mitra cuma ada 1 serial masih mengerjakan LOP lain / tematik lain. 05/03 Manpower Serial di wilayah tanjung uban, mengerjakan LOP lain. 25/02 Manpower Serial di wilayah tanjung uban, mengerjakan LOP lain. 16/02 Plan progres tanggal 27, Plan FI, 13 maret 2026. 12/02 Plan progres tanggal 27, Plan FI, 13 maret 2026. 04/02 Plan Progres, setelah selesai mengerjakan LOP di STO KMS. 28/01 Anwijzing OK nilai survey turun, proses perizinan. 21/01 Plan anwijzing di minggu depan 27 jan
05/03 perizinan oke plan anwijzing tgl 26/03 </v>
      </c>
      <c r="R433" s="228"/>
      <c r="S433" s="11"/>
      <c r="T433" s="11"/>
      <c r="U433" s="11" t="str">
        <f>IFERROR(__xludf.DUMMYFUNCTION("""COMPUTED_VALUE"""),"W09-110/2026")</f>
        <v>W09-110/2026</v>
      </c>
      <c r="V433" s="229" t="str">
        <f>IFERROR(__xludf.DUMMYFUNCTION("""COMPUTED_VALUE"""),"DEDY IRAWAN")</f>
        <v>DEDY IRAWAN</v>
      </c>
      <c r="W433" s="229" t="str">
        <f>IFERROR(__xludf.DUMMYFUNCTION("""COMPUTED_VALUE"""),"LEVITA INDRIYANI")</f>
        <v>LEVITA INDRIYANI</v>
      </c>
      <c r="X433" s="229" t="str">
        <f>IFERROR(__xludf.DUMMYFUNCTION("""COMPUTED_VALUE"""),"BELUM GOLIVE")</f>
        <v>BELUM GOLIVE</v>
      </c>
      <c r="Y433" s="229"/>
      <c r="Z433" s="229" t="str">
        <f>IFERROR(__xludf.DUMMYFUNCTION("""COMPUTED_VALUE"""),"#N/A")</f>
        <v>#N/A</v>
      </c>
      <c r="AA433" s="229"/>
      <c r="AB433" s="229"/>
      <c r="AC433" s="229"/>
      <c r="AD433" s="232"/>
      <c r="AE433" s="233"/>
      <c r="AF433" s="54"/>
      <c r="AG433" s="54"/>
      <c r="AH433" s="54"/>
      <c r="AI433" s="55" t="str">
        <f>IF(OR(R433="",AE433=""),"",R433-AE433)</f>
        <v/>
      </c>
      <c r="AW433" s="234"/>
      <c r="BP433" s="11"/>
      <c r="BQ433" s="11"/>
      <c r="BR433" s="235"/>
      <c r="BV433" s="158"/>
      <c r="BY433" s="158"/>
      <c r="CB433" s="158"/>
    </row>
    <row r="434" ht="18.0" hidden="1" customHeight="1">
      <c r="A434" s="222">
        <f>IFERROR(__xludf.DUMMYFUNCTION("""COMPUTED_VALUE"""),2026.0)</f>
        <v>2026</v>
      </c>
      <c r="B434" s="221">
        <f>IFERROR(__xludf.DUMMYFUNCTION("""COMPUTED_VALUE"""),1.2438769E7)</f>
        <v>12438769</v>
      </c>
      <c r="C434" s="222" t="str">
        <f>IFERROR(__xludf.DUMMYFUNCTION("""COMPUTED_VALUE"""),"SMS P4I4 PT3 MPA FN D02 EXP DS MARTAPURA")</f>
        <v>SMS P4I4 PT3 MPA FN D02 EXP DS MARTAPURA</v>
      </c>
      <c r="D434" s="222" t="str">
        <f>IFERROR(__xludf.DUMMYFUNCTION("""COMPUTED_VALUE"""),"REGIONAL I")</f>
        <v>REGIONAL I</v>
      </c>
      <c r="E434" s="222" t="str">
        <f>IFERROR(__xludf.DUMMYFUNCTION("""COMPUTED_VALUE"""),"SUMSEL")</f>
        <v>SUMSEL</v>
      </c>
      <c r="F434" s="222" t="str">
        <f>IFERROR(__xludf.DUMMYFUNCTION("""COMPUTED_VALUE"""),"MPA")</f>
        <v>MPA</v>
      </c>
      <c r="G434" s="222" t="str">
        <f>IFERROR(__xludf.DUMMYFUNCTION("""COMPUTED_VALUE"""),"SUMBAGSEL")</f>
        <v>SUMBAGSEL</v>
      </c>
      <c r="H434" s="222" t="str">
        <f>IFERROR(__xludf.DUMMYFUNCTION("""COMPUTED_VALUE"""),"PALEMBANG")</f>
        <v>PALEMBANG</v>
      </c>
      <c r="I434" s="222" t="str">
        <f>IFERROR(__xludf.DUMMYFUNCTION("""COMPUTED_VALUE"""),"Batch 2")</f>
        <v>Batch 2</v>
      </c>
      <c r="J434" s="225">
        <f>IFERROR(__xludf.DUMMYFUNCTION("""COMPUTED_VALUE"""),5.0)</f>
        <v>5</v>
      </c>
      <c r="K434" s="224">
        <f>IFERROR(__xludf.DUMMYFUNCTION("""COMPUTED_VALUE"""),40.0)</f>
        <v>40</v>
      </c>
      <c r="L434" s="226">
        <f>IFERROR(__xludf.DUMMYFUNCTION("""COMPUTED_VALUE"""),1286324.0)</f>
        <v>1286324</v>
      </c>
      <c r="M434" s="227">
        <f>IFERROR(__xludf.DUMMYFUNCTION("""COMPUTED_VALUE"""),5.1452931E7)</f>
        <v>51452931</v>
      </c>
      <c r="N434" s="222" t="str">
        <f>IFERROR(__xludf.DUMMYFUNCTION("""COMPUTED_VALUE"""),"PT GARINDO TECHNO MANDIRI")</f>
        <v>PT GARINDO TECHNO MANDIRI</v>
      </c>
      <c r="O434" s="222" t="str">
        <f>IFERROR(__xludf.DUMMYFUNCTION("""COMPUTED_VALUE"""),"7. GOLIVE")</f>
        <v>7. GOLIVE</v>
      </c>
      <c r="P434" s="222" t="str">
        <f>IFERROR(__xludf.DUMMYFUNCTION("""COMPUTED_VALUE"""),"7.2 Golive Full / OA / DONE OTB")</f>
        <v>7.2 Golive Full / OA / DONE OTB</v>
      </c>
      <c r="Q434" s="222" t="str">
        <f>IFERROR(__xludf.DUMMYFUNCTION("""COMPUTED_VALUE"""),"11/03 GOLIVE, 10/03 DONE SUBMIT ABD KE SDI, 10/03 PROGRESS JOINT ODP - VALINS, 09/03 DONE TANAM 28 TIANG DAN PROGRESS PENARIKAN KABEL, 07/03 PROGRESS TANAM TIANG DAN PENARIKAN KABEL,  04/03 MATERIAL ONSITE, 03/03 MATDEL, 02/03 HARI INI AMBIL TIANG, 27/02 "&amp;"DONE RFC,OGP AMBIL MATERIAL EST TGL 02/03, 26/02 MENUNGGU RFC UTK PENGAMBILAN MATERIAL, 25/02 MASIH MENUNGGU TIANG, 24/02 LANJUT PROGRESS SDH ADA RFC DAN MENUNGGU TIANG, 22/2 hold CPP naik dan Perizinan RT belum clear, sudah confirm ke TIF 20/02 DONE INPU"&amp;"T MATERIAL, 18/02 BELUM BISA INPUT MATERIAL - MSH MENUNGGU PA, 13/02 PERIZINAN OKE, LANJUT PROGRESS, 11/02 menunggu konfirm dari sales terkait belum ada izin dari RT setempat, 06/02 HASIL REVIEW TSEL LANJUT UTK PERIZINAN RT, 03/02 DONE EVAL, HOLD, PASTIKA"&amp;"N IZIN DG PIHAK RT 02 YG BELUM CLEAR, SECARA CPP 1,2 JT 30/01 DONE AANWIDJZING - MENUNGGU PERIZINAN DARI RT SETEMPAT, 25/01 MENUNGGU PERIZINAN DARI RT SETEMPAT, (15/1) SUDAH AANWIDJZING, MENUNGGU HASIL EVAL PALIM LAMBAT TANGGAL 23 JAN (15/1) ORDER DITERIM"&amp;"A MITRA 14/1,MENUNGGU PLAN AANWIJDZING (06/01)order JPP batch-2 2026 ((11/11) Penunjukkan MITRA oleh Procurement")</f>
        <v>11/03 GOLIVE, 10/03 DONE SUBMIT ABD KE SDI, 10/03 PROGRESS JOINT ODP - VALINS, 09/03 DONE TANAM 28 TIANG DAN PROGRESS PENARIKAN KABEL, 07/03 PROGRESS TANAM TIANG DAN PENARIKAN KABEL,  04/03 MATERIAL ONSITE, 03/03 MATDEL, 02/03 HARI INI AMBIL TIANG, 27/02 DONE RFC,OGP AMBIL MATERIAL EST TGL 02/03, 26/02 MENUNGGU RFC UTK PENGAMBILAN MATERIAL, 25/02 MASIH MENUNGGU TIANG, 24/02 LANJUT PROGRESS SDH ADA RFC DAN MENUNGGU TIANG, 22/2 hold CPP naik dan Perizinan RT belum clear, sudah confirm ke TIF 20/02 DONE INPUT MATERIAL, 18/02 BELUM BISA INPUT MATERIAL - MSH MENUNGGU PA, 13/02 PERIZINAN OKE, LANJUT PROGRESS, 11/02 menunggu konfirm dari sales terkait belum ada izin dari RT setempat, 06/02 HASIL REVIEW TSEL LANJUT UTK PERIZINAN RT, 03/02 DONE EVAL, HOLD, PASTIKAN IZIN DG PIHAK RT 02 YG BELUM CLEAR, SECARA CPP 1,2 JT 30/01 DONE AANWIDJZING - MENUNGGU PERIZINAN DARI RT SETEMPAT, 25/01 MENUNGGU PERIZINAN DARI RT SETEMPAT, (15/1) SUDAH AANWIDJZING, MENUNGGU HASIL EVAL PALIM LAMBAT TANGGAL 23 JAN (15/1) ORDER DITERIMA MITRA 14/1,MENUNGGU PLAN AANWIJDZING (06/01)order JPP batch-2 2026 ((11/11) Penunjukkan MITRA oleh Procurement</v>
      </c>
      <c r="R434" s="228">
        <f>IFERROR(__xludf.DUMMYFUNCTION("""COMPUTED_VALUE"""),46111.0)</f>
        <v>46111</v>
      </c>
      <c r="S434" s="11" t="str">
        <f>IFERROR(__xludf.DUMMYFUNCTION("""COMPUTED_VALUE"""),"MAR")</f>
        <v>MAR</v>
      </c>
      <c r="T434" s="11"/>
      <c r="U434" s="11"/>
      <c r="V434" s="229" t="str">
        <f>IFERROR(__xludf.DUMMYFUNCTION("""COMPUTED_VALUE"""),"TANTOWI")</f>
        <v>TANTOWI</v>
      </c>
      <c r="W434" s="229"/>
      <c r="X434" s="229" t="str">
        <f>IFERROR(__xludf.DUMMYFUNCTION("""COMPUTED_VALUE"""),"GOLIVE")</f>
        <v>GOLIVE</v>
      </c>
      <c r="Y434" s="229" t="str">
        <f>IFERROR(__xludf.DUMMYFUNCTION("""COMPUTED_VALUE"""),"DONE")</f>
        <v>DONE</v>
      </c>
      <c r="Z434" s="229" t="str">
        <f>IFERROR(__xludf.DUMMYFUNCTION("""COMPUTED_VALUE"""),"#N/A")</f>
        <v>#N/A</v>
      </c>
      <c r="AA434" s="229">
        <f>IFERROR(__xludf.DUMMYFUNCTION("""COMPUTED_VALUE"""),3.0)</f>
        <v>3</v>
      </c>
      <c r="AB434" s="229"/>
      <c r="AC434" s="229" t="str">
        <f>IFERROR(__xludf.DUMMYFUNCTION("""COMPUTED_VALUE"""),"8947108#8947113")</f>
        <v>8947108#8947113</v>
      </c>
      <c r="AD434" s="232">
        <f>IFERROR(__xludf.DUMMYFUNCTION("""COMPUTED_VALUE"""),24.0)</f>
        <v>24</v>
      </c>
      <c r="AE434" s="233">
        <f>IFERROR(__xludf.DUMMYFUNCTION("""COMPUTED_VALUE"""),46092.0)</f>
        <v>46092</v>
      </c>
      <c r="AF434" s="54"/>
      <c r="AG434" s="54"/>
      <c r="AH434" s="54">
        <v>46139.0</v>
      </c>
      <c r="AI434" s="237">
        <f>AH434-NOW()</f>
        <v>-1.377989884</v>
      </c>
      <c r="AJ434" s="229" t="str">
        <f>if(AI434&gt;=0,"Gl in Komitmen","Gl out Komitmen")</f>
        <v>Gl out Komitmen</v>
      </c>
      <c r="AK434" s="229" t="s">
        <v>199</v>
      </c>
      <c r="AW434" s="234"/>
      <c r="BP434" s="11"/>
      <c r="BQ434" s="11"/>
      <c r="BR434" s="235"/>
      <c r="BV434" s="158"/>
      <c r="BY434" s="158"/>
      <c r="CB434" s="158"/>
    </row>
    <row r="435" ht="18.0" customHeight="1">
      <c r="A435" s="222">
        <f>IFERROR(__xludf.DUMMYFUNCTION("""COMPUTED_VALUE"""),2026.0)</f>
        <v>2026</v>
      </c>
      <c r="B435" s="221">
        <f>IFERROR(__xludf.DUMMYFUNCTION("""COMPUTED_VALUE"""),1.110139E7)</f>
        <v>11101390</v>
      </c>
      <c r="C435" s="222" t="str">
        <f>IFERROR(__xludf.DUMMYFUNCTION("""COMPUTED_VALUE"""),"RKP PT3 JPPTSEL KIJ-FK JL. BAREK MOTOR KIJANG_")</f>
        <v>RKP PT3 JPPTSEL KIJ-FK JL. BAREK MOTOR KIJANG_</v>
      </c>
      <c r="D435" s="222" t="str">
        <f>IFERROR(__xludf.DUMMYFUNCTION("""COMPUTED_VALUE"""),"REGIONAL I")</f>
        <v>REGIONAL I</v>
      </c>
      <c r="E435" s="222" t="str">
        <f>IFERROR(__xludf.DUMMYFUNCTION("""COMPUTED_VALUE"""),"RIKEP")</f>
        <v>RIKEP</v>
      </c>
      <c r="F435" s="222" t="str">
        <f>IFERROR(__xludf.DUMMYFUNCTION("""COMPUTED_VALUE"""),"KIJ")</f>
        <v>KIJ</v>
      </c>
      <c r="G435" s="222" t="str">
        <f>IFERROR(__xludf.DUMMYFUNCTION("""COMPUTED_VALUE"""),"SUMBAGTENG")</f>
        <v>SUMBAGTENG</v>
      </c>
      <c r="H435" s="222" t="str">
        <f>IFERROR(__xludf.DUMMYFUNCTION("""COMPUTED_VALUE"""),"BATAM")</f>
        <v>BATAM</v>
      </c>
      <c r="I435" s="222" t="str">
        <f>IFERROR(__xludf.DUMMYFUNCTION("""COMPUTED_VALUE"""),"Batch 2")</f>
        <v>Batch 2</v>
      </c>
      <c r="J435" s="225">
        <f>IFERROR(__xludf.DUMMYFUNCTION("""COMPUTED_VALUE"""),9.0)</f>
        <v>9</v>
      </c>
      <c r="K435" s="224">
        <f>IFERROR(__xludf.DUMMYFUNCTION("""COMPUTED_VALUE"""),72.0)</f>
        <v>72</v>
      </c>
      <c r="L435" s="226">
        <f>IFERROR(__xludf.DUMMYFUNCTION("""COMPUTED_VALUE"""),1285725.0)</f>
        <v>1285725</v>
      </c>
      <c r="M435" s="227">
        <f>IFERROR(__xludf.DUMMYFUNCTION("""COMPUTED_VALUE"""),9.2572169E7)</f>
        <v>92572169</v>
      </c>
      <c r="N435" s="222" t="str">
        <f>IFERROR(__xludf.DUMMYFUNCTION("""COMPUTED_VALUE"""),"PT SALTTEK DUMPANG JAYA")</f>
        <v>PT SALTTEK DUMPANG JAYA</v>
      </c>
      <c r="O435" s="222" t="str">
        <f>IFERROR(__xludf.DUMMYFUNCTION("""COMPUTED_VALUE"""),"4. MATDEL")</f>
        <v>4. MATDEL</v>
      </c>
      <c r="P435" s="222" t="str">
        <f>IFERROR(__xludf.DUMMYFUNCTION("""COMPUTED_VALUE"""),"4.3 Proses Kirim Mateial Kelokasi")</f>
        <v>4.3 Proses Kirim Mateial Kelokasi</v>
      </c>
      <c r="Q435" s="222" t="str">
        <f>IFERROR(__xludf.DUMMYFUNCTION("""COMPUTED_VALUE"""),"24/04 Redesign jalur karena tuan tanah menolak di lahan nya di tanam tiang baru, sudah confirm jalur baru ke TSEL namun belum ada balasan, redesign TIF OK.
20/04 Ada kendala izin tanam tiang oleh tuan tanah, plan redesign hari ini. 
17/04 tim mitra serial"&amp;", plan progres di awal minggu depan. 15/04 Tim Mitra Serial Plan installasi tgl 24 apr, Plan GL 30 Apr.30/03 tim MP Serial menunggu LOP lain selesai.  27/03 MP mitra cuma ada 1 serial masih mengerjakan LOP lain / tematik lain. 05/03 MP serial masih menger"&amp;"jakan LOP lain. 25/02 MP serial, mengerjakan LOP lain yang izin nya di minta cepat oleh RT. 16/02 plan req material . 12/02 Plan Progres 18 Feb 2026, komitmen FI tanggal 21 Feb 2026.  04/02 Izin OK, Feeder OK. 28/01 Anwijzing OK, proses perizinan 30 Jan. "&amp;"21/02 Plan survey dalam minggu ini 25 jan 2026
05/03 Proses perizinan tanam tiang di lokasi ke pihak warga yang rumah nya terdapat titik utk pemasangan tianga")</f>
        <v>24/04 Redesign jalur karena tuan tanah menolak di lahan nya di tanam tiang baru, sudah confirm jalur baru ke TSEL namun belum ada balasan, redesign TIF OK.
20/04 Ada kendala izin tanam tiang oleh tuan tanah, plan redesign hari ini. 
17/04 tim mitra serial, plan progres di awal minggu depan. 15/04 Tim Mitra Serial Plan installasi tgl 24 apr, Plan GL 30 Apr.30/03 tim MP Serial menunggu LOP lain selesai.  27/03 MP mitra cuma ada 1 serial masih mengerjakan LOP lain / tematik lain. 05/03 MP serial masih mengerjakan LOP lain. 25/02 MP serial, mengerjakan LOP lain yang izin nya di minta cepat oleh RT. 16/02 plan req material . 12/02 Plan Progres 18 Feb 2026, komitmen FI tanggal 21 Feb 2026.  04/02 Izin OK, Feeder OK. 28/01 Anwijzing OK, proses perizinan 30 Jan. 21/02 Plan survey dalam minggu ini 25 jan 2026
05/03 Proses perizinan tanam tiang di lokasi ke pihak warga yang rumah nya terdapat titik utk pemasangan tianga</v>
      </c>
      <c r="R435" s="228">
        <f>IFERROR(__xludf.DUMMYFUNCTION("""COMPUTED_VALUE"""),46141.0)</f>
        <v>46141</v>
      </c>
      <c r="S435" s="11" t="str">
        <f>IFERROR(__xludf.DUMMYFUNCTION("""COMPUTED_VALUE"""),"APR")</f>
        <v>APR</v>
      </c>
      <c r="T435" s="73"/>
      <c r="U435" s="11" t="str">
        <f>IFERROR(__xludf.DUMMYFUNCTION("""COMPUTED_VALUE"""),"W09-145/2026")</f>
        <v>W09-145/2026</v>
      </c>
      <c r="V435" s="229" t="str">
        <f>IFERROR(__xludf.DUMMYFUNCTION("""COMPUTED_VALUE"""),"DEDY IRAWAN")</f>
        <v>DEDY IRAWAN</v>
      </c>
      <c r="W435" s="229" t="str">
        <f>IFERROR(__xludf.DUMMYFUNCTION("""COMPUTED_VALUE"""),"LEVITA INDRIYANI")</f>
        <v>LEVITA INDRIYANI</v>
      </c>
      <c r="X435" s="229" t="str">
        <f>IFERROR(__xludf.DUMMYFUNCTION("""COMPUTED_VALUE"""),"BELUM GOLIVE")</f>
        <v>BELUM GOLIVE</v>
      </c>
      <c r="Y435" s="229"/>
      <c r="Z435" s="229" t="str">
        <f>IFERROR(__xludf.DUMMYFUNCTION("""COMPUTED_VALUE"""),"#N/A")</f>
        <v>#N/A</v>
      </c>
      <c r="AA435" s="229"/>
      <c r="AB435" s="229"/>
      <c r="AC435" s="229"/>
      <c r="AD435" s="232"/>
      <c r="AE435" s="233"/>
      <c r="AF435" s="54"/>
      <c r="AG435" s="54"/>
      <c r="AH435" s="54">
        <v>46142.0</v>
      </c>
      <c r="AI435" s="55">
        <f>AH435-TODAY()</f>
        <v>2</v>
      </c>
      <c r="AJ435" s="229" t="str">
        <f>if(AI435&gt;=0,"In Komitmen","Out Komitmen")</f>
        <v>In Komitmen</v>
      </c>
      <c r="AK435" s="231" t="s">
        <v>199</v>
      </c>
      <c r="AW435" s="234"/>
      <c r="BP435" s="11"/>
      <c r="BQ435" s="11"/>
      <c r="BR435" s="235"/>
      <c r="BV435" s="158"/>
      <c r="BY435" s="158"/>
      <c r="CB435" s="158"/>
    </row>
    <row r="436" ht="18.0" hidden="1" customHeight="1">
      <c r="A436" s="222">
        <f>IFERROR(__xludf.DUMMYFUNCTION("""COMPUTED_VALUE"""),2026.0)</f>
        <v>2026</v>
      </c>
      <c r="B436" s="221">
        <f>IFERROR(__xludf.DUMMYFUNCTION("""COMPUTED_VALUE"""),1.1140541E7)</f>
        <v>11140541</v>
      </c>
      <c r="C436" s="222" t="str">
        <f>IFERROR(__xludf.DUMMYFUNCTION("""COMPUTED_VALUE"""),"MDN PT3 STB-FF JL.PASAR 2 STABAT")</f>
        <v>MDN PT3 STB-FF JL.PASAR 2 STABAT</v>
      </c>
      <c r="D436" s="222" t="str">
        <f>IFERROR(__xludf.DUMMYFUNCTION("""COMPUTED_VALUE"""),"REGIONAL I")</f>
        <v>REGIONAL I</v>
      </c>
      <c r="E436" s="222" t="str">
        <f>IFERROR(__xludf.DUMMYFUNCTION("""COMPUTED_VALUE"""),"MEDAN")</f>
        <v>MEDAN</v>
      </c>
      <c r="F436" s="222" t="str">
        <f>IFERROR(__xludf.DUMMYFUNCTION("""COMPUTED_VALUE"""),"STB")</f>
        <v>STB</v>
      </c>
      <c r="G436" s="222" t="str">
        <f>IFERROR(__xludf.DUMMYFUNCTION("""COMPUTED_VALUE"""),"SUMBAGUT")</f>
        <v>SUMBAGUT</v>
      </c>
      <c r="H436" s="222" t="str">
        <f>IFERROR(__xludf.DUMMYFUNCTION("""COMPUTED_VALUE"""),"BINJAI")</f>
        <v>BINJAI</v>
      </c>
      <c r="I436" s="222" t="str">
        <f>IFERROR(__xludf.DUMMYFUNCTION("""COMPUTED_VALUE"""),"Batch 2")</f>
        <v>Batch 2</v>
      </c>
      <c r="J436" s="225">
        <f>IFERROR(__xludf.DUMMYFUNCTION("""COMPUTED_VALUE"""),15.0)</f>
        <v>15</v>
      </c>
      <c r="K436" s="224">
        <f>IFERROR(__xludf.DUMMYFUNCTION("""COMPUTED_VALUE"""),120.0)</f>
        <v>120</v>
      </c>
      <c r="L436" s="226">
        <f>IFERROR(__xludf.DUMMYFUNCTION("""COMPUTED_VALUE"""),1284465.0)</f>
        <v>1284465</v>
      </c>
      <c r="M436" s="227">
        <f>IFERROR(__xludf.DUMMYFUNCTION("""COMPUTED_VALUE"""),1.54135689E8)</f>
        <v>154135689</v>
      </c>
      <c r="N436" s="222" t="str">
        <f>IFERROR(__xludf.DUMMYFUNCTION("""COMPUTED_VALUE"""),"PT FIBERHOME TECHNOLOGIES INDONESIA")</f>
        <v>PT FIBERHOME TECHNOLOGIES INDONESIA</v>
      </c>
      <c r="O436" s="222" t="str">
        <f>IFERROR(__xludf.DUMMYFUNCTION("""COMPUTED_VALUE"""),"0. DROP")</f>
        <v>0. DROP</v>
      </c>
      <c r="P436" s="222" t="str">
        <f>IFERROR(__xludf.DUMMYFUNCTION("""COMPUTED_VALUE"""),"0.4 CPP Tinggi Acc ED TIF")</f>
        <v>0.4 CPP Tinggi Acc ED TIF</v>
      </c>
      <c r="Q436" s="222" t="str">
        <f>IFERROR(__xludf.DUMMYFUNCTION("""COMPUTED_VALUE"""),"(07/01) Persiapan")</f>
        <v>(07/01) Persiapan</v>
      </c>
      <c r="R436" s="228"/>
      <c r="S436" s="11"/>
      <c r="T436" s="11"/>
      <c r="U436" s="11"/>
      <c r="V436" s="229"/>
      <c r="W436" s="229"/>
      <c r="X436" s="229" t="str">
        <f>IFERROR(__xludf.DUMMYFUNCTION("""COMPUTED_VALUE"""),"BELUM GOLIVE")</f>
        <v>BELUM GOLIVE</v>
      </c>
      <c r="Y436" s="229"/>
      <c r="Z436" s="229" t="str">
        <f>IFERROR(__xludf.DUMMYFUNCTION("""COMPUTED_VALUE"""),"#N/A")</f>
        <v>#N/A</v>
      </c>
      <c r="AA436" s="229"/>
      <c r="AB436" s="229"/>
      <c r="AC436" s="229"/>
      <c r="AD436" s="232"/>
      <c r="AE436" s="233"/>
      <c r="AF436" s="54" t="str">
        <f>IFERROR(__xludf.DUMMYFUNCTION("""COMPUTED_VALUE"""),"Draft BA DROP")</f>
        <v>Draft BA DROP</v>
      </c>
      <c r="AG436" s="54"/>
      <c r="AH436" s="54"/>
      <c r="AI436" s="55" t="str">
        <f t="shared" ref="AI436:AI439" si="57">IF(OR(R436="",AE436=""),"",R436-AE436)</f>
        <v/>
      </c>
      <c r="AW436" s="234"/>
      <c r="BP436" s="11"/>
      <c r="BQ436" s="11"/>
      <c r="BR436" s="235"/>
      <c r="BV436" s="158"/>
      <c r="BY436" s="158"/>
      <c r="CB436" s="158"/>
    </row>
    <row r="437" ht="18.0" hidden="1" customHeight="1">
      <c r="A437" s="222">
        <f>IFERROR(__xludf.DUMMYFUNCTION("""COMPUTED_VALUE"""),2026.0)</f>
        <v>2026</v>
      </c>
      <c r="B437" s="221">
        <f>IFERROR(__xludf.DUMMYFUNCTION("""COMPUTED_VALUE"""),1.1272109E7)</f>
        <v>11272109</v>
      </c>
      <c r="C437" s="222" t="str">
        <f>IFERROR(__xludf.DUMMYFUNCTION("""COMPUTED_VALUE"""),"MDN PT3 P1I1 TMU-FAB JL.PEMBANGUNAN")</f>
        <v>MDN PT3 P1I1 TMU-FAB JL.PEMBANGUNAN</v>
      </c>
      <c r="D437" s="222" t="str">
        <f>IFERROR(__xludf.DUMMYFUNCTION("""COMPUTED_VALUE"""),"REGIONAL I")</f>
        <v>REGIONAL I</v>
      </c>
      <c r="E437" s="222" t="str">
        <f>IFERROR(__xludf.DUMMYFUNCTION("""COMPUTED_VALUE"""),"MEDAN")</f>
        <v>MEDAN</v>
      </c>
      <c r="F437" s="222" t="str">
        <f>IFERROR(__xludf.DUMMYFUNCTION("""COMPUTED_VALUE"""),"TMU")</f>
        <v>TMU</v>
      </c>
      <c r="G437" s="222" t="str">
        <f>IFERROR(__xludf.DUMMYFUNCTION("""COMPUTED_VALUE"""),"SUMBAGUT")</f>
        <v>SUMBAGUT</v>
      </c>
      <c r="H437" s="222" t="str">
        <f>IFERROR(__xludf.DUMMYFUNCTION("""COMPUTED_VALUE"""),"MEDAN")</f>
        <v>MEDAN</v>
      </c>
      <c r="I437" s="222" t="str">
        <f>IFERROR(__xludf.DUMMYFUNCTION("""COMPUTED_VALUE"""),"Batch 2")</f>
        <v>Batch 2</v>
      </c>
      <c r="J437" s="225">
        <f>IFERROR(__xludf.DUMMYFUNCTION("""COMPUTED_VALUE"""),4.0)</f>
        <v>4</v>
      </c>
      <c r="K437" s="224">
        <f>IFERROR(__xludf.DUMMYFUNCTION("""COMPUTED_VALUE"""),32.0)</f>
        <v>32</v>
      </c>
      <c r="L437" s="226">
        <f>IFERROR(__xludf.DUMMYFUNCTION("""COMPUTED_VALUE"""),798626.0)</f>
        <v>798626</v>
      </c>
      <c r="M437" s="227">
        <f>IFERROR(__xludf.DUMMYFUNCTION("""COMPUTED_VALUE"""),2.5556027E7)</f>
        <v>25556027</v>
      </c>
      <c r="N437" s="222" t="str">
        <f>IFERROR(__xludf.DUMMYFUNCTION("""COMPUTED_VALUE"""),"PT DUL JAYA TAMA")</f>
        <v>PT DUL JAYA TAMA</v>
      </c>
      <c r="O437" s="222" t="str">
        <f>IFERROR(__xludf.DUMMYFUNCTION("""COMPUTED_VALUE"""),"0. DROP")</f>
        <v>0. DROP</v>
      </c>
      <c r="P437" s="222" t="str">
        <f>IFERROR(__xludf.DUMMYFUNCTION("""COMPUTED_VALUE"""),"0.3 Feeder Full")</f>
        <v>0.3 Feeder Full</v>
      </c>
      <c r="Q437" s="222" t="str">
        <f>IFERROR(__xludf.DUMMYFUNCTION("""COMPUTED_VALUE"""),"21/04 feeder full depedensi MDN PT4 TMU-FAB ODP PRIORITAS high cpp
13/02 menunggu LoP MDN PT4 TMU-FAB ODP PRIORITAS 02/02 Feeder Tidak Tembus")</f>
        <v>21/04 feeder full depedensi MDN PT4 TMU-FAB ODP PRIORITAS high cpp
13/02 menunggu LoP MDN PT4 TMU-FAB ODP PRIORITAS 02/02 Feeder Tidak Tembus</v>
      </c>
      <c r="R437" s="228"/>
      <c r="S437" s="11"/>
      <c r="T437" s="11"/>
      <c r="U437" s="11"/>
      <c r="V437" s="229"/>
      <c r="W437" s="229"/>
      <c r="X437" s="229" t="str">
        <f>IFERROR(__xludf.DUMMYFUNCTION("""COMPUTED_VALUE"""),"BELUM GOLIVE")</f>
        <v>BELUM GOLIVE</v>
      </c>
      <c r="Y437" s="229"/>
      <c r="Z437" s="229" t="str">
        <f>IFERROR(__xludf.DUMMYFUNCTION("""COMPUTED_VALUE"""),"#N/A")</f>
        <v>#N/A</v>
      </c>
      <c r="AA437" s="229"/>
      <c r="AB437" s="229"/>
      <c r="AC437" s="229"/>
      <c r="AD437" s="232"/>
      <c r="AE437" s="233"/>
      <c r="AF437" s="54"/>
      <c r="AG437" s="54"/>
      <c r="AH437" s="54"/>
      <c r="AI437" s="55" t="str">
        <f t="shared" si="57"/>
        <v/>
      </c>
      <c r="AW437" s="234"/>
      <c r="BP437" s="11"/>
      <c r="BQ437" s="11"/>
      <c r="BR437" s="235"/>
      <c r="BV437" s="158"/>
      <c r="BY437" s="158"/>
      <c r="CB437" s="158"/>
    </row>
    <row r="438" ht="18.0" hidden="1" customHeight="1">
      <c r="A438" s="222">
        <f>IFERROR(__xludf.DUMMYFUNCTION("""COMPUTED_VALUE"""),2026.0)</f>
        <v>2026</v>
      </c>
      <c r="B438" s="221">
        <f>IFERROR(__xludf.DUMMYFUNCTION("""COMPUTED_VALUE"""),1.127236E7)</f>
        <v>11272360</v>
      </c>
      <c r="C438" s="222" t="str">
        <f>IFERROR(__xludf.DUMMYFUNCTION("""COMPUTED_VALUE"""),"MDN PT3 P1I1 STB-FAB JL.KOTA DATAR")</f>
        <v>MDN PT3 P1I1 STB-FAB JL.KOTA DATAR</v>
      </c>
      <c r="D438" s="222" t="str">
        <f>IFERROR(__xludf.DUMMYFUNCTION("""COMPUTED_VALUE"""),"REGIONAL I")</f>
        <v>REGIONAL I</v>
      </c>
      <c r="E438" s="222" t="str">
        <f>IFERROR(__xludf.DUMMYFUNCTION("""COMPUTED_VALUE"""),"MEDAN")</f>
        <v>MEDAN</v>
      </c>
      <c r="F438" s="222" t="str">
        <f>IFERROR(__xludf.DUMMYFUNCTION("""COMPUTED_VALUE"""),"STB")</f>
        <v>STB</v>
      </c>
      <c r="G438" s="222" t="str">
        <f>IFERROR(__xludf.DUMMYFUNCTION("""COMPUTED_VALUE"""),"SUMBAGUT")</f>
        <v>SUMBAGUT</v>
      </c>
      <c r="H438" s="222" t="str">
        <f>IFERROR(__xludf.DUMMYFUNCTION("""COMPUTED_VALUE"""),"BINJAI")</f>
        <v>BINJAI</v>
      </c>
      <c r="I438" s="222" t="str">
        <f>IFERROR(__xludf.DUMMYFUNCTION("""COMPUTED_VALUE"""),"Batch 2")</f>
        <v>Batch 2</v>
      </c>
      <c r="J438" s="225">
        <f>IFERROR(__xludf.DUMMYFUNCTION("""COMPUTED_VALUE"""),21.0)</f>
        <v>21</v>
      </c>
      <c r="K438" s="224">
        <f>IFERROR(__xludf.DUMMYFUNCTION("""COMPUTED_VALUE"""),168.0)</f>
        <v>168</v>
      </c>
      <c r="L438" s="226">
        <f>IFERROR(__xludf.DUMMYFUNCTION("""COMPUTED_VALUE"""),1534386.0)</f>
        <v>1534386</v>
      </c>
      <c r="M438" s="227">
        <f>IFERROR(__xludf.DUMMYFUNCTION("""COMPUTED_VALUE"""),2.57776817E8)</f>
        <v>257776817</v>
      </c>
      <c r="N438" s="222" t="str">
        <f>IFERROR(__xludf.DUMMYFUNCTION("""COMPUTED_VALUE"""),"PT M JUSUF AND SONS")</f>
        <v>PT M JUSUF AND SONS</v>
      </c>
      <c r="O438" s="222" t="str">
        <f>IFERROR(__xludf.DUMMYFUNCTION("""COMPUTED_VALUE"""),"0. DROP")</f>
        <v>0. DROP</v>
      </c>
      <c r="P438" s="222" t="str">
        <f>IFERROR(__xludf.DUMMYFUNCTION("""COMPUTED_VALUE"""),"0.4 CPP Tinggi Acc ED TIF")</f>
        <v>0.4 CPP Tinggi Acc ED TIF</v>
      </c>
      <c r="Q438" s="222" t="str">
        <f>IFERROR(__xludf.DUMMYFUNCTION("""COMPUTED_VALUE"""),"(07/01) Persiapan
19/09 pengecekan core idle feeder redting")</f>
        <v>(07/01) Persiapan
19/09 pengecekan core idle feeder redting</v>
      </c>
      <c r="R438" s="228"/>
      <c r="S438" s="11"/>
      <c r="T438" s="11"/>
      <c r="U438" s="11"/>
      <c r="V438" s="229"/>
      <c r="W438" s="229"/>
      <c r="X438" s="229" t="str">
        <f>IFERROR(__xludf.DUMMYFUNCTION("""COMPUTED_VALUE"""),"BELUM GOLIVE")</f>
        <v>BELUM GOLIVE</v>
      </c>
      <c r="Y438" s="229"/>
      <c r="Z438" s="229" t="str">
        <f>IFERROR(__xludf.DUMMYFUNCTION("""COMPUTED_VALUE"""),"#N/A")</f>
        <v>#N/A</v>
      </c>
      <c r="AA438" s="229"/>
      <c r="AB438" s="229"/>
      <c r="AC438" s="229"/>
      <c r="AD438" s="232"/>
      <c r="AE438" s="233"/>
      <c r="AF438" s="54" t="str">
        <f>IFERROR(__xludf.DUMMYFUNCTION("""COMPUTED_VALUE"""),"Draft BA DROP")</f>
        <v>Draft BA DROP</v>
      </c>
      <c r="AG438" s="54"/>
      <c r="AH438" s="54"/>
      <c r="AI438" s="55" t="str">
        <f t="shared" si="57"/>
        <v/>
      </c>
      <c r="AW438" s="234"/>
      <c r="BP438" s="11"/>
      <c r="BQ438" s="11"/>
      <c r="BR438" s="235"/>
      <c r="BV438" s="158"/>
      <c r="BY438" s="158"/>
      <c r="CB438" s="158"/>
    </row>
    <row r="439" ht="18.0" customHeight="1">
      <c r="A439" s="222">
        <f>IFERROR(__xludf.DUMMYFUNCTION("""COMPUTED_VALUE"""),2026.0)</f>
        <v>2026</v>
      </c>
      <c r="B439" s="221">
        <f>IFERROR(__xludf.DUMMYFUNCTION("""COMPUTED_VALUE"""),1.0754255E7)</f>
        <v>10754255</v>
      </c>
      <c r="C439" s="222" t="str">
        <f>IFERROR(__xludf.DUMMYFUNCTION("""COMPUTED_VALUE"""),"SMB P4I1 SCATTER NAGARI SUNGAI SARIAK")</f>
        <v>SMB P4I1 SCATTER NAGARI SUNGAI SARIAK</v>
      </c>
      <c r="D439" s="222" t="str">
        <f>IFERROR(__xludf.DUMMYFUNCTION("""COMPUTED_VALUE"""),"REGIONAL I")</f>
        <v>REGIONAL I</v>
      </c>
      <c r="E439" s="222" t="str">
        <f>IFERROR(__xludf.DUMMYFUNCTION("""COMPUTED_VALUE"""),"SUMBAR")</f>
        <v>SUMBAR</v>
      </c>
      <c r="F439" s="222" t="str">
        <f>IFERROR(__xludf.DUMMYFUNCTION("""COMPUTED_VALUE"""),"SCC")</f>
        <v>SCC</v>
      </c>
      <c r="G439" s="222" t="str">
        <f>IFERROR(__xludf.DUMMYFUNCTION("""COMPUTED_VALUE"""),"SUMBAGTENG")</f>
        <v>SUMBAGTENG</v>
      </c>
      <c r="H439" s="222" t="str">
        <f>IFERROR(__xludf.DUMMYFUNCTION("""COMPUTED_VALUE"""),"BUKIT TINGGI")</f>
        <v>BUKIT TINGGI</v>
      </c>
      <c r="I439" s="222" t="str">
        <f>IFERROR(__xludf.DUMMYFUNCTION("""COMPUTED_VALUE"""),"Batch 2")</f>
        <v>Batch 2</v>
      </c>
      <c r="J439" s="225">
        <f>IFERROR(__xludf.DUMMYFUNCTION("""COMPUTED_VALUE"""),7.0)</f>
        <v>7</v>
      </c>
      <c r="K439" s="224">
        <f>IFERROR(__xludf.DUMMYFUNCTION("""COMPUTED_VALUE"""),56.0)</f>
        <v>56</v>
      </c>
      <c r="L439" s="226">
        <f>IFERROR(__xludf.DUMMYFUNCTION("""COMPUTED_VALUE"""),1283924.0)</f>
        <v>1283924</v>
      </c>
      <c r="M439" s="227">
        <f>IFERROR(__xludf.DUMMYFUNCTION("""COMPUTED_VALUE"""),7.1899705E7)</f>
        <v>71899705</v>
      </c>
      <c r="N439" s="222" t="str">
        <f>IFERROR(__xludf.DUMMYFUNCTION("""COMPUTED_VALUE"""),"PT PUTRI JAYA AKSES")</f>
        <v>PT PUTRI JAYA AKSES</v>
      </c>
      <c r="O439" s="222" t="str">
        <f>IFERROR(__xludf.DUMMYFUNCTION("""COMPUTED_VALUE"""),"8. UJI TERIMA")</f>
        <v>8. UJI TERIMA</v>
      </c>
      <c r="P439" s="222" t="str">
        <f>IFERROR(__xludf.DUMMYFUNCTION("""COMPUTED_VALUE"""),"8.1 Proses UT")</f>
        <v>8.1 Proses UT</v>
      </c>
      <c r="Q439" s="222" t="str">
        <f>IFERROR(__xludf.DUMMYFUNCTION("""COMPUTED_VALUE"""),"(08/01) Perizinan")</f>
        <v>(08/01) Perizinan</v>
      </c>
      <c r="R439" s="228"/>
      <c r="S439" s="11"/>
      <c r="T439" s="11"/>
      <c r="U439" s="11" t="str">
        <f>IFERROR(__xludf.DUMMYFUNCTION("""COMPUTED_VALUE"""),"W10-1777/2025 25KT03R158-0539")</f>
        <v>W10-1777/2025 25KT03R158-0539</v>
      </c>
      <c r="V439" s="229" t="str">
        <f>IFERROR(__xludf.DUMMYFUNCTION("""COMPUTED_VALUE"""),"JANUAR RIZAL")</f>
        <v>JANUAR RIZAL</v>
      </c>
      <c r="W439" s="229" t="str">
        <f>IFERROR(__xludf.DUMMYFUNCTION("""COMPUTED_VALUE"""),"MELKO NARWADI")</f>
        <v>MELKO NARWADI</v>
      </c>
      <c r="X439" s="229" t="str">
        <f>IFERROR(__xludf.DUMMYFUNCTION("""COMPUTED_VALUE"""),"GOLIVE")</f>
        <v>GOLIVE</v>
      </c>
      <c r="Y439" s="229" t="str">
        <f>IFERROR(__xludf.DUMMYFUNCTION("""COMPUTED_VALUE"""),"DONE")</f>
        <v>DONE</v>
      </c>
      <c r="Z439" s="229" t="str">
        <f>IFERROR(__xludf.DUMMYFUNCTION("""COMPUTED_VALUE"""),"#N/A")</f>
        <v>#N/A</v>
      </c>
      <c r="AA439" s="229">
        <f>IFERROR(__xludf.DUMMYFUNCTION("""COMPUTED_VALUE"""),5.0)</f>
        <v>5</v>
      </c>
      <c r="AB439" s="229"/>
      <c r="AC439" s="229" t="str">
        <f>IFERROR(__xludf.DUMMYFUNCTION("""COMPUTED_VALUE"""),"8933187#8933192")</f>
        <v>8933187#8933192</v>
      </c>
      <c r="AD439" s="232">
        <f>IFERROR(__xludf.DUMMYFUNCTION("""COMPUTED_VALUE"""),40.0)</f>
        <v>40</v>
      </c>
      <c r="AE439" s="233">
        <f>IFERROR(__xludf.DUMMYFUNCTION("""COMPUTED_VALUE"""),46030.0)</f>
        <v>46030</v>
      </c>
      <c r="AF439" s="54"/>
      <c r="AG439" s="54"/>
      <c r="AH439" s="54"/>
      <c r="AI439" s="55" t="str">
        <f t="shared" si="57"/>
        <v/>
      </c>
      <c r="AW439" s="234"/>
      <c r="BP439" s="11"/>
      <c r="BQ439" s="11"/>
      <c r="BR439" s="235"/>
      <c r="BV439" s="158"/>
      <c r="BY439" s="158"/>
      <c r="CB439" s="158"/>
    </row>
    <row r="440" ht="18.0" customHeight="1">
      <c r="A440" s="222">
        <f>IFERROR(__xludf.DUMMYFUNCTION("""COMPUTED_VALUE"""),2026.0)</f>
        <v>2026</v>
      </c>
      <c r="B440" s="221">
        <f>IFERROR(__xludf.DUMMYFUNCTION("""COMPUTED_VALUE"""),1.1454674E7)</f>
        <v>11454674</v>
      </c>
      <c r="C440" s="222" t="str">
        <f>IFERROR(__xludf.DUMMYFUNCTION("""COMPUTED_VALUE"""),"RKP PT3 TSEL TBK-FZ NICOLIA KARIMUN")</f>
        <v>RKP PT3 TSEL TBK-FZ NICOLIA KARIMUN</v>
      </c>
      <c r="D440" s="222" t="str">
        <f>IFERROR(__xludf.DUMMYFUNCTION("""COMPUTED_VALUE"""),"REGIONAL I")</f>
        <v>REGIONAL I</v>
      </c>
      <c r="E440" s="222" t="str">
        <f>IFERROR(__xludf.DUMMYFUNCTION("""COMPUTED_VALUE"""),"RIKEP")</f>
        <v>RIKEP</v>
      </c>
      <c r="F440" s="222" t="str">
        <f>IFERROR(__xludf.DUMMYFUNCTION("""COMPUTED_VALUE"""),"TBK")</f>
        <v>TBK</v>
      </c>
      <c r="G440" s="222" t="str">
        <f>IFERROR(__xludf.DUMMYFUNCTION("""COMPUTED_VALUE"""),"SUMBAGTENG")</f>
        <v>SUMBAGTENG</v>
      </c>
      <c r="H440" s="222" t="str">
        <f>IFERROR(__xludf.DUMMYFUNCTION("""COMPUTED_VALUE"""),"BATAM")</f>
        <v>BATAM</v>
      </c>
      <c r="I440" s="222" t="str">
        <f>IFERROR(__xludf.DUMMYFUNCTION("""COMPUTED_VALUE"""),"Batch 2")</f>
        <v>Batch 2</v>
      </c>
      <c r="J440" s="225">
        <f>IFERROR(__xludf.DUMMYFUNCTION("""COMPUTED_VALUE"""),4.0)</f>
        <v>4</v>
      </c>
      <c r="K440" s="224">
        <f>IFERROR(__xludf.DUMMYFUNCTION("""COMPUTED_VALUE"""),32.0)</f>
        <v>32</v>
      </c>
      <c r="L440" s="226">
        <f>IFERROR(__xludf.DUMMYFUNCTION("""COMPUTED_VALUE"""),1283079.0)</f>
        <v>1283079</v>
      </c>
      <c r="M440" s="227">
        <f>IFERROR(__xludf.DUMMYFUNCTION("""COMPUTED_VALUE"""),4.1058507E7)</f>
        <v>41058507</v>
      </c>
      <c r="N440" s="222" t="str">
        <f>IFERROR(__xludf.DUMMYFUNCTION("""COMPUTED_VALUE"""),"PT DWI MITRA JAYA UTAMA")</f>
        <v>PT DWI MITRA JAYA UTAMA</v>
      </c>
      <c r="O440" s="222" t="str">
        <f>IFERROR(__xludf.DUMMYFUNCTION("""COMPUTED_VALUE"""),"7. GOLIVE")</f>
        <v>7. GOLIVE</v>
      </c>
      <c r="P440" s="222" t="str">
        <f>IFERROR(__xludf.DUMMYFUNCTION("""COMPUTED_VALUE"""),"7.2 Golive Full / OA / DONE OTB")</f>
        <v>7.2 Golive Full / OA / DONE OTB</v>
      </c>
      <c r="Q440" s="222" t="str">
        <f>IFERROR(__xludf.DUMMYFUNCTION("""COMPUTED_VALUE"""),"10/03 Proses valins. 09/03 Terminasi ODP. 
03/03 Penanaman tiang. 18/02 Izin di FU kembali tapi kantor developer masih tutup imlek. 16/02 developer meminta untuk perizinan ke kantor batam. 09/02 FU kembali izin besok 10 Feb karena PIC sedang fokus install"&amp;"asi. 28/01 Plan survey tanggal 29 Jan.  21/01 plan anwijzing 26 jan, peralihan mitra")</f>
        <v>10/03 Proses valins. 09/03 Terminasi ODP. 
03/03 Penanaman tiang. 18/02 Izin di FU kembali tapi kantor developer masih tutup imlek. 16/02 developer meminta untuk perizinan ke kantor batam. 09/02 FU kembali izin besok 10 Feb karena PIC sedang fokus installasi. 28/01 Plan survey tanggal 29 Jan.  21/01 plan anwijzing 26 jan, peralihan mitra</v>
      </c>
      <c r="R440" s="228">
        <f>IFERROR(__xludf.DUMMYFUNCTION("""COMPUTED_VALUE"""),46111.0)</f>
        <v>46111</v>
      </c>
      <c r="S440" s="11"/>
      <c r="T440" s="11"/>
      <c r="U440" s="11" t="str">
        <f>IFERROR(__xludf.DUMMYFUNCTION("""COMPUTED_VALUE"""),"W09-216/2026")</f>
        <v>W09-216/2026</v>
      </c>
      <c r="V440" s="229" t="str">
        <f>IFERROR(__xludf.DUMMYFUNCTION("""COMPUTED_VALUE"""),"MOHAMMAD FAUZY")</f>
        <v>MOHAMMAD FAUZY</v>
      </c>
      <c r="W440" s="229" t="str">
        <f>IFERROR(__xludf.DUMMYFUNCTION("""COMPUTED_VALUE"""),"LEVITA INDRIYANI")</f>
        <v>LEVITA INDRIYANI</v>
      </c>
      <c r="X440" s="229" t="str">
        <f>IFERROR(__xludf.DUMMYFUNCTION("""COMPUTED_VALUE"""),"GOLIVE")</f>
        <v>GOLIVE</v>
      </c>
      <c r="Y440" s="229" t="str">
        <f>IFERROR(__xludf.DUMMYFUNCTION("""COMPUTED_VALUE"""),"DONE")</f>
        <v>DONE</v>
      </c>
      <c r="Z440" s="229" t="str">
        <f>IFERROR(__xludf.DUMMYFUNCTION("""COMPUTED_VALUE"""),"#N/A")</f>
        <v>#N/A</v>
      </c>
      <c r="AA440" s="229">
        <f>IFERROR(__xludf.DUMMYFUNCTION("""COMPUTED_VALUE"""),4.0)</f>
        <v>4</v>
      </c>
      <c r="AB440" s="229"/>
      <c r="AC440" s="229" t="str">
        <f>IFERROR(__xludf.DUMMYFUNCTION("""COMPUTED_VALUE"""),"9197522#9197527")</f>
        <v>9197522#9197527</v>
      </c>
      <c r="AD440" s="232">
        <f>IFERROR(__xludf.DUMMYFUNCTION("""COMPUTED_VALUE"""),32.0)</f>
        <v>32</v>
      </c>
      <c r="AE440" s="233">
        <f>IFERROR(__xludf.DUMMYFUNCTION("""COMPUTED_VALUE"""),46093.0)</f>
        <v>46093</v>
      </c>
      <c r="AF440" s="54"/>
      <c r="AG440" s="54"/>
      <c r="AH440" s="54">
        <v>46111.0</v>
      </c>
      <c r="AI440" s="55">
        <f>IF(OR(AH440="",AE440=""),"",AH440-AE440)</f>
        <v>18</v>
      </c>
      <c r="AW440" s="234"/>
      <c r="BP440" s="11"/>
      <c r="BQ440" s="11"/>
      <c r="BR440" s="235"/>
      <c r="BV440" s="158"/>
      <c r="BY440" s="158"/>
      <c r="CB440" s="158"/>
    </row>
    <row r="441" ht="18.0" hidden="1" customHeight="1">
      <c r="A441" s="222">
        <f>IFERROR(__xludf.DUMMYFUNCTION("""COMPUTED_VALUE"""),2026.0)</f>
        <v>2026</v>
      </c>
      <c r="B441" s="221">
        <f>IFERROR(__xludf.DUMMYFUNCTION("""COMPUTED_VALUE"""),1.1861032E7)</f>
        <v>11861032</v>
      </c>
      <c r="C441" s="222" t="str">
        <f>IFERROR(__xludf.DUMMYFUNCTION("""COMPUTED_VALUE"""),"LPG PT3 JPP GUNUNG TERANG BATCH 2 KLA")</f>
        <v>LPG PT3 JPP GUNUNG TERANG BATCH 2 KLA</v>
      </c>
      <c r="D441" s="222" t="str">
        <f>IFERROR(__xludf.DUMMYFUNCTION("""COMPUTED_VALUE"""),"REGIONAL I")</f>
        <v>REGIONAL I</v>
      </c>
      <c r="E441" s="222" t="str">
        <f>IFERROR(__xludf.DUMMYFUNCTION("""COMPUTED_VALUE"""),"LAMPUNG")</f>
        <v>LAMPUNG</v>
      </c>
      <c r="F441" s="222" t="str">
        <f>IFERROR(__xludf.DUMMYFUNCTION("""COMPUTED_VALUE"""),"KLA")</f>
        <v>KLA</v>
      </c>
      <c r="G441" s="222" t="str">
        <f>IFERROR(__xludf.DUMMYFUNCTION("""COMPUTED_VALUE"""),"SUMBAGSEL")</f>
        <v>SUMBAGSEL</v>
      </c>
      <c r="H441" s="222" t="str">
        <f>IFERROR(__xludf.DUMMYFUNCTION("""COMPUTED_VALUE"""),"LAMPUNG")</f>
        <v>LAMPUNG</v>
      </c>
      <c r="I441" s="222" t="str">
        <f>IFERROR(__xludf.DUMMYFUNCTION("""COMPUTED_VALUE"""),"Batch 2")</f>
        <v>Batch 2</v>
      </c>
      <c r="J441" s="225">
        <f>IFERROR(__xludf.DUMMYFUNCTION("""COMPUTED_VALUE"""),7.0)</f>
        <v>7</v>
      </c>
      <c r="K441" s="224">
        <f>IFERROR(__xludf.DUMMYFUNCTION("""COMPUTED_VALUE"""),56.0)</f>
        <v>56</v>
      </c>
      <c r="L441" s="226">
        <f>IFERROR(__xludf.DUMMYFUNCTION("""COMPUTED_VALUE"""),1282994.0)</f>
        <v>1282994</v>
      </c>
      <c r="M441" s="227">
        <f>IFERROR(__xludf.DUMMYFUNCTION("""COMPUTED_VALUE"""),7.1847655E7)</f>
        <v>71847655</v>
      </c>
      <c r="N441" s="222" t="str">
        <f>IFERROR(__xludf.DUMMYFUNCTION("""COMPUTED_VALUE"""),"PT ACERO CETHA METALINDO")</f>
        <v>PT ACERO CETHA METALINDO</v>
      </c>
      <c r="O441" s="222" t="str">
        <f>IFERROR(__xludf.DUMMYFUNCTION("""COMPUTED_VALUE"""),"8. UJI TERIMA")</f>
        <v>8. UJI TERIMA</v>
      </c>
      <c r="P441" s="222" t="str">
        <f>IFERROR(__xludf.DUMMYFUNCTION("""COMPUTED_VALUE"""),"8.1 Proses UT")</f>
        <v>8.1 Proses UT</v>
      </c>
      <c r="Q441" s="222" t="str">
        <f>IFERROR(__xludf.DUMMYFUNCTION("""COMPUTED_VALUE"""),"20/2 progres jumper dan persiapan valin, plan golive 22/2 
18/2 terminasi - plan 20 FEB GoLIVE (11/2) proses penanaman tiang plan fi 14/2 plan abd+valins, kendala mobil mogok   (15/2) plan golive 16/2, 
9/2 prapare material 10/2,6/2 menungu aprove prelim "&amp;",matdel 10/2 
4/2 stok material kosong ,estimasi tiba 07/2 
23/1 plan matdel senin 26/1 menungu boq terupdate dan menungu pengajuan pid  
19/1 PLAN MATDEL """)</f>
        <v>20/2 progres jumper dan persiapan valin, plan golive 22/2 
18/2 terminasi - plan 20 FEB GoLIVE (11/2) proses penanaman tiang plan fi 14/2 plan abd+valins, kendala mobil mogok   (15/2) plan golive 16/2, 
9/2 prapare material 10/2,6/2 menungu aprove prelim ,matdel 10/2 
4/2 stok material kosong ,estimasi tiba 07/2 
23/1 plan matdel senin 26/1 menungu boq terupdate dan menungu pengajuan pid  
19/1 PLAN MATDEL "</v>
      </c>
      <c r="R441" s="228">
        <f>IFERROR(__xludf.DUMMYFUNCTION("""COMPUTED_VALUE"""),46075.0)</f>
        <v>46075</v>
      </c>
      <c r="S441" s="11"/>
      <c r="T441" s="11"/>
      <c r="U441" s="11" t="str">
        <f>IFERROR(__xludf.DUMMYFUNCTION("""COMPUTED_VALUE"""),"TIF-3286/2026")</f>
        <v>TIF-3286/2026</v>
      </c>
      <c r="V441" s="229"/>
      <c r="W441" s="229"/>
      <c r="X441" s="229" t="str">
        <f>IFERROR(__xludf.DUMMYFUNCTION("""COMPUTED_VALUE"""),"GOLIVE")</f>
        <v>GOLIVE</v>
      </c>
      <c r="Y441" s="229" t="str">
        <f>IFERROR(__xludf.DUMMYFUNCTION("""COMPUTED_VALUE"""),"DONE")</f>
        <v>DONE</v>
      </c>
      <c r="Z441" s="229" t="str">
        <f>IFERROR(__xludf.DUMMYFUNCTION("""COMPUTED_VALUE"""),"#N/A")</f>
        <v>#N/A</v>
      </c>
      <c r="AA441" s="229">
        <f>IFERROR(__xludf.DUMMYFUNCTION("""COMPUTED_VALUE"""),14.0)</f>
        <v>14</v>
      </c>
      <c r="AB441" s="229"/>
      <c r="AC441" s="229" t="str">
        <f>IFERROR(__xludf.DUMMYFUNCTION("""COMPUTED_VALUE"""),"9136196#9136201")</f>
        <v>9136196#9136201</v>
      </c>
      <c r="AD441" s="232">
        <f>IFERROR(__xludf.DUMMYFUNCTION("""COMPUTED_VALUE"""),112.0)</f>
        <v>112</v>
      </c>
      <c r="AE441" s="233">
        <f>IFERROR(__xludf.DUMMYFUNCTION("""COMPUTED_VALUE"""),46075.0)</f>
        <v>46075</v>
      </c>
      <c r="AF441" s="54"/>
      <c r="AG441" s="54"/>
      <c r="AH441" s="54">
        <v>46075.0</v>
      </c>
      <c r="AI441" s="55">
        <f t="shared" ref="AI441:AI442" si="58">IF(OR(R441="",AE441=""),"",R441-AE441)</f>
        <v>0</v>
      </c>
      <c r="AW441" s="234"/>
      <c r="BP441" s="11"/>
      <c r="BQ441" s="11"/>
      <c r="BR441" s="235"/>
      <c r="BV441" s="158"/>
      <c r="BY441" s="158"/>
      <c r="CB441" s="158"/>
    </row>
    <row r="442" ht="18.0" hidden="1" customHeight="1">
      <c r="A442" s="222">
        <f>IFERROR(__xludf.DUMMYFUNCTION("""COMPUTED_VALUE"""),2026.0)</f>
        <v>2026</v>
      </c>
      <c r="B442" s="221">
        <f>IFERROR(__xludf.DUMMYFUNCTION("""COMPUTED_VALUE"""),1.1187788E7)</f>
        <v>11187788</v>
      </c>
      <c r="C442" s="222" t="str">
        <f>IFERROR(__xludf.DUMMYFUNCTION("""COMPUTED_VALUE"""),"MDN PT3 P7I11 TMU-FK JL.DATUK KABU")</f>
        <v>MDN PT3 P7I11 TMU-FK JL.DATUK KABU</v>
      </c>
      <c r="D442" s="222" t="str">
        <f>IFERROR(__xludf.DUMMYFUNCTION("""COMPUTED_VALUE"""),"REGIONAL I")</f>
        <v>REGIONAL I</v>
      </c>
      <c r="E442" s="222" t="str">
        <f>IFERROR(__xludf.DUMMYFUNCTION("""COMPUTED_VALUE"""),"MEDAN")</f>
        <v>MEDAN</v>
      </c>
      <c r="F442" s="222" t="str">
        <f>IFERROR(__xludf.DUMMYFUNCTION("""COMPUTED_VALUE"""),"TMU")</f>
        <v>TMU</v>
      </c>
      <c r="G442" s="222" t="str">
        <f>IFERROR(__xludf.DUMMYFUNCTION("""COMPUTED_VALUE"""),"SUMBAGUT")</f>
        <v>SUMBAGUT</v>
      </c>
      <c r="H442" s="222" t="str">
        <f>IFERROR(__xludf.DUMMYFUNCTION("""COMPUTED_VALUE"""),"MEDAN")</f>
        <v>MEDAN</v>
      </c>
      <c r="I442" s="222" t="str">
        <f>IFERROR(__xludf.DUMMYFUNCTION("""COMPUTED_VALUE"""),"Batch 2")</f>
        <v>Batch 2</v>
      </c>
      <c r="J442" s="225">
        <f>IFERROR(__xludf.DUMMYFUNCTION("""COMPUTED_VALUE"""),3.0)</f>
        <v>3</v>
      </c>
      <c r="K442" s="224">
        <f>IFERROR(__xludf.DUMMYFUNCTION("""COMPUTED_VALUE"""),24.0)</f>
        <v>24</v>
      </c>
      <c r="L442" s="226">
        <f>IFERROR(__xludf.DUMMYFUNCTION("""COMPUTED_VALUE"""),1104600.0)</f>
        <v>1104600</v>
      </c>
      <c r="M442" s="227">
        <f>IFERROR(__xludf.DUMMYFUNCTION("""COMPUTED_VALUE"""),2.6510386E7)</f>
        <v>26510386</v>
      </c>
      <c r="N442" s="222" t="str">
        <f>IFERROR(__xludf.DUMMYFUNCTION("""COMPUTED_VALUE"""),"PT DUL JAYA TAMA")</f>
        <v>PT DUL JAYA TAMA</v>
      </c>
      <c r="O442" s="222" t="str">
        <f>IFERROR(__xludf.DUMMYFUNCTION("""COMPUTED_VALUE"""),"2. DONE AANWIJZING")</f>
        <v>2. DONE AANWIJZING</v>
      </c>
      <c r="P442" s="222" t="str">
        <f>IFERROR(__xludf.DUMMYFUNCTION("""COMPUTED_VALUE"""),"2.10 Kendala - Feeder Rusak")</f>
        <v>2.10 Kendala - Feeder Rusak</v>
      </c>
      <c r="Q442" s="222" t="str">
        <f>IFERROR(__xludf.DUMMYFUNCTION("""COMPUTED_VALUE"""),"21/04 pengecekan tipus / butuh qe
16/04 take over ke mitra DJT
(07/01) Persiapan")</f>
        <v>21/04 pengecekan tipus / butuh qe
16/04 take over ke mitra DJT
(07/01) Persiapan</v>
      </c>
      <c r="R442" s="228"/>
      <c r="S442" s="11"/>
      <c r="T442" s="11"/>
      <c r="U442" s="11"/>
      <c r="V442" s="229"/>
      <c r="W442" s="229"/>
      <c r="X442" s="229" t="str">
        <f>IFERROR(__xludf.DUMMYFUNCTION("""COMPUTED_VALUE"""),"BELUM GOLIVE")</f>
        <v>BELUM GOLIVE</v>
      </c>
      <c r="Y442" s="229"/>
      <c r="Z442" s="229" t="str">
        <f>IFERROR(__xludf.DUMMYFUNCTION("""COMPUTED_VALUE"""),"#N/A")</f>
        <v>#N/A</v>
      </c>
      <c r="AA442" s="229"/>
      <c r="AB442" s="229"/>
      <c r="AC442" s="229"/>
      <c r="AD442" s="232"/>
      <c r="AE442" s="233"/>
      <c r="AF442" s="54"/>
      <c r="AG442" s="54"/>
      <c r="AH442" s="54"/>
      <c r="AI442" s="55" t="str">
        <f t="shared" si="58"/>
        <v/>
      </c>
      <c r="AW442" s="234"/>
      <c r="BP442" s="11"/>
      <c r="BQ442" s="11"/>
      <c r="BR442" s="235"/>
      <c r="BV442" s="158"/>
      <c r="BY442" s="158"/>
      <c r="CB442" s="158"/>
    </row>
    <row r="443" ht="18.0" hidden="1" customHeight="1">
      <c r="A443" s="222">
        <f>IFERROR(__xludf.DUMMYFUNCTION("""COMPUTED_VALUE"""),2026.0)</f>
        <v>2026</v>
      </c>
      <c r="B443" s="221">
        <f>IFERROR(__xludf.DUMMYFUNCTION("""COMPUTED_VALUE"""),1.1389291E7)</f>
        <v>11389291</v>
      </c>
      <c r="C443" s="222" t="str">
        <f>IFERROR(__xludf.DUMMYFUNCTION("""COMPUTED_VALUE"""),"ACH PT4 LTM-FAE PEUNYEURAT")</f>
        <v>ACH PT4 LTM-FAE PEUNYEURAT</v>
      </c>
      <c r="D443" s="222" t="str">
        <f>IFERROR(__xludf.DUMMYFUNCTION("""COMPUTED_VALUE"""),"REGIONAL I")</f>
        <v>REGIONAL I</v>
      </c>
      <c r="E443" s="222" t="str">
        <f>IFERROR(__xludf.DUMMYFUNCTION("""COMPUTED_VALUE"""),"ACEH")</f>
        <v>ACEH</v>
      </c>
      <c r="F443" s="222" t="str">
        <f>IFERROR(__xludf.DUMMYFUNCTION("""COMPUTED_VALUE"""),"LTM")</f>
        <v>LTM</v>
      </c>
      <c r="G443" s="222" t="str">
        <f>IFERROR(__xludf.DUMMYFUNCTION("""COMPUTED_VALUE"""),"SUMBAGUT")</f>
        <v>SUMBAGUT</v>
      </c>
      <c r="H443" s="222" t="str">
        <f>IFERROR(__xludf.DUMMYFUNCTION("""COMPUTED_VALUE"""),"BANDA ACEH")</f>
        <v>BANDA ACEH</v>
      </c>
      <c r="I443" s="222" t="str">
        <f>IFERROR(__xludf.DUMMYFUNCTION("""COMPUTED_VALUE"""),"Batch 2")</f>
        <v>Batch 2</v>
      </c>
      <c r="J443" s="225">
        <f>IFERROR(__xludf.DUMMYFUNCTION("""COMPUTED_VALUE"""),30.0)</f>
        <v>30</v>
      </c>
      <c r="K443" s="224">
        <f>IFERROR(__xludf.DUMMYFUNCTION("""COMPUTED_VALUE"""),256.0)</f>
        <v>256</v>
      </c>
      <c r="L443" s="226">
        <f>IFERROR(__xludf.DUMMYFUNCTION("""COMPUTED_VALUE"""),1280364.0)</f>
        <v>1280364</v>
      </c>
      <c r="M443" s="227">
        <f>IFERROR(__xludf.DUMMYFUNCTION("""COMPUTED_VALUE"""),3.27773148E8)</f>
        <v>327773148</v>
      </c>
      <c r="N443" s="222" t="str">
        <f>IFERROR(__xludf.DUMMYFUNCTION("""COMPUTED_VALUE"""),"PT TRIPOLA PANATA")</f>
        <v>PT TRIPOLA PANATA</v>
      </c>
      <c r="O443" s="222" t="str">
        <f>IFERROR(__xludf.DUMMYFUNCTION("""COMPUTED_VALUE"""),"4. MATDEL")</f>
        <v>4. MATDEL</v>
      </c>
      <c r="P443" s="222" t="str">
        <f>IFERROR(__xludf.DUMMYFUNCTION("""COMPUTED_VALUE"""),"4.2 Sudah Request Material (Alista)")</f>
        <v>4.2 Sudah Request Material (Alista)</v>
      </c>
      <c r="Q443" s="222" t="str">
        <f>IFERROR(__xludf.DUMMYFUNCTION("""COMPUTED_VALUE"""),"(01/04) Delmat dari pabrik ke WH (11/02) perizinan geuchik (07/02) Validasi Core Exisiting (08/01) Kendala dist 3 KJI-FP FULL (07/01) Persiapan")</f>
        <v>(01/04) Delmat dari pabrik ke WH (11/02) perizinan geuchik (07/02) Validasi Core Exisiting (08/01) Kendala dist 3 KJI-FP FULL (07/01) Persiapan</v>
      </c>
      <c r="R443" s="228"/>
      <c r="S443" s="11"/>
      <c r="T443" s="73"/>
      <c r="U443" s="11"/>
      <c r="V443" s="229" t="str">
        <f>IFERROR(__xludf.DUMMYFUNCTION("""COMPUTED_VALUE"""),"20/Apr/2026")</f>
        <v>20/Apr/2026</v>
      </c>
      <c r="W443" s="229"/>
      <c r="X443" s="229" t="str">
        <f>IFERROR(__xludf.DUMMYFUNCTION("""COMPUTED_VALUE"""),"BELUM GOLIVE")</f>
        <v>BELUM GOLIVE</v>
      </c>
      <c r="Y443" s="229"/>
      <c r="Z443" s="229" t="str">
        <f>IFERROR(__xludf.DUMMYFUNCTION("""COMPUTED_VALUE"""),"#N/A")</f>
        <v>#N/A</v>
      </c>
      <c r="AA443" s="229"/>
      <c r="AB443" s="229"/>
      <c r="AC443" s="229"/>
      <c r="AD443" s="232"/>
      <c r="AE443" s="233"/>
      <c r="AF443" s="54"/>
      <c r="AG443" s="54"/>
      <c r="AH443" s="54">
        <v>46135.0</v>
      </c>
      <c r="AI443" s="237">
        <f>AH443-NOW()</f>
        <v>-5.377989884</v>
      </c>
      <c r="AJ443" s="229" t="str">
        <f t="shared" ref="AJ443:AJ444" si="59">if(AI443&gt;=0,"In Komitmen","Out Komitmen")</f>
        <v>Out Komitmen</v>
      </c>
      <c r="AK443" s="229" t="s">
        <v>199</v>
      </c>
      <c r="AW443" s="234"/>
      <c r="BP443" s="11"/>
      <c r="BQ443" s="11"/>
      <c r="BR443" s="235"/>
      <c r="BV443" s="158"/>
      <c r="BY443" s="158"/>
      <c r="CB443" s="158"/>
    </row>
    <row r="444" ht="18.0" customHeight="1">
      <c r="A444" s="222">
        <f>IFERROR(__xludf.DUMMYFUNCTION("""COMPUTED_VALUE"""),2026.0)</f>
        <v>2026</v>
      </c>
      <c r="B444" s="221">
        <f>IFERROR(__xludf.DUMMYFUNCTION("""COMPUTED_VALUE"""),1.1099203E7)</f>
        <v>11099203</v>
      </c>
      <c r="C444" s="222" t="str">
        <f>IFERROR(__xludf.DUMMYFUNCTION("""COMPUTED_VALUE"""),"SMB JPP MD PDG_SUMATERA BARAT_15108")</f>
        <v>SMB JPP MD PDG_SUMATERA BARAT_15108</v>
      </c>
      <c r="D444" s="222" t="str">
        <f>IFERROR(__xludf.DUMMYFUNCTION("""COMPUTED_VALUE"""),"REGIONAL I")</f>
        <v>REGIONAL I</v>
      </c>
      <c r="E444" s="222" t="str">
        <f>IFERROR(__xludf.DUMMYFUNCTION("""COMPUTED_VALUE"""),"SUMBAR")</f>
        <v>SUMBAR</v>
      </c>
      <c r="F444" s="222" t="str">
        <f>IFERROR(__xludf.DUMMYFUNCTION("""COMPUTED_VALUE"""),"KJI")</f>
        <v>KJI</v>
      </c>
      <c r="G444" s="222" t="str">
        <f>IFERROR(__xludf.DUMMYFUNCTION("""COMPUTED_VALUE"""),"SUMBAGTENG")</f>
        <v>SUMBAGTENG</v>
      </c>
      <c r="H444" s="222" t="str">
        <f>IFERROR(__xludf.DUMMYFUNCTION("""COMPUTED_VALUE"""),"PADANG")</f>
        <v>PADANG</v>
      </c>
      <c r="I444" s="222" t="str">
        <f>IFERROR(__xludf.DUMMYFUNCTION("""COMPUTED_VALUE"""),"Batch 2")</f>
        <v>Batch 2</v>
      </c>
      <c r="J444" s="225">
        <f>IFERROR(__xludf.DUMMYFUNCTION("""COMPUTED_VALUE"""),2.0)</f>
        <v>2</v>
      </c>
      <c r="K444" s="224">
        <f>IFERROR(__xludf.DUMMYFUNCTION("""COMPUTED_VALUE"""),16.0)</f>
        <v>16</v>
      </c>
      <c r="L444" s="226">
        <f>IFERROR(__xludf.DUMMYFUNCTION("""COMPUTED_VALUE"""),1280168.0)</f>
        <v>1280168</v>
      </c>
      <c r="M444" s="227">
        <f>IFERROR(__xludf.DUMMYFUNCTION("""COMPUTED_VALUE"""),2.0482675E7)</f>
        <v>20482675</v>
      </c>
      <c r="N444" s="222" t="str">
        <f>IFERROR(__xludf.DUMMYFUNCTION("""COMPUTED_VALUE"""),"PT TRI PENAMAS")</f>
        <v>PT TRI PENAMAS</v>
      </c>
      <c r="O444" s="222" t="str">
        <f>IFERROR(__xludf.DUMMYFUNCTION("""COMPUTED_VALUE"""),"5. INSTALASI")</f>
        <v>5. INSTALASI</v>
      </c>
      <c r="P444" s="222" t="str">
        <f>IFERROR(__xludf.DUMMYFUNCTION("""COMPUTED_VALUE"""),"5.1 Kendala - Comcase")</f>
        <v>5.1 Kendala - Comcase</v>
      </c>
      <c r="Q444" s="222" t="str">
        <f>IFERROR(__xludf.DUMMYFUNCTION("""COMPUTED_VALUE"""),"(27/04)  manunggu hasil diskus ketua RT dengan warga/ pemilik lahan (20/04)  manunggu hasil diskus ketua RT dengan warga/ pemilik lahan (13/04) proses negoisasi  izin tanam ting sama pemilik lahan  (06/04) proses negoisasi  izin tanam ting sama pemilik la"&amp;"han  (02/04) progres tanam tiang kendala comcase pemilik lahan (30/03) tanam tiang (16/03) proses matdel KE SITE (12/03) Proses create PID (26/01) kendala dist 3 KJI-FP full ")</f>
        <v>(27/04)  manunggu hasil diskus ketua RT dengan warga/ pemilik lahan (20/04)  manunggu hasil diskus ketua RT dengan warga/ pemilik lahan (13/04) proses negoisasi  izin tanam ting sama pemilik lahan  (06/04) proses negoisasi  izin tanam ting sama pemilik lahan  (02/04) progres tanam tiang kendala comcase pemilik lahan (30/03) tanam tiang (16/03) proses matdel KE SITE (12/03) Proses create PID (26/01) kendala dist 3 KJI-FP full </v>
      </c>
      <c r="R444" s="228">
        <f>IFERROR(__xludf.DUMMYFUNCTION("""COMPUTED_VALUE"""),46141.0)</f>
        <v>46141</v>
      </c>
      <c r="S444" s="11"/>
      <c r="T444" s="73"/>
      <c r="U444" s="11" t="str">
        <f>IFERROR(__xludf.DUMMYFUNCTION("""COMPUTED_VALUE"""),"TIF-5970/2026  26KT03R158-0077")</f>
        <v>TIF-5970/2026  26KT03R158-0077</v>
      </c>
      <c r="V444" s="229" t="str">
        <f>IFERROR(__xludf.DUMMYFUNCTION("""COMPUTED_VALUE"""),"FABIO RAHMAN")</f>
        <v>FABIO RAHMAN</v>
      </c>
      <c r="W444" s="229" t="str">
        <f>IFERROR(__xludf.DUMMYFUNCTION("""COMPUTED_VALUE"""),"MELKO NARWADI")</f>
        <v>MELKO NARWADI</v>
      </c>
      <c r="X444" s="229" t="str">
        <f>IFERROR(__xludf.DUMMYFUNCTION("""COMPUTED_VALUE"""),"BELUM GOLIVE")</f>
        <v>BELUM GOLIVE</v>
      </c>
      <c r="Y444" s="229"/>
      <c r="Z444" s="229" t="str">
        <f>IFERROR(__xludf.DUMMYFUNCTION("""COMPUTED_VALUE"""),"#N/A")</f>
        <v>#N/A</v>
      </c>
      <c r="AA444" s="229"/>
      <c r="AB444" s="229"/>
      <c r="AC444" s="229"/>
      <c r="AD444" s="232"/>
      <c r="AE444" s="233"/>
      <c r="AF444" s="54"/>
      <c r="AG444" s="54"/>
      <c r="AH444" s="54">
        <v>46135.0</v>
      </c>
      <c r="AI444" s="55">
        <f>AH444-TODAY()</f>
        <v>-5</v>
      </c>
      <c r="AJ444" s="229" t="str">
        <f t="shared" si="59"/>
        <v>Out Komitmen</v>
      </c>
      <c r="AK444" s="231" t="s">
        <v>199</v>
      </c>
      <c r="AW444" s="234"/>
      <c r="BP444" s="11"/>
      <c r="BQ444" s="11"/>
      <c r="BR444" s="235"/>
      <c r="BV444" s="158"/>
      <c r="BY444" s="158"/>
      <c r="CB444" s="158"/>
    </row>
    <row r="445" ht="18.0" hidden="1" customHeight="1">
      <c r="A445" s="222">
        <f>IFERROR(__xludf.DUMMYFUNCTION("""COMPUTED_VALUE"""),2026.0)</f>
        <v>2026</v>
      </c>
      <c r="B445" s="221">
        <f>IFERROR(__xludf.DUMMYFUNCTION("""COMPUTED_VALUE"""),1.1481917E7)</f>
        <v>11481917</v>
      </c>
      <c r="C445" s="222" t="str">
        <f>IFERROR(__xludf.DUMMYFUNCTION("""COMPUTED_VALUE"""),"ACH PT3 GEU-FH D07 BLANG NIBONG")</f>
        <v>ACH PT3 GEU-FH D07 BLANG NIBONG</v>
      </c>
      <c r="D445" s="222" t="str">
        <f>IFERROR(__xludf.DUMMYFUNCTION("""COMPUTED_VALUE"""),"REGIONAL I")</f>
        <v>REGIONAL I</v>
      </c>
      <c r="E445" s="222" t="str">
        <f>IFERROR(__xludf.DUMMYFUNCTION("""COMPUTED_VALUE"""),"ACEH")</f>
        <v>ACEH</v>
      </c>
      <c r="F445" s="222" t="str">
        <f>IFERROR(__xludf.DUMMYFUNCTION("""COMPUTED_VALUE"""),"GEU")</f>
        <v>GEU</v>
      </c>
      <c r="G445" s="222" t="str">
        <f>IFERROR(__xludf.DUMMYFUNCTION("""COMPUTED_VALUE"""),"SUMBAGUT")</f>
        <v>SUMBAGUT</v>
      </c>
      <c r="H445" s="222" t="str">
        <f>IFERROR(__xludf.DUMMYFUNCTION("""COMPUTED_VALUE"""),"BINJAI")</f>
        <v>BINJAI</v>
      </c>
      <c r="I445" s="222" t="str">
        <f>IFERROR(__xludf.DUMMYFUNCTION("""COMPUTED_VALUE"""),"Batch 2")</f>
        <v>Batch 2</v>
      </c>
      <c r="J445" s="225">
        <f>IFERROR(__xludf.DUMMYFUNCTION("""COMPUTED_VALUE"""),24.0)</f>
        <v>24</v>
      </c>
      <c r="K445" s="224">
        <f>IFERROR(__xludf.DUMMYFUNCTION("""COMPUTED_VALUE"""),192.0)</f>
        <v>192</v>
      </c>
      <c r="L445" s="226">
        <f>IFERROR(__xludf.DUMMYFUNCTION("""COMPUTED_VALUE"""),1279572.0)</f>
        <v>1279572</v>
      </c>
      <c r="M445" s="227">
        <f>IFERROR(__xludf.DUMMYFUNCTION("""COMPUTED_VALUE"""),2.45677696E8)</f>
        <v>245677696</v>
      </c>
      <c r="N445" s="222" t="str">
        <f>IFERROR(__xludf.DUMMYFUNCTION("""COMPUTED_VALUE"""),"PT ARA PAYA INTAN")</f>
        <v>PT ARA PAYA INTAN</v>
      </c>
      <c r="O445" s="222" t="str">
        <f>IFERROR(__xludf.DUMMYFUNCTION("""COMPUTED_VALUE"""),"7. GOLIVE")</f>
        <v>7. GOLIVE</v>
      </c>
      <c r="P445" s="222" t="str">
        <f>IFERROR(__xludf.DUMMYFUNCTION("""COMPUTED_VALUE"""),"7.2 Golive Full / OA / DONE OTB")</f>
        <v>7.2 Golive Full / OA / DONE OTB</v>
      </c>
      <c r="Q445" s="222" t="str">
        <f>IFERROR(__xludf.DUMMYFUNCTION("""COMPUTED_VALUE"""),"(13/04) Validasi ABD (10/04) Terminasi (25/03) Penarikan Kabel (10/03) Menunggu KU24 Ready (05/03) Menunggu KU24 Ready (24/02) Tanam Tiang (18/02) Tanam TIang (04/02) DelMat (07/01) Validasi Core (07/01) Persiapan")</f>
        <v>(13/04) Validasi ABD (10/04) Terminasi (25/03) Penarikan Kabel (10/03) Menunggu KU24 Ready (05/03) Menunggu KU24 Ready (24/02) Tanam Tiang (18/02) Tanam TIang (04/02) DelMat (07/01) Validasi Core (07/01) Persiapan</v>
      </c>
      <c r="R445" s="228">
        <f>IFERROR(__xludf.DUMMYFUNCTION("""COMPUTED_VALUE"""),46125.0)</f>
        <v>46125</v>
      </c>
      <c r="S445" s="11" t="str">
        <f>IFERROR(__xludf.DUMMYFUNCTION("""COMPUTED_VALUE"""),"MAR")</f>
        <v>MAR</v>
      </c>
      <c r="T445" s="73"/>
      <c r="U445" s="11"/>
      <c r="V445" s="229"/>
      <c r="W445" s="229" t="str">
        <f>IFERROR(__xludf.DUMMYFUNCTION("""COMPUTED_VALUE"""),"#N/A")</f>
        <v>#N/A</v>
      </c>
      <c r="X445" s="229" t="str">
        <f>IFERROR(__xludf.DUMMYFUNCTION("""COMPUTED_VALUE"""),"GOLIVE")</f>
        <v>GOLIVE</v>
      </c>
      <c r="Y445" s="229" t="str">
        <f>IFERROR(__xludf.DUMMYFUNCTION("""COMPUTED_VALUE"""),"DONE")</f>
        <v>DONE</v>
      </c>
      <c r="Z445" s="229" t="str">
        <f>IFERROR(__xludf.DUMMYFUNCTION("""COMPUTED_VALUE"""),"#N/A")</f>
        <v>#N/A</v>
      </c>
      <c r="AA445" s="229">
        <f>IFERROR(__xludf.DUMMYFUNCTION("""COMPUTED_VALUE"""),24.0)</f>
        <v>24</v>
      </c>
      <c r="AB445" s="229"/>
      <c r="AC445" s="229" t="str">
        <f>IFERROR(__xludf.DUMMYFUNCTION("""COMPUTED_VALUE"""),"9266242#9266247")</f>
        <v>9266242#9266247</v>
      </c>
      <c r="AD445" s="232">
        <f>IFERROR(__xludf.DUMMYFUNCTION("""COMPUTED_VALUE"""),192.0)</f>
        <v>192</v>
      </c>
      <c r="AE445" s="233">
        <f>IFERROR(__xludf.DUMMYFUNCTION("""COMPUTED_VALUE"""),46125.0)</f>
        <v>46125</v>
      </c>
      <c r="AF445" s="54"/>
      <c r="AG445" s="54"/>
      <c r="AH445" s="54">
        <v>46125.0</v>
      </c>
      <c r="AI445" s="55">
        <f t="shared" ref="AI445:AI491" si="60">IF(OR(R445="",AE445=""),"",R445-AE445)</f>
        <v>0</v>
      </c>
      <c r="AW445" s="234"/>
      <c r="BP445" s="11"/>
      <c r="BQ445" s="11"/>
      <c r="BR445" s="235"/>
      <c r="BV445" s="158"/>
      <c r="BY445" s="158"/>
      <c r="CB445" s="158"/>
    </row>
    <row r="446" ht="18.0" customHeight="1">
      <c r="A446" s="222">
        <f>IFERROR(__xludf.DUMMYFUNCTION("""COMPUTED_VALUE"""),2026.0)</f>
        <v>2026</v>
      </c>
      <c r="B446" s="221">
        <f>IFERROR(__xludf.DUMMYFUNCTION("""COMPUTED_VALUE"""),1.2358104E7)</f>
        <v>12358104</v>
      </c>
      <c r="C446" s="222" t="str">
        <f>IFERROR(__xludf.DUMMYFUNCTION("""COMPUTED_VALUE"""),"SMB-PT3-ODC-PDJ-FA-48091-4Cluster")</f>
        <v>SMB-PT3-ODC-PDJ-FA-48091-4Cluster</v>
      </c>
      <c r="D446" s="222" t="str">
        <f>IFERROR(__xludf.DUMMYFUNCTION("""COMPUTED_VALUE"""),"REGIONAL I")</f>
        <v>REGIONAL I</v>
      </c>
      <c r="E446" s="222" t="str">
        <f>IFERROR(__xludf.DUMMYFUNCTION("""COMPUTED_VALUE"""),"SUMBAR")</f>
        <v>SUMBAR</v>
      </c>
      <c r="F446" s="222" t="str">
        <f>IFERROR(__xludf.DUMMYFUNCTION("""COMPUTED_VALUE"""),"PDJ")</f>
        <v>PDJ</v>
      </c>
      <c r="G446" s="222" t="str">
        <f>IFERROR(__xludf.DUMMYFUNCTION("""COMPUTED_VALUE"""),"SUMBAGTENG")</f>
        <v>SUMBAGTENG</v>
      </c>
      <c r="H446" s="222" t="str">
        <f>IFERROR(__xludf.DUMMYFUNCTION("""COMPUTED_VALUE"""),"BUKIT TINGGI")</f>
        <v>BUKIT TINGGI</v>
      </c>
      <c r="I446" s="222" t="str">
        <f>IFERROR(__xludf.DUMMYFUNCTION("""COMPUTED_VALUE"""),"Batch 2")</f>
        <v>Batch 2</v>
      </c>
      <c r="J446" s="225">
        <f>IFERROR(__xludf.DUMMYFUNCTION("""COMPUTED_VALUE"""),6.0)</f>
        <v>6</v>
      </c>
      <c r="K446" s="224">
        <f>IFERROR(__xludf.DUMMYFUNCTION("""COMPUTED_VALUE"""),48.0)</f>
        <v>48</v>
      </c>
      <c r="L446" s="226">
        <f>IFERROR(__xludf.DUMMYFUNCTION("""COMPUTED_VALUE"""),1278914.0)</f>
        <v>1278914</v>
      </c>
      <c r="M446" s="227">
        <f>IFERROR(__xludf.DUMMYFUNCTION("""COMPUTED_VALUE"""),6.1387832E7)</f>
        <v>61387832</v>
      </c>
      <c r="N446" s="222" t="str">
        <f>IFERROR(__xludf.DUMMYFUNCTION("""COMPUTED_VALUE"""),"PT TSUIKA BERKAH RAYA")</f>
        <v>PT TSUIKA BERKAH RAYA</v>
      </c>
      <c r="O446" s="222" t="str">
        <f>IFERROR(__xludf.DUMMYFUNCTION("""COMPUTED_VALUE"""),"8. UJI TERIMA")</f>
        <v>8. UJI TERIMA</v>
      </c>
      <c r="P446" s="222" t="str">
        <f>IFERROR(__xludf.DUMMYFUNCTION("""COMPUTED_VALUE"""),"8.1 Proses UT")</f>
        <v>8.1 Proses UT</v>
      </c>
      <c r="Q446" s="222" t="str">
        <f>IFERROR(__xludf.DUMMYFUNCTION("""COMPUTED_VALUE"""),"(08/01) Kendala dist 2 TLN-FA FULL (07/01) Persiapan")</f>
        <v>(08/01) Kendala dist 2 TLN-FA FULL (07/01) Persiapan</v>
      </c>
      <c r="R446" s="228"/>
      <c r="S446" s="11"/>
      <c r="T446" s="11"/>
      <c r="U446" s="11" t="str">
        <f>IFERROR(__xludf.DUMMYFUNCTION("""COMPUTED_VALUE"""),"W10-1816/2025 25KT03R158-0557")</f>
        <v>W10-1816/2025 25KT03R158-0557</v>
      </c>
      <c r="V446" s="229" t="str">
        <f>IFERROR(__xludf.DUMMYFUNCTION("""COMPUTED_VALUE"""),"M. ARIF HAMADI")</f>
        <v>M. ARIF HAMADI</v>
      </c>
      <c r="W446" s="229" t="str">
        <f>IFERROR(__xludf.DUMMYFUNCTION("""COMPUTED_VALUE"""),"MELKO NARWADI")</f>
        <v>MELKO NARWADI</v>
      </c>
      <c r="X446" s="229" t="str">
        <f>IFERROR(__xludf.DUMMYFUNCTION("""COMPUTED_VALUE"""),"GOLIVE")</f>
        <v>GOLIVE</v>
      </c>
      <c r="Y446" s="229" t="str">
        <f>IFERROR(__xludf.DUMMYFUNCTION("""COMPUTED_VALUE"""),"DONE")</f>
        <v>DONE</v>
      </c>
      <c r="Z446" s="229" t="str">
        <f>IFERROR(__xludf.DUMMYFUNCTION("""COMPUTED_VALUE"""),"#N/A")</f>
        <v>#N/A</v>
      </c>
      <c r="AA446" s="229">
        <f>IFERROR(__xludf.DUMMYFUNCTION("""COMPUTED_VALUE"""),6.0)</f>
        <v>6</v>
      </c>
      <c r="AB446" s="229"/>
      <c r="AC446" s="229" t="str">
        <f>IFERROR(__xludf.DUMMYFUNCTION("""COMPUTED_VALUE"""),"8963280#8963285")</f>
        <v>8963280#8963285</v>
      </c>
      <c r="AD446" s="232">
        <f>IFERROR(__xludf.DUMMYFUNCTION("""COMPUTED_VALUE"""),48.0)</f>
        <v>48</v>
      </c>
      <c r="AE446" s="233">
        <f>IFERROR(__xludf.DUMMYFUNCTION("""COMPUTED_VALUE"""),46036.0)</f>
        <v>46036</v>
      </c>
      <c r="AF446" s="54"/>
      <c r="AG446" s="54"/>
      <c r="AH446" s="54"/>
      <c r="AI446" s="55" t="str">
        <f t="shared" si="60"/>
        <v/>
      </c>
      <c r="AW446" s="234"/>
      <c r="BP446" s="11"/>
      <c r="BQ446" s="11"/>
      <c r="BR446" s="235"/>
      <c r="BV446" s="158"/>
      <c r="BY446" s="158"/>
      <c r="CB446" s="158"/>
    </row>
    <row r="447" ht="18.0" customHeight="1">
      <c r="A447" s="222">
        <f>IFERROR(__xludf.DUMMYFUNCTION("""COMPUTED_VALUE"""),2026.0)</f>
        <v>2026</v>
      </c>
      <c r="B447" s="221">
        <f>IFERROR(__xludf.DUMMYFUNCTION("""COMPUTED_VALUE"""),1.1109431E7)</f>
        <v>11109431</v>
      </c>
      <c r="C447" s="222" t="str">
        <f>IFERROR(__xludf.DUMMYFUNCTION("""COMPUTED_VALUE"""),"SMB P7I10 STTF Sutra-Mairosnita-MELLY")</f>
        <v>SMB P7I10 STTF Sutra-Mairosnita-MELLY</v>
      </c>
      <c r="D447" s="222" t="str">
        <f>IFERROR(__xludf.DUMMYFUNCTION("""COMPUTED_VALUE"""),"REGIONAL I")</f>
        <v>REGIONAL I</v>
      </c>
      <c r="E447" s="222" t="str">
        <f>IFERROR(__xludf.DUMMYFUNCTION("""COMPUTED_VALUE"""),"SUMBAR")</f>
        <v>SUMBAR</v>
      </c>
      <c r="F447" s="222" t="str">
        <f>IFERROR(__xludf.DUMMYFUNCTION("""COMPUTED_VALUE"""),"TLN")</f>
        <v>TLN</v>
      </c>
      <c r="G447" s="222" t="str">
        <f>IFERROR(__xludf.DUMMYFUNCTION("""COMPUTED_VALUE"""),"SUMBAGTENG")</f>
        <v>SUMBAGTENG</v>
      </c>
      <c r="H447" s="222" t="str">
        <f>IFERROR(__xludf.DUMMYFUNCTION("""COMPUTED_VALUE"""),"PADANG")</f>
        <v>PADANG</v>
      </c>
      <c r="I447" s="222" t="str">
        <f>IFERROR(__xludf.DUMMYFUNCTION("""COMPUTED_VALUE"""),"Batch 2")</f>
        <v>Batch 2</v>
      </c>
      <c r="J447" s="225">
        <f>IFERROR(__xludf.DUMMYFUNCTION("""COMPUTED_VALUE"""),2.0)</f>
        <v>2</v>
      </c>
      <c r="K447" s="224">
        <f>IFERROR(__xludf.DUMMYFUNCTION("""COMPUTED_VALUE"""),16.0)</f>
        <v>16</v>
      </c>
      <c r="L447" s="226">
        <f>IFERROR(__xludf.DUMMYFUNCTION("""COMPUTED_VALUE"""),1277542.0)</f>
        <v>1277542</v>
      </c>
      <c r="M447" s="227">
        <f>IFERROR(__xludf.DUMMYFUNCTION("""COMPUTED_VALUE"""),2.0440668E7)</f>
        <v>20440668</v>
      </c>
      <c r="N447" s="222" t="str">
        <f>IFERROR(__xludf.DUMMYFUNCTION("""COMPUTED_VALUE"""),"PT TRI PENAMAS")</f>
        <v>PT TRI PENAMAS</v>
      </c>
      <c r="O447" s="222" t="str">
        <f>IFERROR(__xludf.DUMMYFUNCTION("""COMPUTED_VALUE"""),"0. DROP")</f>
        <v>0. DROP</v>
      </c>
      <c r="P447" s="222" t="str">
        <f>IFERROR(__xludf.DUMMYFUNCTION("""COMPUTED_VALUE"""),"0.3 Feeder Full")</f>
        <v>0.3 Feeder Full</v>
      </c>
      <c r="Q447" s="222" t="str">
        <f>IFERROR(__xludf.DUMMYFUNCTION("""COMPUTED_VALUE"""),"(26/01) kendala feeder TLN-FD  full ")</f>
        <v>(26/01) kendala feeder TLN-FD  full </v>
      </c>
      <c r="R447" s="228"/>
      <c r="S447" s="11"/>
      <c r="T447" s="11"/>
      <c r="U447" s="11"/>
      <c r="V447" s="229"/>
      <c r="W447" s="229"/>
      <c r="X447" s="229" t="str">
        <f>IFERROR(__xludf.DUMMYFUNCTION("""COMPUTED_VALUE"""),"BELUM GOLIVE")</f>
        <v>BELUM GOLIVE</v>
      </c>
      <c r="Y447" s="229"/>
      <c r="Z447" s="229" t="str">
        <f>IFERROR(__xludf.DUMMYFUNCTION("""COMPUTED_VALUE"""),"#N/A")</f>
        <v>#N/A</v>
      </c>
      <c r="AA447" s="229"/>
      <c r="AB447" s="229"/>
      <c r="AC447" s="229"/>
      <c r="AD447" s="232"/>
      <c r="AE447" s="233"/>
      <c r="AF447" s="54" t="str">
        <f>IFERROR(__xludf.DUMMYFUNCTION("""COMPUTED_VALUE"""),"Draft BA DROP")</f>
        <v>Draft BA DROP</v>
      </c>
      <c r="AG447" s="54"/>
      <c r="AH447" s="54"/>
      <c r="AI447" s="55" t="str">
        <f t="shared" si="60"/>
        <v/>
      </c>
      <c r="AW447" s="234"/>
      <c r="BP447" s="11"/>
      <c r="BQ447" s="11"/>
      <c r="BR447" s="235"/>
      <c r="BV447" s="158"/>
      <c r="BY447" s="158"/>
      <c r="CB447" s="158"/>
    </row>
    <row r="448" ht="18.0" hidden="1" customHeight="1">
      <c r="A448" s="222">
        <f>IFERROR(__xludf.DUMMYFUNCTION("""COMPUTED_VALUE"""),2026.0)</f>
        <v>2026</v>
      </c>
      <c r="B448" s="221">
        <f>IFERROR(__xludf.DUMMYFUNCTION("""COMPUTED_VALUE"""),1.220547E7)</f>
        <v>12205470</v>
      </c>
      <c r="C448" s="222" t="str">
        <f>IFERROR(__xludf.DUMMYFUNCTION("""COMPUTED_VALUE"""),"BBL PT3 P3I4 SDN 22 SIJUK")</f>
        <v>BBL PT3 P3I4 SDN 22 SIJUK</v>
      </c>
      <c r="D448" s="222" t="str">
        <f>IFERROR(__xludf.DUMMYFUNCTION("""COMPUTED_VALUE"""),"REGIONAL I")</f>
        <v>REGIONAL I</v>
      </c>
      <c r="E448" s="222" t="str">
        <f>IFERROR(__xludf.DUMMYFUNCTION("""COMPUTED_VALUE"""),"BABEL")</f>
        <v>BABEL</v>
      </c>
      <c r="F448" s="222" t="str">
        <f>IFERROR(__xludf.DUMMYFUNCTION("""COMPUTED_VALUE"""),"TJN")</f>
        <v>TJN</v>
      </c>
      <c r="G448" s="222" t="str">
        <f>IFERROR(__xludf.DUMMYFUNCTION("""COMPUTED_VALUE"""),"SUMBAGSEL")</f>
        <v>SUMBAGSEL</v>
      </c>
      <c r="H448" s="222" t="str">
        <f>IFERROR(__xludf.DUMMYFUNCTION("""COMPUTED_VALUE"""),"PANGKAL PINANG")</f>
        <v>PANGKAL PINANG</v>
      </c>
      <c r="I448" s="222" t="str">
        <f>IFERROR(__xludf.DUMMYFUNCTION("""COMPUTED_VALUE"""),"Batch 2")</f>
        <v>Batch 2</v>
      </c>
      <c r="J448" s="225">
        <f>IFERROR(__xludf.DUMMYFUNCTION("""COMPUTED_VALUE"""),4.0)</f>
        <v>4</v>
      </c>
      <c r="K448" s="224">
        <f>IFERROR(__xludf.DUMMYFUNCTION("""COMPUTED_VALUE"""),48.0)</f>
        <v>48</v>
      </c>
      <c r="L448" s="226">
        <f>IFERROR(__xludf.DUMMYFUNCTION("""COMPUTED_VALUE"""),1275914.0)</f>
        <v>1275914</v>
      </c>
      <c r="M448" s="227">
        <f>IFERROR(__xludf.DUMMYFUNCTION("""COMPUTED_VALUE"""),6.1243841E7)</f>
        <v>61243841</v>
      </c>
      <c r="N448" s="222" t="str">
        <f>IFERROR(__xludf.DUMMYFUNCTION("""COMPUTED_VALUE"""),"PT SARANA MITRA PERSADA")</f>
        <v>PT SARANA MITRA PERSADA</v>
      </c>
      <c r="O448" s="222" t="str">
        <f>IFERROR(__xludf.DUMMYFUNCTION("""COMPUTED_VALUE"""),"7. GOLIVE")</f>
        <v>7. GOLIVE</v>
      </c>
      <c r="P448" s="222" t="str">
        <f>IFERROR(__xludf.DUMMYFUNCTION("""COMPUTED_VALUE"""),"7.2 Golive Full / OA / DONE OTB")</f>
        <v>7.2 Golive Full / OA / DONE OTB</v>
      </c>
      <c r="Q448" s="222" t="str">
        <f>IFERROR(__xludf.DUMMYFUNCTION("""COMPUTED_VALUE"""),"(4/2) submit abd v4 dan golive sdi 4 feb (28/1) mitra smp kendala budget, konfirm ulang  (26/01) penarikan kabel 12D 1550 (17/01) penarikan kabel 12D 450/1550 (13/1) MATDEL (06/01)order JPP batch-2 2026 (02/01 matdel (16/12) hold 28/11 proses DRM (6/11) t"&amp;"unggu approv PID (4/11) SELESAI ANJIWZING , BOQ SUDAH SUBMIT (15/10) Penunjukan mitra")</f>
        <v>(4/2) submit abd v4 dan golive sdi 4 feb (28/1) mitra smp kendala budget, konfirm ulang  (26/01) penarikan kabel 12D 1550 (17/01) penarikan kabel 12D 450/1550 (13/1) MATDEL (06/01)order JPP batch-2 2026 (02/01 matdel (16/12) hold 28/11 proses DRM (6/11) tunggu approv PID (4/11) SELESAI ANJIWZING , BOQ SUDAH SUBMIT (15/10) Penunjukan mitra</v>
      </c>
      <c r="R448" s="228"/>
      <c r="S448" s="11"/>
      <c r="T448" s="11"/>
      <c r="U448" s="11"/>
      <c r="V448" s="229"/>
      <c r="W448" s="229"/>
      <c r="X448" s="229" t="str">
        <f>IFERROR(__xludf.DUMMYFUNCTION("""COMPUTED_VALUE"""),"GOLIVE")</f>
        <v>GOLIVE</v>
      </c>
      <c r="Y448" s="229" t="str">
        <f>IFERROR(__xludf.DUMMYFUNCTION("""COMPUTED_VALUE"""),"DONE")</f>
        <v>DONE</v>
      </c>
      <c r="Z448" s="229" t="str">
        <f>IFERROR(__xludf.DUMMYFUNCTION("""COMPUTED_VALUE"""),"#N/A")</f>
        <v>#N/A</v>
      </c>
      <c r="AA448" s="229">
        <f>IFERROR(__xludf.DUMMYFUNCTION("""COMPUTED_VALUE"""),2.0)</f>
        <v>2</v>
      </c>
      <c r="AB448" s="229">
        <f>IFERROR(__xludf.DUMMYFUNCTION("""COMPUTED_VALUE"""),3.0)</f>
        <v>3</v>
      </c>
      <c r="AC448" s="229" t="str">
        <f>IFERROR(__xludf.DUMMYFUNCTION("""COMPUTED_VALUE"""),"9064995#9065007")</f>
        <v>9064995#9065007</v>
      </c>
      <c r="AD448" s="232">
        <f>IFERROR(__xludf.DUMMYFUNCTION("""COMPUTED_VALUE"""),64.0)</f>
        <v>64</v>
      </c>
      <c r="AE448" s="233">
        <f>IFERROR(__xludf.DUMMYFUNCTION("""COMPUTED_VALUE"""),46057.0)</f>
        <v>46057</v>
      </c>
      <c r="AF448" s="54"/>
      <c r="AG448" s="54"/>
      <c r="AH448" s="54"/>
      <c r="AI448" s="55" t="str">
        <f t="shared" si="60"/>
        <v/>
      </c>
      <c r="AW448" s="234"/>
      <c r="BP448" s="11"/>
      <c r="BQ448" s="11"/>
      <c r="BR448" s="235"/>
      <c r="BV448" s="158"/>
      <c r="BY448" s="158"/>
      <c r="CB448" s="158"/>
    </row>
    <row r="449" ht="18.0" hidden="1" customHeight="1">
      <c r="A449" s="222">
        <f>IFERROR(__xludf.DUMMYFUNCTION("""COMPUTED_VALUE"""),2026.0)</f>
        <v>2026</v>
      </c>
      <c r="B449" s="221">
        <f>IFERROR(__xludf.DUMMYFUNCTION("""COMPUTED_VALUE"""),1.1398786E7)</f>
        <v>11398786</v>
      </c>
      <c r="C449" s="222" t="str">
        <f>IFERROR(__xludf.DUMMYFUNCTION("""COMPUTED_VALUE"""),"MDN PT4 LBP-FF JL.MESJID I")</f>
        <v>MDN PT4 LBP-FF JL.MESJID I</v>
      </c>
      <c r="D449" s="222" t="str">
        <f>IFERROR(__xludf.DUMMYFUNCTION("""COMPUTED_VALUE"""),"REGIONAL I")</f>
        <v>REGIONAL I</v>
      </c>
      <c r="E449" s="222" t="str">
        <f>IFERROR(__xludf.DUMMYFUNCTION("""COMPUTED_VALUE"""),"MEDAN")</f>
        <v>MEDAN</v>
      </c>
      <c r="F449" s="222" t="str">
        <f>IFERROR(__xludf.DUMMYFUNCTION("""COMPUTED_VALUE"""),"LBP")</f>
        <v>LBP</v>
      </c>
      <c r="G449" s="222" t="str">
        <f>IFERROR(__xludf.DUMMYFUNCTION("""COMPUTED_VALUE"""),"SUMBAGUT")</f>
        <v>SUMBAGUT</v>
      </c>
      <c r="H449" s="222" t="str">
        <f>IFERROR(__xludf.DUMMYFUNCTION("""COMPUTED_VALUE"""),"MEDAN")</f>
        <v>MEDAN</v>
      </c>
      <c r="I449" s="222" t="str">
        <f>IFERROR(__xludf.DUMMYFUNCTION("""COMPUTED_VALUE"""),"Batch 2")</f>
        <v>Batch 2</v>
      </c>
      <c r="J449" s="225">
        <f>IFERROR(__xludf.DUMMYFUNCTION("""COMPUTED_VALUE"""),10.0)</f>
        <v>10</v>
      </c>
      <c r="K449" s="224">
        <f>IFERROR(__xludf.DUMMYFUNCTION("""COMPUTED_VALUE"""),80.0)</f>
        <v>80</v>
      </c>
      <c r="L449" s="226">
        <f>IFERROR(__xludf.DUMMYFUNCTION("""COMPUTED_VALUE"""),1495078.0)</f>
        <v>1495078</v>
      </c>
      <c r="M449" s="227">
        <f>IFERROR(__xludf.DUMMYFUNCTION("""COMPUTED_VALUE"""),1.19606179E8)</f>
        <v>119606179</v>
      </c>
      <c r="N449" s="222" t="str">
        <f>IFERROR(__xludf.DUMMYFUNCTION("""COMPUTED_VALUE"""),"PT BONGKAR SEJATI ANDALAN")</f>
        <v>PT BONGKAR SEJATI ANDALAN</v>
      </c>
      <c r="O449" s="222" t="str">
        <f>IFERROR(__xludf.DUMMYFUNCTION("""COMPUTED_VALUE"""),"0. DROP")</f>
        <v>0. DROP</v>
      </c>
      <c r="P449" s="222" t="str">
        <f>IFERROR(__xludf.DUMMYFUNCTION("""COMPUTED_VALUE"""),"0.4 CPP Tinggi Acc ED TIF")</f>
        <v>0.4 CPP Tinggi Acc ED TIF</v>
      </c>
      <c r="Q449" s="222" t="str">
        <f>IFERROR(__xludf.DUMMYFUNCTION("""COMPUTED_VALUE"""),"26/01 proses perizinan kades comcase 20 JT
(07/01) Persiapan
02/10  Plan Pengecekkan Petikkan  feeder existing dan perizinan kades/lurah setempat
")</f>
        <v>26/01 proses perizinan kades comcase 20 JT
(07/01) Persiapan
02/10  Plan Pengecekkan Petikkan  feeder existing dan perizinan kades/lurah setempat
</v>
      </c>
      <c r="R449" s="228"/>
      <c r="S449" s="11"/>
      <c r="T449" s="11"/>
      <c r="U449" s="11"/>
      <c r="V449" s="229"/>
      <c r="W449" s="229"/>
      <c r="X449" s="229" t="str">
        <f>IFERROR(__xludf.DUMMYFUNCTION("""COMPUTED_VALUE"""),"BELUM GOLIVE")</f>
        <v>BELUM GOLIVE</v>
      </c>
      <c r="Y449" s="229"/>
      <c r="Z449" s="229" t="str">
        <f>IFERROR(__xludf.DUMMYFUNCTION("""COMPUTED_VALUE"""),"#N/A")</f>
        <v>#N/A</v>
      </c>
      <c r="AA449" s="229"/>
      <c r="AB449" s="229"/>
      <c r="AC449" s="229"/>
      <c r="AD449" s="232"/>
      <c r="AE449" s="233"/>
      <c r="AF449" s="54" t="str">
        <f>IFERROR(__xludf.DUMMYFUNCTION("""COMPUTED_VALUE"""),"Draft BA DROP")</f>
        <v>Draft BA DROP</v>
      </c>
      <c r="AG449" s="54"/>
      <c r="AH449" s="54"/>
      <c r="AI449" s="55" t="str">
        <f t="shared" si="60"/>
        <v/>
      </c>
      <c r="AW449" s="234"/>
      <c r="BP449" s="11"/>
      <c r="BQ449" s="11"/>
      <c r="BR449" s="235"/>
      <c r="BV449" s="158"/>
      <c r="BY449" s="158"/>
      <c r="CB449" s="158"/>
    </row>
    <row r="450" ht="18.0" hidden="1" customHeight="1">
      <c r="A450" s="222">
        <f>IFERROR(__xludf.DUMMYFUNCTION("""COMPUTED_VALUE"""),2026.0)</f>
        <v>2026</v>
      </c>
      <c r="B450" s="221">
        <f>IFERROR(__xludf.DUMMYFUNCTION("""COMPUTED_VALUE"""),1.1137686E7)</f>
        <v>11137686</v>
      </c>
      <c r="C450" s="222" t="str">
        <f>IFERROR(__xludf.DUMMYFUNCTION("""COMPUTED_VALUE"""),"MDN PT3 P7I4 PDB-FN PERUMAHAN ASRI INDAH")</f>
        <v>MDN PT3 P7I4 PDB-FN PERUMAHAN ASRI INDAH</v>
      </c>
      <c r="D450" s="222" t="str">
        <f>IFERROR(__xludf.DUMMYFUNCTION("""COMPUTED_VALUE"""),"REGIONAL I")</f>
        <v>REGIONAL I</v>
      </c>
      <c r="E450" s="222" t="str">
        <f>IFERROR(__xludf.DUMMYFUNCTION("""COMPUTED_VALUE"""),"MEDAN")</f>
        <v>MEDAN</v>
      </c>
      <c r="F450" s="222" t="str">
        <f>IFERROR(__xludf.DUMMYFUNCTION("""COMPUTED_VALUE"""),"PDB")</f>
        <v>PDB</v>
      </c>
      <c r="G450" s="222" t="str">
        <f>IFERROR(__xludf.DUMMYFUNCTION("""COMPUTED_VALUE"""),"SUMBAGUT")</f>
        <v>SUMBAGUT</v>
      </c>
      <c r="H450" s="222" t="str">
        <f>IFERROR(__xludf.DUMMYFUNCTION("""COMPUTED_VALUE"""),"MEDAN")</f>
        <v>MEDAN</v>
      </c>
      <c r="I450" s="222" t="str">
        <f>IFERROR(__xludf.DUMMYFUNCTION("""COMPUTED_VALUE"""),"Batch 2")</f>
        <v>Batch 2</v>
      </c>
      <c r="J450" s="225">
        <f>IFERROR(__xludf.DUMMYFUNCTION("""COMPUTED_VALUE"""),7.0)</f>
        <v>7</v>
      </c>
      <c r="K450" s="224">
        <f>IFERROR(__xludf.DUMMYFUNCTION("""COMPUTED_VALUE"""),56.0)</f>
        <v>56</v>
      </c>
      <c r="L450" s="226">
        <f>IFERROR(__xludf.DUMMYFUNCTION("""COMPUTED_VALUE"""),1273240.0)</f>
        <v>1273240</v>
      </c>
      <c r="M450" s="227">
        <f>IFERROR(__xludf.DUMMYFUNCTION("""COMPUTED_VALUE"""),7.1301403E7)</f>
        <v>71301403</v>
      </c>
      <c r="N450" s="222" t="str">
        <f>IFERROR(__xludf.DUMMYFUNCTION("""COMPUTED_VALUE"""),"PT GLOBAL KARYA WANDA")</f>
        <v>PT GLOBAL KARYA WANDA</v>
      </c>
      <c r="O450" s="222" t="str">
        <f>IFERROR(__xludf.DUMMYFUNCTION("""COMPUTED_VALUE"""),"0. DROP")</f>
        <v>0. DROP</v>
      </c>
      <c r="P450" s="222" t="str">
        <f>IFERROR(__xludf.DUMMYFUNCTION("""COMPUTED_VALUE"""),"0.4 CPP Tinggi Acc ED TIF")</f>
        <v>0.4 CPP Tinggi Acc ED TIF</v>
      </c>
      <c r="Q450" s="222" t="str">
        <f>IFERROR(__xludf.DUMMYFUNCTION("""COMPUTED_VALUE"""),"27/02 feeder redti 26/02 done order")</f>
        <v>27/02 feeder redti 26/02 done order</v>
      </c>
      <c r="R450" s="228"/>
      <c r="S450" s="11"/>
      <c r="T450" s="11"/>
      <c r="U450" s="11"/>
      <c r="V450" s="229"/>
      <c r="W450" s="229"/>
      <c r="X450" s="229" t="str">
        <f>IFERROR(__xludf.DUMMYFUNCTION("""COMPUTED_VALUE"""),"BELUM GOLIVE")</f>
        <v>BELUM GOLIVE</v>
      </c>
      <c r="Y450" s="229"/>
      <c r="Z450" s="229" t="str">
        <f>IFERROR(__xludf.DUMMYFUNCTION("""COMPUTED_VALUE"""),"#N/A")</f>
        <v>#N/A</v>
      </c>
      <c r="AA450" s="229"/>
      <c r="AB450" s="229"/>
      <c r="AC450" s="229"/>
      <c r="AD450" s="232"/>
      <c r="AE450" s="233"/>
      <c r="AF450" s="54" t="str">
        <f>IFERROR(__xludf.DUMMYFUNCTION("""COMPUTED_VALUE"""),"Draft BA DROP")</f>
        <v>Draft BA DROP</v>
      </c>
      <c r="AG450" s="54"/>
      <c r="AH450" s="54"/>
      <c r="AI450" s="55" t="str">
        <f t="shared" si="60"/>
        <v/>
      </c>
      <c r="AW450" s="234"/>
      <c r="BP450" s="11"/>
      <c r="BQ450" s="11"/>
      <c r="BR450" s="235"/>
      <c r="BV450" s="158"/>
      <c r="BY450" s="158"/>
      <c r="CB450" s="158"/>
    </row>
    <row r="451" ht="18.0" hidden="1" customHeight="1">
      <c r="A451" s="222">
        <f>IFERROR(__xludf.DUMMYFUNCTION("""COMPUTED_VALUE"""),2026.0)</f>
        <v>2026</v>
      </c>
      <c r="B451" s="221">
        <f>IFERROR(__xludf.DUMMYFUNCTION("""COMPUTED_VALUE"""),1.214255E7)</f>
        <v>12142550</v>
      </c>
      <c r="C451" s="222" t="str">
        <f>IFERROR(__xludf.DUMMYFUNCTION("""COMPUTED_VALUE"""),"SMS PT3 IDL FAE D01 OGAN ILIR_143136")</f>
        <v>SMS PT3 IDL FAE D01 OGAN ILIR_143136</v>
      </c>
      <c r="D451" s="222" t="str">
        <f>IFERROR(__xludf.DUMMYFUNCTION("""COMPUTED_VALUE"""),"REGIONAL I")</f>
        <v>REGIONAL I</v>
      </c>
      <c r="E451" s="222" t="str">
        <f>IFERROR(__xludf.DUMMYFUNCTION("""COMPUTED_VALUE"""),"SUMSEL")</f>
        <v>SUMSEL</v>
      </c>
      <c r="F451" s="222" t="str">
        <f>IFERROR(__xludf.DUMMYFUNCTION("""COMPUTED_VALUE"""),"IDL")</f>
        <v>IDL</v>
      </c>
      <c r="G451" s="222" t="str">
        <f>IFERROR(__xludf.DUMMYFUNCTION("""COMPUTED_VALUE"""),"SUMBAGSEL")</f>
        <v>SUMBAGSEL</v>
      </c>
      <c r="H451" s="222" t="str">
        <f>IFERROR(__xludf.DUMMYFUNCTION("""COMPUTED_VALUE"""),"PALEMBANG")</f>
        <v>PALEMBANG</v>
      </c>
      <c r="I451" s="222" t="str">
        <f>IFERROR(__xludf.DUMMYFUNCTION("""COMPUTED_VALUE"""),"Batch 2")</f>
        <v>Batch 2</v>
      </c>
      <c r="J451" s="225">
        <f>IFERROR(__xludf.DUMMYFUNCTION("""COMPUTED_VALUE"""),2.0)</f>
        <v>2</v>
      </c>
      <c r="K451" s="224">
        <f>IFERROR(__xludf.DUMMYFUNCTION("""COMPUTED_VALUE"""),16.0)</f>
        <v>16</v>
      </c>
      <c r="L451" s="226">
        <f>IFERROR(__xludf.DUMMYFUNCTION("""COMPUTED_VALUE"""),1273225.0)</f>
        <v>1273225</v>
      </c>
      <c r="M451" s="227">
        <f>IFERROR(__xludf.DUMMYFUNCTION("""COMPUTED_VALUE"""),2.0371591E7)</f>
        <v>20371591</v>
      </c>
      <c r="N451" s="222" t="str">
        <f>IFERROR(__xludf.DUMMYFUNCTION("""COMPUTED_VALUE"""),"PT SARANA MITRA PERSADA")</f>
        <v>PT SARANA MITRA PERSADA</v>
      </c>
      <c r="O451" s="222" t="str">
        <f>IFERROR(__xludf.DUMMYFUNCTION("""COMPUTED_VALUE"""),"7. GOLIVE")</f>
        <v>7. GOLIVE</v>
      </c>
      <c r="P451" s="222" t="str">
        <f>IFERROR(__xludf.DUMMYFUNCTION("""COMPUTED_VALUE"""),"7.2 Golive Full / OA / DONE OTB")</f>
        <v>7.2 Golive Full / OA / DONE OTB</v>
      </c>
      <c r="Q451" s="222" t="str">
        <f>IFERROR(__xludf.DUMMYFUNCTION("""COMPUTED_VALUE"""),"16/03 GOLIVE, 15/03 REVISI - SUBMIT ABD KE SDI, 14/03 LANJUT PROGRESS TERMINASI ODP, 13/03 OGP MENCARI CORE, 11/03 PROGRESS PEMASANGAN ODP - MASIH MENCARI CORE, 10/03 OGP PEMASANGAN ODP 04/03 OGP PEMASANGAN ODP, 03/03 DONE PENARIKAN KABEL 300M DAN PEMASAN"&amp;"GAN AKSESORIS, 27/02 MATERIAL ONSITE, 26/02 OGP AMBIL MATERIAL, 25/02 AMBIL MATERIAL TGL 26/2, 24/02 DONE RFC, OGP PENGAMBILAN MATERIAL, 23/02 MATERIAL DELIVERY, 22/2 menunggu material TIANG  20/02 OGP MATDEL - MENUNGGU TIANG KRNA DI GUDANG KOSONG, 15/02 "&amp;"DONE INPUT MATERIAL, 10/2 perubahan design menunggu confirm dari sales TSEL. , plan Matdel 13 FEB  09/02 PROSES CREATE PID, 06/02 HASIL REVIEW TSEL LANJUT DRM, 6/2 proses create PID 31/01 02 feb tunggu DRM 30/01 DONE EVAL, LANJUT PROGRES, ADA PENURUNAN NI"&amp;"LAI DARI PLAN DG HASIL AANWJIZNG, 28/01 DONE AANWIDJZING, (21/01) HI aanwjizng ke lokasi, (15/1) ORDER DITERIMA 14/1, PLAN AANWIJDZING  20 JAN 26 (06/01)order JPP batch-2 2026 (16/12 HOLD, 08/12 masih menunggu antrian progress pekerjaan, 21/11 masih menun"&amp;"ggu antrian progress pekerjaan, 18/11 30 november baru mulai progress , 10/11 30 november baru mulai progress 04/11 matdel 08/10 aanwizjing done, proses update data hasil aanwizjing untuk eval dg tif
01/10 proses aanwijzing HI.")</f>
        <v>16/03 GOLIVE, 15/03 REVISI - SUBMIT ABD KE SDI, 14/03 LANJUT PROGRESS TERMINASI ODP, 13/03 OGP MENCARI CORE, 11/03 PROGRESS PEMASANGAN ODP - MASIH MENCARI CORE, 10/03 OGP PEMASANGAN ODP 04/03 OGP PEMASANGAN ODP, 03/03 DONE PENARIKAN KABEL 300M DAN PEMASANGAN AKSESORIS, 27/02 MATERIAL ONSITE, 26/02 OGP AMBIL MATERIAL, 25/02 AMBIL MATERIAL TGL 26/2, 24/02 DONE RFC, OGP PENGAMBILAN MATERIAL, 23/02 MATERIAL DELIVERY, 22/2 menunggu material TIANG  20/02 OGP MATDEL - MENUNGGU TIANG KRNA DI GUDANG KOSONG, 15/02 DONE INPUT MATERIAL, 10/2 perubahan design menunggu confirm dari sales TSEL. , plan Matdel 13 FEB  09/02 PROSES CREATE PID, 06/02 HASIL REVIEW TSEL LANJUT DRM, 6/2 proses create PID 31/01 02 feb tunggu DRM 30/01 DONE EVAL, LANJUT PROGRES, ADA PENURUNAN NILAI DARI PLAN DG HASIL AANWJIZNG, 28/01 DONE AANWIDJZING, (21/01) HI aanwjizng ke lokasi, (15/1) ORDER DITERIMA 14/1, PLAN AANWIJDZING  20 JAN 26 (06/01)order JPP batch-2 2026 (16/12 HOLD, 08/12 masih menunggu antrian progress pekerjaan, 21/11 masih menunggu antrian progress pekerjaan, 18/11 30 november baru mulai progress , 10/11 30 november baru mulai progress 04/11 matdel 08/10 aanwizjing done, proses update data hasil aanwizjing untuk eval dg tif
01/10 proses aanwijzing HI.</v>
      </c>
      <c r="R451" s="228">
        <f>IFERROR(__xludf.DUMMYFUNCTION("""COMPUTED_VALUE"""),46093.0)</f>
        <v>46093</v>
      </c>
      <c r="S451" s="11" t="str">
        <f>IFERROR(__xludf.DUMMYFUNCTION("""COMPUTED_VALUE"""),"MAR")</f>
        <v>MAR</v>
      </c>
      <c r="T451" s="11" t="str">
        <f>IFERROR(__xludf.DUMMYFUNCTION("""COMPUTED_VALUE"""),"P1")</f>
        <v>P1</v>
      </c>
      <c r="U451" s="11"/>
      <c r="V451" s="229" t="str">
        <f>IFERROR(__xludf.DUMMYFUNCTION("""COMPUTED_VALUE"""),"RENALDO")</f>
        <v>RENALDO</v>
      </c>
      <c r="W451" s="229"/>
      <c r="X451" s="229" t="str">
        <f>IFERROR(__xludf.DUMMYFUNCTION("""COMPUTED_VALUE"""),"GOLIVE")</f>
        <v>GOLIVE</v>
      </c>
      <c r="Y451" s="229" t="str">
        <f>IFERROR(__xludf.DUMMYFUNCTION("""COMPUTED_VALUE"""),"DONE")</f>
        <v>DONE</v>
      </c>
      <c r="Z451" s="229" t="str">
        <f>IFERROR(__xludf.DUMMYFUNCTION("""COMPUTED_VALUE"""),"#N/A")</f>
        <v>#N/A</v>
      </c>
      <c r="AA451" s="229">
        <f>IFERROR(__xludf.DUMMYFUNCTION("""COMPUTED_VALUE"""),2.0)</f>
        <v>2</v>
      </c>
      <c r="AB451" s="229"/>
      <c r="AC451" s="229" t="str">
        <f>IFERROR(__xludf.DUMMYFUNCTION("""COMPUTED_VALUE"""),"9087323#9087328")</f>
        <v>9087323#9087328</v>
      </c>
      <c r="AD451" s="232">
        <f>IFERROR(__xludf.DUMMYFUNCTION("""COMPUTED_VALUE"""),16.0)</f>
        <v>16</v>
      </c>
      <c r="AE451" s="233">
        <f>IFERROR(__xludf.DUMMYFUNCTION("""COMPUTED_VALUE"""),46095.0)</f>
        <v>46095</v>
      </c>
      <c r="AF451" s="54"/>
      <c r="AG451" s="54"/>
      <c r="AH451" s="54">
        <v>46093.0</v>
      </c>
      <c r="AI451" s="55">
        <f t="shared" si="60"/>
        <v>-2</v>
      </c>
      <c r="AW451" s="234"/>
      <c r="BP451" s="11"/>
      <c r="BQ451" s="11"/>
      <c r="BR451" s="235"/>
      <c r="BV451" s="158"/>
      <c r="BY451" s="158"/>
      <c r="CB451" s="158"/>
    </row>
    <row r="452" ht="18.0" hidden="1" customHeight="1">
      <c r="A452" s="222">
        <f>IFERROR(__xludf.DUMMYFUNCTION("""COMPUTED_VALUE"""),2026.0)</f>
        <v>2026</v>
      </c>
      <c r="B452" s="221">
        <f>IFERROR(__xludf.DUMMYFUNCTION("""COMPUTED_VALUE"""),1.1404843E7)</f>
        <v>11404843</v>
      </c>
      <c r="C452" s="222" t="str">
        <f>IFERROR(__xludf.DUMMYFUNCTION("""COMPUTED_VALUE"""),"MDN PT3 PDB-FD PRUM GRIYA T SELAMAT")</f>
        <v>MDN PT3 PDB-FD PRUM GRIYA T SELAMAT</v>
      </c>
      <c r="D452" s="222" t="str">
        <f>IFERROR(__xludf.DUMMYFUNCTION("""COMPUTED_VALUE"""),"REGIONAL I")</f>
        <v>REGIONAL I</v>
      </c>
      <c r="E452" s="222" t="str">
        <f>IFERROR(__xludf.DUMMYFUNCTION("""COMPUTED_VALUE"""),"MEDAN")</f>
        <v>MEDAN</v>
      </c>
      <c r="F452" s="222" t="str">
        <f>IFERROR(__xludf.DUMMYFUNCTION("""COMPUTED_VALUE"""),"PDB")</f>
        <v>PDB</v>
      </c>
      <c r="G452" s="222" t="str">
        <f>IFERROR(__xludf.DUMMYFUNCTION("""COMPUTED_VALUE"""),"SUMBAGUT")</f>
        <v>SUMBAGUT</v>
      </c>
      <c r="H452" s="222" t="str">
        <f>IFERROR(__xludf.DUMMYFUNCTION("""COMPUTED_VALUE"""),"MEDAN")</f>
        <v>MEDAN</v>
      </c>
      <c r="I452" s="222" t="str">
        <f>IFERROR(__xludf.DUMMYFUNCTION("""COMPUTED_VALUE"""),"Batch 2")</f>
        <v>Batch 2</v>
      </c>
      <c r="J452" s="225">
        <f>IFERROR(__xludf.DUMMYFUNCTION("""COMPUTED_VALUE"""),6.0)</f>
        <v>6</v>
      </c>
      <c r="K452" s="224">
        <f>IFERROR(__xludf.DUMMYFUNCTION("""COMPUTED_VALUE"""),48.0)</f>
        <v>48</v>
      </c>
      <c r="L452" s="226">
        <f>IFERROR(__xludf.DUMMYFUNCTION("""COMPUTED_VALUE"""),1281228.0)</f>
        <v>1281228</v>
      </c>
      <c r="M452" s="227">
        <f>IFERROR(__xludf.DUMMYFUNCTION("""COMPUTED_VALUE"""),6.1498916E7)</f>
        <v>61498916</v>
      </c>
      <c r="N452" s="222" t="str">
        <f>IFERROR(__xludf.DUMMYFUNCTION("""COMPUTED_VALUE"""),"PT BANGUN PRIMA SEMESTA")</f>
        <v>PT BANGUN PRIMA SEMESTA</v>
      </c>
      <c r="O452" s="222" t="str">
        <f>IFERROR(__xludf.DUMMYFUNCTION("""COMPUTED_VALUE"""),"0. DROP")</f>
        <v>0. DROP</v>
      </c>
      <c r="P452" s="222" t="str">
        <f>IFERROR(__xludf.DUMMYFUNCTION("""COMPUTED_VALUE"""),"0.4 CPP Tinggi Acc ED TIF")</f>
        <v>0.4 CPP Tinggi Acc ED TIF</v>
      </c>
      <c r="Q452" s="222" t="str">
        <f>IFERROR(__xludf.DUMMYFUNCTION("""COMPUTED_VALUE"""),"13/02 Menunggu LoP MDN PT4 P7I3 PDB-FD PRUM GRY MUTIARA4 01/11 Feeder Loss
(24/09) Perizinan Warga dan Kades / Lurah
(23/09) Perizinan Warga dan Kades / Lurah
15/09 proses aanwijzing")</f>
        <v>13/02 Menunggu LoP MDN PT4 P7I3 PDB-FD PRUM GRY MUTIARA4 01/11 Feeder Loss
(24/09) Perizinan Warga dan Kades / Lurah
(23/09) Perizinan Warga dan Kades / Lurah
15/09 proses aanwijzing</v>
      </c>
      <c r="R452" s="228"/>
      <c r="S452" s="11"/>
      <c r="T452" s="11"/>
      <c r="U452" s="11"/>
      <c r="V452" s="229"/>
      <c r="W452" s="229"/>
      <c r="X452" s="229" t="str">
        <f>IFERROR(__xludf.DUMMYFUNCTION("""COMPUTED_VALUE"""),"BELUM GOLIVE")</f>
        <v>BELUM GOLIVE</v>
      </c>
      <c r="Y452" s="229"/>
      <c r="Z452" s="229" t="str">
        <f>IFERROR(__xludf.DUMMYFUNCTION("""COMPUTED_VALUE"""),"#N/A")</f>
        <v>#N/A</v>
      </c>
      <c r="AA452" s="229"/>
      <c r="AB452" s="229"/>
      <c r="AC452" s="229"/>
      <c r="AD452" s="232"/>
      <c r="AE452" s="233"/>
      <c r="AF452" s="54" t="str">
        <f>IFERROR(__xludf.DUMMYFUNCTION("""COMPUTED_VALUE"""),"Draft BA DROP")</f>
        <v>Draft BA DROP</v>
      </c>
      <c r="AG452" s="54"/>
      <c r="AH452" s="54"/>
      <c r="AI452" s="55" t="str">
        <f t="shared" si="60"/>
        <v/>
      </c>
      <c r="AW452" s="234"/>
      <c r="BP452" s="11"/>
      <c r="BQ452" s="11"/>
      <c r="BR452" s="235"/>
      <c r="BV452" s="158"/>
      <c r="BY452" s="158"/>
      <c r="CB452" s="158"/>
    </row>
    <row r="453" ht="18.0" hidden="1" customHeight="1">
      <c r="A453" s="222">
        <f>IFERROR(__xludf.DUMMYFUNCTION("""COMPUTED_VALUE"""),2026.0)</f>
        <v>2026</v>
      </c>
      <c r="B453" s="221">
        <f>IFERROR(__xludf.DUMMYFUNCTION("""COMPUTED_VALUE"""),1.1187665E7)</f>
        <v>11187665</v>
      </c>
      <c r="C453" s="222" t="str">
        <f>IFERROR(__xludf.DUMMYFUNCTION("""COMPUTED_VALUE"""),"MDN PT3 TJR-FAJ JL.SAUDARA GG.COKRO")</f>
        <v>MDN PT3 TJR-FAJ JL.SAUDARA GG.COKRO</v>
      </c>
      <c r="D453" s="222" t="str">
        <f>IFERROR(__xludf.DUMMYFUNCTION("""COMPUTED_VALUE"""),"REGIONAL I")</f>
        <v>REGIONAL I</v>
      </c>
      <c r="E453" s="222" t="str">
        <f>IFERROR(__xludf.DUMMYFUNCTION("""COMPUTED_VALUE"""),"MEDAN")</f>
        <v>MEDAN</v>
      </c>
      <c r="F453" s="222" t="str">
        <f>IFERROR(__xludf.DUMMYFUNCTION("""COMPUTED_VALUE"""),"TJR")</f>
        <v>TJR</v>
      </c>
      <c r="G453" s="222" t="str">
        <f>IFERROR(__xludf.DUMMYFUNCTION("""COMPUTED_VALUE"""),"SUMBAGUT")</f>
        <v>SUMBAGUT</v>
      </c>
      <c r="H453" s="222" t="str">
        <f>IFERROR(__xludf.DUMMYFUNCTION("""COMPUTED_VALUE"""),"MEDAN")</f>
        <v>MEDAN</v>
      </c>
      <c r="I453" s="222" t="str">
        <f>IFERROR(__xludf.DUMMYFUNCTION("""COMPUTED_VALUE"""),"Batch 2")</f>
        <v>Batch 2</v>
      </c>
      <c r="J453" s="225">
        <f>IFERROR(__xludf.DUMMYFUNCTION("""COMPUTED_VALUE"""),2.0)</f>
        <v>2</v>
      </c>
      <c r="K453" s="224">
        <f>IFERROR(__xludf.DUMMYFUNCTION("""COMPUTED_VALUE"""),16.0)</f>
        <v>16</v>
      </c>
      <c r="L453" s="226">
        <f>IFERROR(__xludf.DUMMYFUNCTION("""COMPUTED_VALUE"""),1290035.0)</f>
        <v>1290035</v>
      </c>
      <c r="M453" s="227">
        <f>IFERROR(__xludf.DUMMYFUNCTION("""COMPUTED_VALUE"""),2.0640545E7)</f>
        <v>20640545</v>
      </c>
      <c r="N453" s="222" t="str">
        <f>IFERROR(__xludf.DUMMYFUNCTION("""COMPUTED_VALUE"""),"PT UPAYA TEKNIK")</f>
        <v>PT UPAYA TEKNIK</v>
      </c>
      <c r="O453" s="222" t="str">
        <f>IFERROR(__xludf.DUMMYFUNCTION("""COMPUTED_VALUE"""),"8. UJI TERIMA")</f>
        <v>8. UJI TERIMA</v>
      </c>
      <c r="P453" s="222" t="str">
        <f>IFERROR(__xludf.DUMMYFUNCTION("""COMPUTED_VALUE"""),"8.1 Proses UT")</f>
        <v>8.1 Proses UT</v>
      </c>
      <c r="Q453" s="222" t="str">
        <f>IFERROR(__xludf.DUMMYFUNCTION("""COMPUTED_VALUE"""),"11/02 golive sdi
(07/01) Persiapan")</f>
        <v>11/02 golive sdi
(07/01) Persiapan</v>
      </c>
      <c r="R453" s="228">
        <f>IFERROR(__xludf.DUMMYFUNCTION("""COMPUTED_VALUE"""),46063.0)</f>
        <v>46063</v>
      </c>
      <c r="S453" s="11"/>
      <c r="T453" s="11"/>
      <c r="U453" s="11" t="str">
        <f>IFERROR(__xludf.DUMMYFUNCTION("""COMPUTED_VALUE"""),"FALSE")</f>
        <v>FALSE</v>
      </c>
      <c r="V453" s="229"/>
      <c r="W453" s="229"/>
      <c r="X453" s="229" t="str">
        <f>IFERROR(__xludf.DUMMYFUNCTION("""COMPUTED_VALUE"""),"GOLIVE")</f>
        <v>GOLIVE</v>
      </c>
      <c r="Y453" s="229" t="str">
        <f>IFERROR(__xludf.DUMMYFUNCTION("""COMPUTED_VALUE"""),"DONE")</f>
        <v>DONE</v>
      </c>
      <c r="Z453" s="229" t="str">
        <f>IFERROR(__xludf.DUMMYFUNCTION("""COMPUTED_VALUE"""),"#N/A")</f>
        <v>#N/A</v>
      </c>
      <c r="AA453" s="229">
        <f>IFERROR(__xludf.DUMMYFUNCTION("""COMPUTED_VALUE"""),2.0)</f>
        <v>2</v>
      </c>
      <c r="AB453" s="229"/>
      <c r="AC453" s="229" t="str">
        <f>IFERROR(__xludf.DUMMYFUNCTION("""COMPUTED_VALUE"""),"9091602#9091607")</f>
        <v>9091602#9091607</v>
      </c>
      <c r="AD453" s="232">
        <f>IFERROR(__xludf.DUMMYFUNCTION("""COMPUTED_VALUE"""),16.0)</f>
        <v>16</v>
      </c>
      <c r="AE453" s="233">
        <f>IFERROR(__xludf.DUMMYFUNCTION("""COMPUTED_VALUE"""),46063.0)</f>
        <v>46063</v>
      </c>
      <c r="AF453" s="54"/>
      <c r="AG453" s="54"/>
      <c r="AH453" s="54">
        <v>46063.0</v>
      </c>
      <c r="AI453" s="55">
        <f t="shared" si="60"/>
        <v>0</v>
      </c>
      <c r="AW453" s="234"/>
      <c r="BP453" s="11"/>
      <c r="BQ453" s="11"/>
      <c r="BR453" s="235"/>
      <c r="BV453" s="158"/>
      <c r="BY453" s="158"/>
      <c r="CB453" s="158"/>
    </row>
    <row r="454" ht="18.0" hidden="1" customHeight="1">
      <c r="A454" s="222">
        <f>IFERROR(__xludf.DUMMYFUNCTION("""COMPUTED_VALUE"""),2026.0)</f>
        <v>2026</v>
      </c>
      <c r="B454" s="221">
        <f>IFERROR(__xludf.DUMMYFUNCTION("""COMPUTED_VALUE"""),1.0815393E7)</f>
        <v>10815393</v>
      </c>
      <c r="C454" s="222" t="str">
        <f>IFERROR(__xludf.DUMMYFUNCTION("""COMPUTED_VALUE"""),"JBI-PT3 BRANCHING-SPN-FL-marjono")</f>
        <v>JBI-PT3 BRANCHING-SPN-FL-marjono</v>
      </c>
      <c r="D454" s="222" t="str">
        <f>IFERROR(__xludf.DUMMYFUNCTION("""COMPUTED_VALUE"""),"REGIONAL I")</f>
        <v>REGIONAL I</v>
      </c>
      <c r="E454" s="222" t="str">
        <f>IFERROR(__xludf.DUMMYFUNCTION("""COMPUTED_VALUE"""),"JAMBI")</f>
        <v>JAMBI</v>
      </c>
      <c r="F454" s="222" t="str">
        <f>IFERROR(__xludf.DUMMYFUNCTION("""COMPUTED_VALUE"""),"SPN")</f>
        <v>SPN</v>
      </c>
      <c r="G454" s="222" t="str">
        <f>IFERROR(__xludf.DUMMYFUNCTION("""COMPUTED_VALUE"""),"SUMBAGSEL")</f>
        <v>SUMBAGSEL</v>
      </c>
      <c r="H454" s="222" t="str">
        <f>IFERROR(__xludf.DUMMYFUNCTION("""COMPUTED_VALUE"""),"JAMBI")</f>
        <v>JAMBI</v>
      </c>
      <c r="I454" s="222" t="str">
        <f>IFERROR(__xludf.DUMMYFUNCTION("""COMPUTED_VALUE"""),"Batch 2")</f>
        <v>Batch 2</v>
      </c>
      <c r="J454" s="225">
        <f>IFERROR(__xludf.DUMMYFUNCTION("""COMPUTED_VALUE"""),3.0)</f>
        <v>3</v>
      </c>
      <c r="K454" s="224">
        <f>IFERROR(__xludf.DUMMYFUNCTION("""COMPUTED_VALUE"""),24.0)</f>
        <v>24</v>
      </c>
      <c r="L454" s="226">
        <f>IFERROR(__xludf.DUMMYFUNCTION("""COMPUTED_VALUE"""),1271921.0)</f>
        <v>1271921</v>
      </c>
      <c r="M454" s="227">
        <f>IFERROR(__xludf.DUMMYFUNCTION("""COMPUTED_VALUE"""),3.0526101E7)</f>
        <v>30526101</v>
      </c>
      <c r="N454" s="222" t="str">
        <f>IFERROR(__xludf.DUMMYFUNCTION("""COMPUTED_VALUE"""),"PT SARANA MITRA PERSADA")</f>
        <v>PT SARANA MITRA PERSADA</v>
      </c>
      <c r="O454" s="222" t="str">
        <f>IFERROR(__xludf.DUMMYFUNCTION("""COMPUTED_VALUE"""),"7. GOLIVE")</f>
        <v>7. GOLIVE</v>
      </c>
      <c r="P454" s="222" t="str">
        <f>IFERROR(__xludf.DUMMYFUNCTION("""COMPUTED_VALUE"""),"7.2 Golive Full / OA / DONE OTB")</f>
        <v>7.2 Golive Full / OA / DONE OTB</v>
      </c>
      <c r="Q454" s="222" t="str">
        <f>IFERROR(__xludf.DUMMYFUNCTION("""COMPUTED_VALUE"""),"19/04 golive 17/04 Finis instalasi 16/04 Penarikan kabel hasil Negoisasi SPSI menjadi 800 ribu (15/04) Tanam tiang Kendala SPSI Meminta kompensasi 1.5 juta (12/1) BA Drop Sirkulir - Feeder Habis (06/01)order JPP batch-2 2026 ((16/10) Drop Feeder Habis (15"&amp;"/10) Proses Aanwijzing 06/10 Penjadwalan aanwijzing (16/09) Mapping mitra")</f>
        <v>19/04 golive 17/04 Finis instalasi 16/04 Penarikan kabel hasil Negoisasi SPSI menjadi 800 ribu (15/04) Tanam tiang Kendala SPSI Meminta kompensasi 1.5 juta (12/1) BA Drop Sirkulir - Feeder Habis (06/01)order JPP batch-2 2026 ((16/10) Drop Feeder Habis (15/10) Proses Aanwijzing 06/10 Penjadwalan aanwijzing (16/09) Mapping mitra</v>
      </c>
      <c r="R454" s="228">
        <f>IFERROR(__xludf.DUMMYFUNCTION("""COMPUTED_VALUE"""),46131.0)</f>
        <v>46131</v>
      </c>
      <c r="S454" s="11"/>
      <c r="T454" s="11"/>
      <c r="U454" s="11"/>
      <c r="V454" s="229"/>
      <c r="W454" s="229"/>
      <c r="X454" s="229" t="str">
        <f>IFERROR(__xludf.DUMMYFUNCTION("""COMPUTED_VALUE"""),"GOLIVE")</f>
        <v>GOLIVE</v>
      </c>
      <c r="Y454" s="229" t="str">
        <f>IFERROR(__xludf.DUMMYFUNCTION("""COMPUTED_VALUE"""),"DONE")</f>
        <v>DONE</v>
      </c>
      <c r="Z454" s="229" t="str">
        <f>IFERROR(__xludf.DUMMYFUNCTION("""COMPUTED_VALUE"""),"#N/A")</f>
        <v>#N/A</v>
      </c>
      <c r="AA454" s="229">
        <f>IFERROR(__xludf.DUMMYFUNCTION("""COMPUTED_VALUE"""),1.0)</f>
        <v>1</v>
      </c>
      <c r="AB454" s="229"/>
      <c r="AC454" s="229" t="str">
        <f>IFERROR(__xludf.DUMMYFUNCTION("""COMPUTED_VALUE"""),"9285576#9285581")</f>
        <v>9285576#9285581</v>
      </c>
      <c r="AD454" s="232">
        <f>IFERROR(__xludf.DUMMYFUNCTION("""COMPUTED_VALUE"""),8.0)</f>
        <v>8</v>
      </c>
      <c r="AE454" s="233">
        <f>IFERROR(__xludf.DUMMYFUNCTION("""COMPUTED_VALUE"""),46131.0)</f>
        <v>46131</v>
      </c>
      <c r="AF454" s="54"/>
      <c r="AG454" s="54"/>
      <c r="AH454" s="54"/>
      <c r="AI454" s="55">
        <f t="shared" si="60"/>
        <v>0</v>
      </c>
      <c r="AW454" s="234"/>
      <c r="BP454" s="11"/>
      <c r="BQ454" s="11"/>
      <c r="BR454" s="235"/>
      <c r="BV454" s="158"/>
      <c r="BY454" s="158"/>
      <c r="CB454" s="158"/>
    </row>
    <row r="455" ht="18.0" hidden="1" customHeight="1">
      <c r="A455" s="222">
        <f>IFERROR(__xludf.DUMMYFUNCTION("""COMPUTED_VALUE"""),2026.0)</f>
        <v>2026</v>
      </c>
      <c r="B455" s="221">
        <f>IFERROR(__xludf.DUMMYFUNCTION("""COMPUTED_VALUE"""),1.1272435E7)</f>
        <v>11272435</v>
      </c>
      <c r="C455" s="222" t="str">
        <f>IFERROR(__xludf.DUMMYFUNCTION("""COMPUTED_VALUE"""),"MDN PT4 P1I1 BLW-FE SCATTER GULAMA")</f>
        <v>MDN PT4 P1I1 BLW-FE SCATTER GULAMA</v>
      </c>
      <c r="D455" s="222" t="str">
        <f>IFERROR(__xludf.DUMMYFUNCTION("""COMPUTED_VALUE"""),"REGIONAL I")</f>
        <v>REGIONAL I</v>
      </c>
      <c r="E455" s="222" t="str">
        <f>IFERROR(__xludf.DUMMYFUNCTION("""COMPUTED_VALUE"""),"MEDAN")</f>
        <v>MEDAN</v>
      </c>
      <c r="F455" s="222" t="str">
        <f>IFERROR(__xludf.DUMMYFUNCTION("""COMPUTED_VALUE"""),"BLW")</f>
        <v>BLW</v>
      </c>
      <c r="G455" s="222" t="str">
        <f>IFERROR(__xludf.DUMMYFUNCTION("""COMPUTED_VALUE"""),"SUMBAGUT")</f>
        <v>SUMBAGUT</v>
      </c>
      <c r="H455" s="222" t="str">
        <f>IFERROR(__xludf.DUMMYFUNCTION("""COMPUTED_VALUE"""),"MEDAN")</f>
        <v>MEDAN</v>
      </c>
      <c r="I455" s="222" t="str">
        <f>IFERROR(__xludf.DUMMYFUNCTION("""COMPUTED_VALUE"""),"Batch 2")</f>
        <v>Batch 2</v>
      </c>
      <c r="J455" s="225">
        <f>IFERROR(__xludf.DUMMYFUNCTION("""COMPUTED_VALUE"""),9.0)</f>
        <v>9</v>
      </c>
      <c r="K455" s="224">
        <f>IFERROR(__xludf.DUMMYFUNCTION("""COMPUTED_VALUE"""),72.0)</f>
        <v>72</v>
      </c>
      <c r="L455" s="226">
        <f>IFERROR(__xludf.DUMMYFUNCTION("""COMPUTED_VALUE"""),905637.0)</f>
        <v>905637</v>
      </c>
      <c r="M455" s="227">
        <f>IFERROR(__xludf.DUMMYFUNCTION("""COMPUTED_VALUE"""),6.5205798E7)</f>
        <v>65205798</v>
      </c>
      <c r="N455" s="222" t="str">
        <f>IFERROR(__xludf.DUMMYFUNCTION("""COMPUTED_VALUE"""),"PT GLOBAL KARYA WANDA")</f>
        <v>PT GLOBAL KARYA WANDA</v>
      </c>
      <c r="O455" s="222" t="str">
        <f>IFERROR(__xludf.DUMMYFUNCTION("""COMPUTED_VALUE"""),"2. DONE AANWIJZING")</f>
        <v>2. DONE AANWIJZING</v>
      </c>
      <c r="P455" s="222" t="str">
        <f>IFERROR(__xludf.DUMMYFUNCTION("""COMPUTED_VALUE"""),"2.10 Kendala - Feeder Rusak")</f>
        <v>2.10 Kendala - Feeder Rusak</v>
      </c>
      <c r="Q455" s="222" t="str">
        <f>IFERROR(__xludf.DUMMYFUNCTION("""COMPUTED_VALUE"""),"24/02 feeder redti")</f>
        <v>24/02 feeder redti</v>
      </c>
      <c r="R455" s="228"/>
      <c r="S455" s="11"/>
      <c r="T455" s="11"/>
      <c r="U455" s="11"/>
      <c r="V455" s="229"/>
      <c r="W455" s="229"/>
      <c r="X455" s="229" t="str">
        <f>IFERROR(__xludf.DUMMYFUNCTION("""COMPUTED_VALUE"""),"BELUM GOLIVE")</f>
        <v>BELUM GOLIVE</v>
      </c>
      <c r="Y455" s="229"/>
      <c r="Z455" s="229" t="str">
        <f>IFERROR(__xludf.DUMMYFUNCTION("""COMPUTED_VALUE"""),"#N/A")</f>
        <v>#N/A</v>
      </c>
      <c r="AA455" s="229"/>
      <c r="AB455" s="229"/>
      <c r="AC455" s="229"/>
      <c r="AD455" s="232"/>
      <c r="AE455" s="233"/>
      <c r="AF455" s="54"/>
      <c r="AG455" s="54"/>
      <c r="AH455" s="54"/>
      <c r="AI455" s="55" t="str">
        <f t="shared" si="60"/>
        <v/>
      </c>
      <c r="AW455" s="234"/>
      <c r="BP455" s="11"/>
      <c r="BQ455" s="11"/>
      <c r="BR455" s="235"/>
      <c r="BV455" s="158"/>
      <c r="BY455" s="158"/>
      <c r="CB455" s="158"/>
    </row>
    <row r="456" ht="18.0" hidden="1" customHeight="1">
      <c r="A456" s="222">
        <f>IFERROR(__xludf.DUMMYFUNCTION("""COMPUTED_VALUE"""),2026.0)</f>
        <v>2026</v>
      </c>
      <c r="B456" s="221">
        <f>IFERROR(__xludf.DUMMYFUNCTION("""COMPUTED_VALUE"""),1.2438772E7)</f>
        <v>12438772</v>
      </c>
      <c r="C456" s="222" t="str">
        <f>IFERROR(__xludf.DUMMYFUNCTION("""COMPUTED_VALUE"""),"SMS P4I4 PT3 TMO FG D01 DEDI TRIKARYA")</f>
        <v>SMS P4I4 PT3 TMO FG D01 DEDI TRIKARYA</v>
      </c>
      <c r="D456" s="222" t="str">
        <f>IFERROR(__xludf.DUMMYFUNCTION("""COMPUTED_VALUE"""),"REGIONAL I")</f>
        <v>REGIONAL I</v>
      </c>
      <c r="E456" s="222" t="str">
        <f>IFERROR(__xludf.DUMMYFUNCTION("""COMPUTED_VALUE"""),"SUMSEL")</f>
        <v>SUMSEL</v>
      </c>
      <c r="F456" s="222" t="str">
        <f>IFERROR(__xludf.DUMMYFUNCTION("""COMPUTED_VALUE"""),"TMO")</f>
        <v>TMO</v>
      </c>
      <c r="G456" s="222" t="str">
        <f>IFERROR(__xludf.DUMMYFUNCTION("""COMPUTED_VALUE"""),"SUMBAGSEL")</f>
        <v>SUMBAGSEL</v>
      </c>
      <c r="H456" s="222" t="str">
        <f>IFERROR(__xludf.DUMMYFUNCTION("""COMPUTED_VALUE"""),"BENGKULU")</f>
        <v>BENGKULU</v>
      </c>
      <c r="I456" s="222" t="str">
        <f>IFERROR(__xludf.DUMMYFUNCTION("""COMPUTED_VALUE"""),"Batch 2")</f>
        <v>Batch 2</v>
      </c>
      <c r="J456" s="225">
        <f>IFERROR(__xludf.DUMMYFUNCTION("""COMPUTED_VALUE"""),6.0)</f>
        <v>6</v>
      </c>
      <c r="K456" s="224">
        <f>IFERROR(__xludf.DUMMYFUNCTION("""COMPUTED_VALUE"""),48.0)</f>
        <v>48</v>
      </c>
      <c r="L456" s="226">
        <f>IFERROR(__xludf.DUMMYFUNCTION("""COMPUTED_VALUE"""),1270683.0)</f>
        <v>1270683</v>
      </c>
      <c r="M456" s="227">
        <f>IFERROR(__xludf.DUMMYFUNCTION("""COMPUTED_VALUE"""),6.0992775E7)</f>
        <v>60992775</v>
      </c>
      <c r="N456" s="222" t="str">
        <f>IFERROR(__xludf.DUMMYFUNCTION("""COMPUTED_VALUE"""),"PT HAN SUNG INDONESIA")</f>
        <v>PT HAN SUNG INDONESIA</v>
      </c>
      <c r="O456" s="222" t="str">
        <f>IFERROR(__xludf.DUMMYFUNCTION("""COMPUTED_VALUE"""),"7. GOLIVE")</f>
        <v>7. GOLIVE</v>
      </c>
      <c r="P456" s="222" t="str">
        <f>IFERROR(__xludf.DUMMYFUNCTION("""COMPUTED_VALUE"""),"7.2 Golive Full / OA / DONE OTB")</f>
        <v>7.2 Golive Full / OA / DONE OTB</v>
      </c>
      <c r="Q456" s="222" t="str">
        <f>IFERROR(__xludf.DUMMYFUNCTION("""COMPUTED_VALUE"""),"09/04 Progress penarikan kabel 25/03 DONE PENARIKAN KABEL 1650M , lANJUT PROGRESS 26 MAR 24/03 PROGRESS PENARIKAN KABEL 1000M/1650M, 21/03 PROGRESS TARIK KABEL, 18/03 PROGRESS TANAM TIANG 34BTG, 17/03 PROGRESS GALI LOBANG, 16/03 OGP PROGRESS, 13/03 MENUNG"&amp;"GU ANTRIAN PEKERJAAN, 11/03 MATERIAL ONSITE, 10/03 MATDEL, 09/03 DONE RFC, PENGAMBILAN MATERIAL SELESAI PROGRESS LOP SUHADA DAN AJI KLM PANCING, 05/03 DONE INPUT MATERIAL, 04/03 OGP INPUT MATERIAL, 03/03 DONE PR PO, 02/03 MENUNGGU PR PO (28/2) ESTIMASI AM"&amp;"BIL MATERIAL (27/02) MASIH MENUNGGU PR PO, 26/02 MENUNGGU PR PO, (24/2) tanam tiang di stop oleh RT setempat  sedang di urus oleh sales (22/2) tanam tiang di stop oleh RT setempat  sedang di urus oleh sales  (14/2)material onsite 12/02 DONE DRM, 11/2 DRM "&amp;"ULANG BERSAMA MITRA  10/02 LANJUT DRM - BOQ DAN CPP TURUN DARI IHLD, 31/1 HOLD karena CPP diatas 1,1jt, (06/01)order JPP batch-2 2026 ((14/11)HOLD-  tidak masuk target Optimis 2025 ((11/11) Penunjukkan MITRA  oleh Procurement 
14/01 sudah penunjukan mitra"&amp;" oleh procurement")</f>
        <v>09/04 Progress penarikan kabel 25/03 DONE PENARIKAN KABEL 1650M , lANJUT PROGRESS 26 MAR 24/03 PROGRESS PENARIKAN KABEL 1000M/1650M, 21/03 PROGRESS TARIK KABEL, 18/03 PROGRESS TANAM TIANG 34BTG, 17/03 PROGRESS GALI LOBANG, 16/03 OGP PROGRESS, 13/03 MENUNGGU ANTRIAN PEKERJAAN, 11/03 MATERIAL ONSITE, 10/03 MATDEL, 09/03 DONE RFC, PENGAMBILAN MATERIAL SELESAI PROGRESS LOP SUHADA DAN AJI KLM PANCING, 05/03 DONE INPUT MATERIAL, 04/03 OGP INPUT MATERIAL, 03/03 DONE PR PO, 02/03 MENUNGGU PR PO (28/2) ESTIMASI AMBIL MATERIAL (27/02) MASIH MENUNGGU PR PO, 26/02 MENUNGGU PR PO, (24/2) tanam tiang di stop oleh RT setempat  sedang di urus oleh sales (22/2) tanam tiang di stop oleh RT setempat  sedang di urus oleh sales  (14/2)material onsite 12/02 DONE DRM, 11/2 DRM ULANG BERSAMA MITRA  10/02 LANJUT DRM - BOQ DAN CPP TURUN DARI IHLD, 31/1 HOLD karena CPP diatas 1,1jt, (06/01)order JPP batch-2 2026 ((14/11)HOLD-  tidak masuk target Optimis 2025 ((11/11) Penunjukkan MITRA  oleh Procurement 
14/01 sudah penunjukan mitra oleh procurement</v>
      </c>
      <c r="R456" s="228">
        <f>IFERROR(__xludf.DUMMYFUNCTION("""COMPUTED_VALUE"""),46123.0)</f>
        <v>46123</v>
      </c>
      <c r="S456" s="11" t="str">
        <f>IFERROR(__xludf.DUMMYFUNCTION("""COMPUTED_VALUE"""),"APR")</f>
        <v>APR</v>
      </c>
      <c r="T456" s="73" t="str">
        <f>IFERROR(__xludf.DUMMYFUNCTION("""COMPUTED_VALUE"""),"P1")</f>
        <v>P1</v>
      </c>
      <c r="U456" s="11"/>
      <c r="V456" s="229" t="str">
        <f>IFERROR(__xludf.DUMMYFUNCTION("""COMPUTED_VALUE"""),"PUTRA")</f>
        <v>PUTRA</v>
      </c>
      <c r="W456" s="229"/>
      <c r="X456" s="229" t="str">
        <f>IFERROR(__xludf.DUMMYFUNCTION("""COMPUTED_VALUE"""),"GOLIVE")</f>
        <v>GOLIVE</v>
      </c>
      <c r="Y456" s="229" t="str">
        <f>IFERROR(__xludf.DUMMYFUNCTION("""COMPUTED_VALUE"""),"DONE")</f>
        <v>DONE</v>
      </c>
      <c r="Z456" s="229" t="str">
        <f>IFERROR(__xludf.DUMMYFUNCTION("""COMPUTED_VALUE"""),"#N/A")</f>
        <v>#N/A</v>
      </c>
      <c r="AA456" s="229">
        <f>IFERROR(__xludf.DUMMYFUNCTION("""COMPUTED_VALUE"""),6.0)</f>
        <v>6</v>
      </c>
      <c r="AB456" s="229"/>
      <c r="AC456" s="229" t="str">
        <f>IFERROR(__xludf.DUMMYFUNCTION("""COMPUTED_VALUE"""),"8939555#8939560")</f>
        <v>8939555#8939560</v>
      </c>
      <c r="AD456" s="232">
        <f>IFERROR(__xludf.DUMMYFUNCTION("""COMPUTED_VALUE"""),48.0)</f>
        <v>48</v>
      </c>
      <c r="AE456" s="233">
        <f>IFERROR(__xludf.DUMMYFUNCTION("""COMPUTED_VALUE"""),46123.0)</f>
        <v>46123</v>
      </c>
      <c r="AF456" s="54"/>
      <c r="AG456" s="54"/>
      <c r="AH456" s="54">
        <v>46123.0</v>
      </c>
      <c r="AI456" s="55">
        <f t="shared" si="60"/>
        <v>0</v>
      </c>
      <c r="AW456" s="234"/>
      <c r="BP456" s="11"/>
      <c r="BQ456" s="11"/>
      <c r="BR456" s="235"/>
      <c r="BV456" s="158"/>
      <c r="BY456" s="158"/>
      <c r="CB456" s="158"/>
    </row>
    <row r="457" ht="18.0" hidden="1" customHeight="1">
      <c r="A457" s="222">
        <f>IFERROR(__xludf.DUMMYFUNCTION("""COMPUTED_VALUE"""),2026.0)</f>
        <v>2026</v>
      </c>
      <c r="B457" s="221">
        <f>IFERROR(__xludf.DUMMYFUNCTION("""COMPUTED_VALUE"""),1.1363055E7)</f>
        <v>11363055</v>
      </c>
      <c r="C457" s="222" t="str">
        <f>IFERROR(__xludf.DUMMYFUNCTION("""COMPUTED_VALUE"""),"MDN PT3 P7I13 SKI-FAP JL.JERMAL VII")</f>
        <v>MDN PT3 P7I13 SKI-FAP JL.JERMAL VII</v>
      </c>
      <c r="D457" s="222" t="str">
        <f>IFERROR(__xludf.DUMMYFUNCTION("""COMPUTED_VALUE"""),"REGIONAL I")</f>
        <v>REGIONAL I</v>
      </c>
      <c r="E457" s="222" t="str">
        <f>IFERROR(__xludf.DUMMYFUNCTION("""COMPUTED_VALUE"""),"MEDAN")</f>
        <v>MEDAN</v>
      </c>
      <c r="F457" s="222" t="str">
        <f>IFERROR(__xludf.DUMMYFUNCTION("""COMPUTED_VALUE"""),"TMU")</f>
        <v>TMU</v>
      </c>
      <c r="G457" s="222" t="str">
        <f>IFERROR(__xludf.DUMMYFUNCTION("""COMPUTED_VALUE"""),"SUMBAGUT")</f>
        <v>SUMBAGUT</v>
      </c>
      <c r="H457" s="222" t="str">
        <f>IFERROR(__xludf.DUMMYFUNCTION("""COMPUTED_VALUE"""),"MEDAN")</f>
        <v>MEDAN</v>
      </c>
      <c r="I457" s="222" t="str">
        <f>IFERROR(__xludf.DUMMYFUNCTION("""COMPUTED_VALUE"""),"Batch 2")</f>
        <v>Batch 2</v>
      </c>
      <c r="J457" s="225">
        <f>IFERROR(__xludf.DUMMYFUNCTION("""COMPUTED_VALUE"""),4.0)</f>
        <v>4</v>
      </c>
      <c r="K457" s="224">
        <f>IFERROR(__xludf.DUMMYFUNCTION("""COMPUTED_VALUE"""),32.0)</f>
        <v>32</v>
      </c>
      <c r="L457" s="226">
        <f>IFERROR(__xludf.DUMMYFUNCTION("""COMPUTED_VALUE"""),1502438.0)</f>
        <v>1502438</v>
      </c>
      <c r="M457" s="227">
        <f>IFERROR(__xludf.DUMMYFUNCTION("""COMPUTED_VALUE"""),4.8078003E7)</f>
        <v>48078003</v>
      </c>
      <c r="N457" s="222" t="str">
        <f>IFERROR(__xludf.DUMMYFUNCTION("""COMPUTED_VALUE"""),"PT DUL JAYA TAMA")</f>
        <v>PT DUL JAYA TAMA</v>
      </c>
      <c r="O457" s="222" t="str">
        <f>IFERROR(__xludf.DUMMYFUNCTION("""COMPUTED_VALUE"""),"0. DROP")</f>
        <v>0. DROP</v>
      </c>
      <c r="P457" s="222" t="str">
        <f>IFERROR(__xludf.DUMMYFUNCTION("""COMPUTED_VALUE"""),"0.4 CPP Tinggi Acc ED TIF")</f>
        <v>0.4 CPP Tinggi Acc ED TIF</v>
      </c>
      <c r="Q457" s="222" t="str">
        <f>IFERROR(__xludf.DUMMYFUNCTION("""COMPUTED_VALUE"""),"02/02 Feeder Tidak Tembus")</f>
        <v>02/02 Feeder Tidak Tembus</v>
      </c>
      <c r="R457" s="228"/>
      <c r="S457" s="11"/>
      <c r="T457" s="11"/>
      <c r="U457" s="11"/>
      <c r="V457" s="229"/>
      <c r="W457" s="229"/>
      <c r="X457" s="229" t="str">
        <f>IFERROR(__xludf.DUMMYFUNCTION("""COMPUTED_VALUE"""),"BELUM GOLIVE")</f>
        <v>BELUM GOLIVE</v>
      </c>
      <c r="Y457" s="229"/>
      <c r="Z457" s="229" t="str">
        <f>IFERROR(__xludf.DUMMYFUNCTION("""COMPUTED_VALUE"""),"#N/A")</f>
        <v>#N/A</v>
      </c>
      <c r="AA457" s="229"/>
      <c r="AB457" s="229"/>
      <c r="AC457" s="229"/>
      <c r="AD457" s="232"/>
      <c r="AE457" s="233"/>
      <c r="AF457" s="54" t="str">
        <f>IFERROR(__xludf.DUMMYFUNCTION("""COMPUTED_VALUE"""),"Draft BA DROP")</f>
        <v>Draft BA DROP</v>
      </c>
      <c r="AG457" s="54"/>
      <c r="AH457" s="54"/>
      <c r="AI457" s="55" t="str">
        <f t="shared" si="60"/>
        <v/>
      </c>
      <c r="AW457" s="234"/>
      <c r="BP457" s="11"/>
      <c r="BQ457" s="11"/>
      <c r="BR457" s="235"/>
      <c r="BV457" s="158"/>
      <c r="BY457" s="158"/>
      <c r="CB457" s="158"/>
    </row>
    <row r="458" ht="18.0" hidden="1" customHeight="1">
      <c r="A458" s="222">
        <f>IFERROR(__xludf.DUMMYFUNCTION("""COMPUTED_VALUE"""),2026.0)</f>
        <v>2026</v>
      </c>
      <c r="B458" s="221">
        <f>IFERROR(__xludf.DUMMYFUNCTION("""COMPUTED_VALUE"""),1.1488366E7)</f>
        <v>11488366</v>
      </c>
      <c r="C458" s="222" t="str">
        <f>IFERROR(__xludf.DUMMYFUNCTION("""COMPUTED_VALUE"""),"BBL PT4 air Batu Membalong")</f>
        <v>BBL PT4 air Batu Membalong</v>
      </c>
      <c r="D458" s="222" t="str">
        <f>IFERROR(__xludf.DUMMYFUNCTION("""COMPUTED_VALUE"""),"REGIONAL I")</f>
        <v>REGIONAL I</v>
      </c>
      <c r="E458" s="222" t="str">
        <f>IFERROR(__xludf.DUMMYFUNCTION("""COMPUTED_VALUE"""),"BABEL")</f>
        <v>BABEL</v>
      </c>
      <c r="F458" s="222" t="str">
        <f>IFERROR(__xludf.DUMMYFUNCTION("""COMPUTED_VALUE"""),"TJN")</f>
        <v>TJN</v>
      </c>
      <c r="G458" s="222" t="str">
        <f>IFERROR(__xludf.DUMMYFUNCTION("""COMPUTED_VALUE"""),"SUMBAGSEL")</f>
        <v>SUMBAGSEL</v>
      </c>
      <c r="H458" s="222" t="str">
        <f>IFERROR(__xludf.DUMMYFUNCTION("""COMPUTED_VALUE"""),"PANGKAL PINANG")</f>
        <v>PANGKAL PINANG</v>
      </c>
      <c r="I458" s="222" t="str">
        <f>IFERROR(__xludf.DUMMYFUNCTION("""COMPUTED_VALUE"""),"Batch 2")</f>
        <v>Batch 2</v>
      </c>
      <c r="J458" s="225">
        <f>IFERROR(__xludf.DUMMYFUNCTION("""COMPUTED_VALUE"""),7.0)</f>
        <v>7</v>
      </c>
      <c r="K458" s="224">
        <f>IFERROR(__xludf.DUMMYFUNCTION("""COMPUTED_VALUE"""),80.0)</f>
        <v>80</v>
      </c>
      <c r="L458" s="226">
        <f>IFERROR(__xludf.DUMMYFUNCTION("""COMPUTED_VALUE"""),1269906.0)</f>
        <v>1269906</v>
      </c>
      <c r="M458" s="227">
        <f>IFERROR(__xludf.DUMMYFUNCTION("""COMPUTED_VALUE"""),1.01592477E8)</f>
        <v>101592477</v>
      </c>
      <c r="N458" s="222" t="str">
        <f>IFERROR(__xludf.DUMMYFUNCTION("""COMPUTED_VALUE"""),"PT FEDRON SOLUSINDO UTAMA")</f>
        <v>PT FEDRON SOLUSINDO UTAMA</v>
      </c>
      <c r="O458" s="222" t="str">
        <f>IFERROR(__xludf.DUMMYFUNCTION("""COMPUTED_VALUE"""),"0. DROP")</f>
        <v>0. DROP</v>
      </c>
      <c r="P458" s="222" t="str">
        <f>IFERROR(__xludf.DUMMYFUNCTION("""COMPUTED_VALUE"""),"0.1 Double Order")</f>
        <v>0.1 Double Order</v>
      </c>
      <c r="Q458" s="222" t="str">
        <f>IFERROR(__xludf.DUMMYFUNCTION("""COMPUTED_VALUE"""),"3/3 drop karena double order (12/01) BBL PT4 air Batu Membalong (12438665) DROP DOBLE ORDER 09/01 finish instalasi (7/ 1) INSTALASI  ODP  , KABEL DONE 250 M (06/01)order JPP batch-2 2026 (01/10 proposed drop, double order. 16/09/2025 selesai aanwidzing")</f>
        <v>3/3 drop karena double order (12/01) BBL PT4 air Batu Membalong (12438665) DROP DOBLE ORDER 09/01 finish instalasi (7/ 1) INSTALASI  ODP  , KABEL DONE 250 M (06/01)order JPP batch-2 2026 (01/10 proposed drop, double order. 16/09/2025 selesai aanwidzing</v>
      </c>
      <c r="R458" s="228"/>
      <c r="S458" s="11"/>
      <c r="T458" s="11"/>
      <c r="U458" s="11"/>
      <c r="V458" s="229"/>
      <c r="W458" s="229"/>
      <c r="X458" s="229" t="str">
        <f>IFERROR(__xludf.DUMMYFUNCTION("""COMPUTED_VALUE"""),"BELUM GOLIVE")</f>
        <v>BELUM GOLIVE</v>
      </c>
      <c r="Y458" s="229"/>
      <c r="Z458" s="229" t="str">
        <f>IFERROR(__xludf.DUMMYFUNCTION("""COMPUTED_VALUE"""),"#N/A")</f>
        <v>#N/A</v>
      </c>
      <c r="AA458" s="229"/>
      <c r="AB458" s="229"/>
      <c r="AC458" s="229"/>
      <c r="AD458" s="232"/>
      <c r="AE458" s="233"/>
      <c r="AF458" s="54" t="str">
        <f>IFERROR(__xludf.DUMMYFUNCTION("""COMPUTED_VALUE"""),"Draft BA DROP")</f>
        <v>Draft BA DROP</v>
      </c>
      <c r="AG458" s="54"/>
      <c r="AH458" s="54"/>
      <c r="AI458" s="55" t="str">
        <f t="shared" si="60"/>
        <v/>
      </c>
      <c r="AW458" s="234"/>
      <c r="BP458" s="11"/>
      <c r="BQ458" s="11"/>
      <c r="BR458" s="235"/>
      <c r="BV458" s="158"/>
      <c r="BY458" s="158"/>
      <c r="CB458" s="158"/>
    </row>
    <row r="459" ht="18.0" customHeight="1">
      <c r="A459" s="222">
        <f>IFERROR(__xludf.DUMMYFUNCTION("""COMPUTED_VALUE"""),2026.0)</f>
        <v>2026</v>
      </c>
      <c r="B459" s="221">
        <f>IFERROR(__xludf.DUMMYFUNCTION("""COMPUTED_VALUE"""),1.1043932E7)</f>
        <v>11043932</v>
      </c>
      <c r="C459" s="222" t="str">
        <f>IFERROR(__xludf.DUMMYFUNCTION("""COMPUTED_VALUE"""),"RDR PT3 Villa Sakura Asri V")</f>
        <v>RDR PT3 Villa Sakura Asri V</v>
      </c>
      <c r="D459" s="222" t="str">
        <f>IFERROR(__xludf.DUMMYFUNCTION("""COMPUTED_VALUE"""),"REGIONAL I")</f>
        <v>REGIONAL I</v>
      </c>
      <c r="E459" s="222" t="str">
        <f>IFERROR(__xludf.DUMMYFUNCTION("""COMPUTED_VALUE"""),"RIDAR")</f>
        <v>RIDAR</v>
      </c>
      <c r="F459" s="222" t="str">
        <f>IFERROR(__xludf.DUMMYFUNCTION("""COMPUTED_VALUE"""),"PBB")</f>
        <v>PBB</v>
      </c>
      <c r="G459" s="222" t="str">
        <f>IFERROR(__xludf.DUMMYFUNCTION("""COMPUTED_VALUE"""),"SUMBAGTENG")</f>
        <v>SUMBAGTENG</v>
      </c>
      <c r="H459" s="222" t="str">
        <f>IFERROR(__xludf.DUMMYFUNCTION("""COMPUTED_VALUE"""),"PEKANBARU")</f>
        <v>PEKANBARU</v>
      </c>
      <c r="I459" s="222" t="str">
        <f>IFERROR(__xludf.DUMMYFUNCTION("""COMPUTED_VALUE"""),"Batch 2")</f>
        <v>Batch 2</v>
      </c>
      <c r="J459" s="225">
        <f>IFERROR(__xludf.DUMMYFUNCTION("""COMPUTED_VALUE"""),7.0)</f>
        <v>7</v>
      </c>
      <c r="K459" s="224">
        <f>IFERROR(__xludf.DUMMYFUNCTION("""COMPUTED_VALUE"""),56.0)</f>
        <v>56</v>
      </c>
      <c r="L459" s="226">
        <f>IFERROR(__xludf.DUMMYFUNCTION("""COMPUTED_VALUE"""),1269730.0)</f>
        <v>1269730</v>
      </c>
      <c r="M459" s="227">
        <f>IFERROR(__xludf.DUMMYFUNCTION("""COMPUTED_VALUE"""),7.1104849E7)</f>
        <v>71104849</v>
      </c>
      <c r="N459" s="222" t="str">
        <f>IFERROR(__xludf.DUMMYFUNCTION("""COMPUTED_VALUE"""),"PT LIBER PERSADA MANDIRI")</f>
        <v>PT LIBER PERSADA MANDIRI</v>
      </c>
      <c r="O459" s="222" t="str">
        <f>IFERROR(__xludf.DUMMYFUNCTION("""COMPUTED_VALUE"""),"2. DONE AANWIJZING")</f>
        <v>2. DONE AANWIJZING</v>
      </c>
      <c r="P459" s="222" t="str">
        <f>IFERROR(__xludf.DUMMYFUNCTION("""COMPUTED_VALUE"""),"2.10 Kendala - Feeder Rusak")</f>
        <v>2.10 Kendala - Feeder Rusak</v>
      </c>
      <c r="Q459" s="222" t="str">
        <f>IFERROR(__xludf.DUMMYFUNCTION("""COMPUTED_VALUE"""),"20/04 Pengambilan ulang hasil ukur OTDR 13/04 Kendala Feeder rusak, ogp pengecekan ulang untuk hasil ukur 08/04 Kendala Feeder rusak, ogp pengecekan ulang untuk hasil ukur 03/03 Kendala Feeder rusak 29/01 Menunggu kelengkapan hasil anwidzing 21/01 Terget "&amp;"selesai survey 24 Jan (07/01) Persiapan")</f>
        <v>20/04 Pengambilan ulang hasil ukur OTDR 13/04 Kendala Feeder rusak, ogp pengecekan ulang untuk hasil ukur 08/04 Kendala Feeder rusak, ogp pengecekan ulang untuk hasil ukur 03/03 Kendala Feeder rusak 29/01 Menunggu kelengkapan hasil anwidzing 21/01 Terget selesai survey 24 Jan (07/01) Persiapan</v>
      </c>
      <c r="R459" s="228"/>
      <c r="S459" s="11"/>
      <c r="T459" s="11"/>
      <c r="U459" s="11"/>
      <c r="V459" s="229" t="str">
        <f>IFERROR(__xludf.DUMMYFUNCTION("""COMPUTED_VALUE"""),"ONDI EKA SAPUTRA")</f>
        <v>ONDI EKA SAPUTRA</v>
      </c>
      <c r="W459" s="229" t="str">
        <f>IFERROR(__xludf.DUMMYFUNCTION("""COMPUTED_VALUE"""),"DESLITA RAHMADANI")</f>
        <v>DESLITA RAHMADANI</v>
      </c>
      <c r="X459" s="229" t="str">
        <f>IFERROR(__xludf.DUMMYFUNCTION("""COMPUTED_VALUE"""),"BELUM GOLIVE")</f>
        <v>BELUM GOLIVE</v>
      </c>
      <c r="Y459" s="229"/>
      <c r="Z459" s="229" t="str">
        <f>IFERROR(__xludf.DUMMYFUNCTION("""COMPUTED_VALUE"""),"#N/A")</f>
        <v>#N/A</v>
      </c>
      <c r="AA459" s="229"/>
      <c r="AB459" s="229"/>
      <c r="AC459" s="229"/>
      <c r="AD459" s="232"/>
      <c r="AE459" s="233"/>
      <c r="AF459" s="54"/>
      <c r="AG459" s="54"/>
      <c r="AH459" s="54"/>
      <c r="AI459" s="55" t="str">
        <f t="shared" si="60"/>
        <v/>
      </c>
      <c r="AW459" s="234"/>
      <c r="BP459" s="11"/>
      <c r="BQ459" s="11"/>
      <c r="BR459" s="235"/>
      <c r="BV459" s="158"/>
      <c r="BY459" s="158"/>
      <c r="CB459" s="158"/>
    </row>
    <row r="460" ht="18.0" customHeight="1">
      <c r="A460" s="222">
        <f>IFERROR(__xludf.DUMMYFUNCTION("""COMPUTED_VALUE"""),2026.0)</f>
        <v>2026</v>
      </c>
      <c r="B460" s="221">
        <f>IFERROR(__xludf.DUMMYFUNCTION("""COMPUTED_VALUE"""),1.1754895E7)</f>
        <v>11754895</v>
      </c>
      <c r="C460" s="222" t="str">
        <f>IFERROR(__xludf.DUMMYFUNCTION("""COMPUTED_VALUE"""),"RKP TSEL PT3 LBJ-FBZ BENGKONG SWADEBI")</f>
        <v>RKP TSEL PT3 LBJ-FBZ BENGKONG SWADEBI</v>
      </c>
      <c r="D460" s="222" t="str">
        <f>IFERROR(__xludf.DUMMYFUNCTION("""COMPUTED_VALUE"""),"REGIONAL I")</f>
        <v>REGIONAL I</v>
      </c>
      <c r="E460" s="222" t="str">
        <f>IFERROR(__xludf.DUMMYFUNCTION("""COMPUTED_VALUE"""),"RIKEP")</f>
        <v>RIKEP</v>
      </c>
      <c r="F460" s="222" t="str">
        <f>IFERROR(__xludf.DUMMYFUNCTION("""COMPUTED_VALUE"""),"LBJ")</f>
        <v>LBJ</v>
      </c>
      <c r="G460" s="222" t="str">
        <f>IFERROR(__xludf.DUMMYFUNCTION("""COMPUTED_VALUE"""),"SUMBAGTENG")</f>
        <v>SUMBAGTENG</v>
      </c>
      <c r="H460" s="222" t="str">
        <f>IFERROR(__xludf.DUMMYFUNCTION("""COMPUTED_VALUE"""),"BATAM")</f>
        <v>BATAM</v>
      </c>
      <c r="I460" s="222" t="str">
        <f>IFERROR(__xludf.DUMMYFUNCTION("""COMPUTED_VALUE"""),"Batch 2")</f>
        <v>Batch 2</v>
      </c>
      <c r="J460" s="225">
        <f>IFERROR(__xludf.DUMMYFUNCTION("""COMPUTED_VALUE"""),12.0)</f>
        <v>12</v>
      </c>
      <c r="K460" s="224">
        <f>IFERROR(__xludf.DUMMYFUNCTION("""COMPUTED_VALUE"""),96.0)</f>
        <v>96</v>
      </c>
      <c r="L460" s="226">
        <f>IFERROR(__xludf.DUMMYFUNCTION("""COMPUTED_VALUE"""),1268552.0)</f>
        <v>1268552</v>
      </c>
      <c r="M460" s="227">
        <f>IFERROR(__xludf.DUMMYFUNCTION("""COMPUTED_VALUE"""),1.217809E8)</f>
        <v>121780900</v>
      </c>
      <c r="N460" s="222" t="str">
        <f>IFERROR(__xludf.DUMMYFUNCTION("""COMPUTED_VALUE"""),"PT HDUA PUTRA PRAJODA")</f>
        <v>PT HDUA PUTRA PRAJODA</v>
      </c>
      <c r="O460" s="222" t="str">
        <f>IFERROR(__xludf.DUMMYFUNCTION("""COMPUTED_VALUE"""),"0. DROP")</f>
        <v>0. DROP</v>
      </c>
      <c r="P460" s="222" t="str">
        <f>IFERROR(__xludf.DUMMYFUNCTION("""COMPUTED_VALUE"""),"0.2 Tidak Dapat Izin Warga/Kades/Lurah/Developer")</f>
        <v>0.2 Tidak Dapat Izin Warga/Kades/Lurah/Developer</v>
      </c>
      <c r="Q460" s="222" t="str">
        <f>IFERROR(__xludf.DUMMYFUNCTION("""COMPUTED_VALUE"""),"18/02 Ijin di tolak 16/02 Plan perizinan, 17 Feb. 11/02 Peralihan mitra. 28/01 Plan survey 29 Jan. 28/01 Mitra tripola belum ada PIC untuk anwijzing. 23/01 Plan anwijzing 26 Jan, pic mitra ada pertanggal 25 jan. 21/01 proses penunjukan mitra ")</f>
        <v>18/02 Ijin di tolak 16/02 Plan perizinan, 17 Feb. 11/02 Peralihan mitra. 28/01 Plan survey 29 Jan. 28/01 Mitra tripola belum ada PIC untuk anwijzing. 23/01 Plan anwijzing 26 Jan, pic mitra ada pertanggal 25 jan. 21/01 proses penunjukan mitra </v>
      </c>
      <c r="R460" s="228"/>
      <c r="S460" s="11"/>
      <c r="T460" s="11"/>
      <c r="U460" s="11"/>
      <c r="V460" s="229" t="str">
        <f>IFERROR(__xludf.DUMMYFUNCTION("""COMPUTED_VALUE"""),"RONALDO LEO INFANTRI")</f>
        <v>RONALDO LEO INFANTRI</v>
      </c>
      <c r="W460" s="229" t="str">
        <f>IFERROR(__xludf.DUMMYFUNCTION("""COMPUTED_VALUE"""),"LEVITA INDRIYANI")</f>
        <v>LEVITA INDRIYANI</v>
      </c>
      <c r="X460" s="229" t="str">
        <f>IFERROR(__xludf.DUMMYFUNCTION("""COMPUTED_VALUE"""),"BELUM GOLIVE")</f>
        <v>BELUM GOLIVE</v>
      </c>
      <c r="Y460" s="229"/>
      <c r="Z460" s="229" t="str">
        <f>IFERROR(__xludf.DUMMYFUNCTION("""COMPUTED_VALUE"""),"#N/A")</f>
        <v>#N/A</v>
      </c>
      <c r="AA460" s="229"/>
      <c r="AB460" s="229"/>
      <c r="AC460" s="229"/>
      <c r="AD460" s="232"/>
      <c r="AE460" s="233"/>
      <c r="AF460" s="54" t="str">
        <f>IFERROR(__xludf.DUMMYFUNCTION("""COMPUTED_VALUE"""),"Draft BA DROP")</f>
        <v>Draft BA DROP</v>
      </c>
      <c r="AG460" s="54"/>
      <c r="AH460" s="54"/>
      <c r="AI460" s="55" t="str">
        <f t="shared" si="60"/>
        <v/>
      </c>
      <c r="AW460" s="234"/>
      <c r="BP460" s="11"/>
      <c r="BQ460" s="11"/>
      <c r="BR460" s="235"/>
      <c r="BV460" s="158"/>
      <c r="BY460" s="158"/>
      <c r="CB460" s="158"/>
    </row>
    <row r="461" ht="18.0" hidden="1" customHeight="1">
      <c r="A461" s="222">
        <f>IFERROR(__xludf.DUMMYFUNCTION("""COMPUTED_VALUE"""),2026.0)</f>
        <v>2026</v>
      </c>
      <c r="B461" s="221">
        <f>IFERROR(__xludf.DUMMYFUNCTION("""COMPUTED_VALUE"""),1.2251075E7)</f>
        <v>12251075</v>
      </c>
      <c r="C461" s="222" t="str">
        <f>IFERROR(__xludf.DUMMYFUNCTION("""COMPUTED_VALUE"""),"MDN PT3 STB-FD SUMATERA UTARA_9670_new")</f>
        <v>MDN PT3 STB-FD SUMATERA UTARA_9670_new</v>
      </c>
      <c r="D461" s="222" t="str">
        <f>IFERROR(__xludf.DUMMYFUNCTION("""COMPUTED_VALUE"""),"REGIONAL I")</f>
        <v>REGIONAL I</v>
      </c>
      <c r="E461" s="222" t="str">
        <f>IFERROR(__xludf.DUMMYFUNCTION("""COMPUTED_VALUE"""),"MEDAN")</f>
        <v>MEDAN</v>
      </c>
      <c r="F461" s="222" t="str">
        <f>IFERROR(__xludf.DUMMYFUNCTION("""COMPUTED_VALUE"""),"STB")</f>
        <v>STB</v>
      </c>
      <c r="G461" s="222" t="str">
        <f>IFERROR(__xludf.DUMMYFUNCTION("""COMPUTED_VALUE"""),"SUMBAGUT")</f>
        <v>SUMBAGUT</v>
      </c>
      <c r="H461" s="222" t="str">
        <f>IFERROR(__xludf.DUMMYFUNCTION("""COMPUTED_VALUE"""),"BINJAI")</f>
        <v>BINJAI</v>
      </c>
      <c r="I461" s="222" t="str">
        <f>IFERROR(__xludf.DUMMYFUNCTION("""COMPUTED_VALUE"""),"Batch 2")</f>
        <v>Batch 2</v>
      </c>
      <c r="J461" s="225">
        <f>IFERROR(__xludf.DUMMYFUNCTION("""COMPUTED_VALUE"""),7.0)</f>
        <v>7</v>
      </c>
      <c r="K461" s="224">
        <f>IFERROR(__xludf.DUMMYFUNCTION("""COMPUTED_VALUE"""),56.0)</f>
        <v>56</v>
      </c>
      <c r="L461" s="226">
        <f>IFERROR(__xludf.DUMMYFUNCTION("""COMPUTED_VALUE"""),1268099.0)</f>
        <v>1268099</v>
      </c>
      <c r="M461" s="227">
        <f>IFERROR(__xludf.DUMMYFUNCTION("""COMPUTED_VALUE"""),7.101354E7)</f>
        <v>71013540</v>
      </c>
      <c r="N461" s="222" t="str">
        <f>IFERROR(__xludf.DUMMYFUNCTION("""COMPUTED_VALUE"""),"PT KENCANA RAYA INDONESIA")</f>
        <v>PT KENCANA RAYA INDONESIA</v>
      </c>
      <c r="O461" s="222" t="str">
        <f>IFERROR(__xludf.DUMMYFUNCTION("""COMPUTED_VALUE"""),"7. GOLIVE")</f>
        <v>7. GOLIVE</v>
      </c>
      <c r="P461" s="222" t="str">
        <f>IFERROR(__xludf.DUMMYFUNCTION("""COMPUTED_VALUE"""),"7.2 Golive Full / OA / DONE OTB")</f>
        <v>7.2 Golive Full / OA / DONE OTB</v>
      </c>
      <c r="Q461" s="222" t="str">
        <f>IFERROR(__xludf.DUMMYFUNCTION("""COMPUTED_VALUE"""),"01/04 penarikan KU
30/03 pengambilan material
14/02 feeder ready
 (07/01) Persiapan")</f>
        <v>01/04 penarikan KU
30/03 pengambilan material
14/02 feeder ready
 (07/01) Persiapan</v>
      </c>
      <c r="R461" s="228">
        <f>IFERROR(__xludf.DUMMYFUNCTION("""COMPUTED_VALUE"""),46120.0)</f>
        <v>46120</v>
      </c>
      <c r="S461" s="11"/>
      <c r="T461" s="73"/>
      <c r="U461" s="11"/>
      <c r="V461" s="229"/>
      <c r="W461" s="229"/>
      <c r="X461" s="229" t="str">
        <f>IFERROR(__xludf.DUMMYFUNCTION("""COMPUTED_VALUE"""),"GOLIVE")</f>
        <v>GOLIVE</v>
      </c>
      <c r="Y461" s="229" t="str">
        <f>IFERROR(__xludf.DUMMYFUNCTION("""COMPUTED_VALUE"""),"DONE")</f>
        <v>DONE</v>
      </c>
      <c r="Z461" s="229" t="str">
        <f>IFERROR(__xludf.DUMMYFUNCTION("""COMPUTED_VALUE"""),"#N/A")</f>
        <v>#N/A</v>
      </c>
      <c r="AA461" s="229">
        <f>IFERROR(__xludf.DUMMYFUNCTION("""COMPUTED_VALUE"""),7.0)</f>
        <v>7</v>
      </c>
      <c r="AB461" s="229"/>
      <c r="AC461" s="229" t="str">
        <f>IFERROR(__xludf.DUMMYFUNCTION("""COMPUTED_VALUE"""),"9247916#9247923")</f>
        <v>9247916#9247923</v>
      </c>
      <c r="AD461" s="232">
        <f>IFERROR(__xludf.DUMMYFUNCTION("""COMPUTED_VALUE"""),56.0)</f>
        <v>56</v>
      </c>
      <c r="AE461" s="233">
        <f>IFERROR(__xludf.DUMMYFUNCTION("""COMPUTED_VALUE"""),46120.0)</f>
        <v>46120</v>
      </c>
      <c r="AF461" s="54"/>
      <c r="AG461" s="54"/>
      <c r="AH461" s="54">
        <v>46120.0</v>
      </c>
      <c r="AI461" s="55">
        <f t="shared" si="60"/>
        <v>0</v>
      </c>
      <c r="AW461" s="234"/>
      <c r="BP461" s="11"/>
      <c r="BQ461" s="11"/>
      <c r="BR461" s="235"/>
      <c r="BV461" s="158"/>
      <c r="BY461" s="158"/>
      <c r="CB461" s="158"/>
    </row>
    <row r="462" ht="18.0" hidden="1" customHeight="1">
      <c r="A462" s="222">
        <f>IFERROR(__xludf.DUMMYFUNCTION("""COMPUTED_VALUE"""),2026.0)</f>
        <v>2026</v>
      </c>
      <c r="B462" s="221">
        <f>IFERROR(__xludf.DUMMYFUNCTION("""COMPUTED_VALUE"""),1.132719E7)</f>
        <v>11327190</v>
      </c>
      <c r="C462" s="222" t="str">
        <f>IFERROR(__xludf.DUMMYFUNCTION("""COMPUTED_VALUE"""),"MDN PT3 PUB-FCB JL.MEDAN-SAMPALI ROAD")</f>
        <v>MDN PT3 PUB-FCB JL.MEDAN-SAMPALI ROAD</v>
      </c>
      <c r="D462" s="222" t="str">
        <f>IFERROR(__xludf.DUMMYFUNCTION("""COMPUTED_VALUE"""),"REGIONAL I")</f>
        <v>REGIONAL I</v>
      </c>
      <c r="E462" s="222" t="str">
        <f>IFERROR(__xludf.DUMMYFUNCTION("""COMPUTED_VALUE"""),"MEDAN")</f>
        <v>MEDAN</v>
      </c>
      <c r="F462" s="222" t="str">
        <f>IFERROR(__xludf.DUMMYFUNCTION("""COMPUTED_VALUE"""),"PUB")</f>
        <v>PUB</v>
      </c>
      <c r="G462" s="222" t="str">
        <f>IFERROR(__xludf.DUMMYFUNCTION("""COMPUTED_VALUE"""),"SUMBAGUT")</f>
        <v>SUMBAGUT</v>
      </c>
      <c r="H462" s="222" t="str">
        <f>IFERROR(__xludf.DUMMYFUNCTION("""COMPUTED_VALUE"""),"MEDAN")</f>
        <v>MEDAN</v>
      </c>
      <c r="I462" s="222" t="str">
        <f>IFERROR(__xludf.DUMMYFUNCTION("""COMPUTED_VALUE"""),"Batch 2")</f>
        <v>Batch 2</v>
      </c>
      <c r="J462" s="225">
        <f>IFERROR(__xludf.DUMMYFUNCTION("""COMPUTED_VALUE"""),6.0)</f>
        <v>6</v>
      </c>
      <c r="K462" s="224">
        <f>IFERROR(__xludf.DUMMYFUNCTION("""COMPUTED_VALUE"""),48.0)</f>
        <v>48</v>
      </c>
      <c r="L462" s="226">
        <f>IFERROR(__xludf.DUMMYFUNCTION("""COMPUTED_VALUE"""),647515.0)</f>
        <v>647515</v>
      </c>
      <c r="M462" s="227">
        <f>IFERROR(__xludf.DUMMYFUNCTION("""COMPUTED_VALUE"""),3.1080708E7)</f>
        <v>31080708</v>
      </c>
      <c r="N462" s="222" t="str">
        <f>IFERROR(__xludf.DUMMYFUNCTION("""COMPUTED_VALUE"""),"PT BENWA  MITRA PRATAMA")</f>
        <v>PT BENWA  MITRA PRATAMA</v>
      </c>
      <c r="O462" s="222" t="str">
        <f>IFERROR(__xludf.DUMMYFUNCTION("""COMPUTED_VALUE"""),"0. DROP")</f>
        <v>0. DROP</v>
      </c>
      <c r="P462" s="222" t="str">
        <f>IFERROR(__xludf.DUMMYFUNCTION("""COMPUTED_VALUE"""),"0.3 Feeder Full")</f>
        <v>0.3 Feeder Full</v>
      </c>
      <c r="Q462" s="222" t="str">
        <f>IFERROR(__xludf.DUMMYFUNCTION("""COMPUTED_VALUE"""),"11/11 Feeder Penuh , Perlu Redesign
(24/09) Perizinan Warga dan Kades / Lurah
(23/09) Perizinan Warga dan Kades / Lurah
15/09 proses aanwijzing")</f>
        <v>11/11 Feeder Penuh , Perlu Redesign
(24/09) Perizinan Warga dan Kades / Lurah
(23/09) Perizinan Warga dan Kades / Lurah
15/09 proses aanwijzing</v>
      </c>
      <c r="R462" s="228"/>
      <c r="S462" s="11"/>
      <c r="T462" s="11"/>
      <c r="U462" s="11"/>
      <c r="V462" s="229"/>
      <c r="W462" s="229"/>
      <c r="X462" s="229" t="str">
        <f>IFERROR(__xludf.DUMMYFUNCTION("""COMPUTED_VALUE"""),"BELUM GOLIVE")</f>
        <v>BELUM GOLIVE</v>
      </c>
      <c r="Y462" s="229"/>
      <c r="Z462" s="229" t="str">
        <f>IFERROR(__xludf.DUMMYFUNCTION("""COMPUTED_VALUE"""),"#N/A")</f>
        <v>#N/A</v>
      </c>
      <c r="AA462" s="229"/>
      <c r="AB462" s="229"/>
      <c r="AC462" s="229"/>
      <c r="AD462" s="232"/>
      <c r="AE462" s="233"/>
      <c r="AF462" s="54"/>
      <c r="AG462" s="54"/>
      <c r="AH462" s="54"/>
      <c r="AI462" s="55" t="str">
        <f t="shared" si="60"/>
        <v/>
      </c>
      <c r="AW462" s="234"/>
      <c r="BP462" s="11"/>
      <c r="BQ462" s="11"/>
      <c r="BR462" s="235"/>
      <c r="BV462" s="158"/>
      <c r="BY462" s="158"/>
      <c r="CB462" s="158"/>
    </row>
    <row r="463" ht="18.0" hidden="1" customHeight="1">
      <c r="A463" s="222">
        <f>IFERROR(__xludf.DUMMYFUNCTION("""COMPUTED_VALUE"""),2026.0)</f>
        <v>2026</v>
      </c>
      <c r="B463" s="221">
        <f>IFERROR(__xludf.DUMMYFUNCTION("""COMPUTED_VALUE"""),1.2355441E7)</f>
        <v>12355441</v>
      </c>
      <c r="C463" s="222" t="str">
        <f>IFERROR(__xludf.DUMMYFUNCTION("""COMPUTED_VALUE"""),"JBI-PT3 BRANCHING-MAB-FP-JALAN MUSI")</f>
        <v>JBI-PT3 BRANCHING-MAB-FP-JALAN MUSI</v>
      </c>
      <c r="D463" s="222" t="str">
        <f>IFERROR(__xludf.DUMMYFUNCTION("""COMPUTED_VALUE"""),"REGIONAL I")</f>
        <v>REGIONAL I</v>
      </c>
      <c r="E463" s="222" t="str">
        <f>IFERROR(__xludf.DUMMYFUNCTION("""COMPUTED_VALUE"""),"JAMBI")</f>
        <v>JAMBI</v>
      </c>
      <c r="F463" s="222" t="str">
        <f>IFERROR(__xludf.DUMMYFUNCTION("""COMPUTED_VALUE"""),"MAB")</f>
        <v>MAB</v>
      </c>
      <c r="G463" s="222" t="str">
        <f>IFERROR(__xludf.DUMMYFUNCTION("""COMPUTED_VALUE"""),"SUMBAGSEL")</f>
        <v>SUMBAGSEL</v>
      </c>
      <c r="H463" s="222" t="str">
        <f>IFERROR(__xludf.DUMMYFUNCTION("""COMPUTED_VALUE"""),"JAMBI")</f>
        <v>JAMBI</v>
      </c>
      <c r="I463" s="222" t="str">
        <f>IFERROR(__xludf.DUMMYFUNCTION("""COMPUTED_VALUE"""),"Batch 2")</f>
        <v>Batch 2</v>
      </c>
      <c r="J463" s="225">
        <f>IFERROR(__xludf.DUMMYFUNCTION("""COMPUTED_VALUE"""),5.0)</f>
        <v>5</v>
      </c>
      <c r="K463" s="224">
        <f>IFERROR(__xludf.DUMMYFUNCTION("""COMPUTED_VALUE"""),40.0)</f>
        <v>40</v>
      </c>
      <c r="L463" s="226">
        <f>IFERROR(__xludf.DUMMYFUNCTION("""COMPUTED_VALUE"""),1267889.0)</f>
        <v>1267889</v>
      </c>
      <c r="M463" s="227">
        <f>IFERROR(__xludf.DUMMYFUNCTION("""COMPUTED_VALUE"""),5.0715523E7)</f>
        <v>50715523</v>
      </c>
      <c r="N463" s="222" t="str">
        <f>IFERROR(__xludf.DUMMYFUNCTION("""COMPUTED_VALUE"""),"PT HAN SUNG INDONESIA")</f>
        <v>PT HAN SUNG INDONESIA</v>
      </c>
      <c r="O463" s="222" t="str">
        <f>IFERROR(__xludf.DUMMYFUNCTION("""COMPUTED_VALUE"""),"7. GOLIVE")</f>
        <v>7. GOLIVE</v>
      </c>
      <c r="P463" s="222" t="str">
        <f>IFERROR(__xludf.DUMMYFUNCTION("""COMPUTED_VALUE"""),"7.2 Golive Full / OA / DONE OTB")</f>
        <v>7.2 Golive Full / OA / DONE OTB</v>
      </c>
      <c r="Q463" s="222" t="str">
        <f>IFERROR(__xludf.DUMMYFUNCTION("""COMPUTED_VALUE"""),"(12/03) Progres Penarikan New Feeder dan terminasi (10/03) Penarikan Feeder ke new mini OLT  (05/03) FI kendala Port Mini Olt Penuh solusi pakai new Minol dan tinggal menunggu penarikan kabel feeder (18/02) FI kendala Port Mini Olt Penuh solusi pakai new "&amp;"Minol dan tinggal menunggu penarikan kabel feeder (16/2) instal odp 5 feb plan submit abd 18 feb (5/2) TANAM TIANG  (29/1) MATERIAL ONSITE(22/01) PID Done ogp Apv PM Area (12/1) sudah aanwidjizing, menunggu PID 7/1 DRM  (06/01)order JPP batch-2 2026 (17/1"&amp;"1 create PID 10/11 mapping mitra")</f>
        <v>(12/03) Progres Penarikan New Feeder dan terminasi (10/03) Penarikan Feeder ke new mini OLT  (05/03) FI kendala Port Mini Olt Penuh solusi pakai new Minol dan tinggal menunggu penarikan kabel feeder (18/02) FI kendala Port Mini Olt Penuh solusi pakai new Minol dan tinggal menunggu penarikan kabel feeder (16/2) instal odp 5 feb plan submit abd 18 feb (5/2) TANAM TIANG  (29/1) MATERIAL ONSITE(22/01) PID Done ogp Apv PM Area (12/1) sudah aanwidjizing, menunggu PID 7/1 DRM  (06/01)order JPP batch-2 2026 (17/11 create PID 10/11 mapping mitra</v>
      </c>
      <c r="R463" s="228">
        <f>IFERROR(__xludf.DUMMYFUNCTION("""COMPUTED_VALUE"""),46111.0)</f>
        <v>46111</v>
      </c>
      <c r="S463" s="11" t="str">
        <f>IFERROR(__xludf.DUMMYFUNCTION("""COMPUTED_VALUE"""),"MAR")</f>
        <v>MAR</v>
      </c>
      <c r="T463" s="11" t="str">
        <f>IFERROR(__xludf.DUMMYFUNCTION("""COMPUTED_VALUE"""),"P1")</f>
        <v>P1</v>
      </c>
      <c r="U463" s="11"/>
      <c r="V463" s="229"/>
      <c r="W463" s="229"/>
      <c r="X463" s="229" t="str">
        <f>IFERROR(__xludf.DUMMYFUNCTION("""COMPUTED_VALUE"""),"GOLIVE")</f>
        <v>GOLIVE</v>
      </c>
      <c r="Y463" s="229" t="str">
        <f>IFERROR(__xludf.DUMMYFUNCTION("""COMPUTED_VALUE"""),"DONE")</f>
        <v>DONE</v>
      </c>
      <c r="Z463" s="229" t="str">
        <f>IFERROR(__xludf.DUMMYFUNCTION("""COMPUTED_VALUE"""),"#N/A")</f>
        <v>#N/A</v>
      </c>
      <c r="AA463" s="229">
        <f>IFERROR(__xludf.DUMMYFUNCTION("""COMPUTED_VALUE"""),4.0)</f>
        <v>4</v>
      </c>
      <c r="AB463" s="229"/>
      <c r="AC463" s="229" t="str">
        <f>IFERROR(__xludf.DUMMYFUNCTION("""COMPUTED_VALUE"""),"9204842#9204847")</f>
        <v>9204842#9204847</v>
      </c>
      <c r="AD463" s="232">
        <f>IFERROR(__xludf.DUMMYFUNCTION("""COMPUTED_VALUE"""),32.0)</f>
        <v>32</v>
      </c>
      <c r="AE463" s="233">
        <f>IFERROR(__xludf.DUMMYFUNCTION("""COMPUTED_VALUE"""),46094.0)</f>
        <v>46094</v>
      </c>
      <c r="AF463" s="54"/>
      <c r="AG463" s="54"/>
      <c r="AH463" s="54">
        <v>46111.0</v>
      </c>
      <c r="AI463" s="55">
        <f t="shared" si="60"/>
        <v>17</v>
      </c>
      <c r="AW463" s="234"/>
      <c r="BP463" s="11"/>
      <c r="BQ463" s="11"/>
      <c r="BR463" s="235"/>
      <c r="BV463" s="158"/>
      <c r="BY463" s="158"/>
      <c r="CB463" s="158"/>
    </row>
    <row r="464" ht="18.0" hidden="1" customHeight="1">
      <c r="A464" s="222">
        <f>IFERROR(__xludf.DUMMYFUNCTION("""COMPUTED_VALUE"""),2026.0)</f>
        <v>2026</v>
      </c>
      <c r="B464" s="221">
        <f>IFERROR(__xludf.DUMMYFUNCTION("""COMPUTED_VALUE"""),1.121945E7)</f>
        <v>11219450</v>
      </c>
      <c r="C464" s="222" t="str">
        <f>IFERROR(__xludf.DUMMYFUNCTION("""COMPUTED_VALUE"""),"MDN PT3 P7I12 TJR-FAJ JL.PENDIDIKAN")</f>
        <v>MDN PT3 P7I12 TJR-FAJ JL.PENDIDIKAN</v>
      </c>
      <c r="D464" s="222" t="str">
        <f>IFERROR(__xludf.DUMMYFUNCTION("""COMPUTED_VALUE"""),"REGIONAL I")</f>
        <v>REGIONAL I</v>
      </c>
      <c r="E464" s="222" t="str">
        <f>IFERROR(__xludf.DUMMYFUNCTION("""COMPUTED_VALUE"""),"MEDAN")</f>
        <v>MEDAN</v>
      </c>
      <c r="F464" s="222" t="str">
        <f>IFERROR(__xludf.DUMMYFUNCTION("""COMPUTED_VALUE"""),"TJR")</f>
        <v>TJR</v>
      </c>
      <c r="G464" s="222" t="str">
        <f>IFERROR(__xludf.DUMMYFUNCTION("""COMPUTED_VALUE"""),"SUMBAGUT")</f>
        <v>SUMBAGUT</v>
      </c>
      <c r="H464" s="222" t="str">
        <f>IFERROR(__xludf.DUMMYFUNCTION("""COMPUTED_VALUE"""),"MEDAN")</f>
        <v>MEDAN</v>
      </c>
      <c r="I464" s="222" t="str">
        <f>IFERROR(__xludf.DUMMYFUNCTION("""COMPUTED_VALUE"""),"Batch 2")</f>
        <v>Batch 2</v>
      </c>
      <c r="J464" s="225">
        <f>IFERROR(__xludf.DUMMYFUNCTION("""COMPUTED_VALUE"""),11.0)</f>
        <v>11</v>
      </c>
      <c r="K464" s="224">
        <f>IFERROR(__xludf.DUMMYFUNCTION("""COMPUTED_VALUE"""),96.0)</f>
        <v>96</v>
      </c>
      <c r="L464" s="226">
        <f>IFERROR(__xludf.DUMMYFUNCTION("""COMPUTED_VALUE"""),1371143.0)</f>
        <v>1371143</v>
      </c>
      <c r="M464" s="227">
        <f>IFERROR(__xludf.DUMMYFUNCTION("""COMPUTED_VALUE"""),1.31629648E8)</f>
        <v>131629648</v>
      </c>
      <c r="N464" s="222" t="str">
        <f>IFERROR(__xludf.DUMMYFUNCTION("""COMPUTED_VALUE"""),"PT FIBERHOME TECHNOLOGIES INDONESIA")</f>
        <v>PT FIBERHOME TECHNOLOGIES INDONESIA</v>
      </c>
      <c r="O464" s="222" t="str">
        <f>IFERROR(__xludf.DUMMYFUNCTION("""COMPUTED_VALUE"""),"7. GOLIVE")</f>
        <v>7. GOLIVE</v>
      </c>
      <c r="P464" s="222" t="str">
        <f>IFERROR(__xludf.DUMMYFUNCTION("""COMPUTED_VALUE"""),"7.2 Golive Full / OA / DONE OTB")</f>
        <v>7.2 Golive Full / OA / DONE OTB</v>
      </c>
      <c r="Q464" s="222" t="str">
        <f>IFERROR(__xludf.DUMMYFUNCTION("""COMPUTED_VALUE"""),"18/03 golive sdi
17/03 pengecekan abd mancore
22/02 penarikan kabel
18/02 pindah jalur alasan tdk di beri izin pihak komplek PERUMAHAN GRIYA TAMORA INDAH tanam tiang &amp; odp
(07/01) Persiapan")</f>
        <v>18/03 golive sdi
17/03 pengecekan abd mancore
22/02 penarikan kabel
18/02 pindah jalur alasan tdk di beri izin pihak komplek PERUMAHAN GRIYA TAMORA INDAH tanam tiang &amp; odp
(07/01) Persiapan</v>
      </c>
      <c r="R464" s="228"/>
      <c r="S464" s="11"/>
      <c r="T464" s="11"/>
      <c r="U464" s="11"/>
      <c r="V464" s="229"/>
      <c r="W464" s="229"/>
      <c r="X464" s="229" t="str">
        <f>IFERROR(__xludf.DUMMYFUNCTION("""COMPUTED_VALUE"""),"GOLIVE")</f>
        <v>GOLIVE</v>
      </c>
      <c r="Y464" s="229" t="str">
        <f>IFERROR(__xludf.DUMMYFUNCTION("""COMPUTED_VALUE"""),"DONE")</f>
        <v>DONE</v>
      </c>
      <c r="Z464" s="229" t="str">
        <f>IFERROR(__xludf.DUMMYFUNCTION("""COMPUTED_VALUE"""),"#N/A")</f>
        <v>#N/A</v>
      </c>
      <c r="AA464" s="229">
        <f>IFERROR(__xludf.DUMMYFUNCTION("""COMPUTED_VALUE"""),10.0)</f>
        <v>10</v>
      </c>
      <c r="AB464" s="229">
        <f>IFERROR(__xludf.DUMMYFUNCTION("""COMPUTED_VALUE"""),1.0)</f>
        <v>1</v>
      </c>
      <c r="AC464" s="229" t="str">
        <f>IFERROR(__xludf.DUMMYFUNCTION("""COMPUTED_VALUE"""),"9217838#9217843")</f>
        <v>9217838#9217843</v>
      </c>
      <c r="AD464" s="232">
        <f>IFERROR(__xludf.DUMMYFUNCTION("""COMPUTED_VALUE"""),96.0)</f>
        <v>96</v>
      </c>
      <c r="AE464" s="233">
        <f>IFERROR(__xludf.DUMMYFUNCTION("""COMPUTED_VALUE"""),46099.0)</f>
        <v>46099</v>
      </c>
      <c r="AF464" s="54"/>
      <c r="AG464" s="54"/>
      <c r="AH464" s="54"/>
      <c r="AI464" s="55" t="str">
        <f t="shared" si="60"/>
        <v/>
      </c>
      <c r="AW464" s="234"/>
      <c r="BP464" s="11"/>
      <c r="BQ464" s="11"/>
      <c r="BR464" s="235"/>
      <c r="BV464" s="158"/>
      <c r="BY464" s="158"/>
      <c r="CB464" s="158"/>
    </row>
    <row r="465" ht="18.0" hidden="1" customHeight="1">
      <c r="A465" s="222">
        <f>IFERROR(__xludf.DUMMYFUNCTION("""COMPUTED_VALUE"""),2026.0)</f>
        <v>2026</v>
      </c>
      <c r="B465" s="221">
        <f>IFERROR(__xludf.DUMMYFUNCTION("""COMPUTED_VALUE"""),1.2395501E7)</f>
        <v>12395501</v>
      </c>
      <c r="C465" s="222" t="str">
        <f>IFERROR(__xludf.DUMMYFUNCTION("""COMPUTED_VALUE"""),"SMU ODC-BLG-FAD D07 HAUMA BANGE")</f>
        <v>SMU ODC-BLG-FAD D07 HAUMA BANGE</v>
      </c>
      <c r="D465" s="222" t="str">
        <f>IFERROR(__xludf.DUMMYFUNCTION("""COMPUTED_VALUE"""),"REGIONAL I")</f>
        <v>REGIONAL I</v>
      </c>
      <c r="E465" s="222" t="str">
        <f>IFERROR(__xludf.DUMMYFUNCTION("""COMPUTED_VALUE"""),"SUMUT")</f>
        <v>SUMUT</v>
      </c>
      <c r="F465" s="222" t="str">
        <f>IFERROR(__xludf.DUMMYFUNCTION("""COMPUTED_VALUE"""),"BLG")</f>
        <v>BLG</v>
      </c>
      <c r="G465" s="222" t="str">
        <f>IFERROR(__xludf.DUMMYFUNCTION("""COMPUTED_VALUE"""),"SUMBAGUT")</f>
        <v>SUMBAGUT</v>
      </c>
      <c r="H465" s="222" t="str">
        <f>IFERROR(__xludf.DUMMYFUNCTION("""COMPUTED_VALUE"""),"PEMATANG SIANTAR")</f>
        <v>PEMATANG SIANTAR</v>
      </c>
      <c r="I465" s="222" t="str">
        <f>IFERROR(__xludf.DUMMYFUNCTION("""COMPUTED_VALUE"""),"Batch 2")</f>
        <v>Batch 2</v>
      </c>
      <c r="J465" s="225">
        <f>IFERROR(__xludf.DUMMYFUNCTION("""COMPUTED_VALUE"""),7.0)</f>
        <v>7</v>
      </c>
      <c r="K465" s="224">
        <f>IFERROR(__xludf.DUMMYFUNCTION("""COMPUTED_VALUE"""),56.0)</f>
        <v>56</v>
      </c>
      <c r="L465" s="226">
        <f>IFERROR(__xludf.DUMMYFUNCTION("""COMPUTED_VALUE"""),1266668.0)</f>
        <v>1266668</v>
      </c>
      <c r="M465" s="227">
        <f>IFERROR(__xludf.DUMMYFUNCTION("""COMPUTED_VALUE"""),7.0933371E7)</f>
        <v>70933371</v>
      </c>
      <c r="N465" s="222" t="str">
        <f>IFERROR(__xludf.DUMMYFUNCTION("""COMPUTED_VALUE"""),"PT ARTHA MANDIRI BERSAMA")</f>
        <v>PT ARTHA MANDIRI BERSAMA</v>
      </c>
      <c r="O465" s="222" t="str">
        <f>IFERROR(__xludf.DUMMYFUNCTION("""COMPUTED_VALUE"""),"3. PERIZINAN")</f>
        <v>3. PERIZINAN</v>
      </c>
      <c r="P465" s="222" t="str">
        <f>IFERROR(__xludf.DUMMYFUNCTION("""COMPUTED_VALUE"""),"3.9 Izin Kades / Lurah / RTRW")</f>
        <v>3.9 Izin Kades / Lurah / RTRW</v>
      </c>
      <c r="Q465" s="222" t="str">
        <f>IFERROR(__xludf.DUMMYFUNCTION("""COMPUTED_VALUE"""),"27/4 stelah team pemerintah setempat dan waspang mediasi ke warga terkait izin tanam tiang , warga meminta kompensasi 500/batang (21batang), 23/4 stelah team pemerintah setempat dan waspang mediasi ke warga terkait izin tanam tiang , warga meminta kompens"&amp;"asi 500/batang (21batang),  22/4 stelah team pemerintah setempat dan waspang mediasi ke warga terkait izin tanam tiang , warga meminta kompensasi 500/batang (21batang), 21/4 stelah team pemerintah setempat dan waspang mediasi ke warga terkait izin tanam t"&amp;"iang , warga meminta kompensasi 500/batang (21batang),  16/4 stelah team pemerintah setempat dan waspang mediasi ke warga terkait izin tanam tiang , warga meminta kompensasi 500/batang (21batang), 15/4 stelah team pemerintah setempat dan waspang mediasi k"&amp;"e warga terkait izin tanam tiang , warga meminta kompensasi 500/batang (21batang), 14/4 stelah team pemerintah setempat dan waspang mediasi ke warga terkait izin tanam tiang , warga meminta kompensasi 500/batang (21batang), 13/4 stelah team pemerintah set"&amp;"empat dan waspang mediasi ke warga terkait izin tanam tiang , warga meminta kompensasi 500/batang (21batang), 9/4 stelah team pemerintah setempat dan waspang mediasi ke warga terkait izin tanam tiang , warga meminta kompensasi 500/batang (21batang), 8/4 s"&amp;"telah team pemerintah setempat dan waspang mediasi ke warga terkait izin tanam tiang , warga meminta kompensasi 500/batang (21batang), 6/4 stelah team pemerintah setempat dan waspang mediasi ke warga terkait izin tanam tiang , warga meminta kompensasi 500"&amp;"/batang (21batang), 5/4 stelah team pemerintah setempat dan waspang mediasi ke warga terkait izin tanam tiang , warga meminta kompensasi 500/batang (21batang), 1/4 stelah team pemerintah setempat dan waspang mediasi ke warga terkait izin tanam tiang , war"&amp;"ga meminta kompensasi 500/batang (21batang), 31/3 stelah team pemerintah setempat dan waspang mediasi ke warga terkait izin tanam tiang , warga meminta kompensasi 500/batang (21batang), 30/3 stelah team pemerintah setempat dan waspang mediasi ke warga ter"&amp;"kait izin tanam tiang , warga meminta kompensasi 500/batang (21batang), 27/3 stelah team pemerintah setempat dan waspang mediasi ke warga terkait izin tanam tiang , warga meminta kompensasi 500/batang (21batang), 26/3 stelah team pemerintah setempat dan w"&amp;"aspang mediasi ke warga terkait izin tanam tiang , warga meminta kompensasi 500/batang (21batang),  22/3 stelah team pemerintah setempat dan waspang mediasi ke warga terkait izin tanam tiang , warga meminta kompensasi 500/batang (21batang),  18/3 stelah t"&amp;"eam pemerintah setempat dan waspang mediasi ke warga terkait izin tanam tiang , warga meminta kompensasi 500/batang (21batang), 16/3 plan besok fu perijinan ke desa, 2/3 hari ini fu kembali terkait jadwal dari pihak desa untuk turun kelokasi sosisalisasi "&amp;"dengan warga yg berdampak plan tanam tiang baru, pihak desa untuk survey langsung kelokasi terkait izin tanam tiang, 
27/2 menunggu jadwal dari pihak desa untuk turun kelokasi sosisalisasi dengan warga yg berdampak plan tanam tiang baru, pihak desa untuk "&amp;"survey langsung kelokasi terkait izin tanam tiang,  25/2 menunggu jadwal dari pihak desa untuk turun kelokasi sosisalisasi dengan warga yg berdampak plan tanam tiang baru, pihak desa untuk survey langsung kelokasi terkait izin tanam tiang, 24/2 preapir te"&amp;"am pihak desa untuk survey langsung kelokasi terkait izin tanam tiang, 23/2 plan hari ini team bersama waspang melakukan perizinan ke desa terkait izin tanam tiang, 20/2 sudah dilakukan survey , akan tetap dilokasi kondisi space tidak ada untuk tanam tian"&amp;"g, plan senin 23 feb  team waspang ke lokasi fu terkait izin ke desa,19/2 plan survey ulang dengan  besok 20 feb oleh waspang terkait tidak ada space tanam tiang ( plan alih rute), 18/2 plan survey ulang dengan waspang terkait tidak ada space tanam tiang "&amp;"( plan alih rute), 16/2 plan survey ulang dengan waspang terkait tidak ada space tanam tiang ( plan alih rute), 13/2 plan survey ulang dengan waspang terkait tidak ada space tanam tiang ( plan alih rute),  12/2 Menunggu boq kml hasil survey, 11/2 Menunggu"&amp;" boq kml hasil survey, 10/2 Menunggu boq kml hasil survey,  9/2 Menunggu boq kml hasil survey, 6/2 prepair team untuk survey kelokasi est 9 feb (pengalihan dari mitra pt.aum),  5/2 prepair team untuk survey kelokasi est 9 feb (pengalihan dari mitra pt.aum"&amp;"),  4/2 prepair team untuk survey kelokasi (pengalihan dari mitra pt.aum),  3/2 prepair team untuk survey kelokasi (pengalihan dari mitra pt.aum), 2/2 prepair team untuk survey kelokasi (pengalihan dari mitra pt.aum), 1/2 plan besok 2/2 team turun kelokas"&amp;"i untuk survey, 30/1 prepair team untuk survey ke lokasi ( sesuai zoom mnggu ini tidak jalan lop akan kita alihkan ke mitra lain), 28/1 prepair team untuk survey ke lokasi ( sesuai zoom mnggu ini tidak jalan lop akan kita alihkan ke mitra lain),  27/1 pre"&amp;"pair team untuk survey ke lokasi ( sesuai zoom mnggu ini tidak jalan lop akan kita alihkan ke mitra lain), 26/1 prepair team untuk survey ke lokasi ( sesuai zoom mnggu ini tidak jalan lop akan kita alihkan ke mitra lain), 23/1 ( hari ini pic mitra menuju "&amp;"siantar untuk kordinasi terkait kelanjutan project),  22/1 plan survey 23/1,21/1 plan survey 22/1 (apabila surveynya tidak kunjung jalan  kita plankan pengalihan ke mitra lain),  20/1 plan survey tanggal 21/1, 19/1 plan survey tanggal 21/1,  15/1 plan sur"&amp;"vey tanggal 17/1, 14/01 plan survey minggu ini tgl 16/01 , 13/01 plan survey minggu ini tgl 16/01, (07/01) Persiapan")</f>
        <v>27/4 stelah team pemerintah setempat dan waspang mediasi ke warga terkait izin tanam tiang , warga meminta kompensasi 500/batang (21batang), 23/4 stelah team pemerintah setempat dan waspang mediasi ke warga terkait izin tanam tiang , warga meminta kompensasi 500/batang (21batang),  22/4 stelah team pemerintah setempat dan waspang mediasi ke warga terkait izin tanam tiang , warga meminta kompensasi 500/batang (21batang), 21/4 stelah team pemerintah setempat dan waspang mediasi ke warga terkait izin tanam tiang , warga meminta kompensasi 500/batang (21batang),  16/4 stelah team pemerintah setempat dan waspang mediasi ke warga terkait izin tanam tiang , warga meminta kompensasi 500/batang (21batang), 15/4 stelah team pemerintah setempat dan waspang mediasi ke warga terkait izin tanam tiang , warga meminta kompensasi 500/batang (21batang), 14/4 stelah team pemerintah setempat dan waspang mediasi ke warga terkait izin tanam tiang , warga meminta kompensasi 500/batang (21batang), 13/4 stelah team pemerintah setempat dan waspang mediasi ke warga terkait izin tanam tiang , warga meminta kompensasi 500/batang (21batang), 9/4 stelah team pemerintah setempat dan waspang mediasi ke warga terkait izin tanam tiang , warga meminta kompensasi 500/batang (21batang), 8/4 stelah team pemerintah setempat dan waspang mediasi ke warga terkait izin tanam tiang , warga meminta kompensasi 500/batang (21batang), 6/4 stelah team pemerintah setempat dan waspang mediasi ke warga terkait izin tanam tiang , warga meminta kompensasi 500/batang (21batang), 5/4 stelah team pemerintah setempat dan waspang mediasi ke warga terkait izin tanam tiang , warga meminta kompensasi 500/batang (21batang), 1/4 stelah team pemerintah setempat dan waspang mediasi ke warga terkait izin tanam tiang , warga meminta kompensasi 500/batang (21batang), 31/3 stelah team pemerintah setempat dan waspang mediasi ke warga terkait izin tanam tiang , warga meminta kompensasi 500/batang (21batang), 30/3 stelah team pemerintah setempat dan waspang mediasi ke warga terkait izin tanam tiang , warga meminta kompensasi 500/batang (21batang), 27/3 stelah team pemerintah setempat dan waspang mediasi ke warga terkait izin tanam tiang , warga meminta kompensasi 500/batang (21batang), 26/3 stelah team pemerintah setempat dan waspang mediasi ke warga terkait izin tanam tiang , warga meminta kompensasi 500/batang (21batang),  22/3 stelah team pemerintah setempat dan waspang mediasi ke warga terkait izin tanam tiang , warga meminta kompensasi 500/batang (21batang),  18/3 stelah team pemerintah setempat dan waspang mediasi ke warga terkait izin tanam tiang , warga meminta kompensasi 500/batang (21batang), 16/3 plan besok fu perijinan ke desa, 2/3 hari ini fu kembali terkait jadwal dari pihak desa untuk turun kelokasi sosisalisasi dengan warga yg berdampak plan tanam tiang baru, pihak desa untuk survey langsung kelokasi terkait izin tanam tiang, 
27/2 menunggu jadwal dari pihak desa untuk turun kelokasi sosisalisasi dengan warga yg berdampak plan tanam tiang baru, pihak desa untuk survey langsung kelokasi terkait izin tanam tiang,  25/2 menunggu jadwal dari pihak desa untuk turun kelokasi sosisalisasi dengan warga yg berdampak plan tanam tiang baru, pihak desa untuk survey langsung kelokasi terkait izin tanam tiang, 24/2 preapir team pihak desa untuk survey langsung kelokasi terkait izin tanam tiang, 23/2 plan hari ini team bersama waspang melakukan perizinan ke desa terkait izin tanam tiang, 20/2 sudah dilakukan survey , akan tetap dilokasi kondisi space tidak ada untuk tanam tiang, plan senin 23 feb  team waspang ke lokasi fu terkait izin ke desa,19/2 plan survey ulang dengan  besok 20 feb oleh waspang terkait tidak ada space tanam tiang ( plan alih rute), 18/2 plan survey ulang dengan waspang terkait tidak ada space tanam tiang ( plan alih rute), 16/2 plan survey ulang dengan waspang terkait tidak ada space tanam tiang ( plan alih rute), 13/2 plan survey ulang dengan waspang terkait tidak ada space tanam tiang ( plan alih rute),  12/2 Menunggu boq kml hasil survey, 11/2 Menunggu boq kml hasil survey, 10/2 Menunggu boq kml hasil survey,  9/2 Menunggu boq kml hasil survey, 6/2 prepair team untuk survey kelokasi est 9 feb (pengalihan dari mitra pt.aum),  5/2 prepair team untuk survey kelokasi est 9 feb (pengalihan dari mitra pt.aum),  4/2 prepair team untuk survey kelokasi (pengalihan dari mitra pt.aum),  3/2 prepair team untuk survey kelokasi (pengalihan dari mitra pt.aum), 2/2 prepair team untuk survey kelokasi (pengalihan dari mitra pt.aum), 1/2 plan besok 2/2 team turun kelokasi untuk survey, 30/1 prepair team untuk survey ke lokasi ( sesuai zoom mnggu ini tidak jalan lop akan kita alihkan ke mitra lain), 28/1 prepair team untuk survey ke lokasi ( sesuai zoom mnggu ini tidak jalan lop akan kita alihkan ke mitra lain),  27/1 prepair team untuk survey ke lokasi ( sesuai zoom mnggu ini tidak jalan lop akan kita alihkan ke mitra lain), 26/1 prepair team untuk survey ke lokasi ( sesuai zoom mnggu ini tidak jalan lop akan kita alihkan ke mitra lain), 23/1 ( hari ini pic mitra menuju siantar untuk kordinasi terkait kelanjutan project),  22/1 plan survey 23/1,21/1 plan survey 22/1 (apabila surveynya tidak kunjung jalan  kita plankan pengalihan ke mitra lain),  20/1 plan survey tanggal 21/1, 19/1 plan survey tanggal 21/1,  15/1 plan survey tanggal 17/1, 14/01 plan survey minggu ini tgl 16/01 , 13/01 plan survey minggu ini tgl 16/01, (07/01) Persiapan</v>
      </c>
      <c r="R465" s="228"/>
      <c r="S465" s="11"/>
      <c r="T465" s="73"/>
      <c r="U465" s="11" t="str">
        <f>IFERROR(__xludf.DUMMYFUNCTION("""COMPUTED_VALUE"""),"TIF-1412/2026")</f>
        <v>TIF-1412/2026</v>
      </c>
      <c r="V465" s="229" t="str">
        <f>IFERROR(__xludf.DUMMYFUNCTION("""COMPUTED_VALUE"""),"28/Apr/2026")</f>
        <v>28/Apr/2026</v>
      </c>
      <c r="W465" s="229"/>
      <c r="X465" s="229" t="str">
        <f>IFERROR(__xludf.DUMMYFUNCTION("""COMPUTED_VALUE"""),"BELUM GOLIVE")</f>
        <v>BELUM GOLIVE</v>
      </c>
      <c r="Y465" s="229" t="str">
        <f>IFERROR(__xludf.DUMMYFUNCTION("""COMPUTED_VALUE"""),"Izin Desa/Kec")</f>
        <v>Izin Desa/Kec</v>
      </c>
      <c r="Z465" s="229" t="str">
        <f>IFERROR(__xludf.DUMMYFUNCTION("""COMPUTED_VALUE"""),"#N/A")</f>
        <v>#N/A</v>
      </c>
      <c r="AA465" s="229"/>
      <c r="AB465" s="229"/>
      <c r="AC465" s="229"/>
      <c r="AD465" s="232"/>
      <c r="AE465" s="233"/>
      <c r="AF465" s="54" t="str">
        <f>IFERROR(__xludf.DUMMYFUNCTION("""COMPUTED_VALUE"""),"Draft BA DROP")</f>
        <v>Draft BA DROP</v>
      </c>
      <c r="AG465" s="54"/>
      <c r="AH465" s="54"/>
      <c r="AI465" s="55" t="str">
        <f t="shared" si="60"/>
        <v/>
      </c>
      <c r="AW465" s="234"/>
      <c r="BP465" s="11"/>
      <c r="BQ465" s="11"/>
      <c r="BR465" s="235"/>
      <c r="BV465" s="158"/>
      <c r="BY465" s="158"/>
      <c r="CB465" s="158"/>
    </row>
    <row r="466" ht="18.0" hidden="1" customHeight="1">
      <c r="A466" s="222">
        <f>IFERROR(__xludf.DUMMYFUNCTION("""COMPUTED_VALUE"""),2026.0)</f>
        <v>2026</v>
      </c>
      <c r="B466" s="221">
        <f>IFERROR(__xludf.DUMMYFUNCTION("""COMPUTED_VALUE"""),1.2273978E7)</f>
        <v>12273978</v>
      </c>
      <c r="C466" s="222" t="str">
        <f>IFERROR(__xludf.DUMMYFUNCTION("""COMPUTED_VALUE"""),"BNK-PT3-CRP-FZ-JPPTSEL-MANGGA 2")</f>
        <v>BNK-PT3-CRP-FZ-JPPTSEL-MANGGA 2</v>
      </c>
      <c r="D466" s="222" t="str">
        <f>IFERROR(__xludf.DUMMYFUNCTION("""COMPUTED_VALUE"""),"REGIONAL I")</f>
        <v>REGIONAL I</v>
      </c>
      <c r="E466" s="222" t="str">
        <f>IFERROR(__xludf.DUMMYFUNCTION("""COMPUTED_VALUE"""),"BENGKULU")</f>
        <v>BENGKULU</v>
      </c>
      <c r="F466" s="222" t="str">
        <f>IFERROR(__xludf.DUMMYFUNCTION("""COMPUTED_VALUE"""),"CRP")</f>
        <v>CRP</v>
      </c>
      <c r="G466" s="222" t="str">
        <f>IFERROR(__xludf.DUMMYFUNCTION("""COMPUTED_VALUE"""),"SUMBAGSEL")</f>
        <v>SUMBAGSEL</v>
      </c>
      <c r="H466" s="222" t="str">
        <f>IFERROR(__xludf.DUMMYFUNCTION("""COMPUTED_VALUE"""),"BENGKULU")</f>
        <v>BENGKULU</v>
      </c>
      <c r="I466" s="222" t="str">
        <f>IFERROR(__xludf.DUMMYFUNCTION("""COMPUTED_VALUE"""),"Batch 2")</f>
        <v>Batch 2</v>
      </c>
      <c r="J466" s="225">
        <f>IFERROR(__xludf.DUMMYFUNCTION("""COMPUTED_VALUE"""),6.0)</f>
        <v>6</v>
      </c>
      <c r="K466" s="224">
        <f>IFERROR(__xludf.DUMMYFUNCTION("""COMPUTED_VALUE"""),48.0)</f>
        <v>48</v>
      </c>
      <c r="L466" s="226">
        <f>IFERROR(__xludf.DUMMYFUNCTION("""COMPUTED_VALUE"""),1266499.0)</f>
        <v>1266499</v>
      </c>
      <c r="M466" s="227">
        <f>IFERROR(__xludf.DUMMYFUNCTION("""COMPUTED_VALUE"""),6.079194E7)</f>
        <v>60791940</v>
      </c>
      <c r="N466" s="222" t="str">
        <f>IFERROR(__xludf.DUMMYFUNCTION("""COMPUTED_VALUE"""),"PT. Telaga Restu Abadi")</f>
        <v>PT. Telaga Restu Abadi</v>
      </c>
      <c r="O466" s="222" t="str">
        <f>IFERROR(__xludf.DUMMYFUNCTION("""COMPUTED_VALUE"""),"0. DROP")</f>
        <v>0. DROP</v>
      </c>
      <c r="P466" s="222" t="str">
        <f>IFERROR(__xludf.DUMMYFUNCTION("""COMPUTED_VALUE"""),"0.2 Tidak Dapat Izin Warga/Kades/Lurah/Developer")</f>
        <v>0.2 Tidak Dapat Izin Warga/Kades/Lurah/Developer</v>
      </c>
      <c r="Q466" s="222" t="str">
        <f>IFERROR(__xludf.DUMMYFUNCTION("""COMPUTED_VALUE"""),"22/01 : tidak dapat izin RT, FEEDER/DISTRIBUSI Penuh")</f>
        <v>22/01 : tidak dapat izin RT, FEEDER/DISTRIBUSI Penuh</v>
      </c>
      <c r="R466" s="228"/>
      <c r="S466" s="11"/>
      <c r="T466" s="11"/>
      <c r="U466" s="11"/>
      <c r="V466" s="229"/>
      <c r="W466" s="229"/>
      <c r="X466" s="229" t="str">
        <f>IFERROR(__xludf.DUMMYFUNCTION("""COMPUTED_VALUE"""),"BELUM GOLIVE")</f>
        <v>BELUM GOLIVE</v>
      </c>
      <c r="Y466" s="229"/>
      <c r="Z466" s="229" t="str">
        <f>IFERROR(__xludf.DUMMYFUNCTION("""COMPUTED_VALUE"""),"#N/A")</f>
        <v>#N/A</v>
      </c>
      <c r="AA466" s="229"/>
      <c r="AB466" s="229"/>
      <c r="AC466" s="229"/>
      <c r="AD466" s="232"/>
      <c r="AE466" s="233"/>
      <c r="AF466" s="54" t="str">
        <f>IFERROR(__xludf.DUMMYFUNCTION("""COMPUTED_VALUE"""),"Draft BA DROP")</f>
        <v>Draft BA DROP</v>
      </c>
      <c r="AG466" s="54"/>
      <c r="AH466" s="54"/>
      <c r="AI466" s="55" t="str">
        <f t="shared" si="60"/>
        <v/>
      </c>
      <c r="AW466" s="234"/>
      <c r="BP466" s="11"/>
      <c r="BQ466" s="11"/>
      <c r="BR466" s="235"/>
      <c r="BV466" s="158"/>
      <c r="BY466" s="158"/>
      <c r="CB466" s="158"/>
    </row>
    <row r="467" ht="18.0" hidden="1" customHeight="1">
      <c r="A467" s="222">
        <f>IFERROR(__xludf.DUMMYFUNCTION("""COMPUTED_VALUE"""),2026.0)</f>
        <v>2026</v>
      </c>
      <c r="B467" s="221">
        <f>IFERROR(__xludf.DUMMYFUNCTION("""COMPUTED_VALUE"""),1.1388973E7)</f>
        <v>11388973</v>
      </c>
      <c r="C467" s="222" t="str">
        <f>IFERROR(__xludf.DUMMYFUNCTION("""COMPUTED_VALUE"""),"ACH PT3 BNN-FJ RAMBAYAN")</f>
        <v>ACH PT3 BNN-FJ RAMBAYAN</v>
      </c>
      <c r="D467" s="222" t="str">
        <f>IFERROR(__xludf.DUMMYFUNCTION("""COMPUTED_VALUE"""),"REGIONAL I")</f>
        <v>REGIONAL I</v>
      </c>
      <c r="E467" s="222" t="str">
        <f>IFERROR(__xludf.DUMMYFUNCTION("""COMPUTED_VALUE"""),"ACEH")</f>
        <v>ACEH</v>
      </c>
      <c r="F467" s="222" t="str">
        <f>IFERROR(__xludf.DUMMYFUNCTION("""COMPUTED_VALUE"""),"BNN")</f>
        <v>BNN</v>
      </c>
      <c r="G467" s="222" t="str">
        <f>IFERROR(__xludf.DUMMYFUNCTION("""COMPUTED_VALUE"""),"SUMBAGUT")</f>
        <v>SUMBAGUT</v>
      </c>
      <c r="H467" s="222" t="str">
        <f>IFERROR(__xludf.DUMMYFUNCTION("""COMPUTED_VALUE"""),"BANDA ACEH")</f>
        <v>BANDA ACEH</v>
      </c>
      <c r="I467" s="222" t="str">
        <f>IFERROR(__xludf.DUMMYFUNCTION("""COMPUTED_VALUE"""),"Batch 2")</f>
        <v>Batch 2</v>
      </c>
      <c r="J467" s="225">
        <f>IFERROR(__xludf.DUMMYFUNCTION("""COMPUTED_VALUE"""),11.0)</f>
        <v>11</v>
      </c>
      <c r="K467" s="224">
        <f>IFERROR(__xludf.DUMMYFUNCTION("""COMPUTED_VALUE"""),88.0)</f>
        <v>88</v>
      </c>
      <c r="L467" s="226">
        <f>IFERROR(__xludf.DUMMYFUNCTION("""COMPUTED_VALUE"""),1265767.0)</f>
        <v>1265767</v>
      </c>
      <c r="M467" s="227">
        <f>IFERROR(__xludf.DUMMYFUNCTION("""COMPUTED_VALUE"""),1.11387494E8)</f>
        <v>111387494</v>
      </c>
      <c r="N467" s="222" t="str">
        <f>IFERROR(__xludf.DUMMYFUNCTION("""COMPUTED_VALUE"""),"PT NIAGA NUSANTARA DIVA")</f>
        <v>PT NIAGA NUSANTARA DIVA</v>
      </c>
      <c r="O467" s="222" t="str">
        <f>IFERROR(__xludf.DUMMYFUNCTION("""COMPUTED_VALUE"""),"0. DROP")</f>
        <v>0. DROP</v>
      </c>
      <c r="P467" s="222" t="str">
        <f>IFERROR(__xludf.DUMMYFUNCTION("""COMPUTED_VALUE"""),"0.3 Feeder Full")</f>
        <v>0.3 Feeder Full</v>
      </c>
      <c r="Q467" s="222" t="str">
        <f>IFERROR(__xludf.DUMMYFUNCTION("""COMPUTED_VALUE"""),"(03/03) Feeder Full (09/02) PO Material (07/02) Validasi Core Existing (06/02) Done Aanwijzing (29/01)proses  AANWIJZING(07/01) Persiapan")</f>
        <v>(03/03) Feeder Full (09/02) PO Material (07/02) Validasi Core Existing (06/02) Done Aanwijzing (29/01)proses  AANWIJZING(07/01) Persiapan</v>
      </c>
      <c r="R467" s="228"/>
      <c r="S467" s="11"/>
      <c r="T467" s="11"/>
      <c r="U467" s="11"/>
      <c r="V467" s="229"/>
      <c r="W467" s="229"/>
      <c r="X467" s="229" t="str">
        <f>IFERROR(__xludf.DUMMYFUNCTION("""COMPUTED_VALUE"""),"BELUM GOLIVE")</f>
        <v>BELUM GOLIVE</v>
      </c>
      <c r="Y467" s="229"/>
      <c r="Z467" s="229" t="str">
        <f>IFERROR(__xludf.DUMMYFUNCTION("""COMPUTED_VALUE"""),"#N/A")</f>
        <v>#N/A</v>
      </c>
      <c r="AA467" s="229"/>
      <c r="AB467" s="229"/>
      <c r="AC467" s="229"/>
      <c r="AD467" s="232"/>
      <c r="AE467" s="233"/>
      <c r="AF467" s="54"/>
      <c r="AG467" s="54"/>
      <c r="AH467" s="54"/>
      <c r="AI467" s="55" t="str">
        <f t="shared" si="60"/>
        <v/>
      </c>
      <c r="AW467" s="234"/>
      <c r="BP467" s="11"/>
      <c r="BQ467" s="11"/>
      <c r="BR467" s="235"/>
      <c r="BV467" s="158"/>
      <c r="BY467" s="158"/>
      <c r="CB467" s="158"/>
    </row>
    <row r="468" ht="18.0" customHeight="1">
      <c r="A468" s="222">
        <f>IFERROR(__xludf.DUMMYFUNCTION("""COMPUTED_VALUE"""),2026.0)</f>
        <v>2026</v>
      </c>
      <c r="B468" s="221">
        <f>IFERROR(__xludf.DUMMYFUNCTION("""COMPUTED_VALUE"""),1.1095652E7)</f>
        <v>11095652</v>
      </c>
      <c r="C468" s="222" t="str">
        <f>IFERROR(__xludf.DUMMYFUNCTION("""COMPUTED_VALUE"""),"RDR JPP PT3 Perumahan Suntai Residence")</f>
        <v>RDR JPP PT3 Perumahan Suntai Residence</v>
      </c>
      <c r="D468" s="222" t="str">
        <f>IFERROR(__xludf.DUMMYFUNCTION("""COMPUTED_VALUE"""),"REGIONAL I")</f>
        <v>REGIONAL I</v>
      </c>
      <c r="E468" s="222" t="str">
        <f>IFERROR(__xludf.DUMMYFUNCTION("""COMPUTED_VALUE"""),"RIDAR")</f>
        <v>RIDAR</v>
      </c>
      <c r="F468" s="222" t="str">
        <f>IFERROR(__xludf.DUMMYFUNCTION("""COMPUTED_VALUE"""),"PBB")</f>
        <v>PBB</v>
      </c>
      <c r="G468" s="222" t="str">
        <f>IFERROR(__xludf.DUMMYFUNCTION("""COMPUTED_VALUE"""),"SUMBAGTENG")</f>
        <v>SUMBAGTENG</v>
      </c>
      <c r="H468" s="222" t="str">
        <f>IFERROR(__xludf.DUMMYFUNCTION("""COMPUTED_VALUE"""),"PEKANBARU")</f>
        <v>PEKANBARU</v>
      </c>
      <c r="I468" s="222" t="str">
        <f>IFERROR(__xludf.DUMMYFUNCTION("""COMPUTED_VALUE"""),"Batch 2")</f>
        <v>Batch 2</v>
      </c>
      <c r="J468" s="225">
        <f>IFERROR(__xludf.DUMMYFUNCTION("""COMPUTED_VALUE"""),3.0)</f>
        <v>3</v>
      </c>
      <c r="K468" s="224">
        <f>IFERROR(__xludf.DUMMYFUNCTION("""COMPUTED_VALUE"""),24.0)</f>
        <v>24</v>
      </c>
      <c r="L468" s="226">
        <f>IFERROR(__xludf.DUMMYFUNCTION("""COMPUTED_VALUE"""),1265705.0)</f>
        <v>1265705</v>
      </c>
      <c r="M468" s="227">
        <f>IFERROR(__xludf.DUMMYFUNCTION("""COMPUTED_VALUE"""),3.03769E7)</f>
        <v>30376900</v>
      </c>
      <c r="N468" s="222"/>
      <c r="O468" s="222" t="str">
        <f>IFERROR(__xludf.DUMMYFUNCTION("""COMPUTED_VALUE"""),"0. DROP")</f>
        <v>0. DROP</v>
      </c>
      <c r="P468" s="222" t="str">
        <f>IFERROR(__xludf.DUMMYFUNCTION("""COMPUTED_VALUE"""),"0.2 Tidak Dapat Izin Warga/Kades/Lurah/Developer")</f>
        <v>0.2 Tidak Dapat Izin Warga/Kades/Lurah/Developer</v>
      </c>
      <c r="Q468" s="222" t="str">
        <f>IFERROR(__xludf.DUMMYFUNCTION("""COMPUTED_VALUE""")," TIDAK DAPAT IZIN RT RW 
(07/01) Persiapan")</f>
        <v> TIDAK DAPAT IZIN RT RW 
(07/01) Persiapan</v>
      </c>
      <c r="R468" s="228"/>
      <c r="S468" s="11"/>
      <c r="T468" s="11"/>
      <c r="U468" s="11"/>
      <c r="V468" s="229"/>
      <c r="W468" s="229"/>
      <c r="X468" s="229" t="str">
        <f>IFERROR(__xludf.DUMMYFUNCTION("""COMPUTED_VALUE"""),"BELUM GOLIVE")</f>
        <v>BELUM GOLIVE</v>
      </c>
      <c r="Y468" s="229"/>
      <c r="Z468" s="229" t="str">
        <f>IFERROR(__xludf.DUMMYFUNCTION("""COMPUTED_VALUE"""),"#N/A")</f>
        <v>#N/A</v>
      </c>
      <c r="AA468" s="229"/>
      <c r="AB468" s="229"/>
      <c r="AC468" s="229"/>
      <c r="AD468" s="232"/>
      <c r="AE468" s="233"/>
      <c r="AF468" s="54" t="str">
        <f>IFERROR(__xludf.DUMMYFUNCTION("""COMPUTED_VALUE"""),"Draft BA DROP")</f>
        <v>Draft BA DROP</v>
      </c>
      <c r="AG468" s="54"/>
      <c r="AH468" s="54"/>
      <c r="AI468" s="55" t="str">
        <f t="shared" si="60"/>
        <v/>
      </c>
      <c r="AW468" s="234"/>
      <c r="BP468" s="11"/>
      <c r="BQ468" s="11"/>
      <c r="BR468" s="235"/>
      <c r="BV468" s="158"/>
      <c r="BY468" s="158"/>
      <c r="CB468" s="158"/>
    </row>
    <row r="469" ht="18.0" hidden="1" customHeight="1">
      <c r="A469" s="222">
        <f>IFERROR(__xludf.DUMMYFUNCTION("""COMPUTED_VALUE"""),2026.0)</f>
        <v>2026</v>
      </c>
      <c r="B469" s="221">
        <f>IFERROR(__xludf.DUMMYFUNCTION("""COMPUTED_VALUE"""),1.1066281E7)</f>
        <v>11066281</v>
      </c>
      <c r="C469" s="222" t="str">
        <f>IFERROR(__xludf.DUMMYFUNCTION("""COMPUTED_VALUE"""),"BNK-PT3-BNK BENGKULU_10864_new")</f>
        <v>BNK-PT3-BNK BENGKULU_10864_new</v>
      </c>
      <c r="D469" s="222" t="str">
        <f>IFERROR(__xludf.DUMMYFUNCTION("""COMPUTED_VALUE"""),"REGIONAL I")</f>
        <v>REGIONAL I</v>
      </c>
      <c r="E469" s="222" t="str">
        <f>IFERROR(__xludf.DUMMYFUNCTION("""COMPUTED_VALUE"""),"BENGKULU")</f>
        <v>BENGKULU</v>
      </c>
      <c r="F469" s="222" t="str">
        <f>IFERROR(__xludf.DUMMYFUNCTION("""COMPUTED_VALUE"""),"PDW")</f>
        <v>PDW</v>
      </c>
      <c r="G469" s="222" t="str">
        <f>IFERROR(__xludf.DUMMYFUNCTION("""COMPUTED_VALUE"""),"SUMBAGSEL")</f>
        <v>SUMBAGSEL</v>
      </c>
      <c r="H469" s="222" t="str">
        <f>IFERROR(__xludf.DUMMYFUNCTION("""COMPUTED_VALUE"""),"BENGKULU")</f>
        <v>BENGKULU</v>
      </c>
      <c r="I469" s="222" t="str">
        <f>IFERROR(__xludf.DUMMYFUNCTION("""COMPUTED_VALUE"""),"Batch 2")</f>
        <v>Batch 2</v>
      </c>
      <c r="J469" s="225">
        <f>IFERROR(__xludf.DUMMYFUNCTION("""COMPUTED_VALUE"""),22.0)</f>
        <v>22</v>
      </c>
      <c r="K469" s="224">
        <f>IFERROR(__xludf.DUMMYFUNCTION("""COMPUTED_VALUE"""),176.0)</f>
        <v>176</v>
      </c>
      <c r="L469" s="226">
        <f>IFERROR(__xludf.DUMMYFUNCTION("""COMPUTED_VALUE"""),1265598.0)</f>
        <v>1265598</v>
      </c>
      <c r="M469" s="227">
        <f>IFERROR(__xludf.DUMMYFUNCTION("""COMPUTED_VALUE"""),2.22745105E8)</f>
        <v>222745105</v>
      </c>
      <c r="N469" s="222" t="str">
        <f>IFERROR(__xludf.DUMMYFUNCTION("""COMPUTED_VALUE"""),"T DJALIL KOMUNIKASI GROUP")</f>
        <v>T DJALIL KOMUNIKASI GROUP</v>
      </c>
      <c r="O469" s="222" t="str">
        <f>IFERROR(__xludf.DUMMYFUNCTION("""COMPUTED_VALUE"""),"0. DROP")</f>
        <v>0. DROP</v>
      </c>
      <c r="P469" s="222" t="str">
        <f>IFERROR(__xludf.DUMMYFUNCTION("""COMPUTED_VALUE"""),"0.2 Tidak Dapat Izin Warga/Kades/Lurah/Developer")</f>
        <v>0.2 Tidak Dapat Izin Warga/Kades/Lurah/Developer</v>
      </c>
      <c r="Q469" s="222" t="str">
        <f>IFERROR(__xludf.DUMMYFUNCTION("""COMPUTED_VALUE"""),"23/01 : TIDAK DAPAT IZIN RT RW")</f>
        <v>23/01 : TIDAK DAPAT IZIN RT RW</v>
      </c>
      <c r="R469" s="228"/>
      <c r="S469" s="11"/>
      <c r="T469" s="11"/>
      <c r="U469" s="11"/>
      <c r="V469" s="229"/>
      <c r="W469" s="229"/>
      <c r="X469" s="229" t="str">
        <f>IFERROR(__xludf.DUMMYFUNCTION("""COMPUTED_VALUE"""),"BELUM GOLIVE")</f>
        <v>BELUM GOLIVE</v>
      </c>
      <c r="Y469" s="229"/>
      <c r="Z469" s="229" t="str">
        <f>IFERROR(__xludf.DUMMYFUNCTION("""COMPUTED_VALUE"""),"#N/A")</f>
        <v>#N/A</v>
      </c>
      <c r="AA469" s="229"/>
      <c r="AB469" s="229"/>
      <c r="AC469" s="229"/>
      <c r="AD469" s="232"/>
      <c r="AE469" s="233"/>
      <c r="AF469" s="54" t="str">
        <f>IFERROR(__xludf.DUMMYFUNCTION("""COMPUTED_VALUE"""),"Draft BA DROP")</f>
        <v>Draft BA DROP</v>
      </c>
      <c r="AG469" s="54"/>
      <c r="AH469" s="54"/>
      <c r="AI469" s="55" t="str">
        <f t="shared" si="60"/>
        <v/>
      </c>
      <c r="AW469" s="234"/>
      <c r="BP469" s="11"/>
      <c r="BQ469" s="11"/>
      <c r="BR469" s="235"/>
      <c r="BV469" s="158"/>
      <c r="BY469" s="158"/>
      <c r="CB469" s="158"/>
    </row>
    <row r="470" ht="18.0" hidden="1" customHeight="1">
      <c r="A470" s="222">
        <f>IFERROR(__xludf.DUMMYFUNCTION("""COMPUTED_VALUE"""),2026.0)</f>
        <v>2026</v>
      </c>
      <c r="B470" s="221">
        <f>IFERROR(__xludf.DUMMYFUNCTION("""COMPUTED_VALUE"""),1.1325488E7)</f>
        <v>11325488</v>
      </c>
      <c r="C470" s="222" t="str">
        <f>IFERROR(__xludf.DUMMYFUNCTION("""COMPUTED_VALUE"""),"MDN PT3 TJR-FU GG.BANTENG PUNDEN REJO")</f>
        <v>MDN PT3 TJR-FU GG.BANTENG PUNDEN REJO</v>
      </c>
      <c r="D470" s="222" t="str">
        <f>IFERROR(__xludf.DUMMYFUNCTION("""COMPUTED_VALUE"""),"REGIONAL I")</f>
        <v>REGIONAL I</v>
      </c>
      <c r="E470" s="222" t="str">
        <f>IFERROR(__xludf.DUMMYFUNCTION("""COMPUTED_VALUE"""),"MEDAN")</f>
        <v>MEDAN</v>
      </c>
      <c r="F470" s="222" t="str">
        <f>IFERROR(__xludf.DUMMYFUNCTION("""COMPUTED_VALUE"""),"TJR")</f>
        <v>TJR</v>
      </c>
      <c r="G470" s="222" t="str">
        <f>IFERROR(__xludf.DUMMYFUNCTION("""COMPUTED_VALUE"""),"SUMBAGUT")</f>
        <v>SUMBAGUT</v>
      </c>
      <c r="H470" s="222" t="str">
        <f>IFERROR(__xludf.DUMMYFUNCTION("""COMPUTED_VALUE"""),"MEDAN")</f>
        <v>MEDAN</v>
      </c>
      <c r="I470" s="222" t="str">
        <f>IFERROR(__xludf.DUMMYFUNCTION("""COMPUTED_VALUE"""),"Batch 2")</f>
        <v>Batch 2</v>
      </c>
      <c r="J470" s="225">
        <f>IFERROR(__xludf.DUMMYFUNCTION("""COMPUTED_VALUE"""),4.0)</f>
        <v>4</v>
      </c>
      <c r="K470" s="224">
        <f>IFERROR(__xludf.DUMMYFUNCTION("""COMPUTED_VALUE"""),32.0)</f>
        <v>32</v>
      </c>
      <c r="L470" s="226">
        <f>IFERROR(__xludf.DUMMYFUNCTION("""COMPUTED_VALUE"""),724077.0)</f>
        <v>724077</v>
      </c>
      <c r="M470" s="227">
        <f>IFERROR(__xludf.DUMMYFUNCTION("""COMPUTED_VALUE"""),2.3170437E7)</f>
        <v>23170437</v>
      </c>
      <c r="N470" s="222" t="str">
        <f>IFERROR(__xludf.DUMMYFUNCTION("""COMPUTED_VALUE"""),"PT MEDCOM SOLUTION")</f>
        <v>PT MEDCOM SOLUTION</v>
      </c>
      <c r="O470" s="222" t="str">
        <f>IFERROR(__xludf.DUMMYFUNCTION("""COMPUTED_VALUE"""),"3. PERIZINAN")</f>
        <v>3. PERIZINAN</v>
      </c>
      <c r="P470" s="222" t="str">
        <f>IFERROR(__xludf.DUMMYFUNCTION("""COMPUTED_VALUE"""),"3.9 Izin Kades / Lurah / RTRW")</f>
        <v>3.9 Izin Kades / Lurah / RTRW</v>
      </c>
      <c r="Q470" s="222" t="str">
        <f>IFERROR(__xludf.DUMMYFUNCTION("""COMPUTED_VALUE"""),"21/04 OGP perizinan
09/04 proses perizinan
31/03 pengajuan pemindahan plan ODP kedepan gang (07/01) Persiapan")</f>
        <v>21/04 OGP perizinan
09/04 proses perizinan
31/03 pengajuan pemindahan plan ODP kedepan gang (07/01) Persiapan</v>
      </c>
      <c r="R470" s="228"/>
      <c r="S470" s="11"/>
      <c r="T470" s="73"/>
      <c r="U470" s="11"/>
      <c r="V470" s="229" t="str">
        <f>IFERROR(__xludf.DUMMYFUNCTION("""COMPUTED_VALUE"""),"29/Apr/2026")</f>
        <v>29/Apr/2026</v>
      </c>
      <c r="W470" s="229"/>
      <c r="X470" s="229" t="str">
        <f>IFERROR(__xludf.DUMMYFUNCTION("""COMPUTED_VALUE"""),"BELUM GOLIVE")</f>
        <v>BELUM GOLIVE</v>
      </c>
      <c r="Y470" s="229"/>
      <c r="Z470" s="229" t="str">
        <f>IFERROR(__xludf.DUMMYFUNCTION("""COMPUTED_VALUE"""),"#N/A")</f>
        <v>#N/A</v>
      </c>
      <c r="AA470" s="229"/>
      <c r="AB470" s="229"/>
      <c r="AC470" s="229"/>
      <c r="AD470" s="232"/>
      <c r="AE470" s="233"/>
      <c r="AF470" s="54"/>
      <c r="AG470" s="54"/>
      <c r="AH470" s="54"/>
      <c r="AI470" s="55" t="str">
        <f t="shared" si="60"/>
        <v/>
      </c>
      <c r="AW470" s="234"/>
      <c r="BP470" s="11"/>
      <c r="BQ470" s="11"/>
      <c r="BR470" s="235"/>
      <c r="BV470" s="158"/>
      <c r="BY470" s="158"/>
      <c r="CB470" s="158"/>
    </row>
    <row r="471" ht="18.0" customHeight="1">
      <c r="A471" s="222">
        <f>IFERROR(__xludf.DUMMYFUNCTION("""COMPUTED_VALUE"""),2026.0)</f>
        <v>2026</v>
      </c>
      <c r="B471" s="221">
        <f>IFERROR(__xludf.DUMMYFUNCTION("""COMPUTED_VALUE"""),1.0994651E7)</f>
        <v>10994651</v>
      </c>
      <c r="C471" s="222" t="str">
        <f>IFERROR(__xludf.DUMMYFUNCTION("""COMPUTED_VALUE"""),"RDR JPP PT4 KM8 HARAPAN TANI")</f>
        <v>RDR JPP PT4 KM8 HARAPAN TANI</v>
      </c>
      <c r="D471" s="222" t="str">
        <f>IFERROR(__xludf.DUMMYFUNCTION("""COMPUTED_VALUE"""),"REGIONAL I")</f>
        <v>REGIONAL I</v>
      </c>
      <c r="E471" s="222" t="str">
        <f>IFERROR(__xludf.DUMMYFUNCTION("""COMPUTED_VALUE"""),"RIDAR")</f>
        <v>RIDAR</v>
      </c>
      <c r="F471" s="222" t="str">
        <f>IFERROR(__xludf.DUMMYFUNCTION("""COMPUTED_VALUE"""),"TBH")</f>
        <v>TBH</v>
      </c>
      <c r="G471" s="222" t="str">
        <f>IFERROR(__xludf.DUMMYFUNCTION("""COMPUTED_VALUE"""),"SUMBAGTENG")</f>
        <v>SUMBAGTENG</v>
      </c>
      <c r="H471" s="222" t="str">
        <f>IFERROR(__xludf.DUMMYFUNCTION("""COMPUTED_VALUE"""),"PEKANBARU")</f>
        <v>PEKANBARU</v>
      </c>
      <c r="I471" s="222" t="str">
        <f>IFERROR(__xludf.DUMMYFUNCTION("""COMPUTED_VALUE"""),"Batch 2")</f>
        <v>Batch 2</v>
      </c>
      <c r="J471" s="225">
        <f>IFERROR(__xludf.DUMMYFUNCTION("""COMPUTED_VALUE"""),2.0)</f>
        <v>2</v>
      </c>
      <c r="K471" s="224">
        <f>IFERROR(__xludf.DUMMYFUNCTION("""COMPUTED_VALUE"""),16.0)</f>
        <v>16</v>
      </c>
      <c r="L471" s="226">
        <f>IFERROR(__xludf.DUMMYFUNCTION("""COMPUTED_VALUE"""),1265556.0)</f>
        <v>1265556</v>
      </c>
      <c r="M471" s="227">
        <f>IFERROR(__xludf.DUMMYFUNCTION("""COMPUTED_VALUE"""),2.0248894E7)</f>
        <v>20248894</v>
      </c>
      <c r="N471" s="222"/>
      <c r="O471" s="222" t="str">
        <f>IFERROR(__xludf.DUMMYFUNCTION("""COMPUTED_VALUE"""),"0. DROP")</f>
        <v>0. DROP</v>
      </c>
      <c r="P471" s="222" t="str">
        <f>IFERROR(__xludf.DUMMYFUNCTION("""COMPUTED_VALUE"""),"0.1 Double Order")</f>
        <v>0.1 Double Order</v>
      </c>
      <c r="Q471" s="222" t="str">
        <f>IFERROR(__xludf.DUMMYFUNCTION("""COMPUTED_VALUE"""),"20/01 Double LOP (07/01) Persiapan")</f>
        <v>20/01 Double LOP (07/01) Persiapan</v>
      </c>
      <c r="R471" s="228"/>
      <c r="S471" s="11"/>
      <c r="T471" s="11"/>
      <c r="U471" s="11"/>
      <c r="V471" s="229"/>
      <c r="W471" s="229"/>
      <c r="X471" s="229" t="str">
        <f>IFERROR(__xludf.DUMMYFUNCTION("""COMPUTED_VALUE"""),"BELUM GOLIVE")</f>
        <v>BELUM GOLIVE</v>
      </c>
      <c r="Y471" s="229"/>
      <c r="Z471" s="229" t="str">
        <f>IFERROR(__xludf.DUMMYFUNCTION("""COMPUTED_VALUE"""),"#N/A")</f>
        <v>#N/A</v>
      </c>
      <c r="AA471" s="229"/>
      <c r="AB471" s="229"/>
      <c r="AC471" s="229"/>
      <c r="AD471" s="232"/>
      <c r="AE471" s="233"/>
      <c r="AF471" s="54" t="str">
        <f>IFERROR(__xludf.DUMMYFUNCTION("""COMPUTED_VALUE"""),"Draft BA DROP")</f>
        <v>Draft BA DROP</v>
      </c>
      <c r="AG471" s="54"/>
      <c r="AH471" s="54"/>
      <c r="AI471" s="55" t="str">
        <f t="shared" si="60"/>
        <v/>
      </c>
      <c r="AW471" s="234"/>
      <c r="BP471" s="11"/>
      <c r="BQ471" s="11"/>
      <c r="BR471" s="235"/>
      <c r="BV471" s="158"/>
      <c r="BY471" s="158"/>
      <c r="CB471" s="158"/>
    </row>
    <row r="472" ht="18.0" hidden="1" customHeight="1">
      <c r="A472" s="222">
        <f>IFERROR(__xludf.DUMMYFUNCTION("""COMPUTED_VALUE"""),2026.0)</f>
        <v>2026</v>
      </c>
      <c r="B472" s="221">
        <f>IFERROR(__xludf.DUMMYFUNCTION("""COMPUTED_VALUE"""),1.1289324E7)</f>
        <v>11289324</v>
      </c>
      <c r="C472" s="222" t="str">
        <f>IFERROR(__xludf.DUMMYFUNCTION("""COMPUTED_VALUE"""),"MDN PT3 P7I3 TMU-FV MAKMUR ANGGREK2")</f>
        <v>MDN PT3 P7I3 TMU-FV MAKMUR ANGGREK2</v>
      </c>
      <c r="D472" s="222" t="str">
        <f>IFERROR(__xludf.DUMMYFUNCTION("""COMPUTED_VALUE"""),"REGIONAL I")</f>
        <v>REGIONAL I</v>
      </c>
      <c r="E472" s="222" t="str">
        <f>IFERROR(__xludf.DUMMYFUNCTION("""COMPUTED_VALUE"""),"MEDAN")</f>
        <v>MEDAN</v>
      </c>
      <c r="F472" s="222" t="str">
        <f>IFERROR(__xludf.DUMMYFUNCTION("""COMPUTED_VALUE"""),"TMU")</f>
        <v>TMU</v>
      </c>
      <c r="G472" s="222" t="str">
        <f>IFERROR(__xludf.DUMMYFUNCTION("""COMPUTED_VALUE"""),"SUMBAGUT")</f>
        <v>SUMBAGUT</v>
      </c>
      <c r="H472" s="222" t="str">
        <f>IFERROR(__xludf.DUMMYFUNCTION("""COMPUTED_VALUE"""),"MEDAN")</f>
        <v>MEDAN</v>
      </c>
      <c r="I472" s="222" t="str">
        <f>IFERROR(__xludf.DUMMYFUNCTION("""COMPUTED_VALUE"""),"Batch 2")</f>
        <v>Batch 2</v>
      </c>
      <c r="J472" s="225">
        <f>IFERROR(__xludf.DUMMYFUNCTION("""COMPUTED_VALUE"""),9.0)</f>
        <v>9</v>
      </c>
      <c r="K472" s="224">
        <f>IFERROR(__xludf.DUMMYFUNCTION("""COMPUTED_VALUE"""),72.0)</f>
        <v>72</v>
      </c>
      <c r="L472" s="226">
        <f>IFERROR(__xludf.DUMMYFUNCTION("""COMPUTED_VALUE"""),1265362.0)</f>
        <v>1265362</v>
      </c>
      <c r="M472" s="227">
        <f>IFERROR(__xludf.DUMMYFUNCTION("""COMPUTED_VALUE"""),9.1106058E7)</f>
        <v>91106058</v>
      </c>
      <c r="N472" s="222" t="str">
        <f>IFERROR(__xludf.DUMMYFUNCTION("""COMPUTED_VALUE"""),"PT KANA PRISMA AKSES")</f>
        <v>PT KANA PRISMA AKSES</v>
      </c>
      <c r="O472" s="222" t="str">
        <f>IFERROR(__xludf.DUMMYFUNCTION("""COMPUTED_VALUE"""),"0. DROP")</f>
        <v>0. DROP</v>
      </c>
      <c r="P472" s="222" t="str">
        <f>IFERROR(__xludf.DUMMYFUNCTION("""COMPUTED_VALUE"""),"0.4 CPP Tinggi Acc ED TIF")</f>
        <v>0.4 CPP Tinggi Acc ED TIF</v>
      </c>
      <c r="Q472" s="222" t="str">
        <f>IFERROR(__xludf.DUMMYFUNCTION("""COMPUTED_VALUE"""),"16/10 Feeder Redaman Tinggi 
16/10 Mapping Mitra")</f>
        <v>16/10 Feeder Redaman Tinggi 
16/10 Mapping Mitra</v>
      </c>
      <c r="R472" s="228"/>
      <c r="S472" s="11"/>
      <c r="T472" s="11"/>
      <c r="U472" s="11"/>
      <c r="V472" s="229"/>
      <c r="W472" s="229"/>
      <c r="X472" s="229" t="str">
        <f>IFERROR(__xludf.DUMMYFUNCTION("""COMPUTED_VALUE"""),"BELUM GOLIVE")</f>
        <v>BELUM GOLIVE</v>
      </c>
      <c r="Y472" s="229"/>
      <c r="Z472" s="229" t="str">
        <f>IFERROR(__xludf.DUMMYFUNCTION("""COMPUTED_VALUE"""),"#N/A")</f>
        <v>#N/A</v>
      </c>
      <c r="AA472" s="229"/>
      <c r="AB472" s="229"/>
      <c r="AC472" s="229"/>
      <c r="AD472" s="232"/>
      <c r="AE472" s="233"/>
      <c r="AF472" s="54" t="str">
        <f>IFERROR(__xludf.DUMMYFUNCTION("""COMPUTED_VALUE"""),"Draft BA DROP")</f>
        <v>Draft BA DROP</v>
      </c>
      <c r="AG472" s="54"/>
      <c r="AH472" s="54"/>
      <c r="AI472" s="55" t="str">
        <f t="shared" si="60"/>
        <v/>
      </c>
      <c r="AW472" s="234"/>
      <c r="BP472" s="11"/>
      <c r="BQ472" s="11"/>
      <c r="BR472" s="235"/>
      <c r="BV472" s="158"/>
      <c r="BY472" s="158"/>
      <c r="CB472" s="158"/>
    </row>
    <row r="473" ht="18.0" hidden="1" customHeight="1">
      <c r="A473" s="222">
        <f>IFERROR(__xludf.DUMMYFUNCTION("""COMPUTED_VALUE"""),2026.0)</f>
        <v>2026</v>
      </c>
      <c r="B473" s="221">
        <f>IFERROR(__xludf.DUMMYFUNCTION("""COMPUTED_VALUE"""),1.1364929E7)</f>
        <v>11364929</v>
      </c>
      <c r="C473" s="222" t="str">
        <f>IFERROR(__xludf.DUMMYFUNCTION("""COMPUTED_VALUE"""),"MDN PT3 TJR-FZ ROYAL SEPRANG, PONDOK5")</f>
        <v>MDN PT3 TJR-FZ ROYAL SEPRANG, PONDOK5</v>
      </c>
      <c r="D473" s="222" t="str">
        <f>IFERROR(__xludf.DUMMYFUNCTION("""COMPUTED_VALUE"""),"REGIONAL I")</f>
        <v>REGIONAL I</v>
      </c>
      <c r="E473" s="222" t="str">
        <f>IFERROR(__xludf.DUMMYFUNCTION("""COMPUTED_VALUE"""),"MEDAN")</f>
        <v>MEDAN</v>
      </c>
      <c r="F473" s="222" t="str">
        <f>IFERROR(__xludf.DUMMYFUNCTION("""COMPUTED_VALUE"""),"TJR")</f>
        <v>TJR</v>
      </c>
      <c r="G473" s="222" t="str">
        <f>IFERROR(__xludf.DUMMYFUNCTION("""COMPUTED_VALUE"""),"SUMBAGUT")</f>
        <v>SUMBAGUT</v>
      </c>
      <c r="H473" s="222" t="str">
        <f>IFERROR(__xludf.DUMMYFUNCTION("""COMPUTED_VALUE"""),"MEDAN")</f>
        <v>MEDAN</v>
      </c>
      <c r="I473" s="222" t="str">
        <f>IFERROR(__xludf.DUMMYFUNCTION("""COMPUTED_VALUE"""),"Batch 2")</f>
        <v>Batch 2</v>
      </c>
      <c r="J473" s="225">
        <f>IFERROR(__xludf.DUMMYFUNCTION("""COMPUTED_VALUE"""),16.0)</f>
        <v>16</v>
      </c>
      <c r="K473" s="224">
        <f>IFERROR(__xludf.DUMMYFUNCTION("""COMPUTED_VALUE"""),128.0)</f>
        <v>128</v>
      </c>
      <c r="L473" s="226">
        <f>IFERROR(__xludf.DUMMYFUNCTION("""COMPUTED_VALUE"""),1512506.0)</f>
        <v>1512506</v>
      </c>
      <c r="M473" s="227">
        <f>IFERROR(__xludf.DUMMYFUNCTION("""COMPUTED_VALUE"""),1.93600749E8)</f>
        <v>193600749</v>
      </c>
      <c r="N473" s="222" t="str">
        <f>IFERROR(__xludf.DUMMYFUNCTION("""COMPUTED_VALUE"""),"PT FIBERHOME TECHNOLOGIES INDONESIA")</f>
        <v>PT FIBERHOME TECHNOLOGIES INDONESIA</v>
      </c>
      <c r="O473" s="222" t="str">
        <f>IFERROR(__xludf.DUMMYFUNCTION("""COMPUTED_VALUE"""),"5. INSTALASI")</f>
        <v>5. INSTALASI</v>
      </c>
      <c r="P473" s="222" t="str">
        <f>IFERROR(__xludf.DUMMYFUNCTION("""COMPUTED_VALUE"""),"5.9 Proses Pemasangan/Terminasi ODP/OTB")</f>
        <v>5.9 Proses Pemasangan/Terminasi ODP/OTB</v>
      </c>
      <c r="Q473" s="222" t="str">
        <f>IFERROR(__xludf.DUMMYFUNCTION("""COMPUTED_VALUE"""),"(20/04) Done redesain , OGP penarikan kabel 
09/04 start lanjut penanaman tiang 14/04 akibat jalan putus 09/01 proses tanam tiang
(05/02) permit on going, (07/01) Persiapan")</f>
        <v>(20/04) Done redesain , OGP penarikan kabel 
09/04 start lanjut penanaman tiang 14/04 akibat jalan putus 09/01 proses tanam tiang
(05/02) permit on going, (07/01) Persiapan</v>
      </c>
      <c r="R473" s="228">
        <f>IFERROR(__xludf.DUMMYFUNCTION("""COMPUTED_VALUE"""),46137.0)</f>
        <v>46137</v>
      </c>
      <c r="S473" s="11" t="str">
        <f>IFERROR(__xludf.DUMMYFUNCTION("""COMPUTED_VALUE"""),"APR")</f>
        <v>APR</v>
      </c>
      <c r="T473" s="73" t="str">
        <f>IFERROR(__xludf.DUMMYFUNCTION("""COMPUTED_VALUE"""),"P1")</f>
        <v>P1</v>
      </c>
      <c r="U473" s="11"/>
      <c r="V473" s="229"/>
      <c r="W473" s="229" t="str">
        <f>IFERROR(__xludf.DUMMYFUNCTION("""COMPUTED_VALUE"""),"#N/A")</f>
        <v>#N/A</v>
      </c>
      <c r="X473" s="229" t="str">
        <f>IFERROR(__xludf.DUMMYFUNCTION("""COMPUTED_VALUE"""),"BELUM GOLIVE")</f>
        <v>BELUM GOLIVE</v>
      </c>
      <c r="Y473" s="229"/>
      <c r="Z473" s="229" t="str">
        <f>IFERROR(__xludf.DUMMYFUNCTION("""COMPUTED_VALUE"""),"#N/A")</f>
        <v>#N/A</v>
      </c>
      <c r="AA473" s="229"/>
      <c r="AB473" s="229"/>
      <c r="AC473" s="229"/>
      <c r="AD473" s="232"/>
      <c r="AE473" s="233"/>
      <c r="AF473" s="54" t="str">
        <f>IFERROR(__xludf.DUMMYFUNCTION("""COMPUTED_VALUE"""),"Draft BA DROP")</f>
        <v>Draft BA DROP</v>
      </c>
      <c r="AG473" s="54"/>
      <c r="AH473" s="54">
        <v>46137.0</v>
      </c>
      <c r="AI473" s="55" t="str">
        <f t="shared" si="60"/>
        <v/>
      </c>
      <c r="AW473" s="234"/>
      <c r="BP473" s="11"/>
      <c r="BQ473" s="11"/>
      <c r="BR473" s="235"/>
      <c r="BV473" s="158"/>
      <c r="BY473" s="158"/>
      <c r="CB473" s="158"/>
    </row>
    <row r="474" ht="18.0" hidden="1" customHeight="1">
      <c r="A474" s="222">
        <f>IFERROR(__xludf.DUMMYFUNCTION("""COMPUTED_VALUE"""),2026.0)</f>
        <v>2026</v>
      </c>
      <c r="B474" s="221">
        <f>IFERROR(__xludf.DUMMYFUNCTION("""COMPUTED_VALUE"""),1.1137742E7)</f>
        <v>11137742</v>
      </c>
      <c r="C474" s="222" t="str">
        <f>IFERROR(__xludf.DUMMYFUNCTION("""COMPUTED_VALUE"""),"PT3 P7I4 PDB-FN GG.KELUARGA JL.T ANOM")</f>
        <v>PT3 P7I4 PDB-FN GG.KELUARGA JL.T ANOM</v>
      </c>
      <c r="D474" s="222" t="str">
        <f>IFERROR(__xludf.DUMMYFUNCTION("""COMPUTED_VALUE"""),"REGIONAL I")</f>
        <v>REGIONAL I</v>
      </c>
      <c r="E474" s="222" t="str">
        <f>IFERROR(__xludf.DUMMYFUNCTION("""COMPUTED_VALUE"""),"MEDAN")</f>
        <v>MEDAN</v>
      </c>
      <c r="F474" s="222" t="str">
        <f>IFERROR(__xludf.DUMMYFUNCTION("""COMPUTED_VALUE"""),"PDB")</f>
        <v>PDB</v>
      </c>
      <c r="G474" s="222" t="str">
        <f>IFERROR(__xludf.DUMMYFUNCTION("""COMPUTED_VALUE"""),"SUMBAGUT")</f>
        <v>SUMBAGUT</v>
      </c>
      <c r="H474" s="222" t="str">
        <f>IFERROR(__xludf.DUMMYFUNCTION("""COMPUTED_VALUE"""),"MEDAN")</f>
        <v>MEDAN</v>
      </c>
      <c r="I474" s="222" t="str">
        <f>IFERROR(__xludf.DUMMYFUNCTION("""COMPUTED_VALUE"""),"Batch 2")</f>
        <v>Batch 2</v>
      </c>
      <c r="J474" s="225">
        <f>IFERROR(__xludf.DUMMYFUNCTION("""COMPUTED_VALUE"""),2.0)</f>
        <v>2</v>
      </c>
      <c r="K474" s="224">
        <f>IFERROR(__xludf.DUMMYFUNCTION("""COMPUTED_VALUE"""),16.0)</f>
        <v>16</v>
      </c>
      <c r="L474" s="226">
        <f>IFERROR(__xludf.DUMMYFUNCTION("""COMPUTED_VALUE"""),1262696.0)</f>
        <v>1262696</v>
      </c>
      <c r="M474" s="227">
        <f>IFERROR(__xludf.DUMMYFUNCTION("""COMPUTED_VALUE"""),2.0203127E7)</f>
        <v>20203127</v>
      </c>
      <c r="N474" s="222" t="str">
        <f>IFERROR(__xludf.DUMMYFUNCTION("""COMPUTED_VALUE"""),"PT WALET SOLUSINDO")</f>
        <v>PT WALET SOLUSINDO</v>
      </c>
      <c r="O474" s="222" t="str">
        <f>IFERROR(__xludf.DUMMYFUNCTION("""COMPUTED_VALUE"""),"0. DROP")</f>
        <v>0. DROP</v>
      </c>
      <c r="P474" s="222" t="str">
        <f>IFERROR(__xludf.DUMMYFUNCTION("""COMPUTED_VALUE"""),"0.2 Tidak Dapat Izin Warga/Kades/Lurah/Developer")</f>
        <v>0.2 Tidak Dapat Izin Warga/Kades/Lurah/Developer</v>
      </c>
      <c r="Q474" s="222" t="str">
        <f>IFERROR(__xludf.DUMMYFUNCTION("""COMPUTED_VALUE"""),"Tidak Ada Space Tanam Tiang (07/01) Persiapan")</f>
        <v>Tidak Ada Space Tanam Tiang (07/01) Persiapan</v>
      </c>
      <c r="R474" s="228"/>
      <c r="S474" s="11"/>
      <c r="T474" s="11"/>
      <c r="U474" s="11"/>
      <c r="V474" s="229"/>
      <c r="W474" s="229"/>
      <c r="X474" s="229" t="str">
        <f>IFERROR(__xludf.DUMMYFUNCTION("""COMPUTED_VALUE"""),"BELUM GOLIVE")</f>
        <v>BELUM GOLIVE</v>
      </c>
      <c r="Y474" s="229"/>
      <c r="Z474" s="229" t="str">
        <f>IFERROR(__xludf.DUMMYFUNCTION("""COMPUTED_VALUE"""),"#N/A")</f>
        <v>#N/A</v>
      </c>
      <c r="AA474" s="229"/>
      <c r="AB474" s="229"/>
      <c r="AC474" s="229"/>
      <c r="AD474" s="232"/>
      <c r="AE474" s="233"/>
      <c r="AF474" s="54" t="str">
        <f>IFERROR(__xludf.DUMMYFUNCTION("""COMPUTED_VALUE"""),"Draft BA DROP")</f>
        <v>Draft BA DROP</v>
      </c>
      <c r="AG474" s="54"/>
      <c r="AH474" s="54"/>
      <c r="AI474" s="55" t="str">
        <f t="shared" si="60"/>
        <v/>
      </c>
      <c r="AW474" s="234"/>
      <c r="BP474" s="11"/>
      <c r="BQ474" s="11"/>
      <c r="BR474" s="235"/>
      <c r="BV474" s="158"/>
      <c r="BY474" s="158"/>
      <c r="CB474" s="158"/>
    </row>
    <row r="475" ht="18.0" hidden="1" customHeight="1">
      <c r="A475" s="222">
        <f>IFERROR(__xludf.DUMMYFUNCTION("""COMPUTED_VALUE"""),2026.0)</f>
        <v>2026</v>
      </c>
      <c r="B475" s="221">
        <f>IFERROR(__xludf.DUMMYFUNCTION("""COMPUTED_VALUE"""),1.2385759E7)</f>
        <v>12385759</v>
      </c>
      <c r="C475" s="222" t="str">
        <f>IFERROR(__xludf.DUMMYFUNCTION("""COMPUTED_VALUE"""),"ACH PT3 DAR-FBA D03 LAMBADA EXIT TOL")</f>
        <v>ACH PT3 DAR-FBA D03 LAMBADA EXIT TOL</v>
      </c>
      <c r="D475" s="222" t="str">
        <f>IFERROR(__xludf.DUMMYFUNCTION("""COMPUTED_VALUE"""),"REGIONAL I")</f>
        <v>REGIONAL I</v>
      </c>
      <c r="E475" s="222" t="str">
        <f>IFERROR(__xludf.DUMMYFUNCTION("""COMPUTED_VALUE"""),"ACEH")</f>
        <v>ACEH</v>
      </c>
      <c r="F475" s="222" t="str">
        <f>IFERROR(__xludf.DUMMYFUNCTION("""COMPUTED_VALUE"""),"DAR")</f>
        <v>DAR</v>
      </c>
      <c r="G475" s="222" t="str">
        <f>IFERROR(__xludf.DUMMYFUNCTION("""COMPUTED_VALUE"""),"SUMBAGUT")</f>
        <v>SUMBAGUT</v>
      </c>
      <c r="H475" s="222" t="str">
        <f>IFERROR(__xludf.DUMMYFUNCTION("""COMPUTED_VALUE"""),"BANDA ACEH")</f>
        <v>BANDA ACEH</v>
      </c>
      <c r="I475" s="222" t="str">
        <f>IFERROR(__xludf.DUMMYFUNCTION("""COMPUTED_VALUE"""),"Batch 2")</f>
        <v>Batch 2</v>
      </c>
      <c r="J475" s="225">
        <f>IFERROR(__xludf.DUMMYFUNCTION("""COMPUTED_VALUE"""),15.0)</f>
        <v>15</v>
      </c>
      <c r="K475" s="224">
        <f>IFERROR(__xludf.DUMMYFUNCTION("""COMPUTED_VALUE"""),128.0)</f>
        <v>128</v>
      </c>
      <c r="L475" s="226">
        <f>IFERROR(__xludf.DUMMYFUNCTION("""COMPUTED_VALUE"""),1262324.0)</f>
        <v>1262324</v>
      </c>
      <c r="M475" s="227">
        <f>IFERROR(__xludf.DUMMYFUNCTION("""COMPUTED_VALUE"""),1.61577358E8)</f>
        <v>161577358</v>
      </c>
      <c r="N475" s="222" t="str">
        <f>IFERROR(__xludf.DUMMYFUNCTION("""COMPUTED_VALUE"""),"PT NIAGA NUSANTARA DIVA")</f>
        <v>PT NIAGA NUSANTARA DIVA</v>
      </c>
      <c r="O475" s="222" t="str">
        <f>IFERROR(__xludf.DUMMYFUNCTION("""COMPUTED_VALUE"""),"5. INSTALASI")</f>
        <v>5. INSTALASI</v>
      </c>
      <c r="P475" s="222" t="str">
        <f>IFERROR(__xludf.DUMMYFUNCTION("""COMPUTED_VALUE"""),"5.4 Proses Penanaman Tiang")</f>
        <v>5.4 Proses Penanaman Tiang</v>
      </c>
      <c r="Q475" s="222" t="str">
        <f>IFERROR(__xludf.DUMMYFUNCTION("""COMPUTED_VALUE"""),"(21/04) Tanam Tiang dan Penarikan Kabel (16/04) Tanam Tiang (07/04) Waiting Material Ready (07/02) Proses negosiasi dgn Kepala Desa (30/01) 3. AANWIJZING (07/01) Persiapan")</f>
        <v>(21/04) Tanam Tiang dan Penarikan Kabel (16/04) Tanam Tiang (07/04) Waiting Material Ready (07/02) Proses negosiasi dgn Kepala Desa (30/01) 3. AANWIJZING (07/01) Persiapan</v>
      </c>
      <c r="R475" s="228">
        <f>IFERROR(__xludf.DUMMYFUNCTION("""COMPUTED_VALUE"""),46139.0)</f>
        <v>46139</v>
      </c>
      <c r="S475" s="11" t="str">
        <f>IFERROR(__xludf.DUMMYFUNCTION("""COMPUTED_VALUE"""),"APR")</f>
        <v>APR</v>
      </c>
      <c r="T475" s="73"/>
      <c r="U475" s="11"/>
      <c r="V475" s="229" t="str">
        <f>IFERROR(__xludf.DUMMYFUNCTION("""COMPUTED_VALUE"""),"23/Apr/2026")</f>
        <v>23/Apr/2026</v>
      </c>
      <c r="W475" s="229"/>
      <c r="X475" s="229" t="str">
        <f>IFERROR(__xludf.DUMMYFUNCTION("""COMPUTED_VALUE"""),"BELUM GOLIVE")</f>
        <v>BELUM GOLIVE</v>
      </c>
      <c r="Y475" s="229"/>
      <c r="Z475" s="229" t="str">
        <f>IFERROR(__xludf.DUMMYFUNCTION("""COMPUTED_VALUE"""),"#N/A")</f>
        <v>#N/A</v>
      </c>
      <c r="AA475" s="229"/>
      <c r="AB475" s="229"/>
      <c r="AC475" s="229"/>
      <c r="AD475" s="232"/>
      <c r="AE475" s="233"/>
      <c r="AF475" s="54"/>
      <c r="AG475" s="54"/>
      <c r="AH475" s="54"/>
      <c r="AI475" s="55" t="str">
        <f t="shared" si="60"/>
        <v/>
      </c>
      <c r="AW475" s="234"/>
      <c r="BP475" s="11"/>
      <c r="BQ475" s="11"/>
      <c r="BR475" s="235"/>
      <c r="BV475" s="158"/>
      <c r="BY475" s="158"/>
      <c r="CB475" s="158"/>
    </row>
    <row r="476" ht="18.0" hidden="1" customHeight="1">
      <c r="A476" s="222">
        <f>IFERROR(__xludf.DUMMYFUNCTION("""COMPUTED_VALUE"""),2026.0)</f>
        <v>2026</v>
      </c>
      <c r="B476" s="221">
        <f>IFERROR(__xludf.DUMMYFUNCTION("""COMPUTED_VALUE"""),1.2236765E7)</f>
        <v>12236765</v>
      </c>
      <c r="C476" s="222" t="str">
        <f>IFERROR(__xludf.DUMMYFUNCTION("""COMPUTED_VALUE"""),"BNK-PT3 BRC-JPPTSEL-SELUMA_47100_H2_2025")</f>
        <v>BNK-PT3 BRC-JPPTSEL-SELUMA_47100_H2_2025</v>
      </c>
      <c r="D476" s="222" t="str">
        <f>IFERROR(__xludf.DUMMYFUNCTION("""COMPUTED_VALUE"""),"REGIONAL I")</f>
        <v>REGIONAL I</v>
      </c>
      <c r="E476" s="222" t="str">
        <f>IFERROR(__xludf.DUMMYFUNCTION("""COMPUTED_VALUE"""),"BENGKULU")</f>
        <v>BENGKULU</v>
      </c>
      <c r="F476" s="222" t="str">
        <f>IFERROR(__xludf.DUMMYFUNCTION("""COMPUTED_VALUE"""),"TIS")</f>
        <v>TIS</v>
      </c>
      <c r="G476" s="222" t="str">
        <f>IFERROR(__xludf.DUMMYFUNCTION("""COMPUTED_VALUE"""),"SUMBAGSEL")</f>
        <v>SUMBAGSEL</v>
      </c>
      <c r="H476" s="222" t="str">
        <f>IFERROR(__xludf.DUMMYFUNCTION("""COMPUTED_VALUE"""),"BENGKULU")</f>
        <v>BENGKULU</v>
      </c>
      <c r="I476" s="222" t="str">
        <f>IFERROR(__xludf.DUMMYFUNCTION("""COMPUTED_VALUE"""),"Batch 2")</f>
        <v>Batch 2</v>
      </c>
      <c r="J476" s="225">
        <f>IFERROR(__xludf.DUMMYFUNCTION("""COMPUTED_VALUE"""),2.0)</f>
        <v>2</v>
      </c>
      <c r="K476" s="224">
        <f>IFERROR(__xludf.DUMMYFUNCTION("""COMPUTED_VALUE"""),16.0)</f>
        <v>16</v>
      </c>
      <c r="L476" s="226">
        <f>IFERROR(__xludf.DUMMYFUNCTION("""COMPUTED_VALUE"""),1261633.0)</f>
        <v>1261633</v>
      </c>
      <c r="M476" s="227">
        <f>IFERROR(__xludf.DUMMYFUNCTION("""COMPUTED_VALUE"""),2.0186126E7)</f>
        <v>20186126</v>
      </c>
      <c r="N476" s="222" t="str">
        <f>IFERROR(__xludf.DUMMYFUNCTION("""COMPUTED_VALUE"""),"PT JAGO MULTI DIMENSI")</f>
        <v>PT JAGO MULTI DIMENSI</v>
      </c>
      <c r="O476" s="222" t="str">
        <f>IFERROR(__xludf.DUMMYFUNCTION("""COMPUTED_VALUE"""),"7. GOLIVE")</f>
        <v>7. GOLIVE</v>
      </c>
      <c r="P476" s="222" t="str">
        <f>IFERROR(__xludf.DUMMYFUNCTION("""COMPUTED_VALUE"""),"7.2 Golive Full / OA / DONE OTB")</f>
        <v>7.2 Golive Full / OA / DONE OTB</v>
      </c>
      <c r="Q476" s="222" t="str">
        <f>IFERROR(__xludf.DUMMYFUNCTION("""COMPUTED_VALUE"""),"14/01 : Proses golive // (07/01) Persiapan")</f>
        <v>14/01 : Proses golive // (07/01) Persiapan</v>
      </c>
      <c r="R476" s="228"/>
      <c r="S476" s="11"/>
      <c r="T476" s="11"/>
      <c r="U476" s="11" t="str">
        <f>IFERROR(__xludf.DUMMYFUNCTION("""COMPUTED_VALUE"""),"W06-372/2025")</f>
        <v>W06-372/2025</v>
      </c>
      <c r="V476" s="229"/>
      <c r="W476" s="229"/>
      <c r="X476" s="229" t="str">
        <f>IFERROR(__xludf.DUMMYFUNCTION("""COMPUTED_VALUE"""),"GOLIVE")</f>
        <v>GOLIVE</v>
      </c>
      <c r="Y476" s="229" t="str">
        <f>IFERROR(__xludf.DUMMYFUNCTION("""COMPUTED_VALUE"""),"DONE")</f>
        <v>DONE</v>
      </c>
      <c r="Z476" s="229" t="str">
        <f>IFERROR(__xludf.DUMMYFUNCTION("""COMPUTED_VALUE"""),"#N/A")</f>
        <v>#N/A</v>
      </c>
      <c r="AA476" s="229">
        <f>IFERROR(__xludf.DUMMYFUNCTION("""COMPUTED_VALUE"""),2.0)</f>
        <v>2</v>
      </c>
      <c r="AB476" s="229"/>
      <c r="AC476" s="229" t="str">
        <f>IFERROR(__xludf.DUMMYFUNCTION("""COMPUTED_VALUE"""),"8938416#8938423")</f>
        <v>8938416#8938423</v>
      </c>
      <c r="AD476" s="232">
        <f>IFERROR(__xludf.DUMMYFUNCTION("""COMPUTED_VALUE"""),16.0)</f>
        <v>16</v>
      </c>
      <c r="AE476" s="233">
        <f>IFERROR(__xludf.DUMMYFUNCTION("""COMPUTED_VALUE"""),46041.0)</f>
        <v>46041</v>
      </c>
      <c r="AF476" s="54"/>
      <c r="AG476" s="54"/>
      <c r="AH476" s="54"/>
      <c r="AI476" s="55" t="str">
        <f t="shared" si="60"/>
        <v/>
      </c>
      <c r="AW476" s="234"/>
      <c r="BP476" s="11"/>
      <c r="BQ476" s="11"/>
      <c r="BR476" s="235"/>
      <c r="BV476" s="158"/>
      <c r="BY476" s="158"/>
      <c r="CB476" s="158"/>
    </row>
    <row r="477" ht="18.0" hidden="1" customHeight="1">
      <c r="A477" s="222">
        <f>IFERROR(__xludf.DUMMYFUNCTION("""COMPUTED_VALUE"""),2026.0)</f>
        <v>2026</v>
      </c>
      <c r="B477" s="221">
        <f>IFERROR(__xludf.DUMMYFUNCTION("""COMPUTED_VALUE"""),1.226085E7)</f>
        <v>12260850</v>
      </c>
      <c r="C477" s="222" t="str">
        <f>IFERROR(__xludf.DUMMYFUNCTION("""COMPUTED_VALUE"""),"JBI-PT3 BRANCHING-MBN-FN-RANTAU PURI 2")</f>
        <v>JBI-PT3 BRANCHING-MBN-FN-RANTAU PURI 2</v>
      </c>
      <c r="D477" s="222" t="str">
        <f>IFERROR(__xludf.DUMMYFUNCTION("""COMPUTED_VALUE"""),"REGIONAL I")</f>
        <v>REGIONAL I</v>
      </c>
      <c r="E477" s="222" t="str">
        <f>IFERROR(__xludf.DUMMYFUNCTION("""COMPUTED_VALUE"""),"JAMBI")</f>
        <v>JAMBI</v>
      </c>
      <c r="F477" s="222" t="str">
        <f>IFERROR(__xludf.DUMMYFUNCTION("""COMPUTED_VALUE"""),"MBN")</f>
        <v>MBN</v>
      </c>
      <c r="G477" s="222" t="str">
        <f>IFERROR(__xludf.DUMMYFUNCTION("""COMPUTED_VALUE"""),"SUMBAGSEL")</f>
        <v>SUMBAGSEL</v>
      </c>
      <c r="H477" s="222" t="str">
        <f>IFERROR(__xludf.DUMMYFUNCTION("""COMPUTED_VALUE"""),"JAMBI")</f>
        <v>JAMBI</v>
      </c>
      <c r="I477" s="222" t="str">
        <f>IFERROR(__xludf.DUMMYFUNCTION("""COMPUTED_VALUE"""),"Batch 2")</f>
        <v>Batch 2</v>
      </c>
      <c r="J477" s="225">
        <f>IFERROR(__xludf.DUMMYFUNCTION("""COMPUTED_VALUE"""),20.0)</f>
        <v>20</v>
      </c>
      <c r="K477" s="224">
        <f>IFERROR(__xludf.DUMMYFUNCTION("""COMPUTED_VALUE"""),160.0)</f>
        <v>160</v>
      </c>
      <c r="L477" s="226">
        <f>IFERROR(__xludf.DUMMYFUNCTION("""COMPUTED_VALUE"""),1261463.0)</f>
        <v>1261463</v>
      </c>
      <c r="M477" s="227">
        <f>IFERROR(__xludf.DUMMYFUNCTION("""COMPUTED_VALUE"""),2.01833957E8)</f>
        <v>201833957</v>
      </c>
      <c r="N477" s="222" t="str">
        <f>IFERROR(__xludf.DUMMYFUNCTION("""COMPUTED_VALUE"""),"PT ALAM UTAMA MULIA")</f>
        <v>PT ALAM UTAMA MULIA</v>
      </c>
      <c r="O477" s="222" t="str">
        <f>IFERROR(__xludf.DUMMYFUNCTION("""COMPUTED_VALUE"""),"3. PERIZINAN")</f>
        <v>3. PERIZINAN</v>
      </c>
      <c r="P477" s="222" t="str">
        <f>IFERROR(__xludf.DUMMYFUNCTION("""COMPUTED_VALUE"""),"3.1 Submit permohon ke PU")</f>
        <v>3.1 Submit permohon ke PU</v>
      </c>
      <c r="Q477" s="222" t="str">
        <f>IFERROR(__xludf.DUMMYFUNCTION("""COMPUTED_VALUE"""),"22/04 done submit OSS Menunggu Jadwal Pemaparan PU 13/4 masih pendaftaran user  APP OSS oleh TIF 09/04 Berkas tinggal Upload, namun APP OSS masih pendaftaran user oleh TIF08/04 Sirkulir Tif berkas surat permohonan Izin 06/04 Draf Perizinan PU Nasional 22/"&amp;"2 Tahap negoisasi  (5/2) MENUNGGU JADWAL PEMAPARAN PERIZIINAN (12/1) plan sumbit Perizininan ke ED 19 Jan  7/1 DRM , PU NASIONAL (06/01)order JPP batch-2 2026 (17/11 hold PO nasional 10/11 mapping mitra")</f>
        <v>22/04 done submit OSS Menunggu Jadwal Pemaparan PU 13/4 masih pendaftaran user  APP OSS oleh TIF 09/04 Berkas tinggal Upload, namun APP OSS masih pendaftaran user oleh TIF08/04 Sirkulir Tif berkas surat permohonan Izin 06/04 Draf Perizinan PU Nasional 22/2 Tahap negoisasi  (5/2) MENUNGGU JADWAL PEMAPARAN PERIZIINAN (12/1) plan sumbit Perizininan ke ED 19 Jan  7/1 DRM , PU NASIONAL (06/01)order JPP batch-2 2026 (17/11 hold PO nasional 10/11 mapping mitra</v>
      </c>
      <c r="R477" s="228"/>
      <c r="S477" s="11"/>
      <c r="T477" s="11" t="str">
        <f>IFERROR(__xludf.DUMMYFUNCTION("""COMPUTED_VALUE"""),"P1")</f>
        <v>P1</v>
      </c>
      <c r="U477" s="11"/>
      <c r="V477" s="229"/>
      <c r="W477" s="229"/>
      <c r="X477" s="229" t="str">
        <f>IFERROR(__xludf.DUMMYFUNCTION("""COMPUTED_VALUE"""),"BELUM GOLIVE")</f>
        <v>BELUM GOLIVE</v>
      </c>
      <c r="Y477" s="229"/>
      <c r="Z477" s="229" t="str">
        <f>IFERROR(__xludf.DUMMYFUNCTION("""COMPUTED_VALUE"""),"#N/A")</f>
        <v>#N/A</v>
      </c>
      <c r="AA477" s="229"/>
      <c r="AB477" s="229"/>
      <c r="AC477" s="229"/>
      <c r="AD477" s="232"/>
      <c r="AE477" s="233"/>
      <c r="AF477" s="54"/>
      <c r="AG477" s="54"/>
      <c r="AH477" s="54"/>
      <c r="AI477" s="55" t="str">
        <f t="shared" si="60"/>
        <v/>
      </c>
      <c r="AW477" s="234"/>
      <c r="BP477" s="11"/>
      <c r="BQ477" s="11"/>
      <c r="BR477" s="235"/>
      <c r="BV477" s="158"/>
      <c r="BY477" s="158"/>
      <c r="CB477" s="158"/>
    </row>
    <row r="478" ht="18.0" hidden="1" customHeight="1">
      <c r="A478" s="222">
        <f>IFERROR(__xludf.DUMMYFUNCTION("""COMPUTED_VALUE"""),2026.0)</f>
        <v>2026</v>
      </c>
      <c r="B478" s="221">
        <f>IFERROR(__xludf.DUMMYFUNCTION("""COMPUTED_VALUE"""),1.173996E7)</f>
        <v>11739960</v>
      </c>
      <c r="C478" s="222" t="str">
        <f>IFERROR(__xludf.DUMMYFUNCTION("""COMPUTED_VALUE"""),"MDN PT3 P7I9 STB-FW JL.PS V BARAT")</f>
        <v>MDN PT3 P7I9 STB-FW JL.PS V BARAT</v>
      </c>
      <c r="D478" s="222" t="str">
        <f>IFERROR(__xludf.DUMMYFUNCTION("""COMPUTED_VALUE"""),"REGIONAL I")</f>
        <v>REGIONAL I</v>
      </c>
      <c r="E478" s="222" t="str">
        <f>IFERROR(__xludf.DUMMYFUNCTION("""COMPUTED_VALUE"""),"MEDAN")</f>
        <v>MEDAN</v>
      </c>
      <c r="F478" s="222" t="str">
        <f>IFERROR(__xludf.DUMMYFUNCTION("""COMPUTED_VALUE"""),"STB")</f>
        <v>STB</v>
      </c>
      <c r="G478" s="222" t="str">
        <f>IFERROR(__xludf.DUMMYFUNCTION("""COMPUTED_VALUE"""),"SUMBAGUT")</f>
        <v>SUMBAGUT</v>
      </c>
      <c r="H478" s="222" t="str">
        <f>IFERROR(__xludf.DUMMYFUNCTION("""COMPUTED_VALUE"""),"BINJAI")</f>
        <v>BINJAI</v>
      </c>
      <c r="I478" s="222" t="str">
        <f>IFERROR(__xludf.DUMMYFUNCTION("""COMPUTED_VALUE"""),"Batch 2")</f>
        <v>Batch 2</v>
      </c>
      <c r="J478" s="225">
        <f>IFERROR(__xludf.DUMMYFUNCTION("""COMPUTED_VALUE"""),6.0)</f>
        <v>6</v>
      </c>
      <c r="K478" s="224">
        <f>IFERROR(__xludf.DUMMYFUNCTION("""COMPUTED_VALUE"""),48.0)</f>
        <v>48</v>
      </c>
      <c r="L478" s="226">
        <f>IFERROR(__xludf.DUMMYFUNCTION("""COMPUTED_VALUE"""),1497753.0)</f>
        <v>1497753</v>
      </c>
      <c r="M478" s="227">
        <f>IFERROR(__xludf.DUMMYFUNCTION("""COMPUTED_VALUE"""),7.1892117E7)</f>
        <v>71892117</v>
      </c>
      <c r="N478" s="222" t="str">
        <f>IFERROR(__xludf.DUMMYFUNCTION("""COMPUTED_VALUE"""),"PT M JUSUF AND SONS")</f>
        <v>PT M JUSUF AND SONS</v>
      </c>
      <c r="O478" s="222" t="str">
        <f>IFERROR(__xludf.DUMMYFUNCTION("""COMPUTED_VALUE"""),"0. DROP")</f>
        <v>0. DROP</v>
      </c>
      <c r="P478" s="222" t="str">
        <f>IFERROR(__xludf.DUMMYFUNCTION("""COMPUTED_VALUE"""),"0.4 CPP Tinggi Acc ED TIF")</f>
        <v>0.4 CPP Tinggi Acc ED TIF</v>
      </c>
      <c r="Q478" s="222" t="str">
        <f>IFERROR(__xludf.DUMMYFUNCTION("""COMPUTED_VALUE"""),"(07/01) Persiapan
18/09 STB-FW feeder redting core FE: 10,13,14,16,17,18,19,20,22,23
06/09 order mitra")</f>
        <v>(07/01) Persiapan
18/09 STB-FW feeder redting core FE: 10,13,14,16,17,18,19,20,22,23
06/09 order mitra</v>
      </c>
      <c r="R478" s="228"/>
      <c r="S478" s="11"/>
      <c r="T478" s="11"/>
      <c r="U478" s="11"/>
      <c r="V478" s="229"/>
      <c r="W478" s="229"/>
      <c r="X478" s="229" t="str">
        <f>IFERROR(__xludf.DUMMYFUNCTION("""COMPUTED_VALUE"""),"BELUM GOLIVE")</f>
        <v>BELUM GOLIVE</v>
      </c>
      <c r="Y478" s="229"/>
      <c r="Z478" s="229" t="str">
        <f>IFERROR(__xludf.DUMMYFUNCTION("""COMPUTED_VALUE"""),"#N/A")</f>
        <v>#N/A</v>
      </c>
      <c r="AA478" s="229"/>
      <c r="AB478" s="229"/>
      <c r="AC478" s="229"/>
      <c r="AD478" s="232"/>
      <c r="AE478" s="233"/>
      <c r="AF478" s="54" t="str">
        <f>IFERROR(__xludf.DUMMYFUNCTION("""COMPUTED_VALUE"""),"Draft BA DROP")</f>
        <v>Draft BA DROP</v>
      </c>
      <c r="AG478" s="54"/>
      <c r="AH478" s="54"/>
      <c r="AI478" s="55" t="str">
        <f t="shared" si="60"/>
        <v/>
      </c>
      <c r="AW478" s="234"/>
      <c r="BP478" s="11"/>
      <c r="BQ478" s="11"/>
      <c r="BR478" s="235"/>
      <c r="BV478" s="158"/>
      <c r="BY478" s="158"/>
      <c r="CB478" s="158"/>
    </row>
    <row r="479" ht="18.0" hidden="1" customHeight="1">
      <c r="A479" s="222">
        <f>IFERROR(__xludf.DUMMYFUNCTION("""COMPUTED_VALUE"""),2026.0)</f>
        <v>2026</v>
      </c>
      <c r="B479" s="221">
        <f>IFERROR(__xludf.DUMMYFUNCTION("""COMPUTED_VALUE"""),1.139077E7)</f>
        <v>11390770</v>
      </c>
      <c r="C479" s="222" t="str">
        <f>IFERROR(__xludf.DUMMYFUNCTION("""COMPUTED_VALUE"""),"ACH PT3 MRU-FB D04 TEUPIN PEURAHO")</f>
        <v>ACH PT3 MRU-FB D04 TEUPIN PEURAHO</v>
      </c>
      <c r="D479" s="222" t="str">
        <f>IFERROR(__xludf.DUMMYFUNCTION("""COMPUTED_VALUE"""),"REGIONAL I")</f>
        <v>REGIONAL I</v>
      </c>
      <c r="E479" s="222" t="str">
        <f>IFERROR(__xludf.DUMMYFUNCTION("""COMPUTED_VALUE"""),"ACEH")</f>
        <v>ACEH</v>
      </c>
      <c r="F479" s="222" t="str">
        <f>IFERROR(__xludf.DUMMYFUNCTION("""COMPUTED_VALUE"""),"MRU")</f>
        <v>MRU</v>
      </c>
      <c r="G479" s="222" t="str">
        <f>IFERROR(__xludf.DUMMYFUNCTION("""COMPUTED_VALUE"""),"SUMBAGUT")</f>
        <v>SUMBAGUT</v>
      </c>
      <c r="H479" s="222" t="str">
        <f>IFERROR(__xludf.DUMMYFUNCTION("""COMPUTED_VALUE"""),"BANDA ACEH")</f>
        <v>BANDA ACEH</v>
      </c>
      <c r="I479" s="222" t="str">
        <f>IFERROR(__xludf.DUMMYFUNCTION("""COMPUTED_VALUE"""),"Batch 2")</f>
        <v>Batch 2</v>
      </c>
      <c r="J479" s="225">
        <f>IFERROR(__xludf.DUMMYFUNCTION("""COMPUTED_VALUE"""),14.0)</f>
        <v>14</v>
      </c>
      <c r="K479" s="224">
        <f>IFERROR(__xludf.DUMMYFUNCTION("""COMPUTED_VALUE"""),112.0)</f>
        <v>112</v>
      </c>
      <c r="L479" s="226">
        <f>IFERROR(__xludf.DUMMYFUNCTION("""COMPUTED_VALUE"""),1260522.0)</f>
        <v>1260522</v>
      </c>
      <c r="M479" s="227">
        <f>IFERROR(__xludf.DUMMYFUNCTION("""COMPUTED_VALUE"""),1.41178361E8)</f>
        <v>141178361</v>
      </c>
      <c r="N479" s="222" t="str">
        <f>IFERROR(__xludf.DUMMYFUNCTION("""COMPUTED_VALUE"""),"PT JAYA ANINDYA MUSTIKA")</f>
        <v>PT JAYA ANINDYA MUSTIKA</v>
      </c>
      <c r="O479" s="222" t="str">
        <f>IFERROR(__xludf.DUMMYFUNCTION("""COMPUTED_VALUE"""),"7. GOLIVE")</f>
        <v>7. GOLIVE</v>
      </c>
      <c r="P479" s="222" t="str">
        <f>IFERROR(__xludf.DUMMYFUNCTION("""COMPUTED_VALUE"""),"7.2 Golive Full / OA / DONE OTB")</f>
        <v>7.2 Golive Full / OA / DONE OTB</v>
      </c>
      <c r="Q479" s="222" t="str">
        <f>IFERROR(__xludf.DUMMYFUNCTION("""COMPUTED_VALUE"""),"(10/03) Jumper dan Valins (03/03) Terminasi (11/02) penarikan kabel (29/01) DelMat (07/01) Persiapan")</f>
        <v>(10/03) Jumper dan Valins (03/03) Terminasi (11/02) penarikan kabel (29/01) DelMat (07/01) Persiapan</v>
      </c>
      <c r="R479" s="228">
        <f>IFERROR(__xludf.DUMMYFUNCTION("""COMPUTED_VALUE"""),46091.0)</f>
        <v>46091</v>
      </c>
      <c r="S479" s="11" t="str">
        <f>IFERROR(__xludf.DUMMYFUNCTION("""COMPUTED_VALUE"""),"MAR")</f>
        <v>MAR</v>
      </c>
      <c r="T479" s="11"/>
      <c r="U479" s="11"/>
      <c r="V479" s="229"/>
      <c r="W479" s="229"/>
      <c r="X479" s="229" t="str">
        <f>IFERROR(__xludf.DUMMYFUNCTION("""COMPUTED_VALUE"""),"GOLIVE")</f>
        <v>GOLIVE</v>
      </c>
      <c r="Y479" s="229" t="str">
        <f>IFERROR(__xludf.DUMMYFUNCTION("""COMPUTED_VALUE"""),"DONE")</f>
        <v>DONE</v>
      </c>
      <c r="Z479" s="229" t="str">
        <f>IFERROR(__xludf.DUMMYFUNCTION("""COMPUTED_VALUE"""),"#N/A")</f>
        <v>#N/A</v>
      </c>
      <c r="AA479" s="229">
        <f>IFERROR(__xludf.DUMMYFUNCTION("""COMPUTED_VALUE"""),14.0)</f>
        <v>14</v>
      </c>
      <c r="AB479" s="229"/>
      <c r="AC479" s="229" t="str">
        <f>IFERROR(__xludf.DUMMYFUNCTION("""COMPUTED_VALUE"""),"9198698#9198703")</f>
        <v>9198698#9198703</v>
      </c>
      <c r="AD479" s="232">
        <f>IFERROR(__xludf.DUMMYFUNCTION("""COMPUTED_VALUE"""),112.0)</f>
        <v>112</v>
      </c>
      <c r="AE479" s="233">
        <f>IFERROR(__xludf.DUMMYFUNCTION("""COMPUTED_VALUE"""),46093.0)</f>
        <v>46093</v>
      </c>
      <c r="AF479" s="54"/>
      <c r="AG479" s="54"/>
      <c r="AH479" s="54">
        <v>46091.0</v>
      </c>
      <c r="AI479" s="55">
        <f t="shared" si="60"/>
        <v>-2</v>
      </c>
      <c r="AW479" s="234"/>
      <c r="BP479" s="11"/>
      <c r="BQ479" s="11"/>
      <c r="BR479" s="235"/>
      <c r="BV479" s="158"/>
      <c r="BY479" s="158"/>
      <c r="CB479" s="158"/>
    </row>
    <row r="480" ht="18.0" hidden="1" customHeight="1">
      <c r="A480" s="222">
        <f>IFERROR(__xludf.DUMMYFUNCTION("""COMPUTED_VALUE"""),2026.0)</f>
        <v>2026</v>
      </c>
      <c r="B480" s="221">
        <f>IFERROR(__xludf.DUMMYFUNCTION("""COMPUTED_VALUE"""),1.2245227E7)</f>
        <v>12245227</v>
      </c>
      <c r="C480" s="222" t="str">
        <f>IFERROR(__xludf.DUMMYFUNCTION("""COMPUTED_VALUE"""),"SMS PT3 TMO FP D04 LAPANGAN VOLY E")</f>
        <v>SMS PT3 TMO FP D04 LAPANGAN VOLY E</v>
      </c>
      <c r="D480" s="222" t="str">
        <f>IFERROR(__xludf.DUMMYFUNCTION("""COMPUTED_VALUE"""),"REGIONAL I")</f>
        <v>REGIONAL I</v>
      </c>
      <c r="E480" s="222" t="str">
        <f>IFERROR(__xludf.DUMMYFUNCTION("""COMPUTED_VALUE"""),"SUMSEL")</f>
        <v>SUMSEL</v>
      </c>
      <c r="F480" s="222" t="str">
        <f>IFERROR(__xludf.DUMMYFUNCTION("""COMPUTED_VALUE"""),"TMO")</f>
        <v>TMO</v>
      </c>
      <c r="G480" s="222" t="str">
        <f>IFERROR(__xludf.DUMMYFUNCTION("""COMPUTED_VALUE"""),"SUMBAGSEL")</f>
        <v>SUMBAGSEL</v>
      </c>
      <c r="H480" s="222" t="str">
        <f>IFERROR(__xludf.DUMMYFUNCTION("""COMPUTED_VALUE"""),"BENGKULU")</f>
        <v>BENGKULU</v>
      </c>
      <c r="I480" s="222" t="str">
        <f>IFERROR(__xludf.DUMMYFUNCTION("""COMPUTED_VALUE"""),"Batch 2")</f>
        <v>Batch 2</v>
      </c>
      <c r="J480" s="225">
        <f>IFERROR(__xludf.DUMMYFUNCTION("""COMPUTED_VALUE"""),6.0)</f>
        <v>6</v>
      </c>
      <c r="K480" s="224">
        <f>IFERROR(__xludf.DUMMYFUNCTION("""COMPUTED_VALUE"""),48.0)</f>
        <v>48</v>
      </c>
      <c r="L480" s="226">
        <f>IFERROR(__xludf.DUMMYFUNCTION("""COMPUTED_VALUE"""),1260287.0)</f>
        <v>1260287</v>
      </c>
      <c r="M480" s="227">
        <f>IFERROR(__xludf.DUMMYFUNCTION("""COMPUTED_VALUE"""),6.0493762E7)</f>
        <v>60493762</v>
      </c>
      <c r="N480" s="222" t="str">
        <f>IFERROR(__xludf.DUMMYFUNCTION("""COMPUTED_VALUE"""),"PT HAN SUNG INDONESIA")</f>
        <v>PT HAN SUNG INDONESIA</v>
      </c>
      <c r="O480" s="222" t="str">
        <f>IFERROR(__xludf.DUMMYFUNCTION("""COMPUTED_VALUE"""),"8. UJI TERIMA")</f>
        <v>8. UJI TERIMA</v>
      </c>
      <c r="P480" s="222" t="str">
        <f>IFERROR(__xludf.DUMMYFUNCTION("""COMPUTED_VALUE"""),"8.1 Proses UT")</f>
        <v>8.1 Proses UT</v>
      </c>
      <c r="Q480" s="222" t="str">
        <f>IFERROR(__xludf.DUMMYFUNCTION("""COMPUTED_VALUE"""),"(24/1) golive 24 jan 2026  (24/1) kendala minol (21/01) selesai fisik, menunggu data abd belum masuk ke sdi, (06/01)order JPP batch-2 2026 ((06/01)order JPP batch-2 2026 (30/12 HOLD, lanjut tahun depan, 23/12 pasang ODP, (22/11) sudah input amalia (14/11)"&amp;"PROSES PR PO (13/11) update KML, 12/11 update kml anwijzing, (09/11) update kml anwijzing (08/11) kirim hasil anwijzing 8 nov , eval 10 nov (23/10) penunjukan mitra")</f>
        <v>(24/1) golive 24 jan 2026  (24/1) kendala minol (21/01) selesai fisik, menunggu data abd belum masuk ke sdi, (06/01)order JPP batch-2 2026 ((06/01)order JPP batch-2 2026 (30/12 HOLD, lanjut tahun depan, 23/12 pasang ODP, (22/11) sudah input amalia (14/11)PROSES PR PO (13/11) update KML, 12/11 update kml anwijzing, (09/11) update kml anwijzing (08/11) kirim hasil anwijzing 8 nov , eval 10 nov (23/10) penunjukan mitra</v>
      </c>
      <c r="R480" s="228"/>
      <c r="S480" s="11"/>
      <c r="T480" s="11"/>
      <c r="U480" s="11"/>
      <c r="V480" s="229" t="str">
        <f>IFERROR(__xludf.DUMMYFUNCTION("""COMPUTED_VALUE"""),"PUTRA")</f>
        <v>PUTRA</v>
      </c>
      <c r="W480" s="229"/>
      <c r="X480" s="229" t="str">
        <f>IFERROR(__xludf.DUMMYFUNCTION("""COMPUTED_VALUE"""),"GOLIVE")</f>
        <v>GOLIVE</v>
      </c>
      <c r="Y480" s="229" t="str">
        <f>IFERROR(__xludf.DUMMYFUNCTION("""COMPUTED_VALUE"""),"DONE")</f>
        <v>DONE</v>
      </c>
      <c r="Z480" s="229" t="str">
        <f>IFERROR(__xludf.DUMMYFUNCTION("""COMPUTED_VALUE"""),"#N/A")</f>
        <v>#N/A</v>
      </c>
      <c r="AA480" s="229">
        <f>IFERROR(__xludf.DUMMYFUNCTION("""COMPUTED_VALUE"""),6.0)</f>
        <v>6</v>
      </c>
      <c r="AB480" s="229"/>
      <c r="AC480" s="229" t="str">
        <f>IFERROR(__xludf.DUMMYFUNCTION("""COMPUTED_VALUE"""),"8527683#8527688")</f>
        <v>8527683#8527688</v>
      </c>
      <c r="AD480" s="232">
        <f>IFERROR(__xludf.DUMMYFUNCTION("""COMPUTED_VALUE"""),48.0)</f>
        <v>48</v>
      </c>
      <c r="AE480" s="233">
        <f>IFERROR(__xludf.DUMMYFUNCTION("""COMPUTED_VALUE"""),46046.0)</f>
        <v>46046</v>
      </c>
      <c r="AF480" s="54"/>
      <c r="AG480" s="54"/>
      <c r="AH480" s="54"/>
      <c r="AI480" s="55" t="str">
        <f t="shared" si="60"/>
        <v/>
      </c>
      <c r="AW480" s="234"/>
      <c r="BP480" s="11"/>
      <c r="BQ480" s="11"/>
      <c r="BR480" s="235"/>
      <c r="BV480" s="158"/>
      <c r="BY480" s="158"/>
      <c r="CB480" s="158"/>
    </row>
    <row r="481" ht="18.0" hidden="1" customHeight="1">
      <c r="A481" s="222">
        <f>IFERROR(__xludf.DUMMYFUNCTION("""COMPUTED_VALUE"""),2026.0)</f>
        <v>2026</v>
      </c>
      <c r="B481" s="221">
        <f>IFERROR(__xludf.DUMMYFUNCTION("""COMPUTED_VALUE"""),1.1530444E7)</f>
        <v>11530444</v>
      </c>
      <c r="C481" s="222" t="str">
        <f>IFERROR(__xludf.DUMMYFUNCTION("""COMPUTED_VALUE"""),"BNK PT3 BTH FG JPPTSEL PULAU PANGGUNG")</f>
        <v>BNK PT3 BTH FG JPPTSEL PULAU PANGGUNG</v>
      </c>
      <c r="D481" s="222" t="str">
        <f>IFERROR(__xludf.DUMMYFUNCTION("""COMPUTED_VALUE"""),"REGIONAL I")</f>
        <v>REGIONAL I</v>
      </c>
      <c r="E481" s="222" t="str">
        <f>IFERROR(__xludf.DUMMYFUNCTION("""COMPUTED_VALUE"""),"BENGKULU")</f>
        <v>BENGKULU</v>
      </c>
      <c r="F481" s="222" t="str">
        <f>IFERROR(__xludf.DUMMYFUNCTION("""COMPUTED_VALUE"""),"BTH")</f>
        <v>BTH</v>
      </c>
      <c r="G481" s="222" t="str">
        <f>IFERROR(__xludf.DUMMYFUNCTION("""COMPUTED_VALUE"""),"SUMBAGSEL")</f>
        <v>SUMBAGSEL</v>
      </c>
      <c r="H481" s="222" t="str">
        <f>IFERROR(__xludf.DUMMYFUNCTION("""COMPUTED_VALUE"""),"BENGKULU")</f>
        <v>BENGKULU</v>
      </c>
      <c r="I481" s="222" t="str">
        <f>IFERROR(__xludf.DUMMYFUNCTION("""COMPUTED_VALUE"""),"Batch 2")</f>
        <v>Batch 2</v>
      </c>
      <c r="J481" s="225">
        <f>IFERROR(__xludf.DUMMYFUNCTION("""COMPUTED_VALUE"""),43.0)</f>
        <v>43</v>
      </c>
      <c r="K481" s="224">
        <f>IFERROR(__xludf.DUMMYFUNCTION("""COMPUTED_VALUE"""),432.0)</f>
        <v>432</v>
      </c>
      <c r="L481" s="226">
        <f>IFERROR(__xludf.DUMMYFUNCTION("""COMPUTED_VALUE"""),1236606.0)</f>
        <v>1236606</v>
      </c>
      <c r="M481" s="227">
        <f>IFERROR(__xludf.DUMMYFUNCTION("""COMPUTED_VALUE"""),5.34213677E8)</f>
        <v>534213677</v>
      </c>
      <c r="N481" s="222" t="str">
        <f>IFERROR(__xludf.DUMMYFUNCTION("""COMPUTED_VALUE"""),"PT GITA PRIMA TAMBA PERKASA")</f>
        <v>PT GITA PRIMA TAMBA PERKASA</v>
      </c>
      <c r="O481" s="222" t="str">
        <f>IFERROR(__xludf.DUMMYFUNCTION("""COMPUTED_VALUE"""),"7. GOLIVE")</f>
        <v>7. GOLIVE</v>
      </c>
      <c r="P481" s="222" t="str">
        <f>IFERROR(__xludf.DUMMYFUNCTION("""COMPUTED_VALUE"""),"7.2 Golive Full / OA / DONE OTB")</f>
        <v>7.2 Golive Full / OA / DONE OTB</v>
      </c>
      <c r="Q481" s="222" t="str">
        <f>IFERROR(__xludf.DUMMYFUNCTION("""COMPUTED_VALUE"""),"31/03 : Selesai Fisik, progres valins // 27/03: proses instal ODP // 25/03: finish tanam tiang dan penarikan kabel 12c, progres penarikan kabel 24c: 14.230m/ 16.970m // 17/03 : pengecoran tiang // 16/03: finish tanam tiang, lanjut penarikan kabel 24c: 14."&amp;"230m/ 16.970m , Penarikan kabel 12c : 750m/ 880m // 13/03: progres penarikan kabel 24c: 6.300m / 16.970m, progres penanaman tiang : 134 btg/ 217 btg // 12/03 : Digging ploe, tanam tiang, tarik kabel // 11/03: progres penarikan kabel 24D: 730m/16,970m. (ga"&amp;"li lobang dan tanam tiang)  // 10/03: cat tiang dan gali lubang // 09/03 : PID sudah realise menunggu jadwal ambil material //  06/03 : order dapat dilanjut, progress create PID // 19/02 belum ada konfirmasi tif terkait Pekerjaan - dari Awal CPP Tinggi  0"&amp;"9/02://08/02://07/02://06/02://05/02://03/02 : konfirmasi TIF, menunggu keputusan HO TIF terkait kenaikan cpp hasil anwizing senilai ( 1.907.906 ) // 26/01 : Upgrade ODC // 22/01 : Done anwidzing (konfirmasi tif masalah kekurangan jumlah  ODP dikarenakan "&amp;"menyesuaikan port mini OLT yang tersedia) // 14/01 : mash proses perizinn 1 desa belum ketemu,  done Perizinan BAKP // 13/01 : Proses Perizinan BAKP // (07/01) Persiapan")</f>
        <v>31/03 : Selesai Fisik, progres valins // 27/03: proses instal ODP // 25/03: finish tanam tiang dan penarikan kabel 12c, progres penarikan kabel 24c: 14.230m/ 16.970m // 17/03 : pengecoran tiang // 16/03: finish tanam tiang, lanjut penarikan kabel 24c: 14.230m/ 16.970m , Penarikan kabel 12c : 750m/ 880m // 13/03: progres penarikan kabel 24c: 6.300m / 16.970m, progres penanaman tiang : 134 btg/ 217 btg // 12/03 : Digging ploe, tanam tiang, tarik kabel // 11/03: progres penarikan kabel 24D: 730m/16,970m. (gali lobang dan tanam tiang)  // 10/03: cat tiang dan gali lubang // 09/03 : PID sudah realise menunggu jadwal ambil material //  06/03 : order dapat dilanjut, progress create PID // 19/02 belum ada konfirmasi tif terkait Pekerjaan - dari Awal CPP Tinggi  09/02://08/02://07/02://06/02://05/02://03/02 : konfirmasi TIF, menunggu keputusan HO TIF terkait kenaikan cpp hasil anwizing senilai ( 1.907.906 ) // 26/01 : Upgrade ODC // 22/01 : Done anwidzing (konfirmasi tif masalah kekurangan jumlah  ODP dikarenakan menyesuaikan port mini OLT yang tersedia) // 14/01 : mash proses perizinn 1 desa belum ketemu,  done Perizinan BAKP // 13/01 : Proses Perizinan BAKP // (07/01) Persiapan</v>
      </c>
      <c r="R481" s="228">
        <f>IFERROR(__xludf.DUMMYFUNCTION("""COMPUTED_VALUE"""),46112.0)</f>
        <v>46112</v>
      </c>
      <c r="S481" s="11"/>
      <c r="T481" s="11" t="str">
        <f>IFERROR(__xludf.DUMMYFUNCTION("""COMPUTED_VALUE"""),"P1")</f>
        <v>P1</v>
      </c>
      <c r="U481" s="11"/>
      <c r="V481" s="229"/>
      <c r="W481" s="229"/>
      <c r="X481" s="229" t="str">
        <f>IFERROR(__xludf.DUMMYFUNCTION("""COMPUTED_VALUE"""),"GOLIVE")</f>
        <v>GOLIVE</v>
      </c>
      <c r="Y481" s="229" t="str">
        <f>IFERROR(__xludf.DUMMYFUNCTION("""COMPUTED_VALUE"""),"DONE")</f>
        <v>DONE</v>
      </c>
      <c r="Z481" s="229" t="str">
        <f>IFERROR(__xludf.DUMMYFUNCTION("""COMPUTED_VALUE"""),"#N/A")</f>
        <v>#N/A</v>
      </c>
      <c r="AA481" s="229">
        <f>IFERROR(__xludf.DUMMYFUNCTION("""COMPUTED_VALUE"""),27.0)</f>
        <v>27</v>
      </c>
      <c r="AB481" s="229"/>
      <c r="AC481" s="229" t="str">
        <f>IFERROR(__xludf.DUMMYFUNCTION("""COMPUTED_VALUE"""),"9231662#9231667")</f>
        <v>9231662#9231667</v>
      </c>
      <c r="AD481" s="232">
        <f>IFERROR(__xludf.DUMMYFUNCTION("""COMPUTED_VALUE"""),216.0)</f>
        <v>216</v>
      </c>
      <c r="AE481" s="233">
        <f>IFERROR(__xludf.DUMMYFUNCTION("""COMPUTED_VALUE"""),46112.0)</f>
        <v>46112</v>
      </c>
      <c r="AF481" s="54"/>
      <c r="AG481" s="54"/>
      <c r="AH481" s="54">
        <v>46112.0</v>
      </c>
      <c r="AI481" s="55">
        <f t="shared" si="60"/>
        <v>0</v>
      </c>
      <c r="AW481" s="234"/>
      <c r="BP481" s="11"/>
      <c r="BQ481" s="11"/>
      <c r="BR481" s="235"/>
      <c r="BV481" s="158"/>
      <c r="BY481" s="158"/>
      <c r="CB481" s="158"/>
    </row>
    <row r="482" ht="18.0" hidden="1" customHeight="1">
      <c r="A482" s="222">
        <f>IFERROR(__xludf.DUMMYFUNCTION("""COMPUTED_VALUE"""),2026.0)</f>
        <v>2026</v>
      </c>
      <c r="B482" s="221">
        <f>IFERROR(__xludf.DUMMYFUNCTION("""COMPUTED_VALUE"""),1.1219583E7)</f>
        <v>11219583</v>
      </c>
      <c r="C482" s="222" t="str">
        <f>IFERROR(__xludf.DUMMYFUNCTION("""COMPUTED_VALUE"""),"MDN PT3 P7I12 TMU-FAF JL.SAMOSIR KAMPUNG")</f>
        <v>MDN PT3 P7I12 TMU-FAF JL.SAMOSIR KAMPUNG</v>
      </c>
      <c r="D482" s="222" t="str">
        <f>IFERROR(__xludf.DUMMYFUNCTION("""COMPUTED_VALUE"""),"REGIONAL I")</f>
        <v>REGIONAL I</v>
      </c>
      <c r="E482" s="222" t="str">
        <f>IFERROR(__xludf.DUMMYFUNCTION("""COMPUTED_VALUE"""),"MEDAN")</f>
        <v>MEDAN</v>
      </c>
      <c r="F482" s="222" t="str">
        <f>IFERROR(__xludf.DUMMYFUNCTION("""COMPUTED_VALUE"""),"TMU")</f>
        <v>TMU</v>
      </c>
      <c r="G482" s="222" t="str">
        <f>IFERROR(__xludf.DUMMYFUNCTION("""COMPUTED_VALUE"""),"SUMBAGUT")</f>
        <v>SUMBAGUT</v>
      </c>
      <c r="H482" s="222" t="str">
        <f>IFERROR(__xludf.DUMMYFUNCTION("""COMPUTED_VALUE"""),"MEDAN")</f>
        <v>MEDAN</v>
      </c>
      <c r="I482" s="222" t="str">
        <f>IFERROR(__xludf.DUMMYFUNCTION("""COMPUTED_VALUE"""),"Batch 2")</f>
        <v>Batch 2</v>
      </c>
      <c r="J482" s="225">
        <f>IFERROR(__xludf.DUMMYFUNCTION("""COMPUTED_VALUE"""),7.0)</f>
        <v>7</v>
      </c>
      <c r="K482" s="224">
        <f>IFERROR(__xludf.DUMMYFUNCTION("""COMPUTED_VALUE"""),56.0)</f>
        <v>56</v>
      </c>
      <c r="L482" s="226">
        <f>IFERROR(__xludf.DUMMYFUNCTION("""COMPUTED_VALUE"""),1445305.0)</f>
        <v>1445305</v>
      </c>
      <c r="M482" s="227">
        <f>IFERROR(__xludf.DUMMYFUNCTION("""COMPUTED_VALUE"""),8.0937065E7)</f>
        <v>80937065</v>
      </c>
      <c r="N482" s="222" t="str">
        <f>IFERROR(__xludf.DUMMYFUNCTION("""COMPUTED_VALUE"""),"PT DUL JAYA TAMA")</f>
        <v>PT DUL JAYA TAMA</v>
      </c>
      <c r="O482" s="222" t="str">
        <f>IFERROR(__xludf.DUMMYFUNCTION("""COMPUTED_VALUE"""),"0. DROP")</f>
        <v>0. DROP</v>
      </c>
      <c r="P482" s="222" t="str">
        <f>IFERROR(__xludf.DUMMYFUNCTION("""COMPUTED_VALUE"""),"0.4 CPP Tinggi Acc ED TIF")</f>
        <v>0.4 CPP Tinggi Acc ED TIF</v>
      </c>
      <c r="Q482" s="222" t="str">
        <f>IFERROR(__xludf.DUMMYFUNCTION("""COMPUTED_VALUE"""),"29/01 Done Order, lnjut Aanwidzing")</f>
        <v>29/01 Done Order, lnjut Aanwidzing</v>
      </c>
      <c r="R482" s="228"/>
      <c r="S482" s="11"/>
      <c r="T482" s="11"/>
      <c r="U482" s="11"/>
      <c r="V482" s="229"/>
      <c r="W482" s="229"/>
      <c r="X482" s="229" t="str">
        <f>IFERROR(__xludf.DUMMYFUNCTION("""COMPUTED_VALUE"""),"BELUM GOLIVE")</f>
        <v>BELUM GOLIVE</v>
      </c>
      <c r="Y482" s="229"/>
      <c r="Z482" s="229" t="str">
        <f>IFERROR(__xludf.DUMMYFUNCTION("""COMPUTED_VALUE"""),"#N/A")</f>
        <v>#N/A</v>
      </c>
      <c r="AA482" s="229"/>
      <c r="AB482" s="229"/>
      <c r="AC482" s="229"/>
      <c r="AD482" s="232"/>
      <c r="AE482" s="233"/>
      <c r="AF482" s="54" t="str">
        <f>IFERROR(__xludf.DUMMYFUNCTION("""COMPUTED_VALUE"""),"Draft BA DROP")</f>
        <v>Draft BA DROP</v>
      </c>
      <c r="AG482" s="54"/>
      <c r="AH482" s="54"/>
      <c r="AI482" s="55" t="str">
        <f t="shared" si="60"/>
        <v/>
      </c>
      <c r="AW482" s="234"/>
      <c r="BP482" s="11"/>
      <c r="BQ482" s="11"/>
      <c r="BR482" s="235"/>
      <c r="BV482" s="158"/>
      <c r="BY482" s="158"/>
      <c r="CB482" s="158"/>
    </row>
    <row r="483" ht="18.0" hidden="1" customHeight="1">
      <c r="A483" s="222">
        <f>IFERROR(__xludf.DUMMYFUNCTION("""COMPUTED_VALUE"""),2026.0)</f>
        <v>2026</v>
      </c>
      <c r="B483" s="221">
        <f>IFERROR(__xludf.DUMMYFUNCTION("""COMPUTED_VALUE"""),1.2252805E7)</f>
        <v>12252805</v>
      </c>
      <c r="C483" s="222" t="str">
        <f>IFERROR(__xludf.DUMMYFUNCTION("""COMPUTED_VALUE"""),"SMS P4I2 PT3 TMO FN D03 RUMAH FAJAR")</f>
        <v>SMS P4I2 PT3 TMO FN D03 RUMAH FAJAR</v>
      </c>
      <c r="D483" s="222" t="str">
        <f>IFERROR(__xludf.DUMMYFUNCTION("""COMPUTED_VALUE"""),"REGIONAL I")</f>
        <v>REGIONAL I</v>
      </c>
      <c r="E483" s="222" t="str">
        <f>IFERROR(__xludf.DUMMYFUNCTION("""COMPUTED_VALUE"""),"SUMSEL")</f>
        <v>SUMSEL</v>
      </c>
      <c r="F483" s="222" t="str">
        <f>IFERROR(__xludf.DUMMYFUNCTION("""COMPUTED_VALUE"""),"TMO")</f>
        <v>TMO</v>
      </c>
      <c r="G483" s="222" t="str">
        <f>IFERROR(__xludf.DUMMYFUNCTION("""COMPUTED_VALUE"""),"SUMBAGSEL")</f>
        <v>SUMBAGSEL</v>
      </c>
      <c r="H483" s="222" t="str">
        <f>IFERROR(__xludf.DUMMYFUNCTION("""COMPUTED_VALUE"""),"BENGKULU")</f>
        <v>BENGKULU</v>
      </c>
      <c r="I483" s="222" t="str">
        <f>IFERROR(__xludf.DUMMYFUNCTION("""COMPUTED_VALUE"""),"Batch 2")</f>
        <v>Batch 2</v>
      </c>
      <c r="J483" s="225">
        <f>IFERROR(__xludf.DUMMYFUNCTION("""COMPUTED_VALUE"""),5.0)</f>
        <v>5</v>
      </c>
      <c r="K483" s="224">
        <f>IFERROR(__xludf.DUMMYFUNCTION("""COMPUTED_VALUE"""),40.0)</f>
        <v>40</v>
      </c>
      <c r="L483" s="226">
        <f>IFERROR(__xludf.DUMMYFUNCTION("""COMPUTED_VALUE"""),1259538.0)</f>
        <v>1259538</v>
      </c>
      <c r="M483" s="227">
        <f>IFERROR(__xludf.DUMMYFUNCTION("""COMPUTED_VALUE"""),5.0381486E7)</f>
        <v>50381486</v>
      </c>
      <c r="N483" s="222" t="str">
        <f>IFERROR(__xludf.DUMMYFUNCTION("""COMPUTED_VALUE"""),"PT HAN SUNG INDONESIA")</f>
        <v>PT HAN SUNG INDONESIA</v>
      </c>
      <c r="O483" s="222" t="str">
        <f>IFERROR(__xludf.DUMMYFUNCTION("""COMPUTED_VALUE"""),"7. GOLIVE")</f>
        <v>7. GOLIVE</v>
      </c>
      <c r="P483" s="222" t="str">
        <f>IFERROR(__xludf.DUMMYFUNCTION("""COMPUTED_VALUE"""),"7.2 Golive Full / OA / DONE OTB")</f>
        <v>7.2 Golive Full / OA / DONE OTB</v>
      </c>
      <c r="Q483" s="222" t="str">
        <f>IFERROR(__xludf.DUMMYFUNCTION("""COMPUTED_VALUE"""),"(28/2)GOLIVE SDI 25 FEB (27/02) MENUNGGU GOLIVE, 25/02 VALINS, 24/02 MASIH PROGRESS JUMPER, 22/2 progress Jumper  21/02 PENYAMBUNGAN BRANCHING, 20/02 DONE PEMASANGAN ODP, 17/02 LANJUT PROGRESS TARIK KABEL DAN TANAM TIANG, 15/02 PENANAMAN TIANG 26 DAN PENA"&amp;"RIKAN KABEL 1180, (14/2)material onsite (12/02 )PROSES MATDEL, 11/2 PLAN 12 FEB MATDEL 09/02, DONE INPUT MATERIAL, 6/2 sdh create PID - kendala di ALISTA  04/02 LANJUT DRM, (30/01) DONE EVAL, LANJUT PROGRES NILAI BOQ NAIK 1% DAN NILAI CPP 1,2 JT, (26/1) t"&amp;"im TIF belum bisa EVAL hasil anwijzing karena lagi diluar kota , estimasi 29 jan baru kembali ke Palembang(24/1) menunggu hasil eval ke tif plan 26 jan  (21/01) done aanwizjing, proses pembuatan update anawjizng untuk eval dg tif, (06/01)order JPP batch-2"&amp;" 2026 ((14/11)HOLD-  tidak masuk target Optimis 2025 ((11/11) Penunjukkan MITRA  oleh Procurement 
14/01 sudah penunjukan mitra oleh procurement")</f>
        <v>(28/2)GOLIVE SDI 25 FEB (27/02) MENUNGGU GOLIVE, 25/02 VALINS, 24/02 MASIH PROGRESS JUMPER, 22/2 progress Jumper  21/02 PENYAMBUNGAN BRANCHING, 20/02 DONE PEMASANGAN ODP, 17/02 LANJUT PROGRESS TARIK KABEL DAN TANAM TIANG, 15/02 PENANAMAN TIANG 26 DAN PENARIKAN KABEL 1180, (14/2)material onsite (12/02 )PROSES MATDEL, 11/2 PLAN 12 FEB MATDEL 09/02, DONE INPUT MATERIAL, 6/2 sdh create PID - kendala di ALISTA  04/02 LANJUT DRM, (30/01) DONE EVAL, LANJUT PROGRES NILAI BOQ NAIK 1% DAN NILAI CPP 1,2 JT, (26/1) tim TIF belum bisa EVAL hasil anwijzing karena lagi diluar kota , estimasi 29 jan baru kembali ke Palembang(24/1) menunggu hasil eval ke tif plan 26 jan  (21/01) done aanwizjing, proses pembuatan update anawjizng untuk eval dg tif, (06/01)order JPP batch-2 2026 ((14/11)HOLD-  tidak masuk target Optimis 2025 ((11/11) Penunjukkan MITRA  oleh Procurement 
14/01 sudah penunjukan mitra oleh procurement</v>
      </c>
      <c r="R483" s="228">
        <f>IFERROR(__xludf.DUMMYFUNCTION("""COMPUTED_VALUE"""),46078.0)</f>
        <v>46078</v>
      </c>
      <c r="S483" s="11"/>
      <c r="T483" s="11"/>
      <c r="U483" s="11"/>
      <c r="V483" s="229" t="str">
        <f>IFERROR(__xludf.DUMMYFUNCTION("""COMPUTED_VALUE"""),"PUTRA")</f>
        <v>PUTRA</v>
      </c>
      <c r="W483" s="229"/>
      <c r="X483" s="229" t="str">
        <f>IFERROR(__xludf.DUMMYFUNCTION("""COMPUTED_VALUE"""),"GOLIVE")</f>
        <v>GOLIVE</v>
      </c>
      <c r="Y483" s="229" t="str">
        <f>IFERROR(__xludf.DUMMYFUNCTION("""COMPUTED_VALUE"""),"DONE")</f>
        <v>DONE</v>
      </c>
      <c r="Z483" s="229" t="str">
        <f>IFERROR(__xludf.DUMMYFUNCTION("""COMPUTED_VALUE"""),"#N/A")</f>
        <v>#N/A</v>
      </c>
      <c r="AA483" s="229">
        <f>IFERROR(__xludf.DUMMYFUNCTION("""COMPUTED_VALUE"""),5.0)</f>
        <v>5</v>
      </c>
      <c r="AB483" s="229"/>
      <c r="AC483" s="229" t="str">
        <f>IFERROR(__xludf.DUMMYFUNCTION("""COMPUTED_VALUE"""),"8940025#8940030")</f>
        <v>8940025#8940030</v>
      </c>
      <c r="AD483" s="232">
        <f>IFERROR(__xludf.DUMMYFUNCTION("""COMPUTED_VALUE"""),40.0)</f>
        <v>40</v>
      </c>
      <c r="AE483" s="233">
        <f>IFERROR(__xludf.DUMMYFUNCTION("""COMPUTED_VALUE"""),46078.0)</f>
        <v>46078</v>
      </c>
      <c r="AF483" s="54"/>
      <c r="AG483" s="54"/>
      <c r="AH483" s="54">
        <v>46078.0</v>
      </c>
      <c r="AI483" s="55">
        <f t="shared" si="60"/>
        <v>0</v>
      </c>
      <c r="AW483" s="234"/>
      <c r="BP483" s="11"/>
      <c r="BQ483" s="11"/>
      <c r="BR483" s="235"/>
      <c r="BV483" s="158"/>
      <c r="BY483" s="158"/>
      <c r="CB483" s="158"/>
    </row>
    <row r="484" ht="18.0" hidden="1" customHeight="1">
      <c r="A484" s="222">
        <f>IFERROR(__xludf.DUMMYFUNCTION("""COMPUTED_VALUE"""),2026.0)</f>
        <v>2026</v>
      </c>
      <c r="B484" s="221">
        <f>IFERROR(__xludf.DUMMYFUNCTION("""COMPUTED_VALUE"""),1.1552414E7)</f>
        <v>11552414</v>
      </c>
      <c r="C484" s="222" t="str">
        <f>IFERROR(__xludf.DUMMYFUNCTION("""COMPUTED_VALUE"""),"JBI-PT3 BRANCHING-BKO-FE-PERUM ARRAFI")</f>
        <v>JBI-PT3 BRANCHING-BKO-FE-PERUM ARRAFI</v>
      </c>
      <c r="D484" s="222" t="str">
        <f>IFERROR(__xludf.DUMMYFUNCTION("""COMPUTED_VALUE"""),"REGIONAL I")</f>
        <v>REGIONAL I</v>
      </c>
      <c r="E484" s="222" t="str">
        <f>IFERROR(__xludf.DUMMYFUNCTION("""COMPUTED_VALUE"""),"JAMBI")</f>
        <v>JAMBI</v>
      </c>
      <c r="F484" s="222" t="str">
        <f>IFERROR(__xludf.DUMMYFUNCTION("""COMPUTED_VALUE"""),"BKO")</f>
        <v>BKO</v>
      </c>
      <c r="G484" s="222" t="str">
        <f>IFERROR(__xludf.DUMMYFUNCTION("""COMPUTED_VALUE"""),"SUMBAGSEL")</f>
        <v>SUMBAGSEL</v>
      </c>
      <c r="H484" s="222" t="str">
        <f>IFERROR(__xludf.DUMMYFUNCTION("""COMPUTED_VALUE"""),"JAMBI")</f>
        <v>JAMBI</v>
      </c>
      <c r="I484" s="222" t="str">
        <f>IFERROR(__xludf.DUMMYFUNCTION("""COMPUTED_VALUE"""),"Batch 2")</f>
        <v>Batch 2</v>
      </c>
      <c r="J484" s="225">
        <f>IFERROR(__xludf.DUMMYFUNCTION("""COMPUTED_VALUE"""),4.0)</f>
        <v>4</v>
      </c>
      <c r="K484" s="224">
        <f>IFERROR(__xludf.DUMMYFUNCTION("""COMPUTED_VALUE"""),32.0)</f>
        <v>32</v>
      </c>
      <c r="L484" s="226">
        <f>IFERROR(__xludf.DUMMYFUNCTION("""COMPUTED_VALUE"""),1259418.0)</f>
        <v>1259418</v>
      </c>
      <c r="M484" s="227">
        <f>IFERROR(__xludf.DUMMYFUNCTION("""COMPUTED_VALUE"""),4.0301375E7)</f>
        <v>40301375</v>
      </c>
      <c r="N484" s="222" t="str">
        <f>IFERROR(__xludf.DUMMYFUNCTION("""COMPUTED_VALUE"""),"PT ANGSO DUO TELEKOMUNIKASI")</f>
        <v>PT ANGSO DUO TELEKOMUNIKASI</v>
      </c>
      <c r="O484" s="222" t="str">
        <f>IFERROR(__xludf.DUMMYFUNCTION("""COMPUTED_VALUE"""),"3. PERIZINAN")</f>
        <v>3. PERIZINAN</v>
      </c>
      <c r="P484" s="222" t="str">
        <f>IFERROR(__xludf.DUMMYFUNCTION("""COMPUTED_VALUE"""),"3.10 Izin Developer / Private area")</f>
        <v>3.10 Izin Developer / Private area</v>
      </c>
      <c r="Q484" s="222" t="str">
        <f>IFERROR(__xludf.DUMMYFUNCTION("""COMPUTED_VALUE"""),"13/4 Menunggu  Developer musyawarah dengan warga 09/04 masih belum ada feedback dari kades, Plan visit ulang 11 APR 08/04 Perizinan kepala desa belum ada feedback26/03) Kepala desa belum mengizinkan (22/1) Sudah aanwijdzing, feeder rusak (12/1) Proses aan"&amp;"widjizing , PLAN VISIT 14 JAN  7/1 DRM (06/01)order JPP batch-2 2026 (28/11 HOLD 17/11 matdel 10/11 kendala operasional mitra (03/11) Done Aanwijzing (21/10) Mapping Mitra")</f>
        <v>13/4 Menunggu  Developer musyawarah dengan warga 09/04 masih belum ada feedback dari kades, Plan visit ulang 11 APR 08/04 Perizinan kepala desa belum ada feedback26/03) Kepala desa belum mengizinkan (22/1) Sudah aanwijdzing, feeder rusak (12/1) Proses aanwidjizing , PLAN VISIT 14 JAN  7/1 DRM (06/01)order JPP batch-2 2026 (28/11 HOLD 17/11 matdel 10/11 kendala operasional mitra (03/11) Done Aanwijzing (21/10) Mapping Mitra</v>
      </c>
      <c r="R484" s="228"/>
      <c r="S484" s="11"/>
      <c r="T484" s="11"/>
      <c r="U484" s="11"/>
      <c r="V484" s="229"/>
      <c r="W484" s="229"/>
      <c r="X484" s="229" t="str">
        <f>IFERROR(__xludf.DUMMYFUNCTION("""COMPUTED_VALUE"""),"BELUM GOLIVE")</f>
        <v>BELUM GOLIVE</v>
      </c>
      <c r="Y484" s="229"/>
      <c r="Z484" s="229" t="str">
        <f>IFERROR(__xludf.DUMMYFUNCTION("""COMPUTED_VALUE"""),"#N/A")</f>
        <v>#N/A</v>
      </c>
      <c r="AA484" s="229"/>
      <c r="AB484" s="229"/>
      <c r="AC484" s="229"/>
      <c r="AD484" s="232"/>
      <c r="AE484" s="233"/>
      <c r="AF484" s="54"/>
      <c r="AG484" s="54"/>
      <c r="AH484" s="54"/>
      <c r="AI484" s="55" t="str">
        <f t="shared" si="60"/>
        <v/>
      </c>
      <c r="AW484" s="234"/>
      <c r="BP484" s="11"/>
      <c r="BQ484" s="11"/>
      <c r="BR484" s="235"/>
      <c r="BV484" s="158"/>
      <c r="BY484" s="158"/>
      <c r="CB484" s="158"/>
    </row>
    <row r="485" ht="18.0" hidden="1" customHeight="1">
      <c r="A485" s="222">
        <f>IFERROR(__xludf.DUMMYFUNCTION("""COMPUTED_VALUE"""),2026.0)</f>
        <v>2026</v>
      </c>
      <c r="B485" s="221">
        <f>IFERROR(__xludf.DUMMYFUNCTION("""COMPUTED_VALUE"""),1.1912502E7)</f>
        <v>11912502</v>
      </c>
      <c r="C485" s="222" t="str">
        <f>IFERROR(__xludf.DUMMYFUNCTION("""COMPUTED_VALUE"""),"SMS P4I2 PT3 BKS FAQ D04 PALEMBANG_37433")</f>
        <v>SMS P4I2 PT3 BKS FAQ D04 PALEMBANG_37433</v>
      </c>
      <c r="D485" s="222" t="str">
        <f>IFERROR(__xludf.DUMMYFUNCTION("""COMPUTED_VALUE"""),"REGIONAL I")</f>
        <v>REGIONAL I</v>
      </c>
      <c r="E485" s="222" t="str">
        <f>IFERROR(__xludf.DUMMYFUNCTION("""COMPUTED_VALUE"""),"SUMSEL")</f>
        <v>SUMSEL</v>
      </c>
      <c r="F485" s="222" t="str">
        <f>IFERROR(__xludf.DUMMYFUNCTION("""COMPUTED_VALUE"""),"BKS")</f>
        <v>BKS</v>
      </c>
      <c r="G485" s="222" t="str">
        <f>IFERROR(__xludf.DUMMYFUNCTION("""COMPUTED_VALUE"""),"SUMBAGSEL")</f>
        <v>SUMBAGSEL</v>
      </c>
      <c r="H485" s="222" t="str">
        <f>IFERROR(__xludf.DUMMYFUNCTION("""COMPUTED_VALUE"""),"PALEMBANG")</f>
        <v>PALEMBANG</v>
      </c>
      <c r="I485" s="222" t="str">
        <f>IFERROR(__xludf.DUMMYFUNCTION("""COMPUTED_VALUE"""),"Batch 2")</f>
        <v>Batch 2</v>
      </c>
      <c r="J485" s="225">
        <f>IFERROR(__xludf.DUMMYFUNCTION("""COMPUTED_VALUE"""),2.0)</f>
        <v>2</v>
      </c>
      <c r="K485" s="224">
        <f>IFERROR(__xludf.DUMMYFUNCTION("""COMPUTED_VALUE"""),16.0)</f>
        <v>16</v>
      </c>
      <c r="L485" s="226">
        <f>IFERROR(__xludf.DUMMYFUNCTION("""COMPUTED_VALUE"""),1259412.0)</f>
        <v>1259412</v>
      </c>
      <c r="M485" s="227">
        <f>IFERROR(__xludf.DUMMYFUNCTION("""COMPUTED_VALUE"""),2.0150584E7)</f>
        <v>20150584</v>
      </c>
      <c r="N485" s="222" t="str">
        <f>IFERROR(__xludf.DUMMYFUNCTION("""COMPUTED_VALUE"""),"PT GARINDO TECHNO MANDIRI")</f>
        <v>PT GARINDO TECHNO MANDIRI</v>
      </c>
      <c r="O485" s="222" t="str">
        <f>IFERROR(__xludf.DUMMYFUNCTION("""COMPUTED_VALUE"""),"0. DROP")</f>
        <v>0. DROP</v>
      </c>
      <c r="P485" s="222" t="str">
        <f>IFERROR(__xludf.DUMMYFUNCTION("""COMPUTED_VALUE"""),"0.3 Feeder Full")</f>
        <v>0.3 Feeder Full</v>
      </c>
      <c r="Q485" s="222" t="str">
        <f>IFERROR(__xludf.DUMMYFUNCTION("""COMPUTED_VALUE"""),"15/01 DROP stub core feeder habis (21/01) DROP, karena stub core feeder habis, (15/1) ORDER DITERIMA MITRA 14/1, DROP FEEDER HABIS (06/01)order JPP batch-2 2026 (14/11 drop karena feeder habis, sudah konfirm ke TSEL. BA Drop belum dibuat, 13/11 CORE FEEDE"&amp;"R FULL , KAP 24 (08/11) CORE FEEDER FULL , KAP 24 (5/11) menunggu jadwal aanwidzjing 23/10 penunjukan mitra")</f>
        <v>15/01 DROP stub core feeder habis (21/01) DROP, karena stub core feeder habis, (15/1) ORDER DITERIMA MITRA 14/1, DROP FEEDER HABIS (06/01)order JPP batch-2 2026 (14/11 drop karena feeder habis, sudah konfirm ke TSEL. BA Drop belum dibuat, 13/11 CORE FEEDER FULL , KAP 24 (08/11) CORE FEEDER FULL , KAP 24 (5/11) menunggu jadwal aanwidzjing 23/10 penunjukan mitra</v>
      </c>
      <c r="R485" s="228"/>
      <c r="S485" s="11"/>
      <c r="T485" s="11"/>
      <c r="U485" s="11"/>
      <c r="V485" s="229" t="str">
        <f>IFERROR(__xludf.DUMMYFUNCTION("""COMPUTED_VALUE"""),"PRIGUS")</f>
        <v>PRIGUS</v>
      </c>
      <c r="W485" s="229"/>
      <c r="X485" s="229" t="str">
        <f>IFERROR(__xludf.DUMMYFUNCTION("""COMPUTED_VALUE"""),"BELUM GOLIVE")</f>
        <v>BELUM GOLIVE</v>
      </c>
      <c r="Y485" s="229"/>
      <c r="Z485" s="229" t="str">
        <f>IFERROR(__xludf.DUMMYFUNCTION("""COMPUTED_VALUE"""),"#N/A")</f>
        <v>#N/A</v>
      </c>
      <c r="AA485" s="229"/>
      <c r="AB485" s="229"/>
      <c r="AC485" s="229"/>
      <c r="AD485" s="232"/>
      <c r="AE485" s="233"/>
      <c r="AF485" s="54" t="str">
        <f>IFERROR(__xludf.DUMMYFUNCTION("""COMPUTED_VALUE"""),"Draft BA DROP")</f>
        <v>Draft BA DROP</v>
      </c>
      <c r="AG485" s="54"/>
      <c r="AH485" s="54"/>
      <c r="AI485" s="55" t="str">
        <f t="shared" si="60"/>
        <v/>
      </c>
      <c r="AW485" s="234"/>
      <c r="BP485" s="11"/>
      <c r="BQ485" s="11"/>
      <c r="BR485" s="235"/>
      <c r="BV485" s="158"/>
      <c r="BY485" s="158"/>
      <c r="CB485" s="158"/>
    </row>
    <row r="486" ht="18.0" hidden="1" customHeight="1">
      <c r="A486" s="222">
        <f>IFERROR(__xludf.DUMMYFUNCTION("""COMPUTED_VALUE"""),2026.0)</f>
        <v>2026</v>
      </c>
      <c r="B486" s="221">
        <f>IFERROR(__xludf.DUMMYFUNCTION("""COMPUTED_VALUE"""),1.2139837E7)</f>
        <v>12139837</v>
      </c>
      <c r="C486" s="222" t="str">
        <f>IFERROR(__xludf.DUMMYFUNCTION("""COMPUTED_VALUE"""),"LPG PT3 JPP SDN 4 RUKTI HARJO MET")</f>
        <v>LPG PT3 JPP SDN 4 RUKTI HARJO MET</v>
      </c>
      <c r="D486" s="222" t="str">
        <f>IFERROR(__xludf.DUMMYFUNCTION("""COMPUTED_VALUE"""),"REGIONAL I")</f>
        <v>REGIONAL I</v>
      </c>
      <c r="E486" s="222" t="str">
        <f>IFERROR(__xludf.DUMMYFUNCTION("""COMPUTED_VALUE"""),"LAMPUNG")</f>
        <v>LAMPUNG</v>
      </c>
      <c r="F486" s="222" t="str">
        <f>IFERROR(__xludf.DUMMYFUNCTION("""COMPUTED_VALUE"""),"MET")</f>
        <v>MET</v>
      </c>
      <c r="G486" s="222" t="str">
        <f>IFERROR(__xludf.DUMMYFUNCTION("""COMPUTED_VALUE"""),"SUMBAGSEL")</f>
        <v>SUMBAGSEL</v>
      </c>
      <c r="H486" s="222" t="str">
        <f>IFERROR(__xludf.DUMMYFUNCTION("""COMPUTED_VALUE"""),"LAMPUNG")</f>
        <v>LAMPUNG</v>
      </c>
      <c r="I486" s="222" t="str">
        <f>IFERROR(__xludf.DUMMYFUNCTION("""COMPUTED_VALUE"""),"Batch 2")</f>
        <v>Batch 2</v>
      </c>
      <c r="J486" s="225">
        <f>IFERROR(__xludf.DUMMYFUNCTION("""COMPUTED_VALUE"""),8.0)</f>
        <v>8</v>
      </c>
      <c r="K486" s="224">
        <f>IFERROR(__xludf.DUMMYFUNCTION("""COMPUTED_VALUE"""),64.0)</f>
        <v>64</v>
      </c>
      <c r="L486" s="226">
        <f>IFERROR(__xludf.DUMMYFUNCTION("""COMPUTED_VALUE"""),1258701.0)</f>
        <v>1258701</v>
      </c>
      <c r="M486" s="227">
        <f>IFERROR(__xludf.DUMMYFUNCTION("""COMPUTED_VALUE"""),8.0556851E7)</f>
        <v>80556851</v>
      </c>
      <c r="N486" s="222" t="str">
        <f>IFERROR(__xludf.DUMMYFUNCTION("""COMPUTED_VALUE"""),"PT ACERO CETHA METALINDO")</f>
        <v>PT ACERO CETHA METALINDO</v>
      </c>
      <c r="O486" s="222" t="str">
        <f>IFERROR(__xludf.DUMMYFUNCTION("""COMPUTED_VALUE"""),"0. DROP")</f>
        <v>0. DROP</v>
      </c>
      <c r="P486" s="222" t="str">
        <f>IFERROR(__xludf.DUMMYFUNCTION("""COMPUTED_VALUE"""),"0.4 CPP Tinggi Acc ED TIF")</f>
        <v>0.4 CPP Tinggi Acc ED TIF</v>
      </c>
      <c r="Q486" s="222" t="str">
        <f>IFERROR(__xludf.DUMMYFUNCTION("""COMPUTED_VALUE"""),"22/4 drop cpp tinggi(sudah konfir k tif) ,, 31/3 masi pengecekan ulang port olt dengan tim ftm 
25/3  Proses AMD Budget  13/3 proses amd buget 
2/3 proses amd buget 
27/2 MENUNGGU APPROVE DARI PIHAK PENGAWALAN  
23/2 prose pengajuan PR/PO, 20/2 proses pen"&amp;"gecek core
 18/2 Plan Matdel 21 FEB  11/2 plan matdel 14 feb-comecase LSM setempat uang pengawalan  6/2 plan matdel ,ambil material 11 /2 plan fi 16/2
4/2 stok material kosong ,estimasi tiba 07/2 
09/02 02/02 plan matdel 09/02
23/1 plan matdel 28/1
19/1 p"&amp;"roses pengacekan core dan perizina6/2 plan matdel ,ambil material 9/2 plan fi 17/2n")</f>
        <v>22/4 drop cpp tinggi(sudah konfir k tif) ,, 31/3 masi pengecekan ulang port olt dengan tim ftm 
25/3  Proses AMD Budget  13/3 proses amd buget 
2/3 proses amd buget 
27/2 MENUNGGU APPROVE DARI PIHAK PENGAWALAN  
23/2 prose pengajuan PR/PO, 20/2 proses pengecek core
 18/2 Plan Matdel 21 FEB  11/2 plan matdel 14 feb-comecase LSM setempat uang pengawalan  6/2 plan matdel ,ambil material 11 /2 plan fi 16/2
4/2 stok material kosong ,estimasi tiba 07/2 
09/02 02/02 plan matdel 09/02
23/1 plan matdel 28/1
19/1 proses pengacekan core dan perizina6/2 plan matdel ,ambil material 9/2 plan fi 17/2n</v>
      </c>
      <c r="R486" s="228">
        <f>IFERROR(__xludf.DUMMYFUNCTION("""COMPUTED_VALUE"""),46141.0)</f>
        <v>46141</v>
      </c>
      <c r="S486" s="11" t="str">
        <f>IFERROR(__xludf.DUMMYFUNCTION("""COMPUTED_VALUE"""),"APR")</f>
        <v>APR</v>
      </c>
      <c r="T486" s="11" t="str">
        <f>IFERROR(__xludf.DUMMYFUNCTION("""COMPUTED_VALUE"""),"P1")</f>
        <v>P1</v>
      </c>
      <c r="U486" s="11" t="str">
        <f>IFERROR(__xludf.DUMMYFUNCTION("""COMPUTED_VALUE"""),"W02-518/2025")</f>
        <v>W02-518/2025</v>
      </c>
      <c r="V486" s="229"/>
      <c r="W486" s="229"/>
      <c r="X486" s="229" t="str">
        <f>IFERROR(__xludf.DUMMYFUNCTION("""COMPUTED_VALUE"""),"BELUM GOLIVE")</f>
        <v>BELUM GOLIVE</v>
      </c>
      <c r="Y486" s="229"/>
      <c r="Z486" s="229" t="str">
        <f>IFERROR(__xludf.DUMMYFUNCTION("""COMPUTED_VALUE"""),"#N/A")</f>
        <v>#N/A</v>
      </c>
      <c r="AA486" s="229"/>
      <c r="AB486" s="229"/>
      <c r="AC486" s="229"/>
      <c r="AD486" s="232"/>
      <c r="AE486" s="233"/>
      <c r="AF486" s="54"/>
      <c r="AG486" s="54"/>
      <c r="AH486" s="54"/>
      <c r="AI486" s="55" t="str">
        <f t="shared" si="60"/>
        <v/>
      </c>
      <c r="AW486" s="234"/>
      <c r="BP486" s="11"/>
      <c r="BQ486" s="11"/>
      <c r="BR486" s="235"/>
      <c r="BV486" s="158"/>
      <c r="BY486" s="158"/>
      <c r="CB486" s="158"/>
    </row>
    <row r="487" ht="18.0" hidden="1" customHeight="1">
      <c r="A487" s="222">
        <f>IFERROR(__xludf.DUMMYFUNCTION("""COMPUTED_VALUE"""),2026.0)</f>
        <v>2026</v>
      </c>
      <c r="B487" s="221">
        <f>IFERROR(__xludf.DUMMYFUNCTION("""COMPUTED_VALUE"""),1.2325141E7)</f>
        <v>12325141</v>
      </c>
      <c r="C487" s="222" t="str">
        <f>IFERROR(__xludf.DUMMYFUNCTION("""COMPUTED_VALUE"""),"MDN PT4 STB-FXX SUMATERA UTARA_16091 CSF")</f>
        <v>MDN PT4 STB-FXX SUMATERA UTARA_16091 CSF</v>
      </c>
      <c r="D487" s="222" t="str">
        <f>IFERROR(__xludf.DUMMYFUNCTION("""COMPUTED_VALUE"""),"REGIONAL I")</f>
        <v>REGIONAL I</v>
      </c>
      <c r="E487" s="222" t="str">
        <f>IFERROR(__xludf.DUMMYFUNCTION("""COMPUTED_VALUE"""),"MEDAN")</f>
        <v>MEDAN</v>
      </c>
      <c r="F487" s="222" t="str">
        <f>IFERROR(__xludf.DUMMYFUNCTION("""COMPUTED_VALUE"""),"STB")</f>
        <v>STB</v>
      </c>
      <c r="G487" s="222" t="str">
        <f>IFERROR(__xludf.DUMMYFUNCTION("""COMPUTED_VALUE"""),"SUMBAGUT")</f>
        <v>SUMBAGUT</v>
      </c>
      <c r="H487" s="222" t="str">
        <f>IFERROR(__xludf.DUMMYFUNCTION("""COMPUTED_VALUE"""),"BINJAI")</f>
        <v>BINJAI</v>
      </c>
      <c r="I487" s="222" t="str">
        <f>IFERROR(__xludf.DUMMYFUNCTION("""COMPUTED_VALUE"""),"Batch 2")</f>
        <v>Batch 2</v>
      </c>
      <c r="J487" s="225">
        <f>IFERROR(__xludf.DUMMYFUNCTION("""COMPUTED_VALUE"""),13.0)</f>
        <v>13</v>
      </c>
      <c r="K487" s="224">
        <f>IFERROR(__xludf.DUMMYFUNCTION("""COMPUTED_VALUE"""),104.0)</f>
        <v>104</v>
      </c>
      <c r="L487" s="226">
        <f>IFERROR(__xludf.DUMMYFUNCTION("""COMPUTED_VALUE"""),1257569.0)</f>
        <v>1257569</v>
      </c>
      <c r="M487" s="227">
        <f>IFERROR(__xludf.DUMMYFUNCTION("""COMPUTED_VALUE"""),1.30787138E8)</f>
        <v>130787138</v>
      </c>
      <c r="N487" s="222" t="str">
        <f>IFERROR(__xludf.DUMMYFUNCTION("""COMPUTED_VALUE"""),"PT JAYA ANINDYA MUSTIKA")</f>
        <v>PT JAYA ANINDYA MUSTIKA</v>
      </c>
      <c r="O487" s="222" t="str">
        <f>IFERROR(__xludf.DUMMYFUNCTION("""COMPUTED_VALUE"""),"8. UJI TERIMA")</f>
        <v>8. UJI TERIMA</v>
      </c>
      <c r="P487" s="222" t="str">
        <f>IFERROR(__xludf.DUMMYFUNCTION("""COMPUTED_VALUE"""),"8.1 Proses UT")</f>
        <v>8.1 Proses UT</v>
      </c>
      <c r="Q487" s="222" t="str">
        <f>IFERROR(__xludf.DUMMYFUNCTION("""COMPUTED_VALUE"""),"08/01 golive sdi
(07/01) Persiapan")</f>
        <v>08/01 golive sdi
(07/01) Persiapan</v>
      </c>
      <c r="R487" s="228">
        <f>IFERROR(__xludf.DUMMYFUNCTION("""COMPUTED_VALUE"""),46030.0)</f>
        <v>46030</v>
      </c>
      <c r="S487" s="11"/>
      <c r="T487" s="11"/>
      <c r="U487" s="11" t="str">
        <f>IFERROR(__xludf.DUMMYFUNCTION("""COMPUTED_VALUE"""),"FALSE")</f>
        <v>FALSE</v>
      </c>
      <c r="V487" s="229"/>
      <c r="W487" s="229"/>
      <c r="X487" s="229" t="str">
        <f>IFERROR(__xludf.DUMMYFUNCTION("""COMPUTED_VALUE"""),"GOLIVE")</f>
        <v>GOLIVE</v>
      </c>
      <c r="Y487" s="229" t="str">
        <f>IFERROR(__xludf.DUMMYFUNCTION("""COMPUTED_VALUE"""),"DONE")</f>
        <v>DONE</v>
      </c>
      <c r="Z487" s="229" t="str">
        <f>IFERROR(__xludf.DUMMYFUNCTION("""COMPUTED_VALUE"""),"5. Done Integrasi")</f>
        <v>5. Done Integrasi</v>
      </c>
      <c r="AA487" s="229">
        <f>IFERROR(__xludf.DUMMYFUNCTION("""COMPUTED_VALUE"""),13.0)</f>
        <v>13</v>
      </c>
      <c r="AB487" s="229">
        <f>IFERROR(__xludf.DUMMYFUNCTION("""COMPUTED_VALUE"""),0.0)</f>
        <v>0</v>
      </c>
      <c r="AC487" s="229" t="str">
        <f>IFERROR(__xludf.DUMMYFUNCTION("""COMPUTED_VALUE"""),"8918830#8918836")</f>
        <v>8918830#8918836</v>
      </c>
      <c r="AD487" s="232">
        <f>IFERROR(__xludf.DUMMYFUNCTION("""COMPUTED_VALUE"""),104.0)</f>
        <v>104</v>
      </c>
      <c r="AE487" s="233">
        <f>IFERROR(__xludf.DUMMYFUNCTION("""COMPUTED_VALUE"""),46030.0)</f>
        <v>46030</v>
      </c>
      <c r="AF487" s="54"/>
      <c r="AG487" s="54"/>
      <c r="AH487" s="54">
        <v>46030.0</v>
      </c>
      <c r="AI487" s="55">
        <f t="shared" si="60"/>
        <v>0</v>
      </c>
      <c r="AW487" s="234"/>
      <c r="BP487" s="11"/>
      <c r="BQ487" s="11"/>
      <c r="BR487" s="235"/>
      <c r="BV487" s="158"/>
      <c r="BY487" s="158"/>
      <c r="CB487" s="158"/>
    </row>
    <row r="488" ht="18.0" customHeight="1">
      <c r="A488" s="222">
        <f>IFERROR(__xludf.DUMMYFUNCTION("""COMPUTED_VALUE"""),2026.0)</f>
        <v>2026</v>
      </c>
      <c r="B488" s="221">
        <f>IFERROR(__xludf.DUMMYFUNCTION("""COMPUTED_VALUE"""),1.1407681E7)</f>
        <v>11407681</v>
      </c>
      <c r="C488" s="222" t="str">
        <f>IFERROR(__xludf.DUMMYFUNCTION("""COMPUTED_VALUE"""),"RDR RBI PT4 P3I1 RUMBAIPESISIRLIMBUNGAN")</f>
        <v>RDR RBI PT4 P3I1 RUMBAIPESISIRLIMBUNGAN</v>
      </c>
      <c r="D488" s="222" t="str">
        <f>IFERROR(__xludf.DUMMYFUNCTION("""COMPUTED_VALUE"""),"REGIONAL I")</f>
        <v>REGIONAL I</v>
      </c>
      <c r="E488" s="222" t="str">
        <f>IFERROR(__xludf.DUMMYFUNCTION("""COMPUTED_VALUE"""),"RIDAR")</f>
        <v>RIDAR</v>
      </c>
      <c r="F488" s="222" t="str">
        <f>IFERROR(__xludf.DUMMYFUNCTION("""COMPUTED_VALUE"""),"RBI")</f>
        <v>RBI</v>
      </c>
      <c r="G488" s="222" t="str">
        <f>IFERROR(__xludf.DUMMYFUNCTION("""COMPUTED_VALUE"""),"SUMBAGTENG")</f>
        <v>SUMBAGTENG</v>
      </c>
      <c r="H488" s="222" t="str">
        <f>IFERROR(__xludf.DUMMYFUNCTION("""COMPUTED_VALUE"""),"PEKANBARU")</f>
        <v>PEKANBARU</v>
      </c>
      <c r="I488" s="222" t="str">
        <f>IFERROR(__xludf.DUMMYFUNCTION("""COMPUTED_VALUE"""),"Batch 2")</f>
        <v>Batch 2</v>
      </c>
      <c r="J488" s="225">
        <f>IFERROR(__xludf.DUMMYFUNCTION("""COMPUTED_VALUE"""),18.0)</f>
        <v>18</v>
      </c>
      <c r="K488" s="224">
        <f>IFERROR(__xludf.DUMMYFUNCTION("""COMPUTED_VALUE"""),144.0)</f>
        <v>144</v>
      </c>
      <c r="L488" s="226">
        <f>IFERROR(__xludf.DUMMYFUNCTION("""COMPUTED_VALUE"""),1257231.0)</f>
        <v>1257231</v>
      </c>
      <c r="M488" s="227">
        <f>IFERROR(__xludf.DUMMYFUNCTION("""COMPUTED_VALUE"""),1.81041207E8)</f>
        <v>181041207</v>
      </c>
      <c r="N488" s="222" t="str">
        <f>IFERROR(__xludf.DUMMYFUNCTION("""COMPUTED_VALUE"""),"PT DIAN KARYA")</f>
        <v>PT DIAN KARYA</v>
      </c>
      <c r="O488" s="222" t="str">
        <f>IFERROR(__xludf.DUMMYFUNCTION("""COMPUTED_VALUE"""),"0. DROP")</f>
        <v>0. DROP</v>
      </c>
      <c r="P488" s="222" t="str">
        <f>IFERROR(__xludf.DUMMYFUNCTION("""COMPUTED_VALUE"""),"0.2 Tidak Dapat Izin Warga/Kades/Lurah/Developer")</f>
        <v>0.2 Tidak Dapat Izin Warga/Kades/Lurah/Developer</v>
      </c>
      <c r="Q488" s="222" t="str">
        <f>IFERROR(__xludf.DUMMYFUNCTION("""COMPUTED_VALUE"""),"20/01 Drop tidak ada space penanaman tiang (07/01) Persiapan")</f>
        <v>20/01 Drop tidak ada space penanaman tiang (07/01) Persiapan</v>
      </c>
      <c r="R488" s="228"/>
      <c r="S488" s="11"/>
      <c r="T488" s="11"/>
      <c r="U488" s="11"/>
      <c r="V488" s="229" t="str">
        <f>IFERROR(__xludf.DUMMYFUNCTION("""COMPUTED_VALUE"""),"TEGUH IMAM PERDANA")</f>
        <v>TEGUH IMAM PERDANA</v>
      </c>
      <c r="W488" s="229" t="str">
        <f>IFERROR(__xludf.DUMMYFUNCTION("""COMPUTED_VALUE"""),"DESLITA RAHMADANI")</f>
        <v>DESLITA RAHMADANI</v>
      </c>
      <c r="X488" s="229" t="str">
        <f>IFERROR(__xludf.DUMMYFUNCTION("""COMPUTED_VALUE"""),"BELUM GOLIVE")</f>
        <v>BELUM GOLIVE</v>
      </c>
      <c r="Y488" s="229"/>
      <c r="Z488" s="229" t="str">
        <f>IFERROR(__xludf.DUMMYFUNCTION("""COMPUTED_VALUE"""),"#N/A")</f>
        <v>#N/A</v>
      </c>
      <c r="AA488" s="229"/>
      <c r="AB488" s="229"/>
      <c r="AC488" s="229"/>
      <c r="AD488" s="232"/>
      <c r="AE488" s="233"/>
      <c r="AF488" s="54" t="str">
        <f>IFERROR(__xludf.DUMMYFUNCTION("""COMPUTED_VALUE"""),"Draft BA DROP")</f>
        <v>Draft BA DROP</v>
      </c>
      <c r="AG488" s="54"/>
      <c r="AH488" s="54"/>
      <c r="AI488" s="55" t="str">
        <f t="shared" si="60"/>
        <v/>
      </c>
      <c r="AW488" s="234"/>
      <c r="BP488" s="11"/>
      <c r="BQ488" s="11"/>
      <c r="BR488" s="235"/>
      <c r="BV488" s="158"/>
      <c r="BY488" s="158"/>
      <c r="CB488" s="158"/>
    </row>
    <row r="489" ht="18.0" hidden="1" customHeight="1">
      <c r="A489" s="222">
        <f>IFERROR(__xludf.DUMMYFUNCTION("""COMPUTED_VALUE"""),2026.0)</f>
        <v>2026</v>
      </c>
      <c r="B489" s="221">
        <f>IFERROR(__xludf.DUMMYFUNCTION("""COMPUTED_VALUE"""),1.1272024E7)</f>
        <v>11272024</v>
      </c>
      <c r="C489" s="222" t="str">
        <f>IFERROR(__xludf.DUMMYFUNCTION("""COMPUTED_VALUE"""),"MDN PT3 P1I1 DLT-FZ KIRANA GARDEN")</f>
        <v>MDN PT3 P1I1 DLT-FZ KIRANA GARDEN</v>
      </c>
      <c r="D489" s="222" t="str">
        <f>IFERROR(__xludf.DUMMYFUNCTION("""COMPUTED_VALUE"""),"REGIONAL I")</f>
        <v>REGIONAL I</v>
      </c>
      <c r="E489" s="222" t="str">
        <f>IFERROR(__xludf.DUMMYFUNCTION("""COMPUTED_VALUE"""),"MEDAN")</f>
        <v>MEDAN</v>
      </c>
      <c r="F489" s="222" t="str">
        <f>IFERROR(__xludf.DUMMYFUNCTION("""COMPUTED_VALUE"""),"DLT")</f>
        <v>DLT</v>
      </c>
      <c r="G489" s="222" t="str">
        <f>IFERROR(__xludf.DUMMYFUNCTION("""COMPUTED_VALUE"""),"SUMBAGUT")</f>
        <v>SUMBAGUT</v>
      </c>
      <c r="H489" s="222" t="str">
        <f>IFERROR(__xludf.DUMMYFUNCTION("""COMPUTED_VALUE"""),"MEDAN")</f>
        <v>MEDAN</v>
      </c>
      <c r="I489" s="222" t="str">
        <f>IFERROR(__xludf.DUMMYFUNCTION("""COMPUTED_VALUE"""),"Batch 2")</f>
        <v>Batch 2</v>
      </c>
      <c r="J489" s="225">
        <f>IFERROR(__xludf.DUMMYFUNCTION("""COMPUTED_VALUE"""),6.0)</f>
        <v>6</v>
      </c>
      <c r="K489" s="224">
        <f>IFERROR(__xludf.DUMMYFUNCTION("""COMPUTED_VALUE"""),48.0)</f>
        <v>48</v>
      </c>
      <c r="L489" s="226">
        <f>IFERROR(__xludf.DUMMYFUNCTION("""COMPUTED_VALUE"""),1365719.0)</f>
        <v>1365719</v>
      </c>
      <c r="M489" s="227">
        <f>IFERROR(__xludf.DUMMYFUNCTION("""COMPUTED_VALUE"""),6.5554495E7)</f>
        <v>65554495</v>
      </c>
      <c r="N489" s="222" t="str">
        <f>IFERROR(__xludf.DUMMYFUNCTION("""COMPUTED_VALUE"""),"PT UPENTEL INTERNASIONAL")</f>
        <v>PT UPENTEL INTERNASIONAL</v>
      </c>
      <c r="O489" s="222" t="str">
        <f>IFERROR(__xludf.DUMMYFUNCTION("""COMPUTED_VALUE"""),"0. DROP")</f>
        <v>0. DROP</v>
      </c>
      <c r="P489" s="222" t="str">
        <f>IFERROR(__xludf.DUMMYFUNCTION("""COMPUTED_VALUE"""),"0.4 CPP Tinggi Acc ED TIF")</f>
        <v>0.4 CPP Tinggi Acc ED TIF</v>
      </c>
      <c r="Q489" s="222" t="str">
        <f>IFERROR(__xludf.DUMMYFUNCTION("""COMPUTED_VALUE"""),"26/02 pengajuan redesign sisa port distribusi 4 port sementara plan 6 odp")</f>
        <v>26/02 pengajuan redesign sisa port distribusi 4 port sementara plan 6 odp</v>
      </c>
      <c r="R489" s="228"/>
      <c r="S489" s="11"/>
      <c r="T489" s="11"/>
      <c r="U489" s="11"/>
      <c r="V489" s="229"/>
      <c r="W489" s="229"/>
      <c r="X489" s="229" t="str">
        <f>IFERROR(__xludf.DUMMYFUNCTION("""COMPUTED_VALUE"""),"BELUM GOLIVE")</f>
        <v>BELUM GOLIVE</v>
      </c>
      <c r="Y489" s="229"/>
      <c r="Z489" s="229" t="str">
        <f>IFERROR(__xludf.DUMMYFUNCTION("""COMPUTED_VALUE"""),"#N/A")</f>
        <v>#N/A</v>
      </c>
      <c r="AA489" s="229"/>
      <c r="AB489" s="229"/>
      <c r="AC489" s="229"/>
      <c r="AD489" s="232"/>
      <c r="AE489" s="233"/>
      <c r="AF489" s="54" t="str">
        <f>IFERROR(__xludf.DUMMYFUNCTION("""COMPUTED_VALUE"""),"Draft BA DROP")</f>
        <v>Draft BA DROP</v>
      </c>
      <c r="AG489" s="54"/>
      <c r="AH489" s="54"/>
      <c r="AI489" s="55" t="str">
        <f t="shared" si="60"/>
        <v/>
      </c>
      <c r="AW489" s="234"/>
      <c r="BP489" s="11"/>
      <c r="BQ489" s="11"/>
      <c r="BR489" s="235"/>
      <c r="BV489" s="158"/>
      <c r="BY489" s="158"/>
      <c r="CB489" s="158"/>
    </row>
    <row r="490" ht="18.0" customHeight="1">
      <c r="A490" s="222">
        <f>IFERROR(__xludf.DUMMYFUNCTION("""COMPUTED_VALUE"""),2026.0)</f>
        <v>2026</v>
      </c>
      <c r="B490" s="221">
        <f>IFERROR(__xludf.DUMMYFUNCTION("""COMPUTED_VALUE"""),1.110024E7)</f>
        <v>11100240</v>
      </c>
      <c r="C490" s="222" t="str">
        <f>IFERROR(__xludf.DUMMYFUNCTION("""COMPUTED_VALUE"""),"SMB JPP PT3 MD PDG_SUMATERA BARAT_14749_new")</f>
        <v>SMB JPP PT3 MD PDG_SUMATERA BARAT_14749_new</v>
      </c>
      <c r="D490" s="222" t="str">
        <f>IFERROR(__xludf.DUMMYFUNCTION("""COMPUTED_VALUE"""),"REGIONAL I")</f>
        <v>REGIONAL I</v>
      </c>
      <c r="E490" s="222" t="str">
        <f>IFERROR(__xludf.DUMMYFUNCTION("""COMPUTED_VALUE"""),"SUMBAR")</f>
        <v>SUMBAR</v>
      </c>
      <c r="F490" s="222" t="str">
        <f>IFERROR(__xludf.DUMMYFUNCTION("""COMPUTED_VALUE"""),"LBY")</f>
        <v>LBY</v>
      </c>
      <c r="G490" s="222" t="str">
        <f>IFERROR(__xludf.DUMMYFUNCTION("""COMPUTED_VALUE"""),"SUMBAGTENG")</f>
        <v>SUMBAGTENG</v>
      </c>
      <c r="H490" s="222" t="str">
        <f>IFERROR(__xludf.DUMMYFUNCTION("""COMPUTED_VALUE"""),"PADANG")</f>
        <v>PADANG</v>
      </c>
      <c r="I490" s="222" t="str">
        <f>IFERROR(__xludf.DUMMYFUNCTION("""COMPUTED_VALUE"""),"Batch 2")</f>
        <v>Batch 2</v>
      </c>
      <c r="J490" s="225">
        <f>IFERROR(__xludf.DUMMYFUNCTION("""COMPUTED_VALUE"""),1.0)</f>
        <v>1</v>
      </c>
      <c r="K490" s="224">
        <f>IFERROR(__xludf.DUMMYFUNCTION("""COMPUTED_VALUE"""),8.0)</f>
        <v>8</v>
      </c>
      <c r="L490" s="226">
        <f>IFERROR(__xludf.DUMMYFUNCTION("""COMPUTED_VALUE"""),1256963.0)</f>
        <v>1256963</v>
      </c>
      <c r="M490" s="227">
        <f>IFERROR(__xludf.DUMMYFUNCTION("""COMPUTED_VALUE"""),1.0055703E7)</f>
        <v>10055703</v>
      </c>
      <c r="N490" s="222" t="str">
        <f>IFERROR(__xludf.DUMMYFUNCTION("""COMPUTED_VALUE"""),"PT TRI PENAMAS")</f>
        <v>PT TRI PENAMAS</v>
      </c>
      <c r="O490" s="222" t="str">
        <f>IFERROR(__xludf.DUMMYFUNCTION("""COMPUTED_VALUE"""),"0. DROP")</f>
        <v>0. DROP</v>
      </c>
      <c r="P490" s="222" t="str">
        <f>IFERROR(__xludf.DUMMYFUNCTION("""COMPUTED_VALUE"""),"0.3 Feeder Full")</f>
        <v>0.3 Feeder Full</v>
      </c>
      <c r="Q490" s="222" t="str">
        <f>IFERROR(__xludf.DUMMYFUNCTION("""COMPUTED_VALUE"""),"(26/01) kendala feeder LBY-FM Full")</f>
        <v>(26/01) kendala feeder LBY-FM Full</v>
      </c>
      <c r="R490" s="228"/>
      <c r="S490" s="11"/>
      <c r="T490" s="11"/>
      <c r="U490" s="11"/>
      <c r="V490" s="229"/>
      <c r="W490" s="229"/>
      <c r="X490" s="229" t="str">
        <f>IFERROR(__xludf.DUMMYFUNCTION("""COMPUTED_VALUE"""),"BELUM GOLIVE")</f>
        <v>BELUM GOLIVE</v>
      </c>
      <c r="Y490" s="229"/>
      <c r="Z490" s="229" t="str">
        <f>IFERROR(__xludf.DUMMYFUNCTION("""COMPUTED_VALUE"""),"#N/A")</f>
        <v>#N/A</v>
      </c>
      <c r="AA490" s="229"/>
      <c r="AB490" s="229"/>
      <c r="AC490" s="229"/>
      <c r="AD490" s="232"/>
      <c r="AE490" s="233"/>
      <c r="AF490" s="54" t="str">
        <f>IFERROR(__xludf.DUMMYFUNCTION("""COMPUTED_VALUE"""),"Draft BA DROP")</f>
        <v>Draft BA DROP</v>
      </c>
      <c r="AG490" s="54"/>
      <c r="AH490" s="54"/>
      <c r="AI490" s="55" t="str">
        <f t="shared" si="60"/>
        <v/>
      </c>
      <c r="AW490" s="234"/>
      <c r="BP490" s="11"/>
      <c r="BQ490" s="11"/>
      <c r="BR490" s="235"/>
      <c r="BV490" s="158"/>
      <c r="BY490" s="158"/>
      <c r="CB490" s="158"/>
    </row>
    <row r="491" ht="18.0" hidden="1" customHeight="1">
      <c r="A491" s="222">
        <f>IFERROR(__xludf.DUMMYFUNCTION("""COMPUTED_VALUE"""),2026.0)</f>
        <v>2026</v>
      </c>
      <c r="B491" s="221">
        <f>IFERROR(__xludf.DUMMYFUNCTION("""COMPUTED_VALUE"""),1.2378331E7)</f>
        <v>12378331</v>
      </c>
      <c r="C491" s="222" t="str">
        <f>IFERROR(__xludf.DUMMYFUNCTION("""COMPUTED_VALUE"""),"LPG PT3 JPP MD PESAWARAN_29278 LKP")</f>
        <v>LPG PT3 JPP MD PESAWARAN_29278 LKP</v>
      </c>
      <c r="D491" s="222" t="str">
        <f>IFERROR(__xludf.DUMMYFUNCTION("""COMPUTED_VALUE"""),"REGIONAL I")</f>
        <v>REGIONAL I</v>
      </c>
      <c r="E491" s="222" t="str">
        <f>IFERROR(__xludf.DUMMYFUNCTION("""COMPUTED_VALUE"""),"LAMPUNG")</f>
        <v>LAMPUNG</v>
      </c>
      <c r="F491" s="222" t="str">
        <f>IFERROR(__xludf.DUMMYFUNCTION("""COMPUTED_VALUE"""),"LKP")</f>
        <v>LKP</v>
      </c>
      <c r="G491" s="222" t="str">
        <f>IFERROR(__xludf.DUMMYFUNCTION("""COMPUTED_VALUE"""),"SUMBAGSEL")</f>
        <v>SUMBAGSEL</v>
      </c>
      <c r="H491" s="222" t="str">
        <f>IFERROR(__xludf.DUMMYFUNCTION("""COMPUTED_VALUE"""),"LAMPUNG")</f>
        <v>LAMPUNG</v>
      </c>
      <c r="I491" s="222" t="str">
        <f>IFERROR(__xludf.DUMMYFUNCTION("""COMPUTED_VALUE"""),"Batch 2")</f>
        <v>Batch 2</v>
      </c>
      <c r="J491" s="225">
        <f>IFERROR(__xludf.DUMMYFUNCTION("""COMPUTED_VALUE"""),11.0)</f>
        <v>11</v>
      </c>
      <c r="K491" s="224">
        <f>IFERROR(__xludf.DUMMYFUNCTION("""COMPUTED_VALUE"""),88.0)</f>
        <v>88</v>
      </c>
      <c r="L491" s="226">
        <f>IFERROR(__xludf.DUMMYFUNCTION("""COMPUTED_VALUE"""),1256800.0)</f>
        <v>1256800</v>
      </c>
      <c r="M491" s="227">
        <f>IFERROR(__xludf.DUMMYFUNCTION("""COMPUTED_VALUE"""),1.10598313E8)</f>
        <v>110598313</v>
      </c>
      <c r="N491" s="222" t="str">
        <f>IFERROR(__xludf.DUMMYFUNCTION("""COMPUTED_VALUE"""),"SWAKELOLA")</f>
        <v>SWAKELOLA</v>
      </c>
      <c r="O491" s="222" t="str">
        <f>IFERROR(__xludf.DUMMYFUNCTION("""COMPUTED_VALUE"""),"0. DROP")</f>
        <v>0. DROP</v>
      </c>
      <c r="P491" s="222" t="str">
        <f>IFERROR(__xludf.DUMMYFUNCTION("""COMPUTED_VALUE"""),"0.2 Tidak Dapat Izin Warga/Kades/Lurah/Developer")</f>
        <v>0.2 Tidak Dapat Izin Warga/Kades/Lurah/Developer</v>
      </c>
      <c r="Q491" s="222" t="str">
        <f>IFERROR(__xludf.DUMMYFUNCTION("""COMPUTED_VALUE"""),"3/2 lokasi RED ZONE")</f>
        <v>3/2 lokasi RED ZONE</v>
      </c>
      <c r="R491" s="228"/>
      <c r="S491" s="11"/>
      <c r="T491" s="11"/>
      <c r="U491" s="11"/>
      <c r="V491" s="229"/>
      <c r="W491" s="229"/>
      <c r="X491" s="229" t="str">
        <f>IFERROR(__xludf.DUMMYFUNCTION("""COMPUTED_VALUE"""),"BELUM GOLIVE")</f>
        <v>BELUM GOLIVE</v>
      </c>
      <c r="Y491" s="229"/>
      <c r="Z491" s="229" t="str">
        <f>IFERROR(__xludf.DUMMYFUNCTION("""COMPUTED_VALUE"""),"#N/A")</f>
        <v>#N/A</v>
      </c>
      <c r="AA491" s="229"/>
      <c r="AB491" s="229"/>
      <c r="AC491" s="229"/>
      <c r="AD491" s="232"/>
      <c r="AE491" s="233"/>
      <c r="AF491" s="54" t="str">
        <f>IFERROR(__xludf.DUMMYFUNCTION("""COMPUTED_VALUE"""),"Draft BA DROP")</f>
        <v>Draft BA DROP</v>
      </c>
      <c r="AG491" s="54"/>
      <c r="AH491" s="54"/>
      <c r="AI491" s="55" t="str">
        <f t="shared" si="60"/>
        <v/>
      </c>
      <c r="AW491" s="234"/>
      <c r="BP491" s="11"/>
      <c r="BQ491" s="11"/>
      <c r="BR491" s="235"/>
      <c r="BV491" s="158"/>
      <c r="BY491" s="158"/>
      <c r="CB491" s="158"/>
    </row>
    <row r="492" ht="18.0" hidden="1" customHeight="1">
      <c r="A492" s="222">
        <f>IFERROR(__xludf.DUMMYFUNCTION("""COMPUTED_VALUE"""),2026.0)</f>
        <v>2026</v>
      </c>
      <c r="B492" s="221">
        <f>IFERROR(__xludf.DUMMYFUNCTION("""COMPUTED_VALUE"""),1.1420296E7)</f>
        <v>11420296</v>
      </c>
      <c r="C492" s="222" t="str">
        <f>IFERROR(__xludf.DUMMYFUNCTION("""COMPUTED_VALUE"""),"SMS P3I1 PT4 SKY FXX TERUSAN SANGA DESA")</f>
        <v>SMS P3I1 PT4 SKY FXX TERUSAN SANGA DESA</v>
      </c>
      <c r="D492" s="222" t="str">
        <f>IFERROR(__xludf.DUMMYFUNCTION("""COMPUTED_VALUE"""),"REGIONAL I")</f>
        <v>REGIONAL I</v>
      </c>
      <c r="E492" s="222" t="str">
        <f>IFERROR(__xludf.DUMMYFUNCTION("""COMPUTED_VALUE"""),"SUMSEL")</f>
        <v>SUMSEL</v>
      </c>
      <c r="F492" s="222" t="str">
        <f>IFERROR(__xludf.DUMMYFUNCTION("""COMPUTED_VALUE"""),"SKY")</f>
        <v>SKY</v>
      </c>
      <c r="G492" s="222" t="str">
        <f>IFERROR(__xludf.DUMMYFUNCTION("""COMPUTED_VALUE"""),"SUMBAGSEL")</f>
        <v>SUMBAGSEL</v>
      </c>
      <c r="H492" s="222" t="str">
        <f>IFERROR(__xludf.DUMMYFUNCTION("""COMPUTED_VALUE"""),"PALEMBANG")</f>
        <v>PALEMBANG</v>
      </c>
      <c r="I492" s="222" t="str">
        <f>IFERROR(__xludf.DUMMYFUNCTION("""COMPUTED_VALUE"""),"Batch 2")</f>
        <v>Batch 2</v>
      </c>
      <c r="J492" s="225">
        <f>IFERROR(__xludf.DUMMYFUNCTION("""COMPUTED_VALUE"""),20.0)</f>
        <v>20</v>
      </c>
      <c r="K492" s="224">
        <f>IFERROR(__xludf.DUMMYFUNCTION("""COMPUTED_VALUE"""),152.0)</f>
        <v>152</v>
      </c>
      <c r="L492" s="226">
        <f>IFERROR(__xludf.DUMMYFUNCTION("""COMPUTED_VALUE"""),1146901.0)</f>
        <v>1146901</v>
      </c>
      <c r="M492" s="227">
        <f>IFERROR(__xludf.DUMMYFUNCTION("""COMPUTED_VALUE"""),1.74328924E8)</f>
        <v>174328924</v>
      </c>
      <c r="N492" s="222" t="str">
        <f>IFERROR(__xludf.DUMMYFUNCTION("""COMPUTED_VALUE"""),"PT MAJU JAYA TEKNOLOGI")</f>
        <v>PT MAJU JAYA TEKNOLOGI</v>
      </c>
      <c r="O492" s="222" t="str">
        <f>IFERROR(__xludf.DUMMYFUNCTION("""COMPUTED_VALUE"""),"3. PERIZINAN")</f>
        <v>3. PERIZINAN</v>
      </c>
      <c r="P492" s="222" t="str">
        <f>IFERROR(__xludf.DUMMYFUNCTION("""COMPUTED_VALUE"""),"3.1 Submit permohon ke PU")</f>
        <v>3.1 Submit permohon ke PU</v>
      </c>
      <c r="Q492" s="222" t="str">
        <f>IFERROR(__xludf.DUMMYFUNCTION("""COMPUTED_VALUE"""),"27/04 MASIH MENUNGGU BERKAS SURAT PU YG DI RILIS TIF, 24/04 berkas surat pu nasional belum rilis dari tif (bang arif HAI), 09/04 KOORDINASI DG PAK ARIF (TIF HAI)TERKAIT PEMBERKASAN PERIZINAN PU, 08/04 KOORDINASI DG PAK ARIF TERKAIT PERIZINAN PU, 06/04 PLA"&amp;"N HARI INI BERTEMU PAK ARIF - KOORDINASI MENGENAI PERIZINAN PU, 01/04 MASIH MELENGKAPI DOKUMEN, 30/03 MASIH MELENGKAPI DOKUMEN, 27/03 BLM ADA INFO TSEL (PAK ARIF) TERKAIT KELANJUTAN PERIZINAN, 25/03 BLM ADA INFO TSEL TERKAIT KELANJUTAN PERIZINAN, 21/03 SD"&amp;"H SUBMIT PERIZINAN KE TSEL TINGGAL MENUNGGU KONFIRMASI KELANJUTANNYA, 17/03 MASIH MENUNGGU KONFIRMASI DARI TSEL, 13/03 MASIH MENUNGGU KONFIRMASI DARI TSEL, 11/03 SUDAH SUBMIT PERIZINAN KE TSEL, 10/03 OGP MELENGKAPI DOKUMEN PERIZINAN, 03/03 MASIH BERTANYA "&amp;"TERKAIT SYARAT PERIZINAN - BLM ADA INFO, 02/03 LAGI MENANYAKAN SYARAT PERIZINANNYA APA SAJA, 27/02 MEMASTIKAN CORE DI TEMPORERAN DI JALAN TOL DAN PERIZINAN PU, 25/02 MEMASTIKAN CORE DI TEMPORERAN DI JALAN TOL DAN PERIZINAN PU, 22/2 perizinan PU NAS 06/02 "&amp;"HASIL REVIEW TSEL LANJUT PERIZINAN PU, 04/02 DONE EVAL, HOLD, ADA KENAIAKAN BOQ SEBESAR 6% DRI PLAN , DAN CPP 1,2 JT, MASUK RUAS PU NASIONAL DAN TIDAK ADA STUB CORE UPLINK MINI OLT, KRENA CORE NODE B PAKAI BB, 15/01 menunggu jadwal aanwijzing dg mitra 04/"&amp;"02 DONE EVAL, HOLD, ADA KENAIAKAN BOQ SEBESAR 6% DRI PLAN , DAN CPP 1,2 JT, MASUK RUAS PU NASIONAL DAN TIDAK ADA STUB CORE UPLINK MINI OLT, KRENA CORE NODE B PAKAI BB,, 31/01 PROSES AANWIDJZING, 30/01 MENUNGGU JADWAL AANWIDJZING DG MITRA, (24/1) plan aawi"&amp;"jdizng 27/1 (21/01) menunggu antrian untuk aanwizjing, (20/1) MJT setuju (15/1) ORDER DITERIMA 14/1 ,PLAN AANWIJDZING 21 JAN 26 (06/01)order JPP batch-2 2026 ((14/11)HOLD- tidak masuk target Optimis 2025 (13/11 mitra SMP ditunjung sebagai mitra LOP ini 3/"&amp;"11 mitra SMP ditunjung sebagai mitra LOP ini 23/10 mitra triputra menolak ambil lop ini, saat ini lagi penunjukan mitra baru 
 15/10 belum ada jadwal aanwizjing
 (08/10) menunggu jadwal aanwizjing
 (01/10) menunggu jadwal aanwizjing
 (19/09) penjadwalan u"&amp;"ntuk aanizjing
 14/01 Surat lanjut kerja oleh procurement")</f>
        <v>27/04 MASIH MENUNGGU BERKAS SURAT PU YG DI RILIS TIF, 24/04 berkas surat pu nasional belum rilis dari tif (bang arif HAI), 09/04 KOORDINASI DG PAK ARIF (TIF HAI)TERKAIT PEMBERKASAN PERIZINAN PU, 08/04 KOORDINASI DG PAK ARIF TERKAIT PERIZINAN PU, 06/04 PLAN HARI INI BERTEMU PAK ARIF - KOORDINASI MENGENAI PERIZINAN PU, 01/04 MASIH MELENGKAPI DOKUMEN, 30/03 MASIH MELENGKAPI DOKUMEN, 27/03 BLM ADA INFO TSEL (PAK ARIF) TERKAIT KELANJUTAN PERIZINAN, 25/03 BLM ADA INFO TSEL TERKAIT KELANJUTAN PERIZINAN, 21/03 SDH SUBMIT PERIZINAN KE TSEL TINGGAL MENUNGGU KONFIRMASI KELANJUTANNYA, 17/03 MASIH MENUNGGU KONFIRMASI DARI TSEL, 13/03 MASIH MENUNGGU KONFIRMASI DARI TSEL, 11/03 SUDAH SUBMIT PERIZINAN KE TSEL, 10/03 OGP MELENGKAPI DOKUMEN PERIZINAN, 03/03 MASIH BERTANYA TERKAIT SYARAT PERIZINAN - BLM ADA INFO, 02/03 LAGI MENANYAKAN SYARAT PERIZINANNYA APA SAJA, 27/02 MEMASTIKAN CORE DI TEMPORERAN DI JALAN TOL DAN PERIZINAN PU, 25/02 MEMASTIKAN CORE DI TEMPORERAN DI JALAN TOL DAN PERIZINAN PU, 22/2 perizinan PU NAS 06/02 HASIL REVIEW TSEL LANJUT PERIZINAN PU, 04/02 DONE EVAL, HOLD, ADA KENAIAKAN BOQ SEBESAR 6% DRI PLAN , DAN CPP 1,2 JT, MASUK RUAS PU NASIONAL DAN TIDAK ADA STUB CORE UPLINK MINI OLT, KRENA CORE NODE B PAKAI BB, 15/01 menunggu jadwal aanwijzing dg mitra 04/02 DONE EVAL, HOLD, ADA KENAIAKAN BOQ SEBESAR 6% DRI PLAN , DAN CPP 1,2 JT, MASUK RUAS PU NASIONAL DAN TIDAK ADA STUB CORE UPLINK MINI OLT, KRENA CORE NODE B PAKAI BB,, 31/01 PROSES AANWIDJZING, 30/01 MENUNGGU JADWAL AANWIDJZING DG MITRA, (24/1) plan aawijdizng 27/1 (21/01) menunggu antrian untuk aanwizjing, (20/1) MJT setuju (15/1) ORDER DITERIMA 14/1 ,PLAN AANWIJDZING 21 JAN 26 (06/01)order JPP batch-2 2026 ((14/11)HOLD- tidak masuk target Optimis 2025 (13/11 mitra SMP ditunjung sebagai mitra LOP ini 3/11 mitra SMP ditunjung sebagai mitra LOP ini 23/10 mitra triputra menolak ambil lop ini, saat ini lagi penunjukan mitra baru 
 15/10 belum ada jadwal aanwizjing
 (08/10) menunggu jadwal aanwizjing
 (01/10) menunggu jadwal aanwizjing
 (19/09) penjadwalan untuk aanizjing
 14/01 Surat lanjut kerja oleh procurement</v>
      </c>
      <c r="R492" s="228"/>
      <c r="S492" s="11"/>
      <c r="T492" s="11" t="str">
        <f>IFERROR(__xludf.DUMMYFUNCTION("""COMPUTED_VALUE"""),"P1")</f>
        <v>P1</v>
      </c>
      <c r="U492" s="11"/>
      <c r="V492" s="229" t="str">
        <f>IFERROR(__xludf.DUMMYFUNCTION("""COMPUTED_VALUE"""),"TEGAR")</f>
        <v>TEGAR</v>
      </c>
      <c r="W492" s="229"/>
      <c r="X492" s="229" t="str">
        <f>IFERROR(__xludf.DUMMYFUNCTION("""COMPUTED_VALUE"""),"BELUM GOLIVE")</f>
        <v>BELUM GOLIVE</v>
      </c>
      <c r="Y492" s="229"/>
      <c r="Z492" s="229"/>
      <c r="AA492" s="229"/>
      <c r="AB492" s="229"/>
      <c r="AC492" s="229"/>
      <c r="AD492" s="232"/>
      <c r="AE492" s="233"/>
      <c r="AF492" s="54"/>
      <c r="AG492" s="54"/>
      <c r="AH492" s="54">
        <v>46119.0</v>
      </c>
      <c r="AI492" s="237">
        <f>AH492-NOW()</f>
        <v>-21.3779899</v>
      </c>
      <c r="AJ492" s="229" t="str">
        <f>if(AI492&gt;=0,"in Komitmen","Out komitmen")</f>
        <v>Out komitmen</v>
      </c>
      <c r="AK492" s="229" t="s">
        <v>199</v>
      </c>
      <c r="AW492" s="234"/>
      <c r="BP492" s="11"/>
      <c r="BQ492" s="11"/>
      <c r="BR492" s="235"/>
      <c r="BV492" s="158"/>
      <c r="BY492" s="158"/>
      <c r="CB492" s="158"/>
    </row>
    <row r="493" ht="18.0" customHeight="1">
      <c r="A493" s="222">
        <f>IFERROR(__xludf.DUMMYFUNCTION("""COMPUTED_VALUE"""),2026.0)</f>
        <v>2026</v>
      </c>
      <c r="B493" s="221">
        <f>IFERROR(__xludf.DUMMYFUNCTION("""COMPUTED_VALUE"""),1.1503423E7)</f>
        <v>11503423</v>
      </c>
      <c r="C493" s="222" t="str">
        <f>IFERROR(__xludf.DUMMYFUNCTION("""COMPUTED_VALUE"""),"SMB P3I1 TALAWEH RUSDI")</f>
        <v>SMB P3I1 TALAWEH RUSDI</v>
      </c>
      <c r="D493" s="222" t="str">
        <f>IFERROR(__xludf.DUMMYFUNCTION("""COMPUTED_VALUE"""),"REGIONAL I")</f>
        <v>REGIONAL I</v>
      </c>
      <c r="E493" s="222" t="str">
        <f>IFERROR(__xludf.DUMMYFUNCTION("""COMPUTED_VALUE"""),"SUMBAR")</f>
        <v>SUMBAR</v>
      </c>
      <c r="F493" s="222" t="str">
        <f>IFERROR(__xludf.DUMMYFUNCTION("""COMPUTED_VALUE"""),"PYK")</f>
        <v>PYK</v>
      </c>
      <c r="G493" s="222" t="str">
        <f>IFERROR(__xludf.DUMMYFUNCTION("""COMPUTED_VALUE"""),"SUMBAGTENG")</f>
        <v>SUMBAGTENG</v>
      </c>
      <c r="H493" s="222" t="str">
        <f>IFERROR(__xludf.DUMMYFUNCTION("""COMPUTED_VALUE"""),"BUKIT TINGGI")</f>
        <v>BUKIT TINGGI</v>
      </c>
      <c r="I493" s="222" t="str">
        <f>IFERROR(__xludf.DUMMYFUNCTION("""COMPUTED_VALUE"""),"Batch 2")</f>
        <v>Batch 2</v>
      </c>
      <c r="J493" s="225">
        <f>IFERROR(__xludf.DUMMYFUNCTION("""COMPUTED_VALUE"""),4.0)</f>
        <v>4</v>
      </c>
      <c r="K493" s="224">
        <f>IFERROR(__xludf.DUMMYFUNCTION("""COMPUTED_VALUE"""),32.0)</f>
        <v>32</v>
      </c>
      <c r="L493" s="226">
        <f>IFERROR(__xludf.DUMMYFUNCTION("""COMPUTED_VALUE"""),1256653.0)</f>
        <v>1256653</v>
      </c>
      <c r="M493" s="227">
        <f>IFERROR(__xludf.DUMMYFUNCTION("""COMPUTED_VALUE"""),4.0212878E7)</f>
        <v>40212878</v>
      </c>
      <c r="N493" s="222" t="str">
        <f>IFERROR(__xludf.DUMMYFUNCTION("""COMPUTED_VALUE"""),"PT RATRI PRIMA MANDIRI")</f>
        <v>PT RATRI PRIMA MANDIRI</v>
      </c>
      <c r="O493" s="222" t="str">
        <f>IFERROR(__xludf.DUMMYFUNCTION("""COMPUTED_VALUE"""),"7. GOLIVE")</f>
        <v>7. GOLIVE</v>
      </c>
      <c r="P493" s="222" t="str">
        <f>IFERROR(__xludf.DUMMYFUNCTION("""COMPUTED_VALUE"""),"7.2 Golive Full / OA / DONE OTB")</f>
        <v>7.2 Golive Full / OA / DONE OTB</v>
      </c>
      <c r="Q493" s="222" t="str">
        <f>IFERROR(__xludf.DUMMYFUNCTION("""COMPUTED_VALUE"""),"(06/04) ABD Done ke SDI dan done UT (30/03) terminasi done, valins kendala modul OLT PYK Full  (16/03) terminasi done, valins kendala modul OLT PYK Full  (13/03) terminasi done, valins kendala modul OLT PYK Full (06/03) Proses create PID (05/03) proses aa"&amp;"nwijziing plan selesai 10/03   (02/03) proses aanwijziing (26/01) DROP, permintaan tsel (tidak potensial) ")</f>
        <v>(06/04) ABD Done ke SDI dan done UT (30/03) terminasi done, valins kendala modul OLT PYK Full  (16/03) terminasi done, valins kendala modul OLT PYK Full  (13/03) terminasi done, valins kendala modul OLT PYK Full (06/03) Proses create PID (05/03) proses aanwijziing plan selesai 10/03   (02/03) proses aanwijziing (26/01) DROP, permintaan tsel (tidak potensial) </v>
      </c>
      <c r="R493" s="228">
        <f>IFERROR(__xludf.DUMMYFUNCTION("""COMPUTED_VALUE"""),46119.0)</f>
        <v>46119</v>
      </c>
      <c r="S493" s="11"/>
      <c r="T493" s="73"/>
      <c r="U493" s="11" t="str">
        <f>IFERROR(__xludf.DUMMYFUNCTION("""COMPUTED_VALUE"""),"TIF-5655/2026  26KT03R107-0023")</f>
        <v>TIF-5655/2026  26KT03R107-0023</v>
      </c>
      <c r="V493" s="229" t="str">
        <f>IFERROR(__xludf.DUMMYFUNCTION("""COMPUTED_VALUE"""),"M. ARIF HAMADI")</f>
        <v>M. ARIF HAMADI</v>
      </c>
      <c r="W493" s="229" t="str">
        <f>IFERROR(__xludf.DUMMYFUNCTION("""COMPUTED_VALUE"""),"MELKO NARWADI")</f>
        <v>MELKO NARWADI</v>
      </c>
      <c r="X493" s="229" t="str">
        <f>IFERROR(__xludf.DUMMYFUNCTION("""COMPUTED_VALUE"""),"GOLIVE")</f>
        <v>GOLIVE</v>
      </c>
      <c r="Y493" s="229" t="str">
        <f>IFERROR(__xludf.DUMMYFUNCTION("""COMPUTED_VALUE"""),"DONE")</f>
        <v>DONE</v>
      </c>
      <c r="Z493" s="229" t="str">
        <f>IFERROR(__xludf.DUMMYFUNCTION("""COMPUTED_VALUE"""),"#N/A")</f>
        <v>#N/A</v>
      </c>
      <c r="AA493" s="229">
        <f>IFERROR(__xludf.DUMMYFUNCTION("""COMPUTED_VALUE"""),4.0)</f>
        <v>4</v>
      </c>
      <c r="AB493" s="229"/>
      <c r="AC493" s="229" t="str">
        <f>IFERROR(__xludf.DUMMYFUNCTION("""COMPUTED_VALUE"""),"9244152#9244157")</f>
        <v>9244152#9244157</v>
      </c>
      <c r="AD493" s="232">
        <f>IFERROR(__xludf.DUMMYFUNCTION("""COMPUTED_VALUE"""),32.0)</f>
        <v>32</v>
      </c>
      <c r="AE493" s="233">
        <f>IFERROR(__xludf.DUMMYFUNCTION("""COMPUTED_VALUE"""),46119.0)</f>
        <v>46119</v>
      </c>
      <c r="AF493" s="54"/>
      <c r="AG493" s="54"/>
      <c r="AH493" s="54">
        <v>46119.0</v>
      </c>
      <c r="AI493" s="55">
        <f>IF(OR(AH493="",AE493=""),"",AH493-AE493)</f>
        <v>0</v>
      </c>
      <c r="AJ493" s="229" t="str">
        <f>if(AI493&gt;=0,"Gl in Komitmen","Gl out komitmen")</f>
        <v>Gl in Komitmen</v>
      </c>
      <c r="AK493" s="231" t="s">
        <v>199</v>
      </c>
      <c r="AW493" s="234"/>
      <c r="BP493" s="11"/>
      <c r="BQ493" s="11"/>
      <c r="BR493" s="235"/>
      <c r="BV493" s="158"/>
      <c r="BY493" s="158"/>
      <c r="CB493" s="158"/>
    </row>
    <row r="494" ht="18.0" hidden="1" customHeight="1">
      <c r="A494" s="222">
        <f>IFERROR(__xludf.DUMMYFUNCTION("""COMPUTED_VALUE"""),2026.0)</f>
        <v>2026</v>
      </c>
      <c r="B494" s="221">
        <f>IFERROR(__xludf.DUMMYFUNCTION("""COMPUTED_VALUE"""),1.2125034E7)</f>
        <v>12125034</v>
      </c>
      <c r="C494" s="222" t="str">
        <f>IFERROR(__xludf.DUMMYFUNCTION("""COMPUTED_VALUE"""),"LPG PT4 JPP DESA GEBANG CSF TKB")</f>
        <v>LPG PT4 JPP DESA GEBANG CSF TKB</v>
      </c>
      <c r="D494" s="222" t="str">
        <f>IFERROR(__xludf.DUMMYFUNCTION("""COMPUTED_VALUE"""),"REGIONAL I")</f>
        <v>REGIONAL I</v>
      </c>
      <c r="E494" s="222" t="str">
        <f>IFERROR(__xludf.DUMMYFUNCTION("""COMPUTED_VALUE"""),"LAMPUNG")</f>
        <v>LAMPUNG</v>
      </c>
      <c r="F494" s="222" t="str">
        <f>IFERROR(__xludf.DUMMYFUNCTION("""COMPUTED_VALUE"""),"TKB")</f>
        <v>TKB</v>
      </c>
      <c r="G494" s="222" t="str">
        <f>IFERROR(__xludf.DUMMYFUNCTION("""COMPUTED_VALUE"""),"SUMBAGSEL")</f>
        <v>SUMBAGSEL</v>
      </c>
      <c r="H494" s="222" t="str">
        <f>IFERROR(__xludf.DUMMYFUNCTION("""COMPUTED_VALUE"""),"LAMPUNG")</f>
        <v>LAMPUNG</v>
      </c>
      <c r="I494" s="222" t="str">
        <f>IFERROR(__xludf.DUMMYFUNCTION("""COMPUTED_VALUE"""),"Batch 2")</f>
        <v>Batch 2</v>
      </c>
      <c r="J494" s="225">
        <f>IFERROR(__xludf.DUMMYFUNCTION("""COMPUTED_VALUE"""),60.0)</f>
        <v>60</v>
      </c>
      <c r="K494" s="224">
        <f>IFERROR(__xludf.DUMMYFUNCTION("""COMPUTED_VALUE"""),480.0)</f>
        <v>480</v>
      </c>
      <c r="L494" s="226">
        <f>IFERROR(__xludf.DUMMYFUNCTION("""COMPUTED_VALUE"""),1256096.0)</f>
        <v>1256096</v>
      </c>
      <c r="M494" s="227">
        <f>IFERROR(__xludf.DUMMYFUNCTION("""COMPUTED_VALUE"""),6.02925907E8)</f>
        <v>602925907</v>
      </c>
      <c r="N494" s="222" t="str">
        <f>IFERROR(__xludf.DUMMYFUNCTION("""COMPUTED_VALUE"""),"PT SARANA MITRA PERSADA")</f>
        <v>PT SARANA MITRA PERSADA</v>
      </c>
      <c r="O494" s="222" t="str">
        <f>IFERROR(__xludf.DUMMYFUNCTION("""COMPUTED_VALUE"""),"4. MATDEL")</f>
        <v>4. MATDEL</v>
      </c>
      <c r="P494" s="222" t="str">
        <f>IFERROR(__xludf.DUMMYFUNCTION("""COMPUTED_VALUE"""),"4.5 Material On Site")</f>
        <v>4.5 Material On Site</v>
      </c>
      <c r="Q494" s="222" t="str">
        <f>IFERROR(__xludf.DUMMYFUNCTION("""COMPUTED_VALUE"""),"27/4 Proses Material On Site, 24/4 plan matdel 25/4, 20/4 terkendala operasional dari mitra, 13/04 Done PR PO , proses matdel 15 Apr- butuh new mini OLT
06/04 Proses PR PO 2/4 proses pengajuan PR/PO dan perizinan ulang 
25/3 proses pengajuan PR/PO 13/3 pr"&amp;"oses pengajuan PR/PO,
2/3proses pengajuan PR/PO,
27/2 proses pengajuan PR/PO,, 25/2 PROGRES PERIZINAN 23/2 Proses pengajuan PR/PO 
18/2 konfirmasi ke TIF  14/1 butuh penambahan mini OLT")</f>
        <v>27/4 Proses Material On Site, 24/4 plan matdel 25/4, 20/4 terkendala operasional dari mitra, 13/04 Done PR PO , proses matdel 15 Apr- butuh new mini OLT
06/04 Proses PR PO 2/4 proses pengajuan PR/PO dan perizinan ulang 
25/3 proses pengajuan PR/PO 13/3 proses pengajuan PR/PO,
2/3proses pengajuan PR/PO,
27/2 proses pengajuan PR/PO,, 25/2 PROGRES PERIZINAN 23/2 Proses pengajuan PR/PO 
18/2 konfirmasi ke TIF  14/1 butuh penambahan mini OLT</v>
      </c>
      <c r="R494" s="228"/>
      <c r="S494" s="11" t="str">
        <f>IFERROR(__xludf.DUMMYFUNCTION("""COMPUTED_VALUE"""),"MEI")</f>
        <v>MEI</v>
      </c>
      <c r="T494" s="11" t="str">
        <f>IFERROR(__xludf.DUMMYFUNCTION("""COMPUTED_VALUE"""),"P1")</f>
        <v>P1</v>
      </c>
      <c r="U494" s="11" t="str">
        <f>IFERROR(__xludf.DUMMYFUNCTION("""COMPUTED_VALUE"""),"TIF-6141/2026")</f>
        <v>TIF-6141/2026</v>
      </c>
      <c r="V494" s="229"/>
      <c r="W494" s="229"/>
      <c r="X494" s="229" t="str">
        <f>IFERROR(__xludf.DUMMYFUNCTION("""COMPUTED_VALUE"""),"BELUM GOLIVE")</f>
        <v>BELUM GOLIVE</v>
      </c>
      <c r="Y494" s="229" t="str">
        <f>IFERROR(__xludf.DUMMYFUNCTION("""COMPUTED_VALUE"""),"PORT OLT Penuh")</f>
        <v>PORT OLT Penuh</v>
      </c>
      <c r="Z494" s="229"/>
      <c r="AA494" s="229"/>
      <c r="AB494" s="229"/>
      <c r="AC494" s="229"/>
      <c r="AD494" s="232"/>
      <c r="AE494" s="233"/>
      <c r="AF494" s="54"/>
      <c r="AG494" s="54"/>
      <c r="AH494" s="54"/>
      <c r="AI494" s="55" t="str">
        <f>IF(OR(R494="",AE494=""),"",R494-AE494)</f>
        <v/>
      </c>
      <c r="AW494" s="234"/>
      <c r="BP494" s="11"/>
      <c r="BQ494" s="11"/>
      <c r="BR494" s="235"/>
      <c r="BV494" s="158"/>
      <c r="BY494" s="158"/>
      <c r="CB494" s="158"/>
    </row>
    <row r="495" ht="18.0" hidden="1" customHeight="1">
      <c r="A495" s="222">
        <f>IFERROR(__xludf.DUMMYFUNCTION("""COMPUTED_VALUE"""),2026.0)</f>
        <v>2026</v>
      </c>
      <c r="B495" s="221">
        <f>IFERROR(__xludf.DUMMYFUNCTION("""COMPUTED_VALUE"""),1.1389541E7)</f>
        <v>11389541</v>
      </c>
      <c r="C495" s="222" t="str">
        <f>IFERROR(__xludf.DUMMYFUNCTION("""COMPUTED_VALUE"""),"LPG PT3 JPP TANGGAMUS_9392 TGP")</f>
        <v>LPG PT3 JPP TANGGAMUS_9392 TGP</v>
      </c>
      <c r="D495" s="222" t="str">
        <f>IFERROR(__xludf.DUMMYFUNCTION("""COMPUTED_VALUE"""),"REGIONAL I")</f>
        <v>REGIONAL I</v>
      </c>
      <c r="E495" s="222" t="str">
        <f>IFERROR(__xludf.DUMMYFUNCTION("""COMPUTED_VALUE"""),"LAMPUNG")</f>
        <v>LAMPUNG</v>
      </c>
      <c r="F495" s="222" t="str">
        <f>IFERROR(__xludf.DUMMYFUNCTION("""COMPUTED_VALUE"""),"TGP")</f>
        <v>TGP</v>
      </c>
      <c r="G495" s="222" t="str">
        <f>IFERROR(__xludf.DUMMYFUNCTION("""COMPUTED_VALUE"""),"SUMBAGSEL")</f>
        <v>SUMBAGSEL</v>
      </c>
      <c r="H495" s="222" t="str">
        <f>IFERROR(__xludf.DUMMYFUNCTION("""COMPUTED_VALUE"""),"LAMPUNG")</f>
        <v>LAMPUNG</v>
      </c>
      <c r="I495" s="222" t="str">
        <f>IFERROR(__xludf.DUMMYFUNCTION("""COMPUTED_VALUE"""),"Batch 2")</f>
        <v>Batch 2</v>
      </c>
      <c r="J495" s="225">
        <f>IFERROR(__xludf.DUMMYFUNCTION("""COMPUTED_VALUE"""),4.0)</f>
        <v>4</v>
      </c>
      <c r="K495" s="224">
        <f>IFERROR(__xludf.DUMMYFUNCTION("""COMPUTED_VALUE"""),32.0)</f>
        <v>32</v>
      </c>
      <c r="L495" s="226">
        <f>IFERROR(__xludf.DUMMYFUNCTION("""COMPUTED_VALUE"""),1255758.0)</f>
        <v>1255758</v>
      </c>
      <c r="M495" s="227">
        <f>IFERROR(__xludf.DUMMYFUNCTION("""COMPUTED_VALUE"""),4.0184235E7)</f>
        <v>40184235</v>
      </c>
      <c r="N495" s="222" t="str">
        <f>IFERROR(__xludf.DUMMYFUNCTION("""COMPUTED_VALUE"""),"PT GARINDO TECHNO MANDIRI")</f>
        <v>PT GARINDO TECHNO MANDIRI</v>
      </c>
      <c r="O495" s="222" t="str">
        <f>IFERROR(__xludf.DUMMYFUNCTION("""COMPUTED_VALUE"""),"0. DROP")</f>
        <v>0. DROP</v>
      </c>
      <c r="P495" s="222" t="str">
        <f>IFERROR(__xludf.DUMMYFUNCTION("""COMPUTED_VALUE"""),"0.2 Tidak Dapat Izin Warga/Kades/Lurah/Developer")</f>
        <v>0.2 Tidak Dapat Izin Warga/Kades/Lurah/Developer</v>
      </c>
      <c r="Q495" s="222" t="str">
        <f>IFERROR(__xludf.DUMMYFUNCTION("""COMPUTED_VALUE"""),"19/1 TIDAK DAPAT IZIN LURAH")</f>
        <v>19/1 TIDAK DAPAT IZIN LURAH</v>
      </c>
      <c r="R495" s="228"/>
      <c r="S495" s="11"/>
      <c r="T495" s="11"/>
      <c r="U495" s="11" t="str">
        <f>IFERROR(__xludf.DUMMYFUNCTION("""COMPUTED_VALUE"""),"W02-541/2025")</f>
        <v>W02-541/2025</v>
      </c>
      <c r="V495" s="229"/>
      <c r="W495" s="229"/>
      <c r="X495" s="229" t="str">
        <f>IFERROR(__xludf.DUMMYFUNCTION("""COMPUTED_VALUE"""),"BELUM GOLIVE")</f>
        <v>BELUM GOLIVE</v>
      </c>
      <c r="Y495" s="229"/>
      <c r="Z495" s="229" t="str">
        <f>IFERROR(__xludf.DUMMYFUNCTION("""COMPUTED_VALUE"""),"#N/A")</f>
        <v>#N/A</v>
      </c>
      <c r="AA495" s="229"/>
      <c r="AB495" s="229"/>
      <c r="AC495" s="229"/>
      <c r="AD495" s="232"/>
      <c r="AE495" s="233"/>
      <c r="AF495" s="54" t="str">
        <f>IFERROR(__xludf.DUMMYFUNCTION("""COMPUTED_VALUE"""),"Draft BA DROP")</f>
        <v>Draft BA DROP</v>
      </c>
      <c r="AG495" s="54"/>
      <c r="AH495" s="54">
        <v>46114.0</v>
      </c>
      <c r="AI495" s="237">
        <f>AH495-NOW()</f>
        <v>-26.3779899</v>
      </c>
      <c r="AJ495" s="229" t="str">
        <f>if(AI495&gt;=0,"in Komitmen","Out komitmen")</f>
        <v>Out komitmen</v>
      </c>
      <c r="AK495" s="229" t="s">
        <v>199</v>
      </c>
      <c r="AW495" s="234"/>
      <c r="BP495" s="11"/>
      <c r="BQ495" s="11"/>
      <c r="BR495" s="235"/>
      <c r="BV495" s="158"/>
      <c r="BY495" s="158"/>
      <c r="CB495" s="158"/>
    </row>
    <row r="496" ht="18.0" customHeight="1">
      <c r="A496" s="222">
        <f>IFERROR(__xludf.DUMMYFUNCTION("""COMPUTED_VALUE"""),2026.0)</f>
        <v>2026</v>
      </c>
      <c r="B496" s="221">
        <f>IFERROR(__xludf.DUMMYFUNCTION("""COMPUTED_VALUE"""),1.2487853E7)</f>
        <v>12487853</v>
      </c>
      <c r="C496" s="222" t="str">
        <f>IFERROR(__xludf.DUMMYFUNCTION("""COMPUTED_VALUE"""),"RDR JPP PT3 SIAK_73279")</f>
        <v>RDR JPP PT3 SIAK_73279</v>
      </c>
      <c r="D496" s="222" t="str">
        <f>IFERROR(__xludf.DUMMYFUNCTION("""COMPUTED_VALUE"""),"REGIONAL I")</f>
        <v>REGIONAL I</v>
      </c>
      <c r="E496" s="222" t="str">
        <f>IFERROR(__xludf.DUMMYFUNCTION("""COMPUTED_VALUE"""),"RIDAR")</f>
        <v>RIDAR</v>
      </c>
      <c r="F496" s="222" t="str">
        <f>IFERROR(__xludf.DUMMYFUNCTION("""COMPUTED_VALUE"""),"SAK")</f>
        <v>SAK</v>
      </c>
      <c r="G496" s="222" t="str">
        <f>IFERROR(__xludf.DUMMYFUNCTION("""COMPUTED_VALUE"""),"SUMBAGTENG")</f>
        <v>SUMBAGTENG</v>
      </c>
      <c r="H496" s="222" t="str">
        <f>IFERROR(__xludf.DUMMYFUNCTION("""COMPUTED_VALUE"""),"PEKANBARU")</f>
        <v>PEKANBARU</v>
      </c>
      <c r="I496" s="222" t="str">
        <f>IFERROR(__xludf.DUMMYFUNCTION("""COMPUTED_VALUE"""),"Batch 2")</f>
        <v>Batch 2</v>
      </c>
      <c r="J496" s="225">
        <f>IFERROR(__xludf.DUMMYFUNCTION("""COMPUTED_VALUE"""),4.0)</f>
        <v>4</v>
      </c>
      <c r="K496" s="224">
        <f>IFERROR(__xludf.DUMMYFUNCTION("""COMPUTED_VALUE"""),32.0)</f>
        <v>32</v>
      </c>
      <c r="L496" s="226">
        <f>IFERROR(__xludf.DUMMYFUNCTION("""COMPUTED_VALUE"""),1252318.0)</f>
        <v>1252318</v>
      </c>
      <c r="M496" s="227">
        <f>IFERROR(__xludf.DUMMYFUNCTION("""COMPUTED_VALUE"""),4.0074159E7)</f>
        <v>40074159</v>
      </c>
      <c r="N496" s="222" t="str">
        <f>IFERROR(__xludf.DUMMYFUNCTION("""COMPUTED_VALUE"""),"PT UPAYA TEKNIK")</f>
        <v>PT UPAYA TEKNIK</v>
      </c>
      <c r="O496" s="222" t="str">
        <f>IFERROR(__xludf.DUMMYFUNCTION("""COMPUTED_VALUE"""),"7. GOLIVE")</f>
        <v>7. GOLIVE</v>
      </c>
      <c r="P496" s="222" t="str">
        <f>IFERROR(__xludf.DUMMYFUNCTION("""COMPUTED_VALUE"""),"7.2 Golive Full / OA / DONE OTB")</f>
        <v>7.2 Golive Full / OA / DONE OTB</v>
      </c>
      <c r="Q496" s="222" t="str">
        <f>IFERROR(__xludf.DUMMYFUNCTION("""COMPUTED_VALUE"""),"27/03 Pemasangan dan terminasi ODP 16/03 Pemasangan ODP 05/03 Penanaman tiang dan penarikan kabel 23/02 Penanaman tiang 09/02 Antrian Review 29/01 Antrian Review hasil anwidzing (07/01) valins (07/01) Persiapan")</f>
        <v>27/03 Pemasangan dan terminasi ODP 16/03 Pemasangan ODP 05/03 Penanaman tiang dan penarikan kabel 23/02 Penanaman tiang 09/02 Antrian Review 29/01 Antrian Review hasil anwidzing (07/01) valins (07/01) Persiapan</v>
      </c>
      <c r="R496" s="228">
        <f>IFERROR(__xludf.DUMMYFUNCTION("""COMPUTED_VALUE"""),46114.0)</f>
        <v>46114</v>
      </c>
      <c r="S496" s="11" t="str">
        <f>IFERROR(__xludf.DUMMYFUNCTION("""COMPUTED_VALUE"""),"MAR")</f>
        <v>MAR</v>
      </c>
      <c r="T496" s="73"/>
      <c r="U496" s="11" t="str">
        <f>IFERROR(__xludf.DUMMYFUNCTION("""COMPUTED_VALUE"""),"W08-89/2026")</f>
        <v>W08-89/2026</v>
      </c>
      <c r="V496" s="229" t="str">
        <f>IFERROR(__xludf.DUMMYFUNCTION("""COMPUTED_VALUE"""),"GUSKAR DIYONAL")</f>
        <v>GUSKAR DIYONAL</v>
      </c>
      <c r="W496" s="229" t="str">
        <f>IFERROR(__xludf.DUMMYFUNCTION("""COMPUTED_VALUE"""),"ANZALA SAKINAH")</f>
        <v>ANZALA SAKINAH</v>
      </c>
      <c r="X496" s="229" t="str">
        <f>IFERROR(__xludf.DUMMYFUNCTION("""COMPUTED_VALUE"""),"GOLIVE")</f>
        <v>GOLIVE</v>
      </c>
      <c r="Y496" s="229" t="str">
        <f>IFERROR(__xludf.DUMMYFUNCTION("""COMPUTED_VALUE"""),"DONE")</f>
        <v>DONE</v>
      </c>
      <c r="Z496" s="229" t="str">
        <f>IFERROR(__xludf.DUMMYFUNCTION("""COMPUTED_VALUE"""),"#N/A")</f>
        <v>#N/A</v>
      </c>
      <c r="AA496" s="229">
        <f>IFERROR(__xludf.DUMMYFUNCTION("""COMPUTED_VALUE"""),3.0)</f>
        <v>3</v>
      </c>
      <c r="AB496" s="229"/>
      <c r="AC496" s="229" t="str">
        <f>IFERROR(__xludf.DUMMYFUNCTION("""COMPUTED_VALUE"""),"9235543#9235548")</f>
        <v>9235543#9235548</v>
      </c>
      <c r="AD496" s="232">
        <f>IFERROR(__xludf.DUMMYFUNCTION("""COMPUTED_VALUE"""),24.0)</f>
        <v>24</v>
      </c>
      <c r="AE496" s="233">
        <f>IFERROR(__xludf.DUMMYFUNCTION("""COMPUTED_VALUE"""),46114.0)</f>
        <v>46114</v>
      </c>
      <c r="AF496" s="54"/>
      <c r="AG496" s="54"/>
      <c r="AH496" s="54">
        <v>46114.0</v>
      </c>
      <c r="AI496" s="55">
        <f>IF(OR(AH496="",AE496=""),"",AH496-AE496)</f>
        <v>0</v>
      </c>
      <c r="AJ496" s="229" t="str">
        <f>if(AI496&gt;=0,"Gl in Komitmen","Gl out komitmen")</f>
        <v>Gl in Komitmen</v>
      </c>
      <c r="AK496" s="231" t="s">
        <v>199</v>
      </c>
      <c r="AW496" s="234"/>
      <c r="BP496" s="11"/>
      <c r="BQ496" s="11"/>
      <c r="BR496" s="235"/>
      <c r="BV496" s="158"/>
      <c r="BY496" s="158"/>
      <c r="CB496" s="158"/>
    </row>
    <row r="497" ht="18.0" customHeight="1">
      <c r="A497" s="222">
        <f>IFERROR(__xludf.DUMMYFUNCTION("""COMPUTED_VALUE"""),2026.0)</f>
        <v>2026</v>
      </c>
      <c r="B497" s="221">
        <f>IFERROR(__xludf.DUMMYFUNCTION("""COMPUTED_VALUE"""),1.0892233E7)</f>
        <v>10892233</v>
      </c>
      <c r="C497" s="222" t="str">
        <f>IFERROR(__xludf.DUMMYFUNCTION("""COMPUTED_VALUE"""),"SMB P7I2 SCATTER JL. SYECH ABDUL LATIF ZALDI MCP")</f>
        <v>SMB P7I2 SCATTER JL. SYECH ABDUL LATIF ZALDI MCP</v>
      </c>
      <c r="D497" s="222" t="str">
        <f>IFERROR(__xludf.DUMMYFUNCTION("""COMPUTED_VALUE"""),"REGIONAL I")</f>
        <v>REGIONAL I</v>
      </c>
      <c r="E497" s="222" t="str">
        <f>IFERROR(__xludf.DUMMYFUNCTION("""COMPUTED_VALUE"""),"SUMBAR")</f>
        <v>SUMBAR</v>
      </c>
      <c r="F497" s="222" t="str">
        <f>IFERROR(__xludf.DUMMYFUNCTION("""COMPUTED_VALUE"""),"PAM")</f>
        <v>PAM</v>
      </c>
      <c r="G497" s="222" t="str">
        <f>IFERROR(__xludf.DUMMYFUNCTION("""COMPUTED_VALUE"""),"SUMBAGTENG")</f>
        <v>SUMBAGTENG</v>
      </c>
      <c r="H497" s="222" t="str">
        <f>IFERROR(__xludf.DUMMYFUNCTION("""COMPUTED_VALUE"""),"BUKIT TINGGI")</f>
        <v>BUKIT TINGGI</v>
      </c>
      <c r="I497" s="222" t="str">
        <f>IFERROR(__xludf.DUMMYFUNCTION("""COMPUTED_VALUE"""),"Batch 2")</f>
        <v>Batch 2</v>
      </c>
      <c r="J497" s="225">
        <f>IFERROR(__xludf.DUMMYFUNCTION("""COMPUTED_VALUE"""),2.0)</f>
        <v>2</v>
      </c>
      <c r="K497" s="224">
        <f>IFERROR(__xludf.DUMMYFUNCTION("""COMPUTED_VALUE"""),16.0)</f>
        <v>16</v>
      </c>
      <c r="L497" s="226">
        <f>IFERROR(__xludf.DUMMYFUNCTION("""COMPUTED_VALUE"""),1251590.0)</f>
        <v>1251590</v>
      </c>
      <c r="M497" s="227">
        <f>IFERROR(__xludf.DUMMYFUNCTION("""COMPUTED_VALUE"""),2.0025437E7)</f>
        <v>20025437</v>
      </c>
      <c r="N497" s="222" t="str">
        <f>IFERROR(__xludf.DUMMYFUNCTION("""COMPUTED_VALUE"""),"PT TRI LESMA INDONESIA")</f>
        <v>PT TRI LESMA INDONESIA</v>
      </c>
      <c r="O497" s="222" t="str">
        <f>IFERROR(__xludf.DUMMYFUNCTION("""COMPUTED_VALUE"""),"8. UJI TERIMA")</f>
        <v>8. UJI TERIMA</v>
      </c>
      <c r="P497" s="222" t="str">
        <f>IFERROR(__xludf.DUMMYFUNCTION("""COMPUTED_VALUE"""),"8.1 Proses UT")</f>
        <v>8.1 Proses UT</v>
      </c>
      <c r="Q497" s="222" t="str">
        <f>IFERROR(__xludf.DUMMYFUNCTION("""COMPUTED_VALUE"""),"(21/01) ABD mancore, HOLD GL karena ada ctt UT (07/01) Persiapan")</f>
        <v>(21/01) ABD mancore, HOLD GL karena ada ctt UT (07/01) Persiapan</v>
      </c>
      <c r="R497" s="228"/>
      <c r="S497" s="11"/>
      <c r="T497" s="11"/>
      <c r="U497" s="11" t="str">
        <f>IFERROR(__xludf.DUMMYFUNCTION("""COMPUTED_VALUE"""),"W10-1752/2025 25KT03R158-0492")</f>
        <v>W10-1752/2025 25KT03R158-0492</v>
      </c>
      <c r="V497" s="229" t="str">
        <f>IFERROR(__xludf.DUMMYFUNCTION("""COMPUTED_VALUE"""),"ALDI EFENDI")</f>
        <v>ALDI EFENDI</v>
      </c>
      <c r="W497" s="229" t="str">
        <f>IFERROR(__xludf.DUMMYFUNCTION("""COMPUTED_VALUE"""),"MELKO NARWADI")</f>
        <v>MELKO NARWADI</v>
      </c>
      <c r="X497" s="229" t="str">
        <f>IFERROR(__xludf.DUMMYFUNCTION("""COMPUTED_VALUE"""),"GOLIVE")</f>
        <v>GOLIVE</v>
      </c>
      <c r="Y497" s="229" t="str">
        <f>IFERROR(__xludf.DUMMYFUNCTION("""COMPUTED_VALUE"""),"DONE")</f>
        <v>DONE</v>
      </c>
      <c r="Z497" s="229" t="str">
        <f>IFERROR(__xludf.DUMMYFUNCTION("""COMPUTED_VALUE"""),"#N/A")</f>
        <v>#N/A</v>
      </c>
      <c r="AA497" s="229">
        <f>IFERROR(__xludf.DUMMYFUNCTION("""COMPUTED_VALUE"""),2.0)</f>
        <v>2</v>
      </c>
      <c r="AB497" s="229"/>
      <c r="AC497" s="229" t="str">
        <f>IFERROR(__xludf.DUMMYFUNCTION("""COMPUTED_VALUE"""),"9001121#9001126")</f>
        <v>9001121#9001126</v>
      </c>
      <c r="AD497" s="232">
        <f>IFERROR(__xludf.DUMMYFUNCTION("""COMPUTED_VALUE"""),16.0)</f>
        <v>16</v>
      </c>
      <c r="AE497" s="233">
        <f>IFERROR(__xludf.DUMMYFUNCTION("""COMPUTED_VALUE"""),46050.0)</f>
        <v>46050</v>
      </c>
      <c r="AF497" s="54"/>
      <c r="AG497" s="54"/>
      <c r="AH497" s="54"/>
      <c r="AI497" s="55" t="str">
        <f t="shared" ref="AI497:AI502" si="61">IF(OR(R497="",AE497=""),"",R497-AE497)</f>
        <v/>
      </c>
      <c r="AW497" s="234"/>
      <c r="BP497" s="11"/>
      <c r="BQ497" s="11"/>
      <c r="BR497" s="235"/>
      <c r="BV497" s="158"/>
      <c r="BY497" s="158"/>
      <c r="CB497" s="158"/>
    </row>
    <row r="498" ht="18.0" hidden="1" customHeight="1">
      <c r="A498" s="222">
        <f>IFERROR(__xludf.DUMMYFUNCTION("""COMPUTED_VALUE"""),2026.0)</f>
        <v>2026</v>
      </c>
      <c r="B498" s="221">
        <f>IFERROR(__xludf.DUMMYFUNCTION("""COMPUTED_VALUE"""),1.1197085E7)</f>
        <v>11197085</v>
      </c>
      <c r="C498" s="222" t="str">
        <f>IFERROR(__xludf.DUMMYFUNCTION("""COMPUTED_VALUE"""),"MDN PT3 P7I7 CTD-FU SCATER GG.BERSAMA")</f>
        <v>MDN PT3 P7I7 CTD-FU SCATER GG.BERSAMA</v>
      </c>
      <c r="D498" s="222" t="str">
        <f>IFERROR(__xludf.DUMMYFUNCTION("""COMPUTED_VALUE"""),"REGIONAL I")</f>
        <v>REGIONAL I</v>
      </c>
      <c r="E498" s="222" t="str">
        <f>IFERROR(__xludf.DUMMYFUNCTION("""COMPUTED_VALUE"""),"MEDAN")</f>
        <v>MEDAN</v>
      </c>
      <c r="F498" s="222" t="str">
        <f>IFERROR(__xludf.DUMMYFUNCTION("""COMPUTED_VALUE"""),"CTD")</f>
        <v>CTD</v>
      </c>
      <c r="G498" s="222" t="str">
        <f>IFERROR(__xludf.DUMMYFUNCTION("""COMPUTED_VALUE"""),"SUMBAGUT")</f>
        <v>SUMBAGUT</v>
      </c>
      <c r="H498" s="222" t="str">
        <f>IFERROR(__xludf.DUMMYFUNCTION("""COMPUTED_VALUE"""),"MEDAN")</f>
        <v>MEDAN</v>
      </c>
      <c r="I498" s="222" t="str">
        <f>IFERROR(__xludf.DUMMYFUNCTION("""COMPUTED_VALUE"""),"Batch 2")</f>
        <v>Batch 2</v>
      </c>
      <c r="J498" s="225">
        <f>IFERROR(__xludf.DUMMYFUNCTION("""COMPUTED_VALUE"""),1.0)</f>
        <v>1</v>
      </c>
      <c r="K498" s="224">
        <f>IFERROR(__xludf.DUMMYFUNCTION("""COMPUTED_VALUE"""),8.0)</f>
        <v>8</v>
      </c>
      <c r="L498" s="226">
        <f>IFERROR(__xludf.DUMMYFUNCTION("""COMPUTED_VALUE"""),1414841.0)</f>
        <v>1414841</v>
      </c>
      <c r="M498" s="227">
        <f>IFERROR(__xludf.DUMMYFUNCTION("""COMPUTED_VALUE"""),1.1318727E7)</f>
        <v>11318727</v>
      </c>
      <c r="N498" s="222" t="str">
        <f>IFERROR(__xludf.DUMMYFUNCTION("""COMPUTED_VALUE"""),"PT TRIPOLA PANATA")</f>
        <v>PT TRIPOLA PANATA</v>
      </c>
      <c r="O498" s="222" t="str">
        <f>IFERROR(__xludf.DUMMYFUNCTION("""COMPUTED_VALUE"""),"0. DROP")</f>
        <v>0. DROP</v>
      </c>
      <c r="P498" s="222" t="str">
        <f>IFERROR(__xludf.DUMMYFUNCTION("""COMPUTED_VALUE"""),"0.4 CPP Tinggi Acc ED TIF")</f>
        <v>0.4 CPP Tinggi Acc ED TIF</v>
      </c>
      <c r="Q498" s="222" t="str">
        <f>IFERROR(__xludf.DUMMYFUNCTION("""COMPUTED_VALUE"""),"20/09 Feeder Habis
15/09 proses aanwijzing")</f>
        <v>20/09 Feeder Habis
15/09 proses aanwijzing</v>
      </c>
      <c r="R498" s="228"/>
      <c r="S498" s="11"/>
      <c r="T498" s="11"/>
      <c r="U498" s="11"/>
      <c r="V498" s="229"/>
      <c r="W498" s="229"/>
      <c r="X498" s="229" t="str">
        <f>IFERROR(__xludf.DUMMYFUNCTION("""COMPUTED_VALUE"""),"BELUM GOLIVE")</f>
        <v>BELUM GOLIVE</v>
      </c>
      <c r="Y498" s="229"/>
      <c r="Z498" s="229" t="str">
        <f>IFERROR(__xludf.DUMMYFUNCTION("""COMPUTED_VALUE"""),"#N/A")</f>
        <v>#N/A</v>
      </c>
      <c r="AA498" s="229"/>
      <c r="AB498" s="229"/>
      <c r="AC498" s="229"/>
      <c r="AD498" s="232"/>
      <c r="AE498" s="233"/>
      <c r="AF498" s="54" t="str">
        <f>IFERROR(__xludf.DUMMYFUNCTION("""COMPUTED_VALUE"""),"Draft BA DROP")</f>
        <v>Draft BA DROP</v>
      </c>
      <c r="AG498" s="54"/>
      <c r="AH498" s="54"/>
      <c r="AI498" s="55" t="str">
        <f t="shared" si="61"/>
        <v/>
      </c>
      <c r="AW498" s="234"/>
      <c r="BP498" s="11"/>
      <c r="BQ498" s="11"/>
      <c r="BR498" s="235"/>
      <c r="BV498" s="158"/>
      <c r="BY498" s="158"/>
      <c r="CB498" s="158"/>
    </row>
    <row r="499" ht="18.0" hidden="1" customHeight="1">
      <c r="A499" s="222">
        <f>IFERROR(__xludf.DUMMYFUNCTION("""COMPUTED_VALUE"""),2026.0)</f>
        <v>2026</v>
      </c>
      <c r="B499" s="221">
        <f>IFERROR(__xludf.DUMMYFUNCTION("""COMPUTED_VALUE"""),1.1424107E7)</f>
        <v>11424107</v>
      </c>
      <c r="C499" s="222" t="str">
        <f>IFERROR(__xludf.DUMMYFUNCTION("""COMPUTED_VALUE"""),"MDN PT3 KUL-FL Gg.INPRES BUKIT LAWANG")</f>
        <v>MDN PT3 KUL-FL Gg.INPRES BUKIT LAWANG</v>
      </c>
      <c r="D499" s="222" t="str">
        <f>IFERROR(__xludf.DUMMYFUNCTION("""COMPUTED_VALUE"""),"REGIONAL I")</f>
        <v>REGIONAL I</v>
      </c>
      <c r="E499" s="222" t="str">
        <f>IFERROR(__xludf.DUMMYFUNCTION("""COMPUTED_VALUE"""),"MEDAN")</f>
        <v>MEDAN</v>
      </c>
      <c r="F499" s="222" t="str">
        <f>IFERROR(__xludf.DUMMYFUNCTION("""COMPUTED_VALUE"""),"KUL")</f>
        <v>KUL</v>
      </c>
      <c r="G499" s="222" t="str">
        <f>IFERROR(__xludf.DUMMYFUNCTION("""COMPUTED_VALUE"""),"SUMBAGUT")</f>
        <v>SUMBAGUT</v>
      </c>
      <c r="H499" s="222" t="str">
        <f>IFERROR(__xludf.DUMMYFUNCTION("""COMPUTED_VALUE"""),"BINJAI")</f>
        <v>BINJAI</v>
      </c>
      <c r="I499" s="222" t="str">
        <f>IFERROR(__xludf.DUMMYFUNCTION("""COMPUTED_VALUE"""),"Batch 2")</f>
        <v>Batch 2</v>
      </c>
      <c r="J499" s="225">
        <f>IFERROR(__xludf.DUMMYFUNCTION("""COMPUTED_VALUE"""),8.0)</f>
        <v>8</v>
      </c>
      <c r="K499" s="224">
        <f>IFERROR(__xludf.DUMMYFUNCTION("""COMPUTED_VALUE"""),64.0)</f>
        <v>64</v>
      </c>
      <c r="L499" s="226">
        <f>IFERROR(__xludf.DUMMYFUNCTION("""COMPUTED_VALUE"""),1251238.0)</f>
        <v>1251238</v>
      </c>
      <c r="M499" s="227">
        <f>IFERROR(__xludf.DUMMYFUNCTION("""COMPUTED_VALUE"""),8.007917E7)</f>
        <v>80079170</v>
      </c>
      <c r="N499" s="222" t="str">
        <f>IFERROR(__xludf.DUMMYFUNCTION("""COMPUTED_VALUE"""),"PT KENCANA RAYA INDONESIA")</f>
        <v>PT KENCANA RAYA INDONESIA</v>
      </c>
      <c r="O499" s="222" t="str">
        <f>IFERROR(__xludf.DUMMYFUNCTION("""COMPUTED_VALUE"""),"0. DROP")</f>
        <v>0. DROP</v>
      </c>
      <c r="P499" s="222" t="str">
        <f>IFERROR(__xludf.DUMMYFUNCTION("""COMPUTED_VALUE"""),"0.4 CPP Tinggi Acc ED TIF")</f>
        <v>0.4 CPP Tinggi Acc ED TIF</v>
      </c>
      <c r="Q499" s="222" t="str">
        <f>IFERROR(__xludf.DUMMYFUNCTION("""COMPUTED_VALUE"""),"(13/02) feeder distribusi ready (07/01) Persiapan")</f>
        <v>(13/02) feeder distribusi ready (07/01) Persiapan</v>
      </c>
      <c r="R499" s="228"/>
      <c r="S499" s="11"/>
      <c r="T499" s="11"/>
      <c r="U499" s="11"/>
      <c r="V499" s="229"/>
      <c r="W499" s="229"/>
      <c r="X499" s="229" t="str">
        <f>IFERROR(__xludf.DUMMYFUNCTION("""COMPUTED_VALUE"""),"BELUM GOLIVE")</f>
        <v>BELUM GOLIVE</v>
      </c>
      <c r="Y499" s="229"/>
      <c r="Z499" s="229" t="str">
        <f>IFERROR(__xludf.DUMMYFUNCTION("""COMPUTED_VALUE"""),"#N/A")</f>
        <v>#N/A</v>
      </c>
      <c r="AA499" s="229"/>
      <c r="AB499" s="229"/>
      <c r="AC499" s="229"/>
      <c r="AD499" s="232"/>
      <c r="AE499" s="233"/>
      <c r="AF499" s="54" t="str">
        <f>IFERROR(__xludf.DUMMYFUNCTION("""COMPUTED_VALUE"""),"Draft BA DROP")</f>
        <v>Draft BA DROP</v>
      </c>
      <c r="AG499" s="54"/>
      <c r="AH499" s="54"/>
      <c r="AI499" s="55" t="str">
        <f t="shared" si="61"/>
        <v/>
      </c>
      <c r="AW499" s="234"/>
      <c r="BP499" s="11"/>
      <c r="BQ499" s="11"/>
      <c r="BR499" s="235"/>
      <c r="BV499" s="158"/>
      <c r="BY499" s="158"/>
      <c r="CB499" s="158"/>
    </row>
    <row r="500" ht="18.0" hidden="1" customHeight="1">
      <c r="A500" s="222">
        <f>IFERROR(__xludf.DUMMYFUNCTION("""COMPUTED_VALUE"""),2026.0)</f>
        <v>2026</v>
      </c>
      <c r="B500" s="221">
        <f>IFERROR(__xludf.DUMMYFUNCTION("""COMPUTED_VALUE"""),1.2078601E7)</f>
        <v>12078601</v>
      </c>
      <c r="C500" s="222" t="str">
        <f>IFERROR(__xludf.DUMMYFUNCTION("""COMPUTED_VALUE"""),"SMU ODC-RBM-FAM D04 25013341893")</f>
        <v>SMU ODC-RBM-FAM D04 25013341893</v>
      </c>
      <c r="D500" s="222" t="str">
        <f>IFERROR(__xludf.DUMMYFUNCTION("""COMPUTED_VALUE"""),"REGIONAL I")</f>
        <v>REGIONAL I</v>
      </c>
      <c r="E500" s="222" t="str">
        <f>IFERROR(__xludf.DUMMYFUNCTION("""COMPUTED_VALUE"""),"SUMUT")</f>
        <v>SUMUT</v>
      </c>
      <c r="F500" s="222" t="str">
        <f>IFERROR(__xludf.DUMMYFUNCTION("""COMPUTED_VALUE"""),"RBM")</f>
        <v>RBM</v>
      </c>
      <c r="G500" s="222" t="str">
        <f>IFERROR(__xludf.DUMMYFUNCTION("""COMPUTED_VALUE"""),"SUMBAGUT")</f>
        <v>SUMBAGUT</v>
      </c>
      <c r="H500" s="222" t="str">
        <f>IFERROR(__xludf.DUMMYFUNCTION("""COMPUTED_VALUE"""),"PEMATANG SIANTAR")</f>
        <v>PEMATANG SIANTAR</v>
      </c>
      <c r="I500" s="222" t="str">
        <f>IFERROR(__xludf.DUMMYFUNCTION("""COMPUTED_VALUE"""),"Batch 2")</f>
        <v>Batch 2</v>
      </c>
      <c r="J500" s="225">
        <f>IFERROR(__xludf.DUMMYFUNCTION("""COMPUTED_VALUE"""),3.0)</f>
        <v>3</v>
      </c>
      <c r="K500" s="224">
        <f>IFERROR(__xludf.DUMMYFUNCTION("""COMPUTED_VALUE"""),24.0)</f>
        <v>24</v>
      </c>
      <c r="L500" s="226">
        <f>IFERROR(__xludf.DUMMYFUNCTION("""COMPUTED_VALUE"""),462655.0)</f>
        <v>462655</v>
      </c>
      <c r="M500" s="227">
        <f>IFERROR(__xludf.DUMMYFUNCTION("""COMPUTED_VALUE"""),1.11037E7)</f>
        <v>11103700</v>
      </c>
      <c r="N500" s="222" t="str">
        <f>IFERROR(__xludf.DUMMYFUNCTION("""COMPUTED_VALUE"""),"PT GARINDO TECHNO MANDIRI")</f>
        <v>PT GARINDO TECHNO MANDIRI</v>
      </c>
      <c r="O500" s="222" t="str">
        <f>IFERROR(__xludf.DUMMYFUNCTION("""COMPUTED_VALUE"""),"7. GOLIVE")</f>
        <v>7. GOLIVE</v>
      </c>
      <c r="P500" s="222" t="str">
        <f>IFERROR(__xludf.DUMMYFUNCTION("""COMPUTED_VALUE"""),"7.2 Golive Full / OA / DONE OTB")</f>
        <v>7.2 Golive Full / OA / DONE OTB</v>
      </c>
      <c r="Q500" s="222" t="str">
        <f>IFERROR(__xludf.DUMMYFUNCTION("""COMPUTED_VALUE"""),"Golive, 7/2 VALIDASI SDI, 6/2 proses abd mancore, 5/2 sisa valins plan besok submit abd, 4/2 team dilokasi cek kendala feder redting bersama team ftm dan waspang,3/2 odp redting kendala feder redting, 2/2 sisa terminasi 3 odp dan di bastray ku12 (550 sele"&amp;"sai), 1/2 sisa terminasi 3 odp dan di bastray ku12 (550 selesai), , , 30/1 sisa terminasi 3 odp, ku12 (550 selesai), 28/1 proses gali dan tanam tiang, 27/1 matrial on site, plan progres besok 28/1,  26/1 plan ambil matrial besok 27/1, 23/1 proses input ma"&amp;"trial, 22/1 proses req material, 21/1 menunggu req matrial mitra, 20/1 menunggu boq  kml hasil redesign, 19/1 plan survey redesign besok 20/1, 15/1 core dis penuh (menunggu info sdi untuk redesign distrbusi baru),14/01 plan survey tanggal 15/01, 13/01 pla"&amp;"n survey tanggal 15/01, (07/01) Persiapan")</f>
        <v>Golive, 7/2 VALIDASI SDI, 6/2 proses abd mancore, 5/2 sisa valins plan besok submit abd, 4/2 team dilokasi cek kendala feder redting bersama team ftm dan waspang,3/2 odp redting kendala feder redting, 2/2 sisa terminasi 3 odp dan di bastray ku12 (550 selesai), 1/2 sisa terminasi 3 odp dan di bastray ku12 (550 selesai), , , 30/1 sisa terminasi 3 odp, ku12 (550 selesai), 28/1 proses gali dan tanam tiang, 27/1 matrial on site, plan progres besok 28/1,  26/1 plan ambil matrial besok 27/1, 23/1 proses input matrial, 22/1 proses req material, 21/1 menunggu req matrial mitra, 20/1 menunggu boq  kml hasil redesign, 19/1 plan survey redesign besok 20/1, 15/1 core dis penuh (menunggu info sdi untuk redesign distrbusi baru),14/01 plan survey tanggal 15/01, 13/01 plan survey tanggal 15/01, (07/01) Persiapan</v>
      </c>
      <c r="R500" s="228">
        <f>IFERROR(__xludf.DUMMYFUNCTION("""COMPUTED_VALUE"""),46060.0)</f>
        <v>46060</v>
      </c>
      <c r="S500" s="11"/>
      <c r="T500" s="11"/>
      <c r="U500" s="11" t="str">
        <f>IFERROR(__xludf.DUMMYFUNCTION("""COMPUTED_VALUE"""),"W03-1644/2025")</f>
        <v>W03-1644/2025</v>
      </c>
      <c r="V500" s="229"/>
      <c r="W500" s="229"/>
      <c r="X500" s="229" t="str">
        <f>IFERROR(__xludf.DUMMYFUNCTION("""COMPUTED_VALUE"""),"GOLIVE")</f>
        <v>GOLIVE</v>
      </c>
      <c r="Y500" s="229" t="str">
        <f>IFERROR(__xludf.DUMMYFUNCTION("""COMPUTED_VALUE"""),"DONE")</f>
        <v>DONE</v>
      </c>
      <c r="Z500" s="229" t="str">
        <f>IFERROR(__xludf.DUMMYFUNCTION("""COMPUTED_VALUE"""),"#N/A")</f>
        <v>#N/A</v>
      </c>
      <c r="AA500" s="229">
        <f>IFERROR(__xludf.DUMMYFUNCTION("""COMPUTED_VALUE"""),3.0)</f>
        <v>3</v>
      </c>
      <c r="AB500" s="229"/>
      <c r="AC500" s="229" t="str">
        <f>IFERROR(__xludf.DUMMYFUNCTION("""COMPUTED_VALUE"""),"9082264#9082269")</f>
        <v>9082264#9082269</v>
      </c>
      <c r="AD500" s="232">
        <f>IFERROR(__xludf.DUMMYFUNCTION("""COMPUTED_VALUE"""),24.0)</f>
        <v>24</v>
      </c>
      <c r="AE500" s="233">
        <f>IFERROR(__xludf.DUMMYFUNCTION("""COMPUTED_VALUE"""),46060.0)</f>
        <v>46060</v>
      </c>
      <c r="AF500" s="54"/>
      <c r="AG500" s="54"/>
      <c r="AH500" s="54">
        <v>46060.0</v>
      </c>
      <c r="AI500" s="55">
        <f t="shared" si="61"/>
        <v>0</v>
      </c>
      <c r="AW500" s="234"/>
      <c r="BP500" s="11"/>
      <c r="BQ500" s="11"/>
      <c r="BR500" s="235"/>
      <c r="BV500" s="158"/>
      <c r="BY500" s="158"/>
      <c r="CB500" s="158"/>
    </row>
    <row r="501" ht="18.0" customHeight="1">
      <c r="A501" s="222">
        <f>IFERROR(__xludf.DUMMYFUNCTION("""COMPUTED_VALUE"""),2026.0)</f>
        <v>2026</v>
      </c>
      <c r="B501" s="221">
        <f>IFERROR(__xludf.DUMMYFUNCTION("""COMPUTED_VALUE"""),1.1100276E7)</f>
        <v>11100276</v>
      </c>
      <c r="C501" s="222" t="str">
        <f>IFERROR(__xludf.DUMMYFUNCTION("""COMPUTED_VALUE"""),"RKP PT3 JPPTSEL KIJ-FK NAMHILL RESIDENCE 2_")</f>
        <v>RKP PT3 JPPTSEL KIJ-FK NAMHILL RESIDENCE 2_</v>
      </c>
      <c r="D501" s="222" t="str">
        <f>IFERROR(__xludf.DUMMYFUNCTION("""COMPUTED_VALUE"""),"REGIONAL I")</f>
        <v>REGIONAL I</v>
      </c>
      <c r="E501" s="222" t="str">
        <f>IFERROR(__xludf.DUMMYFUNCTION("""COMPUTED_VALUE"""),"RIKEP")</f>
        <v>RIKEP</v>
      </c>
      <c r="F501" s="222" t="str">
        <f>IFERROR(__xludf.DUMMYFUNCTION("""COMPUTED_VALUE"""),"KIJ")</f>
        <v>KIJ</v>
      </c>
      <c r="G501" s="222" t="str">
        <f>IFERROR(__xludf.DUMMYFUNCTION("""COMPUTED_VALUE"""),"SUMBAGTENG")</f>
        <v>SUMBAGTENG</v>
      </c>
      <c r="H501" s="222" t="str">
        <f>IFERROR(__xludf.DUMMYFUNCTION("""COMPUTED_VALUE"""),"BATAM")</f>
        <v>BATAM</v>
      </c>
      <c r="I501" s="222" t="str">
        <f>IFERROR(__xludf.DUMMYFUNCTION("""COMPUTED_VALUE"""),"Batch 2")</f>
        <v>Batch 2</v>
      </c>
      <c r="J501" s="225">
        <f>IFERROR(__xludf.DUMMYFUNCTION("""COMPUTED_VALUE"""),3.0)</f>
        <v>3</v>
      </c>
      <c r="K501" s="224">
        <f>IFERROR(__xludf.DUMMYFUNCTION("""COMPUTED_VALUE"""),24.0)</f>
        <v>24</v>
      </c>
      <c r="L501" s="226">
        <f>IFERROR(__xludf.DUMMYFUNCTION("""COMPUTED_VALUE"""),1250761.0)</f>
        <v>1250761</v>
      </c>
      <c r="M501" s="227">
        <f>IFERROR(__xludf.DUMMYFUNCTION("""COMPUTED_VALUE"""),3.0018253E7)</f>
        <v>30018253</v>
      </c>
      <c r="N501" s="222" t="str">
        <f>IFERROR(__xludf.DUMMYFUNCTION("""COMPUTED_VALUE"""),"PT SALTTEK DUMPANG JAYA")</f>
        <v>PT SALTTEK DUMPANG JAYA</v>
      </c>
      <c r="O501" s="222" t="str">
        <f>IFERROR(__xludf.DUMMYFUNCTION("""COMPUTED_VALUE"""),"0. DROP")</f>
        <v>0. DROP</v>
      </c>
      <c r="P501" s="222" t="str">
        <f>IFERROR(__xludf.DUMMYFUNCTION("""COMPUTED_VALUE"""),"0.2 Tidak Dapat Izin Warga/Kades/Lurah/Developer")</f>
        <v>0.2 Tidak Dapat Izin Warga/Kades/Lurah/Developer</v>
      </c>
      <c r="Q501" s="222" t="str">
        <f>IFERROR(__xludf.DUMMYFUNCTION("""COMPUTED_VALUE"""),"12/02 RT ok developer belum ketemu kantor nya semenjak pindah.  09/02 FU perizinan kembali ke dev. 04/02 Izin RT OK, namun RT meminta kalau bisa izin ke developer juga, tapi warga disana gak tau kantor developer nya dimana, OGP koordinasi dengan TSEL.  Fe"&amp;"eder OK. 28/01 Anwijzing OK, proses perizinan 30 Jan. 21/02 Plan survey dalam minggu ini 25 jan 2026")</f>
        <v>12/02 RT ok developer belum ketemu kantor nya semenjak pindah.  09/02 FU perizinan kembali ke dev. 04/02 Izin RT OK, namun RT meminta kalau bisa izin ke developer juga, tapi warga disana gak tau kantor developer nya dimana, OGP koordinasi dengan TSEL.  Feeder OK. 28/01 Anwijzing OK, proses perizinan 30 Jan. 21/02 Plan survey dalam minggu ini 25 jan 2026</v>
      </c>
      <c r="R501" s="228"/>
      <c r="S501" s="11"/>
      <c r="T501" s="11"/>
      <c r="U501" s="11"/>
      <c r="V501" s="229" t="str">
        <f>IFERROR(__xludf.DUMMYFUNCTION("""COMPUTED_VALUE"""),"DEDY IRAWAN")</f>
        <v>DEDY IRAWAN</v>
      </c>
      <c r="W501" s="229" t="str">
        <f>IFERROR(__xludf.DUMMYFUNCTION("""COMPUTED_VALUE"""),"LEVITA INDRIYANI")</f>
        <v>LEVITA INDRIYANI</v>
      </c>
      <c r="X501" s="229" t="str">
        <f>IFERROR(__xludf.DUMMYFUNCTION("""COMPUTED_VALUE"""),"BELUM GOLIVE")</f>
        <v>BELUM GOLIVE</v>
      </c>
      <c r="Y501" s="229"/>
      <c r="Z501" s="229" t="str">
        <f>IFERROR(__xludf.DUMMYFUNCTION("""COMPUTED_VALUE"""),"#N/A")</f>
        <v>#N/A</v>
      </c>
      <c r="AA501" s="229"/>
      <c r="AB501" s="229"/>
      <c r="AC501" s="229"/>
      <c r="AD501" s="232"/>
      <c r="AE501" s="233"/>
      <c r="AF501" s="54" t="str">
        <f>IFERROR(__xludf.DUMMYFUNCTION("""COMPUTED_VALUE"""),"Draft BA DROP")</f>
        <v>Draft BA DROP</v>
      </c>
      <c r="AG501" s="54"/>
      <c r="AH501" s="54"/>
      <c r="AI501" s="55" t="str">
        <f t="shared" si="61"/>
        <v/>
      </c>
      <c r="AW501" s="234"/>
      <c r="BP501" s="11"/>
      <c r="BQ501" s="11"/>
      <c r="BR501" s="235"/>
      <c r="BV501" s="158"/>
      <c r="BY501" s="158"/>
      <c r="CB501" s="158"/>
    </row>
    <row r="502" ht="18.0" customHeight="1">
      <c r="A502" s="222">
        <f>IFERROR(__xludf.DUMMYFUNCTION("""COMPUTED_VALUE"""),2026.0)</f>
        <v>2026</v>
      </c>
      <c r="B502" s="221">
        <f>IFERROR(__xludf.DUMMYFUNCTION("""COMPUTED_VALUE"""),1.1549514E7)</f>
        <v>11549514</v>
      </c>
      <c r="C502" s="222" t="str">
        <f>IFERROR(__xludf.DUMMYFUNCTION("""COMPUTED_VALUE"""),"RKP TSEL PT3 SYA-FC JL. A YANI SEI PASIR")</f>
        <v>RKP TSEL PT3 SYA-FC JL. A YANI SEI PASIR</v>
      </c>
      <c r="D502" s="222" t="str">
        <f>IFERROR(__xludf.DUMMYFUNCTION("""COMPUTED_VALUE"""),"REGIONAL I")</f>
        <v>REGIONAL I</v>
      </c>
      <c r="E502" s="222" t="str">
        <f>IFERROR(__xludf.DUMMYFUNCTION("""COMPUTED_VALUE"""),"RIKEP")</f>
        <v>RIKEP</v>
      </c>
      <c r="F502" s="222" t="str">
        <f>IFERROR(__xludf.DUMMYFUNCTION("""COMPUTED_VALUE"""),"SYA")</f>
        <v>SYA</v>
      </c>
      <c r="G502" s="222" t="str">
        <f>IFERROR(__xludf.DUMMYFUNCTION("""COMPUTED_VALUE"""),"SUMBAGTENG")</f>
        <v>SUMBAGTENG</v>
      </c>
      <c r="H502" s="222" t="str">
        <f>IFERROR(__xludf.DUMMYFUNCTION("""COMPUTED_VALUE"""),"BATAM")</f>
        <v>BATAM</v>
      </c>
      <c r="I502" s="222" t="str">
        <f>IFERROR(__xludf.DUMMYFUNCTION("""COMPUTED_VALUE"""),"Batch 2")</f>
        <v>Batch 2</v>
      </c>
      <c r="J502" s="225">
        <f>IFERROR(__xludf.DUMMYFUNCTION("""COMPUTED_VALUE"""),1.0)</f>
        <v>1</v>
      </c>
      <c r="K502" s="224">
        <f>IFERROR(__xludf.DUMMYFUNCTION("""COMPUTED_VALUE"""),8.0)</f>
        <v>8</v>
      </c>
      <c r="L502" s="226">
        <f>IFERROR(__xludf.DUMMYFUNCTION("""COMPUTED_VALUE"""),1249390.0)</f>
        <v>1249390</v>
      </c>
      <c r="M502" s="227">
        <f>IFERROR(__xludf.DUMMYFUNCTION("""COMPUTED_VALUE"""),9995119.0)</f>
        <v>9995119</v>
      </c>
      <c r="N502" s="222" t="str">
        <f>IFERROR(__xludf.DUMMYFUNCTION("""COMPUTED_VALUE"""),"PT DWI MITRA JAYA UTAMA")</f>
        <v>PT DWI MITRA JAYA UTAMA</v>
      </c>
      <c r="O502" s="222" t="str">
        <f>IFERROR(__xludf.DUMMYFUNCTION("""COMPUTED_VALUE"""),"2. DONE AANWIJZING")</f>
        <v>2. DONE AANWIJZING</v>
      </c>
      <c r="P502" s="222" t="str">
        <f>IFERROR(__xludf.DUMMYFUNCTION("""COMPUTED_VALUE"""),"2.10 Kendala - Feeder Rusak")</f>
        <v>2.10 Kendala - Feeder Rusak</v>
      </c>
      <c r="Q502" s="222" t="str">
        <f>IFERROR(__xludf.DUMMYFUNCTION("""COMPUTED_VALUE"""),"09/03 pengambilan ulang eviden feeder full hari ini. 
04/03 Feeder rusak butuh eviden OTDR ulang. 20/02 ambil eviden ulang kendala feeder28/01 Feeder Habis 21/01 plan anwijzing 26 jan, peralihan mitra")</f>
        <v>09/03 pengambilan ulang eviden feeder full hari ini. 
04/03 Feeder rusak butuh eviden OTDR ulang. 20/02 ambil eviden ulang kendala feeder28/01 Feeder Habis 21/01 plan anwijzing 26 jan, peralihan mitra</v>
      </c>
      <c r="R502" s="228"/>
      <c r="S502" s="11"/>
      <c r="T502" s="11"/>
      <c r="U502" s="11"/>
      <c r="V502" s="229" t="str">
        <f>IFERROR(__xludf.DUMMYFUNCTION("""COMPUTED_VALUE"""),"MOHAMMAD FAUZY")</f>
        <v>MOHAMMAD FAUZY</v>
      </c>
      <c r="W502" s="229" t="str">
        <f>IFERROR(__xludf.DUMMYFUNCTION("""COMPUTED_VALUE"""),"LEVITA INDRIYANI")</f>
        <v>LEVITA INDRIYANI</v>
      </c>
      <c r="X502" s="229" t="str">
        <f>IFERROR(__xludf.DUMMYFUNCTION("""COMPUTED_VALUE"""),"BELUM GOLIVE")</f>
        <v>BELUM GOLIVE</v>
      </c>
      <c r="Y502" s="229"/>
      <c r="Z502" s="229" t="str">
        <f>IFERROR(__xludf.DUMMYFUNCTION("""COMPUTED_VALUE"""),"#N/A")</f>
        <v>#N/A</v>
      </c>
      <c r="AA502" s="229"/>
      <c r="AB502" s="229"/>
      <c r="AC502" s="229"/>
      <c r="AD502" s="232"/>
      <c r="AE502" s="233"/>
      <c r="AF502" s="54"/>
      <c r="AG502" s="54"/>
      <c r="AH502" s="54"/>
      <c r="AI502" s="55" t="str">
        <f t="shared" si="61"/>
        <v/>
      </c>
      <c r="AW502" s="234"/>
      <c r="BP502" s="11"/>
      <c r="BQ502" s="11"/>
      <c r="BR502" s="235"/>
      <c r="BV502" s="158"/>
      <c r="BY502" s="158"/>
      <c r="CB502" s="158"/>
    </row>
    <row r="503" ht="18.0" hidden="1" customHeight="1">
      <c r="A503" s="222">
        <f>IFERROR(__xludf.DUMMYFUNCTION("""COMPUTED_VALUE"""),2026.0)</f>
        <v>2026</v>
      </c>
      <c r="B503" s="221">
        <f>IFERROR(__xludf.DUMMYFUNCTION("""COMPUTED_VALUE"""),1.1409947E7)</f>
        <v>11409947</v>
      </c>
      <c r="C503" s="222" t="str">
        <f>IFERROR(__xludf.DUMMYFUNCTION("""COMPUTED_VALUE"""),"LPG PT3 JPP PESAWARAN_1109 GDT")</f>
        <v>LPG PT3 JPP PESAWARAN_1109 GDT</v>
      </c>
      <c r="D503" s="222" t="str">
        <f>IFERROR(__xludf.DUMMYFUNCTION("""COMPUTED_VALUE"""),"REGIONAL I")</f>
        <v>REGIONAL I</v>
      </c>
      <c r="E503" s="222" t="str">
        <f>IFERROR(__xludf.DUMMYFUNCTION("""COMPUTED_VALUE"""),"LAMPUNG")</f>
        <v>LAMPUNG</v>
      </c>
      <c r="F503" s="222" t="str">
        <f>IFERROR(__xludf.DUMMYFUNCTION("""COMPUTED_VALUE"""),"GDT")</f>
        <v>GDT</v>
      </c>
      <c r="G503" s="222" t="str">
        <f>IFERROR(__xludf.DUMMYFUNCTION("""COMPUTED_VALUE"""),"SUMBAGSEL")</f>
        <v>SUMBAGSEL</v>
      </c>
      <c r="H503" s="222" t="str">
        <f>IFERROR(__xludf.DUMMYFUNCTION("""COMPUTED_VALUE"""),"LAMPUNG")</f>
        <v>LAMPUNG</v>
      </c>
      <c r="I503" s="222" t="str">
        <f>IFERROR(__xludf.DUMMYFUNCTION("""COMPUTED_VALUE"""),"Batch 2")</f>
        <v>Batch 2</v>
      </c>
      <c r="J503" s="225">
        <f>IFERROR(__xludf.DUMMYFUNCTION("""COMPUTED_VALUE"""),7.0)</f>
        <v>7</v>
      </c>
      <c r="K503" s="224">
        <f>IFERROR(__xludf.DUMMYFUNCTION("""COMPUTED_VALUE"""),56.0)</f>
        <v>56</v>
      </c>
      <c r="L503" s="226">
        <f>IFERROR(__xludf.DUMMYFUNCTION("""COMPUTED_VALUE"""),1249280.0)</f>
        <v>1249280</v>
      </c>
      <c r="M503" s="227">
        <f>IFERROR(__xludf.DUMMYFUNCTION("""COMPUTED_VALUE"""),6.9959646E7)</f>
        <v>69959646</v>
      </c>
      <c r="N503" s="222" t="str">
        <f>IFERROR(__xludf.DUMMYFUNCTION("""COMPUTED_VALUE"""),"SWAKELOLA")</f>
        <v>SWAKELOLA</v>
      </c>
      <c r="O503" s="222" t="str">
        <f>IFERROR(__xludf.DUMMYFUNCTION("""COMPUTED_VALUE"""),"0. DROP")</f>
        <v>0. DROP</v>
      </c>
      <c r="P503" s="222" t="str">
        <f>IFERROR(__xludf.DUMMYFUNCTION("""COMPUTED_VALUE"""),"0.2 Tidak Dapat Izin Warga/Kades/Lurah/Developer")</f>
        <v>0.2 Tidak Dapat Izin Warga/Kades/Lurah/Developer</v>
      </c>
      <c r="Q503" s="222" t="str">
        <f>IFERROR(__xludf.DUMMYFUNCTION("""COMPUTED_VALUE"""),"1/2 tidak diizinkankarna sudah mu dengan my rep , KARNA LURAH TIDAK ADA DILOKASI")</f>
        <v>1/2 tidak diizinkankarna sudah mu dengan my rep , KARNA LURAH TIDAK ADA DILOKASI</v>
      </c>
      <c r="R503" s="228"/>
      <c r="S503" s="11"/>
      <c r="T503" s="11"/>
      <c r="U503" s="11"/>
      <c r="V503" s="229"/>
      <c r="W503" s="229"/>
      <c r="X503" s="229" t="str">
        <f>IFERROR(__xludf.DUMMYFUNCTION("""COMPUTED_VALUE"""),"BELUM GOLIVE")</f>
        <v>BELUM GOLIVE</v>
      </c>
      <c r="Y503" s="229"/>
      <c r="Z503" s="229" t="str">
        <f>IFERROR(__xludf.DUMMYFUNCTION("""COMPUTED_VALUE"""),"#N/A")</f>
        <v>#N/A</v>
      </c>
      <c r="AA503" s="229"/>
      <c r="AB503" s="229"/>
      <c r="AC503" s="229"/>
      <c r="AD503" s="232"/>
      <c r="AE503" s="233"/>
      <c r="AF503" s="54" t="str">
        <f>IFERROR(__xludf.DUMMYFUNCTION("""COMPUTED_VALUE"""),"Draft BA DROP")</f>
        <v>Draft BA DROP</v>
      </c>
      <c r="AG503" s="54"/>
      <c r="AH503" s="54">
        <v>46133.0</v>
      </c>
      <c r="AI503" s="237">
        <f>AH503-NOW()</f>
        <v>-7.377989896</v>
      </c>
      <c r="AJ503" s="229" t="str">
        <f>if(AI503&gt;=0,"In Komitmen","Out Komitmen")</f>
        <v>Out Komitmen</v>
      </c>
      <c r="AK503" s="229" t="s">
        <v>199</v>
      </c>
      <c r="AW503" s="234"/>
      <c r="BP503" s="11"/>
      <c r="BQ503" s="11"/>
      <c r="BR503" s="235"/>
      <c r="BV503" s="158"/>
      <c r="BY503" s="158"/>
      <c r="CB503" s="158"/>
    </row>
    <row r="504" ht="18.0" customHeight="1">
      <c r="A504" s="222">
        <f>IFERROR(__xludf.DUMMYFUNCTION("""COMPUTED_VALUE"""),2026.0)</f>
        <v>2026</v>
      </c>
      <c r="B504" s="221">
        <f>IFERROR(__xludf.DUMMYFUNCTION("""COMPUTED_VALUE"""),1.2422548E7)</f>
        <v>12422548</v>
      </c>
      <c r="C504" s="222" t="str">
        <f>IFERROR(__xludf.DUMMYFUNCTION("""COMPUTED_VALUE"""),"RDR JPP PT3 250_571_2774")</f>
        <v>RDR JPP PT3 250_571_2774</v>
      </c>
      <c r="D504" s="222" t="str">
        <f>IFERROR(__xludf.DUMMYFUNCTION("""COMPUTED_VALUE"""),"REGIONAL I")</f>
        <v>REGIONAL I</v>
      </c>
      <c r="E504" s="222" t="str">
        <f>IFERROR(__xludf.DUMMYFUNCTION("""COMPUTED_VALUE"""),"RIDAR")</f>
        <v>RIDAR</v>
      </c>
      <c r="F504" s="222" t="str">
        <f>IFERROR(__xludf.DUMMYFUNCTION("""COMPUTED_VALUE"""),"DRI")</f>
        <v>DRI</v>
      </c>
      <c r="G504" s="222" t="str">
        <f>IFERROR(__xludf.DUMMYFUNCTION("""COMPUTED_VALUE"""),"SUMBAGTENG")</f>
        <v>SUMBAGTENG</v>
      </c>
      <c r="H504" s="222" t="str">
        <f>IFERROR(__xludf.DUMMYFUNCTION("""COMPUTED_VALUE"""),"DUMAI")</f>
        <v>DUMAI</v>
      </c>
      <c r="I504" s="222" t="str">
        <f>IFERROR(__xludf.DUMMYFUNCTION("""COMPUTED_VALUE"""),"Batch 2")</f>
        <v>Batch 2</v>
      </c>
      <c r="J504" s="225">
        <f>IFERROR(__xludf.DUMMYFUNCTION("""COMPUTED_VALUE"""),5.0)</f>
        <v>5</v>
      </c>
      <c r="K504" s="224">
        <f>IFERROR(__xludf.DUMMYFUNCTION("""COMPUTED_VALUE"""),40.0)</f>
        <v>40</v>
      </c>
      <c r="L504" s="226">
        <f>IFERROR(__xludf.DUMMYFUNCTION("""COMPUTED_VALUE"""),1248454.0)</f>
        <v>1248454</v>
      </c>
      <c r="M504" s="227">
        <f>IFERROR(__xludf.DUMMYFUNCTION("""COMPUTED_VALUE"""),4.9938154E7)</f>
        <v>49938154</v>
      </c>
      <c r="N504" s="222" t="str">
        <f>IFERROR(__xludf.DUMMYFUNCTION("""COMPUTED_VALUE"""),"PT ACERO CETHA METALINDO")</f>
        <v>PT ACERO CETHA METALINDO</v>
      </c>
      <c r="O504" s="222" t="str">
        <f>IFERROR(__xludf.DUMMYFUNCTION("""COMPUTED_VALUE"""),"7. GOLIVE")</f>
        <v>7. GOLIVE</v>
      </c>
      <c r="P504" s="222" t="str">
        <f>IFERROR(__xludf.DUMMYFUNCTION("""COMPUTED_VALUE"""),"7.2 Golive Full / OA / DONE OTB")</f>
        <v>7.2 Golive Full / OA / DONE OTB</v>
      </c>
      <c r="Q504" s="222" t="str">
        <f>IFERROR(__xludf.DUMMYFUNCTION("""COMPUTED_VALUE"""),"20/04 Pengurusan izin tanam tiang, karena di stop oleh warga setempat 13/04 Penanaman tiang dan penarikan kabel 08/04 Penanaman tiang 06/04 Penanaman tiang 27/03 Pekerjaan mulai progres senin 30 Mar 16/03 Pekerjaan dilanjut setelah RAFI 05/03 Menunggu PO "&amp;"Kabel ADSS sampai di WH Pekanbaru 18/02 Sudah review, menunggu eskalasi terkait kenaikan nilai 09/02 Antrian Review 29/01 Menunggu kelengkapan hasil anwidzng 21/01 Terget selesai survey 24 Jan (07/01) Persiapan")</f>
        <v>20/04 Pengurusan izin tanam tiang, karena di stop oleh warga setempat 13/04 Penanaman tiang dan penarikan kabel 08/04 Penanaman tiang 06/04 Penanaman tiang 27/03 Pekerjaan mulai progres senin 30 Mar 16/03 Pekerjaan dilanjut setelah RAFI 05/03 Menunggu PO Kabel ADSS sampai di WH Pekanbaru 18/02 Sudah review, menunggu eskalasi terkait kenaikan nilai 09/02 Antrian Review 29/01 Menunggu kelengkapan hasil anwidzng 21/01 Terget selesai survey 24 Jan (07/01) Persiapan</v>
      </c>
      <c r="R504" s="228">
        <f>IFERROR(__xludf.DUMMYFUNCTION("""COMPUTED_VALUE"""),46136.0)</f>
        <v>46136</v>
      </c>
      <c r="S504" s="11"/>
      <c r="T504" s="73"/>
      <c r="U504" s="11" t="str">
        <f>IFERROR(__xludf.DUMMYFUNCTION("""COMPUTED_VALUE"""),"W08-1962/2025")</f>
        <v>W08-1962/2025</v>
      </c>
      <c r="V504" s="229" t="str">
        <f>IFERROR(__xludf.DUMMYFUNCTION("""COMPUTED_VALUE"""),"ONDI EKA SAPUTRA")</f>
        <v>ONDI EKA SAPUTRA</v>
      </c>
      <c r="W504" s="229" t="str">
        <f>IFERROR(__xludf.DUMMYFUNCTION("""COMPUTED_VALUE"""),"DESLITA RAHMADANI")</f>
        <v>DESLITA RAHMADANI</v>
      </c>
      <c r="X504" s="229" t="str">
        <f>IFERROR(__xludf.DUMMYFUNCTION("""COMPUTED_VALUE"""),"GOLIVE")</f>
        <v>GOLIVE</v>
      </c>
      <c r="Y504" s="229" t="str">
        <f>IFERROR(__xludf.DUMMYFUNCTION("""COMPUTED_VALUE"""),"DONE")</f>
        <v>DONE</v>
      </c>
      <c r="Z504" s="229" t="str">
        <f>IFERROR(__xludf.DUMMYFUNCTION("""COMPUTED_VALUE"""),"#N/A")</f>
        <v>#N/A</v>
      </c>
      <c r="AA504" s="229">
        <f>IFERROR(__xludf.DUMMYFUNCTION("""COMPUTED_VALUE"""),5.0)</f>
        <v>5</v>
      </c>
      <c r="AB504" s="229"/>
      <c r="AC504" s="229" t="str">
        <f>IFERROR(__xludf.DUMMYFUNCTION("""COMPUTED_VALUE"""),"9309694#9309699")</f>
        <v>9309694#9309699</v>
      </c>
      <c r="AD504" s="232">
        <f>IFERROR(__xludf.DUMMYFUNCTION("""COMPUTED_VALUE"""),40.0)</f>
        <v>40</v>
      </c>
      <c r="AE504" s="233">
        <f>IFERROR(__xludf.DUMMYFUNCTION("""COMPUTED_VALUE"""),46136.0)</f>
        <v>46136</v>
      </c>
      <c r="AF504" s="54"/>
      <c r="AG504" s="54"/>
      <c r="AH504" s="54">
        <v>46127.0</v>
      </c>
      <c r="AI504" s="55">
        <f>AH504-AE504</f>
        <v>-9</v>
      </c>
      <c r="AJ504" s="229" t="str">
        <f>if(AI504&gt;=0,"Gl in Komitmen","Gl out komitmen")</f>
        <v>Gl out komitmen</v>
      </c>
      <c r="AK504" s="231" t="s">
        <v>199</v>
      </c>
      <c r="AW504" s="234"/>
      <c r="BP504" s="11"/>
      <c r="BQ504" s="11"/>
      <c r="BR504" s="235"/>
      <c r="BV504" s="158"/>
      <c r="BY504" s="158"/>
      <c r="CB504" s="158"/>
    </row>
    <row r="505" ht="18.0" hidden="1" customHeight="1">
      <c r="A505" s="222">
        <f>IFERROR(__xludf.DUMMYFUNCTION("""COMPUTED_VALUE"""),2026.0)</f>
        <v>2026</v>
      </c>
      <c r="B505" s="221">
        <f>IFERROR(__xludf.DUMMYFUNCTION("""COMPUTED_VALUE"""),1.1986814E7)</f>
        <v>11986814</v>
      </c>
      <c r="C505" s="222" t="str">
        <f>IFERROR(__xludf.DUMMYFUNCTION("""COMPUTED_VALUE"""),"ACH DAR PT3 DAR FJ PERUM TAMAN CITRA")</f>
        <v>ACH DAR PT3 DAR FJ PERUM TAMAN CITRA</v>
      </c>
      <c r="D505" s="222" t="str">
        <f>IFERROR(__xludf.DUMMYFUNCTION("""COMPUTED_VALUE"""),"REGIONAL I")</f>
        <v>REGIONAL I</v>
      </c>
      <c r="E505" s="222" t="str">
        <f>IFERROR(__xludf.DUMMYFUNCTION("""COMPUTED_VALUE"""),"ACEH")</f>
        <v>ACEH</v>
      </c>
      <c r="F505" s="222" t="str">
        <f>IFERROR(__xludf.DUMMYFUNCTION("""COMPUTED_VALUE"""),"DAR")</f>
        <v>DAR</v>
      </c>
      <c r="G505" s="222" t="str">
        <f>IFERROR(__xludf.DUMMYFUNCTION("""COMPUTED_VALUE"""),"SUMBAGUT")</f>
        <v>SUMBAGUT</v>
      </c>
      <c r="H505" s="222" t="str">
        <f>IFERROR(__xludf.DUMMYFUNCTION("""COMPUTED_VALUE"""),"BANDA ACEH")</f>
        <v>BANDA ACEH</v>
      </c>
      <c r="I505" s="222" t="str">
        <f>IFERROR(__xludf.DUMMYFUNCTION("""COMPUTED_VALUE"""),"Batch 2")</f>
        <v>Batch 2</v>
      </c>
      <c r="J505" s="225">
        <f>IFERROR(__xludf.DUMMYFUNCTION("""COMPUTED_VALUE"""),4.0)</f>
        <v>4</v>
      </c>
      <c r="K505" s="224">
        <f>IFERROR(__xludf.DUMMYFUNCTION("""COMPUTED_VALUE"""),40.0)</f>
        <v>40</v>
      </c>
      <c r="L505" s="226">
        <f>IFERROR(__xludf.DUMMYFUNCTION("""COMPUTED_VALUE"""),1247909.0)</f>
        <v>1247909</v>
      </c>
      <c r="M505" s="227">
        <f>IFERROR(__xludf.DUMMYFUNCTION("""COMPUTED_VALUE"""),4.9916343E7)</f>
        <v>49916343</v>
      </c>
      <c r="N505" s="222" t="str">
        <f>IFERROR(__xludf.DUMMYFUNCTION("""COMPUTED_VALUE"""),"PT NIAGA NUSANTARA DIVA")</f>
        <v>PT NIAGA NUSANTARA DIVA</v>
      </c>
      <c r="O505" s="222" t="str">
        <f>IFERROR(__xludf.DUMMYFUNCTION("""COMPUTED_VALUE"""),"7. GOLIVE")</f>
        <v>7. GOLIVE</v>
      </c>
      <c r="P505" s="222" t="str">
        <f>IFERROR(__xludf.DUMMYFUNCTION("""COMPUTED_VALUE"""),"7.2 Golive Full / OA / DONE OTB")</f>
        <v>7.2 Golive Full / OA / DONE OTB</v>
      </c>
      <c r="Q505" s="222" t="str">
        <f>IFERROR(__xludf.DUMMYFUNCTION("""COMPUTED_VALUE"""),"(09/04) Validasi ABD Mancore (08/04) Terminasi (02/04) Penarikan Kabel (31/03) Tanam Tiang (09/02) Sudah Request Material (09/02) Validasi Core Existing (29/01) PO Material
(21/01) DelMat (07/01) Persiapan")</f>
        <v>(09/04) Validasi ABD Mancore (08/04) Terminasi (02/04) Penarikan Kabel (31/03) Tanam Tiang (09/02) Sudah Request Material (09/02) Validasi Core Existing (29/01) PO Material
(21/01) DelMat (07/01) Persiapan</v>
      </c>
      <c r="R505" s="228">
        <f>IFERROR(__xludf.DUMMYFUNCTION("""COMPUTED_VALUE"""),46124.0)</f>
        <v>46124</v>
      </c>
      <c r="S505" s="11"/>
      <c r="T505" s="73"/>
      <c r="U505" s="11"/>
      <c r="V505" s="229"/>
      <c r="W505" s="229" t="str">
        <f>IFERROR(__xludf.DUMMYFUNCTION("""COMPUTED_VALUE"""),"#N/A")</f>
        <v>#N/A</v>
      </c>
      <c r="X505" s="229" t="str">
        <f>IFERROR(__xludf.DUMMYFUNCTION("""COMPUTED_VALUE"""),"GOLIVE")</f>
        <v>GOLIVE</v>
      </c>
      <c r="Y505" s="229" t="str">
        <f>IFERROR(__xludf.DUMMYFUNCTION("""COMPUTED_VALUE"""),"DONE")</f>
        <v>DONE</v>
      </c>
      <c r="Z505" s="229" t="str">
        <f>IFERROR(__xludf.DUMMYFUNCTION("""COMPUTED_VALUE"""),"#N/A")</f>
        <v>#N/A</v>
      </c>
      <c r="AA505" s="229">
        <f>IFERROR(__xludf.DUMMYFUNCTION("""COMPUTED_VALUE"""),5.0)</f>
        <v>5</v>
      </c>
      <c r="AB505" s="229"/>
      <c r="AC505" s="229" t="str">
        <f>IFERROR(__xludf.DUMMYFUNCTION("""COMPUTED_VALUE"""),"9260853#9260858")</f>
        <v>9260853#9260858</v>
      </c>
      <c r="AD505" s="232">
        <f>IFERROR(__xludf.DUMMYFUNCTION("""COMPUTED_VALUE"""),40.0)</f>
        <v>40</v>
      </c>
      <c r="AE505" s="233">
        <f>IFERROR(__xludf.DUMMYFUNCTION("""COMPUTED_VALUE"""),46124.0)</f>
        <v>46124</v>
      </c>
      <c r="AF505" s="54"/>
      <c r="AG505" s="54"/>
      <c r="AH505" s="54">
        <v>46124.0</v>
      </c>
      <c r="AI505" s="55">
        <f t="shared" ref="AI505:AI525" si="62">IF(OR(R505="",AE505=""),"",R505-AE505)</f>
        <v>0</v>
      </c>
      <c r="AW505" s="234"/>
      <c r="BP505" s="11"/>
      <c r="BQ505" s="11"/>
      <c r="BR505" s="235"/>
      <c r="BV505" s="158"/>
      <c r="BY505" s="158"/>
      <c r="CB505" s="158"/>
    </row>
    <row r="506" ht="18.0" hidden="1" customHeight="1">
      <c r="A506" s="222">
        <f>IFERROR(__xludf.DUMMYFUNCTION("""COMPUTED_VALUE"""),2026.0)</f>
        <v>2026</v>
      </c>
      <c r="B506" s="221">
        <f>IFERROR(__xludf.DUMMYFUNCTION("""COMPUTED_VALUE"""),1.1272427E7)</f>
        <v>11272427</v>
      </c>
      <c r="C506" s="222" t="str">
        <f>IFERROR(__xludf.DUMMYFUNCTION("""COMPUTED_VALUE"""),"MDN PT3 P1I1 STB-FS DSN 7 PAYA RENGAS")</f>
        <v>MDN PT3 P1I1 STB-FS DSN 7 PAYA RENGAS</v>
      </c>
      <c r="D506" s="222" t="str">
        <f>IFERROR(__xludf.DUMMYFUNCTION("""COMPUTED_VALUE"""),"REGIONAL I")</f>
        <v>REGIONAL I</v>
      </c>
      <c r="E506" s="222" t="str">
        <f>IFERROR(__xludf.DUMMYFUNCTION("""COMPUTED_VALUE"""),"MEDAN")</f>
        <v>MEDAN</v>
      </c>
      <c r="F506" s="222" t="str">
        <f>IFERROR(__xludf.DUMMYFUNCTION("""COMPUTED_VALUE"""),"STB")</f>
        <v>STB</v>
      </c>
      <c r="G506" s="222" t="str">
        <f>IFERROR(__xludf.DUMMYFUNCTION("""COMPUTED_VALUE"""),"SUMBAGUT")</f>
        <v>SUMBAGUT</v>
      </c>
      <c r="H506" s="222" t="str">
        <f>IFERROR(__xludf.DUMMYFUNCTION("""COMPUTED_VALUE"""),"BINJAI")</f>
        <v>BINJAI</v>
      </c>
      <c r="I506" s="222" t="str">
        <f>IFERROR(__xludf.DUMMYFUNCTION("""COMPUTED_VALUE"""),"Batch 2")</f>
        <v>Batch 2</v>
      </c>
      <c r="J506" s="225">
        <f>IFERROR(__xludf.DUMMYFUNCTION("""COMPUTED_VALUE"""),21.0)</f>
        <v>21</v>
      </c>
      <c r="K506" s="224">
        <f>IFERROR(__xludf.DUMMYFUNCTION("""COMPUTED_VALUE"""),168.0)</f>
        <v>168</v>
      </c>
      <c r="L506" s="226">
        <f>IFERROR(__xludf.DUMMYFUNCTION("""COMPUTED_VALUE"""),1486501.0)</f>
        <v>1486501</v>
      </c>
      <c r="M506" s="227">
        <f>IFERROR(__xludf.DUMMYFUNCTION("""COMPUTED_VALUE"""),2.49732054E8)</f>
        <v>249732054</v>
      </c>
      <c r="N506" s="222" t="str">
        <f>IFERROR(__xludf.DUMMYFUNCTION("""COMPUTED_VALUE"""),"PT M JUSUF AND SONS")</f>
        <v>PT M JUSUF AND SONS</v>
      </c>
      <c r="O506" s="222" t="str">
        <f>IFERROR(__xludf.DUMMYFUNCTION("""COMPUTED_VALUE"""),"0. DROP")</f>
        <v>0. DROP</v>
      </c>
      <c r="P506" s="222" t="str">
        <f>IFERROR(__xludf.DUMMYFUNCTION("""COMPUTED_VALUE"""),"0.4 CPP Tinggi Acc ED TIF")</f>
        <v>0.4 CPP Tinggi Acc ED TIF</v>
      </c>
      <c r="Q506" s="222" t="str">
        <f>IFERROR(__xludf.DUMMYFUNCTION("""COMPUTED_VALUE"""),"(07/01) Persiapan
18/09 pengecekan core idle feeder redting ")</f>
        <v>(07/01) Persiapan
18/09 pengecekan core idle feeder redting </v>
      </c>
      <c r="R506" s="228"/>
      <c r="S506" s="11"/>
      <c r="T506" s="11"/>
      <c r="U506" s="11"/>
      <c r="V506" s="229"/>
      <c r="W506" s="229"/>
      <c r="X506" s="229" t="str">
        <f>IFERROR(__xludf.DUMMYFUNCTION("""COMPUTED_VALUE"""),"BELUM GOLIVE")</f>
        <v>BELUM GOLIVE</v>
      </c>
      <c r="Y506" s="229"/>
      <c r="Z506" s="229" t="str">
        <f>IFERROR(__xludf.DUMMYFUNCTION("""COMPUTED_VALUE"""),"#N/A")</f>
        <v>#N/A</v>
      </c>
      <c r="AA506" s="229"/>
      <c r="AB506" s="229"/>
      <c r="AC506" s="229"/>
      <c r="AD506" s="232"/>
      <c r="AE506" s="233"/>
      <c r="AF506" s="54" t="str">
        <f>IFERROR(__xludf.DUMMYFUNCTION("""COMPUTED_VALUE"""),"Draft BA DROP")</f>
        <v>Draft BA DROP</v>
      </c>
      <c r="AG506" s="54"/>
      <c r="AH506" s="54"/>
      <c r="AI506" s="55" t="str">
        <f t="shared" si="62"/>
        <v/>
      </c>
      <c r="AW506" s="234"/>
      <c r="BP506" s="11"/>
      <c r="BQ506" s="11"/>
      <c r="BR506" s="235"/>
      <c r="BV506" s="158"/>
      <c r="BY506" s="158"/>
      <c r="CB506" s="158"/>
    </row>
    <row r="507" ht="18.0" hidden="1" customHeight="1">
      <c r="A507" s="222">
        <f>IFERROR(__xludf.DUMMYFUNCTION("""COMPUTED_VALUE"""),2026.0)</f>
        <v>2026</v>
      </c>
      <c r="B507" s="221">
        <f>IFERROR(__xludf.DUMMYFUNCTION("""COMPUTED_VALUE"""),1.2084815E7)</f>
        <v>12084815</v>
      </c>
      <c r="C507" s="222" t="str">
        <f>IFERROR(__xludf.DUMMYFUNCTION("""COMPUTED_VALUE"""),"LPG PT4 JPP KARANG RAJA MERBAU SRW")</f>
        <v>LPG PT4 JPP KARANG RAJA MERBAU SRW</v>
      </c>
      <c r="D507" s="222" t="str">
        <f>IFERROR(__xludf.DUMMYFUNCTION("""COMPUTED_VALUE"""),"REGIONAL I")</f>
        <v>REGIONAL I</v>
      </c>
      <c r="E507" s="222" t="str">
        <f>IFERROR(__xludf.DUMMYFUNCTION("""COMPUTED_VALUE"""),"LAMPUNG")</f>
        <v>LAMPUNG</v>
      </c>
      <c r="F507" s="222" t="str">
        <f>IFERROR(__xludf.DUMMYFUNCTION("""COMPUTED_VALUE"""),"SRW")</f>
        <v>SRW</v>
      </c>
      <c r="G507" s="222" t="str">
        <f>IFERROR(__xludf.DUMMYFUNCTION("""COMPUTED_VALUE"""),"SUMBAGSEL")</f>
        <v>SUMBAGSEL</v>
      </c>
      <c r="H507" s="222" t="str">
        <f>IFERROR(__xludf.DUMMYFUNCTION("""COMPUTED_VALUE"""),"LAMPUNG")</f>
        <v>LAMPUNG</v>
      </c>
      <c r="I507" s="222" t="str">
        <f>IFERROR(__xludf.DUMMYFUNCTION("""COMPUTED_VALUE"""),"Batch 2")</f>
        <v>Batch 2</v>
      </c>
      <c r="J507" s="225">
        <f>IFERROR(__xludf.DUMMYFUNCTION("""COMPUTED_VALUE"""),19.0)</f>
        <v>19</v>
      </c>
      <c r="K507" s="224">
        <f>IFERROR(__xludf.DUMMYFUNCTION("""COMPUTED_VALUE"""),152.0)</f>
        <v>152</v>
      </c>
      <c r="L507" s="226">
        <f>IFERROR(__xludf.DUMMYFUNCTION("""COMPUTED_VALUE"""),1245380.0)</f>
        <v>1245380</v>
      </c>
      <c r="M507" s="227">
        <f>IFERROR(__xludf.DUMMYFUNCTION("""COMPUTED_VALUE"""),1.89297701E8)</f>
        <v>189297701</v>
      </c>
      <c r="N507" s="222" t="str">
        <f>IFERROR(__xludf.DUMMYFUNCTION("""COMPUTED_VALUE"""),"PT BANGTELINDO")</f>
        <v>PT BANGTELINDO</v>
      </c>
      <c r="O507" s="222" t="str">
        <f>IFERROR(__xludf.DUMMYFUNCTION("""COMPUTED_VALUE"""),"0. DROP")</f>
        <v>0. DROP</v>
      </c>
      <c r="P507" s="222" t="str">
        <f>IFERROR(__xludf.DUMMYFUNCTION("""COMPUTED_VALUE"""),"0.2 Tidak Dapat Izin Warga/Kades/Lurah/Developer")</f>
        <v>0.2 Tidak Dapat Izin Warga/Kades/Lurah/Developer</v>
      </c>
      <c r="Q507" s="222" t="str">
        <f>IFERROR(__xludf.DUMMYFUNCTION("""COMPUTED_VALUE"""),"19/1 Tidak dapat izin dari lurah")</f>
        <v>19/1 Tidak dapat izin dari lurah</v>
      </c>
      <c r="R507" s="228"/>
      <c r="S507" s="11"/>
      <c r="T507" s="11"/>
      <c r="U507" s="11"/>
      <c r="V507" s="229"/>
      <c r="W507" s="229"/>
      <c r="X507" s="229" t="str">
        <f>IFERROR(__xludf.DUMMYFUNCTION("""COMPUTED_VALUE"""),"BELUM GOLIVE")</f>
        <v>BELUM GOLIVE</v>
      </c>
      <c r="Y507" s="229"/>
      <c r="Z507" s="229" t="str">
        <f>IFERROR(__xludf.DUMMYFUNCTION("""COMPUTED_VALUE"""),"#N/A")</f>
        <v>#N/A</v>
      </c>
      <c r="AA507" s="229"/>
      <c r="AB507" s="229"/>
      <c r="AC507" s="229"/>
      <c r="AD507" s="232"/>
      <c r="AE507" s="233"/>
      <c r="AF507" s="54" t="str">
        <f>IFERROR(__xludf.DUMMYFUNCTION("""COMPUTED_VALUE"""),"Draft BA DROP")</f>
        <v>Draft BA DROP</v>
      </c>
      <c r="AG507" s="54"/>
      <c r="AH507" s="54"/>
      <c r="AI507" s="55" t="str">
        <f t="shared" si="62"/>
        <v/>
      </c>
      <c r="AW507" s="234"/>
      <c r="BP507" s="11"/>
      <c r="BQ507" s="11"/>
      <c r="BR507" s="235"/>
      <c r="BV507" s="158"/>
      <c r="BY507" s="158"/>
      <c r="CB507" s="158"/>
    </row>
    <row r="508" ht="18.0" hidden="1" customHeight="1">
      <c r="A508" s="222">
        <f>IFERROR(__xludf.DUMMYFUNCTION("""COMPUTED_VALUE"""),2026.0)</f>
        <v>2026</v>
      </c>
      <c r="B508" s="221">
        <f>IFERROR(__xludf.DUMMYFUNCTION("""COMPUTED_VALUE"""),1.1394667E7)</f>
        <v>11394667</v>
      </c>
      <c r="C508" s="222" t="str">
        <f>IFERROR(__xludf.DUMMYFUNCTION("""COMPUTED_VALUE"""),"SMS P2I2 PT3 LHT FAD D02 MUARASIBAN")</f>
        <v>SMS P2I2 PT3 LHT FAD D02 MUARASIBAN</v>
      </c>
      <c r="D508" s="222" t="str">
        <f>IFERROR(__xludf.DUMMYFUNCTION("""COMPUTED_VALUE"""),"REGIONAL I")</f>
        <v>REGIONAL I</v>
      </c>
      <c r="E508" s="222" t="str">
        <f>IFERROR(__xludf.DUMMYFUNCTION("""COMPUTED_VALUE"""),"SUMSEL")</f>
        <v>SUMSEL</v>
      </c>
      <c r="F508" s="222" t="str">
        <f>IFERROR(__xludf.DUMMYFUNCTION("""COMPUTED_VALUE"""),"LHT")</f>
        <v>LHT</v>
      </c>
      <c r="G508" s="222" t="str">
        <f>IFERROR(__xludf.DUMMYFUNCTION("""COMPUTED_VALUE"""),"SUMBAGSEL")</f>
        <v>SUMBAGSEL</v>
      </c>
      <c r="H508" s="222" t="str">
        <f>IFERROR(__xludf.DUMMYFUNCTION("""COMPUTED_VALUE"""),"BENGKULU")</f>
        <v>BENGKULU</v>
      </c>
      <c r="I508" s="222" t="str">
        <f>IFERROR(__xludf.DUMMYFUNCTION("""COMPUTED_VALUE"""),"Batch 2")</f>
        <v>Batch 2</v>
      </c>
      <c r="J508" s="225">
        <f>IFERROR(__xludf.DUMMYFUNCTION("""COMPUTED_VALUE"""),8.0)</f>
        <v>8</v>
      </c>
      <c r="K508" s="224">
        <f>IFERROR(__xludf.DUMMYFUNCTION("""COMPUTED_VALUE"""),64.0)</f>
        <v>64</v>
      </c>
      <c r="L508" s="226">
        <f>IFERROR(__xludf.DUMMYFUNCTION("""COMPUTED_VALUE"""),1245109.0)</f>
        <v>1245109</v>
      </c>
      <c r="M508" s="227">
        <f>IFERROR(__xludf.DUMMYFUNCTION("""COMPUTED_VALUE"""),7.968693E7)</f>
        <v>79686930</v>
      </c>
      <c r="N508" s="222" t="str">
        <f>IFERROR(__xludf.DUMMYFUNCTION("""COMPUTED_VALUE"""),"PT GITA PRIMA TAMBA PERKASA")</f>
        <v>PT GITA PRIMA TAMBA PERKASA</v>
      </c>
      <c r="O508" s="222" t="str">
        <f>IFERROR(__xludf.DUMMYFUNCTION("""COMPUTED_VALUE"""),"2. DONE AANWIJZING")</f>
        <v>2. DONE AANWIJZING</v>
      </c>
      <c r="P508" s="222" t="str">
        <f>IFERROR(__xludf.DUMMYFUNCTION("""COMPUTED_VALUE"""),"2.5 Proses Create PID")</f>
        <v>2.5 Proses Create PID</v>
      </c>
      <c r="Q508" s="222" t="str">
        <f>IFERROR(__xludf.DUMMYFUNCTION("""COMPUTED_VALUE"""),"27/04 : Proses PR/PO // 09/04 kepala desa belum ada FEEDBACK , plan 10 apr visit ulang 08/04 Proses perizinan kepala desa, belum ada feedback 26/03 proses pergantian mitra dri raharja ke GPTP, 25/03 PROGRESS UPDATE BOQ DAN KML SETELAH AANWIDJZING - MASIH "&amp;"MENUNGGU INFO TSEL MENGENAI PENGURANGAN ODP,  16/03 HASIL AANWIDJZING TDK PERLU IZIN KRNA HANYA TARIK KABEL SAJA (BISA DIKERJAKAN), 12/03 DONE AANWIDJZING, 10/03 PROGRESS AANWIJDZING ULANG, 09/03 DIALIHKAN KE MITRA GPTP, 09/03 DATA UPDATE BLM DI KIRIM MIT"&amp;"RA, 06/03 SDH DI FU TERUS TP BELUM ADA INFO DARI MITRA, 02/03 SDH DI FU TERUS TP BELUM ADA INFO DARI MITRA, 27/02 BELUM EVAL, 23/02 LANJUT EVAL, 22/2  menunggu hasil perhitungan QE dan review TIF  19/02 HASIL AANWIDJZING BISA DIKERJAKAN SESUAI PLAN DAN TI"&amp;"DAK BUTUH IZIN DIKARENAKAN HANYA PENARIKAN KABEL PENDEK, 10/02 DONE AANWIDJZING - MITRA BELUM KIRIM HASIL AANWIDJZING, 04/02 PROSES AANWIDJZING, 30/01 PROSES AANWIDJZING, (23/1) Proses Aanwijdzing - Est 27 Setor ke Pak wijaya  (21/01) menunggu antrian unt"&amp;"uk aanwizjing, (15/1) ORDER DITERIMA MITRA 14/1, masih menunngu confirm- kepastian 19 jan (14/11)HOLD-  tidak masuk target Optimis 2025 (13/11)  penunjukkan mitra raharja, 10/11 penunjukkan mitra raharja 3/11 mitra raharja ditunjuk sbagai mitra lop ini 23"&amp;"/10 belum di lakukan oleh mitra ke lokasi
15/10 plan aanwiznig tgl 17/10
(08/10) menunggu jadwal aanwijizng
(01/10) menunggu jadwal aanwijizng
(19/09) pejadwalan aanwijzing
14/01 sudah penunjukan mitra oleh procurement")</f>
        <v>27/04 : Proses PR/PO //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508" s="228"/>
      <c r="S508" s="11"/>
      <c r="T508" s="11" t="str">
        <f>IFERROR(__xludf.DUMMYFUNCTION("""COMPUTED_VALUE"""),"P1")</f>
        <v>P1</v>
      </c>
      <c r="U508" s="11"/>
      <c r="V508" s="229" t="str">
        <f>IFERROR(__xludf.DUMMYFUNCTION("""COMPUTED_VALUE"""),"PUTRA")</f>
        <v>PUTRA</v>
      </c>
      <c r="W508" s="229"/>
      <c r="X508" s="229" t="str">
        <f>IFERROR(__xludf.DUMMYFUNCTION("""COMPUTED_VALUE"""),"BELUM GOLIVE")</f>
        <v>BELUM GOLIVE</v>
      </c>
      <c r="Y508" s="229"/>
      <c r="Z508" s="229" t="str">
        <f>IFERROR(__xludf.DUMMYFUNCTION("""COMPUTED_VALUE"""),"#N/A")</f>
        <v>#N/A</v>
      </c>
      <c r="AA508" s="229"/>
      <c r="AB508" s="229"/>
      <c r="AC508" s="229"/>
      <c r="AD508" s="232"/>
      <c r="AE508" s="233"/>
      <c r="AF508" s="54"/>
      <c r="AG508" s="54"/>
      <c r="AH508" s="54"/>
      <c r="AI508" s="55" t="str">
        <f t="shared" si="62"/>
        <v/>
      </c>
      <c r="AW508" s="234"/>
      <c r="BP508" s="11"/>
      <c r="BQ508" s="11"/>
      <c r="BR508" s="235"/>
      <c r="BV508" s="158"/>
      <c r="BY508" s="158"/>
      <c r="CB508" s="158"/>
    </row>
    <row r="509" ht="18.0" hidden="1" customHeight="1">
      <c r="A509" s="222">
        <f>IFERROR(__xludf.DUMMYFUNCTION("""COMPUTED_VALUE"""),2026.0)</f>
        <v>2026</v>
      </c>
      <c r="B509" s="221">
        <f>IFERROR(__xludf.DUMMYFUNCTION("""COMPUTED_VALUE"""),1.224223E7)</f>
        <v>12242230</v>
      </c>
      <c r="C509" s="222" t="str">
        <f>IFERROR(__xludf.DUMMYFUNCTION("""COMPUTED_VALUE"""),"BNK-PT3-TIS-FC-JPPTSEL-TALANG DANTUK")</f>
        <v>BNK-PT3-TIS-FC-JPPTSEL-TALANG DANTUK</v>
      </c>
      <c r="D509" s="222" t="str">
        <f>IFERROR(__xludf.DUMMYFUNCTION("""COMPUTED_VALUE"""),"REGIONAL I")</f>
        <v>REGIONAL I</v>
      </c>
      <c r="E509" s="222" t="str">
        <f>IFERROR(__xludf.DUMMYFUNCTION("""COMPUTED_VALUE"""),"BENGKULU")</f>
        <v>BENGKULU</v>
      </c>
      <c r="F509" s="222" t="str">
        <f>IFERROR(__xludf.DUMMYFUNCTION("""COMPUTED_VALUE"""),"TIS")</f>
        <v>TIS</v>
      </c>
      <c r="G509" s="222" t="str">
        <f>IFERROR(__xludf.DUMMYFUNCTION("""COMPUTED_VALUE"""),"SUMBAGSEL")</f>
        <v>SUMBAGSEL</v>
      </c>
      <c r="H509" s="222" t="str">
        <f>IFERROR(__xludf.DUMMYFUNCTION("""COMPUTED_VALUE"""),"BENGKULU")</f>
        <v>BENGKULU</v>
      </c>
      <c r="I509" s="222" t="str">
        <f>IFERROR(__xludf.DUMMYFUNCTION("""COMPUTED_VALUE"""),"Batch 2")</f>
        <v>Batch 2</v>
      </c>
      <c r="J509" s="225">
        <f>IFERROR(__xludf.DUMMYFUNCTION("""COMPUTED_VALUE"""),13.0)</f>
        <v>13</v>
      </c>
      <c r="K509" s="224">
        <f>IFERROR(__xludf.DUMMYFUNCTION("""COMPUTED_VALUE"""),104.0)</f>
        <v>104</v>
      </c>
      <c r="L509" s="226">
        <f>IFERROR(__xludf.DUMMYFUNCTION("""COMPUTED_VALUE"""),1244933.0)</f>
        <v>1244933</v>
      </c>
      <c r="M509" s="227">
        <f>IFERROR(__xludf.DUMMYFUNCTION("""COMPUTED_VALUE"""),1.29472982E8)</f>
        <v>129472982</v>
      </c>
      <c r="N509" s="222" t="str">
        <f>IFERROR(__xludf.DUMMYFUNCTION("""COMPUTED_VALUE"""),"PT JAGO MULTI DIMENSI")</f>
        <v>PT JAGO MULTI DIMENSI</v>
      </c>
      <c r="O509" s="222" t="str">
        <f>IFERROR(__xludf.DUMMYFUNCTION("""COMPUTED_VALUE"""),"7. GOLIVE")</f>
        <v>7. GOLIVE</v>
      </c>
      <c r="P509" s="222" t="str">
        <f>IFERROR(__xludf.DUMMYFUNCTION("""COMPUTED_VALUE"""),"7.2 Golive Full / OA / DONE OTB")</f>
        <v>7.2 Golive Full / OA / DONE OTB</v>
      </c>
      <c r="Q509" s="222" t="str">
        <f>IFERROR(__xludf.DUMMYFUNCTION("""COMPUTED_VALUE"""),"(12/01) selesai fisik, menunggu golive (07/01) Persiapan")</f>
        <v>(12/01) selesai fisik, menunggu golive (07/01) Persiapan</v>
      </c>
      <c r="R509" s="228"/>
      <c r="S509" s="11"/>
      <c r="T509" s="11"/>
      <c r="U509" s="11" t="str">
        <f>IFERROR(__xludf.DUMMYFUNCTION("""COMPUTED_VALUE"""),"W06-369/2025")</f>
        <v>W06-369/2025</v>
      </c>
      <c r="V509" s="229"/>
      <c r="W509" s="229"/>
      <c r="X509" s="229" t="str">
        <f>IFERROR(__xludf.DUMMYFUNCTION("""COMPUTED_VALUE"""),"GOLIVE")</f>
        <v>GOLIVE</v>
      </c>
      <c r="Y509" s="229" t="str">
        <f>IFERROR(__xludf.DUMMYFUNCTION("""COMPUTED_VALUE"""),"DONE")</f>
        <v>DONE</v>
      </c>
      <c r="Z509" s="229" t="str">
        <f>IFERROR(__xludf.DUMMYFUNCTION("""COMPUTED_VALUE"""),"#N/A")</f>
        <v>#N/A</v>
      </c>
      <c r="AA509" s="229">
        <f>IFERROR(__xludf.DUMMYFUNCTION("""COMPUTED_VALUE"""),13.0)</f>
        <v>13</v>
      </c>
      <c r="AB509" s="229"/>
      <c r="AC509" s="229" t="str">
        <f>IFERROR(__xludf.DUMMYFUNCTION("""COMPUTED_VALUE"""),"8859968#8859973")</f>
        <v>8859968#8859973</v>
      </c>
      <c r="AD509" s="232">
        <f>IFERROR(__xludf.DUMMYFUNCTION("""COMPUTED_VALUE"""),104.0)</f>
        <v>104</v>
      </c>
      <c r="AE509" s="233">
        <f>IFERROR(__xludf.DUMMYFUNCTION("""COMPUTED_VALUE"""),46036.0)</f>
        <v>46036</v>
      </c>
      <c r="AF509" s="54"/>
      <c r="AG509" s="54"/>
      <c r="AH509" s="54"/>
      <c r="AI509" s="55" t="str">
        <f t="shared" si="62"/>
        <v/>
      </c>
      <c r="AW509" s="234"/>
      <c r="BP509" s="11"/>
      <c r="BQ509" s="11"/>
      <c r="BR509" s="235"/>
      <c r="BV509" s="158"/>
      <c r="BY509" s="158"/>
      <c r="CB509" s="158"/>
    </row>
    <row r="510" ht="18.0" hidden="1" customHeight="1">
      <c r="A510" s="222">
        <f>IFERROR(__xludf.DUMMYFUNCTION("""COMPUTED_VALUE"""),2026.0)</f>
        <v>2026</v>
      </c>
      <c r="B510" s="221">
        <f>IFERROR(__xludf.DUMMYFUNCTION("""COMPUTED_VALUE"""),1.139609E7)</f>
        <v>11396090</v>
      </c>
      <c r="C510" s="222" t="str">
        <f>IFERROR(__xludf.DUMMYFUNCTION("""COMPUTED_VALUE"""),"SMS P3I1 PT3 MPA FV D02 BUKIT NAPUH MPA")</f>
        <v>SMS P3I1 PT3 MPA FV D02 BUKIT NAPUH MPA</v>
      </c>
      <c r="D510" s="222" t="str">
        <f>IFERROR(__xludf.DUMMYFUNCTION("""COMPUTED_VALUE"""),"REGIONAL I")</f>
        <v>REGIONAL I</v>
      </c>
      <c r="E510" s="222" t="str">
        <f>IFERROR(__xludf.DUMMYFUNCTION("""COMPUTED_VALUE"""),"SUMSEL")</f>
        <v>SUMSEL</v>
      </c>
      <c r="F510" s="222" t="str">
        <f>IFERROR(__xludf.DUMMYFUNCTION("""COMPUTED_VALUE"""),"MPA")</f>
        <v>MPA</v>
      </c>
      <c r="G510" s="222" t="str">
        <f>IFERROR(__xludf.DUMMYFUNCTION("""COMPUTED_VALUE"""),"SUMBAGSEL")</f>
        <v>SUMBAGSEL</v>
      </c>
      <c r="H510" s="222" t="str">
        <f>IFERROR(__xludf.DUMMYFUNCTION("""COMPUTED_VALUE"""),"PALEMBANG")</f>
        <v>PALEMBANG</v>
      </c>
      <c r="I510" s="222" t="str">
        <f>IFERROR(__xludf.DUMMYFUNCTION("""COMPUTED_VALUE"""),"Batch 2")</f>
        <v>Batch 2</v>
      </c>
      <c r="J510" s="225">
        <f>IFERROR(__xludf.DUMMYFUNCTION("""COMPUTED_VALUE"""),2.0)</f>
        <v>2</v>
      </c>
      <c r="K510" s="224">
        <f>IFERROR(__xludf.DUMMYFUNCTION("""COMPUTED_VALUE"""),16.0)</f>
        <v>16</v>
      </c>
      <c r="L510" s="226">
        <f>IFERROR(__xludf.DUMMYFUNCTION("""COMPUTED_VALUE"""),1244312.0)</f>
        <v>1244312</v>
      </c>
      <c r="M510" s="227">
        <f>IFERROR(__xludf.DUMMYFUNCTION("""COMPUTED_VALUE"""),1.9908985E7)</f>
        <v>19908985</v>
      </c>
      <c r="N510" s="222" t="str">
        <f>IFERROR(__xludf.DUMMYFUNCTION("""COMPUTED_VALUE"""),"PT GARINDO TECHNO MANDIRI")</f>
        <v>PT GARINDO TECHNO MANDIRI</v>
      </c>
      <c r="O510" s="222" t="str">
        <f>IFERROR(__xludf.DUMMYFUNCTION("""COMPUTED_VALUE"""),"8. UJI TERIMA")</f>
        <v>8. UJI TERIMA</v>
      </c>
      <c r="P510" s="222" t="str">
        <f>IFERROR(__xludf.DUMMYFUNCTION("""COMPUTED_VALUE"""),"8.1 Proses UT")</f>
        <v>8.1 Proses UT</v>
      </c>
      <c r="Q510" s="222" t="str">
        <f>IFERROR(__xludf.DUMMYFUNCTION("""COMPUTED_VALUE"""),"(21/01) GOLIVE, tgl 19/01/026, 14/01 VALINS, (29/11) submit abd ke sdi (24/11) plan submit  maks 25 nov (20/11) selesai penarikan kabel, 19/11 tanam tiang 5/5 DONE, 14/11 material onsite, 12/11 delivery material 04/11  req matrial 3/11 req matrial 13/10 S"&amp;"UDAH ANJIWZING, TUNGGU EVAL PED 08/10 progres aanwizjing
(01/10) menunggu jadwal aanwizjing
25/09/menunggu jadwal survey")</f>
        <v>(21/01) GOLIVE, tgl 19/01/026, 14/01 VALINS, (29/11) submit abd ke sdi (24/11) plan submit  maks 25 nov (20/11) selesai penarikan kabel, 19/11 tanam tiang 5/5 DONE, 14/11 material onsite, 12/11 delivery material 04/11  req matrial 3/11 req matrial 13/10 SUDAH ANJIWZING, TUNGGU EVAL PED 08/10 progres aanwizjing
(01/10) menunggu jadwal aanwizjing
25/09/menunggu jadwal survey</v>
      </c>
      <c r="R510" s="228"/>
      <c r="S510" s="11"/>
      <c r="T510" s="11"/>
      <c r="U510" s="11"/>
      <c r="V510" s="229" t="str">
        <f>IFERROR(__xludf.DUMMYFUNCTION("""COMPUTED_VALUE"""),"TANTOWI")</f>
        <v>TANTOWI</v>
      </c>
      <c r="W510" s="229"/>
      <c r="X510" s="229" t="str">
        <f>IFERROR(__xludf.DUMMYFUNCTION("""COMPUTED_VALUE"""),"GOLIVE")</f>
        <v>GOLIVE</v>
      </c>
      <c r="Y510" s="229" t="str">
        <f>IFERROR(__xludf.DUMMYFUNCTION("""COMPUTED_VALUE"""),"DONE")</f>
        <v>DONE</v>
      </c>
      <c r="Z510" s="229" t="str">
        <f>IFERROR(__xludf.DUMMYFUNCTION("""COMPUTED_VALUE"""),"#N/A")</f>
        <v>#N/A</v>
      </c>
      <c r="AA510" s="229">
        <f>IFERROR(__xludf.DUMMYFUNCTION("""COMPUTED_VALUE"""),2.0)</f>
        <v>2</v>
      </c>
      <c r="AB510" s="229"/>
      <c r="AC510" s="229" t="str">
        <f>IFERROR(__xludf.DUMMYFUNCTION("""COMPUTED_VALUE"""),"8404199#8404204")</f>
        <v>8404199#8404204</v>
      </c>
      <c r="AD510" s="232">
        <f>IFERROR(__xludf.DUMMYFUNCTION("""COMPUTED_VALUE"""),16.0)</f>
        <v>16</v>
      </c>
      <c r="AE510" s="233">
        <f>IFERROR(__xludf.DUMMYFUNCTION("""COMPUTED_VALUE"""),46036.0)</f>
        <v>46036</v>
      </c>
      <c r="AF510" s="54"/>
      <c r="AG510" s="54"/>
      <c r="AH510" s="54"/>
      <c r="AI510" s="55" t="str">
        <f t="shared" si="62"/>
        <v/>
      </c>
      <c r="AW510" s="234"/>
      <c r="BP510" s="11"/>
      <c r="BQ510" s="11"/>
      <c r="BR510" s="235"/>
      <c r="BV510" s="158"/>
      <c r="BY510" s="158"/>
      <c r="CB510" s="158"/>
    </row>
    <row r="511" ht="18.0" hidden="1" customHeight="1">
      <c r="A511" s="222">
        <f>IFERROR(__xludf.DUMMYFUNCTION("""COMPUTED_VALUE"""),2026.0)</f>
        <v>2026</v>
      </c>
      <c r="B511" s="221">
        <f>IFERROR(__xludf.DUMMYFUNCTION("""COMPUTED_VALUE"""),1.2090285E7)</f>
        <v>12090285</v>
      </c>
      <c r="C511" s="222" t="str">
        <f>IFERROR(__xludf.DUMMYFUNCTION("""COMPUTED_VALUE"""),"MDN PT4 TTG-FXX GG.KETAREN CSF")</f>
        <v>MDN PT4 TTG-FXX GG.KETAREN CSF</v>
      </c>
      <c r="D511" s="222" t="str">
        <f>IFERROR(__xludf.DUMMYFUNCTION("""COMPUTED_VALUE"""),"REGIONAL I")</f>
        <v>REGIONAL I</v>
      </c>
      <c r="E511" s="222" t="str">
        <f>IFERROR(__xludf.DUMMYFUNCTION("""COMPUTED_VALUE"""),"MEDAN")</f>
        <v>MEDAN</v>
      </c>
      <c r="F511" s="222" t="str">
        <f>IFERROR(__xludf.DUMMYFUNCTION("""COMPUTED_VALUE"""),"TTG")</f>
        <v>TTG</v>
      </c>
      <c r="G511" s="222" t="str">
        <f>IFERROR(__xludf.DUMMYFUNCTION("""COMPUTED_VALUE"""),"SUMBAGUT")</f>
        <v>SUMBAGUT</v>
      </c>
      <c r="H511" s="222" t="str">
        <f>IFERROR(__xludf.DUMMYFUNCTION("""COMPUTED_VALUE"""),"MEDAN")</f>
        <v>MEDAN</v>
      </c>
      <c r="I511" s="222" t="str">
        <f>IFERROR(__xludf.DUMMYFUNCTION("""COMPUTED_VALUE"""),"Batch 2")</f>
        <v>Batch 2</v>
      </c>
      <c r="J511" s="225">
        <f>IFERROR(__xludf.DUMMYFUNCTION("""COMPUTED_VALUE"""),16.0)</f>
        <v>16</v>
      </c>
      <c r="K511" s="224">
        <f>IFERROR(__xludf.DUMMYFUNCTION("""COMPUTED_VALUE"""),152.0)</f>
        <v>152</v>
      </c>
      <c r="L511" s="226">
        <f>IFERROR(__xludf.DUMMYFUNCTION("""COMPUTED_VALUE"""),1153086.0)</f>
        <v>1153086</v>
      </c>
      <c r="M511" s="227">
        <f>IFERROR(__xludf.DUMMYFUNCTION("""COMPUTED_VALUE"""),1.7526901E8)</f>
        <v>175269010</v>
      </c>
      <c r="N511" s="222" t="str">
        <f>IFERROR(__xludf.DUMMYFUNCTION("""COMPUTED_VALUE"""),"PT MILFHA MUTIARA PRIMA")</f>
        <v>PT MILFHA MUTIARA PRIMA</v>
      </c>
      <c r="O511" s="222" t="str">
        <f>IFERROR(__xludf.DUMMYFUNCTION("""COMPUTED_VALUE"""),"0. DROP")</f>
        <v>0. DROP</v>
      </c>
      <c r="P511" s="222" t="str">
        <f>IFERROR(__xludf.DUMMYFUNCTION("""COMPUTED_VALUE"""),"0.4 CPP Tinggi Acc ED TIF")</f>
        <v>0.4 CPP Tinggi Acc ED TIF</v>
      </c>
      <c r="Q511" s="222" t="str">
        <f>IFERROR(__xludf.DUMMYFUNCTION("""COMPUTED_VALUE"""),"26/02 done order")</f>
        <v>26/02 done order</v>
      </c>
      <c r="R511" s="228"/>
      <c r="S511" s="11"/>
      <c r="T511" s="11"/>
      <c r="U511" s="11"/>
      <c r="V511" s="229"/>
      <c r="W511" s="229"/>
      <c r="X511" s="229" t="str">
        <f>IFERROR(__xludf.DUMMYFUNCTION("""COMPUTED_VALUE"""),"BELUM GOLIVE")</f>
        <v>BELUM GOLIVE</v>
      </c>
      <c r="Y511" s="229"/>
      <c r="Z511" s="229"/>
      <c r="AA511" s="229"/>
      <c r="AB511" s="229"/>
      <c r="AC511" s="229"/>
      <c r="AD511" s="232"/>
      <c r="AE511" s="233"/>
      <c r="AF511" s="54" t="str">
        <f>IFERROR(__xludf.DUMMYFUNCTION("""COMPUTED_VALUE"""),"Draft BA DROP")</f>
        <v>Draft BA DROP</v>
      </c>
      <c r="AG511" s="54"/>
      <c r="AH511" s="54"/>
      <c r="AI511" s="55" t="str">
        <f t="shared" si="62"/>
        <v/>
      </c>
      <c r="AW511" s="234"/>
      <c r="BP511" s="11"/>
      <c r="BQ511" s="11"/>
      <c r="BR511" s="235"/>
      <c r="BV511" s="158"/>
      <c r="BY511" s="158"/>
      <c r="CB511" s="158"/>
    </row>
    <row r="512" ht="18.0" hidden="1" customHeight="1">
      <c r="A512" s="222">
        <f>IFERROR(__xludf.DUMMYFUNCTION("""COMPUTED_VALUE"""),2026.0)</f>
        <v>2026</v>
      </c>
      <c r="B512" s="221">
        <f>IFERROR(__xludf.DUMMYFUNCTION("""COMPUTED_VALUE"""),1.1206657E7)</f>
        <v>11206657</v>
      </c>
      <c r="C512" s="222" t="str">
        <f>IFERROR(__xludf.DUMMYFUNCTION("""COMPUTED_VALUE"""),"MDN PT3 P7I12 MDC-FAC GG.MURNI")</f>
        <v>MDN PT3 P7I12 MDC-FAC GG.MURNI</v>
      </c>
      <c r="D512" s="222" t="str">
        <f>IFERROR(__xludf.DUMMYFUNCTION("""COMPUTED_VALUE"""),"REGIONAL I")</f>
        <v>REGIONAL I</v>
      </c>
      <c r="E512" s="222" t="str">
        <f>IFERROR(__xludf.DUMMYFUNCTION("""COMPUTED_VALUE"""),"MEDAN")</f>
        <v>MEDAN</v>
      </c>
      <c r="F512" s="222" t="str">
        <f>IFERROR(__xludf.DUMMYFUNCTION("""COMPUTED_VALUE"""),"MDC")</f>
        <v>MDC</v>
      </c>
      <c r="G512" s="222" t="str">
        <f>IFERROR(__xludf.DUMMYFUNCTION("""COMPUTED_VALUE"""),"SUMBAGUT")</f>
        <v>SUMBAGUT</v>
      </c>
      <c r="H512" s="222" t="str">
        <f>IFERROR(__xludf.DUMMYFUNCTION("""COMPUTED_VALUE"""),"MEDAN")</f>
        <v>MEDAN</v>
      </c>
      <c r="I512" s="222" t="str">
        <f>IFERROR(__xludf.DUMMYFUNCTION("""COMPUTED_VALUE"""),"Batch 2")</f>
        <v>Batch 2</v>
      </c>
      <c r="J512" s="225">
        <f>IFERROR(__xludf.DUMMYFUNCTION("""COMPUTED_VALUE"""),5.0)</f>
        <v>5</v>
      </c>
      <c r="K512" s="224">
        <f>IFERROR(__xludf.DUMMYFUNCTION("""COMPUTED_VALUE"""),40.0)</f>
        <v>40</v>
      </c>
      <c r="L512" s="226">
        <f>IFERROR(__xludf.DUMMYFUNCTION("""COMPUTED_VALUE"""),453228.0)</f>
        <v>453228</v>
      </c>
      <c r="M512" s="227">
        <f>IFERROR(__xludf.DUMMYFUNCTION("""COMPUTED_VALUE"""),1.8129098E7)</f>
        <v>18129098</v>
      </c>
      <c r="N512" s="222" t="str">
        <f>IFERROR(__xludf.DUMMYFUNCTION("""COMPUTED_VALUE"""),"PT BENWA  MITRA PRATAMA")</f>
        <v>PT BENWA  MITRA PRATAMA</v>
      </c>
      <c r="O512" s="222" t="str">
        <f>IFERROR(__xludf.DUMMYFUNCTION("""COMPUTED_VALUE"""),"0. DROP")</f>
        <v>0. DROP</v>
      </c>
      <c r="P512" s="222" t="str">
        <f>IFERROR(__xludf.DUMMYFUNCTION("""COMPUTED_VALUE"""),"0.3 Feeder Full")</f>
        <v>0.3 Feeder Full</v>
      </c>
      <c r="Q512" s="222" t="str">
        <f>IFERROR(__xludf.DUMMYFUNCTION("""COMPUTED_VALUE"""),"08/03 Feeder Penuh 14/11 Feeder redeti
15/09 proses aanwijzing")</f>
        <v>08/03 Feeder Penuh 14/11 Feeder redeti
15/09 proses aanwijzing</v>
      </c>
      <c r="R512" s="228"/>
      <c r="S512" s="11"/>
      <c r="T512" s="11"/>
      <c r="U512" s="11"/>
      <c r="V512" s="229"/>
      <c r="W512" s="229"/>
      <c r="X512" s="229" t="str">
        <f>IFERROR(__xludf.DUMMYFUNCTION("""COMPUTED_VALUE"""),"BELUM GOLIVE")</f>
        <v>BELUM GOLIVE</v>
      </c>
      <c r="Y512" s="229"/>
      <c r="Z512" s="229" t="str">
        <f>IFERROR(__xludf.DUMMYFUNCTION("""COMPUTED_VALUE"""),"#N/A")</f>
        <v>#N/A</v>
      </c>
      <c r="AA512" s="229"/>
      <c r="AB512" s="229"/>
      <c r="AC512" s="229"/>
      <c r="AD512" s="232"/>
      <c r="AE512" s="233"/>
      <c r="AF512" s="54"/>
      <c r="AG512" s="54"/>
      <c r="AH512" s="54"/>
      <c r="AI512" s="55" t="str">
        <f t="shared" si="62"/>
        <v/>
      </c>
      <c r="AW512" s="234"/>
      <c r="BP512" s="11"/>
      <c r="BQ512" s="11"/>
      <c r="BR512" s="235"/>
      <c r="BV512" s="158"/>
      <c r="BY512" s="158"/>
      <c r="CB512" s="158"/>
    </row>
    <row r="513" ht="18.0" hidden="1" customHeight="1">
      <c r="A513" s="222">
        <f>IFERROR(__xludf.DUMMYFUNCTION("""COMPUTED_VALUE"""),2026.0)</f>
        <v>2026</v>
      </c>
      <c r="B513" s="221">
        <f>IFERROR(__xludf.DUMMYFUNCTION("""COMPUTED_VALUE"""),1.1192644E7)</f>
        <v>11192644</v>
      </c>
      <c r="C513" s="222" t="str">
        <f>IFERROR(__xludf.DUMMYFUNCTION("""COMPUTED_VALUE"""),"MDN PT3 P7I8 TMU-FM GG.BAHARU")</f>
        <v>MDN PT3 P7I8 TMU-FM GG.BAHARU</v>
      </c>
      <c r="D513" s="222" t="str">
        <f>IFERROR(__xludf.DUMMYFUNCTION("""COMPUTED_VALUE"""),"REGIONAL I")</f>
        <v>REGIONAL I</v>
      </c>
      <c r="E513" s="222" t="str">
        <f>IFERROR(__xludf.DUMMYFUNCTION("""COMPUTED_VALUE"""),"MEDAN")</f>
        <v>MEDAN</v>
      </c>
      <c r="F513" s="222" t="str">
        <f>IFERROR(__xludf.DUMMYFUNCTION("""COMPUTED_VALUE"""),"TMU")</f>
        <v>TMU</v>
      </c>
      <c r="G513" s="222" t="str">
        <f>IFERROR(__xludf.DUMMYFUNCTION("""COMPUTED_VALUE"""),"SUMBAGUT")</f>
        <v>SUMBAGUT</v>
      </c>
      <c r="H513" s="222" t="str">
        <f>IFERROR(__xludf.DUMMYFUNCTION("""COMPUTED_VALUE"""),"MEDAN")</f>
        <v>MEDAN</v>
      </c>
      <c r="I513" s="222" t="str">
        <f>IFERROR(__xludf.DUMMYFUNCTION("""COMPUTED_VALUE"""),"Batch 2")</f>
        <v>Batch 2</v>
      </c>
      <c r="J513" s="225">
        <f>IFERROR(__xludf.DUMMYFUNCTION("""COMPUTED_VALUE"""),2.0)</f>
        <v>2</v>
      </c>
      <c r="K513" s="224">
        <f>IFERROR(__xludf.DUMMYFUNCTION("""COMPUTED_VALUE"""),16.0)</f>
        <v>16</v>
      </c>
      <c r="L513" s="226">
        <f>IFERROR(__xludf.DUMMYFUNCTION("""COMPUTED_VALUE"""),1305395.0)</f>
        <v>1305395</v>
      </c>
      <c r="M513" s="227">
        <f>IFERROR(__xludf.DUMMYFUNCTION("""COMPUTED_VALUE"""),2.0886305E7)</f>
        <v>20886305</v>
      </c>
      <c r="N513" s="222" t="str">
        <f>IFERROR(__xludf.DUMMYFUNCTION("""COMPUTED_VALUE"""),"PT DUL JAYA TAMA")</f>
        <v>PT DUL JAYA TAMA</v>
      </c>
      <c r="O513" s="222" t="str">
        <f>IFERROR(__xludf.DUMMYFUNCTION("""COMPUTED_VALUE"""),"0. DROP")</f>
        <v>0. DROP</v>
      </c>
      <c r="P513" s="222" t="str">
        <f>IFERROR(__xludf.DUMMYFUNCTION("""COMPUTED_VALUE"""),"0.4 CPP Tinggi Acc ED TIF")</f>
        <v>0.4 CPP Tinggi Acc ED TIF</v>
      </c>
      <c r="Q513" s="222" t="str">
        <f>IFERROR(__xludf.DUMMYFUNCTION("""COMPUTED_VALUE"""),"12/02 FE01 Tidak Tembus, FE02 Penuh 29/01 Done Order, lnjut Aanwidzing")</f>
        <v>12/02 FE01 Tidak Tembus, FE02 Penuh 29/01 Done Order, lnjut Aanwidzing</v>
      </c>
      <c r="R513" s="228"/>
      <c r="S513" s="11"/>
      <c r="T513" s="11"/>
      <c r="U513" s="11"/>
      <c r="V513" s="229"/>
      <c r="W513" s="229"/>
      <c r="X513" s="229" t="str">
        <f>IFERROR(__xludf.DUMMYFUNCTION("""COMPUTED_VALUE"""),"BELUM GOLIVE")</f>
        <v>BELUM GOLIVE</v>
      </c>
      <c r="Y513" s="229"/>
      <c r="Z513" s="229" t="str">
        <f>IFERROR(__xludf.DUMMYFUNCTION("""COMPUTED_VALUE"""),"#N/A")</f>
        <v>#N/A</v>
      </c>
      <c r="AA513" s="229"/>
      <c r="AB513" s="229"/>
      <c r="AC513" s="229"/>
      <c r="AD513" s="232"/>
      <c r="AE513" s="233"/>
      <c r="AF513" s="54" t="str">
        <f>IFERROR(__xludf.DUMMYFUNCTION("""COMPUTED_VALUE"""),"Draft BA DROP")</f>
        <v>Draft BA DROP</v>
      </c>
      <c r="AG513" s="54"/>
      <c r="AH513" s="54"/>
      <c r="AI513" s="55" t="str">
        <f t="shared" si="62"/>
        <v/>
      </c>
      <c r="AW513" s="234"/>
      <c r="BP513" s="11"/>
      <c r="BQ513" s="11"/>
      <c r="BR513" s="235"/>
      <c r="BV513" s="158"/>
      <c r="BY513" s="158"/>
      <c r="CB513" s="158"/>
    </row>
    <row r="514" ht="18.0" hidden="1" customHeight="1">
      <c r="A514" s="222">
        <f>IFERROR(__xludf.DUMMYFUNCTION("""COMPUTED_VALUE"""),2026.0)</f>
        <v>2026</v>
      </c>
      <c r="B514" s="221">
        <f>IFERROR(__xludf.DUMMYFUNCTION("""COMPUTED_VALUE"""),1.243879E7)</f>
        <v>12438790</v>
      </c>
      <c r="C514" s="222" t="str">
        <f>IFERROR(__xludf.DUMMYFUNCTION("""COMPUTED_VALUE"""),"SMS P4I4 PT3 IDL FAA D02 LANJUT SAKATIGA")</f>
        <v>SMS P4I4 PT3 IDL FAA D02 LANJUT SAKATIGA</v>
      </c>
      <c r="D514" s="222" t="str">
        <f>IFERROR(__xludf.DUMMYFUNCTION("""COMPUTED_VALUE"""),"REGIONAL I")</f>
        <v>REGIONAL I</v>
      </c>
      <c r="E514" s="222" t="str">
        <f>IFERROR(__xludf.DUMMYFUNCTION("""COMPUTED_VALUE"""),"SUMSEL")</f>
        <v>SUMSEL</v>
      </c>
      <c r="F514" s="222" t="str">
        <f>IFERROR(__xludf.DUMMYFUNCTION("""COMPUTED_VALUE"""),"IDL")</f>
        <v>IDL</v>
      </c>
      <c r="G514" s="222" t="str">
        <f>IFERROR(__xludf.DUMMYFUNCTION("""COMPUTED_VALUE"""),"SUMBAGSEL")</f>
        <v>SUMBAGSEL</v>
      </c>
      <c r="H514" s="222" t="str">
        <f>IFERROR(__xludf.DUMMYFUNCTION("""COMPUTED_VALUE"""),"PALEMBANG")</f>
        <v>PALEMBANG</v>
      </c>
      <c r="I514" s="222" t="str">
        <f>IFERROR(__xludf.DUMMYFUNCTION("""COMPUTED_VALUE"""),"Batch 2")</f>
        <v>Batch 2</v>
      </c>
      <c r="J514" s="225">
        <f>IFERROR(__xludf.DUMMYFUNCTION("""COMPUTED_VALUE"""),4.0)</f>
        <v>4</v>
      </c>
      <c r="K514" s="224">
        <f>IFERROR(__xludf.DUMMYFUNCTION("""COMPUTED_VALUE"""),32.0)</f>
        <v>32</v>
      </c>
      <c r="L514" s="226">
        <f>IFERROR(__xludf.DUMMYFUNCTION("""COMPUTED_VALUE"""),1242996.0)</f>
        <v>1242996</v>
      </c>
      <c r="M514" s="227">
        <f>IFERROR(__xludf.DUMMYFUNCTION("""COMPUTED_VALUE"""),3.9775841E7)</f>
        <v>39775841</v>
      </c>
      <c r="N514" s="222" t="str">
        <f>IFERROR(__xludf.DUMMYFUNCTION("""COMPUTED_VALUE"""),"PT SARANA MITRA PERSADA")</f>
        <v>PT SARANA MITRA PERSADA</v>
      </c>
      <c r="O514" s="222" t="str">
        <f>IFERROR(__xludf.DUMMYFUNCTION("""COMPUTED_VALUE"""),"0. DROP")</f>
        <v>0. DROP</v>
      </c>
      <c r="P514" s="222" t="str">
        <f>IFERROR(__xludf.DUMMYFUNCTION("""COMPUTED_VALUE"""),"0.2 Tidak Dapat Izin Warga/Kades/Lurah/Developer")</f>
        <v>0.2 Tidak Dapat Izin Warga/Kades/Lurah/Developer</v>
      </c>
      <c r="Q514" s="222" t="str">
        <f>IFERROR(__xludf.DUMMYFUNCTION("""COMPUTED_VALUE"""),"24/02 DROP - KENAIKAN CPP DAN COMCASE 5JT, 22/2 kendala perizinan  06/02 hasil review TSEL koordinasi dg tim mtc untuk titik QE nya dan itung ulang BOQ project nya, dan konfrim tsel untk lanjut tidak nya - perlu kepastian? 30/01 ADA PRELIM 3 JT DAN QE, KE"&amp;"NAIKAN BOQ 8%, DAN CPP 1,3 JT 31/01 hold, ada kenaikan nilai comcase 30/01 ADA PRELIM 3 JT DAN QE, KENAIKAN BOQ 8%, DAN CPP 1,3 JT, (26/1) tim TIF belum bisa EVAL hasil anwijzing karena lagi diluar kota , estimasi 29 jan baru kembali ke Palembang(25/01) M"&amp;"ENUNGGU EVAL - KOMPENSASI KADES 3JT, (21/01) AANWIDJZING, (15/1) ORDER DITERIMA 14/1, PLAN AANWIJDZING 20 JAN 26 (06/01)order JPP batch-2 2026 ((14/11)HOLD- tidak masuk target Optimis 2025 (
 14/01 penunjukan mitra oleh procurement")</f>
        <v>24/02 DROP - KENAIKAN CPP DAN COMCASE 5JT, 22/2 kendala perizinan  06/02 hasil review TSEL koordinasi dg tim mtc untuk titik QE nya dan itung ulang BOQ project nya, dan konfrim tsel untk lanjut tidak nya - perlu kepastian? 30/01 ADA PRELIM 3 JT DAN QE, KENAIKAN BOQ 8%, DAN CPP 1,3 JT 31/01 hold, ada kenaikan nilai comcase 30/01 ADA PRELIM 3 JT DAN QE, KENAIKAN BOQ 8%, DAN CPP 1,3 JT, (26/1) tim TIF belum bisa EVAL hasil anwijzing karena lagi diluar kota , estimasi 29 jan baru kembali ke Palembang(25/01) MENUNGGU EVAL - KOMPENSASI KADES 3JT, (21/01) AANWIDJZING, (15/1) ORDER DITERIMA 14/1, PLAN AANWIJDZING 20 JAN 26 (06/01)order JPP batch-2 2026 ((14/11)HOLD- tidak masuk target Optimis 2025 (
 14/01 penunjukan mitra oleh procurement</v>
      </c>
      <c r="R514" s="228"/>
      <c r="S514" s="11"/>
      <c r="T514" s="11"/>
      <c r="U514" s="11"/>
      <c r="V514" s="229" t="str">
        <f>IFERROR(__xludf.DUMMYFUNCTION("""COMPUTED_VALUE"""),"RENALDO")</f>
        <v>RENALDO</v>
      </c>
      <c r="W514" s="229"/>
      <c r="X514" s="229" t="str">
        <f>IFERROR(__xludf.DUMMYFUNCTION("""COMPUTED_VALUE"""),"BELUM GOLIVE")</f>
        <v>BELUM GOLIVE</v>
      </c>
      <c r="Y514" s="229"/>
      <c r="Z514" s="229" t="str">
        <f>IFERROR(__xludf.DUMMYFUNCTION("""COMPUTED_VALUE"""),"#N/A")</f>
        <v>#N/A</v>
      </c>
      <c r="AA514" s="229"/>
      <c r="AB514" s="229"/>
      <c r="AC514" s="229"/>
      <c r="AD514" s="232"/>
      <c r="AE514" s="233"/>
      <c r="AF514" s="54" t="str">
        <f>IFERROR(__xludf.DUMMYFUNCTION("""COMPUTED_VALUE"""),"Draft BA DROP")</f>
        <v>Draft BA DROP</v>
      </c>
      <c r="AG514" s="54"/>
      <c r="AH514" s="54"/>
      <c r="AI514" s="55" t="str">
        <f t="shared" si="62"/>
        <v/>
      </c>
      <c r="AW514" s="234"/>
      <c r="BP514" s="11"/>
      <c r="BQ514" s="11"/>
      <c r="BR514" s="235"/>
      <c r="BV514" s="158"/>
      <c r="BY514" s="158"/>
      <c r="CB514" s="158"/>
    </row>
    <row r="515" ht="18.0" hidden="1" customHeight="1">
      <c r="A515" s="222">
        <f>IFERROR(__xludf.DUMMYFUNCTION("""COMPUTED_VALUE"""),2026.0)</f>
        <v>2026</v>
      </c>
      <c r="B515" s="221">
        <f>IFERROR(__xludf.DUMMYFUNCTION("""COMPUTED_VALUE"""),1.2015943E7)</f>
        <v>12015943</v>
      </c>
      <c r="C515" s="222" t="str">
        <f>IFERROR(__xludf.DUMMYFUNCTION("""COMPUTED_VALUE"""),"LPG TULANG BAWANG_168506_H2_2025")</f>
        <v>LPG TULANG BAWANG_168506_H2_2025</v>
      </c>
      <c r="D515" s="222" t="str">
        <f>IFERROR(__xludf.DUMMYFUNCTION("""COMPUTED_VALUE"""),"REGIONAL I")</f>
        <v>REGIONAL I</v>
      </c>
      <c r="E515" s="222" t="str">
        <f>IFERROR(__xludf.DUMMYFUNCTION("""COMPUTED_VALUE"""),"LAMPUNG")</f>
        <v>LAMPUNG</v>
      </c>
      <c r="F515" s="222" t="str">
        <f>IFERROR(__xludf.DUMMYFUNCTION("""COMPUTED_VALUE"""),"UNT")</f>
        <v>UNT</v>
      </c>
      <c r="G515" s="222" t="str">
        <f>IFERROR(__xludf.DUMMYFUNCTION("""COMPUTED_VALUE"""),"SUMBAGSEL")</f>
        <v>SUMBAGSEL</v>
      </c>
      <c r="H515" s="222" t="str">
        <f>IFERROR(__xludf.DUMMYFUNCTION("""COMPUTED_VALUE"""),"PALEMBANG")</f>
        <v>PALEMBANG</v>
      </c>
      <c r="I515" s="222" t="str">
        <f>IFERROR(__xludf.DUMMYFUNCTION("""COMPUTED_VALUE"""),"Batch 2")</f>
        <v>Batch 2</v>
      </c>
      <c r="J515" s="225">
        <f>IFERROR(__xludf.DUMMYFUNCTION("""COMPUTED_VALUE"""),5.0)</f>
        <v>5</v>
      </c>
      <c r="K515" s="224">
        <f>IFERROR(__xludf.DUMMYFUNCTION("""COMPUTED_VALUE"""),40.0)</f>
        <v>40</v>
      </c>
      <c r="L515" s="226">
        <f>IFERROR(__xludf.DUMMYFUNCTION("""COMPUTED_VALUE"""),1242411.0)</f>
        <v>1242411</v>
      </c>
      <c r="M515" s="227">
        <f>IFERROR(__xludf.DUMMYFUNCTION("""COMPUTED_VALUE"""),4.9696438E7)</f>
        <v>49696438</v>
      </c>
      <c r="N515" s="222" t="str">
        <f>IFERROR(__xludf.DUMMYFUNCTION("""COMPUTED_VALUE"""),"PT KOPRASI PILAR UTAMA")</f>
        <v>PT KOPRASI PILAR UTAMA</v>
      </c>
      <c r="O515" s="222" t="str">
        <f>IFERROR(__xludf.DUMMYFUNCTION("""COMPUTED_VALUE"""),"0. DROP")</f>
        <v>0. DROP</v>
      </c>
      <c r="P515" s="222" t="str">
        <f>IFERROR(__xludf.DUMMYFUNCTION("""COMPUTED_VALUE"""),"0.1 Double Order")</f>
        <v>0.1 Double Order</v>
      </c>
      <c r="Q515" s="222" t="str">
        <f>IFERROR(__xludf.DUMMYFUNCTION("""COMPUTED_VALUE"""),"(11/2)double dengan order JPP d ihld - lop lain - golive  (6/2) drop (14/1) drop double order")</f>
        <v>(11/2)double dengan order JPP d ihld - lop lain - golive  (6/2) drop (14/1) drop double order</v>
      </c>
      <c r="R515" s="228"/>
      <c r="S515" s="11"/>
      <c r="T515" s="11"/>
      <c r="U515" s="11"/>
      <c r="V515" s="229"/>
      <c r="W515" s="229"/>
      <c r="X515" s="229" t="str">
        <f>IFERROR(__xludf.DUMMYFUNCTION("""COMPUTED_VALUE"""),"BELUM GOLIVE")</f>
        <v>BELUM GOLIVE</v>
      </c>
      <c r="Y515" s="229"/>
      <c r="Z515" s="229" t="str">
        <f>IFERROR(__xludf.DUMMYFUNCTION("""COMPUTED_VALUE"""),"#N/A")</f>
        <v>#N/A</v>
      </c>
      <c r="AA515" s="229"/>
      <c r="AB515" s="229"/>
      <c r="AC515" s="229"/>
      <c r="AD515" s="232"/>
      <c r="AE515" s="233"/>
      <c r="AF515" s="54" t="str">
        <f>IFERROR(__xludf.DUMMYFUNCTION("""COMPUTED_VALUE"""),"Draft BA DROP")</f>
        <v>Draft BA DROP</v>
      </c>
      <c r="AG515" s="54"/>
      <c r="AH515" s="54"/>
      <c r="AI515" s="55" t="str">
        <f t="shared" si="62"/>
        <v/>
      </c>
      <c r="AW515" s="234"/>
      <c r="BP515" s="11"/>
      <c r="BQ515" s="11"/>
      <c r="BR515" s="235"/>
      <c r="BV515" s="158"/>
      <c r="BY515" s="158"/>
      <c r="CB515" s="158"/>
    </row>
    <row r="516" ht="18.0" hidden="1" customHeight="1">
      <c r="A516" s="222">
        <f>IFERROR(__xludf.DUMMYFUNCTION("""COMPUTED_VALUE"""),2026.0)</f>
        <v>2026</v>
      </c>
      <c r="B516" s="221">
        <f>IFERROR(__xludf.DUMMYFUNCTION("""COMPUTED_VALUE"""),1.2244939E7)</f>
        <v>12244939</v>
      </c>
      <c r="C516" s="222" t="str">
        <f>IFERROR(__xludf.DUMMYFUNCTION("""COMPUTED_VALUE"""),"MDN PT3 TMU-FAF DELI SERDANG_150811_MD25")</f>
        <v>MDN PT3 TMU-FAF DELI SERDANG_150811_MD25</v>
      </c>
      <c r="D516" s="222" t="str">
        <f>IFERROR(__xludf.DUMMYFUNCTION("""COMPUTED_VALUE"""),"REGIONAL I")</f>
        <v>REGIONAL I</v>
      </c>
      <c r="E516" s="222" t="str">
        <f>IFERROR(__xludf.DUMMYFUNCTION("""COMPUTED_VALUE"""),"MEDAN")</f>
        <v>MEDAN</v>
      </c>
      <c r="F516" s="222" t="str">
        <f>IFERROR(__xludf.DUMMYFUNCTION("""COMPUTED_VALUE"""),"TMU")</f>
        <v>TMU</v>
      </c>
      <c r="G516" s="222" t="str">
        <f>IFERROR(__xludf.DUMMYFUNCTION("""COMPUTED_VALUE"""),"SUMBAGUT")</f>
        <v>SUMBAGUT</v>
      </c>
      <c r="H516" s="222" t="str">
        <f>IFERROR(__xludf.DUMMYFUNCTION("""COMPUTED_VALUE"""),"MEDAN")</f>
        <v>MEDAN</v>
      </c>
      <c r="I516" s="222" t="str">
        <f>IFERROR(__xludf.DUMMYFUNCTION("""COMPUTED_VALUE"""),"Batch 2")</f>
        <v>Batch 2</v>
      </c>
      <c r="J516" s="225">
        <f>IFERROR(__xludf.DUMMYFUNCTION("""COMPUTED_VALUE"""),14.0)</f>
        <v>14</v>
      </c>
      <c r="K516" s="224">
        <f>IFERROR(__xludf.DUMMYFUNCTION("""COMPUTED_VALUE"""),120.0)</f>
        <v>120</v>
      </c>
      <c r="L516" s="226">
        <f>IFERROR(__xludf.DUMMYFUNCTION("""COMPUTED_VALUE"""),1242260.0)</f>
        <v>1242260</v>
      </c>
      <c r="M516" s="227">
        <f>IFERROR(__xludf.DUMMYFUNCTION("""COMPUTED_VALUE"""),1.4907111E8)</f>
        <v>149071110</v>
      </c>
      <c r="N516" s="222" t="str">
        <f>IFERROR(__xludf.DUMMYFUNCTION("""COMPUTED_VALUE"""),"SWAKELOLA")</f>
        <v>SWAKELOLA</v>
      </c>
      <c r="O516" s="222" t="str">
        <f>IFERROR(__xludf.DUMMYFUNCTION("""COMPUTED_VALUE"""),"0. DROP")</f>
        <v>0. DROP</v>
      </c>
      <c r="P516" s="222" t="str">
        <f>IFERROR(__xludf.DUMMYFUNCTION("""COMPUTED_VALUE"""),"0.4 CPP Tinggi Acc ED TIF")</f>
        <v>0.4 CPP Tinggi Acc ED TIF</v>
      </c>
      <c r="Q516" s="222" t="str">
        <f>IFERROR(__xludf.DUMMYFUNCTION("""COMPUTED_VALUE"""),"(12/01) HOLD, jarak 24,5km dari STO distribusi 6 existing sudah jarak 2,5km ditambah plan branching 2,5km (07/01) Persiapan")</f>
        <v>(12/01) HOLD, jarak 24,5km dari STO distribusi 6 existing sudah jarak 2,5km ditambah plan branching 2,5km (07/01) Persiapan</v>
      </c>
      <c r="R516" s="228"/>
      <c r="S516" s="11"/>
      <c r="T516" s="11"/>
      <c r="U516" s="11"/>
      <c r="V516" s="229"/>
      <c r="W516" s="229"/>
      <c r="X516" s="229" t="str">
        <f>IFERROR(__xludf.DUMMYFUNCTION("""COMPUTED_VALUE"""),"BELUM GOLIVE")</f>
        <v>BELUM GOLIVE</v>
      </c>
      <c r="Y516" s="229"/>
      <c r="Z516" s="229" t="str">
        <f>IFERROR(__xludf.DUMMYFUNCTION("""COMPUTED_VALUE"""),"#N/A")</f>
        <v>#N/A</v>
      </c>
      <c r="AA516" s="229"/>
      <c r="AB516" s="229"/>
      <c r="AC516" s="229"/>
      <c r="AD516" s="232"/>
      <c r="AE516" s="233"/>
      <c r="AF516" s="54" t="str">
        <f>IFERROR(__xludf.DUMMYFUNCTION("""COMPUTED_VALUE"""),"Draft BA DROP")</f>
        <v>Draft BA DROP</v>
      </c>
      <c r="AG516" s="54"/>
      <c r="AH516" s="54"/>
      <c r="AI516" s="55" t="str">
        <f t="shared" si="62"/>
        <v/>
      </c>
      <c r="AW516" s="234"/>
      <c r="BP516" s="11"/>
      <c r="BQ516" s="11"/>
      <c r="BR516" s="235"/>
      <c r="BV516" s="158"/>
      <c r="BY516" s="158"/>
      <c r="CB516" s="158"/>
    </row>
    <row r="517" ht="18.0" hidden="1" customHeight="1">
      <c r="A517" s="222">
        <f>IFERROR(__xludf.DUMMYFUNCTION("""COMPUTED_VALUE"""),2026.0)</f>
        <v>2026</v>
      </c>
      <c r="B517" s="221">
        <f>IFERROR(__xludf.DUMMYFUNCTION("""COMPUTED_VALUE"""),1.1552217E7)</f>
        <v>11552217</v>
      </c>
      <c r="C517" s="222" t="str">
        <f>IFERROR(__xludf.DUMMYFUNCTION("""COMPUTED_VALUE"""),"SMS P3I1 PT3 MPA FR D06 SUKA MAKMUR")</f>
        <v>SMS P3I1 PT3 MPA FR D06 SUKA MAKMUR</v>
      </c>
      <c r="D517" s="222" t="str">
        <f>IFERROR(__xludf.DUMMYFUNCTION("""COMPUTED_VALUE"""),"REGIONAL I")</f>
        <v>REGIONAL I</v>
      </c>
      <c r="E517" s="222" t="str">
        <f>IFERROR(__xludf.DUMMYFUNCTION("""COMPUTED_VALUE"""),"SUMSEL")</f>
        <v>SUMSEL</v>
      </c>
      <c r="F517" s="222" t="str">
        <f>IFERROR(__xludf.DUMMYFUNCTION("""COMPUTED_VALUE"""),"MPA")</f>
        <v>MPA</v>
      </c>
      <c r="G517" s="222" t="str">
        <f>IFERROR(__xludf.DUMMYFUNCTION("""COMPUTED_VALUE"""),"SUMBAGSEL")</f>
        <v>SUMBAGSEL</v>
      </c>
      <c r="H517" s="222" t="str">
        <f>IFERROR(__xludf.DUMMYFUNCTION("""COMPUTED_VALUE"""),"PALEMBANG")</f>
        <v>PALEMBANG</v>
      </c>
      <c r="I517" s="222" t="str">
        <f>IFERROR(__xludf.DUMMYFUNCTION("""COMPUTED_VALUE"""),"Batch 2")</f>
        <v>Batch 2</v>
      </c>
      <c r="J517" s="225">
        <f>IFERROR(__xludf.DUMMYFUNCTION("""COMPUTED_VALUE"""),10.0)</f>
        <v>10</v>
      </c>
      <c r="K517" s="224">
        <f>IFERROR(__xludf.DUMMYFUNCTION("""COMPUTED_VALUE"""),80.0)</f>
        <v>80</v>
      </c>
      <c r="L517" s="226">
        <f>IFERROR(__xludf.DUMMYFUNCTION("""COMPUTED_VALUE"""),1241874.0)</f>
        <v>1241874</v>
      </c>
      <c r="M517" s="227">
        <f>IFERROR(__xludf.DUMMYFUNCTION("""COMPUTED_VALUE"""),9.9349902E7)</f>
        <v>99349902</v>
      </c>
      <c r="N517" s="222" t="str">
        <f>IFERROR(__xludf.DUMMYFUNCTION("""COMPUTED_VALUE"""),"PT GARINDO TECHNO MANDIRI")</f>
        <v>PT GARINDO TECHNO MANDIRI</v>
      </c>
      <c r="O517" s="222" t="str">
        <f>IFERROR(__xludf.DUMMYFUNCTION("""COMPUTED_VALUE"""),"0. DROP")</f>
        <v>0. DROP</v>
      </c>
      <c r="P517" s="222" t="str">
        <f>IFERROR(__xludf.DUMMYFUNCTION("""COMPUTED_VALUE"""),"0.2 Tidak Dapat Izin Warga/Kades/Lurah/Developer")</f>
        <v>0.2 Tidak Dapat Izin Warga/Kades/Lurah/Developer</v>
      </c>
      <c r="Q517" s="222" t="str">
        <f>IFERROR(__xludf.DUMMYFUNCTION("""COMPUTED_VALUE"""),"06/03 DROP - KADES MEMINTA KOMPENSASI 10JT, 24/02 DROP - KADES MEMINTA KOMPENSASI 10JT, 22/2 tidak mendapatkan izin  06/02 drop butuh redesian ulang hasil zoom tsel,03/02 DONE EVAL, HOLD, NILAI BOQ ADA KENAIKAN SEBESAR 10% DARI PLAN DAN CPP 1,2 JT, KADES "&amp;"MEMINTA KOMPENSASI 10 JT 30/01 DONE AANWIDJZING - MENUNGGU EVAL KARENA KADES MEMINTA DANA 10JT, (26/1) tim TIF belum bisa EVAL hasil anwijzing karena lagi diluar kota , estimasi 29 jan baru kembali ke Palembang(25/01) DONE AANWIDJZING - MENUNGGU EVAL KARE"&amp;"NA KADES MEMINTA DANA 10JT, (21/01) menunggu antrian untuk aanwizjing lapangan, (21/01) menunggu antrian untuk aanwizjing lapangan, (15/1) SUDAH AANWIDJZING, MENUNGGU HASIL EVAL PALIM LAMBAT TANGGAL 23 JAN (15/1) ORDER DITERIMA MITRA 14/1, PRELIM 10 JT (0"&amp;"6/01)order JPP batch-2 2026 (18/11 HOLD, jarak 24,5km dari STO distribusi 6 existing sudah jarak 2,5km ditambah plan branching 2,5km, 14/11 on progress eval, 13/11 MENUNGGU EVAL TIF -TA, (08/11) SUDAH ANWIJZING , TUNGGU EVAL TIF -TA (5/11) menunggu jadwal"&amp;" aanwidzjing 23/10 penunjukan mitra")</f>
        <v>06/03 DROP - KADES MEMINTA KOMPENSASI 10JT, 24/02 DROP - KADES MEMINTA KOMPENSASI 10JT, 22/2 tidak mendapatkan izin  06/02 drop butuh redesian ulang hasil zoom tsel,03/02 DONE EVAL, HOLD, NILAI BOQ ADA KENAIKAN SEBESAR 10% DARI PLAN DAN CPP 1,2 JT, KADES MEMINTA KOMPENSASI 10 JT 30/01 DONE AANWIDJZING - MENUNGGU EVAL KARENA KADES MEMINTA DANA 10JT, (26/1) tim TIF belum bisa EVAL hasil anwijzing karena lagi diluar kota , estimasi 29 jan baru kembali ke Palembang(25/01) DONE AANWIDJZING - MENUNGGU EVAL KARENA KADES MEMINTA DANA 10JT, (21/01) menunggu antrian untuk aanwizjing lapangan, (21/01) menunggu antrian untuk aanwizjing lapangan, (15/1) SUDAH AANWIDJZING, MENUNGGU HASIL EVAL PALIM LAMBAT TANGGAL 23 JAN (15/1) ORDER DITERIMA MITRA 14/1, PRELIM 10 JT (06/01)order JPP batch-2 2026 (18/11 HOLD, jarak 24,5km dari STO distribusi 6 existing sudah jarak 2,5km ditambah plan branching 2,5km, 14/11 on progress eval, 13/11 MENUNGGU EVAL TIF -TA, (08/11) SUDAH ANWIJZING , TUNGGU EVAL TIF -TA (5/11) menunggu jadwal aanwidzjing 23/10 penunjukan mitra</v>
      </c>
      <c r="R517" s="228"/>
      <c r="S517" s="11"/>
      <c r="T517" s="11"/>
      <c r="U517" s="11"/>
      <c r="V517" s="229" t="str">
        <f>IFERROR(__xludf.DUMMYFUNCTION("""COMPUTED_VALUE"""),"TANTOWI")</f>
        <v>TANTOWI</v>
      </c>
      <c r="W517" s="229"/>
      <c r="X517" s="229" t="str">
        <f>IFERROR(__xludf.DUMMYFUNCTION("""COMPUTED_VALUE"""),"BELUM GOLIVE")</f>
        <v>BELUM GOLIVE</v>
      </c>
      <c r="Y517" s="229"/>
      <c r="Z517" s="229" t="str">
        <f>IFERROR(__xludf.DUMMYFUNCTION("""COMPUTED_VALUE"""),"#N/A")</f>
        <v>#N/A</v>
      </c>
      <c r="AA517" s="229"/>
      <c r="AB517" s="229"/>
      <c r="AC517" s="229"/>
      <c r="AD517" s="232"/>
      <c r="AE517" s="233"/>
      <c r="AF517" s="54" t="str">
        <f>IFERROR(__xludf.DUMMYFUNCTION("""COMPUTED_VALUE"""),"Draft BA DROP")</f>
        <v>Draft BA DROP</v>
      </c>
      <c r="AG517" s="54"/>
      <c r="AH517" s="54"/>
      <c r="AI517" s="55" t="str">
        <f t="shared" si="62"/>
        <v/>
      </c>
      <c r="AW517" s="234"/>
      <c r="BP517" s="11"/>
      <c r="BQ517" s="11"/>
      <c r="BR517" s="235"/>
      <c r="BV517" s="158"/>
      <c r="BY517" s="158"/>
      <c r="CB517" s="158"/>
    </row>
    <row r="518" ht="18.0" hidden="1" customHeight="1">
      <c r="A518" s="222">
        <f>IFERROR(__xludf.DUMMYFUNCTION("""COMPUTED_VALUE"""),2026.0)</f>
        <v>2026</v>
      </c>
      <c r="B518" s="221">
        <f>IFERROR(__xludf.DUMMYFUNCTION("""COMPUTED_VALUE"""),1.1196942E7)</f>
        <v>11196942</v>
      </c>
      <c r="C518" s="222" t="str">
        <f>IFERROR(__xludf.DUMMYFUNCTION("""COMPUTED_VALUE"""),"MDN PT3 P7I9 TJR-FAC JL.PAYANIBUNG")</f>
        <v>MDN PT3 P7I9 TJR-FAC JL.PAYANIBUNG</v>
      </c>
      <c r="D518" s="222" t="str">
        <f>IFERROR(__xludf.DUMMYFUNCTION("""COMPUTED_VALUE"""),"REGIONAL I")</f>
        <v>REGIONAL I</v>
      </c>
      <c r="E518" s="222" t="str">
        <f>IFERROR(__xludf.DUMMYFUNCTION("""COMPUTED_VALUE"""),"MEDAN")</f>
        <v>MEDAN</v>
      </c>
      <c r="F518" s="222" t="str">
        <f>IFERROR(__xludf.DUMMYFUNCTION("""COMPUTED_VALUE"""),"TJR")</f>
        <v>TJR</v>
      </c>
      <c r="G518" s="222" t="str">
        <f>IFERROR(__xludf.DUMMYFUNCTION("""COMPUTED_VALUE"""),"SUMBAGUT")</f>
        <v>SUMBAGUT</v>
      </c>
      <c r="H518" s="222" t="str">
        <f>IFERROR(__xludf.DUMMYFUNCTION("""COMPUTED_VALUE"""),"MEDAN")</f>
        <v>MEDAN</v>
      </c>
      <c r="I518" s="222" t="str">
        <f>IFERROR(__xludf.DUMMYFUNCTION("""COMPUTED_VALUE"""),"Batch 2")</f>
        <v>Batch 2</v>
      </c>
      <c r="J518" s="225">
        <f>IFERROR(__xludf.DUMMYFUNCTION("""COMPUTED_VALUE"""),7.0)</f>
        <v>7</v>
      </c>
      <c r="K518" s="224">
        <f>IFERROR(__xludf.DUMMYFUNCTION("""COMPUTED_VALUE"""),56.0)</f>
        <v>56</v>
      </c>
      <c r="L518" s="226">
        <f>IFERROR(__xludf.DUMMYFUNCTION("""COMPUTED_VALUE"""),1143520.0)</f>
        <v>1143520</v>
      </c>
      <c r="M518" s="227">
        <f>IFERROR(__xludf.DUMMYFUNCTION("""COMPUTED_VALUE"""),6.4037106E7)</f>
        <v>64037106</v>
      </c>
      <c r="N518" s="222" t="str">
        <f>IFERROR(__xludf.DUMMYFUNCTION("""COMPUTED_VALUE"""),"PT FIBERHOME TECHNOLOGIES INDONESIA")</f>
        <v>PT FIBERHOME TECHNOLOGIES INDONESIA</v>
      </c>
      <c r="O518" s="222" t="str">
        <f>IFERROR(__xludf.DUMMYFUNCTION("""COMPUTED_VALUE"""),"7. GOLIVE")</f>
        <v>7. GOLIVE</v>
      </c>
      <c r="P518" s="222" t="str">
        <f>IFERROR(__xludf.DUMMYFUNCTION("""COMPUTED_VALUE"""),"7.2 Golive Full / OA / DONE OTB")</f>
        <v>7.2 Golive Full / OA / DONE OTB</v>
      </c>
      <c r="Q518" s="222" t="str">
        <f>IFERROR(__xludf.DUMMYFUNCTION("""COMPUTED_VALUE"""),"15/03 golive sdi
14/03 pengecekan abd mancore
13/03 finish instalasi fisik
10/03 pemasangan odp
(07/01) Persiapan
07/11 Penanaman tiang dan penarikkan kabel distribusi")</f>
        <v>15/03 golive sdi
14/03 pengecekan abd mancore
13/03 finish instalasi fisik
10/03 pemasangan odp
(07/01) Persiapan
07/11 Penanaman tiang dan penarikkan kabel distribusi</v>
      </c>
      <c r="R518" s="228">
        <f>IFERROR(__xludf.DUMMYFUNCTION("""COMPUTED_VALUE"""),46104.0)</f>
        <v>46104</v>
      </c>
      <c r="S518" s="11" t="str">
        <f>IFERROR(__xludf.DUMMYFUNCTION("""COMPUTED_VALUE"""),"MAR")</f>
        <v>MAR</v>
      </c>
      <c r="T518" s="11"/>
      <c r="U518" s="11"/>
      <c r="V518" s="229"/>
      <c r="W518" s="229"/>
      <c r="X518" s="229" t="str">
        <f>IFERROR(__xludf.DUMMYFUNCTION("""COMPUTED_VALUE"""),"GOLIVE")</f>
        <v>GOLIVE</v>
      </c>
      <c r="Y518" s="229" t="str">
        <f>IFERROR(__xludf.DUMMYFUNCTION("""COMPUTED_VALUE"""),"DONE")</f>
        <v>DONE</v>
      </c>
      <c r="Z518" s="229" t="str">
        <f>IFERROR(__xludf.DUMMYFUNCTION("""COMPUTED_VALUE"""),"#N/A")</f>
        <v>#N/A</v>
      </c>
      <c r="AA518" s="229">
        <f>IFERROR(__xludf.DUMMYFUNCTION("""COMPUTED_VALUE"""),7.0)</f>
        <v>7</v>
      </c>
      <c r="AB518" s="229"/>
      <c r="AC518" s="229" t="str">
        <f>IFERROR(__xludf.DUMMYFUNCTION("""COMPUTED_VALUE"""),"9208639#9208644")</f>
        <v>9208639#9208644</v>
      </c>
      <c r="AD518" s="232">
        <f>IFERROR(__xludf.DUMMYFUNCTION("""COMPUTED_VALUE"""),56.0)</f>
        <v>56</v>
      </c>
      <c r="AE518" s="233">
        <f>IFERROR(__xludf.DUMMYFUNCTION("""COMPUTED_VALUE"""),46096.0)</f>
        <v>46096</v>
      </c>
      <c r="AF518" s="54"/>
      <c r="AG518" s="54"/>
      <c r="AH518" s="54">
        <v>46104.0</v>
      </c>
      <c r="AI518" s="55">
        <f t="shared" si="62"/>
        <v>8</v>
      </c>
      <c r="AW518" s="234"/>
      <c r="BP518" s="11"/>
      <c r="BQ518" s="11"/>
      <c r="BR518" s="235"/>
      <c r="BV518" s="158"/>
      <c r="BY518" s="158"/>
      <c r="CB518" s="158"/>
    </row>
    <row r="519" ht="18.0" hidden="1" customHeight="1">
      <c r="A519" s="222">
        <f>IFERROR(__xludf.DUMMYFUNCTION("""COMPUTED_VALUE"""),2026.0)</f>
        <v>2026</v>
      </c>
      <c r="B519" s="221">
        <f>IFERROR(__xludf.DUMMYFUNCTION("""COMPUTED_VALUE"""),1.1414301E7)</f>
        <v>11414301</v>
      </c>
      <c r="C519" s="222" t="str">
        <f>IFERROR(__xludf.DUMMYFUNCTION("""COMPUTED_VALUE"""),"MDN PT3 P2I1 BJI-FFE JL.BHAKTI KARYA")</f>
        <v>MDN PT3 P2I1 BJI-FFE JL.BHAKTI KARYA</v>
      </c>
      <c r="D519" s="222" t="str">
        <f>IFERROR(__xludf.DUMMYFUNCTION("""COMPUTED_VALUE"""),"REGIONAL I")</f>
        <v>REGIONAL I</v>
      </c>
      <c r="E519" s="222" t="str">
        <f>IFERROR(__xludf.DUMMYFUNCTION("""COMPUTED_VALUE"""),"MEDAN")</f>
        <v>MEDAN</v>
      </c>
      <c r="F519" s="222" t="str">
        <f>IFERROR(__xludf.DUMMYFUNCTION("""COMPUTED_VALUE"""),"BJI")</f>
        <v>BJI</v>
      </c>
      <c r="G519" s="222" t="str">
        <f>IFERROR(__xludf.DUMMYFUNCTION("""COMPUTED_VALUE"""),"SUMBAGUT")</f>
        <v>SUMBAGUT</v>
      </c>
      <c r="H519" s="222" t="str">
        <f>IFERROR(__xludf.DUMMYFUNCTION("""COMPUTED_VALUE"""),"BINJAI")</f>
        <v>BINJAI</v>
      </c>
      <c r="I519" s="222" t="str">
        <f>IFERROR(__xludf.DUMMYFUNCTION("""COMPUTED_VALUE"""),"Batch 2")</f>
        <v>Batch 2</v>
      </c>
      <c r="J519" s="225">
        <f>IFERROR(__xludf.DUMMYFUNCTION("""COMPUTED_VALUE"""),6.0)</f>
        <v>6</v>
      </c>
      <c r="K519" s="224">
        <f>IFERROR(__xludf.DUMMYFUNCTION("""COMPUTED_VALUE"""),48.0)</f>
        <v>48</v>
      </c>
      <c r="L519" s="226">
        <f>IFERROR(__xludf.DUMMYFUNCTION("""COMPUTED_VALUE"""),1241201.0)</f>
        <v>1241201</v>
      </c>
      <c r="M519" s="227">
        <f>IFERROR(__xludf.DUMMYFUNCTION("""COMPUTED_VALUE"""),5.9577644E7)</f>
        <v>59577644</v>
      </c>
      <c r="N519" s="222" t="str">
        <f>IFERROR(__xludf.DUMMYFUNCTION("""COMPUTED_VALUE"""),"PT KENCANA RAYA INDONESIA")</f>
        <v>PT KENCANA RAYA INDONESIA</v>
      </c>
      <c r="O519" s="222" t="str">
        <f>IFERROR(__xludf.DUMMYFUNCTION("""COMPUTED_VALUE"""),"0. DROP")</f>
        <v>0. DROP</v>
      </c>
      <c r="P519" s="222" t="str">
        <f>IFERROR(__xludf.DUMMYFUNCTION("""COMPUTED_VALUE"""),"0.4 CPP Tinggi Acc ED TIF")</f>
        <v>0.4 CPP Tinggi Acc ED TIF</v>
      </c>
      <c r="Q519" s="222" t="str">
        <f>IFERROR(__xludf.DUMMYFUNCTION("""COMPUTED_VALUE"""),"14/02 distribusi existing belum di bangun
(07/01) Persiapan
19/09 menunggu Dist lop MDN PT3 BJI-FFE JL.TANAH MERAH")</f>
        <v>14/02 distribusi existing belum di bangun
(07/01) Persiapan
19/09 menunggu Dist lop MDN PT3 BJI-FFE JL.TANAH MERAH</v>
      </c>
      <c r="R519" s="228"/>
      <c r="S519" s="11"/>
      <c r="T519" s="11"/>
      <c r="U519" s="11"/>
      <c r="V519" s="229"/>
      <c r="W519" s="229"/>
      <c r="X519" s="229" t="str">
        <f>IFERROR(__xludf.DUMMYFUNCTION("""COMPUTED_VALUE"""),"BELUM GOLIVE")</f>
        <v>BELUM GOLIVE</v>
      </c>
      <c r="Y519" s="229"/>
      <c r="Z519" s="229" t="str">
        <f>IFERROR(__xludf.DUMMYFUNCTION("""COMPUTED_VALUE"""),"#N/A")</f>
        <v>#N/A</v>
      </c>
      <c r="AA519" s="229"/>
      <c r="AB519" s="229"/>
      <c r="AC519" s="229"/>
      <c r="AD519" s="232"/>
      <c r="AE519" s="233"/>
      <c r="AF519" s="54" t="str">
        <f>IFERROR(__xludf.DUMMYFUNCTION("""COMPUTED_VALUE"""),"Draft BA DROP")</f>
        <v>Draft BA DROP</v>
      </c>
      <c r="AG519" s="54"/>
      <c r="AH519" s="54"/>
      <c r="AI519" s="55" t="str">
        <f t="shared" si="62"/>
        <v/>
      </c>
      <c r="AW519" s="234"/>
      <c r="BP519" s="11"/>
      <c r="BQ519" s="11"/>
      <c r="BR519" s="235"/>
      <c r="BV519" s="158"/>
      <c r="BY519" s="158"/>
      <c r="CB519" s="158"/>
    </row>
    <row r="520" ht="18.0" hidden="1" customHeight="1">
      <c r="A520" s="222">
        <f>IFERROR(__xludf.DUMMYFUNCTION("""COMPUTED_VALUE"""),2026.0)</f>
        <v>2026</v>
      </c>
      <c r="B520" s="221">
        <f>IFERROR(__xludf.DUMMYFUNCTION("""COMPUTED_VALUE"""),1.1272022E7)</f>
        <v>11272022</v>
      </c>
      <c r="C520" s="222" t="str">
        <f>IFERROR(__xludf.DUMMYFUNCTION("""COMPUTED_VALUE"""),"MDN PT3 P1I1 STB-FZ JL.PAYAH KAKUNG")</f>
        <v>MDN PT3 P1I1 STB-FZ JL.PAYAH KAKUNG</v>
      </c>
      <c r="D520" s="222" t="str">
        <f>IFERROR(__xludf.DUMMYFUNCTION("""COMPUTED_VALUE"""),"REGIONAL I")</f>
        <v>REGIONAL I</v>
      </c>
      <c r="E520" s="222" t="str">
        <f>IFERROR(__xludf.DUMMYFUNCTION("""COMPUTED_VALUE"""),"MEDAN")</f>
        <v>MEDAN</v>
      </c>
      <c r="F520" s="222" t="str">
        <f>IFERROR(__xludf.DUMMYFUNCTION("""COMPUTED_VALUE"""),"STB")</f>
        <v>STB</v>
      </c>
      <c r="G520" s="222" t="str">
        <f>IFERROR(__xludf.DUMMYFUNCTION("""COMPUTED_VALUE"""),"SUMBAGUT")</f>
        <v>SUMBAGUT</v>
      </c>
      <c r="H520" s="222" t="str">
        <f>IFERROR(__xludf.DUMMYFUNCTION("""COMPUTED_VALUE"""),"BINJAI")</f>
        <v>BINJAI</v>
      </c>
      <c r="I520" s="222" t="str">
        <f>IFERROR(__xludf.DUMMYFUNCTION("""COMPUTED_VALUE"""),"Batch 2")</f>
        <v>Batch 2</v>
      </c>
      <c r="J520" s="225">
        <f>IFERROR(__xludf.DUMMYFUNCTION("""COMPUTED_VALUE"""),8.0)</f>
        <v>8</v>
      </c>
      <c r="K520" s="224">
        <f>IFERROR(__xludf.DUMMYFUNCTION("""COMPUTED_VALUE"""),64.0)</f>
        <v>64</v>
      </c>
      <c r="L520" s="226">
        <f>IFERROR(__xludf.DUMMYFUNCTION("""COMPUTED_VALUE"""),1240842.0)</f>
        <v>1240842</v>
      </c>
      <c r="M520" s="227">
        <f>IFERROR(__xludf.DUMMYFUNCTION("""COMPUTED_VALUE"""),7.9413856E7)</f>
        <v>79413856</v>
      </c>
      <c r="N520" s="222" t="str">
        <f>IFERROR(__xludf.DUMMYFUNCTION("""COMPUTED_VALUE"""),"PT M JUSUF AND SONS")</f>
        <v>PT M JUSUF AND SONS</v>
      </c>
      <c r="O520" s="222" t="str">
        <f>IFERROR(__xludf.DUMMYFUNCTION("""COMPUTED_VALUE"""),"0. DROP")</f>
        <v>0. DROP</v>
      </c>
      <c r="P520" s="222" t="str">
        <f>IFERROR(__xludf.DUMMYFUNCTION("""COMPUTED_VALUE"""),"0.4 CPP Tinggi Acc ED TIF")</f>
        <v>0.4 CPP Tinggi Acc ED TIF</v>
      </c>
      <c r="Q520" s="222" t="str">
        <f>IFERROR(__xludf.DUMMYFUNCTION("""COMPUTED_VALUE"""),"(07/01) Persiapan
18/09 STB-FZ feeder redting 3-24")</f>
        <v>(07/01) Persiapan
18/09 STB-FZ feeder redting 3-24</v>
      </c>
      <c r="R520" s="228"/>
      <c r="S520" s="11"/>
      <c r="T520" s="11"/>
      <c r="U520" s="11"/>
      <c r="V520" s="229"/>
      <c r="W520" s="229"/>
      <c r="X520" s="229" t="str">
        <f>IFERROR(__xludf.DUMMYFUNCTION("""COMPUTED_VALUE"""),"BELUM GOLIVE")</f>
        <v>BELUM GOLIVE</v>
      </c>
      <c r="Y520" s="229"/>
      <c r="Z520" s="229" t="str">
        <f>IFERROR(__xludf.DUMMYFUNCTION("""COMPUTED_VALUE"""),"#N/A")</f>
        <v>#N/A</v>
      </c>
      <c r="AA520" s="229"/>
      <c r="AB520" s="229"/>
      <c r="AC520" s="229"/>
      <c r="AD520" s="232"/>
      <c r="AE520" s="233"/>
      <c r="AF520" s="54" t="str">
        <f>IFERROR(__xludf.DUMMYFUNCTION("""COMPUTED_VALUE"""),"Draft BA DROP")</f>
        <v>Draft BA DROP</v>
      </c>
      <c r="AG520" s="54"/>
      <c r="AH520" s="54"/>
      <c r="AI520" s="55" t="str">
        <f t="shared" si="62"/>
        <v/>
      </c>
      <c r="AW520" s="234"/>
      <c r="BP520" s="11"/>
      <c r="BQ520" s="11"/>
      <c r="BR520" s="235"/>
      <c r="BV520" s="158"/>
      <c r="BY520" s="158"/>
      <c r="CB520" s="158"/>
    </row>
    <row r="521" ht="18.0" hidden="1" customHeight="1">
      <c r="A521" s="222">
        <f>IFERROR(__xludf.DUMMYFUNCTION("""COMPUTED_VALUE"""),2026.0)</f>
        <v>2026</v>
      </c>
      <c r="B521" s="221">
        <f>IFERROR(__xludf.DUMMYFUNCTION("""COMPUTED_VALUE"""),1.1483748E7)</f>
        <v>11483748</v>
      </c>
      <c r="C521" s="222" t="str">
        <f>IFERROR(__xludf.DUMMYFUNCTION("""COMPUTED_VALUE"""),"SMS P3I1 PT3 PBM FAG D03 L KARANG JAYA")</f>
        <v>SMS P3I1 PT3 PBM FAG D03 L KARANG JAYA</v>
      </c>
      <c r="D521" s="222" t="str">
        <f>IFERROR(__xludf.DUMMYFUNCTION("""COMPUTED_VALUE"""),"REGIONAL I")</f>
        <v>REGIONAL I</v>
      </c>
      <c r="E521" s="222" t="str">
        <f>IFERROR(__xludf.DUMMYFUNCTION("""COMPUTED_VALUE"""),"SUMSEL")</f>
        <v>SUMSEL</v>
      </c>
      <c r="F521" s="222" t="str">
        <f>IFERROR(__xludf.DUMMYFUNCTION("""COMPUTED_VALUE"""),"PBM")</f>
        <v>PBM</v>
      </c>
      <c r="G521" s="222" t="str">
        <f>IFERROR(__xludf.DUMMYFUNCTION("""COMPUTED_VALUE"""),"SUMBAGSEL")</f>
        <v>SUMBAGSEL</v>
      </c>
      <c r="H521" s="222" t="str">
        <f>IFERROR(__xludf.DUMMYFUNCTION("""COMPUTED_VALUE"""),"PALEMBANG")</f>
        <v>PALEMBANG</v>
      </c>
      <c r="I521" s="222" t="str">
        <f>IFERROR(__xludf.DUMMYFUNCTION("""COMPUTED_VALUE"""),"Batch 2")</f>
        <v>Batch 2</v>
      </c>
      <c r="J521" s="225">
        <f>IFERROR(__xludf.DUMMYFUNCTION("""COMPUTED_VALUE"""),2.0)</f>
        <v>2</v>
      </c>
      <c r="K521" s="224">
        <f>IFERROR(__xludf.DUMMYFUNCTION("""COMPUTED_VALUE"""),16.0)</f>
        <v>16</v>
      </c>
      <c r="L521" s="226">
        <f>IFERROR(__xludf.DUMMYFUNCTION("""COMPUTED_VALUE"""),1240778.0)</f>
        <v>1240778</v>
      </c>
      <c r="M521" s="227">
        <f>IFERROR(__xludf.DUMMYFUNCTION("""COMPUTED_VALUE"""),1.9852442E7)</f>
        <v>19852442</v>
      </c>
      <c r="N521" s="222" t="str">
        <f>IFERROR(__xludf.DUMMYFUNCTION("""COMPUTED_VALUE"""),"PT ACERO CETHA METALINDO")</f>
        <v>PT ACERO CETHA METALINDO</v>
      </c>
      <c r="O521" s="222" t="str">
        <f>IFERROR(__xludf.DUMMYFUNCTION("""COMPUTED_VALUE"""),"0. DROP")</f>
        <v>0. DROP</v>
      </c>
      <c r="P521" s="222" t="str">
        <f>IFERROR(__xludf.DUMMYFUNCTION("""COMPUTED_VALUE"""),"0.2 Tidak Dapat Izin Warga/Kades/Lurah/Developer")</f>
        <v>0.2 Tidak Dapat Izin Warga/Kades/Lurah/Developer</v>
      </c>
      <c r="Q521" s="222" t="str">
        <f>IFERROR(__xludf.DUMMYFUNCTION("""COMPUTED_VALUE"""),"10/03 DROP BOQ NAIK DARI PLAN SEBESAR 157% - SDH ADA BA DROP, 24/02 DROP BOQ NAIK DARI PLAN SEBESAR 157% - SDH ADA BA DROP, 06/02, DROP butuh redesain sdh konfrim sales pas zoom,  03/02 DONE EVAL, BERUBAH CATUAN KE DIST 5 DAN ADA KENAIKAN NILAI BOQ SEBESA"&amp;"R 157% DARI NILAI PLAN, CPP NYA MENJADI 1,2 JT 03/02 DONE EVAL, BERUBAH CATUAN KE DIST 5 DAN ADA KENAIKAN NILAI BOQ SEBESAR 73% DARI NILAI PLAN, CPP NYA MENJADI 2,1 JT, (26/1) tim TIF belum bisa EVAL hasil anwijzing karena lagi diluar kota , estimasi 29 j"&amp;"an baru kembali ke Palembang(24/1) sudah aanwijdzing, menunggu hasil eval (21/01) menunggu antrian aanwizjing, (15/1) ORDER DITERIMA MITRA 14/1, plan Aanwijdzing 19 Jan (06/01)order JPP batch-2 2026 ((14/11)HOLD- tidak masuk target Optimis 2025 (14/11 men"&amp;"unggu konfirmasi subcon TA, 13/11 lop di tolak mitra, jadi masih penunjukkan mitra, 12/11 masih penunjukkan mitra, 11/11 masih penunjukkan mitra 05/11 menunggu Aanwijzing 23/10 penunjukan mitra
 14/01 penunjukan mitra oleh procurement")</f>
        <v>10/03 DROP BOQ NAIK DARI PLAN SEBESAR 157% - SDH ADA BA DROP, 24/02 DROP BOQ NAIK DARI PLAN SEBESAR 157% - SDH ADA BA DROP, 06/02, DROP butuh redesain sdh konfrim sales pas zoom,  03/02 DONE EVAL, BERUBAH CATUAN KE DIST 5 DAN ADA KENAIKAN NILAI BOQ SEBESAR 157% DARI NILAI PLAN, CPP NYA MENJADI 1,2 JT 03/02 DONE EVAL, BERUBAH CATUAN KE DIST 5 DAN ADA KENAIKAN NILAI BOQ SEBESAR 73% DARI NILAI PLAN, CPP NYA MENJADI 2,1 JT, (26/1) tim TIF belum bisa EVAL hasil anwijzing karena lagi diluar kota , estimasi 29 jan baru kembali ke Palembang(24/1) sudah aanwijdzing, menunggu hasil eval (21/01) menunggu antrian aanwizjing, (15/1) ORDER DITERIMA MITRA 14/1, plan Aanwijdzing 19 Jan (06/01)order JPP batch-2 2026 ((14/11)HOLD- tidak masuk target Optimis 2025 (14/11 menunggu konfirmasi subcon TA, 13/11 lop di tolak mitra, jadi masih penunjukkan mitra, 12/11 masih penunjukkan mitra, 11/11 masih penunjukkan mitra 05/11 menunggu Aanwijzing 23/10 penunjukan mitra
 14/01 penunjukan mitra oleh procurement</v>
      </c>
      <c r="R521" s="228"/>
      <c r="S521" s="11"/>
      <c r="T521" s="11"/>
      <c r="U521" s="11"/>
      <c r="V521" s="229" t="str">
        <f>IFERROR(__xludf.DUMMYFUNCTION("""COMPUTED_VALUE"""),"ILHAM")</f>
        <v>ILHAM</v>
      </c>
      <c r="W521" s="229"/>
      <c r="X521" s="229" t="str">
        <f>IFERROR(__xludf.DUMMYFUNCTION("""COMPUTED_VALUE"""),"BELUM GOLIVE")</f>
        <v>BELUM GOLIVE</v>
      </c>
      <c r="Y521" s="229"/>
      <c r="Z521" s="229" t="str">
        <f>IFERROR(__xludf.DUMMYFUNCTION("""COMPUTED_VALUE"""),"#N/A")</f>
        <v>#N/A</v>
      </c>
      <c r="AA521" s="229"/>
      <c r="AB521" s="229"/>
      <c r="AC521" s="229"/>
      <c r="AD521" s="232"/>
      <c r="AE521" s="233"/>
      <c r="AF521" s="54" t="str">
        <f>IFERROR(__xludf.DUMMYFUNCTION("""COMPUTED_VALUE"""),"Draft BA DROP")</f>
        <v>Draft BA DROP</v>
      </c>
      <c r="AG521" s="54"/>
      <c r="AH521" s="54"/>
      <c r="AI521" s="55" t="str">
        <f t="shared" si="62"/>
        <v/>
      </c>
      <c r="AW521" s="234"/>
      <c r="BP521" s="11"/>
      <c r="BQ521" s="11"/>
      <c r="BR521" s="235"/>
      <c r="BV521" s="158"/>
      <c r="BY521" s="158"/>
      <c r="CB521" s="158"/>
    </row>
    <row r="522" ht="18.0" hidden="1" customHeight="1">
      <c r="A522" s="222">
        <f>IFERROR(__xludf.DUMMYFUNCTION("""COMPUTED_VALUE"""),2026.0)</f>
        <v>2026</v>
      </c>
      <c r="B522" s="221">
        <f>IFERROR(__xludf.DUMMYFUNCTION("""COMPUTED_VALUE"""),1.1533752E7)</f>
        <v>11533752</v>
      </c>
      <c r="C522" s="222" t="str">
        <f>IFERROR(__xludf.DUMMYFUNCTION("""COMPUTED_VALUE"""),"MDN PT3 TJR-FT GRAND MUTIARA 2")</f>
        <v>MDN PT3 TJR-FT GRAND MUTIARA 2</v>
      </c>
      <c r="D522" s="222" t="str">
        <f>IFERROR(__xludf.DUMMYFUNCTION("""COMPUTED_VALUE"""),"REGIONAL I")</f>
        <v>REGIONAL I</v>
      </c>
      <c r="E522" s="222" t="str">
        <f>IFERROR(__xludf.DUMMYFUNCTION("""COMPUTED_VALUE"""),"MEDAN")</f>
        <v>MEDAN</v>
      </c>
      <c r="F522" s="222" t="str">
        <f>IFERROR(__xludf.DUMMYFUNCTION("""COMPUTED_VALUE"""),"TJR")</f>
        <v>TJR</v>
      </c>
      <c r="G522" s="222" t="str">
        <f>IFERROR(__xludf.DUMMYFUNCTION("""COMPUTED_VALUE"""),"SUMBAGUT")</f>
        <v>SUMBAGUT</v>
      </c>
      <c r="H522" s="222" t="str">
        <f>IFERROR(__xludf.DUMMYFUNCTION("""COMPUTED_VALUE"""),"MEDAN")</f>
        <v>MEDAN</v>
      </c>
      <c r="I522" s="222" t="str">
        <f>IFERROR(__xludf.DUMMYFUNCTION("""COMPUTED_VALUE"""),"Batch 2")</f>
        <v>Batch 2</v>
      </c>
      <c r="J522" s="225">
        <f>IFERROR(__xludf.DUMMYFUNCTION("""COMPUTED_VALUE"""),8.0)</f>
        <v>8</v>
      </c>
      <c r="K522" s="224">
        <f>IFERROR(__xludf.DUMMYFUNCTION("""COMPUTED_VALUE"""),64.0)</f>
        <v>64</v>
      </c>
      <c r="L522" s="226">
        <f>IFERROR(__xludf.DUMMYFUNCTION("""COMPUTED_VALUE"""),1240623.0)</f>
        <v>1240623</v>
      </c>
      <c r="M522" s="227">
        <f>IFERROR(__xludf.DUMMYFUNCTION("""COMPUTED_VALUE"""),7.9399831E7)</f>
        <v>79399831</v>
      </c>
      <c r="N522" s="222" t="str">
        <f>IFERROR(__xludf.DUMMYFUNCTION("""COMPUTED_VALUE"""),"PT TEKNOLOGI KARYA MANDIRI")</f>
        <v>PT TEKNOLOGI KARYA MANDIRI</v>
      </c>
      <c r="O522" s="222" t="str">
        <f>IFERROR(__xludf.DUMMYFUNCTION("""COMPUTED_VALUE"""),"7. GOLIVE")</f>
        <v>7. GOLIVE</v>
      </c>
      <c r="P522" s="222" t="str">
        <f>IFERROR(__xludf.DUMMYFUNCTION("""COMPUTED_VALUE"""),"7.2 Golive Full / OA / DONE OTB")</f>
        <v>7.2 Golive Full / OA / DONE OTB</v>
      </c>
      <c r="Q522" s="222" t="str">
        <f>IFERROR(__xludf.DUMMYFUNCTION("""COMPUTED_VALUE"""),"05/03 proses pengecekan abd 
16/02 tanam tiang
(07/01) Persiapan")</f>
        <v>05/03 proses pengecekan abd 
16/02 tanam tiang
(07/01) Persiapan</v>
      </c>
      <c r="R522" s="228">
        <f>IFERROR(__xludf.DUMMYFUNCTION("""COMPUTED_VALUE"""),46109.0)</f>
        <v>46109</v>
      </c>
      <c r="S522" s="11" t="str">
        <f>IFERROR(__xludf.DUMMYFUNCTION("""COMPUTED_VALUE"""),"MAR")</f>
        <v>MAR</v>
      </c>
      <c r="T522" s="11"/>
      <c r="U522" s="11" t="str">
        <f>IFERROR(__xludf.DUMMYFUNCTION("""COMPUTED_VALUE"""),"W01-2178/2025")</f>
        <v>W01-2178/2025</v>
      </c>
      <c r="V522" s="229"/>
      <c r="W522" s="229"/>
      <c r="X522" s="229" t="str">
        <f>IFERROR(__xludf.DUMMYFUNCTION("""COMPUTED_VALUE"""),"GOLIVE")</f>
        <v>GOLIVE</v>
      </c>
      <c r="Y522" s="229" t="str">
        <f>IFERROR(__xludf.DUMMYFUNCTION("""COMPUTED_VALUE"""),"DONE")</f>
        <v>DONE</v>
      </c>
      <c r="Z522" s="229" t="str">
        <f>IFERROR(__xludf.DUMMYFUNCTION("""COMPUTED_VALUE"""),"#N/A")</f>
        <v>#N/A</v>
      </c>
      <c r="AA522" s="229">
        <f>IFERROR(__xludf.DUMMYFUNCTION("""COMPUTED_VALUE"""),8.0)</f>
        <v>8</v>
      </c>
      <c r="AB522" s="229"/>
      <c r="AC522" s="229" t="str">
        <f>IFERROR(__xludf.DUMMYFUNCTION("""COMPUTED_VALUE"""),"9181375#9181380")</f>
        <v>9181375#9181380</v>
      </c>
      <c r="AD522" s="232">
        <f>IFERROR(__xludf.DUMMYFUNCTION("""COMPUTED_VALUE"""),64.0)</f>
        <v>64</v>
      </c>
      <c r="AE522" s="233">
        <f>IFERROR(__xludf.DUMMYFUNCTION("""COMPUTED_VALUE"""),46086.0)</f>
        <v>46086</v>
      </c>
      <c r="AF522" s="54"/>
      <c r="AG522" s="54"/>
      <c r="AH522" s="54">
        <v>46109.0</v>
      </c>
      <c r="AI522" s="55">
        <f t="shared" si="62"/>
        <v>23</v>
      </c>
      <c r="AW522" s="234"/>
      <c r="BP522" s="11"/>
      <c r="BQ522" s="11"/>
      <c r="BR522" s="235"/>
      <c r="BV522" s="158"/>
      <c r="BY522" s="158"/>
      <c r="CB522" s="158"/>
    </row>
    <row r="523" ht="18.0" hidden="1" customHeight="1">
      <c r="A523" s="222">
        <f>IFERROR(__xludf.DUMMYFUNCTION("""COMPUTED_VALUE"""),2026.0)</f>
        <v>2026</v>
      </c>
      <c r="B523" s="221">
        <f>IFERROR(__xludf.DUMMYFUNCTION("""COMPUTED_VALUE"""),1.2195125E7)</f>
        <v>12195125</v>
      </c>
      <c r="C523" s="222" t="str">
        <f>IFERROR(__xludf.DUMMYFUNCTION("""COMPUTED_VALUE"""),"SMU PT3 ANR-FA CLUST SIDORUKUN 2 - 3")</f>
        <v>SMU PT3 ANR-FA CLUST SIDORUKUN 2 - 3</v>
      </c>
      <c r="D523" s="222" t="str">
        <f>IFERROR(__xludf.DUMMYFUNCTION("""COMPUTED_VALUE"""),"REGIONAL I")</f>
        <v>REGIONAL I</v>
      </c>
      <c r="E523" s="222" t="str">
        <f>IFERROR(__xludf.DUMMYFUNCTION("""COMPUTED_VALUE"""),"SUMUT")</f>
        <v>SUMUT</v>
      </c>
      <c r="F523" s="222" t="str">
        <f>IFERROR(__xludf.DUMMYFUNCTION("""COMPUTED_VALUE"""),"ANR")</f>
        <v>ANR</v>
      </c>
      <c r="G523" s="222" t="str">
        <f>IFERROR(__xludf.DUMMYFUNCTION("""COMPUTED_VALUE"""),"SUMBAGUT")</f>
        <v>SUMBAGUT</v>
      </c>
      <c r="H523" s="222" t="str">
        <f>IFERROR(__xludf.DUMMYFUNCTION("""COMPUTED_VALUE"""),"RANTAU PRAPAT")</f>
        <v>RANTAU PRAPAT</v>
      </c>
      <c r="I523" s="222" t="str">
        <f>IFERROR(__xludf.DUMMYFUNCTION("""COMPUTED_VALUE"""),"Batch 2")</f>
        <v>Batch 2</v>
      </c>
      <c r="J523" s="225">
        <f>IFERROR(__xludf.DUMMYFUNCTION("""COMPUTED_VALUE"""),31.0)</f>
        <v>31</v>
      </c>
      <c r="K523" s="224">
        <f>IFERROR(__xludf.DUMMYFUNCTION("""COMPUTED_VALUE"""),248.0)</f>
        <v>248</v>
      </c>
      <c r="L523" s="226">
        <f>IFERROR(__xludf.DUMMYFUNCTION("""COMPUTED_VALUE"""),1239819.0)</f>
        <v>1239819</v>
      </c>
      <c r="M523" s="227">
        <f>IFERROR(__xludf.DUMMYFUNCTION("""COMPUTED_VALUE"""),3.07475073E8)</f>
        <v>307475073</v>
      </c>
      <c r="N523" s="222" t="str">
        <f>IFERROR(__xludf.DUMMYFUNCTION("""COMPUTED_VALUE"""),"PT MITRA AKSES INSANI")</f>
        <v>PT MITRA AKSES INSANI</v>
      </c>
      <c r="O523" s="222" t="str">
        <f>IFERROR(__xludf.DUMMYFUNCTION("""COMPUTED_VALUE"""),"7. GOLIVE")</f>
        <v>7. GOLIVE</v>
      </c>
      <c r="P523" s="222" t="str">
        <f>IFERROR(__xludf.DUMMYFUNCTION("""COMPUTED_VALUE"""),"7.2 Golive Full / OA / DONE OTB")</f>
        <v>7.2 Golive Full / OA / DONE OTB</v>
      </c>
      <c r="Q523" s="222" t="str">
        <f>IFERROR(__xludf.DUMMYFUNCTION("""COMPUTED_VALUE"""),"18/3 proses valins 31 odp sisa 12, 16/3 proses instal 31 odp sisa 11, kabel 24 (7218 selesai, ku 12 (3944 selesai, tiang 68 selesai, , 13/3 (terkendala tim jointer blm ada ) sisa instal 31 odp, kabel 24 (7218 selesai, ku 12 (3944 selesai, tiang 68 selesai"&amp;", 11/3 sisa instal 31 odp, kabel 24 (7218 selesai, ku 12 (3944 selesai, tiang 68 selesai, 10/3 kendala perizinan plan pengalihan rute, 5/3 sisa instal 31 odp, \kabel 24 (7218 selesai, ku 12 (3944 selesai, tiang 68 selesai, 4/3 sisa instal 31 odp, \kabel 2"&amp;"4 (7218 selesai, ku 12 (3944 selesai, tiang 68 selesai, 3/3 sisa instal 31 odp, \kabel 24 (7218 selesai, ku 12 (3944 selesai, tiang 68 selesai, 2/3 sisa instal 31 odp, \kabel 24 (7218 selesai, ku 12 (3944 selesai, tiang 68 selesai, 25/2 sisa instal 31 odp"&amp;", \kabel 24 (7218 selesai, ku 12 (3944 selesai, tiang 68 selesai, 
22/2 penarikan kabel 24 (7218 selesai, ku 12 (3944 sisa 1185, selesai, odp 31 blm progres,  tiang 68 selesai, 20/2 penarikan kabel 24 (7218 selesai, ku 12 (3944 sisa 1940, selesai, odp 31 "&amp;"blm progres,  tiang 68 sisa 15, 18/2 penarikan kabel 24 (7218 selesai, ku 12 (3944 sisa 1940, selesai, odp 31 blm progres,  16/2 penarikan kabel 24 (7218 selesai, ku 12 (3944 sisa 1940, selesai, odp 31 blm progres, 13/2 penarikan ku 12 (3944nblm ada progr"&amp;"es) ku 24 (7218 sisa 5638) odp (31 blm ada progres) tiang 68 sisa 28, 12/2 penarikan ku 12 (3944nblm ada progres) ku 24 (7218 blm ada progres) odp (31 blm ada progres) tiang 68 sisa 40, 11/2 prepair tim untuk progres di lokasi plan bsk 12/2, 10/2 proses t"&amp;"anam tiang, 9/2 prepair pengiriman matrial kelokasi, paralel perijinan desa,  6/2 prepair pengiriman matrial kelokasi, paralel perijinan desa, 5/2 prepair pengiriman matrial kelokasi, paralel perijinan desa, 3/2 menunggu material ready di lokasi, paralel "&amp;"perijinan desa,  2/2 menunggu material ready di lokasi, paralel perijinan desa, 1/2 sudah req matrial paralel perijinan desa, 30/1 sudah req matrial paralel perijinan desa, 28/1 menunggu req matrail paralel pengantar ijin  desa,  27/1 boq sudah submit sis"&amp;"a menunggu hasil otdr core exis, 26/1 boq sudah submit sisa menunggu hasil otdr core exis, 23/1 menunggu boq kml hasil survey, 22/1 menunggu  boq kml hasil survey, 21/1 menunggu boq kml hasil survey, 20/1 menunggu boq kml hasil survey, 18/1 plan survey ha"&amp;"ri ini 19/1,  15/1 plan survey 19/1, 14/1 plan survey tanggal 19/1, 13/1 menunggu info mitra (07/01) Persiapan")</f>
        <v>18/3 proses valins 31 odp sisa 12, 16/3 proses instal 31 odp sisa 11, kabel 24 (7218 selesai, ku 12 (3944 selesai, tiang 68 selesai, , 13/3 (terkendala tim jointer blm ada ) sisa instal 31 odp, kabel 24 (7218 selesai, ku 12 (3944 selesai, tiang 68 selesai, 11/3 sisa instal 31 odp, kabel 24 (7218 selesai, ku 12 (3944 selesai, tiang 68 selesai, 10/3 kendala perizinan plan pengalihan rute, 5/3 sisa instal 31 odp, \kabel 24 (7218 selesai, ku 12 (3944 selesai, tiang 68 selesai, 4/3 sisa instal 31 odp, \kabel 24 (7218 selesai, ku 12 (3944 selesai, tiang 68 selesai, 3/3 sisa instal 31 odp, \kabel 24 (7218 selesai, ku 12 (3944 selesai, tiang 68 selesai, 2/3 sisa instal 31 odp, \kabel 24 (7218 selesai, ku 12 (3944 selesai, tiang 68 selesai, 25/2 sisa instal 31 odp, \kabel 24 (7218 selesai, ku 12 (3944 selesai, tiang 68 selesai, 
22/2 penarikan kabel 24 (7218 selesai, ku 12 (3944 sisa 1185, selesai, odp 31 blm progres,  tiang 68 selesai, 20/2 penarikan kabel 24 (7218 selesai, ku 12 (3944 sisa 1940, selesai, odp 31 blm progres,  tiang 68 sisa 15, 18/2 penarikan kabel 24 (7218 selesai, ku 12 (3944 sisa 1940, selesai, odp 31 blm progres,  16/2 penarikan kabel 24 (7218 selesai, ku 12 (3944 sisa 1940, selesai, odp 31 blm progres, 13/2 penarikan ku 12 (3944nblm ada progres) ku 24 (7218 sisa 5638) odp (31 blm ada progres) tiang 68 sisa 28, 12/2 penarikan ku 12 (3944nblm ada progres) ku 24 (7218 blm ada progres) odp (31 blm ada progres) tiang 68 sisa 40, 11/2 prepair tim untuk progres di lokasi plan bsk 12/2, 10/2 proses tanam tiang, 9/2 prepair pengiriman matrial kelokasi, paralel perijinan desa,  6/2 prepair pengiriman matrial kelokasi, paralel perijinan desa, 5/2 prepair pengiriman matrial kelokasi, paralel perijinan desa, 3/2 menunggu material ready di lokasi, paralel perijinan desa,  2/2 menunggu material ready di lokasi, paralel perijinan desa, 1/2 sudah req matrial paralel perijinan desa, 30/1 sudah req matrial paralel perijinan desa, 28/1 menunggu req matrail paralel pengantar ijin  desa,  27/1 boq sudah submit sisa menunggu hasil otdr core exis, 26/1 boq sudah submit sisa menunggu hasil otdr core exis, 23/1 menunggu boq kml hasil survey, 22/1 menunggu  boq kml hasil survey, 21/1 menunggu boq kml hasil survey, 20/1 menunggu boq kml hasil survey, 18/1 plan survey hari ini 19/1,  15/1 plan survey 19/1, 14/1 plan survey tanggal 19/1, 13/1 menunggu info mitra (07/01) Persiapan</v>
      </c>
      <c r="R523" s="228">
        <f>IFERROR(__xludf.DUMMYFUNCTION("""COMPUTED_VALUE"""),46112.0)</f>
        <v>46112</v>
      </c>
      <c r="S523" s="11" t="str">
        <f>IFERROR(__xludf.DUMMYFUNCTION("""COMPUTED_VALUE"""),"MAR")</f>
        <v>MAR</v>
      </c>
      <c r="T523" s="11"/>
      <c r="U523" s="11" t="str">
        <f>IFERROR(__xludf.DUMMYFUNCTION("""COMPUTED_VALUE"""),"TIF-1413/2026")</f>
        <v>TIF-1413/2026</v>
      </c>
      <c r="V523" s="229"/>
      <c r="W523" s="229"/>
      <c r="X523" s="229" t="str">
        <f>IFERROR(__xludf.DUMMYFUNCTION("""COMPUTED_VALUE"""),"GOLIVE")</f>
        <v>GOLIVE</v>
      </c>
      <c r="Y523" s="229" t="str">
        <f>IFERROR(__xludf.DUMMYFUNCTION("""COMPUTED_VALUE"""),"DONE")</f>
        <v>DONE</v>
      </c>
      <c r="Z523" s="229" t="str">
        <f>IFERROR(__xludf.DUMMYFUNCTION("""COMPUTED_VALUE"""),"#N/A")</f>
        <v>#N/A</v>
      </c>
      <c r="AA523" s="229">
        <f>IFERROR(__xludf.DUMMYFUNCTION("""COMPUTED_VALUE"""),30.0)</f>
        <v>30</v>
      </c>
      <c r="AB523" s="229"/>
      <c r="AC523" s="229" t="str">
        <f>IFERROR(__xludf.DUMMYFUNCTION("""COMPUTED_VALUE"""),"9218668#9218673 ,9219241#9219246")</f>
        <v>9218668#9218673 ,9219241#9219246</v>
      </c>
      <c r="AD523" s="232">
        <f>IFERROR(__xludf.DUMMYFUNCTION("""COMPUTED_VALUE"""),240.0)</f>
        <v>240</v>
      </c>
      <c r="AE523" s="233">
        <f>IFERROR(__xludf.DUMMYFUNCTION("""COMPUTED_VALUE"""),46100.0)</f>
        <v>46100</v>
      </c>
      <c r="AF523" s="54"/>
      <c r="AG523" s="54"/>
      <c r="AH523" s="54">
        <v>46112.0</v>
      </c>
      <c r="AI523" s="55">
        <f t="shared" si="62"/>
        <v>12</v>
      </c>
      <c r="AW523" s="234"/>
      <c r="BP523" s="11"/>
      <c r="BQ523" s="11"/>
      <c r="BR523" s="235"/>
      <c r="BV523" s="158"/>
      <c r="BY523" s="158"/>
      <c r="CB523" s="158"/>
    </row>
    <row r="524" ht="18.0" hidden="1" customHeight="1">
      <c r="A524" s="222">
        <f>IFERROR(__xludf.DUMMYFUNCTION("""COMPUTED_VALUE"""),2026.0)</f>
        <v>2026</v>
      </c>
      <c r="B524" s="221">
        <f>IFERROR(__xludf.DUMMYFUNCTION("""COMPUTED_VALUE"""),1.1810536E7)</f>
        <v>11810536</v>
      </c>
      <c r="C524" s="222" t="str">
        <f>IFERROR(__xludf.DUMMYFUNCTION("""COMPUTED_VALUE"""),"BNK-PT3BRC-CRP-FF-JPPTSEL-AIR MERAH")</f>
        <v>BNK-PT3BRC-CRP-FF-JPPTSEL-AIR MERAH</v>
      </c>
      <c r="D524" s="222" t="str">
        <f>IFERROR(__xludf.DUMMYFUNCTION("""COMPUTED_VALUE"""),"REGIONAL I")</f>
        <v>REGIONAL I</v>
      </c>
      <c r="E524" s="222" t="str">
        <f>IFERROR(__xludf.DUMMYFUNCTION("""COMPUTED_VALUE"""),"BENGKULU")</f>
        <v>BENGKULU</v>
      </c>
      <c r="F524" s="222" t="str">
        <f>IFERROR(__xludf.DUMMYFUNCTION("""COMPUTED_VALUE"""),"CRP")</f>
        <v>CRP</v>
      </c>
      <c r="G524" s="222" t="str">
        <f>IFERROR(__xludf.DUMMYFUNCTION("""COMPUTED_VALUE"""),"SUMBAGSEL")</f>
        <v>SUMBAGSEL</v>
      </c>
      <c r="H524" s="222" t="str">
        <f>IFERROR(__xludf.DUMMYFUNCTION("""COMPUTED_VALUE"""),"BENGKULU")</f>
        <v>BENGKULU</v>
      </c>
      <c r="I524" s="222" t="str">
        <f>IFERROR(__xludf.DUMMYFUNCTION("""COMPUTED_VALUE"""),"Batch 2")</f>
        <v>Batch 2</v>
      </c>
      <c r="J524" s="225">
        <f>IFERROR(__xludf.DUMMYFUNCTION("""COMPUTED_VALUE"""),2.0)</f>
        <v>2</v>
      </c>
      <c r="K524" s="224">
        <f>IFERROR(__xludf.DUMMYFUNCTION("""COMPUTED_VALUE"""),16.0)</f>
        <v>16</v>
      </c>
      <c r="L524" s="226">
        <f>IFERROR(__xludf.DUMMYFUNCTION("""COMPUTED_VALUE"""),1239703.0)</f>
        <v>1239703</v>
      </c>
      <c r="M524" s="227">
        <f>IFERROR(__xludf.DUMMYFUNCTION("""COMPUTED_VALUE"""),1.9835245E7)</f>
        <v>19835245</v>
      </c>
      <c r="N524" s="222" t="str">
        <f>IFERROR(__xludf.DUMMYFUNCTION("""COMPUTED_VALUE"""),"PT. Telaga Restu Abadi")</f>
        <v>PT. Telaga Restu Abadi</v>
      </c>
      <c r="O524" s="222" t="str">
        <f>IFERROR(__xludf.DUMMYFUNCTION("""COMPUTED_VALUE"""),"0. DROP")</f>
        <v>0. DROP</v>
      </c>
      <c r="P524" s="222" t="str">
        <f>IFERROR(__xludf.DUMMYFUNCTION("""COMPUTED_VALUE"""),"0.2 Tidak Dapat Izin Warga/Kades/Lurah/Developer")</f>
        <v>0.2 Tidak Dapat Izin Warga/Kades/Lurah/Developer</v>
      </c>
      <c r="Q524" s="222" t="str">
        <f>IFERROR(__xludf.DUMMYFUNCTION("""COMPUTED_VALUE"""),"22/01 : tidak dapat izin RT, RW // 12/01 propose drop karena 4 tiang yg ditanam, minta dipasang 4 lampu jalan juga, (07/01) Persiapan")</f>
        <v>22/01 : tidak dapat izin RT, RW // 12/01 propose drop karena 4 tiang yg ditanam, minta dipasang 4 lampu jalan juga, (07/01) Persiapan</v>
      </c>
      <c r="R524" s="228"/>
      <c r="S524" s="11"/>
      <c r="T524" s="11"/>
      <c r="U524" s="11"/>
      <c r="V524" s="229"/>
      <c r="W524" s="229"/>
      <c r="X524" s="229" t="str">
        <f>IFERROR(__xludf.DUMMYFUNCTION("""COMPUTED_VALUE"""),"BELUM GOLIVE")</f>
        <v>BELUM GOLIVE</v>
      </c>
      <c r="Y524" s="229"/>
      <c r="Z524" s="229" t="str">
        <f>IFERROR(__xludf.DUMMYFUNCTION("""COMPUTED_VALUE"""),"#N/A")</f>
        <v>#N/A</v>
      </c>
      <c r="AA524" s="229"/>
      <c r="AB524" s="229"/>
      <c r="AC524" s="229"/>
      <c r="AD524" s="232"/>
      <c r="AE524" s="233"/>
      <c r="AF524" s="54" t="str">
        <f>IFERROR(__xludf.DUMMYFUNCTION("""COMPUTED_VALUE"""),"Draft BA DROP")</f>
        <v>Draft BA DROP</v>
      </c>
      <c r="AG524" s="54"/>
      <c r="AH524" s="54"/>
      <c r="AI524" s="55" t="str">
        <f t="shared" si="62"/>
        <v/>
      </c>
      <c r="AW524" s="234"/>
      <c r="BP524" s="11"/>
      <c r="BQ524" s="11"/>
      <c r="BR524" s="235"/>
      <c r="BV524" s="158"/>
      <c r="BY524" s="158"/>
      <c r="CB524" s="158"/>
    </row>
    <row r="525" ht="18.0" hidden="1" customHeight="1">
      <c r="A525" s="222">
        <f>IFERROR(__xludf.DUMMYFUNCTION("""COMPUTED_VALUE"""),2026.0)</f>
        <v>2026</v>
      </c>
      <c r="B525" s="221">
        <f>IFERROR(__xludf.DUMMYFUNCTION("""COMPUTED_VALUE"""),1.2100932E7)</f>
        <v>12100932</v>
      </c>
      <c r="C525" s="222" t="str">
        <f>IFERROR(__xludf.DUMMYFUNCTION("""COMPUTED_VALUE"""),"SMS PT3 ODC SRO FC D01 BANYUASIN_46722")</f>
        <v>SMS PT3 ODC SRO FC D01 BANYUASIN_46722</v>
      </c>
      <c r="D525" s="222" t="str">
        <f>IFERROR(__xludf.DUMMYFUNCTION("""COMPUTED_VALUE"""),"REGIONAL I")</f>
        <v>REGIONAL I</v>
      </c>
      <c r="E525" s="222" t="str">
        <f>IFERROR(__xludf.DUMMYFUNCTION("""COMPUTED_VALUE"""),"SUMSEL")</f>
        <v>SUMSEL</v>
      </c>
      <c r="F525" s="222" t="str">
        <f>IFERROR(__xludf.DUMMYFUNCTION("""COMPUTED_VALUE"""),"SRO")</f>
        <v>SRO</v>
      </c>
      <c r="G525" s="222" t="str">
        <f>IFERROR(__xludf.DUMMYFUNCTION("""COMPUTED_VALUE"""),"SUMBAGSEL")</f>
        <v>SUMBAGSEL</v>
      </c>
      <c r="H525" s="222" t="str">
        <f>IFERROR(__xludf.DUMMYFUNCTION("""COMPUTED_VALUE"""),"PALEMBANG")</f>
        <v>PALEMBANG</v>
      </c>
      <c r="I525" s="222" t="str">
        <f>IFERROR(__xludf.DUMMYFUNCTION("""COMPUTED_VALUE"""),"Batch 2")</f>
        <v>Batch 2</v>
      </c>
      <c r="J525" s="225">
        <f>IFERROR(__xludf.DUMMYFUNCTION("""COMPUTED_VALUE"""),2.0)</f>
        <v>2</v>
      </c>
      <c r="K525" s="224">
        <f>IFERROR(__xludf.DUMMYFUNCTION("""COMPUTED_VALUE"""),16.0)</f>
        <v>16</v>
      </c>
      <c r="L525" s="226">
        <f>IFERROR(__xludf.DUMMYFUNCTION("""COMPUTED_VALUE"""),1238772.0)</f>
        <v>1238772</v>
      </c>
      <c r="M525" s="227">
        <f>IFERROR(__xludf.DUMMYFUNCTION("""COMPUTED_VALUE"""),1.9820345E7)</f>
        <v>19820345</v>
      </c>
      <c r="N525" s="222" t="str">
        <f>IFERROR(__xludf.DUMMYFUNCTION("""COMPUTED_VALUE"""),"PT ACERO CETHA METALINDO")</f>
        <v>PT ACERO CETHA METALINDO</v>
      </c>
      <c r="O525" s="222" t="str">
        <f>IFERROR(__xludf.DUMMYFUNCTION("""COMPUTED_VALUE"""),"0. DROP")</f>
        <v>0. DROP</v>
      </c>
      <c r="P525" s="222" t="str">
        <f>IFERROR(__xludf.DUMMYFUNCTION("""COMPUTED_VALUE"""),"0.2 Tidak Dapat Izin Warga/Kades/Lurah/Developer")</f>
        <v>0.2 Tidak Dapat Izin Warga/Kades/Lurah/Developer</v>
      </c>
      <c r="Q525" s="222" t="str">
        <f>IFERROR(__xludf.DUMMYFUNCTION("""COMPUTED_VALUE"""),"09/03 tidak mendapat izin RT karena meminta prelim,27/02 tidak mendapat izin RT karena meminta prelim, 06/02 SALES BUTUH KONFIRM ULANG KE LOKASI UNTUK IZIN RT, 07/01 DROP tidak dpt izin dari RT (20/01) drop karena tidak mendaptakan izin dari RT setempat, "&amp;"(15/1) purpose drop (06/01)order JPP batch-2 2026 (18/11 drop karena 4tiang yg ditanam,minta pasang 4 lampu jalan juga, (14/11) KENDALA WARGA TIDAK MENGIZINKAN , KONFIRM TSEL (12/11) masih kendala perizinan RT, 11/11 masih kendala perizinan RT (08/11) KEN"&amp;"DALA PERIZINAN RT (3/11) req matrial, menunggu Progres 15/ 10 Perizinan RT/Kades 13/10 aanwizjing done, proses update hasil aanwizjing untuk eval tif
 08/10 aanwizjing done, proses update hasil aanwizjing untuk eval tif
 (01/10) menunggu jadwal aanwizjing")</f>
        <v>09/03 tidak mendapat izin RT karena meminta prelim,27/02 tidak mendapat izin RT karena meminta prelim, 06/02 SALES BUTUH KONFIRM ULANG KE LOKASI UNTUK IZIN RT, 07/01 DROP tidak dpt izin dari RT (20/01) drop karena tidak mendaptakan izin dari RT setempat, (15/1) purpose drop (06/01)order JPP batch-2 2026 (18/11 drop karena 4tiang yg ditanam,minta pasang 4 lampu jalan juga, (14/11) KENDALA WARGA TIDAK MENGIZINKAN , KONFIRM TSEL (12/11) masih kendala perizinan RT, 11/11 masih kendala perizinan RT (08/11) KENDALA PERIZINAN RT (3/11) req matrial, menunggu Progres 15/ 10 Perizinan RT/Kades 13/10 aanwizjing done, proses update hasil aanwizjing untuk eval tif
 08/10 aanwizjing done, proses update hasil aanwizjing untuk eval tif
 (01/10) menunggu jadwal aanwizjing</v>
      </c>
      <c r="R525" s="228"/>
      <c r="S525" s="11"/>
      <c r="T525" s="11"/>
      <c r="U525" s="11"/>
      <c r="V525" s="229" t="str">
        <f>IFERROR(__xludf.DUMMYFUNCTION("""COMPUTED_VALUE"""),"TEGAR")</f>
        <v>TEGAR</v>
      </c>
      <c r="W525" s="229"/>
      <c r="X525" s="229" t="str">
        <f>IFERROR(__xludf.DUMMYFUNCTION("""COMPUTED_VALUE"""),"BELUM GOLIVE")</f>
        <v>BELUM GOLIVE</v>
      </c>
      <c r="Y525" s="229"/>
      <c r="Z525" s="229" t="str">
        <f>IFERROR(__xludf.DUMMYFUNCTION("""COMPUTED_VALUE"""),"#N/A")</f>
        <v>#N/A</v>
      </c>
      <c r="AA525" s="229"/>
      <c r="AB525" s="229"/>
      <c r="AC525" s="229"/>
      <c r="AD525" s="232"/>
      <c r="AE525" s="233"/>
      <c r="AF525" s="54" t="str">
        <f>IFERROR(__xludf.DUMMYFUNCTION("""COMPUTED_VALUE"""),"Draft BA DROP")</f>
        <v>Draft BA DROP</v>
      </c>
      <c r="AG525" s="54"/>
      <c r="AH525" s="54"/>
      <c r="AI525" s="55" t="str">
        <f t="shared" si="62"/>
        <v/>
      </c>
      <c r="AW525" s="234"/>
      <c r="BP525" s="11"/>
      <c r="BQ525" s="11"/>
      <c r="BR525" s="235"/>
      <c r="BV525" s="158"/>
      <c r="BY525" s="158"/>
      <c r="CB525" s="158"/>
    </row>
    <row r="526" ht="18.0" customHeight="1">
      <c r="A526" s="222">
        <f>IFERROR(__xludf.DUMMYFUNCTION("""COMPUTED_VALUE"""),2026.0)</f>
        <v>2026</v>
      </c>
      <c r="B526" s="221">
        <f>IFERROR(__xludf.DUMMYFUNCTION("""COMPUTED_VALUE"""),1.1425818E7)</f>
        <v>11425818</v>
      </c>
      <c r="C526" s="222" t="str">
        <f>IFERROR(__xludf.DUMMYFUNCTION("""COMPUTED_VALUE"""),"RDR UBT PT3 P2I1 KAMPAR_1676")</f>
        <v>RDR UBT PT3 P2I1 KAMPAR_1676</v>
      </c>
      <c r="D526" s="222" t="str">
        <f>IFERROR(__xludf.DUMMYFUNCTION("""COMPUTED_VALUE"""),"REGIONAL I")</f>
        <v>REGIONAL I</v>
      </c>
      <c r="E526" s="222" t="str">
        <f>IFERROR(__xludf.DUMMYFUNCTION("""COMPUTED_VALUE"""),"RIDAR")</f>
        <v>RIDAR</v>
      </c>
      <c r="F526" s="222" t="str">
        <f>IFERROR(__xludf.DUMMYFUNCTION("""COMPUTED_VALUE"""),"UBT")</f>
        <v>UBT</v>
      </c>
      <c r="G526" s="222" t="str">
        <f>IFERROR(__xludf.DUMMYFUNCTION("""COMPUTED_VALUE"""),"SUMBAGTENG")</f>
        <v>SUMBAGTENG</v>
      </c>
      <c r="H526" s="222" t="str">
        <f>IFERROR(__xludf.DUMMYFUNCTION("""COMPUTED_VALUE"""),"DUMAI")</f>
        <v>DUMAI</v>
      </c>
      <c r="I526" s="222" t="str">
        <f>IFERROR(__xludf.DUMMYFUNCTION("""COMPUTED_VALUE"""),"Batch 2")</f>
        <v>Batch 2</v>
      </c>
      <c r="J526" s="225">
        <f>IFERROR(__xludf.DUMMYFUNCTION("""COMPUTED_VALUE"""),13.0)</f>
        <v>13</v>
      </c>
      <c r="K526" s="224">
        <f>IFERROR(__xludf.DUMMYFUNCTION("""COMPUTED_VALUE"""),104.0)</f>
        <v>104</v>
      </c>
      <c r="L526" s="226">
        <f>IFERROR(__xludf.DUMMYFUNCTION("""COMPUTED_VALUE"""),1155367.0)</f>
        <v>1155367</v>
      </c>
      <c r="M526" s="227">
        <f>IFERROR(__xludf.DUMMYFUNCTION("""COMPUTED_VALUE"""),1.20158089E8)</f>
        <v>120158089</v>
      </c>
      <c r="N526" s="222" t="str">
        <f>IFERROR(__xludf.DUMMYFUNCTION("""COMPUTED_VALUE"""),"PT TRIPOLA PANATA")</f>
        <v>PT TRIPOLA PANATA</v>
      </c>
      <c r="O526" s="222" t="str">
        <f>IFERROR(__xludf.DUMMYFUNCTION("""COMPUTED_VALUE"""),"7. GOLIVE")</f>
        <v>7. GOLIVE</v>
      </c>
      <c r="P526" s="222" t="str">
        <f>IFERROR(__xludf.DUMMYFUNCTION("""COMPUTED_VALUE"""),"7.2 Golive Full / OA / DONE OTB")</f>
        <v>7.2 Golive Full / OA / DONE OTB</v>
      </c>
      <c r="Q526" s="222" t="str">
        <f>IFERROR(__xludf.DUMMYFUNCTION("""COMPUTED_VALUE"""),"10/02 Penarikan kabel 29/01 Antrian REview hasil anwidzing 21/01 Terget selesai survey 30 Jan (07/01) Persiapan")</f>
        <v>10/02 Penarikan kabel 29/01 Antrian REview hasil anwidzing 21/01 Terget selesai survey 30 Jan (07/01) Persiapan</v>
      </c>
      <c r="R526" s="228">
        <f>IFERROR(__xludf.DUMMYFUNCTION("""COMPUTED_VALUE"""),46078.0)</f>
        <v>46078</v>
      </c>
      <c r="S526" s="11"/>
      <c r="T526" s="11"/>
      <c r="U526" s="11" t="str">
        <f>IFERROR(__xludf.DUMMYFUNCTION("""COMPUTED_VALUE"""),"W08-1616/2025")</f>
        <v>W08-1616/2025</v>
      </c>
      <c r="V526" s="229" t="str">
        <f>IFERROR(__xludf.DUMMYFUNCTION("""COMPUTED_VALUE"""),"SYAFRIAL")</f>
        <v>SYAFRIAL</v>
      </c>
      <c r="W526" s="229" t="str">
        <f>IFERROR(__xludf.DUMMYFUNCTION("""COMPUTED_VALUE"""),"DESLITA RAHMADANI")</f>
        <v>DESLITA RAHMADANI</v>
      </c>
      <c r="X526" s="229" t="str">
        <f>IFERROR(__xludf.DUMMYFUNCTION("""COMPUTED_VALUE"""),"GOLIVE")</f>
        <v>GOLIVE</v>
      </c>
      <c r="Y526" s="229" t="str">
        <f>IFERROR(__xludf.DUMMYFUNCTION("""COMPUTED_VALUE"""),"DONE")</f>
        <v>DONE</v>
      </c>
      <c r="Z526" s="229" t="str">
        <f>IFERROR(__xludf.DUMMYFUNCTION("""COMPUTED_VALUE"""),"#N/A")</f>
        <v>#N/A</v>
      </c>
      <c r="AA526" s="229">
        <f>IFERROR(__xludf.DUMMYFUNCTION("""COMPUTED_VALUE"""),13.0)</f>
        <v>13</v>
      </c>
      <c r="AB526" s="229"/>
      <c r="AC526" s="229" t="str">
        <f>IFERROR(__xludf.DUMMYFUNCTION("""COMPUTED_VALUE"""),"9125794#9125799")</f>
        <v>9125794#9125799</v>
      </c>
      <c r="AD526" s="232">
        <f>IFERROR(__xludf.DUMMYFUNCTION("""COMPUTED_VALUE"""),104.0)</f>
        <v>104</v>
      </c>
      <c r="AE526" s="233">
        <f>IFERROR(__xludf.DUMMYFUNCTION("""COMPUTED_VALUE"""),46072.0)</f>
        <v>46072</v>
      </c>
      <c r="AF526" s="54"/>
      <c r="AG526" s="54"/>
      <c r="AH526" s="54">
        <v>46078.0</v>
      </c>
      <c r="AI526" s="55">
        <f>IF(OR(AH526="",AE526=""),"",AH526-AE526)</f>
        <v>6</v>
      </c>
      <c r="AW526" s="234"/>
      <c r="BP526" s="11"/>
      <c r="BQ526" s="11"/>
      <c r="BR526" s="235"/>
      <c r="BV526" s="158"/>
      <c r="BY526" s="158"/>
      <c r="CB526" s="158"/>
    </row>
    <row r="527" ht="18.0" customHeight="1">
      <c r="A527" s="222">
        <f>IFERROR(__xludf.DUMMYFUNCTION("""COMPUTED_VALUE"""),2026.0)</f>
        <v>2026</v>
      </c>
      <c r="B527" s="221">
        <f>IFERROR(__xludf.DUMMYFUNCTION("""COMPUTED_VALUE"""),1.1526512E7)</f>
        <v>11526512</v>
      </c>
      <c r="C527" s="222" t="str">
        <f>IFERROR(__xludf.DUMMYFUNCTION("""COMPUTED_VALUE"""),"RKP TSEL PT3 BUM-FJ JL. MUTIARA")</f>
        <v>RKP TSEL PT3 BUM-FJ JL. MUTIARA</v>
      </c>
      <c r="D527" s="222" t="str">
        <f>IFERROR(__xludf.DUMMYFUNCTION("""COMPUTED_VALUE"""),"REGIONAL I")</f>
        <v>REGIONAL I</v>
      </c>
      <c r="E527" s="222" t="str">
        <f>IFERROR(__xludf.DUMMYFUNCTION("""COMPUTED_VALUE"""),"RIKEP")</f>
        <v>RIKEP</v>
      </c>
      <c r="F527" s="222" t="str">
        <f>IFERROR(__xludf.DUMMYFUNCTION("""COMPUTED_VALUE"""),"LBJ")</f>
        <v>LBJ</v>
      </c>
      <c r="G527" s="222" t="str">
        <f>IFERROR(__xludf.DUMMYFUNCTION("""COMPUTED_VALUE"""),"SUMBAGTENG")</f>
        <v>SUMBAGTENG</v>
      </c>
      <c r="H527" s="222" t="str">
        <f>IFERROR(__xludf.DUMMYFUNCTION("""COMPUTED_VALUE"""),"BATAM")</f>
        <v>BATAM</v>
      </c>
      <c r="I527" s="222" t="str">
        <f>IFERROR(__xludf.DUMMYFUNCTION("""COMPUTED_VALUE"""),"Batch 2")</f>
        <v>Batch 2</v>
      </c>
      <c r="J527" s="225">
        <f>IFERROR(__xludf.DUMMYFUNCTION("""COMPUTED_VALUE"""),3.0)</f>
        <v>3</v>
      </c>
      <c r="K527" s="224">
        <f>IFERROR(__xludf.DUMMYFUNCTION("""COMPUTED_VALUE"""),24.0)</f>
        <v>24</v>
      </c>
      <c r="L527" s="226">
        <f>IFERROR(__xludf.DUMMYFUNCTION("""COMPUTED_VALUE"""),1238405.0)</f>
        <v>1238405</v>
      </c>
      <c r="M527" s="227">
        <f>IFERROR(__xludf.DUMMYFUNCTION("""COMPUTED_VALUE"""),2.9721706E7)</f>
        <v>29721706</v>
      </c>
      <c r="N527" s="222" t="str">
        <f>IFERROR(__xludf.DUMMYFUNCTION("""COMPUTED_VALUE"""),"PT KOPEGTEL BATAM CEMERLANG")</f>
        <v>PT KOPEGTEL BATAM CEMERLANG</v>
      </c>
      <c r="O527" s="222" t="str">
        <f>IFERROR(__xludf.DUMMYFUNCTION("""COMPUTED_VALUE"""),"0. DROP")</f>
        <v>0. DROP</v>
      </c>
      <c r="P527" s="222" t="str">
        <f>IFERROR(__xludf.DUMMYFUNCTION("""COMPUTED_VALUE"""),"0.2 Tidak Dapat Izin Warga/Kades/Lurah/Developer")</f>
        <v>0.2 Tidak Dapat Izin Warga/Kades/Lurah/Developer</v>
      </c>
      <c r="Q527" s="222" t="str">
        <f>IFERROR(__xludf.DUMMYFUNCTION("""COMPUTED_VALUE"""),"12/02 RT tidak merespond izin, sudah di FU 3x. 09/02 sudah anwijzing, izin masih menunggu balasan dari RT, BOQ KML survey sudah di berikan. 23/01 Plan anwijzing 26 Jan, pic mitra ada pertanggal 25 jan. 21/01 proses penunjukan mitra ")</f>
        <v>12/02 RT tidak merespond izin, sudah di FU 3x. 09/02 sudah anwijzing, izin masih menunggu balasan dari RT, BOQ KML survey sudah di berikan. 23/01 Plan anwijzing 26 Jan, pic mitra ada pertanggal 25 jan. 21/01 proses penunjukan mitra </v>
      </c>
      <c r="R527" s="228"/>
      <c r="S527" s="11"/>
      <c r="T527" s="11"/>
      <c r="U527" s="11"/>
      <c r="V527" s="229" t="str">
        <f>IFERROR(__xludf.DUMMYFUNCTION("""COMPUTED_VALUE"""),"RONALDO LEO INFANTRI")</f>
        <v>RONALDO LEO INFANTRI</v>
      </c>
      <c r="W527" s="229" t="str">
        <f>IFERROR(__xludf.DUMMYFUNCTION("""COMPUTED_VALUE"""),"LEVITA INDRIYANI")</f>
        <v>LEVITA INDRIYANI</v>
      </c>
      <c r="X527" s="229" t="str">
        <f>IFERROR(__xludf.DUMMYFUNCTION("""COMPUTED_VALUE"""),"BELUM GOLIVE")</f>
        <v>BELUM GOLIVE</v>
      </c>
      <c r="Y527" s="229"/>
      <c r="Z527" s="229" t="str">
        <f>IFERROR(__xludf.DUMMYFUNCTION("""COMPUTED_VALUE"""),"#N/A")</f>
        <v>#N/A</v>
      </c>
      <c r="AA527" s="229"/>
      <c r="AB527" s="229"/>
      <c r="AC527" s="229"/>
      <c r="AD527" s="232"/>
      <c r="AE527" s="233"/>
      <c r="AF527" s="54" t="str">
        <f>IFERROR(__xludf.DUMMYFUNCTION("""COMPUTED_VALUE"""),"Draft BA DROP")</f>
        <v>Draft BA DROP</v>
      </c>
      <c r="AG527" s="54"/>
      <c r="AH527" s="54"/>
      <c r="AI527" s="55" t="str">
        <f t="shared" ref="AI527:AI535" si="63">IF(OR(R527="",AE527=""),"",R527-AE527)</f>
        <v/>
      </c>
      <c r="AW527" s="234"/>
      <c r="BP527" s="11"/>
      <c r="BQ527" s="11"/>
      <c r="BR527" s="235"/>
      <c r="BV527" s="158"/>
      <c r="BY527" s="158"/>
      <c r="CB527" s="158"/>
    </row>
    <row r="528" ht="18.0" hidden="1" customHeight="1">
      <c r="A528" s="222">
        <f>IFERROR(__xludf.DUMMYFUNCTION("""COMPUTED_VALUE"""),2026.0)</f>
        <v>2026</v>
      </c>
      <c r="B528" s="221">
        <f>IFERROR(__xludf.DUMMYFUNCTION("""COMPUTED_VALUE"""),1.129152E7)</f>
        <v>11291520</v>
      </c>
      <c r="C528" s="222" t="str">
        <f>IFERROR(__xludf.DUMMYFUNCTION("""COMPUTED_VALUE"""),"BNK-PT4-TIS-JPPTSEL-TALANG SEBARIS")</f>
        <v>BNK-PT4-TIS-JPPTSEL-TALANG SEBARIS</v>
      </c>
      <c r="D528" s="222" t="str">
        <f>IFERROR(__xludf.DUMMYFUNCTION("""COMPUTED_VALUE"""),"REGIONAL I")</f>
        <v>REGIONAL I</v>
      </c>
      <c r="E528" s="222" t="str">
        <f>IFERROR(__xludf.DUMMYFUNCTION("""COMPUTED_VALUE"""),"BENGKULU")</f>
        <v>BENGKULU</v>
      </c>
      <c r="F528" s="222" t="str">
        <f>IFERROR(__xludf.DUMMYFUNCTION("""COMPUTED_VALUE"""),"PDW")</f>
        <v>PDW</v>
      </c>
      <c r="G528" s="222" t="str">
        <f>IFERROR(__xludf.DUMMYFUNCTION("""COMPUTED_VALUE"""),"SUMBAGSEL")</f>
        <v>SUMBAGSEL</v>
      </c>
      <c r="H528" s="222" t="str">
        <f>IFERROR(__xludf.DUMMYFUNCTION("""COMPUTED_VALUE"""),"BENGKULU")</f>
        <v>BENGKULU</v>
      </c>
      <c r="I528" s="222" t="str">
        <f>IFERROR(__xludf.DUMMYFUNCTION("""COMPUTED_VALUE"""),"Batch 2")</f>
        <v>Batch 2</v>
      </c>
      <c r="J528" s="225">
        <f>IFERROR(__xludf.DUMMYFUNCTION("""COMPUTED_VALUE"""),27.0)</f>
        <v>27</v>
      </c>
      <c r="K528" s="224">
        <f>IFERROR(__xludf.DUMMYFUNCTION("""COMPUTED_VALUE"""),216.0)</f>
        <v>216</v>
      </c>
      <c r="L528" s="226">
        <f>IFERROR(__xludf.DUMMYFUNCTION("""COMPUTED_VALUE"""),1238247.0)</f>
        <v>1238247</v>
      </c>
      <c r="M528" s="227">
        <f>IFERROR(__xludf.DUMMYFUNCTION("""COMPUTED_VALUE"""),2.67461194E8)</f>
        <v>267461194</v>
      </c>
      <c r="N528" s="222" t="str">
        <f>IFERROR(__xludf.DUMMYFUNCTION("""COMPUTED_VALUE"""),"PT GARINDO TECHNO MANDIRI")</f>
        <v>PT GARINDO TECHNO MANDIRI</v>
      </c>
      <c r="O528" s="222" t="str">
        <f>IFERROR(__xludf.DUMMYFUNCTION("""COMPUTED_VALUE"""),"0. DROP")</f>
        <v>0. DROP</v>
      </c>
      <c r="P528" s="222" t="str">
        <f>IFERROR(__xludf.DUMMYFUNCTION("""COMPUTED_VALUE"""),"0.5 DROP TSEL - Acc ED TIF")</f>
        <v>0.5 DROP TSEL - Acc ED TIF</v>
      </c>
      <c r="Q528" s="222" t="str">
        <f>IFERROR(__xludf.DUMMYFUNCTION("""COMPUTED_VALUE"""),"31/03 : sudah di aanwijzing, hasil Evaluasi tsel dan tif LOP ini Drop dikarenakan kurang potensial // 16/03 : Dependesi Mini OLT Dari backbone, Info dari sales TSEL 02/03 : catuan mini OLT casecade feeder dari mini OLT // 21/01 : konfirmasi tif kendala ca"&amp;"tuan casecade mini olt // (07/01) Persiapa21/")</f>
        <v>31/03 : sudah di aanwijzing, hasil Evaluasi tsel dan tif LOP ini Drop dikarenakan kurang potensial // 16/03 : Dependesi Mini OLT Dari backbone, Info dari sales TSEL 02/03 : catuan mini OLT casecade feeder dari mini OLT // 21/01 : konfirmasi tif kendala catuan casecade mini olt // (07/01) Persiapa21/</v>
      </c>
      <c r="R528" s="228"/>
      <c r="S528" s="11"/>
      <c r="T528" s="11"/>
      <c r="U528" s="11"/>
      <c r="V528" s="229"/>
      <c r="W528" s="229"/>
      <c r="X528" s="229" t="str">
        <f>IFERROR(__xludf.DUMMYFUNCTION("""COMPUTED_VALUE"""),"BELUM GOLIVE")</f>
        <v>BELUM GOLIVE</v>
      </c>
      <c r="Y528" s="229"/>
      <c r="Z528" s="229" t="str">
        <f>IFERROR(__xludf.DUMMYFUNCTION("""COMPUTED_VALUE"""),"#N/A")</f>
        <v>#N/A</v>
      </c>
      <c r="AA528" s="229"/>
      <c r="AB528" s="229"/>
      <c r="AC528" s="229"/>
      <c r="AD528" s="232"/>
      <c r="AE528" s="233"/>
      <c r="AF528" s="54" t="str">
        <f>IFERROR(__xludf.DUMMYFUNCTION("""COMPUTED_VALUE"""),"Draft BA DROP")</f>
        <v>Draft BA DROP</v>
      </c>
      <c r="AG528" s="54"/>
      <c r="AH528" s="54"/>
      <c r="AI528" s="55" t="str">
        <f t="shared" si="63"/>
        <v/>
      </c>
      <c r="AW528" s="234"/>
      <c r="BP528" s="11"/>
      <c r="BQ528" s="11"/>
      <c r="BR528" s="235"/>
      <c r="BV528" s="158"/>
      <c r="BY528" s="158"/>
      <c r="CB528" s="158"/>
    </row>
    <row r="529" ht="18.0" customHeight="1">
      <c r="A529" s="222">
        <f>IFERROR(__xludf.DUMMYFUNCTION("""COMPUTED_VALUE"""),2026.0)</f>
        <v>2026</v>
      </c>
      <c r="B529" s="221">
        <f>IFERROR(__xludf.DUMMYFUNCTION("""COMPUTED_VALUE"""),1.2142934E7)</f>
        <v>12142934</v>
      </c>
      <c r="C529" s="222" t="str">
        <f>IFERROR(__xludf.DUMMYFUNCTION("""COMPUTED_VALUE"""),"RDR JPP PT3 JL. USAHA BAGAN SIAPI API")</f>
        <v>RDR JPP PT3 JL. USAHA BAGAN SIAPI API</v>
      </c>
      <c r="D529" s="222" t="str">
        <f>IFERROR(__xludf.DUMMYFUNCTION("""COMPUTED_VALUE"""),"REGIONAL I")</f>
        <v>REGIONAL I</v>
      </c>
      <c r="E529" s="222" t="str">
        <f>IFERROR(__xludf.DUMMYFUNCTION("""COMPUTED_VALUE"""),"RIDAR")</f>
        <v>RIDAR</v>
      </c>
      <c r="F529" s="222" t="str">
        <f>IFERROR(__xludf.DUMMYFUNCTION("""COMPUTED_VALUE"""),"BAG")</f>
        <v>BAG</v>
      </c>
      <c r="G529" s="222" t="str">
        <f>IFERROR(__xludf.DUMMYFUNCTION("""COMPUTED_VALUE"""),"SUMBAGTENG")</f>
        <v>SUMBAGTENG</v>
      </c>
      <c r="H529" s="222" t="str">
        <f>IFERROR(__xludf.DUMMYFUNCTION("""COMPUTED_VALUE"""),"DUMAI")</f>
        <v>DUMAI</v>
      </c>
      <c r="I529" s="222" t="str">
        <f>IFERROR(__xludf.DUMMYFUNCTION("""COMPUTED_VALUE"""),"Batch 2")</f>
        <v>Batch 2</v>
      </c>
      <c r="J529" s="225">
        <f>IFERROR(__xludf.DUMMYFUNCTION("""COMPUTED_VALUE"""),13.0)</f>
        <v>13</v>
      </c>
      <c r="K529" s="224">
        <f>IFERROR(__xludf.DUMMYFUNCTION("""COMPUTED_VALUE"""),104.0)</f>
        <v>104</v>
      </c>
      <c r="L529" s="226">
        <f>IFERROR(__xludf.DUMMYFUNCTION("""COMPUTED_VALUE"""),1155783.0)</f>
        <v>1155783</v>
      </c>
      <c r="M529" s="227">
        <f>IFERROR(__xludf.DUMMYFUNCTION("""COMPUTED_VALUE"""),1.20201349E8)</f>
        <v>120201349</v>
      </c>
      <c r="N529" s="222" t="str">
        <f>IFERROR(__xludf.DUMMYFUNCTION("""COMPUTED_VALUE"""),"PT ACERO CETHA METALINDO")</f>
        <v>PT ACERO CETHA METALINDO</v>
      </c>
      <c r="O529" s="222" t="str">
        <f>IFERROR(__xludf.DUMMYFUNCTION("""COMPUTED_VALUE"""),"0. DROP")</f>
        <v>0. DROP</v>
      </c>
      <c r="P529" s="222" t="str">
        <f>IFERROR(__xludf.DUMMYFUNCTION("""COMPUTED_VALUE"""),"0.3 Feeder Full")</f>
        <v>0.3 Feeder Full</v>
      </c>
      <c r="Q529" s="222" t="str">
        <f>IFERROR(__xludf.DUMMYFUNCTION("""COMPUTED_VALUE"""),"20/01 Drop kendala feeder full (07/01) Persiapan")</f>
        <v>20/01 Drop kendala feeder full (07/01) Persiapan</v>
      </c>
      <c r="R529" s="228"/>
      <c r="S529" s="11"/>
      <c r="T529" s="11"/>
      <c r="U529" s="11"/>
      <c r="V529" s="229" t="str">
        <f>IFERROR(__xludf.DUMMYFUNCTION("""COMPUTED_VALUE"""),"ONDI EKA SAPUTRA")</f>
        <v>ONDI EKA SAPUTRA</v>
      </c>
      <c r="W529" s="229" t="str">
        <f>IFERROR(__xludf.DUMMYFUNCTION("""COMPUTED_VALUE"""),"DESLITA RAHMADANI")</f>
        <v>DESLITA RAHMADANI</v>
      </c>
      <c r="X529" s="229" t="str">
        <f>IFERROR(__xludf.DUMMYFUNCTION("""COMPUTED_VALUE"""),"BELUM GOLIVE")</f>
        <v>BELUM GOLIVE</v>
      </c>
      <c r="Y529" s="229"/>
      <c r="Z529" s="229" t="str">
        <f>IFERROR(__xludf.DUMMYFUNCTION("""COMPUTED_VALUE"""),"#N/A")</f>
        <v>#N/A</v>
      </c>
      <c r="AA529" s="229"/>
      <c r="AB529" s="229"/>
      <c r="AC529" s="229"/>
      <c r="AD529" s="232"/>
      <c r="AE529" s="233"/>
      <c r="AF529" s="54" t="str">
        <f>IFERROR(__xludf.DUMMYFUNCTION("""COMPUTED_VALUE"""),"Draft BA DROP")</f>
        <v>Draft BA DROP</v>
      </c>
      <c r="AG529" s="54"/>
      <c r="AH529" s="54"/>
      <c r="AI529" s="55" t="str">
        <f t="shared" si="63"/>
        <v/>
      </c>
      <c r="AW529" s="234"/>
      <c r="BP529" s="11"/>
      <c r="BQ529" s="11"/>
      <c r="BR529" s="235"/>
      <c r="BV529" s="158"/>
      <c r="BY529" s="158"/>
      <c r="CB529" s="158"/>
    </row>
    <row r="530" ht="18.0" hidden="1" customHeight="1">
      <c r="A530" s="222">
        <f>IFERROR(__xludf.DUMMYFUNCTION("""COMPUTED_VALUE"""),2026.0)</f>
        <v>2026</v>
      </c>
      <c r="B530" s="221">
        <f>IFERROR(__xludf.DUMMYFUNCTION("""COMPUTED_VALUE"""),1.208238E7)</f>
        <v>12082380</v>
      </c>
      <c r="C530" s="222" t="str">
        <f>IFERROR(__xludf.DUMMYFUNCTION("""COMPUTED_VALUE"""),"MDN PT3 PUB-FF DELI SERDANG_64065")</f>
        <v>MDN PT3 PUB-FF DELI SERDANG_64065</v>
      </c>
      <c r="D530" s="222" t="str">
        <f>IFERROR(__xludf.DUMMYFUNCTION("""COMPUTED_VALUE"""),"REGIONAL I")</f>
        <v>REGIONAL I</v>
      </c>
      <c r="E530" s="222" t="str">
        <f>IFERROR(__xludf.DUMMYFUNCTION("""COMPUTED_VALUE"""),"MEDAN")</f>
        <v>MEDAN</v>
      </c>
      <c r="F530" s="222" t="str">
        <f>IFERROR(__xludf.DUMMYFUNCTION("""COMPUTED_VALUE"""),"PUB")</f>
        <v>PUB</v>
      </c>
      <c r="G530" s="222" t="str">
        <f>IFERROR(__xludf.DUMMYFUNCTION("""COMPUTED_VALUE"""),"SUMBAGUT")</f>
        <v>SUMBAGUT</v>
      </c>
      <c r="H530" s="222" t="str">
        <f>IFERROR(__xludf.DUMMYFUNCTION("""COMPUTED_VALUE"""),"MEDAN")</f>
        <v>MEDAN</v>
      </c>
      <c r="I530" s="222" t="str">
        <f>IFERROR(__xludf.DUMMYFUNCTION("""COMPUTED_VALUE"""),"Batch 2")</f>
        <v>Batch 2</v>
      </c>
      <c r="J530" s="225">
        <f>IFERROR(__xludf.DUMMYFUNCTION("""COMPUTED_VALUE"""),1.0)</f>
        <v>1</v>
      </c>
      <c r="K530" s="224">
        <f>IFERROR(__xludf.DUMMYFUNCTION("""COMPUTED_VALUE"""),8.0)</f>
        <v>8</v>
      </c>
      <c r="L530" s="226">
        <f>IFERROR(__xludf.DUMMYFUNCTION("""COMPUTED_VALUE"""),1237842.0)</f>
        <v>1237842</v>
      </c>
      <c r="M530" s="227">
        <f>IFERROR(__xludf.DUMMYFUNCTION("""COMPUTED_VALUE"""),9902729.0)</f>
        <v>9902729</v>
      </c>
      <c r="N530" s="222" t="str">
        <f>IFERROR(__xludf.DUMMYFUNCTION("""COMPUTED_VALUE"""),"PT WALET SOLUSINDO")</f>
        <v>PT WALET SOLUSINDO</v>
      </c>
      <c r="O530" s="222" t="str">
        <f>IFERROR(__xludf.DUMMYFUNCTION("""COMPUTED_VALUE"""),"0. DROP")</f>
        <v>0. DROP</v>
      </c>
      <c r="P530" s="222" t="str">
        <f>IFERROR(__xludf.DUMMYFUNCTION("""COMPUTED_VALUE"""),"0.4 CPP Tinggi Acc ED TIF")</f>
        <v>0.4 CPP Tinggi Acc ED TIF</v>
      </c>
      <c r="Q530" s="222" t="str">
        <f>IFERROR(__xludf.DUMMYFUNCTION("""COMPUTED_VALUE"""),"30/01 Feeder Redti")</f>
        <v>30/01 Feeder Redti</v>
      </c>
      <c r="R530" s="228"/>
      <c r="S530" s="11"/>
      <c r="T530" s="11"/>
      <c r="U530" s="11"/>
      <c r="V530" s="229"/>
      <c r="W530" s="229"/>
      <c r="X530" s="229" t="str">
        <f>IFERROR(__xludf.DUMMYFUNCTION("""COMPUTED_VALUE"""),"BELUM GOLIVE")</f>
        <v>BELUM GOLIVE</v>
      </c>
      <c r="Y530" s="229"/>
      <c r="Z530" s="229" t="str">
        <f>IFERROR(__xludf.DUMMYFUNCTION("""COMPUTED_VALUE"""),"#N/A")</f>
        <v>#N/A</v>
      </c>
      <c r="AA530" s="229"/>
      <c r="AB530" s="229"/>
      <c r="AC530" s="229"/>
      <c r="AD530" s="232"/>
      <c r="AE530" s="233"/>
      <c r="AF530" s="54" t="str">
        <f>IFERROR(__xludf.DUMMYFUNCTION("""COMPUTED_VALUE"""),"Draft BA DROP")</f>
        <v>Draft BA DROP</v>
      </c>
      <c r="AG530" s="54"/>
      <c r="AH530" s="54"/>
      <c r="AI530" s="55" t="str">
        <f t="shared" si="63"/>
        <v/>
      </c>
      <c r="AW530" s="234"/>
      <c r="BP530" s="11"/>
      <c r="BQ530" s="11"/>
      <c r="BR530" s="235"/>
      <c r="BV530" s="158"/>
      <c r="BY530" s="158"/>
      <c r="CB530" s="158"/>
    </row>
    <row r="531" ht="18.0" hidden="1" customHeight="1">
      <c r="A531" s="222">
        <f>IFERROR(__xludf.DUMMYFUNCTION("""COMPUTED_VALUE"""),2026.0)</f>
        <v>2026</v>
      </c>
      <c r="B531" s="221">
        <f>IFERROR(__xludf.DUMMYFUNCTION("""COMPUTED_VALUE"""),1.242917E7)</f>
        <v>12429170</v>
      </c>
      <c r="C531" s="222" t="str">
        <f>IFERROR(__xludf.DUMMYFUNCTION("""COMPUTED_VALUE"""),"JBI-PT3-MBN-FT-SUNGAI RENGAS 1")</f>
        <v>JBI-PT3-MBN-FT-SUNGAI RENGAS 1</v>
      </c>
      <c r="D531" s="222" t="str">
        <f>IFERROR(__xludf.DUMMYFUNCTION("""COMPUTED_VALUE"""),"REGIONAL I")</f>
        <v>REGIONAL I</v>
      </c>
      <c r="E531" s="222" t="str">
        <f>IFERROR(__xludf.DUMMYFUNCTION("""COMPUTED_VALUE"""),"JAMBI")</f>
        <v>JAMBI</v>
      </c>
      <c r="F531" s="222" t="str">
        <f>IFERROR(__xludf.DUMMYFUNCTION("""COMPUTED_VALUE"""),"MBN")</f>
        <v>MBN</v>
      </c>
      <c r="G531" s="222" t="str">
        <f>IFERROR(__xludf.DUMMYFUNCTION("""COMPUTED_VALUE"""),"SUMBAGSEL")</f>
        <v>SUMBAGSEL</v>
      </c>
      <c r="H531" s="222" t="str">
        <f>IFERROR(__xludf.DUMMYFUNCTION("""COMPUTED_VALUE"""),"JAMBI")</f>
        <v>JAMBI</v>
      </c>
      <c r="I531" s="222" t="str">
        <f>IFERROR(__xludf.DUMMYFUNCTION("""COMPUTED_VALUE"""),"Batch 2")</f>
        <v>Batch 2</v>
      </c>
      <c r="J531" s="225">
        <f>IFERROR(__xludf.DUMMYFUNCTION("""COMPUTED_VALUE"""),24.0)</f>
        <v>24</v>
      </c>
      <c r="K531" s="224">
        <f>IFERROR(__xludf.DUMMYFUNCTION("""COMPUTED_VALUE"""),192.0)</f>
        <v>192</v>
      </c>
      <c r="L531" s="226">
        <f>IFERROR(__xludf.DUMMYFUNCTION("""COMPUTED_VALUE"""),1236850.0)</f>
        <v>1236850</v>
      </c>
      <c r="M531" s="227">
        <f>IFERROR(__xludf.DUMMYFUNCTION("""COMPUTED_VALUE"""),2.37475121E8)</f>
        <v>237475121</v>
      </c>
      <c r="N531" s="222" t="str">
        <f>IFERROR(__xludf.DUMMYFUNCTION("""COMPUTED_VALUE"""),"PT HAN SUNG INDONESIA")</f>
        <v>PT HAN SUNG INDONESIA</v>
      </c>
      <c r="O531" s="222" t="str">
        <f>IFERROR(__xludf.DUMMYFUNCTION("""COMPUTED_VALUE"""),"7. GOLIVE")</f>
        <v>7. GOLIVE</v>
      </c>
      <c r="P531" s="222" t="str">
        <f>IFERROR(__xludf.DUMMYFUNCTION("""COMPUTED_VALUE"""),"7.2 Golive Full / OA / DONE OTB")</f>
        <v>7.2 Golive Full / OA / DONE OTB</v>
      </c>
      <c r="Q531" s="222" t="str">
        <f>IFERROR(__xludf.DUMMYFUNCTION("""COMPUTED_VALUE"""),"(12/03) Golive  (09/03) Valins (05/03) Instalasi Odp 18/24 (02/03) Instalasi Odp 7/24 (24/02) Tarik kabel 5.100/5.900 (16/2)tarik kabel 2500/5900 ,(5/2) MATERIAL ONSITE, MENUNGGU ANTRIAN PEKERJAAN LOKASI LAIN (29/1) MASIH PERIJINAN DESA , PALN JUMPA KADES"&amp;" 30 JAN 2026  (22/01) Create PID (12/1) Proses aanwidjizing 7/1 DRM  (06/01)order JPP batch-2 2026 (17/11 create PID 10/11 mapping mitra")</f>
        <v>(12/03) Golive  (09/03) Valins (05/03) Instalasi Odp 18/24 (02/03) Instalasi Odp 7/24 (24/02) Tarik kabel 5.100/5.900 (16/2)tarik kabel 2500/5900 ,(5/2) MATERIAL ONSITE, MENUNGGU ANTRIAN PEKERJAAN LOKASI LAIN (29/1) MASIH PERIJINAN DESA , PALN JUMPA KADES 30 JAN 2026  (22/01) Create PID (12/1) Proses aanwidjizing 7/1 DRM  (06/01)order JPP batch-2 2026 (17/11 create PID 10/11 mapping mitra</v>
      </c>
      <c r="R531" s="228">
        <f>IFERROR(__xludf.DUMMYFUNCTION("""COMPUTED_VALUE"""),46095.0)</f>
        <v>46095</v>
      </c>
      <c r="S531" s="11" t="str">
        <f>IFERROR(__xludf.DUMMYFUNCTION("""COMPUTED_VALUE"""),"MAR")</f>
        <v>MAR</v>
      </c>
      <c r="T531" s="11"/>
      <c r="U531" s="11"/>
      <c r="V531" s="229"/>
      <c r="W531" s="229"/>
      <c r="X531" s="229" t="str">
        <f>IFERROR(__xludf.DUMMYFUNCTION("""COMPUTED_VALUE"""),"GOLIVE")</f>
        <v>GOLIVE</v>
      </c>
      <c r="Y531" s="229" t="str">
        <f>IFERROR(__xludf.DUMMYFUNCTION("""COMPUTED_VALUE"""),"DONE")</f>
        <v>DONE</v>
      </c>
      <c r="Z531" s="229" t="str">
        <f>IFERROR(__xludf.DUMMYFUNCTION("""COMPUTED_VALUE"""),"#N/A")</f>
        <v>#N/A</v>
      </c>
      <c r="AA531" s="229">
        <f>IFERROR(__xludf.DUMMYFUNCTION("""COMPUTED_VALUE"""),22.0)</f>
        <v>22</v>
      </c>
      <c r="AB531" s="229"/>
      <c r="AC531" s="229" t="str">
        <f>IFERROR(__xludf.DUMMYFUNCTION("""COMPUTED_VALUE"""),"9196623#9196628")</f>
        <v>9196623#9196628</v>
      </c>
      <c r="AD531" s="232">
        <f>IFERROR(__xludf.DUMMYFUNCTION("""COMPUTED_VALUE"""),176.0)</f>
        <v>176</v>
      </c>
      <c r="AE531" s="233">
        <f>IFERROR(__xludf.DUMMYFUNCTION("""COMPUTED_VALUE"""),46093.0)</f>
        <v>46093</v>
      </c>
      <c r="AF531" s="54"/>
      <c r="AG531" s="54"/>
      <c r="AH531" s="54">
        <v>46095.0</v>
      </c>
      <c r="AI531" s="55">
        <f t="shared" si="63"/>
        <v>2</v>
      </c>
      <c r="AW531" s="234"/>
      <c r="BP531" s="11"/>
      <c r="BQ531" s="11"/>
      <c r="BR531" s="235"/>
      <c r="BV531" s="158"/>
      <c r="BY531" s="158"/>
      <c r="CB531" s="158"/>
    </row>
    <row r="532" ht="18.0" hidden="1" customHeight="1">
      <c r="A532" s="222">
        <f>IFERROR(__xludf.DUMMYFUNCTION("""COMPUTED_VALUE"""),2026.0)</f>
        <v>2026</v>
      </c>
      <c r="B532" s="221">
        <f>IFERROR(__xludf.DUMMYFUNCTION("""COMPUTED_VALUE"""),1.1454152E7)</f>
        <v>11454152</v>
      </c>
      <c r="C532" s="222" t="str">
        <f>IFERROR(__xludf.DUMMYFUNCTION("""COMPUTED_VALUE"""),"SMS P4I4 PT4 SKY FXX DESA TELUK BET")</f>
        <v>SMS P4I4 PT4 SKY FXX DESA TELUK BET</v>
      </c>
      <c r="D532" s="222" t="str">
        <f>IFERROR(__xludf.DUMMYFUNCTION("""COMPUTED_VALUE"""),"REGIONAL I")</f>
        <v>REGIONAL I</v>
      </c>
      <c r="E532" s="222" t="str">
        <f>IFERROR(__xludf.DUMMYFUNCTION("""COMPUTED_VALUE"""),"SUMSEL")</f>
        <v>SUMSEL</v>
      </c>
      <c r="F532" s="222" t="str">
        <f>IFERROR(__xludf.DUMMYFUNCTION("""COMPUTED_VALUE"""),"SKY")</f>
        <v>SKY</v>
      </c>
      <c r="G532" s="222" t="str">
        <f>IFERROR(__xludf.DUMMYFUNCTION("""COMPUTED_VALUE"""),"SUMBAGSEL")</f>
        <v>SUMBAGSEL</v>
      </c>
      <c r="H532" s="222" t="str">
        <f>IFERROR(__xludf.DUMMYFUNCTION("""COMPUTED_VALUE"""),"PALEMBANG")</f>
        <v>PALEMBANG</v>
      </c>
      <c r="I532" s="222" t="str">
        <f>IFERROR(__xludf.DUMMYFUNCTION("""COMPUTED_VALUE"""),"Batch 2")</f>
        <v>Batch 2</v>
      </c>
      <c r="J532" s="225">
        <f>IFERROR(__xludf.DUMMYFUNCTION("""COMPUTED_VALUE"""),17.0)</f>
        <v>17</v>
      </c>
      <c r="K532" s="224">
        <f>IFERROR(__xludf.DUMMYFUNCTION("""COMPUTED_VALUE"""),184.0)</f>
        <v>184</v>
      </c>
      <c r="L532" s="226">
        <f>IFERROR(__xludf.DUMMYFUNCTION("""COMPUTED_VALUE"""),1236404.0)</f>
        <v>1236404</v>
      </c>
      <c r="M532" s="227">
        <f>IFERROR(__xludf.DUMMYFUNCTION("""COMPUTED_VALUE"""),2.27498302E8)</f>
        <v>227498302</v>
      </c>
      <c r="N532" s="222" t="str">
        <f>IFERROR(__xludf.DUMMYFUNCTION("""COMPUTED_VALUE"""),"PT MAJU JAYA TEKNOLOGI")</f>
        <v>PT MAJU JAYA TEKNOLOGI</v>
      </c>
      <c r="O532" s="222" t="str">
        <f>IFERROR(__xludf.DUMMYFUNCTION("""COMPUTED_VALUE"""),"3. PERIZINAN")</f>
        <v>3. PERIZINAN</v>
      </c>
      <c r="P532" s="222" t="str">
        <f>IFERROR(__xludf.DUMMYFUNCTION("""COMPUTED_VALUE"""),"3.1 Submit permohon ke PU")</f>
        <v>3.1 Submit permohon ke PU</v>
      </c>
      <c r="Q532" s="222" t="str">
        <f>IFERROR(__xludf.DUMMYFUNCTION("""COMPUTED_VALUE"""),"27/04 MASIH MENUNGGU BERKAS SURAT PU YG DI RILIS TIF, 24/04 berkas surat pu nasional belum rilis dari tif (bang arif HAI), 09/04 KOORDINASI DG PAK ARIF (TIF HAI)TERKAIT PEMBERKASAN PERIZINAN PU,  09/04 KOORDINASI DG PAK ARIF TERKAIT PERIZINAN PU, 08/04 KO"&amp;"ORDINASI DG PAK ARIF TERKAIT PERIZINAN PU, 06/04 PLAN HARI INI BERTEMU PAK ARIF - KOORDINASI MENGENAI PERIZINAN PU, 01/04 MASIH MELENGKAPI DOKUMEN, 30/03 MASIH MELENGKAPI DOKUMEN, 27/03 BLM ADA INFO TSEL (PAK ARIF) TERKAIT KELANJUTAN PERIZINAN, 25/03 BLM "&amp;"ADA INFO TSEL TERKAIT KELANJUTAN PERIZINAN, 21/03 SDH SUBMIT PERIZINAN KE TSEL TINGGAL MENUNGGU KONFIRMASI KELANJUTANNYA, 17/03 MASIH MENUNGGU KONFIRMASI DARI TSEL, 13/03 MASIH MENUNGGU KONFIRMASI DARI TSEL, 11/03 SUDAH SUBMIT PERIZINAN KE TSEL, 10/03 OGP"&amp;" MELENGKAPI DOKUMEN PERIZINAN, 03/03 MASIH BERTANYA TERKAIT SYARAT PERIZINAN - BLM ADA INFO, 28/2 Riview TIF 2 Mar 26/02 MASIH MENUNGGU PU, 25/02MASIH MENUNGGU PU, 21/02 HOLD, KARENA PASTIKAN DLU  CORE UPLINK UNTUK MINI OLT KE TIM ARNET, KRENA CORE EXT NO"&amp;"DE B PAKAI BB BETUNG - SKY, MASUK RUAS PU NASIONAL, DAN ADA PENURUNAN BOQ SEBESAR 7 % DAN CPP 1,6 JT, 06/02 hasil review tsel lanjut perizinan pu nasional dan paralel konfirm tim arnet untuk uplink, 04/02 DONE EVAL, HOLD KARENA PASTIKAN DLU CORE UPLINK UN"&amp;"TUK MINI OLT KE TIM ARNET, KRENA CORE EXT NODE B PAKAI BB BETUNG - SKY, MASUK RUAS PU NASIONAL, DAN ADA PENURUNAN BOQ SEBESAR 7 % DAN CPP 1,6 JT, 15/01 menunggu jadwal aanwijzing dg mitra 04/02 DONE EVAL, HOLD KARENA PASTIKAN DLU CORE UPLINK UNTUK MINI OL"&amp;"T KE TIM ARNET, KRENA CORE EXT NODE B PAKAI BB BETUNG - SKY, MASUK RUAS PU NASIONAL, DAN ADA PENURUNAN BOQ SEBESAR 7 % DAN CPP 1,6 JT, 31/01 PROSES AANWIDJZING, 30/01 MENUNGGU JADWAL AANWIDJZING DG MITRA, (24/1) plan aawijdizng 27/1 (21/01) menunggu antri"&amp;"an untuk aanwizjing, (20/1) MJT setuju ((15/1) ORDER DITERIMA 14/1 ,PLAN AANWIJDZING 21 JAN 26 (06/01)order JPP batch-2 2026 ((26/11) ORDER HOLD , FLAGGING ""TIDAK LANJUT DARI PED"" (25/11 MJT setuju, 24/11 penunjukkan mitra MJT, (14/11) MItra MJS blm amb"&amp;"il pekerjaan baru terkait close pekerjaan lama , LOP juga tidak masuk list optimis close 2025 ( (11/11) Penunjukkan MITRA oleh Procurement
 14/01 Surat lanjut kerja oleh procurement")</f>
        <v>27/04 MASIH MENUNGGU BERKAS SURAT PU YG DI RILIS TIF, 24/04 berkas surat pu nasional belum rilis dari tif (bang arif HAI), 09/04 KOORDINASI DG PAK ARIF (TIF HAI)TERKAIT PEMBERKASAN PERIZINAN PU,  09/04 KOORDINASI DG PAK ARIF TERKAIT PERIZINAN PU, 08/04 KOORDINASI DG PAK ARIF TERKAIT PERIZINAN PU, 06/04 PLAN HARI INI BERTEMU PAK ARIF - KOORDINASI MENGENAI PERIZINAN PU, 01/04 MASIH MELENGKAPI DOKUMEN, 30/03 MASIH MELENGKAPI DOKUMEN, 27/03 BLM ADA INFO TSEL (PAK ARIF) TERKAIT KELANJUTAN PERIZINAN, 25/03 BLM ADA INFO TSEL TERKAIT KELANJUTAN PERIZINAN, 21/03 SDH SUBMIT PERIZINAN KE TSEL TINGGAL MENUNGGU KONFIRMASI KELANJUTANNYA, 17/03 MASIH MENUNGGU KONFIRMASI DARI TSEL, 13/03 MASIH MENUNGGU KONFIRMASI DARI TSEL, 11/03 SUDAH SUBMIT PERIZINAN KE TSEL, 10/03 OGP MELENGKAPI DOKUMEN PERIZINAN, 03/03 MASIH BERTANYA TERKAIT SYARAT PERIZINAN - BLM ADA INFO, 28/2 Riview TIF 2 Mar 26/02 MASIH MENUNGGU PU, 25/02MASIH MENUNGGU PU, 21/02 HOLD, KARENA PASTIKAN DLU  CORE UPLINK UNTUK MINI OLT KE TIM ARNET, KRENA CORE EXT NODE B PAKAI BB BETUNG - SKY, MASUK RUAS PU NASIONAL, DAN ADA PENURUNAN BOQ SEBESAR 7 % DAN CPP 1,6 JT, 06/02 hasil review tsel lanjut perizinan pu nasional dan paralel konfirm tim arnet untuk uplink, 04/02 DONE EVAL, HOLD KARENA PASTIKAN DLU CORE UPLINK UNTUK MINI OLT KE TIM ARNET, KRENA CORE EXT NODE B PAKAI BB BETUNG - SKY, MASUK RUAS PU NASIONAL, DAN ADA PENURUNAN BOQ SEBESAR 7 % DAN CPP 1,6 JT, 15/01 menunggu jadwal aanwijzing dg mitra 04/02 DONE EVAL, HOLD KARENA PASTIKAN DLU CORE UPLINK UNTUK MINI OLT KE TIM ARNET, KRENA CORE EXT NODE B PAKAI BB BETUNG - SKY, MASUK RUAS PU NASIONAL, DAN ADA PENURUNAN BOQ SEBESAR 7 % DAN CPP 1,6 JT, 31/01 PROSES AANWIDJZING, 30/01 MENUNGGU JADWAL AANWIDJZING DG MITRA, (24/1) plan aawijdizng 27/1 (21/01) menunggu antrian untuk aanwizjing, (20/1) MJT setuju ((15/1) ORDER DITERIMA 14/1 ,PLAN AANWIJDZING 21 JAN 26 (06/01)order JPP batch-2 2026 ((26/11) ORDER HOLD , FLAGGING "TIDAK LANJUT DARI PED" (25/11 MJT setuju, 24/11 penunjukkan mitra MJT, (14/11) MItra MJS blm ambil pekerjaan baru terkait close pekerjaan lama , LOP juga tidak masuk list optimis close 2025 ( (11/11) Penunjukkan MITRA oleh Procurement
 14/01 Surat lanjut kerja oleh procurement</v>
      </c>
      <c r="R532" s="228"/>
      <c r="S532" s="11"/>
      <c r="T532" s="11" t="str">
        <f>IFERROR(__xludf.DUMMYFUNCTION("""COMPUTED_VALUE"""),"P1")</f>
        <v>P1</v>
      </c>
      <c r="U532" s="11"/>
      <c r="V532" s="229" t="str">
        <f>IFERROR(__xludf.DUMMYFUNCTION("""COMPUTED_VALUE"""),"TEGAR")</f>
        <v>TEGAR</v>
      </c>
      <c r="W532" s="229"/>
      <c r="X532" s="229" t="str">
        <f>IFERROR(__xludf.DUMMYFUNCTION("""COMPUTED_VALUE"""),"BELUM GOLIVE")</f>
        <v>BELUM GOLIVE</v>
      </c>
      <c r="Y532" s="229"/>
      <c r="Z532" s="229"/>
      <c r="AA532" s="229"/>
      <c r="AB532" s="229"/>
      <c r="AC532" s="229"/>
      <c r="AD532" s="232"/>
      <c r="AE532" s="233"/>
      <c r="AF532" s="54"/>
      <c r="AG532" s="54"/>
      <c r="AH532" s="54"/>
      <c r="AI532" s="55" t="str">
        <f t="shared" si="63"/>
        <v/>
      </c>
      <c r="AW532" s="234"/>
      <c r="BP532" s="11"/>
      <c r="BQ532" s="11"/>
      <c r="BR532" s="235"/>
      <c r="BV532" s="158"/>
      <c r="BY532" s="158"/>
      <c r="CB532" s="158"/>
    </row>
    <row r="533" ht="18.0" hidden="1" customHeight="1">
      <c r="A533" s="222">
        <f>IFERROR(__xludf.DUMMYFUNCTION("""COMPUTED_VALUE"""),2026.0)</f>
        <v>2026</v>
      </c>
      <c r="B533" s="221">
        <f>IFERROR(__xludf.DUMMYFUNCTION("""COMPUTED_VALUE"""),1.1976954E7)</f>
        <v>11976954</v>
      </c>
      <c r="C533" s="222" t="str">
        <f>IFERROR(__xludf.DUMMYFUNCTION("""COMPUTED_VALUE"""),"SMS P4I1 PT3 TRA FE D03 SERIJABO BARU")</f>
        <v>SMS P4I1 PT3 TRA FE D03 SERIJABO BARU</v>
      </c>
      <c r="D533" s="222" t="str">
        <f>IFERROR(__xludf.DUMMYFUNCTION("""COMPUTED_VALUE"""),"REGIONAL I")</f>
        <v>REGIONAL I</v>
      </c>
      <c r="E533" s="222" t="str">
        <f>IFERROR(__xludf.DUMMYFUNCTION("""COMPUTED_VALUE"""),"SUMSEL")</f>
        <v>SUMSEL</v>
      </c>
      <c r="F533" s="222" t="str">
        <f>IFERROR(__xludf.DUMMYFUNCTION("""COMPUTED_VALUE"""),"TRA")</f>
        <v>TRA</v>
      </c>
      <c r="G533" s="222" t="str">
        <f>IFERROR(__xludf.DUMMYFUNCTION("""COMPUTED_VALUE"""),"SUMBAGSEL")</f>
        <v>SUMBAGSEL</v>
      </c>
      <c r="H533" s="222" t="str">
        <f>IFERROR(__xludf.DUMMYFUNCTION("""COMPUTED_VALUE"""),"PALEMBANG")</f>
        <v>PALEMBANG</v>
      </c>
      <c r="I533" s="222" t="str">
        <f>IFERROR(__xludf.DUMMYFUNCTION("""COMPUTED_VALUE"""),"Batch 2")</f>
        <v>Batch 2</v>
      </c>
      <c r="J533" s="225">
        <f>IFERROR(__xludf.DUMMYFUNCTION("""COMPUTED_VALUE"""),4.0)</f>
        <v>4</v>
      </c>
      <c r="K533" s="224">
        <f>IFERROR(__xludf.DUMMYFUNCTION("""COMPUTED_VALUE"""),40.0)</f>
        <v>40</v>
      </c>
      <c r="L533" s="226">
        <f>IFERROR(__xludf.DUMMYFUNCTION("""COMPUTED_VALUE"""),1235748.0)</f>
        <v>1235748</v>
      </c>
      <c r="M533" s="227">
        <f>IFERROR(__xludf.DUMMYFUNCTION("""COMPUTED_VALUE"""),4.9429884E7)</f>
        <v>49429884</v>
      </c>
      <c r="N533" s="222" t="str">
        <f>IFERROR(__xludf.DUMMYFUNCTION("""COMPUTED_VALUE"""),"PT SARANA MITRA PERSADA")</f>
        <v>PT SARANA MITRA PERSADA</v>
      </c>
      <c r="O533" s="222" t="str">
        <f>IFERROR(__xludf.DUMMYFUNCTION("""COMPUTED_VALUE"""),"7. GOLIVE")</f>
        <v>7. GOLIVE</v>
      </c>
      <c r="P533" s="222" t="str">
        <f>IFERROR(__xludf.DUMMYFUNCTION("""COMPUTED_VALUE"""),"7.2 Golive Full / OA / DONE OTB")</f>
        <v>7.2 Golive Full / OA / DONE OTB</v>
      </c>
      <c r="Q533" s="222" t="str">
        <f>IFERROR(__xludf.DUMMYFUNCTION("""COMPUTED_VALUE"""),"23/04 GOLIVE, 22/04 DONE SUBMIT ABD KE SDI, 21/04 proses pemasangan odp, dan jumper sto 17/04 DONE PENARIKAN KABEL, Pasang ODP 13/04 Penanaman tiang &amp; Penarikan 09/04  proses instalasi  08/4 MATDEL  07/04 DONE INPUT MATERIAL, PLAN 08 APR AMBIL MATERIAL, 0"&amp;"6/04 PLAN TGL 6 INPUT MATERIAL, 02/04 OGP INPUT MATERIAL, 31/03 EST KIRIM MATERIAL TGL 6 APRIL, 30/03 MASIH KOORDINASI DG MITRA TERKAIT PENGINPUTAN ULANG MATERIAL, 27/03 INPUT ULANG MATERIAL - MSIH KOORDINASI DG MITRA, 26/03 INPUT ULANG MATERIAL - MSIH KO"&amp;"ORDINASI DG MITRA, 21/03 DONE PR PO - EST TGL 30 MAR AMBIL MATERIAL, 13/03 MITRA MENGAMBIL MATERIAL EST 30 MAR, 27/02 MITRA MENGAMBIL MATERIAL SETELAH LEBARAN, 26/02 MENUNGGU APPROVE RFC, 25/02 BLM KELUAR RFC, 24/02 BARU SELESAI AMD BUDGET, OGP INPUT MATE"&amp;"RIAL, 22/2 menunggu material TIANG  20/02 DONE AMD TP BLM DI APPROVE KRNA MASIH MENUNGGU TIANG DIGUDANG YG KOSONG, 17/02 PROSES INPUT MATERIAL - KENDALA OVER BUDGET, 10/2 perubahan design menunggu confirm dari sales TSEL. , plan Matdel 13 FEB  09/02 DONE "&amp;"DRM, 06/02 HASIL REVIEW TSEL LANJUT PROGRESS SESUAI PLAN, 30/01 DONE EVAL, ADA PERUBAHAN JALUR KARENA JALUR PLAN TIDK ADA SPACE TANAM TIANG (JALAN SETAPAK), MENGAKIBATKAN NILAI CPP NAIK MENJADI 2,3 JT DAN KENAIKAN 52% DARI PLAN) 31/01 hold, ada kenaikan n"&amp;"ilai BOQ karena perubahan jalur 30/01 DONE EVAL, ADA PERUBAHAN JALUR KARENA JALUR PLAN TIDK ADA SPACE TANAM TIANG (JALAN SETAPAK), MENGAKIBATKAN NILAI CPP NAIK MENJADI 2,3 JT DAN KENAIKAN 52% DARI PLAN), 25/01 DONE AANWIDJZING - PERIZINAN OK, (21/01) AANW"&amp;"IDJZING, (15/1) ORDER DITERIMA 14/1, PLAN AANWIJDZING 21 JAN 26 (06/01)order JPP batch-2 2026 ((14/11)HOLD- tidak masuk target Optimis 2025 (23/10 penunjukan mitra
 14/01 penunjukan mitra oleh procurement")</f>
        <v>23/04 GOLIVE, 22/04 DONE SUBMIT ABD KE SDI, 21/04 proses pemasangan odp, dan jumper sto 17/04 DONE PENARIKAN KABEL, Pasang ODP 13/04 Penanaman tiang &amp; Penarikan 09/04  proses instalasi  08/4 MATDEL  07/04 DONE INPUT MATERIAL, PLAN 08 APR AMBIL MATERIAL, 06/04 PLAN TGL 6 INPUT MATERIAL, 02/04 OGP INPUT MATERIAL, 31/03 EST KIRIM MATERIAL TGL 6 APRIL, 30/03 MASIH KOORDINASI DG MITRA TERKAIT PENGINPUTAN ULANG MATERIAL, 27/03 INPUT ULANG MATERIAL - MSIH KOORDINASI DG MITRA, 26/03 INPUT ULANG MATERIAL - MSIH KOORDINASI DG MITRA, 21/03 DONE PR PO - EST TGL 30 MAR AMBIL MATERIAL, 13/03 MITRA MENGAMBIL MATERIAL EST 30 MAR, 27/02 MITRA MENGAMBIL MATERIAL SETELAH LEBARAN, 26/02 MENUNGGU APPROVE RFC, 25/02 BLM KELUAR RFC, 24/02 BARU SELESAI AMD BUDGET, OGP INPUT MATERIAL, 22/2 menunggu material TIANG  20/02 DONE AMD TP BLM DI APPROVE KRNA MASIH MENUNGGU TIANG DIGUDANG YG KOSONG, 17/02 PROSES INPUT MATERIAL - KENDALA OVER BUDGET, 10/2 perubahan design menunggu confirm dari sales TSEL. , plan Matdel 13 FEB  09/02 DONE DRM, 06/02 HASIL REVIEW TSEL LANJUT PROGRESS SESUAI PLAN, 30/01 DONE EVAL, ADA PERUBAHAN JALUR KARENA JALUR PLAN TIDK ADA SPACE TANAM TIANG (JALAN SETAPAK), MENGAKIBATKAN NILAI CPP NAIK MENJADI 2,3 JT DAN KENAIKAN 52% DARI PLAN) 31/01 hold, ada kenaikan nilai BOQ karena perubahan jalur 30/01 DONE EVAL, ADA PERUBAHAN JALUR KARENA JALUR PLAN TIDK ADA SPACE TANAM TIANG (JALAN SETAPAK), MENGAKIBATKAN NILAI CPP NAIK MENJADI 2,3 JT DAN KENAIKAN 52% DARI PLAN), 25/01 DONE AANWIDJZING - PERIZINAN OK, (21/01) AANWIDJZING, (15/1) ORDER DITERIMA 14/1, PLAN AANWIJDZING 21 JAN 26 (06/01)order JPP batch-2 2026 ((14/11)HOLD- tidak masuk target Optimis 2025 (23/10 penunjukan mitra
 14/01 penunjukan mitra oleh procurement</v>
      </c>
      <c r="R533" s="228">
        <f>IFERROR(__xludf.DUMMYFUNCTION("""COMPUTED_VALUE"""),46134.0)</f>
        <v>46134</v>
      </c>
      <c r="S533" s="11" t="str">
        <f>IFERROR(__xludf.DUMMYFUNCTION("""COMPUTED_VALUE"""),"APR")</f>
        <v>APR</v>
      </c>
      <c r="T533" s="73" t="str">
        <f>IFERROR(__xludf.DUMMYFUNCTION("""COMPUTED_VALUE"""),"P1")</f>
        <v>P1</v>
      </c>
      <c r="U533" s="11"/>
      <c r="V533" s="229" t="str">
        <f>IFERROR(__xludf.DUMMYFUNCTION("""COMPUTED_VALUE"""),"RENALDO")</f>
        <v>RENALDO</v>
      </c>
      <c r="W533" s="229"/>
      <c r="X533" s="229" t="str">
        <f>IFERROR(__xludf.DUMMYFUNCTION("""COMPUTED_VALUE"""),"GOLIVE")</f>
        <v>GOLIVE</v>
      </c>
      <c r="Y533" s="229" t="str">
        <f>IFERROR(__xludf.DUMMYFUNCTION("""COMPUTED_VALUE"""),"DONE")</f>
        <v>DONE</v>
      </c>
      <c r="Z533" s="229" t="str">
        <f>IFERROR(__xludf.DUMMYFUNCTION("""COMPUTED_VALUE"""),"#N/A")</f>
        <v>#N/A</v>
      </c>
      <c r="AA533" s="229">
        <f>IFERROR(__xludf.DUMMYFUNCTION("""COMPUTED_VALUE"""),4.0)</f>
        <v>4</v>
      </c>
      <c r="AB533" s="229"/>
      <c r="AC533" s="229" t="str">
        <f>IFERROR(__xludf.DUMMYFUNCTION("""COMPUTED_VALUE"""),"8941251#8941256")</f>
        <v>8941251#8941256</v>
      </c>
      <c r="AD533" s="232">
        <f>IFERROR(__xludf.DUMMYFUNCTION("""COMPUTED_VALUE"""),40.0)</f>
        <v>40</v>
      </c>
      <c r="AE533" s="233">
        <f>IFERROR(__xludf.DUMMYFUNCTION("""COMPUTED_VALUE"""),46134.0)</f>
        <v>46134</v>
      </c>
      <c r="AF533" s="54"/>
      <c r="AG533" s="54"/>
      <c r="AH533" s="54">
        <v>46128.0</v>
      </c>
      <c r="AI533" s="55">
        <f t="shared" si="63"/>
        <v>0</v>
      </c>
      <c r="AW533" s="234"/>
      <c r="BP533" s="11"/>
      <c r="BQ533" s="11"/>
      <c r="BR533" s="235"/>
      <c r="BV533" s="158"/>
      <c r="BY533" s="158"/>
      <c r="CB533" s="158"/>
    </row>
    <row r="534" ht="18.0" hidden="1" customHeight="1">
      <c r="A534" s="222">
        <f>IFERROR(__xludf.DUMMYFUNCTION("""COMPUTED_VALUE"""),2026.0)</f>
        <v>2026</v>
      </c>
      <c r="B534" s="221">
        <f>IFERROR(__xludf.DUMMYFUNCTION("""COMPUTED_VALUE"""),1.152912E7)</f>
        <v>11529120</v>
      </c>
      <c r="C534" s="222" t="str">
        <f>IFERROR(__xludf.DUMMYFUNCTION("""COMPUTED_VALUE"""),"SMS P3I1 PT3 BLT FE D05 DESA GODAKAN BK3")</f>
        <v>SMS P3I1 PT3 BLT FE D05 DESA GODAKAN BK3</v>
      </c>
      <c r="D534" s="222" t="str">
        <f>IFERROR(__xludf.DUMMYFUNCTION("""COMPUTED_VALUE"""),"REGIONAL I")</f>
        <v>REGIONAL I</v>
      </c>
      <c r="E534" s="222" t="str">
        <f>IFERROR(__xludf.DUMMYFUNCTION("""COMPUTED_VALUE"""),"SUMSEL")</f>
        <v>SUMSEL</v>
      </c>
      <c r="F534" s="222" t="str">
        <f>IFERROR(__xludf.DUMMYFUNCTION("""COMPUTED_VALUE"""),"BLT")</f>
        <v>BLT</v>
      </c>
      <c r="G534" s="222" t="str">
        <f>IFERROR(__xludf.DUMMYFUNCTION("""COMPUTED_VALUE"""),"SUMBAGSEL")</f>
        <v>SUMBAGSEL</v>
      </c>
      <c r="H534" s="222" t="str">
        <f>IFERROR(__xludf.DUMMYFUNCTION("""COMPUTED_VALUE"""),"PALEMBANG")</f>
        <v>PALEMBANG</v>
      </c>
      <c r="I534" s="222" t="str">
        <f>IFERROR(__xludf.DUMMYFUNCTION("""COMPUTED_VALUE"""),"Batch 2")</f>
        <v>Batch 2</v>
      </c>
      <c r="J534" s="225">
        <f>IFERROR(__xludf.DUMMYFUNCTION("""COMPUTED_VALUE"""),3.0)</f>
        <v>3</v>
      </c>
      <c r="K534" s="224">
        <f>IFERROR(__xludf.DUMMYFUNCTION("""COMPUTED_VALUE"""),24.0)</f>
        <v>24</v>
      </c>
      <c r="L534" s="226">
        <f>IFERROR(__xludf.DUMMYFUNCTION("""COMPUTED_VALUE"""),1234769.0)</f>
        <v>1234769</v>
      </c>
      <c r="M534" s="227">
        <f>IFERROR(__xludf.DUMMYFUNCTION("""COMPUTED_VALUE"""),2.9634436E7)</f>
        <v>29634436</v>
      </c>
      <c r="N534" s="222" t="str">
        <f>IFERROR(__xludf.DUMMYFUNCTION("""COMPUTED_VALUE"""),"PT GARINDO TECHNO MANDIRI")</f>
        <v>PT GARINDO TECHNO MANDIRI</v>
      </c>
      <c r="O534" s="222" t="str">
        <f>IFERROR(__xludf.DUMMYFUNCTION("""COMPUTED_VALUE"""),"0. DROP")</f>
        <v>0. DROP</v>
      </c>
      <c r="P534" s="222" t="str">
        <f>IFERROR(__xludf.DUMMYFUNCTION("""COMPUTED_VALUE"""),"0.2 Tidak Dapat Izin Warga/Kades/Lurah/Developer")</f>
        <v>0.2 Tidak Dapat Izin Warga/Kades/Lurah/Developer</v>
      </c>
      <c r="Q534" s="222" t="str">
        <f>IFERROR(__xludf.DUMMYFUNCTION("""COMPUTED_VALUE"""),"06/03 DROP BOQ NAIK SEBESAR 26% DAN ADA COMCASE DG KADES - SDH ADA BA DROP, 24/02 DROP BOQ NAIK SEBESAR 26% DAN ADA COMCASE DG KADES - SDH ADA BA DROP, 06/02 DROP KONFRIM SALESA UNTUK D ORDER DI SELANJUTNYA, 06/02 HASIL REVIEW TSEL PROPOSED DROP - OVER BO"&amp;"Q, 30/02 DONE EVAL, HOLD, KARENA PD SAAT AANWIZNIG PIHAK KADES MEMINTA KOMPENSASI PERT IANG 500 RB ( 15 BTG) MAKA ADA KENAIKAN NILAI BOQ SEBESAR 26% DRI PLAN, CPP 1,5 JT, 15/01 done aanwijzing 2025, proses pembuatan data aanwijzing 30/01 EVAL, (21/01) upd"&amp;"ate hasil aanwizjing untuk eval dg tif, (15/1) ORDER DITERIMA MITRA 14/1, SUDAH PERNAH AANWIJDZING- TUNGGU EVAL (06/01)order JPP batch-2 2026 (18/11 HOLD CPP Tinggi karena kades minta kompensasi sebanyak per tiang 500rb, pihak sales mau konfirmasi ulang d"&amp;"an meminta comcasenya diturunkan 14/11 on progress eval, 13/11 SUDAH ANWIJZING , COMCASE 500 PER TIANG - 15 BTG - 7,5 JT , TUNGGU EVAL TA-TIF, (08/11) SUDAH ANWIJZING , COMCASE 500 PER TIANG - 15 BTG - 7,5 JT , TUNGGU EVAL TA-TIF (5/11) menunggu jadwal aa"&amp;"nwidzjing 23/10 penunjukan mitra")</f>
        <v>06/03 DROP BOQ NAIK SEBESAR 26% DAN ADA COMCASE DG KADES - SDH ADA BA DROP, 24/02 DROP BOQ NAIK SEBESAR 26% DAN ADA COMCASE DG KADES - SDH ADA BA DROP, 06/02 DROP KONFRIM SALESA UNTUK D ORDER DI SELANJUTNYA, 06/02 HASIL REVIEW TSEL PROPOSED DROP - OVER BOQ, 30/02 DONE EVAL, HOLD, KARENA PD SAAT AANWIZNIG PIHAK KADES MEMINTA KOMPENSASI PERT IANG 500 RB ( 15 BTG) MAKA ADA KENAIKAN NILAI BOQ SEBESAR 26% DRI PLAN, CPP 1,5 JT, 15/01 done aanwijzing 2025, proses pembuatan data aanwijzing 30/01 EVAL, (21/01) update hasil aanwizjing untuk eval dg tif, (15/1) ORDER DITERIMA MITRA 14/1, SUDAH PERNAH AANWIJDZING- TUNGGU EVAL (06/01)order JPP batch-2 2026 (18/11 HOLD CPP Tinggi karena kades minta kompensasi sebanyak per tiang 500rb, pihak sales mau konfirmasi ulang dan meminta comcasenya diturunkan 14/11 on progress eval, 13/11 SUDAH ANWIJZING , COMCASE 500 PER TIANG - 15 BTG - 7,5 JT , TUNGGU EVAL TA-TIF, (08/11) SUDAH ANWIJZING , COMCASE 500 PER TIANG - 15 BTG - 7,5 JT , TUNGGU EVAL TA-TIF (5/11) menunggu jadwal aanwidzjing 23/10 penunjukan mitra</v>
      </c>
      <c r="R534" s="228"/>
      <c r="S534" s="11"/>
      <c r="T534" s="11"/>
      <c r="U534" s="11"/>
      <c r="V534" s="229" t="str">
        <f>IFERROR(__xludf.DUMMYFUNCTION("""COMPUTED_VALUE"""),"TANTOWI")</f>
        <v>TANTOWI</v>
      </c>
      <c r="W534" s="229"/>
      <c r="X534" s="229" t="str">
        <f>IFERROR(__xludf.DUMMYFUNCTION("""COMPUTED_VALUE"""),"BELUM GOLIVE")</f>
        <v>BELUM GOLIVE</v>
      </c>
      <c r="Y534" s="229"/>
      <c r="Z534" s="229" t="str">
        <f>IFERROR(__xludf.DUMMYFUNCTION("""COMPUTED_VALUE"""),"#N/A")</f>
        <v>#N/A</v>
      </c>
      <c r="AA534" s="229"/>
      <c r="AB534" s="229"/>
      <c r="AC534" s="229"/>
      <c r="AD534" s="232"/>
      <c r="AE534" s="233"/>
      <c r="AF534" s="54" t="str">
        <f>IFERROR(__xludf.DUMMYFUNCTION("""COMPUTED_VALUE"""),"Draft BA DROP")</f>
        <v>Draft BA DROP</v>
      </c>
      <c r="AG534" s="54"/>
      <c r="AH534" s="54"/>
      <c r="AI534" s="55" t="str">
        <f t="shared" si="63"/>
        <v/>
      </c>
      <c r="AW534" s="234"/>
      <c r="BP534" s="11"/>
      <c r="BQ534" s="11"/>
      <c r="BR534" s="235"/>
      <c r="BV534" s="158"/>
      <c r="BY534" s="158"/>
      <c r="CB534" s="158"/>
    </row>
    <row r="535" ht="18.0" hidden="1" customHeight="1">
      <c r="A535" s="222">
        <f>IFERROR(__xludf.DUMMYFUNCTION("""COMPUTED_VALUE"""),2026.0)</f>
        <v>2026</v>
      </c>
      <c r="B535" s="221">
        <f>IFERROR(__xludf.DUMMYFUNCTION("""COMPUTED_VALUE"""),1.1754854E7)</f>
        <v>11754854</v>
      </c>
      <c r="C535" s="222" t="str">
        <f>IFERROR(__xludf.DUMMYFUNCTION("""COMPUTED_VALUE"""),"SMS P4I2 PT3 TMO FM D02 YERI")</f>
        <v>SMS P4I2 PT3 TMO FM D02 YERI</v>
      </c>
      <c r="D535" s="222" t="str">
        <f>IFERROR(__xludf.DUMMYFUNCTION("""COMPUTED_VALUE"""),"REGIONAL I")</f>
        <v>REGIONAL I</v>
      </c>
      <c r="E535" s="222" t="str">
        <f>IFERROR(__xludf.DUMMYFUNCTION("""COMPUTED_VALUE"""),"SUMSEL")</f>
        <v>SUMSEL</v>
      </c>
      <c r="F535" s="222" t="str">
        <f>IFERROR(__xludf.DUMMYFUNCTION("""COMPUTED_VALUE"""),"TMO")</f>
        <v>TMO</v>
      </c>
      <c r="G535" s="222" t="str">
        <f>IFERROR(__xludf.DUMMYFUNCTION("""COMPUTED_VALUE"""),"SUMBAGSEL")</f>
        <v>SUMBAGSEL</v>
      </c>
      <c r="H535" s="222" t="str">
        <f>IFERROR(__xludf.DUMMYFUNCTION("""COMPUTED_VALUE"""),"BENGKULU")</f>
        <v>BENGKULU</v>
      </c>
      <c r="I535" s="222" t="str">
        <f>IFERROR(__xludf.DUMMYFUNCTION("""COMPUTED_VALUE"""),"Batch 2")</f>
        <v>Batch 2</v>
      </c>
      <c r="J535" s="225">
        <f>IFERROR(__xludf.DUMMYFUNCTION("""COMPUTED_VALUE"""),6.0)</f>
        <v>6</v>
      </c>
      <c r="K535" s="224">
        <f>IFERROR(__xludf.DUMMYFUNCTION("""COMPUTED_VALUE"""),48.0)</f>
        <v>48</v>
      </c>
      <c r="L535" s="226">
        <f>IFERROR(__xludf.DUMMYFUNCTION("""COMPUTED_VALUE"""),1233735.0)</f>
        <v>1233735</v>
      </c>
      <c r="M535" s="227">
        <f>IFERROR(__xludf.DUMMYFUNCTION("""COMPUTED_VALUE"""),5.9219235E7)</f>
        <v>59219235</v>
      </c>
      <c r="N535" s="222" t="str">
        <f>IFERROR(__xludf.DUMMYFUNCTION("""COMPUTED_VALUE"""),"PT HAN SUNG INDONESIA")</f>
        <v>PT HAN SUNG INDONESIA</v>
      </c>
      <c r="O535" s="222" t="str">
        <f>IFERROR(__xludf.DUMMYFUNCTION("""COMPUTED_VALUE"""),"7. GOLIVE")</f>
        <v>7. GOLIVE</v>
      </c>
      <c r="P535" s="222" t="str">
        <f>IFERROR(__xludf.DUMMYFUNCTION("""COMPUTED_VALUE"""),"7.2 Golive Full / OA / DONE OTB")</f>
        <v>7.2 Golive Full / OA / DONE OTB</v>
      </c>
      <c r="Q535" s="222" t="str">
        <f>IFERROR(__xludf.DUMMYFUNCTION("""COMPUTED_VALUE"""),"(28/2) GOLIVE SDI 26 FEB 27/02 MENUNGGU GOLIVE, 26/02 VALINS, 26/02 SELESAI PENARIKAN KABEL, 25/02 MENUNGGU  ANTRIAN PEKERJAAN JL SUHADA 24/02 MENUNGGU ANTRIAN PEKERJAAN, 22/2 tarik kabel  18/02 OGP MATDEL, 15/02 DONE INPUT MATERIAL, 12/02 LANJUT PROGRESS"&amp;", OGP INPUT MATERIAL - KENDALA OVER BUDGET, 11/2 PERUBHAN DESIGN (10/02) Lop sementara di HOLD dikarenakan mitra yang bersangkutan khususnya tim mitra yang survey kemarin baru ngabarin kalo KML nya ada perubahan Design yang mengakibatkan CPP nya naik sete"&amp;"lah Lop tsb sudah di DRM dan Input Material, 10/02 KENDALA OVER BUDGET - OGP AMD BUDGET, 09/02, DONE DRM, OGP INPUT MATERIAL - AMD BUDGET, 6/2 sdh create PID - kendala di ALISTA 04/02 LANJUT DRM, (30/01) DONE EVAL, LANJUT PROGRES, (26/1) tim TIF belum bis"&amp;"a EVAL hasil anwijzing karena lagi diluar kota , estimasi 29 jan baru kembali ke Palembang(24/1) menunggu hasil eval ke tif plan 26 jan  (21/01) done aanwizjing, proses pembuatan update anawjizng untuk eval dg tif, (06/01)order JPP batch-2 2026 ((14/11)HO"&amp;"LD-  tidak masuk target Optimis 2025 ((11/11) Penunjukkan MITRA  oleh Procurement 
14/01 sudah penunjukan mitra oleh procurement")</f>
        <v>(28/2) GOLIVE SDI 26 FEB 27/02 MENUNGGU GOLIVE, 26/02 VALINS, 26/02 SELESAI PENARIKAN KABEL, 25/02 MENUNGGU  ANTRIAN PEKERJAAN JL SUHADA 24/02 MENUNGGU ANTRIAN PEKERJAAN, 22/2 tarik kabel  18/02 OGP MATDEL, 15/02 DONE INPUT MATERIAL, 12/02 LANJUT PROGRESS, OGP INPUT MATERIAL - KENDALA OVER BUDGET, 11/2 PERUBHAN DESIGN (10/02) Lop sementara di HOLD dikarenakan mitra yang bersangkutan khususnya tim mitra yang survey kemarin baru ngabarin kalo KML nya ada perubahan Design yang mengakibatkan CPP nya naik setelah Lop tsb sudah di DRM dan Input Material, 10/02 KENDALA OVER BUDGET - OGP AMD BUDGET, 09/02, DONE DRM, OGP INPUT MATERIAL - AMD BUDGET, 6/2 sdh create PID - kendala di ALISTA 04/02 LANJUT DRM, (30/01) DONE EVAL, LANJUT PROGRES, (26/1) tim TIF belum bisa EVAL hasil anwijzing karena lagi diluar kota , estimasi 29 jan baru kembali ke Palembang(24/1) menunggu hasil eval ke tif plan 26 jan  (21/01) done aanwizjing, proses pembuatan update anawjizng untuk eval dg tif, (06/01)order JPP batch-2 2026 ((14/11)HOLD-  tidak masuk target Optimis 2025 ((11/11) Penunjukkan MITRA  oleh Procurement 
14/01 sudah penunjukan mitra oleh procurement</v>
      </c>
      <c r="R535" s="228">
        <f>IFERROR(__xludf.DUMMYFUNCTION("""COMPUTED_VALUE"""),46079.0)</f>
        <v>46079</v>
      </c>
      <c r="S535" s="11"/>
      <c r="T535" s="11"/>
      <c r="U535" s="11"/>
      <c r="V535" s="229" t="str">
        <f>IFERROR(__xludf.DUMMYFUNCTION("""COMPUTED_VALUE"""),"PUTRA")</f>
        <v>PUTRA</v>
      </c>
      <c r="W535" s="229"/>
      <c r="X535" s="229" t="str">
        <f>IFERROR(__xludf.DUMMYFUNCTION("""COMPUTED_VALUE"""),"GOLIVE")</f>
        <v>GOLIVE</v>
      </c>
      <c r="Y535" s="229" t="str">
        <f>IFERROR(__xludf.DUMMYFUNCTION("""COMPUTED_VALUE"""),"DONE")</f>
        <v>DONE</v>
      </c>
      <c r="Z535" s="229" t="str">
        <f>IFERROR(__xludf.DUMMYFUNCTION("""COMPUTED_VALUE"""),"#N/A")</f>
        <v>#N/A</v>
      </c>
      <c r="AA535" s="229">
        <f>IFERROR(__xludf.DUMMYFUNCTION("""COMPUTED_VALUE"""),6.0)</f>
        <v>6</v>
      </c>
      <c r="AB535" s="229"/>
      <c r="AC535" s="229" t="str">
        <f>IFERROR(__xludf.DUMMYFUNCTION("""COMPUTED_VALUE"""),"8939806#8939811")</f>
        <v>8939806#8939811</v>
      </c>
      <c r="AD535" s="232">
        <f>IFERROR(__xludf.DUMMYFUNCTION("""COMPUTED_VALUE"""),48.0)</f>
        <v>48</v>
      </c>
      <c r="AE535" s="233">
        <f>IFERROR(__xludf.DUMMYFUNCTION("""COMPUTED_VALUE"""),46079.0)</f>
        <v>46079</v>
      </c>
      <c r="AF535" s="54"/>
      <c r="AG535" s="54"/>
      <c r="AH535" s="54">
        <v>46124.0</v>
      </c>
      <c r="AI535" s="55">
        <f t="shared" si="63"/>
        <v>0</v>
      </c>
      <c r="AJ535" s="229" t="str">
        <f t="shared" ref="AJ535:AJ536" si="64">if(AI535&gt;=0,"Gl in Komitmen","Gl out komitmen")</f>
        <v>Gl in Komitmen</v>
      </c>
      <c r="AK535" s="229" t="s">
        <v>199</v>
      </c>
      <c r="AW535" s="234"/>
      <c r="BP535" s="11"/>
      <c r="BQ535" s="11"/>
      <c r="BR535" s="235"/>
      <c r="BV535" s="158"/>
      <c r="BY535" s="158"/>
      <c r="CB535" s="158"/>
    </row>
    <row r="536" ht="18.0" customHeight="1">
      <c r="A536" s="222">
        <f>IFERROR(__xludf.DUMMYFUNCTION("""COMPUTED_VALUE"""),2026.0)</f>
        <v>2026</v>
      </c>
      <c r="B536" s="221">
        <f>IFERROR(__xludf.DUMMYFUNCTION("""COMPUTED_VALUE"""),1.1337955E7)</f>
        <v>11337955</v>
      </c>
      <c r="C536" s="222" t="str">
        <f>IFERROR(__xludf.DUMMYFUNCTION("""COMPUTED_VALUE"""),"SMB PADANG PARIAMAN_611")</f>
        <v>SMB PADANG PARIAMAN_611</v>
      </c>
      <c r="D536" s="222" t="str">
        <f>IFERROR(__xludf.DUMMYFUNCTION("""COMPUTED_VALUE"""),"REGIONAL I")</f>
        <v>REGIONAL I</v>
      </c>
      <c r="E536" s="222" t="str">
        <f>IFERROR(__xludf.DUMMYFUNCTION("""COMPUTED_VALUE"""),"SUMBAR")</f>
        <v>SUMBAR</v>
      </c>
      <c r="F536" s="222" t="str">
        <f>IFERROR(__xludf.DUMMYFUNCTION("""COMPUTED_VALUE"""),"PRS")</f>
        <v>PRS</v>
      </c>
      <c r="G536" s="222" t="str">
        <f>IFERROR(__xludf.DUMMYFUNCTION("""COMPUTED_VALUE"""),"SUMBAGTENG")</f>
        <v>SUMBAGTENG</v>
      </c>
      <c r="H536" s="222" t="str">
        <f>IFERROR(__xludf.DUMMYFUNCTION("""COMPUTED_VALUE"""),"BUKIT TINGGI")</f>
        <v>BUKIT TINGGI</v>
      </c>
      <c r="I536" s="222" t="str">
        <f>IFERROR(__xludf.DUMMYFUNCTION("""COMPUTED_VALUE"""),"Batch 2")</f>
        <v>Batch 2</v>
      </c>
      <c r="J536" s="225">
        <f>IFERROR(__xludf.DUMMYFUNCTION("""COMPUTED_VALUE"""),4.0)</f>
        <v>4</v>
      </c>
      <c r="K536" s="224">
        <f>IFERROR(__xludf.DUMMYFUNCTION("""COMPUTED_VALUE"""),32.0)</f>
        <v>32</v>
      </c>
      <c r="L536" s="226">
        <f>IFERROR(__xludf.DUMMYFUNCTION("""COMPUTED_VALUE"""),1233205.0)</f>
        <v>1233205</v>
      </c>
      <c r="M536" s="227">
        <f>IFERROR(__xludf.DUMMYFUNCTION("""COMPUTED_VALUE"""),3.9462552E7)</f>
        <v>39462552</v>
      </c>
      <c r="N536" s="222" t="str">
        <f>IFERROR(__xludf.DUMMYFUNCTION("""COMPUTED_VALUE"""),"PT PUTRI JAYA AKSES")</f>
        <v>PT PUTRI JAYA AKSES</v>
      </c>
      <c r="O536" s="222" t="str">
        <f>IFERROR(__xludf.DUMMYFUNCTION("""COMPUTED_VALUE"""),"7. GOLIVE")</f>
        <v>7. GOLIVE</v>
      </c>
      <c r="P536" s="222" t="str">
        <f>IFERROR(__xludf.DUMMYFUNCTION("""COMPUTED_VALUE"""),"7.2 Golive Full / OA / DONE OTB")</f>
        <v>7.2 Golive Full / OA / DONE OTB</v>
      </c>
      <c r="Q536" s="222" t="str">
        <f>IFERROR(__xludf.DUMMYFUNCTION("""COMPUTED_VALUE"""),"(06/04) Modul OLT PRS full, butuh relok modul olt  (02/04) penarikan kabel (30/03) tanam tiang (16/03) proses matdel KE SITE (05/03) PROSES CREATE PID (02/03) proses aanwijziing (26/01) DROP, permintaan tsel (tidak potensial) ")</f>
        <v>(06/04) Modul OLT PRS full, butuh relok modul olt  (02/04) penarikan kabel (30/03) tanam tiang (16/03) proses matdel KE SITE (05/03) PROSES CREATE PID (02/03) proses aanwijziing (26/01) DROP, permintaan tsel (tidak potensial) </v>
      </c>
      <c r="R536" s="228">
        <f>IFERROR(__xludf.DUMMYFUNCTION("""COMPUTED_VALUE"""),46124.0)</f>
        <v>46124</v>
      </c>
      <c r="S536" s="11"/>
      <c r="T536" s="73"/>
      <c r="U536" s="11" t="str">
        <f>IFERROR(__xludf.DUMMYFUNCTION("""COMPUTED_VALUE"""),"TIF-5474/2026  26KT03R107-0016")</f>
        <v>TIF-5474/2026  26KT03R107-0016</v>
      </c>
      <c r="V536" s="229" t="str">
        <f>IFERROR(__xludf.DUMMYFUNCTION("""COMPUTED_VALUE"""),"JANUAR RIZAL")</f>
        <v>JANUAR RIZAL</v>
      </c>
      <c r="W536" s="229" t="str">
        <f>IFERROR(__xludf.DUMMYFUNCTION("""COMPUTED_VALUE"""),"MELKO NARWADI")</f>
        <v>MELKO NARWADI</v>
      </c>
      <c r="X536" s="229" t="str">
        <f>IFERROR(__xludf.DUMMYFUNCTION("""COMPUTED_VALUE"""),"GOLIVE")</f>
        <v>GOLIVE</v>
      </c>
      <c r="Y536" s="229" t="str">
        <f>IFERROR(__xludf.DUMMYFUNCTION("""COMPUTED_VALUE"""),"DONE")</f>
        <v>DONE</v>
      </c>
      <c r="Z536" s="229" t="str">
        <f>IFERROR(__xludf.DUMMYFUNCTION("""COMPUTED_VALUE"""),"#N/A")</f>
        <v>#N/A</v>
      </c>
      <c r="AA536" s="229">
        <f>IFERROR(__xludf.DUMMYFUNCTION("""COMPUTED_VALUE"""),5.0)</f>
        <v>5</v>
      </c>
      <c r="AB536" s="229"/>
      <c r="AC536" s="229" t="str">
        <f>IFERROR(__xludf.DUMMYFUNCTION("""COMPUTED_VALUE"""),"9264056#9264061")</f>
        <v>9264056#9264061</v>
      </c>
      <c r="AD536" s="232">
        <f>IFERROR(__xludf.DUMMYFUNCTION("""COMPUTED_VALUE"""),40.0)</f>
        <v>40</v>
      </c>
      <c r="AE536" s="233">
        <f>IFERROR(__xludf.DUMMYFUNCTION("""COMPUTED_VALUE"""),46124.0)</f>
        <v>46124</v>
      </c>
      <c r="AF536" s="54"/>
      <c r="AG536" s="54"/>
      <c r="AH536" s="54">
        <v>46124.0</v>
      </c>
      <c r="AI536" s="55">
        <f>IF(OR(AH536="",AE536=""),"",AH536-AE536)</f>
        <v>0</v>
      </c>
      <c r="AJ536" s="229" t="str">
        <f t="shared" si="64"/>
        <v>Gl in Komitmen</v>
      </c>
      <c r="AK536" s="231" t="s">
        <v>199</v>
      </c>
      <c r="AW536" s="234"/>
      <c r="BP536" s="11"/>
      <c r="BQ536" s="11"/>
      <c r="BR536" s="235"/>
      <c r="BV536" s="158"/>
      <c r="BY536" s="158"/>
      <c r="CB536" s="158"/>
    </row>
    <row r="537" ht="18.0" hidden="1" customHeight="1">
      <c r="A537" s="222">
        <f>IFERROR(__xludf.DUMMYFUNCTION("""COMPUTED_VALUE"""),2026.0)</f>
        <v>2026</v>
      </c>
      <c r="B537" s="221">
        <f>IFERROR(__xludf.DUMMYFUNCTION("""COMPUTED_VALUE"""),1.1206467E7)</f>
        <v>11206467</v>
      </c>
      <c r="C537" s="222" t="str">
        <f>IFERROR(__xludf.DUMMYFUNCTION("""COMPUTED_VALUE"""),"MDN PT3 P7I12 CTD-FBP PERUM MULIA ASRI")</f>
        <v>MDN PT3 P7I12 CTD-FBP PERUM MULIA ASRI</v>
      </c>
      <c r="D537" s="222" t="str">
        <f>IFERROR(__xludf.DUMMYFUNCTION("""COMPUTED_VALUE"""),"REGIONAL I")</f>
        <v>REGIONAL I</v>
      </c>
      <c r="E537" s="222" t="str">
        <f>IFERROR(__xludf.DUMMYFUNCTION("""COMPUTED_VALUE"""),"MEDAN")</f>
        <v>MEDAN</v>
      </c>
      <c r="F537" s="222" t="str">
        <f>IFERROR(__xludf.DUMMYFUNCTION("""COMPUTED_VALUE"""),"CTD")</f>
        <v>CTD</v>
      </c>
      <c r="G537" s="222" t="str">
        <f>IFERROR(__xludf.DUMMYFUNCTION("""COMPUTED_VALUE"""),"SUMBAGUT")</f>
        <v>SUMBAGUT</v>
      </c>
      <c r="H537" s="222" t="str">
        <f>IFERROR(__xludf.DUMMYFUNCTION("""COMPUTED_VALUE"""),"MEDAN")</f>
        <v>MEDAN</v>
      </c>
      <c r="I537" s="222" t="str">
        <f>IFERROR(__xludf.DUMMYFUNCTION("""COMPUTED_VALUE"""),"Batch 2")</f>
        <v>Batch 2</v>
      </c>
      <c r="J537" s="225">
        <f>IFERROR(__xludf.DUMMYFUNCTION("""COMPUTED_VALUE"""),11.0)</f>
        <v>11</v>
      </c>
      <c r="K537" s="224">
        <f>IFERROR(__xludf.DUMMYFUNCTION("""COMPUTED_VALUE"""),88.0)</f>
        <v>88</v>
      </c>
      <c r="L537" s="226">
        <f>IFERROR(__xludf.DUMMYFUNCTION("""COMPUTED_VALUE"""),1379922.0)</f>
        <v>1379922</v>
      </c>
      <c r="M537" s="227">
        <f>IFERROR(__xludf.DUMMYFUNCTION("""COMPUTED_VALUE"""),1.21433097E8)</f>
        <v>121433097</v>
      </c>
      <c r="N537" s="222" t="str">
        <f>IFERROR(__xludf.DUMMYFUNCTION("""COMPUTED_VALUE"""),"PT TRIPOLA PANATA")</f>
        <v>PT TRIPOLA PANATA</v>
      </c>
      <c r="O537" s="222" t="str">
        <f>IFERROR(__xludf.DUMMYFUNCTION("""COMPUTED_VALUE"""),"0. DROP")</f>
        <v>0. DROP</v>
      </c>
      <c r="P537" s="222" t="str">
        <f>IFERROR(__xludf.DUMMYFUNCTION("""COMPUTED_VALUE"""),"0.4 CPP Tinggi Acc ED TIF")</f>
        <v>0.4 CPP Tinggi Acc ED TIF</v>
      </c>
      <c r="Q537" s="222" t="str">
        <f>IFERROR(__xludf.DUMMYFUNCTION("""COMPUTED_VALUE"""),"23/09 feeder Tidak Tembus
15/09 proses aanwijzing")</f>
        <v>23/09 feeder Tidak Tembus
15/09 proses aanwijzing</v>
      </c>
      <c r="R537" s="228"/>
      <c r="S537" s="11"/>
      <c r="T537" s="11"/>
      <c r="U537" s="11"/>
      <c r="V537" s="229"/>
      <c r="W537" s="229"/>
      <c r="X537" s="229" t="str">
        <f>IFERROR(__xludf.DUMMYFUNCTION("""COMPUTED_VALUE"""),"BELUM GOLIVE")</f>
        <v>BELUM GOLIVE</v>
      </c>
      <c r="Y537" s="229"/>
      <c r="Z537" s="229" t="str">
        <f>IFERROR(__xludf.DUMMYFUNCTION("""COMPUTED_VALUE"""),"#N/A")</f>
        <v>#N/A</v>
      </c>
      <c r="AA537" s="229"/>
      <c r="AB537" s="229"/>
      <c r="AC537" s="229"/>
      <c r="AD537" s="232"/>
      <c r="AE537" s="233"/>
      <c r="AF537" s="54" t="str">
        <f>IFERROR(__xludf.DUMMYFUNCTION("""COMPUTED_VALUE"""),"Draft BA DROP")</f>
        <v>Draft BA DROP</v>
      </c>
      <c r="AG537" s="54"/>
      <c r="AH537" s="54"/>
      <c r="AI537" s="55" t="str">
        <f>IF(OR(R537="",AE537=""),"",R537-AE537)</f>
        <v/>
      </c>
      <c r="AW537" s="234"/>
      <c r="BP537" s="11"/>
      <c r="BQ537" s="11"/>
      <c r="BR537" s="235"/>
      <c r="BV537" s="158"/>
      <c r="BY537" s="158"/>
      <c r="CB537" s="158"/>
    </row>
    <row r="538" ht="18.0" hidden="1" customHeight="1">
      <c r="A538" s="222">
        <f>IFERROR(__xludf.DUMMYFUNCTION("""COMPUTED_VALUE"""),2026.0)</f>
        <v>2026</v>
      </c>
      <c r="B538" s="221">
        <f>IFERROR(__xludf.DUMMYFUNCTION("""COMPUTED_VALUE"""),1.2429905E7)</f>
        <v>12429905</v>
      </c>
      <c r="C538" s="222" t="str">
        <f>IFERROR(__xludf.DUMMYFUNCTION("""COMPUTED_VALUE"""),"SMS P4I4 PT3 KAG FB D07 GRIYA BARU 2 NEW")</f>
        <v>SMS P4I4 PT3 KAG FB D07 GRIYA BARU 2 NEW</v>
      </c>
      <c r="D538" s="222" t="str">
        <f>IFERROR(__xludf.DUMMYFUNCTION("""COMPUTED_VALUE"""),"REGIONAL I")</f>
        <v>REGIONAL I</v>
      </c>
      <c r="E538" s="222" t="str">
        <f>IFERROR(__xludf.DUMMYFUNCTION("""COMPUTED_VALUE"""),"SUMSEL")</f>
        <v>SUMSEL</v>
      </c>
      <c r="F538" s="222" t="str">
        <f>IFERROR(__xludf.DUMMYFUNCTION("""COMPUTED_VALUE"""),"KAG")</f>
        <v>KAG</v>
      </c>
      <c r="G538" s="222" t="str">
        <f>IFERROR(__xludf.DUMMYFUNCTION("""COMPUTED_VALUE"""),"SUMBAGSEL")</f>
        <v>SUMBAGSEL</v>
      </c>
      <c r="H538" s="222" t="str">
        <f>IFERROR(__xludf.DUMMYFUNCTION("""COMPUTED_VALUE"""),"PALEMBANG")</f>
        <v>PALEMBANG</v>
      </c>
      <c r="I538" s="222" t="str">
        <f>IFERROR(__xludf.DUMMYFUNCTION("""COMPUTED_VALUE"""),"Batch 2")</f>
        <v>Batch 2</v>
      </c>
      <c r="J538" s="225">
        <f>IFERROR(__xludf.DUMMYFUNCTION("""COMPUTED_VALUE"""),2.0)</f>
        <v>2</v>
      </c>
      <c r="K538" s="224">
        <f>IFERROR(__xludf.DUMMYFUNCTION("""COMPUTED_VALUE"""),16.0)</f>
        <v>16</v>
      </c>
      <c r="L538" s="226">
        <f>IFERROR(__xludf.DUMMYFUNCTION("""COMPUTED_VALUE"""),1232019.0)</f>
        <v>1232019</v>
      </c>
      <c r="M538" s="227">
        <f>IFERROR(__xludf.DUMMYFUNCTION("""COMPUTED_VALUE"""),1.9712303E7)</f>
        <v>19712303</v>
      </c>
      <c r="N538" s="222" t="str">
        <f>IFERROR(__xludf.DUMMYFUNCTION("""COMPUTED_VALUE"""),"PT SARANA MITRA PERSADA")</f>
        <v>PT SARANA MITRA PERSADA</v>
      </c>
      <c r="O538" s="222" t="str">
        <f>IFERROR(__xludf.DUMMYFUNCTION("""COMPUTED_VALUE"""),"0. DROP")</f>
        <v>0. DROP</v>
      </c>
      <c r="P538" s="222" t="str">
        <f>IFERROR(__xludf.DUMMYFUNCTION("""COMPUTED_VALUE"""),"0.2 Tidak Dapat Izin Warga/Kades/Lurah/Developer")</f>
        <v>0.2 Tidak Dapat Izin Warga/Kades/Lurah/Developer</v>
      </c>
      <c r="Q538" s="222" t="str">
        <f>IFERROR(__xludf.DUMMYFUNCTION("""COMPUTED_VALUE"""),"24/02 DROP - TDK DPT IZIN RT, 30/01 DROP, KARENA DARI PIHAK DEPLOVER TIDAK MEMBERIKAN IZIN PEMBANGUNAN JARINGAN TELKOM, 27/01 Done aanwizjing, order dri tahun 2024, setelah d temuin kembali dri pihak deplover tdk memberi izin untuk ada nya pembangunan jar"&amp;"ingan telkom 30/01 DROP, KARENA DARI PIHAK DEPLOVER TIDAK MEMBERIKAN IZIN PEMBANGUNAN JARINGAN TELKOM, 25/01 DROP ORDER SUDAH DARI TAHUN 2024 DAN TIDAK PERNAH DAPAT IZIN DARI DEVELOPER DAN WARGA, (21/01) HI aanwjizng ke lokasi, (15/1) ORDER DITERIMA 14/1,"&amp;" PLAN AANWIJDZING 22 JAN 26(06/01)order JPP batch-2 2026 ((14/11)HOLD- tidak masuk target Optimis 2025 (
 14/01 penunjukan mitra oleh procurement")</f>
        <v>24/02 DROP - TDK DPT IZIN RT, 30/01 DROP, KARENA DARI PIHAK DEPLOVER TIDAK MEMBERIKAN IZIN PEMBANGUNAN JARINGAN TELKOM, 27/01 Done aanwizjing, order dri tahun 2024, setelah d temuin kembali dri pihak deplover tdk memberi izin untuk ada nya pembangunan jaringan telkom 30/01 DROP, KARENA DARI PIHAK DEPLOVER TIDAK MEMBERIKAN IZIN PEMBANGUNAN JARINGAN TELKOM, 25/01 DROP ORDER SUDAH DARI TAHUN 2024 DAN TIDAK PERNAH DAPAT IZIN DARI DEVELOPER DAN WARGA, (21/01) HI aanwjizng ke lokasi, (15/1) ORDER DITERIMA 14/1, PLAN AANWIJDZING 22 JAN 26(06/01)order JPP batch-2 2026 ((14/11)HOLD- tidak masuk target Optimis 2025 (
 14/01 penunjukan mitra oleh procurement</v>
      </c>
      <c r="R538" s="228"/>
      <c r="S538" s="11"/>
      <c r="T538" s="11"/>
      <c r="U538" s="11"/>
      <c r="V538" s="229" t="str">
        <f>IFERROR(__xludf.DUMMYFUNCTION("""COMPUTED_VALUE"""),"RENALDO")</f>
        <v>RENALDO</v>
      </c>
      <c r="W538" s="229"/>
      <c r="X538" s="229" t="str">
        <f>IFERROR(__xludf.DUMMYFUNCTION("""COMPUTED_VALUE"""),"BELUM GOLIVE")</f>
        <v>BELUM GOLIVE</v>
      </c>
      <c r="Y538" s="229"/>
      <c r="Z538" s="229" t="str">
        <f>IFERROR(__xludf.DUMMYFUNCTION("""COMPUTED_VALUE"""),"#N/A")</f>
        <v>#N/A</v>
      </c>
      <c r="AA538" s="229"/>
      <c r="AB538" s="229"/>
      <c r="AC538" s="229"/>
      <c r="AD538" s="232"/>
      <c r="AE538" s="233"/>
      <c r="AF538" s="54" t="str">
        <f>IFERROR(__xludf.DUMMYFUNCTION("""COMPUTED_VALUE"""),"Draft BA DROP")</f>
        <v>Draft BA DROP</v>
      </c>
      <c r="AG538" s="54"/>
      <c r="AH538" s="54">
        <v>46137.0</v>
      </c>
      <c r="AI538" s="237">
        <f>AH538-NOW()</f>
        <v>-3.377989896</v>
      </c>
      <c r="AJ538" s="229" t="str">
        <f>if(AI538&gt;=0,"In Komitmen","Out Komitmen")</f>
        <v>Out Komitmen</v>
      </c>
      <c r="AK538" s="229" t="e">
        <v>#N/A</v>
      </c>
      <c r="AW538" s="234"/>
      <c r="BP538" s="11"/>
      <c r="BQ538" s="11"/>
      <c r="BR538" s="235"/>
      <c r="BV538" s="158"/>
      <c r="BY538" s="158"/>
      <c r="CB538" s="158"/>
    </row>
    <row r="539" ht="18.0" customHeight="1">
      <c r="A539" s="222">
        <f>IFERROR(__xludf.DUMMYFUNCTION("""COMPUTED_VALUE"""),2026.0)</f>
        <v>2026</v>
      </c>
      <c r="B539" s="221">
        <f>IFERROR(__xludf.DUMMYFUNCTION("""COMPUTED_VALUE"""),1.1498037E7)</f>
        <v>11498037</v>
      </c>
      <c r="C539" s="222" t="str">
        <f>IFERROR(__xludf.DUMMYFUNCTION("""COMPUTED_VALUE"""),"RKP PT3 TSEL SGT-FA TBK. TAGARAJA")</f>
        <v>RKP PT3 TSEL SGT-FA TBK. TAGARAJA</v>
      </c>
      <c r="D539" s="222" t="str">
        <f>IFERROR(__xludf.DUMMYFUNCTION("""COMPUTED_VALUE"""),"REGIONAL I")</f>
        <v>REGIONAL I</v>
      </c>
      <c r="E539" s="222" t="str">
        <f>IFERROR(__xludf.DUMMYFUNCTION("""COMPUTED_VALUE"""),"RIKEP")</f>
        <v>RIKEP</v>
      </c>
      <c r="F539" s="222" t="str">
        <f>IFERROR(__xludf.DUMMYFUNCTION("""COMPUTED_VALUE"""),"SGT")</f>
        <v>SGT</v>
      </c>
      <c r="G539" s="222" t="str">
        <f>IFERROR(__xludf.DUMMYFUNCTION("""COMPUTED_VALUE"""),"SUMBAGTENG")</f>
        <v>SUMBAGTENG</v>
      </c>
      <c r="H539" s="222" t="str">
        <f>IFERROR(__xludf.DUMMYFUNCTION("""COMPUTED_VALUE"""),"BATAM")</f>
        <v>BATAM</v>
      </c>
      <c r="I539" s="222" t="str">
        <f>IFERROR(__xludf.DUMMYFUNCTION("""COMPUTED_VALUE"""),"Batch 2")</f>
        <v>Batch 2</v>
      </c>
      <c r="J539" s="225">
        <f>IFERROR(__xludf.DUMMYFUNCTION("""COMPUTED_VALUE"""),3.0)</f>
        <v>3</v>
      </c>
      <c r="K539" s="224">
        <f>IFERROR(__xludf.DUMMYFUNCTION("""COMPUTED_VALUE"""),24.0)</f>
        <v>24</v>
      </c>
      <c r="L539" s="226">
        <f>IFERROR(__xludf.DUMMYFUNCTION("""COMPUTED_VALUE"""),1231165.0)</f>
        <v>1231165</v>
      </c>
      <c r="M539" s="227">
        <f>IFERROR(__xludf.DUMMYFUNCTION("""COMPUTED_VALUE"""),2.9547944E7)</f>
        <v>29547944</v>
      </c>
      <c r="N539" s="222" t="str">
        <f>IFERROR(__xludf.DUMMYFUNCTION("""COMPUTED_VALUE"""),"PT MITRA AKSES INSANI")</f>
        <v>PT MITRA AKSES INSANI</v>
      </c>
      <c r="O539" s="222" t="str">
        <f>IFERROR(__xludf.DUMMYFUNCTION("""COMPUTED_VALUE"""),"4. MATDEL")</f>
        <v>4. MATDEL</v>
      </c>
      <c r="P539" s="222" t="str">
        <f>IFERROR(__xludf.DUMMYFUNCTION("""COMPUTED_VALUE"""),"4.3 Proses Kirim Mateial Kelokasi")</f>
        <v>4.3 Proses Kirim Mateial Kelokasi</v>
      </c>
      <c r="Q539" s="222" t="str">
        <f>IFERROR(__xludf.DUMMYFUNCTION("""COMPUTED_VALUE"""),"24/04 Take Over mitra, plan pengiriman material dan MP, tbc tanggal 20 Apr.
13/04 Menunggu pengiriman material dan prepare MP ke pulau sei guntung.
27/03 menunggu delivery material
05/03 menunggu delivery material
26/02 Pengiriman material 21/01 Proses pe"&amp;"rizinan")</f>
        <v>24/04 Take Over mitra, plan pengiriman material dan MP, tbc tanggal 20 Apr.
13/04 Menunggu pengiriman material dan prepare MP ke pulau sei guntung.
27/03 menunggu delivery material
05/03 menunggu delivery material
26/02 Pengiriman material 21/01 Proses perizinan</v>
      </c>
      <c r="R539" s="228"/>
      <c r="S539" s="11"/>
      <c r="T539" s="11"/>
      <c r="U539" s="11" t="str">
        <f>IFERROR(__xludf.DUMMYFUNCTION("""COMPUTED_VALUE"""),"W09-188/2026")</f>
        <v>W09-188/2026</v>
      </c>
      <c r="V539" s="229" t="str">
        <f>IFERROR(__xludf.DUMMYFUNCTION("""COMPUTED_VALUE"""),"MOHAMMAD FAUZY")</f>
        <v>MOHAMMAD FAUZY</v>
      </c>
      <c r="W539" s="229" t="str">
        <f>IFERROR(__xludf.DUMMYFUNCTION("""COMPUTED_VALUE"""),"LEVITA INDRIYANI")</f>
        <v>LEVITA INDRIYANI</v>
      </c>
      <c r="X539" s="229" t="str">
        <f>IFERROR(__xludf.DUMMYFUNCTION("""COMPUTED_VALUE"""),"BELUM GOLIVE")</f>
        <v>BELUM GOLIVE</v>
      </c>
      <c r="Y539" s="229"/>
      <c r="Z539" s="229" t="str">
        <f>IFERROR(__xludf.DUMMYFUNCTION("""COMPUTED_VALUE"""),"#N/A")</f>
        <v>#N/A</v>
      </c>
      <c r="AA539" s="229"/>
      <c r="AB539" s="229"/>
      <c r="AC539" s="229"/>
      <c r="AD539" s="232"/>
      <c r="AE539" s="233"/>
      <c r="AF539" s="54"/>
      <c r="AG539" s="54"/>
      <c r="AH539" s="54"/>
      <c r="AI539" s="55" t="str">
        <f t="shared" ref="AI539:AI549" si="65">IF(OR(R539="",AE539=""),"",R539-AE539)</f>
        <v/>
      </c>
      <c r="AW539" s="234"/>
      <c r="BP539" s="11"/>
      <c r="BQ539" s="11"/>
      <c r="BR539" s="235"/>
      <c r="BV539" s="158"/>
      <c r="BY539" s="158"/>
      <c r="CB539" s="158"/>
    </row>
    <row r="540" ht="18.0" customHeight="1">
      <c r="A540" s="222">
        <f>IFERROR(__xludf.DUMMYFUNCTION("""COMPUTED_VALUE"""),2026.0)</f>
        <v>2026</v>
      </c>
      <c r="B540" s="221">
        <f>IFERROR(__xludf.DUMMYFUNCTION("""COMPUTED_VALUE"""),1.1093257E7)</f>
        <v>11093257</v>
      </c>
      <c r="C540" s="222" t="str">
        <f>IFERROR(__xludf.DUMMYFUNCTION("""COMPUTED_VALUE"""),"RKP PT3 JPPTSEL SLU-FQ CLUSTER AYANA")</f>
        <v>RKP PT3 JPPTSEL SLU-FQ CLUSTER AYANA</v>
      </c>
      <c r="D540" s="222" t="str">
        <f>IFERROR(__xludf.DUMMYFUNCTION("""COMPUTED_VALUE"""),"REGIONAL I")</f>
        <v>REGIONAL I</v>
      </c>
      <c r="E540" s="222" t="str">
        <f>IFERROR(__xludf.DUMMYFUNCTION("""COMPUTED_VALUE"""),"RIKEP")</f>
        <v>RIKEP</v>
      </c>
      <c r="F540" s="222" t="str">
        <f>IFERROR(__xludf.DUMMYFUNCTION("""COMPUTED_VALUE"""),"SLU")</f>
        <v>SLU</v>
      </c>
      <c r="G540" s="222" t="str">
        <f>IFERROR(__xludf.DUMMYFUNCTION("""COMPUTED_VALUE"""),"SUMBAGTENG")</f>
        <v>SUMBAGTENG</v>
      </c>
      <c r="H540" s="222" t="str">
        <f>IFERROR(__xludf.DUMMYFUNCTION("""COMPUTED_VALUE"""),"BATAM")</f>
        <v>BATAM</v>
      </c>
      <c r="I540" s="222" t="str">
        <f>IFERROR(__xludf.DUMMYFUNCTION("""COMPUTED_VALUE"""),"Batch 2")</f>
        <v>Batch 2</v>
      </c>
      <c r="J540" s="225">
        <f>IFERROR(__xludf.DUMMYFUNCTION("""COMPUTED_VALUE"""),11.0)</f>
        <v>11</v>
      </c>
      <c r="K540" s="224">
        <f>IFERROR(__xludf.DUMMYFUNCTION("""COMPUTED_VALUE"""),88.0)</f>
        <v>88</v>
      </c>
      <c r="L540" s="226">
        <f>IFERROR(__xludf.DUMMYFUNCTION("""COMPUTED_VALUE"""),1230338.0)</f>
        <v>1230338</v>
      </c>
      <c r="M540" s="227">
        <f>IFERROR(__xludf.DUMMYFUNCTION("""COMPUTED_VALUE"""),1.08269736E8)</f>
        <v>108269736</v>
      </c>
      <c r="N540" s="222" t="str">
        <f>IFERROR(__xludf.DUMMYFUNCTION("""COMPUTED_VALUE"""),"PT MITRA HOSINDO SEJAHTERA")</f>
        <v>PT MITRA HOSINDO SEJAHTERA</v>
      </c>
      <c r="O540" s="222" t="str">
        <f>IFERROR(__xludf.DUMMYFUNCTION("""COMPUTED_VALUE"""),"0. DROP")</f>
        <v>0. DROP</v>
      </c>
      <c r="P540" s="222" t="str">
        <f>IFERROR(__xludf.DUMMYFUNCTION("""COMPUTED_VALUE"""),"0.2 Tidak Dapat Izin Warga/Kades/Lurah/Developer")</f>
        <v>0.2 Tidak Dapat Izin Warga/Kades/Lurah/Developer</v>
      </c>
      <c r="Q540" s="222" t="str">
        <f>IFERROR(__xludf.DUMMYFUNCTION("""COMPUTED_VALUE"""),"28/01 Izin di tolak developer karena masih menunggu PKS dari telkomsel. 21/01 Jalur KU masih di hold oleh dveloper, sudah di fu dengan TSEL")</f>
        <v>28/01 Izin di tolak developer karena masih menunggu PKS dari telkomsel. 21/01 Jalur KU masih di hold oleh dveloper, sudah di fu dengan TSEL</v>
      </c>
      <c r="R540" s="228"/>
      <c r="S540" s="11"/>
      <c r="T540" s="11"/>
      <c r="U540" s="11"/>
      <c r="V540" s="229" t="str">
        <f>IFERROR(__xludf.DUMMYFUNCTION("""COMPUTED_VALUE"""),"MUHAMMAD RIDHO FALFO")</f>
        <v>MUHAMMAD RIDHO FALFO</v>
      </c>
      <c r="W540" s="229" t="str">
        <f>IFERROR(__xludf.DUMMYFUNCTION("""COMPUTED_VALUE"""),"LEVITA INDRIYANI")</f>
        <v>LEVITA INDRIYANI</v>
      </c>
      <c r="X540" s="229" t="str">
        <f>IFERROR(__xludf.DUMMYFUNCTION("""COMPUTED_VALUE"""),"BELUM GOLIVE")</f>
        <v>BELUM GOLIVE</v>
      </c>
      <c r="Y540" s="229"/>
      <c r="Z540" s="229" t="str">
        <f>IFERROR(__xludf.DUMMYFUNCTION("""COMPUTED_VALUE"""),"#N/A")</f>
        <v>#N/A</v>
      </c>
      <c r="AA540" s="229"/>
      <c r="AB540" s="229"/>
      <c r="AC540" s="229"/>
      <c r="AD540" s="232"/>
      <c r="AE540" s="233"/>
      <c r="AF540" s="54" t="str">
        <f>IFERROR(__xludf.DUMMYFUNCTION("""COMPUTED_VALUE"""),"Draft BA DROP")</f>
        <v>Draft BA DROP</v>
      </c>
      <c r="AG540" s="54"/>
      <c r="AH540" s="54"/>
      <c r="AI540" s="55" t="str">
        <f t="shared" si="65"/>
        <v/>
      </c>
      <c r="AW540" s="234"/>
      <c r="BP540" s="11"/>
      <c r="BQ540" s="11"/>
      <c r="BR540" s="235"/>
      <c r="BV540" s="158"/>
      <c r="BY540" s="158"/>
      <c r="CB540" s="158"/>
    </row>
    <row r="541" ht="18.0" hidden="1" customHeight="1">
      <c r="A541" s="222">
        <f>IFERROR(__xludf.DUMMYFUNCTION("""COMPUTED_VALUE"""),2026.0)</f>
        <v>2026</v>
      </c>
      <c r="B541" s="221">
        <f>IFERROR(__xludf.DUMMYFUNCTION("""COMPUTED_VALUE"""),1.1571859E7)</f>
        <v>11571859</v>
      </c>
      <c r="C541" s="222" t="str">
        <f>IFERROR(__xludf.DUMMYFUNCTION("""COMPUTED_VALUE"""),"SMS P3I1 PT3 SKY FT AHAS BAYUNG LENCIR")</f>
        <v>SMS P3I1 PT3 SKY FT AHAS BAYUNG LENCIR</v>
      </c>
      <c r="D541" s="222" t="str">
        <f>IFERROR(__xludf.DUMMYFUNCTION("""COMPUTED_VALUE"""),"REGIONAL I")</f>
        <v>REGIONAL I</v>
      </c>
      <c r="E541" s="222" t="str">
        <f>IFERROR(__xludf.DUMMYFUNCTION("""COMPUTED_VALUE"""),"SUMSEL")</f>
        <v>SUMSEL</v>
      </c>
      <c r="F541" s="222" t="str">
        <f>IFERROR(__xludf.DUMMYFUNCTION("""COMPUTED_VALUE"""),"SKY")</f>
        <v>SKY</v>
      </c>
      <c r="G541" s="222" t="str">
        <f>IFERROR(__xludf.DUMMYFUNCTION("""COMPUTED_VALUE"""),"SUMBAGSEL")</f>
        <v>SUMBAGSEL</v>
      </c>
      <c r="H541" s="222" t="str">
        <f>IFERROR(__xludf.DUMMYFUNCTION("""COMPUTED_VALUE"""),"PALEMBANG")</f>
        <v>PALEMBANG</v>
      </c>
      <c r="I541" s="222" t="str">
        <f>IFERROR(__xludf.DUMMYFUNCTION("""COMPUTED_VALUE"""),"Batch 2")</f>
        <v>Batch 2</v>
      </c>
      <c r="J541" s="225">
        <f>IFERROR(__xludf.DUMMYFUNCTION("""COMPUTED_VALUE"""),8.0)</f>
        <v>8</v>
      </c>
      <c r="K541" s="224">
        <f>IFERROR(__xludf.DUMMYFUNCTION("""COMPUTED_VALUE"""),64.0)</f>
        <v>64</v>
      </c>
      <c r="L541" s="226">
        <f>IFERROR(__xludf.DUMMYFUNCTION("""COMPUTED_VALUE"""),1229605.0)</f>
        <v>1229605</v>
      </c>
      <c r="M541" s="227">
        <f>IFERROR(__xludf.DUMMYFUNCTION("""COMPUTED_VALUE"""),7.8694658E7)</f>
        <v>78694658</v>
      </c>
      <c r="N541" s="222" t="str">
        <f>IFERROR(__xludf.DUMMYFUNCTION("""COMPUTED_VALUE"""),"PT MAJU JAYA TEKNOLOGI")</f>
        <v>PT MAJU JAYA TEKNOLOGI</v>
      </c>
      <c r="O541" s="222" t="str">
        <f>IFERROR(__xludf.DUMMYFUNCTION("""COMPUTED_VALUE"""),"3. PERIZINAN")</f>
        <v>3. PERIZINAN</v>
      </c>
      <c r="P541" s="222" t="str">
        <f>IFERROR(__xludf.DUMMYFUNCTION("""COMPUTED_VALUE"""),"3.1 Submit permohon ke PU")</f>
        <v>3.1 Submit permohon ke PU</v>
      </c>
      <c r="Q541" s="222" t="str">
        <f>IFERROR(__xludf.DUMMYFUNCTION("""COMPUTED_VALUE"""),"27/04 MASIH MENUNGGU BERKAS SURAT PU YG DI RILIS TIF, 24/04 berkas surat pu nasional belum rilis dari tif (bang arif HAI), 09/04 KOORDINASI DG PAK ARIF (TIF HAI)TERKAIT PEMBERKASAN PERIZINAN PU,  08/04 KOORDINASI DG PAK ARIF TERKAIT PERIZINAN PU, 06/04 PL"&amp;"AN HARI INI BERTEMU PAK ARIF - KOORDINASI MENGENAI PERIZINAN PU, 01/04 MASIH MELENGKAPI DOKUMEN, 30/03 MASIH MELENGKAPI DOKUMEN, 27/03 BLM ADA INFO TSEL (PAK ARIF) TERKAIT KELANJUTAN PERIZINAN, 25/03 BLM ADA INFO TSEL TERKAIT KELANJUTAN PERIZINAN, 21/03 S"&amp;"DH SUBMIT PERIZINAN KE TSEL TINGGAL MENUNGGU KONFIRMASI KELANJUTANNYA, 17/03 MASIH MENUNGGU KONFIRMASI DARI TSEL, 13/03 MASIH MENUNGGU KONFIRMASI DARI TSEL, 11/03 SUDAH SUBMIT PERIZINAN KE TSEL, 10/03 OGP MELENGKAPI DOKUMEN PERIZINAN, 03/03 MASIH BERTANYA"&amp;" TERKAIT SYARAT PERIZINAN - BLM ADA INFO, 02/03 LAGI MENANYAKAN SYARAT PERIZINANNYA APA SAJA, 27/02 FEEDER ODC PBI FT DARI  TIM MTC KABEL  144 EXT NODE B BUTUH QE D RUAS JALAN PU NASIONAL, DAN UNTUK DIST PENARIKAN BARU MASUK KE RUAS PU NASIONAL 22/2 perij"&amp;"inan PU NAS  06/02 HASIL REVIEW TSEL LANJUT PERIZINAN PU NASIONAL ,04/02 DONE EVAL, HOLD AREA MASUK PU NASIONAL DAN JALUR PERTAGAS, UNTUK CPP 1,2 JT, PASTIKAN CORE FEEDER EXT D ODC, KRENA MASUK MINI OLT BAYUNG LINCIR, 15/01 menunggu jadwal aanwijzing dg m"&amp;"itra 04/02 DONE EVAL, HOLD AREA MASUK PU NASIONAL DAN JALUR PERTAGAS, UNTUK CPP 1,2 JT, PASTIKAN CORE FEEDER EXT D ODC, KRENA MASUK MINI OLT BAYUNG LINCIR,, 31/01 PROSES AANWIDJZING, 30/01 MENUNGGU JADWAL AANWIDJZING DG MITRA, (24/1) plan aawijdizng 27/1 "&amp;"(21/01) menunggu antrian untuk aanwizjing lapangan, ( 20/1) MJT setuju(15/1) ORDER DITERIMA 14/1 ,PLAN AANWIJDZING 21 JAN 26 (06/01)order JPP batch-2 2026 ((26/11) ORDER HOLD , FLAGGING ""TIDAK LANJUT DARI PED"" (25/11 MJT setuju, 24/11 penunjukkan mitra "&amp;"MJT(14/11) MItra MJS blm ambil pekerjaan baru terkait close pekerjaan lama , LOP juga tidak masuk list optimis close 2025 ( (11/11) Penunjukkan MITRA oleh Procurement 23/10 penunjukan mitra
 14/01 Surat lanjut kerja oleh procurement")</f>
        <v>27/04 MASIH MENUNGGU BERKAS SURAT PU YG DI RILIS TIF, 24/04 berkas surat pu nasional belum rilis dari tif (bang arif HAI), 09/04 KOORDINASI DG PAK ARIF (TIF HAI)TERKAIT PEMBERKASAN PERIZINAN PU,  08/04 KOORDINASI DG PAK ARIF TERKAIT PERIZINAN PU, 06/04 PLAN HARI INI BERTEMU PAK ARIF - KOORDINASI MENGENAI PERIZINAN PU, 01/04 MASIH MELENGKAPI DOKUMEN, 30/03 MASIH MELENGKAPI DOKUMEN, 27/03 BLM ADA INFO TSEL (PAK ARIF) TERKAIT KELANJUTAN PERIZINAN, 25/03 BLM ADA INFO TSEL TERKAIT KELANJUTAN PERIZINAN, 21/03 SDH SUBMIT PERIZINAN KE TSEL TINGGAL MENUNGGU KONFIRMASI KELANJUTANNYA, 17/03 MASIH MENUNGGU KONFIRMASI DARI TSEL, 13/03 MASIH MENUNGGU KONFIRMASI DARI TSEL, 11/03 SUDAH SUBMIT PERIZINAN KE TSEL, 10/03 OGP MELENGKAPI DOKUMEN PERIZINAN, 03/03 MASIH BERTANYA TERKAIT SYARAT PERIZINAN - BLM ADA INFO, 02/03 LAGI MENANYAKAN SYARAT PERIZINANNYA APA SAJA, 27/02 FEEDER ODC PBI FT DARI  TIM MTC KABEL  144 EXT NODE B BUTUH QE D RUAS JALAN PU NASIONAL, DAN UNTUK DIST PENARIKAN BARU MASUK KE RUAS PU NASIONAL 22/2 perijinan PU NAS  06/02 HASIL REVIEW TSEL LANJUT PERIZINAN PU NASIONAL ,04/02 DONE EVAL, HOLD AREA MASUK PU NASIONAL DAN JALUR PERTAGAS, UNTUK CPP 1,2 JT, PASTIKAN CORE FEEDER EXT D ODC, KRENA MASUK MINI OLT BAYUNG LINCIR, 15/01 menunggu jadwal aanwijzing dg mitra 04/02 DONE EVAL, HOLD AREA MASUK PU NASIONAL DAN JALUR PERTAGAS, UNTUK CPP 1,2 JT, PASTIKAN CORE FEEDER EXT D ODC, KRENA MASUK MINI OLT BAYUNG LINCIR,, 31/01 PROSES AANWIDJZING, 30/01 MENUNGGU JADWAL AANWIDJZING DG MITRA, (24/1) plan aawijdizng 27/1 (21/01) menunggu antrian untuk aanwizjing lapangan, ( 20/1) MJT setuju(15/1) ORDER DITERIMA 14/1 ,PLAN AANWIJDZING 21 JAN 26 (06/01)order JPP batch-2 2026 ((26/11) ORDER HOLD , FLAGGING "TIDAK LANJUT DARI PED" (25/11 MJT setuju, 24/11 penunjukkan mitra MJT(14/11) MItra MJS blm ambil pekerjaan baru terkait close pekerjaan lama , LOP juga tidak masuk list optimis close 2025 ( (11/11) Penunjukkan MITRA oleh Procurement 23/10 penunjukan mitra
 14/01 Surat lanjut kerja oleh procurement</v>
      </c>
      <c r="R541" s="228"/>
      <c r="S541" s="11"/>
      <c r="T541" s="11" t="str">
        <f>IFERROR(__xludf.DUMMYFUNCTION("""COMPUTED_VALUE"""),"P1")</f>
        <v>P1</v>
      </c>
      <c r="U541" s="11"/>
      <c r="V541" s="229" t="str">
        <f>IFERROR(__xludf.DUMMYFUNCTION("""COMPUTED_VALUE"""),"TEGAR")</f>
        <v>TEGAR</v>
      </c>
      <c r="W541" s="229"/>
      <c r="X541" s="229" t="str">
        <f>IFERROR(__xludf.DUMMYFUNCTION("""COMPUTED_VALUE"""),"BELUM GOLIVE")</f>
        <v>BELUM GOLIVE</v>
      </c>
      <c r="Y541" s="229"/>
      <c r="Z541" s="229" t="str">
        <f>IFERROR(__xludf.DUMMYFUNCTION("""COMPUTED_VALUE"""),"#N/A")</f>
        <v>#N/A</v>
      </c>
      <c r="AA541" s="229"/>
      <c r="AB541" s="229"/>
      <c r="AC541" s="229"/>
      <c r="AD541" s="232"/>
      <c r="AE541" s="233"/>
      <c r="AF541" s="54"/>
      <c r="AG541" s="54"/>
      <c r="AH541" s="54"/>
      <c r="AI541" s="55" t="str">
        <f t="shared" si="65"/>
        <v/>
      </c>
      <c r="AW541" s="234"/>
      <c r="BP541" s="11"/>
      <c r="BQ541" s="11"/>
      <c r="BR541" s="235"/>
      <c r="BV541" s="158"/>
      <c r="BY541" s="158"/>
      <c r="CB541" s="158"/>
    </row>
    <row r="542" ht="18.0" hidden="1" customHeight="1">
      <c r="A542" s="222">
        <f>IFERROR(__xludf.DUMMYFUNCTION("""COMPUTED_VALUE"""),2026.0)</f>
        <v>2026</v>
      </c>
      <c r="B542" s="221">
        <f>IFERROR(__xludf.DUMMYFUNCTION("""COMPUTED_VALUE"""),1.1271795E7)</f>
        <v>11271795</v>
      </c>
      <c r="C542" s="222" t="str">
        <f>IFERROR(__xludf.DUMMYFUNCTION("""COMPUTED_VALUE"""),"MDN PT3 P1I1 GLG-FH DESA PETANGGUHAN")</f>
        <v>MDN PT3 P1I1 GLG-FH DESA PETANGGUHAN</v>
      </c>
      <c r="D542" s="222" t="str">
        <f>IFERROR(__xludf.DUMMYFUNCTION("""COMPUTED_VALUE"""),"REGIONAL I")</f>
        <v>REGIONAL I</v>
      </c>
      <c r="E542" s="222" t="str">
        <f>IFERROR(__xludf.DUMMYFUNCTION("""COMPUTED_VALUE"""),"MEDAN")</f>
        <v>MEDAN</v>
      </c>
      <c r="F542" s="222" t="str">
        <f>IFERROR(__xludf.DUMMYFUNCTION("""COMPUTED_VALUE"""),"GLG")</f>
        <v>GLG</v>
      </c>
      <c r="G542" s="222" t="str">
        <f>IFERROR(__xludf.DUMMYFUNCTION("""COMPUTED_VALUE"""),"SUMBAGUT")</f>
        <v>SUMBAGUT</v>
      </c>
      <c r="H542" s="222" t="str">
        <f>IFERROR(__xludf.DUMMYFUNCTION("""COMPUTED_VALUE"""),"MEDAN")</f>
        <v>MEDAN</v>
      </c>
      <c r="I542" s="222" t="str">
        <f>IFERROR(__xludf.DUMMYFUNCTION("""COMPUTED_VALUE"""),"Batch 2")</f>
        <v>Batch 2</v>
      </c>
      <c r="J542" s="225">
        <f>IFERROR(__xludf.DUMMYFUNCTION("""COMPUTED_VALUE"""),17.0)</f>
        <v>17</v>
      </c>
      <c r="K542" s="224">
        <f>IFERROR(__xludf.DUMMYFUNCTION("""COMPUTED_VALUE"""),136.0)</f>
        <v>136</v>
      </c>
      <c r="L542" s="226">
        <f>IFERROR(__xludf.DUMMYFUNCTION("""COMPUTED_VALUE"""),1467511.0)</f>
        <v>1467511</v>
      </c>
      <c r="M542" s="227">
        <f>IFERROR(__xludf.DUMMYFUNCTION("""COMPUTED_VALUE"""),1.99581419E8)</f>
        <v>199581419</v>
      </c>
      <c r="N542" s="222" t="str">
        <f>IFERROR(__xludf.DUMMYFUNCTION("""COMPUTED_VALUE"""),"PT FIBERHOME TECHNOLOGIES INDONESIA")</f>
        <v>PT FIBERHOME TECHNOLOGIES INDONESIA</v>
      </c>
      <c r="O542" s="222" t="str">
        <f>IFERROR(__xludf.DUMMYFUNCTION("""COMPUTED_VALUE"""),"0. DROP")</f>
        <v>0. DROP</v>
      </c>
      <c r="P542" s="222" t="str">
        <f>IFERROR(__xludf.DUMMYFUNCTION("""COMPUTED_VALUE"""),"0.4 CPP Tinggi Acc ED TIF")</f>
        <v>0.4 CPP Tinggi Acc ED TIF</v>
      </c>
      <c r="Q542" s="222" t="str">
        <f>IFERROR(__xludf.DUMMYFUNCTION("""COMPUTED_VALUE"""),"19/02 proses perizinan
(07/01) Persiapan")</f>
        <v>19/02 proses perizinan
(07/01) Persiapan</v>
      </c>
      <c r="R542" s="228"/>
      <c r="S542" s="11"/>
      <c r="T542" s="11"/>
      <c r="U542" s="11"/>
      <c r="V542" s="229"/>
      <c r="W542" s="229"/>
      <c r="X542" s="229" t="str">
        <f>IFERROR(__xludf.DUMMYFUNCTION("""COMPUTED_VALUE"""),"BELUM GOLIVE")</f>
        <v>BELUM GOLIVE</v>
      </c>
      <c r="Y542" s="229"/>
      <c r="Z542" s="229" t="str">
        <f>IFERROR(__xludf.DUMMYFUNCTION("""COMPUTED_VALUE"""),"#N/A")</f>
        <v>#N/A</v>
      </c>
      <c r="AA542" s="229"/>
      <c r="AB542" s="229"/>
      <c r="AC542" s="229"/>
      <c r="AD542" s="232"/>
      <c r="AE542" s="233"/>
      <c r="AF542" s="54" t="str">
        <f>IFERROR(__xludf.DUMMYFUNCTION("""COMPUTED_VALUE"""),"Draft BA DROP")</f>
        <v>Draft BA DROP</v>
      </c>
      <c r="AG542" s="54"/>
      <c r="AH542" s="54"/>
      <c r="AI542" s="55" t="str">
        <f t="shared" si="65"/>
        <v/>
      </c>
      <c r="AW542" s="234"/>
      <c r="BP542" s="11"/>
      <c r="BQ542" s="11"/>
      <c r="BR542" s="235"/>
      <c r="BV542" s="158"/>
      <c r="BY542" s="158"/>
      <c r="CB542" s="158"/>
    </row>
    <row r="543" ht="18.0" hidden="1" customHeight="1">
      <c r="A543" s="222">
        <f>IFERROR(__xludf.DUMMYFUNCTION("""COMPUTED_VALUE"""),2026.0)</f>
        <v>2026</v>
      </c>
      <c r="B543" s="221">
        <f>IFERROR(__xludf.DUMMYFUNCTION("""COMPUTED_VALUE"""),1.1405147E7)</f>
        <v>11405147</v>
      </c>
      <c r="C543" s="222" t="str">
        <f>IFERROR(__xludf.DUMMYFUNCTION("""COMPUTED_VALUE"""),"MDN PT3 P7I13 TTG-FM KOMP TNI YONZIPUR")</f>
        <v>MDN PT3 P7I13 TTG-FM KOMP TNI YONZIPUR</v>
      </c>
      <c r="D543" s="222" t="str">
        <f>IFERROR(__xludf.DUMMYFUNCTION("""COMPUTED_VALUE"""),"REGIONAL I")</f>
        <v>REGIONAL I</v>
      </c>
      <c r="E543" s="222" t="str">
        <f>IFERROR(__xludf.DUMMYFUNCTION("""COMPUTED_VALUE"""),"MEDAN")</f>
        <v>MEDAN</v>
      </c>
      <c r="F543" s="222" t="str">
        <f>IFERROR(__xludf.DUMMYFUNCTION("""COMPUTED_VALUE"""),"TTG")</f>
        <v>TTG</v>
      </c>
      <c r="G543" s="222" t="str">
        <f>IFERROR(__xludf.DUMMYFUNCTION("""COMPUTED_VALUE"""),"SUMBAGUT")</f>
        <v>SUMBAGUT</v>
      </c>
      <c r="H543" s="222" t="str">
        <f>IFERROR(__xludf.DUMMYFUNCTION("""COMPUTED_VALUE"""),"MEDAN")</f>
        <v>MEDAN</v>
      </c>
      <c r="I543" s="222" t="str">
        <f>IFERROR(__xludf.DUMMYFUNCTION("""COMPUTED_VALUE"""),"Batch 2")</f>
        <v>Batch 2</v>
      </c>
      <c r="J543" s="225">
        <f>IFERROR(__xludf.DUMMYFUNCTION("""COMPUTED_VALUE"""),4.0)</f>
        <v>4</v>
      </c>
      <c r="K543" s="224">
        <f>IFERROR(__xludf.DUMMYFUNCTION("""COMPUTED_VALUE"""),32.0)</f>
        <v>32</v>
      </c>
      <c r="L543" s="226">
        <f>IFERROR(__xludf.DUMMYFUNCTION("""COMPUTED_VALUE"""),1383632.0)</f>
        <v>1383632</v>
      </c>
      <c r="M543" s="227">
        <f>IFERROR(__xludf.DUMMYFUNCTION("""COMPUTED_VALUE"""),4.4276209E7)</f>
        <v>44276209</v>
      </c>
      <c r="N543" s="222" t="str">
        <f>IFERROR(__xludf.DUMMYFUNCTION("""COMPUTED_VALUE"""),"PT WALET SOLUSINDO")</f>
        <v>PT WALET SOLUSINDO</v>
      </c>
      <c r="O543" s="222" t="str">
        <f>IFERROR(__xludf.DUMMYFUNCTION("""COMPUTED_VALUE"""),"0. DROP")</f>
        <v>0. DROP</v>
      </c>
      <c r="P543" s="222" t="str">
        <f>IFERROR(__xludf.DUMMYFUNCTION("""COMPUTED_VALUE"""),"0.4 CPP Tinggi Acc ED TIF")</f>
        <v>0.4 CPP Tinggi Acc ED TIF</v>
      </c>
      <c r="Q543" s="222" t="str">
        <f>IFERROR(__xludf.DUMMYFUNCTION("""COMPUTED_VALUE"""),"20/09 Feeder Habis
15/09 proses aanwijzing")</f>
        <v>20/09 Feeder Habis
15/09 proses aanwijzing</v>
      </c>
      <c r="R543" s="228"/>
      <c r="S543" s="11"/>
      <c r="T543" s="11"/>
      <c r="U543" s="11"/>
      <c r="V543" s="229"/>
      <c r="W543" s="229"/>
      <c r="X543" s="229" t="str">
        <f>IFERROR(__xludf.DUMMYFUNCTION("""COMPUTED_VALUE"""),"BELUM GOLIVE")</f>
        <v>BELUM GOLIVE</v>
      </c>
      <c r="Y543" s="229"/>
      <c r="Z543" s="229" t="str">
        <f>IFERROR(__xludf.DUMMYFUNCTION("""COMPUTED_VALUE"""),"#N/A")</f>
        <v>#N/A</v>
      </c>
      <c r="AA543" s="229"/>
      <c r="AB543" s="229"/>
      <c r="AC543" s="229"/>
      <c r="AD543" s="232"/>
      <c r="AE543" s="233"/>
      <c r="AF543" s="54" t="str">
        <f>IFERROR(__xludf.DUMMYFUNCTION("""COMPUTED_VALUE"""),"Draft BA DROP")</f>
        <v>Draft BA DROP</v>
      </c>
      <c r="AG543" s="54"/>
      <c r="AH543" s="54"/>
      <c r="AI543" s="55" t="str">
        <f t="shared" si="65"/>
        <v/>
      </c>
      <c r="AW543" s="234"/>
      <c r="BP543" s="11"/>
      <c r="BQ543" s="11"/>
      <c r="BR543" s="235"/>
      <c r="BV543" s="158"/>
      <c r="BY543" s="158"/>
      <c r="CB543" s="158"/>
    </row>
    <row r="544" ht="18.0" hidden="1" customHeight="1">
      <c r="A544" s="222">
        <f>IFERROR(__xludf.DUMMYFUNCTION("""COMPUTED_VALUE"""),2026.0)</f>
        <v>2026</v>
      </c>
      <c r="B544" s="221">
        <f>IFERROR(__xludf.DUMMYFUNCTION("""COMPUTED_VALUE"""),1.1271881E7)</f>
        <v>11271881</v>
      </c>
      <c r="C544" s="222" t="str">
        <f>IFERROR(__xludf.DUMMYFUNCTION("""COMPUTED_VALUE"""),"MDN PT3 SKI-FAP JL.JERMAL VII")</f>
        <v>MDN PT3 SKI-FAP JL.JERMAL VII</v>
      </c>
      <c r="D544" s="222" t="str">
        <f>IFERROR(__xludf.DUMMYFUNCTION("""COMPUTED_VALUE"""),"REGIONAL I")</f>
        <v>REGIONAL I</v>
      </c>
      <c r="E544" s="222" t="str">
        <f>IFERROR(__xludf.DUMMYFUNCTION("""COMPUTED_VALUE"""),"MEDAN")</f>
        <v>MEDAN</v>
      </c>
      <c r="F544" s="222" t="str">
        <f>IFERROR(__xludf.DUMMYFUNCTION("""COMPUTED_VALUE"""),"SKI")</f>
        <v>SKI</v>
      </c>
      <c r="G544" s="222" t="str">
        <f>IFERROR(__xludf.DUMMYFUNCTION("""COMPUTED_VALUE"""),"SUMBAGUT")</f>
        <v>SUMBAGUT</v>
      </c>
      <c r="H544" s="222" t="str">
        <f>IFERROR(__xludf.DUMMYFUNCTION("""COMPUTED_VALUE"""),"MEDAN")</f>
        <v>MEDAN</v>
      </c>
      <c r="I544" s="222" t="str">
        <f>IFERROR(__xludf.DUMMYFUNCTION("""COMPUTED_VALUE"""),"Batch 2")</f>
        <v>Batch 2</v>
      </c>
      <c r="J544" s="225">
        <f>IFERROR(__xludf.DUMMYFUNCTION("""COMPUTED_VALUE"""),3.0)</f>
        <v>3</v>
      </c>
      <c r="K544" s="224">
        <f>IFERROR(__xludf.DUMMYFUNCTION("""COMPUTED_VALUE"""),24.0)</f>
        <v>24</v>
      </c>
      <c r="L544" s="226">
        <f>IFERROR(__xludf.DUMMYFUNCTION("""COMPUTED_VALUE"""),433284.0)</f>
        <v>433284</v>
      </c>
      <c r="M544" s="227">
        <f>IFERROR(__xludf.DUMMYFUNCTION("""COMPUTED_VALUE"""),1.0398815E7)</f>
        <v>10398815</v>
      </c>
      <c r="N544" s="222" t="str">
        <f>IFERROR(__xludf.DUMMYFUNCTION("""COMPUTED_VALUE"""),"PT UPENTEL INTERNASIONAL")</f>
        <v>PT UPENTEL INTERNASIONAL</v>
      </c>
      <c r="O544" s="222" t="str">
        <f>IFERROR(__xludf.DUMMYFUNCTION("""COMPUTED_VALUE"""),"2. DONE AANWIJZING")</f>
        <v>2. DONE AANWIJZING</v>
      </c>
      <c r="P544" s="222" t="str">
        <f>IFERROR(__xludf.DUMMYFUNCTION("""COMPUTED_VALUE"""),"2.10 Kendala - Feeder Rusak")</f>
        <v>2.10 Kendala - Feeder Rusak</v>
      </c>
      <c r="Q544" s="222" t="str">
        <f>IFERROR(__xludf.DUMMYFUNCTION("""COMPUTED_VALUE"""),"21/04 pengecekan tipus / butuh qe
02/02 Feeder Tidak Tembus")</f>
        <v>21/04 pengecekan tipus / butuh qe
02/02 Feeder Tidak Tembus</v>
      </c>
      <c r="R544" s="228"/>
      <c r="S544" s="11"/>
      <c r="T544" s="11"/>
      <c r="U544" s="11"/>
      <c r="V544" s="229"/>
      <c r="W544" s="229"/>
      <c r="X544" s="229" t="str">
        <f>IFERROR(__xludf.DUMMYFUNCTION("""COMPUTED_VALUE"""),"BELUM GOLIVE")</f>
        <v>BELUM GOLIVE</v>
      </c>
      <c r="Y544" s="229"/>
      <c r="Z544" s="229" t="str">
        <f>IFERROR(__xludf.DUMMYFUNCTION("""COMPUTED_VALUE"""),"#N/A")</f>
        <v>#N/A</v>
      </c>
      <c r="AA544" s="229"/>
      <c r="AB544" s="229"/>
      <c r="AC544" s="229"/>
      <c r="AD544" s="232"/>
      <c r="AE544" s="233"/>
      <c r="AF544" s="54"/>
      <c r="AG544" s="54"/>
      <c r="AH544" s="54"/>
      <c r="AI544" s="55" t="str">
        <f t="shared" si="65"/>
        <v/>
      </c>
      <c r="AW544" s="234"/>
      <c r="BP544" s="11"/>
      <c r="BQ544" s="11"/>
      <c r="BR544" s="235"/>
      <c r="BV544" s="158"/>
      <c r="BY544" s="158"/>
      <c r="CB544" s="158"/>
    </row>
    <row r="545" ht="18.0" customHeight="1">
      <c r="A545" s="222">
        <f>IFERROR(__xludf.DUMMYFUNCTION("""COMPUTED_VALUE"""),2026.0)</f>
        <v>2026</v>
      </c>
      <c r="B545" s="221">
        <f>IFERROR(__xludf.DUMMYFUNCTION("""COMPUTED_VALUE"""),1.1580942E7)</f>
        <v>11580942</v>
      </c>
      <c r="C545" s="222" t="str">
        <f>IFERROR(__xludf.DUMMYFUNCTION("""COMPUTED_VALUE"""),"RKP TSEL PT3 TUB-FQ PONPES AL QUDWAH")</f>
        <v>RKP TSEL PT3 TUB-FQ PONPES AL QUDWAH</v>
      </c>
      <c r="D545" s="222" t="str">
        <f>IFERROR(__xludf.DUMMYFUNCTION("""COMPUTED_VALUE"""),"REGIONAL I")</f>
        <v>REGIONAL I</v>
      </c>
      <c r="E545" s="222" t="str">
        <f>IFERROR(__xludf.DUMMYFUNCTION("""COMPUTED_VALUE"""),"RIKEP")</f>
        <v>RIKEP</v>
      </c>
      <c r="F545" s="222" t="str">
        <f>IFERROR(__xludf.DUMMYFUNCTION("""COMPUTED_VALUE"""),"TUB")</f>
        <v>TUB</v>
      </c>
      <c r="G545" s="222" t="str">
        <f>IFERROR(__xludf.DUMMYFUNCTION("""COMPUTED_VALUE"""),"SUMBAGTENG")</f>
        <v>SUMBAGTENG</v>
      </c>
      <c r="H545" s="222" t="str">
        <f>IFERROR(__xludf.DUMMYFUNCTION("""COMPUTED_VALUE"""),"BATAM")</f>
        <v>BATAM</v>
      </c>
      <c r="I545" s="222" t="str">
        <f>IFERROR(__xludf.DUMMYFUNCTION("""COMPUTED_VALUE"""),"Batch 2")</f>
        <v>Batch 2</v>
      </c>
      <c r="J545" s="225">
        <f>IFERROR(__xludf.DUMMYFUNCTION("""COMPUTED_VALUE"""),1.0)</f>
        <v>1</v>
      </c>
      <c r="K545" s="224">
        <f>IFERROR(__xludf.DUMMYFUNCTION("""COMPUTED_VALUE"""),8.0)</f>
        <v>8</v>
      </c>
      <c r="L545" s="226">
        <f>IFERROR(__xludf.DUMMYFUNCTION("""COMPUTED_VALUE"""),1225866.0)</f>
        <v>1225866</v>
      </c>
      <c r="M545" s="227">
        <f>IFERROR(__xludf.DUMMYFUNCTION("""COMPUTED_VALUE"""),9806924.0)</f>
        <v>9806924</v>
      </c>
      <c r="N545" s="222" t="str">
        <f>IFERROR(__xludf.DUMMYFUNCTION("""COMPUTED_VALUE"""),"PT SALTTEK DUMPANG JAYA")</f>
        <v>PT SALTTEK DUMPANG JAYA</v>
      </c>
      <c r="O545" s="222" t="str">
        <f>IFERROR(__xludf.DUMMYFUNCTION("""COMPUTED_VALUE"""),"2. DONE AANWIJZING")</f>
        <v>2. DONE AANWIJZING</v>
      </c>
      <c r="P545" s="222" t="str">
        <f>IFERROR(__xludf.DUMMYFUNCTION("""COMPUTED_VALUE"""),"2.11 Kendala - Feeder Full / Dependensi LOP lain")</f>
        <v>2.11 Kendala - Feeder Full / Dependensi LOP lain</v>
      </c>
      <c r="Q545" s="222" t="str">
        <f>IFERROR(__xludf.DUMMYFUNCTION("""COMPUTED_VALUE"""),"03/02 Feeder Penuh.  28/01 Anwijzing OK, proses perizinan, REDESIGN Jalur bareng TSEL hari kamis 5 feb.21/01 Plan anwijzing di minggu depan 28 jan")</f>
        <v>03/02 Feeder Penuh.  28/01 Anwijzing OK, proses perizinan, REDESIGN Jalur bareng TSEL hari kamis 5 feb.21/01 Plan anwijzing di minggu depan 28 jan</v>
      </c>
      <c r="R545" s="228"/>
      <c r="S545" s="11"/>
      <c r="T545" s="11"/>
      <c r="U545" s="11"/>
      <c r="V545" s="229" t="str">
        <f>IFERROR(__xludf.DUMMYFUNCTION("""COMPUTED_VALUE"""),"DEDY IRAWAN")</f>
        <v>DEDY IRAWAN</v>
      </c>
      <c r="W545" s="229" t="str">
        <f>IFERROR(__xludf.DUMMYFUNCTION("""COMPUTED_VALUE"""),"LEVITA INDRIYANI")</f>
        <v>LEVITA INDRIYANI</v>
      </c>
      <c r="X545" s="229" t="str">
        <f>IFERROR(__xludf.DUMMYFUNCTION("""COMPUTED_VALUE"""),"BELUM GOLIVE")</f>
        <v>BELUM GOLIVE</v>
      </c>
      <c r="Y545" s="229"/>
      <c r="Z545" s="229" t="str">
        <f>IFERROR(__xludf.DUMMYFUNCTION("""COMPUTED_VALUE"""),"#N/A")</f>
        <v>#N/A</v>
      </c>
      <c r="AA545" s="229"/>
      <c r="AB545" s="229"/>
      <c r="AC545" s="229"/>
      <c r="AD545" s="232"/>
      <c r="AE545" s="233"/>
      <c r="AF545" s="54" t="str">
        <f>IFERROR(__xludf.DUMMYFUNCTION("""COMPUTED_VALUE"""),"Draft BA DROP")</f>
        <v>Draft BA DROP</v>
      </c>
      <c r="AG545" s="54"/>
      <c r="AH545" s="54"/>
      <c r="AI545" s="55" t="str">
        <f t="shared" si="65"/>
        <v/>
      </c>
      <c r="AW545" s="234"/>
      <c r="BP545" s="11"/>
      <c r="BQ545" s="11"/>
      <c r="BR545" s="235"/>
      <c r="BV545" s="158"/>
      <c r="BY545" s="158"/>
      <c r="CB545" s="158"/>
    </row>
    <row r="546" ht="18.0" hidden="1" customHeight="1">
      <c r="A546" s="222">
        <f>IFERROR(__xludf.DUMMYFUNCTION("""COMPUTED_VALUE"""),2026.0)</f>
        <v>2026</v>
      </c>
      <c r="B546" s="221">
        <f>IFERROR(__xludf.DUMMYFUNCTION("""COMPUTED_VALUE"""),1.2276068E7)</f>
        <v>12276068</v>
      </c>
      <c r="C546" s="222" t="str">
        <f>IFERROR(__xludf.DUMMYFUNCTION("""COMPUTED_VALUE"""),"BNK PT3 MKO-FAF MUKO MUKO_134512_H2_2025")</f>
        <v>BNK PT3 MKO-FAF MUKO MUKO_134512_H2_2025</v>
      </c>
      <c r="D546" s="222" t="str">
        <f>IFERROR(__xludf.DUMMYFUNCTION("""COMPUTED_VALUE"""),"REGIONAL I")</f>
        <v>REGIONAL I</v>
      </c>
      <c r="E546" s="222" t="str">
        <f>IFERROR(__xludf.DUMMYFUNCTION("""COMPUTED_VALUE"""),"BENGKULU")</f>
        <v>BENGKULU</v>
      </c>
      <c r="F546" s="222" t="str">
        <f>IFERROR(__xludf.DUMMYFUNCTION("""COMPUTED_VALUE"""),"MKO")</f>
        <v>MKO</v>
      </c>
      <c r="G546" s="222" t="str">
        <f>IFERROR(__xludf.DUMMYFUNCTION("""COMPUTED_VALUE"""),"SUMBAGSEL")</f>
        <v>SUMBAGSEL</v>
      </c>
      <c r="H546" s="222" t="str">
        <f>IFERROR(__xludf.DUMMYFUNCTION("""COMPUTED_VALUE"""),"BENGKULU")</f>
        <v>BENGKULU</v>
      </c>
      <c r="I546" s="222" t="str">
        <f>IFERROR(__xludf.DUMMYFUNCTION("""COMPUTED_VALUE"""),"Batch 2")</f>
        <v>Batch 2</v>
      </c>
      <c r="J546" s="225">
        <f>IFERROR(__xludf.DUMMYFUNCTION("""COMPUTED_VALUE"""),10.0)</f>
        <v>10</v>
      </c>
      <c r="K546" s="224">
        <f>IFERROR(__xludf.DUMMYFUNCTION("""COMPUTED_VALUE"""),80.0)</f>
        <v>80</v>
      </c>
      <c r="L546" s="226">
        <f>IFERROR(__xludf.DUMMYFUNCTION("""COMPUTED_VALUE"""),1225570.0)</f>
        <v>1225570</v>
      </c>
      <c r="M546" s="227">
        <f>IFERROR(__xludf.DUMMYFUNCTION("""COMPUTED_VALUE"""),9.8045577E7)</f>
        <v>98045577</v>
      </c>
      <c r="N546" s="222" t="str">
        <f>IFERROR(__xludf.DUMMYFUNCTION("""COMPUTED_VALUE"""),"PT GITA PRIMA TAMBA PERKASA")</f>
        <v>PT GITA PRIMA TAMBA PERKASA</v>
      </c>
      <c r="O546" s="222" t="str">
        <f>IFERROR(__xludf.DUMMYFUNCTION("""COMPUTED_VALUE"""),"0. DROP")</f>
        <v>0. DROP</v>
      </c>
      <c r="P546" s="222" t="str">
        <f>IFERROR(__xludf.DUMMYFUNCTION("""COMPUTED_VALUE"""),"0.2 Tidak Dapat Izin Warga/Kades/Lurah/Developer")</f>
        <v>0.2 Tidak Dapat Izin Warga/Kades/Lurah/Developer</v>
      </c>
      <c r="Q546" s="222" t="str">
        <f>IFERROR(__xludf.DUMMYFUNCTION("""COMPUTED_VALUE"""),"22/01 : mintak wifi gratis")</f>
        <v>22/01 : mintak wifi gratis</v>
      </c>
      <c r="R546" s="228"/>
      <c r="S546" s="11"/>
      <c r="T546" s="11"/>
      <c r="U546" s="11"/>
      <c r="V546" s="229"/>
      <c r="W546" s="229"/>
      <c r="X546" s="229" t="str">
        <f>IFERROR(__xludf.DUMMYFUNCTION("""COMPUTED_VALUE"""),"BELUM GOLIVE")</f>
        <v>BELUM GOLIVE</v>
      </c>
      <c r="Y546" s="229"/>
      <c r="Z546" s="229" t="str">
        <f>IFERROR(__xludf.DUMMYFUNCTION("""COMPUTED_VALUE"""),"#N/A")</f>
        <v>#N/A</v>
      </c>
      <c r="AA546" s="229"/>
      <c r="AB546" s="229"/>
      <c r="AC546" s="229"/>
      <c r="AD546" s="232"/>
      <c r="AE546" s="233"/>
      <c r="AF546" s="54" t="str">
        <f>IFERROR(__xludf.DUMMYFUNCTION("""COMPUTED_VALUE"""),"Draft BA DROP")</f>
        <v>Draft BA DROP</v>
      </c>
      <c r="AG546" s="54"/>
      <c r="AH546" s="54"/>
      <c r="AI546" s="55" t="str">
        <f t="shared" si="65"/>
        <v/>
      </c>
      <c r="AW546" s="234"/>
      <c r="BP546" s="11"/>
      <c r="BQ546" s="11"/>
      <c r="BR546" s="235"/>
      <c r="BV546" s="158"/>
      <c r="BY546" s="158"/>
      <c r="CB546" s="158"/>
    </row>
    <row r="547" ht="18.0" hidden="1" customHeight="1">
      <c r="A547" s="222">
        <f>IFERROR(__xludf.DUMMYFUNCTION("""COMPUTED_VALUE"""),2026.0)</f>
        <v>2026</v>
      </c>
      <c r="B547" s="221">
        <f>IFERROR(__xludf.DUMMYFUNCTION("""COMPUTED_VALUE"""),1.2205462E7)</f>
        <v>12205462</v>
      </c>
      <c r="C547" s="222" t="str">
        <f>IFERROR(__xludf.DUMMYFUNCTION("""COMPUTED_VALUE"""),"BBL PT3 P3I4 AIR RANGGONG DALAM")</f>
        <v>BBL PT3 P3I4 AIR RANGGONG DALAM</v>
      </c>
      <c r="D547" s="222" t="str">
        <f>IFERROR(__xludf.DUMMYFUNCTION("""COMPUTED_VALUE"""),"REGIONAL I")</f>
        <v>REGIONAL I</v>
      </c>
      <c r="E547" s="222" t="str">
        <f>IFERROR(__xludf.DUMMYFUNCTION("""COMPUTED_VALUE"""),"BABEL")</f>
        <v>BABEL</v>
      </c>
      <c r="F547" s="222" t="str">
        <f>IFERROR(__xludf.DUMMYFUNCTION("""COMPUTED_VALUE"""),"TJN")</f>
        <v>TJN</v>
      </c>
      <c r="G547" s="222" t="str">
        <f>IFERROR(__xludf.DUMMYFUNCTION("""COMPUTED_VALUE"""),"SUMBAGSEL")</f>
        <v>SUMBAGSEL</v>
      </c>
      <c r="H547" s="222" t="str">
        <f>IFERROR(__xludf.DUMMYFUNCTION("""COMPUTED_VALUE"""),"PANGKAL PINANG")</f>
        <v>PANGKAL PINANG</v>
      </c>
      <c r="I547" s="222" t="str">
        <f>IFERROR(__xludf.DUMMYFUNCTION("""COMPUTED_VALUE"""),"Batch 2")</f>
        <v>Batch 2</v>
      </c>
      <c r="J547" s="225">
        <f>IFERROR(__xludf.DUMMYFUNCTION("""COMPUTED_VALUE"""),3.0)</f>
        <v>3</v>
      </c>
      <c r="K547" s="224">
        <f>IFERROR(__xludf.DUMMYFUNCTION("""COMPUTED_VALUE"""),32.0)</f>
        <v>32</v>
      </c>
      <c r="L547" s="226">
        <f>IFERROR(__xludf.DUMMYFUNCTION("""COMPUTED_VALUE"""),1224942.0)</f>
        <v>1224942</v>
      </c>
      <c r="M547" s="227">
        <f>IFERROR(__xludf.DUMMYFUNCTION("""COMPUTED_VALUE"""),3.9198113E7)</f>
        <v>39198113</v>
      </c>
      <c r="N547" s="222" t="str">
        <f>IFERROR(__xludf.DUMMYFUNCTION("""COMPUTED_VALUE"""),"PT Raharja Prakarsa Nusantara")</f>
        <v>PT Raharja Prakarsa Nusantara</v>
      </c>
      <c r="O547" s="222" t="str">
        <f>IFERROR(__xludf.DUMMYFUNCTION("""COMPUTED_VALUE"""),"8. UJI TERIMA")</f>
        <v>8. UJI TERIMA</v>
      </c>
      <c r="P547" s="222" t="str">
        <f>IFERROR(__xludf.DUMMYFUNCTION("""COMPUTED_VALUE"""),"8.1 Proses UT")</f>
        <v>8.1 Proses UT</v>
      </c>
      <c r="Q547" s="222" t="str">
        <f>IFERROR(__xludf.DUMMYFUNCTION("""COMPUTED_VALUE"""),"(09/01) Done Go Live  (7/1 )ABD V4 READY (06/01)order JPP batch-2 2026 (02/01 perapian tiang, pelebelan tiang, pengecoran tiang (16/12) tarik kabel done 28/11 penarikan kabel 12D 520 done, tanam 8 tiang done (27/11) sudah ambil material (26/11) request ma"&amp;"terial (25/11) sudah bisa request (24/11) DRM Mitra (14/11) sudah created PID (13/11) selesai anwijzing (5/11) Penunjukan mitra")</f>
        <v>(09/01) Done Go Live  (7/1 )ABD V4 READY (06/01)order JPP batch-2 2026 (02/01 perapian tiang, pelebelan tiang, pengecoran tiang (16/12) tarik kabel done 28/11 penarikan kabel 12D 520 done, tanam 8 tiang done (27/11) sudah ambil material (26/11) request material (25/11) sudah bisa request (24/11) DRM Mitra (14/11) sudah created PID (13/11) selesai anwijzing (5/11) Penunjukan mitra</v>
      </c>
      <c r="R547" s="228"/>
      <c r="S547" s="11"/>
      <c r="T547" s="11"/>
      <c r="U547" s="11"/>
      <c r="V547" s="229"/>
      <c r="W547" s="229"/>
      <c r="X547" s="229" t="str">
        <f>IFERROR(__xludf.DUMMYFUNCTION("""COMPUTED_VALUE"""),"GOLIVE")</f>
        <v>GOLIVE</v>
      </c>
      <c r="Y547" s="229" t="str">
        <f>IFERROR(__xludf.DUMMYFUNCTION("""COMPUTED_VALUE"""),"DONE")</f>
        <v>DONE</v>
      </c>
      <c r="Z547" s="229" t="str">
        <f>IFERROR(__xludf.DUMMYFUNCTION("""COMPUTED_VALUE"""),"#N/A")</f>
        <v>#N/A</v>
      </c>
      <c r="AA547" s="229">
        <f>IFERROR(__xludf.DUMMYFUNCTION("""COMPUTED_VALUE"""),1.0)</f>
        <v>1</v>
      </c>
      <c r="AB547" s="229">
        <f>IFERROR(__xludf.DUMMYFUNCTION("""COMPUTED_VALUE"""),1.0)</f>
        <v>1</v>
      </c>
      <c r="AC547" s="229" t="str">
        <f>IFERROR(__xludf.DUMMYFUNCTION("""COMPUTED_VALUE"""),"8939849#8939854")</f>
        <v>8939849#8939854</v>
      </c>
      <c r="AD547" s="232">
        <f>IFERROR(__xludf.DUMMYFUNCTION("""COMPUTED_VALUE"""),24.0)</f>
        <v>24</v>
      </c>
      <c r="AE547" s="233">
        <f>IFERROR(__xludf.DUMMYFUNCTION("""COMPUTED_VALUE"""),46031.0)</f>
        <v>46031</v>
      </c>
      <c r="AF547" s="54" t="str">
        <f>IFERROR(__xludf.DUMMYFUNCTION("""COMPUTED_VALUE"""),"DONE")</f>
        <v>DONE</v>
      </c>
      <c r="AG547" s="54"/>
      <c r="AH547" s="54"/>
      <c r="AI547" s="55" t="str">
        <f t="shared" si="65"/>
        <v/>
      </c>
      <c r="AW547" s="234"/>
      <c r="BP547" s="11"/>
      <c r="BQ547" s="11"/>
      <c r="BR547" s="235"/>
      <c r="BV547" s="158"/>
      <c r="BY547" s="158"/>
      <c r="CB547" s="158"/>
    </row>
    <row r="548" ht="18.0" hidden="1" customHeight="1">
      <c r="A548" s="222">
        <f>IFERROR(__xludf.DUMMYFUNCTION("""COMPUTED_VALUE"""),2026.0)</f>
        <v>2026</v>
      </c>
      <c r="B548" s="221">
        <f>IFERROR(__xludf.DUMMYFUNCTION("""COMPUTED_VALUE"""),1.1482014E7)</f>
        <v>11482014</v>
      </c>
      <c r="C548" s="222" t="str">
        <f>IFERROR(__xludf.DUMMYFUNCTION("""COMPUTED_VALUE"""),"ACH PT3 GEU-FH D08 SYAMTALIRA ARON")</f>
        <v>ACH PT3 GEU-FH D08 SYAMTALIRA ARON</v>
      </c>
      <c r="D548" s="222" t="str">
        <f>IFERROR(__xludf.DUMMYFUNCTION("""COMPUTED_VALUE"""),"REGIONAL I")</f>
        <v>REGIONAL I</v>
      </c>
      <c r="E548" s="222" t="str">
        <f>IFERROR(__xludf.DUMMYFUNCTION("""COMPUTED_VALUE"""),"ACEH")</f>
        <v>ACEH</v>
      </c>
      <c r="F548" s="222" t="str">
        <f>IFERROR(__xludf.DUMMYFUNCTION("""COMPUTED_VALUE"""),"GEU")</f>
        <v>GEU</v>
      </c>
      <c r="G548" s="222" t="str">
        <f>IFERROR(__xludf.DUMMYFUNCTION("""COMPUTED_VALUE"""),"SUMBAGUT")</f>
        <v>SUMBAGUT</v>
      </c>
      <c r="H548" s="222" t="str">
        <f>IFERROR(__xludf.DUMMYFUNCTION("""COMPUTED_VALUE"""),"BINJAI")</f>
        <v>BINJAI</v>
      </c>
      <c r="I548" s="222" t="str">
        <f>IFERROR(__xludf.DUMMYFUNCTION("""COMPUTED_VALUE"""),"Batch 2")</f>
        <v>Batch 2</v>
      </c>
      <c r="J548" s="225">
        <f>IFERROR(__xludf.DUMMYFUNCTION("""COMPUTED_VALUE"""),20.0)</f>
        <v>20</v>
      </c>
      <c r="K548" s="224">
        <f>IFERROR(__xludf.DUMMYFUNCTION("""COMPUTED_VALUE"""),160.0)</f>
        <v>160</v>
      </c>
      <c r="L548" s="226">
        <f>IFERROR(__xludf.DUMMYFUNCTION("""COMPUTED_VALUE"""),1224698.0)</f>
        <v>1224698</v>
      </c>
      <c r="M548" s="227">
        <f>IFERROR(__xludf.DUMMYFUNCTION("""COMPUTED_VALUE"""),1.9595153E8)</f>
        <v>195951530</v>
      </c>
      <c r="N548" s="222" t="str">
        <f>IFERROR(__xludf.DUMMYFUNCTION("""COMPUTED_VALUE"""),"PT ARA PAYA INTAN")</f>
        <v>PT ARA PAYA INTAN</v>
      </c>
      <c r="O548" s="222" t="str">
        <f>IFERROR(__xludf.DUMMYFUNCTION("""COMPUTED_VALUE"""),"7. GOLIVE")</f>
        <v>7. GOLIVE</v>
      </c>
      <c r="P548" s="222" t="str">
        <f>IFERROR(__xludf.DUMMYFUNCTION("""COMPUTED_VALUE"""),"7.2 Golive Full / OA / DONE OTB")</f>
        <v>7.2 Golive Full / OA / DONE OTB</v>
      </c>
      <c r="Q548" s="222" t="str">
        <f>IFERROR(__xludf.DUMMYFUNCTION("""COMPUTED_VALUE"""),"(13/04) Proses Valins (08/04) Terminasi (25/03) Penarikan Kabel (10/03) Tanam Tiang (05/03) Tanam Tiang (03/03) Tanam Tiang (19/02) Tanam TIang (04/02) PO Material (07/01) Persiapan")</f>
        <v>(13/04) Proses Valins (08/04) Terminasi (25/03) Penarikan Kabel (10/03) Tanam Tiang (05/03) Tanam Tiang (03/03) Tanam Tiang (19/02) Tanam TIang (04/02) PO Material (07/01) Persiapan</v>
      </c>
      <c r="R548" s="228">
        <f>IFERROR(__xludf.DUMMYFUNCTION("""COMPUTED_VALUE"""),46128.0)</f>
        <v>46128</v>
      </c>
      <c r="S548" s="11" t="str">
        <f>IFERROR(__xludf.DUMMYFUNCTION("""COMPUTED_VALUE"""),"MAR")</f>
        <v>MAR</v>
      </c>
      <c r="T548" s="73"/>
      <c r="U548" s="11"/>
      <c r="V548" s="229"/>
      <c r="W548" s="229" t="str">
        <f>IFERROR(__xludf.DUMMYFUNCTION("""COMPUTED_VALUE"""),"#N/A")</f>
        <v>#N/A</v>
      </c>
      <c r="X548" s="229" t="str">
        <f>IFERROR(__xludf.DUMMYFUNCTION("""COMPUTED_VALUE"""),"GOLIVE")</f>
        <v>GOLIVE</v>
      </c>
      <c r="Y548" s="229" t="str">
        <f>IFERROR(__xludf.DUMMYFUNCTION("""COMPUTED_VALUE"""),"DONE")</f>
        <v>DONE</v>
      </c>
      <c r="Z548" s="229" t="str">
        <f>IFERROR(__xludf.DUMMYFUNCTION("""COMPUTED_VALUE"""),"#N/A")</f>
        <v>#N/A</v>
      </c>
      <c r="AA548" s="229">
        <f>IFERROR(__xludf.DUMMYFUNCTION("""COMPUTED_VALUE"""),20.0)</f>
        <v>20</v>
      </c>
      <c r="AB548" s="229"/>
      <c r="AC548" s="229" t="str">
        <f>IFERROR(__xludf.DUMMYFUNCTION("""COMPUTED_VALUE"""),"9276080#9276085")</f>
        <v>9276080#9276085</v>
      </c>
      <c r="AD548" s="232">
        <f>IFERROR(__xludf.DUMMYFUNCTION("""COMPUTED_VALUE"""),160.0)</f>
        <v>160</v>
      </c>
      <c r="AE548" s="233">
        <f>IFERROR(__xludf.DUMMYFUNCTION("""COMPUTED_VALUE"""),46128.0)</f>
        <v>46128</v>
      </c>
      <c r="AF548" s="54"/>
      <c r="AG548" s="54"/>
      <c r="AH548" s="54">
        <v>46126.0</v>
      </c>
      <c r="AI548" s="55">
        <f t="shared" si="65"/>
        <v>0</v>
      </c>
      <c r="AW548" s="234"/>
      <c r="BP548" s="11"/>
      <c r="BQ548" s="11"/>
      <c r="BR548" s="235"/>
      <c r="BV548" s="158"/>
      <c r="BY548" s="158"/>
      <c r="CB548" s="158"/>
    </row>
    <row r="549" ht="18.0" hidden="1" customHeight="1">
      <c r="A549" s="222">
        <f>IFERROR(__xludf.DUMMYFUNCTION("""COMPUTED_VALUE"""),2026.0)</f>
        <v>2026</v>
      </c>
      <c r="B549" s="221">
        <f>IFERROR(__xludf.DUMMYFUNCTION("""COMPUTED_VALUE"""),1.1137528E7)</f>
        <v>11137528</v>
      </c>
      <c r="C549" s="222" t="str">
        <f>IFERROR(__xludf.DUMMYFUNCTION("""COMPUTED_VALUE"""),"MDN PT3 P7I7 SPM-FCP JL.JERMAL GG.DERMA")</f>
        <v>MDN PT3 P7I7 SPM-FCP JL.JERMAL GG.DERMA</v>
      </c>
      <c r="D549" s="222" t="str">
        <f>IFERROR(__xludf.DUMMYFUNCTION("""COMPUTED_VALUE"""),"REGIONAL I")</f>
        <v>REGIONAL I</v>
      </c>
      <c r="E549" s="222" t="str">
        <f>IFERROR(__xludf.DUMMYFUNCTION("""COMPUTED_VALUE"""),"MEDAN")</f>
        <v>MEDAN</v>
      </c>
      <c r="F549" s="222" t="str">
        <f>IFERROR(__xludf.DUMMYFUNCTION("""COMPUTED_VALUE"""),"SKI")</f>
        <v>SKI</v>
      </c>
      <c r="G549" s="222" t="str">
        <f>IFERROR(__xludf.DUMMYFUNCTION("""COMPUTED_VALUE"""),"SUMBAGUT")</f>
        <v>SUMBAGUT</v>
      </c>
      <c r="H549" s="222" t="str">
        <f>IFERROR(__xludf.DUMMYFUNCTION("""COMPUTED_VALUE"""),"MEDAN")</f>
        <v>MEDAN</v>
      </c>
      <c r="I549" s="222" t="str">
        <f>IFERROR(__xludf.DUMMYFUNCTION("""COMPUTED_VALUE"""),"Batch 2")</f>
        <v>Batch 2</v>
      </c>
      <c r="J549" s="225">
        <f>IFERROR(__xludf.DUMMYFUNCTION("""COMPUTED_VALUE"""),3.0)</f>
        <v>3</v>
      </c>
      <c r="K549" s="224">
        <f>IFERROR(__xludf.DUMMYFUNCTION("""COMPUTED_VALUE"""),24.0)</f>
        <v>24</v>
      </c>
      <c r="L549" s="226">
        <f>IFERROR(__xludf.DUMMYFUNCTION("""COMPUTED_VALUE"""),1224431.0)</f>
        <v>1224431</v>
      </c>
      <c r="M549" s="227">
        <f>IFERROR(__xludf.DUMMYFUNCTION("""COMPUTED_VALUE"""),2.9386334E7)</f>
        <v>29386334</v>
      </c>
      <c r="N549" s="222" t="str">
        <f>IFERROR(__xludf.DUMMYFUNCTION("""COMPUTED_VALUE"""),"PT UPENTEL INTERNASIONAL")</f>
        <v>PT UPENTEL INTERNASIONAL</v>
      </c>
      <c r="O549" s="222" t="str">
        <f>IFERROR(__xludf.DUMMYFUNCTION("""COMPUTED_VALUE"""),"0. DROP")</f>
        <v>0. DROP</v>
      </c>
      <c r="P549" s="222" t="str">
        <f>IFERROR(__xludf.DUMMYFUNCTION("""COMPUTED_VALUE"""),"0.4 CPP Tinggi Acc ED TIF")</f>
        <v>0.4 CPP Tinggi Acc ED TIF</v>
      </c>
      <c r="Q549" s="222" t="str">
        <f>IFERROR(__xludf.DUMMYFUNCTION("""COMPUTED_VALUE"""),"27/02 aanwidzing OK, lanjut perizinan")</f>
        <v>27/02 aanwidzing OK, lanjut perizinan</v>
      </c>
      <c r="R549" s="228"/>
      <c r="S549" s="11"/>
      <c r="T549" s="11"/>
      <c r="U549" s="11"/>
      <c r="V549" s="229"/>
      <c r="W549" s="229"/>
      <c r="X549" s="229" t="str">
        <f>IFERROR(__xludf.DUMMYFUNCTION("""COMPUTED_VALUE"""),"BELUM GOLIVE")</f>
        <v>BELUM GOLIVE</v>
      </c>
      <c r="Y549" s="229"/>
      <c r="Z549" s="229" t="str">
        <f>IFERROR(__xludf.DUMMYFUNCTION("""COMPUTED_VALUE"""),"#N/A")</f>
        <v>#N/A</v>
      </c>
      <c r="AA549" s="229"/>
      <c r="AB549" s="229"/>
      <c r="AC549" s="229"/>
      <c r="AD549" s="232"/>
      <c r="AE549" s="233"/>
      <c r="AF549" s="54" t="str">
        <f>IFERROR(__xludf.DUMMYFUNCTION("""COMPUTED_VALUE"""),"Draft BA DROP")</f>
        <v>Draft BA DROP</v>
      </c>
      <c r="AG549" s="54"/>
      <c r="AH549" s="54"/>
      <c r="AI549" s="55" t="str">
        <f t="shared" si="65"/>
        <v/>
      </c>
      <c r="AW549" s="234"/>
      <c r="BP549" s="11"/>
      <c r="BQ549" s="11"/>
      <c r="BR549" s="235"/>
      <c r="BV549" s="158"/>
      <c r="BY549" s="158"/>
      <c r="CB549" s="158"/>
    </row>
    <row r="550" ht="18.0" hidden="1" customHeight="1">
      <c r="A550" s="222">
        <f>IFERROR(__xludf.DUMMYFUNCTION("""COMPUTED_VALUE"""),2026.0)</f>
        <v>2026</v>
      </c>
      <c r="B550" s="221">
        <f>IFERROR(__xludf.DUMMYFUNCTION("""COMPUTED_VALUE"""),1.1187441E7)</f>
        <v>11187441</v>
      </c>
      <c r="C550" s="222" t="str">
        <f>IFERROR(__xludf.DUMMYFUNCTION("""COMPUTED_VALUE"""),"MDN PT3 SKI-FAP JL.JERMAL XII AMPLAS")</f>
        <v>MDN PT3 SKI-FAP JL.JERMAL XII AMPLAS</v>
      </c>
      <c r="D550" s="222" t="str">
        <f>IFERROR(__xludf.DUMMYFUNCTION("""COMPUTED_VALUE"""),"REGIONAL I")</f>
        <v>REGIONAL I</v>
      </c>
      <c r="E550" s="222" t="str">
        <f>IFERROR(__xludf.DUMMYFUNCTION("""COMPUTED_VALUE"""),"MEDAN")</f>
        <v>MEDAN</v>
      </c>
      <c r="F550" s="222" t="str">
        <f>IFERROR(__xludf.DUMMYFUNCTION("""COMPUTED_VALUE"""),"SKI")</f>
        <v>SKI</v>
      </c>
      <c r="G550" s="222" t="str">
        <f>IFERROR(__xludf.DUMMYFUNCTION("""COMPUTED_VALUE"""),"SUMBAGUT")</f>
        <v>SUMBAGUT</v>
      </c>
      <c r="H550" s="222" t="str">
        <f>IFERROR(__xludf.DUMMYFUNCTION("""COMPUTED_VALUE"""),"MEDAN")</f>
        <v>MEDAN</v>
      </c>
      <c r="I550" s="222" t="str">
        <f>IFERROR(__xludf.DUMMYFUNCTION("""COMPUTED_VALUE"""),"Batch 2")</f>
        <v>Batch 2</v>
      </c>
      <c r="J550" s="225">
        <f>IFERROR(__xludf.DUMMYFUNCTION("""COMPUTED_VALUE"""),10.0)</f>
        <v>10</v>
      </c>
      <c r="K550" s="224">
        <f>IFERROR(__xludf.DUMMYFUNCTION("""COMPUTED_VALUE"""),80.0)</f>
        <v>80</v>
      </c>
      <c r="L550" s="226">
        <f>IFERROR(__xludf.DUMMYFUNCTION("""COMPUTED_VALUE"""),1224289.0)</f>
        <v>1224289</v>
      </c>
      <c r="M550" s="227">
        <f>IFERROR(__xludf.DUMMYFUNCTION("""COMPUTED_VALUE"""),9.794306E7)</f>
        <v>97943060</v>
      </c>
      <c r="N550" s="222" t="str">
        <f>IFERROR(__xludf.DUMMYFUNCTION("""COMPUTED_VALUE"""),"PT PRIMA INDO SENTOSA")</f>
        <v>PT PRIMA INDO SENTOSA</v>
      </c>
      <c r="O550" s="222" t="str">
        <f>IFERROR(__xludf.DUMMYFUNCTION("""COMPUTED_VALUE"""),"0. DROP")</f>
        <v>0. DROP</v>
      </c>
      <c r="P550" s="222" t="str">
        <f>IFERROR(__xludf.DUMMYFUNCTION("""COMPUTED_VALUE"""),"0.4 CPP Tinggi Acc ED TIF")</f>
        <v>0.4 CPP Tinggi Acc ED TIF</v>
      </c>
      <c r="Q550" s="222" t="str">
        <f>IFERROR(__xludf.DUMMYFUNCTION("""COMPUTED_VALUE"""),"16/10 Feeder Redaman Tinggi 
16/10 Mapping Mitra")</f>
        <v>16/10 Feeder Redaman Tinggi 
16/10 Mapping Mitra</v>
      </c>
      <c r="R550" s="228"/>
      <c r="S550" s="11"/>
      <c r="T550" s="11"/>
      <c r="U550" s="11"/>
      <c r="V550" s="229"/>
      <c r="W550" s="229"/>
      <c r="X550" s="229" t="str">
        <f>IFERROR(__xludf.DUMMYFUNCTION("""COMPUTED_VALUE"""),"BELUM GOLIVE")</f>
        <v>BELUM GOLIVE</v>
      </c>
      <c r="Y550" s="229"/>
      <c r="Z550" s="229" t="str">
        <f>IFERROR(__xludf.DUMMYFUNCTION("""COMPUTED_VALUE"""),"#N/A")</f>
        <v>#N/A</v>
      </c>
      <c r="AA550" s="229"/>
      <c r="AB550" s="229"/>
      <c r="AC550" s="229"/>
      <c r="AD550" s="232"/>
      <c r="AE550" s="233"/>
      <c r="AF550" s="54" t="str">
        <f>IFERROR(__xludf.DUMMYFUNCTION("""COMPUTED_VALUE"""),"Draft BA DROP")</f>
        <v>Draft BA DROP</v>
      </c>
      <c r="AG550" s="54"/>
      <c r="AH550" s="54">
        <v>46129.0</v>
      </c>
      <c r="AI550" s="237">
        <f>AH550-NOW()</f>
        <v>-11.3779899</v>
      </c>
      <c r="AJ550" s="229" t="str">
        <f>if(AI550&gt;=0,"In Komitmen","Out Komitmen")</f>
        <v>Out Komitmen</v>
      </c>
      <c r="AK550" s="229" t="s">
        <v>199</v>
      </c>
      <c r="AW550" s="234"/>
      <c r="BP550" s="11"/>
      <c r="BQ550" s="11"/>
      <c r="BR550" s="235"/>
      <c r="BV550" s="158"/>
      <c r="BY550" s="158"/>
      <c r="CB550" s="158"/>
    </row>
    <row r="551" ht="18.0" customHeight="1">
      <c r="A551" s="222">
        <f>IFERROR(__xludf.DUMMYFUNCTION("""COMPUTED_VALUE"""),2026.0)</f>
        <v>2026</v>
      </c>
      <c r="B551" s="221">
        <f>IFERROR(__xludf.DUMMYFUNCTION("""COMPUTED_VALUE"""),1.2422614E7)</f>
        <v>12422614</v>
      </c>
      <c r="C551" s="222" t="str">
        <f>IFERROR(__xludf.DUMMYFUNCTION("""COMPUTED_VALUE"""),"RDR JPP PT3 JL BUKIT DATUK LAMA")</f>
        <v>RDR JPP PT3 JL BUKIT DATUK LAMA</v>
      </c>
      <c r="D551" s="222" t="str">
        <f>IFERROR(__xludf.DUMMYFUNCTION("""COMPUTED_VALUE"""),"REGIONAL I")</f>
        <v>REGIONAL I</v>
      </c>
      <c r="E551" s="222" t="str">
        <f>IFERROR(__xludf.DUMMYFUNCTION("""COMPUTED_VALUE"""),"RIDAR")</f>
        <v>RIDAR</v>
      </c>
      <c r="F551" s="222" t="str">
        <f>IFERROR(__xludf.DUMMYFUNCTION("""COMPUTED_VALUE"""),"DUM")</f>
        <v>DUM</v>
      </c>
      <c r="G551" s="222" t="str">
        <f>IFERROR(__xludf.DUMMYFUNCTION("""COMPUTED_VALUE"""),"SUMBAGTENG")</f>
        <v>SUMBAGTENG</v>
      </c>
      <c r="H551" s="222" t="str">
        <f>IFERROR(__xludf.DUMMYFUNCTION("""COMPUTED_VALUE"""),"DUMAI")</f>
        <v>DUMAI</v>
      </c>
      <c r="I551" s="222" t="str">
        <f>IFERROR(__xludf.DUMMYFUNCTION("""COMPUTED_VALUE"""),"Batch 2")</f>
        <v>Batch 2</v>
      </c>
      <c r="J551" s="225">
        <f>IFERROR(__xludf.DUMMYFUNCTION("""COMPUTED_VALUE"""),9.0)</f>
        <v>9</v>
      </c>
      <c r="K551" s="224">
        <f>IFERROR(__xludf.DUMMYFUNCTION("""COMPUTED_VALUE"""),80.0)</f>
        <v>80</v>
      </c>
      <c r="L551" s="226">
        <f>IFERROR(__xludf.DUMMYFUNCTION("""COMPUTED_VALUE"""),1224112.0)</f>
        <v>1224112</v>
      </c>
      <c r="M551" s="227">
        <f>IFERROR(__xludf.DUMMYFUNCTION("""COMPUTED_VALUE"""),9.7928893E7)</f>
        <v>97928893</v>
      </c>
      <c r="N551" s="222" t="str">
        <f>IFERROR(__xludf.DUMMYFUNCTION("""COMPUTED_VALUE"""),"PT TIGA AKSES MANDIRI")</f>
        <v>PT TIGA AKSES MANDIRI</v>
      </c>
      <c r="O551" s="222" t="str">
        <f>IFERROR(__xludf.DUMMYFUNCTION("""COMPUTED_VALUE"""),"7. GOLIVE")</f>
        <v>7. GOLIVE</v>
      </c>
      <c r="P551" s="222" t="str">
        <f>IFERROR(__xludf.DUMMYFUNCTION("""COMPUTED_VALUE"""),"7.2 Golive Full / OA / DONE OTB")</f>
        <v>7.2 Golive Full / OA / DONE OTB</v>
      </c>
      <c r="Q551" s="222" t="str">
        <f>IFERROR(__xludf.DUMMYFUNCTION("""COMPUTED_VALUE"""),"20/04 Penarikan Kabel 13/04 Penanaman tiang 08/04 Penanaman tiang 06/04 Penanaman tiang 30/03 Prepare pengambilan material 29/01 Feederi eksisting rusak (07/01) Persiapan")</f>
        <v>20/04 Penarikan Kabel 13/04 Penanaman tiang 08/04 Penanaman tiang 06/04 Penanaman tiang 30/03 Prepare pengambilan material 29/01 Feederi eksisting rusak (07/01) Persiapan</v>
      </c>
      <c r="R551" s="228">
        <f>IFERROR(__xludf.DUMMYFUNCTION("""COMPUTED_VALUE"""),46136.0)</f>
        <v>46136</v>
      </c>
      <c r="S551" s="11" t="str">
        <f>IFERROR(__xludf.DUMMYFUNCTION("""COMPUTED_VALUE"""),"APR")</f>
        <v>APR</v>
      </c>
      <c r="T551" s="73"/>
      <c r="U551" s="11" t="str">
        <f>IFERROR(__xludf.DUMMYFUNCTION("""COMPUTED_VALUE"""),"W08-1991/2025")</f>
        <v>W08-1991/2025</v>
      </c>
      <c r="V551" s="229" t="str">
        <f>IFERROR(__xludf.DUMMYFUNCTION("""COMPUTED_VALUE"""),"PIKI NOFRI SAPUTRA")</f>
        <v>PIKI NOFRI SAPUTRA</v>
      </c>
      <c r="W551" s="229" t="str">
        <f>IFERROR(__xludf.DUMMYFUNCTION("""COMPUTED_VALUE"""),"DESLITA RAHMADANI")</f>
        <v>DESLITA RAHMADANI</v>
      </c>
      <c r="X551" s="229" t="str">
        <f>IFERROR(__xludf.DUMMYFUNCTION("""COMPUTED_VALUE"""),"GOLIVE")</f>
        <v>GOLIVE</v>
      </c>
      <c r="Y551" s="229" t="str">
        <f>IFERROR(__xludf.DUMMYFUNCTION("""COMPUTED_VALUE"""),"DONE")</f>
        <v>DONE</v>
      </c>
      <c r="Z551" s="229" t="str">
        <f>IFERROR(__xludf.DUMMYFUNCTION("""COMPUTED_VALUE"""),"#N/A")</f>
        <v>#N/A</v>
      </c>
      <c r="AA551" s="229">
        <f>IFERROR(__xludf.DUMMYFUNCTION("""COMPUTED_VALUE"""),9.0)</f>
        <v>9</v>
      </c>
      <c r="AB551" s="229"/>
      <c r="AC551" s="229" t="str">
        <f>IFERROR(__xludf.DUMMYFUNCTION("""COMPUTED_VALUE"""),"9308065#9308070")</f>
        <v>9308065#9308070</v>
      </c>
      <c r="AD551" s="232">
        <f>IFERROR(__xludf.DUMMYFUNCTION("""COMPUTED_VALUE"""),72.0)</f>
        <v>72</v>
      </c>
      <c r="AE551" s="233">
        <f>IFERROR(__xludf.DUMMYFUNCTION("""COMPUTED_VALUE"""),46136.0)</f>
        <v>46136</v>
      </c>
      <c r="AF551" s="54"/>
      <c r="AG551" s="54"/>
      <c r="AH551" s="54">
        <v>46129.0</v>
      </c>
      <c r="AI551" s="55">
        <f>AH551-AE551</f>
        <v>-7</v>
      </c>
      <c r="AJ551" s="229" t="str">
        <f>if(AI551&gt;=0,"Gl in Komitmen","Gl out komitmen")</f>
        <v>Gl out komitmen</v>
      </c>
      <c r="AK551" s="231" t="s">
        <v>199</v>
      </c>
      <c r="AW551" s="234"/>
      <c r="BP551" s="11"/>
      <c r="BQ551" s="11"/>
      <c r="BR551" s="235"/>
      <c r="BV551" s="158"/>
      <c r="BY551" s="158"/>
      <c r="CB551" s="158"/>
    </row>
    <row r="552" ht="18.0" hidden="1" customHeight="1">
      <c r="A552" s="222">
        <f>IFERROR(__xludf.DUMMYFUNCTION("""COMPUTED_VALUE"""),2026.0)</f>
        <v>2026</v>
      </c>
      <c r="B552" s="221">
        <f>IFERROR(__xludf.DUMMYFUNCTION("""COMPUTED_VALUE"""),1.1131321E7)</f>
        <v>11131321</v>
      </c>
      <c r="C552" s="222" t="str">
        <f>IFERROR(__xludf.DUMMYFUNCTION("""COMPUTED_VALUE"""),"MDN PT3 P7I6 TMU-FS JL.BERSAMA")</f>
        <v>MDN PT3 P7I6 TMU-FS JL.BERSAMA</v>
      </c>
      <c r="D552" s="222" t="str">
        <f>IFERROR(__xludf.DUMMYFUNCTION("""COMPUTED_VALUE"""),"REGIONAL I")</f>
        <v>REGIONAL I</v>
      </c>
      <c r="E552" s="222" t="str">
        <f>IFERROR(__xludf.DUMMYFUNCTION("""COMPUTED_VALUE"""),"MEDAN")</f>
        <v>MEDAN</v>
      </c>
      <c r="F552" s="222" t="str">
        <f>IFERROR(__xludf.DUMMYFUNCTION("""COMPUTED_VALUE"""),"TMU")</f>
        <v>TMU</v>
      </c>
      <c r="G552" s="222" t="str">
        <f>IFERROR(__xludf.DUMMYFUNCTION("""COMPUTED_VALUE"""),"SUMBAGUT")</f>
        <v>SUMBAGUT</v>
      </c>
      <c r="H552" s="222" t="str">
        <f>IFERROR(__xludf.DUMMYFUNCTION("""COMPUTED_VALUE"""),"MEDAN")</f>
        <v>MEDAN</v>
      </c>
      <c r="I552" s="222" t="str">
        <f>IFERROR(__xludf.DUMMYFUNCTION("""COMPUTED_VALUE"""),"Batch 2")</f>
        <v>Batch 2</v>
      </c>
      <c r="J552" s="225">
        <f>IFERROR(__xludf.DUMMYFUNCTION("""COMPUTED_VALUE"""),6.0)</f>
        <v>6</v>
      </c>
      <c r="K552" s="224">
        <f>IFERROR(__xludf.DUMMYFUNCTION("""COMPUTED_VALUE"""),48.0)</f>
        <v>48</v>
      </c>
      <c r="L552" s="226">
        <f>IFERROR(__xludf.DUMMYFUNCTION("""COMPUTED_VALUE"""),1224058.0)</f>
        <v>1224058</v>
      </c>
      <c r="M552" s="227">
        <f>IFERROR(__xludf.DUMMYFUNCTION("""COMPUTED_VALUE"""),5.8754767E7)</f>
        <v>58754767</v>
      </c>
      <c r="N552" s="222" t="str">
        <f>IFERROR(__xludf.DUMMYFUNCTION("""COMPUTED_VALUE"""),"PT SINAR KEPRI SEJAHTERA")</f>
        <v>PT SINAR KEPRI SEJAHTERA</v>
      </c>
      <c r="O552" s="222" t="str">
        <f>IFERROR(__xludf.DUMMYFUNCTION("""COMPUTED_VALUE"""),"0. DROP")</f>
        <v>0. DROP</v>
      </c>
      <c r="P552" s="222" t="str">
        <f>IFERROR(__xludf.DUMMYFUNCTION("""COMPUTED_VALUE"""),"0.4 CPP Tinggi Acc ED TIF")</f>
        <v>0.4 CPP Tinggi Acc ED TIF</v>
      </c>
      <c r="Q552" s="222" t="str">
        <f>IFERROR(__xludf.DUMMYFUNCTION("""COMPUTED_VALUE"""),"5/11 Feeder Habis
01/11proses aanwijzing")</f>
        <v>5/11 Feeder Habis
01/11proses aanwijzing</v>
      </c>
      <c r="R552" s="228"/>
      <c r="S552" s="11"/>
      <c r="T552" s="11"/>
      <c r="U552" s="11"/>
      <c r="V552" s="229"/>
      <c r="W552" s="229"/>
      <c r="X552" s="229" t="str">
        <f>IFERROR(__xludf.DUMMYFUNCTION("""COMPUTED_VALUE"""),"BELUM GOLIVE")</f>
        <v>BELUM GOLIVE</v>
      </c>
      <c r="Y552" s="229"/>
      <c r="Z552" s="229" t="str">
        <f>IFERROR(__xludf.DUMMYFUNCTION("""COMPUTED_VALUE"""),"#N/A")</f>
        <v>#N/A</v>
      </c>
      <c r="AA552" s="229"/>
      <c r="AB552" s="229"/>
      <c r="AC552" s="229"/>
      <c r="AD552" s="232"/>
      <c r="AE552" s="233"/>
      <c r="AF552" s="54" t="str">
        <f>IFERROR(__xludf.DUMMYFUNCTION("""COMPUTED_VALUE"""),"Draft BA DROP")</f>
        <v>Draft BA DROP</v>
      </c>
      <c r="AG552" s="54"/>
      <c r="AH552" s="54"/>
      <c r="AI552" s="55" t="str">
        <f t="shared" ref="AI552:AI557" si="66">IF(OR(R552="",AE552=""),"",R552-AE552)</f>
        <v/>
      </c>
      <c r="AW552" s="234"/>
      <c r="BP552" s="11"/>
      <c r="BQ552" s="11"/>
      <c r="BR552" s="235"/>
      <c r="BV552" s="158"/>
      <c r="BY552" s="158"/>
      <c r="CB552" s="158"/>
    </row>
    <row r="553" ht="18.0" hidden="1" customHeight="1">
      <c r="A553" s="222">
        <f>IFERROR(__xludf.DUMMYFUNCTION("""COMPUTED_VALUE"""),2026.0)</f>
        <v>2026</v>
      </c>
      <c r="B553" s="221">
        <f>IFERROR(__xludf.DUMMYFUNCTION("""COMPUTED_VALUE"""),1.1368354E7)</f>
        <v>11368354</v>
      </c>
      <c r="C553" s="222" t="str">
        <f>IFERROR(__xludf.DUMMYFUNCTION("""COMPUTED_VALUE"""),"MDN PT3 TMU-FAC PERUM GRIYA BASTIA_")</f>
        <v>MDN PT3 TMU-FAC PERUM GRIYA BASTIA_</v>
      </c>
      <c r="D553" s="222" t="str">
        <f>IFERROR(__xludf.DUMMYFUNCTION("""COMPUTED_VALUE"""),"REGIONAL I")</f>
        <v>REGIONAL I</v>
      </c>
      <c r="E553" s="222" t="str">
        <f>IFERROR(__xludf.DUMMYFUNCTION("""COMPUTED_VALUE"""),"MEDAN")</f>
        <v>MEDAN</v>
      </c>
      <c r="F553" s="222" t="str">
        <f>IFERROR(__xludf.DUMMYFUNCTION("""COMPUTED_VALUE"""),"TMU")</f>
        <v>TMU</v>
      </c>
      <c r="G553" s="222" t="str">
        <f>IFERROR(__xludf.DUMMYFUNCTION("""COMPUTED_VALUE"""),"SUMBAGUT")</f>
        <v>SUMBAGUT</v>
      </c>
      <c r="H553" s="222" t="str">
        <f>IFERROR(__xludf.DUMMYFUNCTION("""COMPUTED_VALUE"""),"MEDAN")</f>
        <v>MEDAN</v>
      </c>
      <c r="I553" s="222" t="str">
        <f>IFERROR(__xludf.DUMMYFUNCTION("""COMPUTED_VALUE"""),"Batch 2")</f>
        <v>Batch 2</v>
      </c>
      <c r="J553" s="225">
        <f>IFERROR(__xludf.DUMMYFUNCTION("""COMPUTED_VALUE"""),3.0)</f>
        <v>3</v>
      </c>
      <c r="K553" s="224">
        <f>IFERROR(__xludf.DUMMYFUNCTION("""COMPUTED_VALUE"""),24.0)</f>
        <v>24</v>
      </c>
      <c r="L553" s="226">
        <f>IFERROR(__xludf.DUMMYFUNCTION("""COMPUTED_VALUE"""),581736.0)</f>
        <v>581736</v>
      </c>
      <c r="M553" s="227">
        <f>IFERROR(__xludf.DUMMYFUNCTION("""COMPUTED_VALUE"""),1.3961664E7)</f>
        <v>13961664</v>
      </c>
      <c r="N553" s="222" t="str">
        <f>IFERROR(__xludf.DUMMYFUNCTION("""COMPUTED_VALUE"""),"PT DUL JAYA TAMA")</f>
        <v>PT DUL JAYA TAMA</v>
      </c>
      <c r="O553" s="222" t="str">
        <f>IFERROR(__xludf.DUMMYFUNCTION("""COMPUTED_VALUE"""),"0. DROP")</f>
        <v>0. DROP</v>
      </c>
      <c r="P553" s="222" t="str">
        <f>IFERROR(__xludf.DUMMYFUNCTION("""COMPUTED_VALUE"""),"0.3 Feeder Full")</f>
        <v>0.3 Feeder Full</v>
      </c>
      <c r="Q553" s="222" t="str">
        <f>IFERROR(__xludf.DUMMYFUNCTION("""COMPUTED_VALUE"""),"08/03 Feeder Penuh 29/01 Done Order, lnjut Aanwidzing")</f>
        <v>08/03 Feeder Penuh 29/01 Done Order, lnjut Aanwidzing</v>
      </c>
      <c r="R553" s="228"/>
      <c r="S553" s="11"/>
      <c r="T553" s="11"/>
      <c r="U553" s="11"/>
      <c r="V553" s="229"/>
      <c r="W553" s="229"/>
      <c r="X553" s="229" t="str">
        <f>IFERROR(__xludf.DUMMYFUNCTION("""COMPUTED_VALUE"""),"BELUM GOLIVE")</f>
        <v>BELUM GOLIVE</v>
      </c>
      <c r="Y553" s="229"/>
      <c r="Z553" s="229" t="str">
        <f>IFERROR(__xludf.DUMMYFUNCTION("""COMPUTED_VALUE"""),"#N/A")</f>
        <v>#N/A</v>
      </c>
      <c r="AA553" s="229"/>
      <c r="AB553" s="229"/>
      <c r="AC553" s="229"/>
      <c r="AD553" s="232"/>
      <c r="AE553" s="233"/>
      <c r="AF553" s="54"/>
      <c r="AG553" s="54"/>
      <c r="AH553" s="54"/>
      <c r="AI553" s="55" t="str">
        <f t="shared" si="66"/>
        <v/>
      </c>
      <c r="AW553" s="234"/>
      <c r="BP553" s="11"/>
      <c r="BQ553" s="11"/>
      <c r="BR553" s="235"/>
      <c r="BV553" s="158"/>
      <c r="BY553" s="158"/>
      <c r="CB553" s="158"/>
    </row>
    <row r="554" ht="18.0" hidden="1" customHeight="1">
      <c r="A554" s="222">
        <f>IFERROR(__xludf.DUMMYFUNCTION("""COMPUTED_VALUE"""),2026.0)</f>
        <v>2026</v>
      </c>
      <c r="B554" s="221">
        <f>IFERROR(__xludf.DUMMYFUNCTION("""COMPUTED_VALUE"""),1.2306167E7)</f>
        <v>12306167</v>
      </c>
      <c r="C554" s="222" t="str">
        <f>IFERROR(__xludf.DUMMYFUNCTION("""COMPUTED_VALUE"""),"ACH BNN PT3 BNN-FM BEUREUEH")</f>
        <v>ACH BNN PT3 BNN-FM BEUREUEH</v>
      </c>
      <c r="D554" s="222" t="str">
        <f>IFERROR(__xludf.DUMMYFUNCTION("""COMPUTED_VALUE"""),"REGIONAL I")</f>
        <v>REGIONAL I</v>
      </c>
      <c r="E554" s="222" t="str">
        <f>IFERROR(__xludf.DUMMYFUNCTION("""COMPUTED_VALUE"""),"ACEH")</f>
        <v>ACEH</v>
      </c>
      <c r="F554" s="222" t="str">
        <f>IFERROR(__xludf.DUMMYFUNCTION("""COMPUTED_VALUE"""),"BNN")</f>
        <v>BNN</v>
      </c>
      <c r="G554" s="222" t="str">
        <f>IFERROR(__xludf.DUMMYFUNCTION("""COMPUTED_VALUE"""),"SUMBAGUT")</f>
        <v>SUMBAGUT</v>
      </c>
      <c r="H554" s="222" t="str">
        <f>IFERROR(__xludf.DUMMYFUNCTION("""COMPUTED_VALUE"""),"BANDA ACEH")</f>
        <v>BANDA ACEH</v>
      </c>
      <c r="I554" s="222" t="str">
        <f>IFERROR(__xludf.DUMMYFUNCTION("""COMPUTED_VALUE"""),"Batch 2")</f>
        <v>Batch 2</v>
      </c>
      <c r="J554" s="225">
        <f>IFERROR(__xludf.DUMMYFUNCTION("""COMPUTED_VALUE"""),2.0)</f>
        <v>2</v>
      </c>
      <c r="K554" s="224">
        <f>IFERROR(__xludf.DUMMYFUNCTION("""COMPUTED_VALUE"""),16.0)</f>
        <v>16</v>
      </c>
      <c r="L554" s="226">
        <f>IFERROR(__xludf.DUMMYFUNCTION("""COMPUTED_VALUE"""),1222530.0)</f>
        <v>1222530</v>
      </c>
      <c r="M554" s="227">
        <f>IFERROR(__xludf.DUMMYFUNCTION("""COMPUTED_VALUE"""),1.9560472E7)</f>
        <v>19560472</v>
      </c>
      <c r="N554" s="222" t="str">
        <f>IFERROR(__xludf.DUMMYFUNCTION("""COMPUTED_VALUE"""),"PT TRIPOLA PANATA")</f>
        <v>PT TRIPOLA PANATA</v>
      </c>
      <c r="O554" s="222" t="str">
        <f>IFERROR(__xludf.DUMMYFUNCTION("""COMPUTED_VALUE"""),"7. GOLIVE")</f>
        <v>7. GOLIVE</v>
      </c>
      <c r="P554" s="222" t="str">
        <f>IFERROR(__xludf.DUMMYFUNCTION("""COMPUTED_VALUE"""),"7.2 Golive Full / OA / DONE OTB")</f>
        <v>7.2 Golive Full / OA / DONE OTB</v>
      </c>
      <c r="Q554" s="222" t="str">
        <f>IFERROR(__xludf.DUMMYFUNCTION("""COMPUTED_VALUE"""),"06/04 golive 
(02/04) Validasi ABD (01/04) Penarikan Kabel (03/03) maping material (07/01) Persiapan")</f>
        <v>06/04 golive 
(02/04) Validasi ABD (01/04) Penarikan Kabel (03/03) maping material (07/01) Persiapan</v>
      </c>
      <c r="R554" s="228">
        <f>IFERROR(__xludf.DUMMYFUNCTION("""COMPUTED_VALUE"""),46118.0)</f>
        <v>46118</v>
      </c>
      <c r="S554" s="11" t="str">
        <f>IFERROR(__xludf.DUMMYFUNCTION("""COMPUTED_VALUE"""),"MAR")</f>
        <v>MAR</v>
      </c>
      <c r="T554" s="73"/>
      <c r="U554" s="11"/>
      <c r="V554" s="229"/>
      <c r="W554" s="229" t="str">
        <f>IFERROR(__xludf.DUMMYFUNCTION("""COMPUTED_VALUE"""),"#N/A")</f>
        <v>#N/A</v>
      </c>
      <c r="X554" s="229" t="str">
        <f>IFERROR(__xludf.DUMMYFUNCTION("""COMPUTED_VALUE"""),"GOLIVE")</f>
        <v>GOLIVE</v>
      </c>
      <c r="Y554" s="229" t="str">
        <f>IFERROR(__xludf.DUMMYFUNCTION("""COMPUTED_VALUE"""),"DONE")</f>
        <v>DONE</v>
      </c>
      <c r="Z554" s="229" t="str">
        <f>IFERROR(__xludf.DUMMYFUNCTION("""COMPUTED_VALUE"""),"#N/A")</f>
        <v>#N/A</v>
      </c>
      <c r="AA554" s="229">
        <f>IFERROR(__xludf.DUMMYFUNCTION("""COMPUTED_VALUE"""),2.0)</f>
        <v>2</v>
      </c>
      <c r="AB554" s="229"/>
      <c r="AC554" s="229" t="str">
        <f>IFERROR(__xludf.DUMMYFUNCTION("""COMPUTED_VALUE"""),"9233184#9233189")</f>
        <v>9233184#9233189</v>
      </c>
      <c r="AD554" s="232">
        <f>IFERROR(__xludf.DUMMYFUNCTION("""COMPUTED_VALUE"""),16.0)</f>
        <v>16</v>
      </c>
      <c r="AE554" s="233">
        <f>IFERROR(__xludf.DUMMYFUNCTION("""COMPUTED_VALUE"""),46118.0)</f>
        <v>46118</v>
      </c>
      <c r="AF554" s="54"/>
      <c r="AG554" s="54"/>
      <c r="AH554" s="54">
        <v>46118.0</v>
      </c>
      <c r="AI554" s="55">
        <f t="shared" si="66"/>
        <v>0</v>
      </c>
      <c r="AW554" s="234"/>
      <c r="BP554" s="11"/>
      <c r="BQ554" s="11"/>
      <c r="BR554" s="235"/>
      <c r="BV554" s="158"/>
      <c r="BY554" s="158"/>
      <c r="CB554" s="158"/>
    </row>
    <row r="555" ht="18.0" hidden="1" customHeight="1">
      <c r="A555" s="222">
        <f>IFERROR(__xludf.DUMMYFUNCTION("""COMPUTED_VALUE"""),2026.0)</f>
        <v>2026</v>
      </c>
      <c r="B555" s="221">
        <f>IFERROR(__xludf.DUMMYFUNCTION("""COMPUTED_VALUE"""),1.2244958E7)</f>
        <v>12244958</v>
      </c>
      <c r="C555" s="222" t="str">
        <f>IFERROR(__xludf.DUMMYFUNCTION("""COMPUTED_VALUE"""),"MDN PT3 GLG-FG DELI SERDANG_125325")</f>
        <v>MDN PT3 GLG-FG DELI SERDANG_125325</v>
      </c>
      <c r="D555" s="222" t="str">
        <f>IFERROR(__xludf.DUMMYFUNCTION("""COMPUTED_VALUE"""),"REGIONAL I")</f>
        <v>REGIONAL I</v>
      </c>
      <c r="E555" s="222" t="str">
        <f>IFERROR(__xludf.DUMMYFUNCTION("""COMPUTED_VALUE"""),"MEDAN")</f>
        <v>MEDAN</v>
      </c>
      <c r="F555" s="222" t="str">
        <f>IFERROR(__xludf.DUMMYFUNCTION("""COMPUTED_VALUE"""),"GLG")</f>
        <v>GLG</v>
      </c>
      <c r="G555" s="222" t="str">
        <f>IFERROR(__xludf.DUMMYFUNCTION("""COMPUTED_VALUE"""),"SUMBAGUT")</f>
        <v>SUMBAGUT</v>
      </c>
      <c r="H555" s="222" t="str">
        <f>IFERROR(__xludf.DUMMYFUNCTION("""COMPUTED_VALUE"""),"MEDAN")</f>
        <v>MEDAN</v>
      </c>
      <c r="I555" s="222" t="str">
        <f>IFERROR(__xludf.DUMMYFUNCTION("""COMPUTED_VALUE"""),"Batch 2")</f>
        <v>Batch 2</v>
      </c>
      <c r="J555" s="225">
        <f>IFERROR(__xludf.DUMMYFUNCTION("""COMPUTED_VALUE"""),4.0)</f>
        <v>4</v>
      </c>
      <c r="K555" s="224">
        <f>IFERROR(__xludf.DUMMYFUNCTION("""COMPUTED_VALUE"""),32.0)</f>
        <v>32</v>
      </c>
      <c r="L555" s="226">
        <f>IFERROR(__xludf.DUMMYFUNCTION("""COMPUTED_VALUE"""),1221803.0)</f>
        <v>1221803</v>
      </c>
      <c r="M555" s="227">
        <f>IFERROR(__xludf.DUMMYFUNCTION("""COMPUTED_VALUE"""),3.909767E7)</f>
        <v>39097670</v>
      </c>
      <c r="N555" s="222" t="str">
        <f>IFERROR(__xludf.DUMMYFUNCTION("""COMPUTED_VALUE"""),"PT NIAGA NUSANTARA DIVA")</f>
        <v>PT NIAGA NUSANTARA DIVA</v>
      </c>
      <c r="O555" s="222" t="str">
        <f>IFERROR(__xludf.DUMMYFUNCTION("""COMPUTED_VALUE"""),"0. DROP")</f>
        <v>0. DROP</v>
      </c>
      <c r="P555" s="222" t="str">
        <f>IFERROR(__xludf.DUMMYFUNCTION("""COMPUTED_VALUE"""),"0.4 CPP Tinggi Acc ED TIF")</f>
        <v>0.4 CPP Tinggi Acc ED TIF</v>
      </c>
      <c r="Q555" s="222" t="str">
        <f>IFERROR(__xludf.DUMMYFUNCTION("""COMPUTED_VALUE"""),"05/02 feeder loss/rusak 
(12/01) penunjukkan mitra, (07/01) Persiapan")</f>
        <v>05/02 feeder loss/rusak 
(12/01) penunjukkan mitra, (07/01) Persiapan</v>
      </c>
      <c r="R555" s="228"/>
      <c r="S555" s="11"/>
      <c r="T555" s="11"/>
      <c r="U555" s="11"/>
      <c r="V555" s="229"/>
      <c r="W555" s="229"/>
      <c r="X555" s="229" t="str">
        <f>IFERROR(__xludf.DUMMYFUNCTION("""COMPUTED_VALUE"""),"BELUM GOLIVE")</f>
        <v>BELUM GOLIVE</v>
      </c>
      <c r="Y555" s="229"/>
      <c r="Z555" s="229" t="str">
        <f>IFERROR(__xludf.DUMMYFUNCTION("""COMPUTED_VALUE"""),"#N/A")</f>
        <v>#N/A</v>
      </c>
      <c r="AA555" s="229"/>
      <c r="AB555" s="229"/>
      <c r="AC555" s="229"/>
      <c r="AD555" s="232"/>
      <c r="AE555" s="233"/>
      <c r="AF555" s="54" t="str">
        <f>IFERROR(__xludf.DUMMYFUNCTION("""COMPUTED_VALUE"""),"Draft BA DROP")</f>
        <v>Draft BA DROP</v>
      </c>
      <c r="AG555" s="54"/>
      <c r="AH555" s="54"/>
      <c r="AI555" s="55" t="str">
        <f t="shared" si="66"/>
        <v/>
      </c>
      <c r="AW555" s="234"/>
      <c r="BP555" s="11"/>
      <c r="BQ555" s="11"/>
      <c r="BR555" s="235"/>
      <c r="BV555" s="158"/>
      <c r="BY555" s="158"/>
      <c r="CB555" s="158"/>
    </row>
    <row r="556" ht="18.0" hidden="1" customHeight="1">
      <c r="A556" s="222">
        <f>IFERROR(__xludf.DUMMYFUNCTION("""COMPUTED_VALUE"""),2026.0)</f>
        <v>2026</v>
      </c>
      <c r="B556" s="221">
        <f>IFERROR(__xludf.DUMMYFUNCTION("""COMPUTED_VALUE"""),1.2313795E7)</f>
        <v>12313795</v>
      </c>
      <c r="C556" s="222" t="str">
        <f>IFERROR(__xludf.DUMMYFUNCTION("""COMPUTED_VALUE"""),"SMS P4I2 PT3 PGA FG D04 SELIBAR JALUR 2")</f>
        <v>SMS P4I2 PT3 PGA FG D04 SELIBAR JALUR 2</v>
      </c>
      <c r="D556" s="222" t="str">
        <f>IFERROR(__xludf.DUMMYFUNCTION("""COMPUTED_VALUE"""),"REGIONAL I")</f>
        <v>REGIONAL I</v>
      </c>
      <c r="E556" s="222" t="str">
        <f>IFERROR(__xludf.DUMMYFUNCTION("""COMPUTED_VALUE"""),"SUMSEL")</f>
        <v>SUMSEL</v>
      </c>
      <c r="F556" s="222" t="str">
        <f>IFERROR(__xludf.DUMMYFUNCTION("""COMPUTED_VALUE"""),"PGA")</f>
        <v>PGA</v>
      </c>
      <c r="G556" s="222" t="str">
        <f>IFERROR(__xludf.DUMMYFUNCTION("""COMPUTED_VALUE"""),"SUMBAGSEL")</f>
        <v>SUMBAGSEL</v>
      </c>
      <c r="H556" s="222" t="str">
        <f>IFERROR(__xludf.DUMMYFUNCTION("""COMPUTED_VALUE"""),"BENGKULU")</f>
        <v>BENGKULU</v>
      </c>
      <c r="I556" s="222" t="str">
        <f>IFERROR(__xludf.DUMMYFUNCTION("""COMPUTED_VALUE"""),"Batch 2")</f>
        <v>Batch 2</v>
      </c>
      <c r="J556" s="225">
        <f>IFERROR(__xludf.DUMMYFUNCTION("""COMPUTED_VALUE"""),4.0)</f>
        <v>4</v>
      </c>
      <c r="K556" s="224">
        <f>IFERROR(__xludf.DUMMYFUNCTION("""COMPUTED_VALUE"""),32.0)</f>
        <v>32</v>
      </c>
      <c r="L556" s="226">
        <f>IFERROR(__xludf.DUMMYFUNCTION("""COMPUTED_VALUE"""),1221719.0)</f>
        <v>1221719</v>
      </c>
      <c r="M556" s="227">
        <f>IFERROR(__xludf.DUMMYFUNCTION("""COMPUTED_VALUE"""),3.9094996E7)</f>
        <v>39094996</v>
      </c>
      <c r="N556" s="222" t="str">
        <f>IFERROR(__xludf.DUMMYFUNCTION("""COMPUTED_VALUE"""),"PT GITA PRIMA TAMBA PERKASA")</f>
        <v>PT GITA PRIMA TAMBA PERKASA</v>
      </c>
      <c r="O556" s="222" t="str">
        <f>IFERROR(__xludf.DUMMYFUNCTION("""COMPUTED_VALUE"""),"0. DROP")</f>
        <v>0. DROP</v>
      </c>
      <c r="P556" s="222" t="str">
        <f>IFERROR(__xludf.DUMMYFUNCTION("""COMPUTED_VALUE"""),"0.4 CPP Tinggi Acc ED TIF")</f>
        <v>0.4 CPP Tinggi Acc ED TIF</v>
      </c>
      <c r="Q556" s="222" t="str">
        <f>IFERROR(__xludf.DUMMYFUNCTION("""COMPUTED_VALUE"""),"09/04 hold krena cpp tinggi, sdh eval dg tif untuk d drop, dan high comcase dg lurah, 26/03 proses pergantian mitra dri raharja ke GPTP, 25/03 PROGRESS UPDATE BOQ DAN KML SETELAH AANWIDJZING - MASIH MENUNGGU INFO TSEL MENGENAI PENGURANGAN ODP,  16/03 HASI"&amp;"L AANWIDJZING LURAH MEMINTA KOMPENSASI 2JT DAN BISA DIKERJAKAN TETAPI ADA 1 LOP YG HARUS DIKURANGI 1 ODPNYA ANTARA LOP SELIBAR JALUR 2 ATAU LURAH SELIBAR DIKRNAKAN CORE FEEDER UDAH HABIS, 12/03 DONE AANWIDJZING, 11/03 OGP AANWIJDZING, 10/03 PROGRESS AANWI"&amp;"JDZING ULANG, 09/03 DIALIHKAN KE MITRA GPTP, 09/03 DATA UPDATE BLM DI KIRIM MITRA, 06/03 SDH DI FU TERUS TP BELUM ADA INFO DARI MITRA, 02/03 SDH DI FU TERUS TP BELUM ADA INFO DARI MITRA, 27/02 masih menunggu hasil perhitungan QE dan review TIF 22/2  menun"&amp;"ggu hasil perhitungan QE dan review TIF  19/02 IZIN KADES MEMINTA KOMPENSASI 300RB PER TIANG, TOTAL ADA 20 TIANG, 10/02 DONE AANWIDJZING - MITRA BELUM KIRIM HASIL AANWIDJZING, 04/02 PROSES AANWIDJZING, 30/01 PROSES AANWIDJZING, (23/1) Proses Aanwijdzing -"&amp;" Est 27 Setor ke Pak wijaya  (21/01) menunggu antrian untuk aanwizjing, (15/1) ORDER DITERIMA MITRA 14/1, masih menunngu confirm- kepastian 19 jan (06/01)order JPP batch-2 2026 ((14/11)HOLD-  tidak masuk target Optimis 2025 (
14/01 sudah penunjukan mitra "&amp;"oleh procurement")</f>
        <v>09/04 hold krena cpp tinggi, sdh eval dg tif untuk d drop, dan high comcase dg lurah, 26/03 proses pergantian mitra dri raharja ke GPTP, 25/03 PROGRESS UPDATE BOQ DAN KML SETELAH AANWIDJZING - MASIH MENUNGGU INFO TSEL MENGENAI PENGURANGAN ODP,  16/03 HASIL AANWIDJZING LURAH MEMINTA KOMPENSASI 2JT DAN BISA DIKERJAKAN TETAPI ADA 1 LOP YG HARUS DIKURANGI 1 ODPNYA ANTARA LOP SELIBAR JALUR 2 ATAU LURAH SELIBAR DIKRNAKAN CORE FEEDER UDAH HABIS, 12/03 DONE AANWIDJZING, 11/03 OGP AANWIJDZING, 10/03 PROGRESS AANWIJDZING ULANG, 09/03 DIALIHKAN KE MITRA GPTP, 09/03 DATA UPDATE BLM DI KIRIM MITRA, 06/03 SDH DI FU TERUS TP BELUM ADA INFO DARI MITRA, 02/03 SDH DI FU TERUS TP BELUM ADA INFO DARI MITRA, 27/02 masih menunggu hasil perhitungan QE dan review TIF 22/2  menunggu hasil perhitungan QE dan review TIF  19/02 IZIN KADES MEMINTA KOMPENSASI 300RB PER TIANG, TOTAL ADA 20 TIANG, 10/02 DONE AANWIDJZING - MITRA BELUM KIRIM HASIL AANWIDJZING, 04/02 PROSES AANWIDJZING, 30/01 PROSES AANWIDJZING, (23/1) Proses Aanwijdzing - Est 27 Setor ke Pak wijaya  (21/01) menunggu antrian untuk aanwizjing, (15/1) ORDER DITERIMA MITRA 14/1, masih menunngu confirm- kepastian 19 jan (06/01)order JPP batch-2 2026 ((14/11)HOLD-  tidak masuk target Optimis 2025 (
14/01 sudah penunjukan mitra oleh procurement</v>
      </c>
      <c r="R556" s="228"/>
      <c r="S556" s="11"/>
      <c r="T556" s="11"/>
      <c r="U556" s="11"/>
      <c r="V556" s="229" t="str">
        <f>IFERROR(__xludf.DUMMYFUNCTION("""COMPUTED_VALUE"""),"ILHAM")</f>
        <v>ILHAM</v>
      </c>
      <c r="W556" s="229"/>
      <c r="X556" s="229" t="str">
        <f>IFERROR(__xludf.DUMMYFUNCTION("""COMPUTED_VALUE"""),"BELUM GOLIVE")</f>
        <v>BELUM GOLIVE</v>
      </c>
      <c r="Y556" s="229"/>
      <c r="Z556" s="229" t="str">
        <f>IFERROR(__xludf.DUMMYFUNCTION("""COMPUTED_VALUE"""),"#N/A")</f>
        <v>#N/A</v>
      </c>
      <c r="AA556" s="229"/>
      <c r="AB556" s="229"/>
      <c r="AC556" s="229"/>
      <c r="AD556" s="232"/>
      <c r="AE556" s="233"/>
      <c r="AF556" s="54"/>
      <c r="AG556" s="54"/>
      <c r="AH556" s="54"/>
      <c r="AI556" s="55" t="str">
        <f t="shared" si="66"/>
        <v/>
      </c>
      <c r="AW556" s="234"/>
      <c r="BP556" s="11"/>
      <c r="BQ556" s="11"/>
      <c r="BR556" s="235"/>
      <c r="BV556" s="158"/>
      <c r="BY556" s="158"/>
      <c r="CB556" s="158"/>
    </row>
    <row r="557" ht="18.0" customHeight="1">
      <c r="A557" s="222">
        <f>IFERROR(__xludf.DUMMYFUNCTION("""COMPUTED_VALUE"""),2026.0)</f>
        <v>2026</v>
      </c>
      <c r="B557" s="221">
        <f>IFERROR(__xludf.DUMMYFUNCTION("""COMPUTED_VALUE"""),1.1098842E7)</f>
        <v>11098842</v>
      </c>
      <c r="C557" s="222" t="str">
        <f>IFERROR(__xludf.DUMMYFUNCTION("""COMPUTED_VALUE"""),"RKP PT3 JPPTSEL KMS FB GRIYA SATRIA KENCANA II")</f>
        <v>RKP PT3 JPPTSEL KMS FB GRIYA SATRIA KENCANA II</v>
      </c>
      <c r="D557" s="222" t="str">
        <f>IFERROR(__xludf.DUMMYFUNCTION("""COMPUTED_VALUE"""),"REGIONAL I")</f>
        <v>REGIONAL I</v>
      </c>
      <c r="E557" s="222" t="str">
        <f>IFERROR(__xludf.DUMMYFUNCTION("""COMPUTED_VALUE"""),"RIKEP")</f>
        <v>RIKEP</v>
      </c>
      <c r="F557" s="222" t="str">
        <f>IFERROR(__xludf.DUMMYFUNCTION("""COMPUTED_VALUE"""),"KMS")</f>
        <v>KMS</v>
      </c>
      <c r="G557" s="222" t="str">
        <f>IFERROR(__xludf.DUMMYFUNCTION("""COMPUTED_VALUE"""),"SUMBAGTENG")</f>
        <v>SUMBAGTENG</v>
      </c>
      <c r="H557" s="222" t="str">
        <f>IFERROR(__xludf.DUMMYFUNCTION("""COMPUTED_VALUE"""),"BATAM")</f>
        <v>BATAM</v>
      </c>
      <c r="I557" s="222" t="str">
        <f>IFERROR(__xludf.DUMMYFUNCTION("""COMPUTED_VALUE"""),"Batch 2")</f>
        <v>Batch 2</v>
      </c>
      <c r="J557" s="225">
        <f>IFERROR(__xludf.DUMMYFUNCTION("""COMPUTED_VALUE"""),9.0)</f>
        <v>9</v>
      </c>
      <c r="K557" s="224">
        <f>IFERROR(__xludf.DUMMYFUNCTION("""COMPUTED_VALUE"""),72.0)</f>
        <v>72</v>
      </c>
      <c r="L557" s="226">
        <f>IFERROR(__xludf.DUMMYFUNCTION("""COMPUTED_VALUE"""),1221576.0)</f>
        <v>1221576</v>
      </c>
      <c r="M557" s="227">
        <f>IFERROR(__xludf.DUMMYFUNCTION("""COMPUTED_VALUE"""),8.7953424E7)</f>
        <v>87953424</v>
      </c>
      <c r="N557" s="222" t="str">
        <f>IFERROR(__xludf.DUMMYFUNCTION("""COMPUTED_VALUE"""),"PT SALTTEK DUMPANG JAYA")</f>
        <v>PT SALTTEK DUMPANG JAYA</v>
      </c>
      <c r="O557" s="222" t="str">
        <f>IFERROR(__xludf.DUMMYFUNCTION("""COMPUTED_VALUE"""),"0. DROP")</f>
        <v>0. DROP</v>
      </c>
      <c r="P557" s="222" t="str">
        <f>IFERROR(__xludf.DUMMYFUNCTION("""COMPUTED_VALUE"""),"0.2 Tidak Dapat Izin Warga/Kades/Lurah/Developer")</f>
        <v>0.2 Tidak Dapat Izin Warga/Kades/Lurah/Developer</v>
      </c>
      <c r="Q557" s="222" t="str">
        <f>IFERROR(__xludf.DUMMYFUNCTION("""COMPUTED_VALUE"""),"21/01 RT menolak karena perumahan sudah di masuki provider cybernet")</f>
        <v>21/01 RT menolak karena perumahan sudah di masuki provider cybernet</v>
      </c>
      <c r="R557" s="228"/>
      <c r="S557" s="11"/>
      <c r="T557" s="11"/>
      <c r="U557" s="11"/>
      <c r="V557" s="229" t="str">
        <f>IFERROR(__xludf.DUMMYFUNCTION("""COMPUTED_VALUE"""),"DEDY IRAWAN")</f>
        <v>DEDY IRAWAN</v>
      </c>
      <c r="W557" s="229" t="str">
        <f>IFERROR(__xludf.DUMMYFUNCTION("""COMPUTED_VALUE"""),"LEVITA INDRIYANI")</f>
        <v>LEVITA INDRIYANI</v>
      </c>
      <c r="X557" s="229" t="str">
        <f>IFERROR(__xludf.DUMMYFUNCTION("""COMPUTED_VALUE"""),"BELUM GOLIVE")</f>
        <v>BELUM GOLIVE</v>
      </c>
      <c r="Y557" s="229"/>
      <c r="Z557" s="229" t="str">
        <f>IFERROR(__xludf.DUMMYFUNCTION("""COMPUTED_VALUE"""),"#N/A")</f>
        <v>#N/A</v>
      </c>
      <c r="AA557" s="229"/>
      <c r="AB557" s="229"/>
      <c r="AC557" s="229"/>
      <c r="AD557" s="232"/>
      <c r="AE557" s="233"/>
      <c r="AF557" s="54" t="str">
        <f>IFERROR(__xludf.DUMMYFUNCTION("""COMPUTED_VALUE"""),"Draft BA DROP")</f>
        <v>Draft BA DROP</v>
      </c>
      <c r="AG557" s="54"/>
      <c r="AH557" s="54">
        <v>46122.0</v>
      </c>
      <c r="AI557" s="55" t="str">
        <f t="shared" si="66"/>
        <v/>
      </c>
      <c r="AJ557" s="229" t="str">
        <f t="shared" ref="AJ557:AJ558" si="67">if(AI557&gt;=0,"Gl in Komitmen","Gl out komitmen")</f>
        <v>Gl in Komitmen</v>
      </c>
      <c r="AW557" s="234"/>
      <c r="BP557" s="11"/>
      <c r="BQ557" s="11"/>
      <c r="BR557" s="235"/>
      <c r="BV557" s="158"/>
      <c r="BY557" s="158"/>
      <c r="CB557" s="158"/>
    </row>
    <row r="558" ht="18.0" customHeight="1">
      <c r="A558" s="222">
        <f>IFERROR(__xludf.DUMMYFUNCTION("""COMPUTED_VALUE"""),2026.0)</f>
        <v>2026</v>
      </c>
      <c r="B558" s="221">
        <f>IFERROR(__xludf.DUMMYFUNCTION("""COMPUTED_VALUE"""),1.2260833E7)</f>
        <v>12260833</v>
      </c>
      <c r="C558" s="222" t="str">
        <f>IFERROR(__xludf.DUMMYFUNCTION("""COMPUTED_VALUE"""),"SMB P4I3 Punggasan Timur BLS P Timur 2")</f>
        <v>SMB P4I3 Punggasan Timur BLS P Timur 2</v>
      </c>
      <c r="D558" s="222" t="str">
        <f>IFERROR(__xludf.DUMMYFUNCTION("""COMPUTED_VALUE"""),"REGIONAL I")</f>
        <v>REGIONAL I</v>
      </c>
      <c r="E558" s="222" t="str">
        <f>IFERROR(__xludf.DUMMYFUNCTION("""COMPUTED_VALUE"""),"SUMBAR")</f>
        <v>SUMBAR</v>
      </c>
      <c r="F558" s="222" t="str">
        <f>IFERROR(__xludf.DUMMYFUNCTION("""COMPUTED_VALUE"""),"BLS")</f>
        <v>BLS</v>
      </c>
      <c r="G558" s="222" t="str">
        <f>IFERROR(__xludf.DUMMYFUNCTION("""COMPUTED_VALUE"""),"SUMBAGTENG")</f>
        <v>SUMBAGTENG</v>
      </c>
      <c r="H558" s="222" t="str">
        <f>IFERROR(__xludf.DUMMYFUNCTION("""COMPUTED_VALUE"""),"PADANG")</f>
        <v>PADANG</v>
      </c>
      <c r="I558" s="222" t="str">
        <f>IFERROR(__xludf.DUMMYFUNCTION("""COMPUTED_VALUE"""),"Batch 2")</f>
        <v>Batch 2</v>
      </c>
      <c r="J558" s="225">
        <f>IFERROR(__xludf.DUMMYFUNCTION("""COMPUTED_VALUE"""),38.0)</f>
        <v>38</v>
      </c>
      <c r="K558" s="224">
        <f>IFERROR(__xludf.DUMMYFUNCTION("""COMPUTED_VALUE"""),304.0)</f>
        <v>304</v>
      </c>
      <c r="L558" s="226">
        <f>IFERROR(__xludf.DUMMYFUNCTION("""COMPUTED_VALUE"""),1221312.0)</f>
        <v>1221312</v>
      </c>
      <c r="M558" s="227">
        <f>IFERROR(__xludf.DUMMYFUNCTION("""COMPUTED_VALUE"""),3.71278802E8)</f>
        <v>371278802</v>
      </c>
      <c r="N558" s="222" t="str">
        <f>IFERROR(__xludf.DUMMYFUNCTION("""COMPUTED_VALUE"""),"PT TIGA AKSES MANDIRI")</f>
        <v>PT TIGA AKSES MANDIRI</v>
      </c>
      <c r="O558" s="222" t="str">
        <f>IFERROR(__xludf.DUMMYFUNCTION("""COMPUTED_VALUE"""),"7. GOLIVE")</f>
        <v>7. GOLIVE</v>
      </c>
      <c r="P558" s="222" t="str">
        <f>IFERROR(__xludf.DUMMYFUNCTION("""COMPUTED_VALUE"""),"7.2 Golive Full / OA / DONE OTB")</f>
        <v>7.2 Golive Full / OA / DONE OTB</v>
      </c>
      <c r="Q558" s="222" t="str">
        <f>IFERROR(__xludf.DUMMYFUNCTION("""COMPUTED_VALUE"""),"(06/04) ABD Masuk HI ke SDI (02/04) penarikan kabel (30/03) tanam tiang  (27/03) Prgores tanam tiang (16/03) proses matdel KE SITE (05/03) proses create PID  3/3 Meeting ED1 - TAREGION - TA AREA ACC CPP Tinggi LANJUT (05/02)  CPP 1,2.. kenaikan lebih dari"&amp;" 10% ")</f>
        <v>(06/04) ABD Masuk HI ke SDI (02/04) penarikan kabel (30/03) tanam tiang  (27/03) Prgores tanam tiang (16/03) proses matdel KE SITE (05/03) proses create PID  3/3 Meeting ED1 - TAREGION - TA AREA ACC CPP Tinggi LANJUT (05/02)  CPP 1,2.. kenaikan lebih dari 10% </v>
      </c>
      <c r="R558" s="228">
        <f>IFERROR(__xludf.DUMMYFUNCTION("""COMPUTED_VALUE"""),46122.0)</f>
        <v>46122</v>
      </c>
      <c r="S558" s="11" t="str">
        <f>IFERROR(__xludf.DUMMYFUNCTION("""COMPUTED_VALUE"""),"MAR")</f>
        <v>MAR</v>
      </c>
      <c r="T558" s="73"/>
      <c r="U558" s="11" t="str">
        <f>IFERROR(__xludf.DUMMYFUNCTION("""COMPUTED_VALUE"""),"TIF-5466/2026  26KT03R158-0067")</f>
        <v>TIF-5466/2026  26KT03R158-0067</v>
      </c>
      <c r="V558" s="229" t="str">
        <f>IFERROR(__xludf.DUMMYFUNCTION("""COMPUTED_VALUE"""),"JANUAR RIZAL")</f>
        <v>JANUAR RIZAL</v>
      </c>
      <c r="W558" s="229" t="str">
        <f>IFERROR(__xludf.DUMMYFUNCTION("""COMPUTED_VALUE"""),"MELKO NARWADI")</f>
        <v>MELKO NARWADI</v>
      </c>
      <c r="X558" s="229" t="str">
        <f>IFERROR(__xludf.DUMMYFUNCTION("""COMPUTED_VALUE"""),"GOLIVE")</f>
        <v>GOLIVE</v>
      </c>
      <c r="Y558" s="229" t="str">
        <f>IFERROR(__xludf.DUMMYFUNCTION("""COMPUTED_VALUE"""),"DONE")</f>
        <v>DONE</v>
      </c>
      <c r="Z558" s="229" t="str">
        <f>IFERROR(__xludf.DUMMYFUNCTION("""COMPUTED_VALUE"""),"#N/A")</f>
        <v>#N/A</v>
      </c>
      <c r="AA558" s="229">
        <f>IFERROR(__xludf.DUMMYFUNCTION("""COMPUTED_VALUE"""),36.0)</f>
        <v>36</v>
      </c>
      <c r="AB558" s="229"/>
      <c r="AC558" s="229" t="str">
        <f>IFERROR(__xludf.DUMMYFUNCTION("""COMPUTED_VALUE"""),"9248762#9248767")</f>
        <v>9248762#9248767</v>
      </c>
      <c r="AD558" s="232">
        <f>IFERROR(__xludf.DUMMYFUNCTION("""COMPUTED_VALUE"""),288.0)</f>
        <v>288</v>
      </c>
      <c r="AE558" s="233">
        <f>IFERROR(__xludf.DUMMYFUNCTION("""COMPUTED_VALUE"""),46122.0)</f>
        <v>46122</v>
      </c>
      <c r="AF558" s="54"/>
      <c r="AG558" s="54"/>
      <c r="AH558" s="54">
        <v>46122.0</v>
      </c>
      <c r="AI558" s="55">
        <f>IF(OR(AH558="",AE558=""),"",AH558-AE558)</f>
        <v>0</v>
      </c>
      <c r="AJ558" s="229" t="str">
        <f t="shared" si="67"/>
        <v>Gl in Komitmen</v>
      </c>
      <c r="AK558" s="231" t="s">
        <v>199</v>
      </c>
      <c r="AW558" s="234"/>
      <c r="BP558" s="11"/>
      <c r="BQ558" s="11"/>
      <c r="BR558" s="235"/>
      <c r="BV558" s="158"/>
      <c r="BY558" s="158"/>
      <c r="CB558" s="158"/>
    </row>
    <row r="559" ht="18.0" hidden="1" customHeight="1">
      <c r="A559" s="222">
        <f>IFERROR(__xludf.DUMMYFUNCTION("""COMPUTED_VALUE"""),2026.0)</f>
        <v>2026</v>
      </c>
      <c r="B559" s="221">
        <f>IFERROR(__xludf.DUMMYFUNCTION("""COMPUTED_VALUE"""),1.1528631E7)</f>
        <v>11528631</v>
      </c>
      <c r="C559" s="222" t="str">
        <f>IFERROR(__xludf.DUMMYFUNCTION("""COMPUTED_VALUE"""),"JBI-PT3BRANCH-MAB-FAB-LUBUK KAYUARO")</f>
        <v>JBI-PT3BRANCH-MAB-FAB-LUBUK KAYUARO</v>
      </c>
      <c r="D559" s="222" t="str">
        <f>IFERROR(__xludf.DUMMYFUNCTION("""COMPUTED_VALUE"""),"REGIONAL I")</f>
        <v>REGIONAL I</v>
      </c>
      <c r="E559" s="222" t="str">
        <f>IFERROR(__xludf.DUMMYFUNCTION("""COMPUTED_VALUE"""),"JAMBI")</f>
        <v>JAMBI</v>
      </c>
      <c r="F559" s="222" t="str">
        <f>IFERROR(__xludf.DUMMYFUNCTION("""COMPUTED_VALUE"""),"MAB")</f>
        <v>MAB</v>
      </c>
      <c r="G559" s="222" t="str">
        <f>IFERROR(__xludf.DUMMYFUNCTION("""COMPUTED_VALUE"""),"SUMBAGSEL")</f>
        <v>SUMBAGSEL</v>
      </c>
      <c r="H559" s="222" t="str">
        <f>IFERROR(__xludf.DUMMYFUNCTION("""COMPUTED_VALUE"""),"JAMBI")</f>
        <v>JAMBI</v>
      </c>
      <c r="I559" s="222" t="str">
        <f>IFERROR(__xludf.DUMMYFUNCTION("""COMPUTED_VALUE"""),"Batch 2")</f>
        <v>Batch 2</v>
      </c>
      <c r="J559" s="225">
        <f>IFERROR(__xludf.DUMMYFUNCTION("""COMPUTED_VALUE"""),3.0)</f>
        <v>3</v>
      </c>
      <c r="K559" s="224">
        <f>IFERROR(__xludf.DUMMYFUNCTION("""COMPUTED_VALUE"""),24.0)</f>
        <v>24</v>
      </c>
      <c r="L559" s="226">
        <f>IFERROR(__xludf.DUMMYFUNCTION("""COMPUTED_VALUE"""),1220557.0)</f>
        <v>1220557</v>
      </c>
      <c r="M559" s="227">
        <f>IFERROR(__xludf.DUMMYFUNCTION("""COMPUTED_VALUE"""),2.9293361E7)</f>
        <v>29293361</v>
      </c>
      <c r="N559" s="222" t="str">
        <f>IFERROR(__xludf.DUMMYFUNCTION("""COMPUTED_VALUE"""),"PT TRIPUTRA ANDALAN")</f>
        <v>PT TRIPUTRA ANDALAN</v>
      </c>
      <c r="O559" s="222" t="str">
        <f>IFERROR(__xludf.DUMMYFUNCTION("""COMPUTED_VALUE"""),"0. DROP")</f>
        <v>0. DROP</v>
      </c>
      <c r="P559" s="222" t="str">
        <f>IFERROR(__xludf.DUMMYFUNCTION("""COMPUTED_VALUE"""),"0.1 Double Order")</f>
        <v>0.1 Double Order</v>
      </c>
      <c r="Q559" s="222" t="str">
        <f>IFERROR(__xludf.DUMMYFUNCTION("""COMPUTED_VALUE"""),"(12/1) BA Drop Sirkulir-PERMINTAAN TSEL SPACE TIANG TIDAK ADA  (06/01)order JPP batch-2 2026 (17/11 drop permintaan Tsel, space penanaman tiang tidak ada 10/11 menunngu jadwal anwijzing (28/10) Penunjukan mitra triputra  , plan anwijzing 10 nov")</f>
        <v>(12/1) BA Drop Sirkulir-PERMINTAAN TSEL SPACE TIANG TIDAK ADA  (06/01)order JPP batch-2 2026 (17/11 drop permintaan Tsel, space penanaman tiang tidak ada 10/11 menunngu jadwal anwijzing (28/10) Penunjukan mitra triputra  , plan anwijzing 10 nov</v>
      </c>
      <c r="R559" s="228"/>
      <c r="S559" s="11"/>
      <c r="T559" s="11"/>
      <c r="U559" s="11"/>
      <c r="V559" s="229"/>
      <c r="W559" s="229"/>
      <c r="X559" s="229" t="str">
        <f>IFERROR(__xludf.DUMMYFUNCTION("""COMPUTED_VALUE"""),"BELUM GOLIVE")</f>
        <v>BELUM GOLIVE</v>
      </c>
      <c r="Y559" s="229"/>
      <c r="Z559" s="229" t="str">
        <f>IFERROR(__xludf.DUMMYFUNCTION("""COMPUTED_VALUE"""),"#N/A")</f>
        <v>#N/A</v>
      </c>
      <c r="AA559" s="229"/>
      <c r="AB559" s="229"/>
      <c r="AC559" s="229"/>
      <c r="AD559" s="232"/>
      <c r="AE559" s="233"/>
      <c r="AF559" s="54" t="str">
        <f>IFERROR(__xludf.DUMMYFUNCTION("""COMPUTED_VALUE"""),"Draft BA DROP")</f>
        <v>Draft BA DROP</v>
      </c>
      <c r="AG559" s="54"/>
      <c r="AH559" s="54"/>
      <c r="AI559" s="55" t="str">
        <f>IF(OR(R559="",AE559=""),"",R559-AE559)</f>
        <v/>
      </c>
      <c r="AW559" s="234"/>
      <c r="BP559" s="11"/>
      <c r="BQ559" s="11"/>
      <c r="BR559" s="235"/>
      <c r="BV559" s="158"/>
      <c r="BY559" s="158"/>
      <c r="CB559" s="158"/>
    </row>
    <row r="560" ht="18.0" hidden="1" customHeight="1">
      <c r="A560" s="222">
        <f>IFERROR(__xludf.DUMMYFUNCTION("""COMPUTED_VALUE"""),2026.0)</f>
        <v>2026</v>
      </c>
      <c r="B560" s="221">
        <f>IFERROR(__xludf.DUMMYFUNCTION("""COMPUTED_VALUE"""),1.1327231E7)</f>
        <v>11327231</v>
      </c>
      <c r="C560" s="222" t="str">
        <f>IFERROR(__xludf.DUMMYFUNCTION("""COMPUTED_VALUE"""),"MDN PT3 PUB-FF GG. BOTOT")</f>
        <v>MDN PT3 PUB-FF GG. BOTOT</v>
      </c>
      <c r="D560" s="222" t="str">
        <f>IFERROR(__xludf.DUMMYFUNCTION("""COMPUTED_VALUE"""),"REGIONAL I")</f>
        <v>REGIONAL I</v>
      </c>
      <c r="E560" s="222" t="str">
        <f>IFERROR(__xludf.DUMMYFUNCTION("""COMPUTED_VALUE"""),"MEDAN")</f>
        <v>MEDAN</v>
      </c>
      <c r="F560" s="222" t="str">
        <f>IFERROR(__xludf.DUMMYFUNCTION("""COMPUTED_VALUE"""),"PUB")</f>
        <v>PUB</v>
      </c>
      <c r="G560" s="222" t="str">
        <f>IFERROR(__xludf.DUMMYFUNCTION("""COMPUTED_VALUE"""),"SUMBAGUT")</f>
        <v>SUMBAGUT</v>
      </c>
      <c r="H560" s="222" t="str">
        <f>IFERROR(__xludf.DUMMYFUNCTION("""COMPUTED_VALUE"""),"MEDAN")</f>
        <v>MEDAN</v>
      </c>
      <c r="I560" s="222" t="str">
        <f>IFERROR(__xludf.DUMMYFUNCTION("""COMPUTED_VALUE"""),"Batch 2")</f>
        <v>Batch 2</v>
      </c>
      <c r="J560" s="225">
        <f>IFERROR(__xludf.DUMMYFUNCTION("""COMPUTED_VALUE"""),3.0)</f>
        <v>3</v>
      </c>
      <c r="K560" s="224">
        <f>IFERROR(__xludf.DUMMYFUNCTION("""COMPUTED_VALUE"""),24.0)</f>
        <v>24</v>
      </c>
      <c r="L560" s="226">
        <f>IFERROR(__xludf.DUMMYFUNCTION("""COMPUTED_VALUE"""),1454775.0)</f>
        <v>1454775</v>
      </c>
      <c r="M560" s="227">
        <f>IFERROR(__xludf.DUMMYFUNCTION("""COMPUTED_VALUE"""),3.49146E7)</f>
        <v>34914600</v>
      </c>
      <c r="N560" s="222" t="str">
        <f>IFERROR(__xludf.DUMMYFUNCTION("""COMPUTED_VALUE"""),"PT BENWA  MITRA PRATAMA")</f>
        <v>PT BENWA  MITRA PRATAMA</v>
      </c>
      <c r="O560" s="222" t="str">
        <f>IFERROR(__xludf.DUMMYFUNCTION("""COMPUTED_VALUE"""),"0. DROP")</f>
        <v>0. DROP</v>
      </c>
      <c r="P560" s="222" t="str">
        <f>IFERROR(__xludf.DUMMYFUNCTION("""COMPUTED_VALUE"""),"0.4 CPP Tinggi Acc ED TIF")</f>
        <v>0.4 CPP Tinggi Acc ED TIF</v>
      </c>
      <c r="Q560" s="222" t="str">
        <f>IFERROR(__xludf.DUMMYFUNCTION("""COMPUTED_VALUE"""),"(25/09) Feeder Tidak Tembus PUB-FF")</f>
        <v>(25/09) Feeder Tidak Tembus PUB-FF</v>
      </c>
      <c r="R560" s="228"/>
      <c r="S560" s="11"/>
      <c r="T560" s="11"/>
      <c r="U560" s="11"/>
      <c r="V560" s="229"/>
      <c r="W560" s="229"/>
      <c r="X560" s="229" t="str">
        <f>IFERROR(__xludf.DUMMYFUNCTION("""COMPUTED_VALUE"""),"BELUM GOLIVE")</f>
        <v>BELUM GOLIVE</v>
      </c>
      <c r="Y560" s="229"/>
      <c r="Z560" s="229" t="str">
        <f>IFERROR(__xludf.DUMMYFUNCTION("""COMPUTED_VALUE"""),"#N/A")</f>
        <v>#N/A</v>
      </c>
      <c r="AA560" s="229"/>
      <c r="AB560" s="229"/>
      <c r="AC560" s="229"/>
      <c r="AD560" s="232"/>
      <c r="AE560" s="233"/>
      <c r="AF560" s="54" t="str">
        <f>IFERROR(__xludf.DUMMYFUNCTION("""COMPUTED_VALUE"""),"Draft BA DROP")</f>
        <v>Draft BA DROP</v>
      </c>
      <c r="AG560" s="54"/>
      <c r="AH560" s="54">
        <v>46137.0</v>
      </c>
      <c r="AI560" s="237">
        <f>AH560-NOW()</f>
        <v>-3.377989896</v>
      </c>
      <c r="AJ560" s="229" t="str">
        <f>if(AI560&gt;=0,"In Komitmen","Out Komitmen")</f>
        <v>Out Komitmen</v>
      </c>
      <c r="AK560" s="229" t="e">
        <v>#N/A</v>
      </c>
      <c r="AW560" s="234"/>
      <c r="BP560" s="11"/>
      <c r="BQ560" s="11"/>
      <c r="BR560" s="235"/>
      <c r="BV560" s="158"/>
      <c r="BY560" s="158"/>
      <c r="CB560" s="158"/>
    </row>
    <row r="561" ht="18.0" customHeight="1">
      <c r="A561" s="222">
        <f>IFERROR(__xludf.DUMMYFUNCTION("""COMPUTED_VALUE"""),2026.0)</f>
        <v>2026</v>
      </c>
      <c r="B561" s="221">
        <f>IFERROR(__xludf.DUMMYFUNCTION("""COMPUTED_VALUE"""),1.1549364E7)</f>
        <v>11549364</v>
      </c>
      <c r="C561" s="222" t="str">
        <f>IFERROR(__xludf.DUMMYFUNCTION("""COMPUTED_VALUE"""),"RKP TSEL PT3 DBS-FD PASIR KUNING")</f>
        <v>RKP TSEL PT3 DBS-FD PASIR KUNING</v>
      </c>
      <c r="D561" s="222" t="str">
        <f>IFERROR(__xludf.DUMMYFUNCTION("""COMPUTED_VALUE"""),"REGIONAL I")</f>
        <v>REGIONAL I</v>
      </c>
      <c r="E561" s="222" t="str">
        <f>IFERROR(__xludf.DUMMYFUNCTION("""COMPUTED_VALUE"""),"RIKEP")</f>
        <v>RIKEP</v>
      </c>
      <c r="F561" s="222" t="str">
        <f>IFERROR(__xludf.DUMMYFUNCTION("""COMPUTED_VALUE"""),"DBS")</f>
        <v>DBS</v>
      </c>
      <c r="G561" s="222" t="str">
        <f>IFERROR(__xludf.DUMMYFUNCTION("""COMPUTED_VALUE"""),"SUMBAGTENG")</f>
        <v>SUMBAGTENG</v>
      </c>
      <c r="H561" s="222" t="str">
        <f>IFERROR(__xludf.DUMMYFUNCTION("""COMPUTED_VALUE"""),"BATAM")</f>
        <v>BATAM</v>
      </c>
      <c r="I561" s="222" t="str">
        <f>IFERROR(__xludf.DUMMYFUNCTION("""COMPUTED_VALUE"""),"Batch 2")</f>
        <v>Batch 2</v>
      </c>
      <c r="J561" s="225">
        <f>IFERROR(__xludf.DUMMYFUNCTION("""COMPUTED_VALUE"""),2.0)</f>
        <v>2</v>
      </c>
      <c r="K561" s="224">
        <f>IFERROR(__xludf.DUMMYFUNCTION("""COMPUTED_VALUE"""),16.0)</f>
        <v>16</v>
      </c>
      <c r="L561" s="226">
        <f>IFERROR(__xludf.DUMMYFUNCTION("""COMPUTED_VALUE"""),1218908.0)</f>
        <v>1218908</v>
      </c>
      <c r="M561" s="227">
        <f>IFERROR(__xludf.DUMMYFUNCTION("""COMPUTED_VALUE"""),1.9502519E7)</f>
        <v>19502519</v>
      </c>
      <c r="N561" s="222" t="str">
        <f>IFERROR(__xludf.DUMMYFUNCTION("""COMPUTED_VALUE"""),"SWAKELOLA")</f>
        <v>SWAKELOLA</v>
      </c>
      <c r="O561" s="222" t="str">
        <f>IFERROR(__xludf.DUMMYFUNCTION("""COMPUTED_VALUE"""),"4. MATDEL")</f>
        <v>4. MATDEL</v>
      </c>
      <c r="P561" s="222" t="str">
        <f>IFERROR(__xludf.DUMMYFUNCTION("""COMPUTED_VALUE"""),"4.3 Proses Kirim Mateial Kelokasi")</f>
        <v>4.3 Proses Kirim Mateial Kelokasi</v>
      </c>
      <c r="Q561"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561" s="228"/>
      <c r="S561" s="11"/>
      <c r="T561" s="11"/>
      <c r="U561" s="11" t="str">
        <f>IFERROR(__xludf.DUMMYFUNCTION("""COMPUTED_VALUE"""),"TIF-8275/2026")</f>
        <v>TIF-8275/2026</v>
      </c>
      <c r="V561" s="229" t="str">
        <f>IFERROR(__xludf.DUMMYFUNCTION("""COMPUTED_VALUE"""),"DEDY IRAWAN")</f>
        <v>DEDY IRAWAN</v>
      </c>
      <c r="W561" s="229" t="str">
        <f>IFERROR(__xludf.DUMMYFUNCTION("""COMPUTED_VALUE"""),"LEVITA INDRIYANI")</f>
        <v>LEVITA INDRIYANI</v>
      </c>
      <c r="X561" s="229" t="str">
        <f>IFERROR(__xludf.DUMMYFUNCTION("""COMPUTED_VALUE"""),"BELUM GOLIVE")</f>
        <v>BELUM GOLIVE</v>
      </c>
      <c r="Y561" s="229"/>
      <c r="Z561" s="229" t="str">
        <f>IFERROR(__xludf.DUMMYFUNCTION("""COMPUTED_VALUE"""),"#N/A")</f>
        <v>#N/A</v>
      </c>
      <c r="AA561" s="229"/>
      <c r="AB561" s="229"/>
      <c r="AC561" s="229"/>
      <c r="AD561" s="232"/>
      <c r="AE561" s="233"/>
      <c r="AF561" s="54"/>
      <c r="AG561" s="54"/>
      <c r="AH561" s="54"/>
      <c r="AI561" s="55" t="str">
        <f t="shared" ref="AI561:AI569" si="68">IF(OR(R561="",AE561=""),"",R561-AE561)</f>
        <v/>
      </c>
      <c r="AW561" s="234"/>
      <c r="BP561" s="11"/>
      <c r="BQ561" s="11"/>
      <c r="BR561" s="235"/>
      <c r="BV561" s="158"/>
      <c r="BY561" s="158"/>
      <c r="CB561" s="158"/>
    </row>
    <row r="562" ht="18.0" hidden="1" customHeight="1">
      <c r="A562" s="222">
        <f>IFERROR(__xludf.DUMMYFUNCTION("""COMPUTED_VALUE"""),2026.0)</f>
        <v>2026</v>
      </c>
      <c r="B562" s="221">
        <f>IFERROR(__xludf.DUMMYFUNCTION("""COMPUTED_VALUE"""),1.0955874E7)</f>
        <v>10955874</v>
      </c>
      <c r="C562" s="222" t="str">
        <f>IFERROR(__xludf.DUMMYFUNCTION("""COMPUTED_VALUE"""),"MDN PT3 P7I1 CTD-FCR GRIYA BLIMBING MENCIRIM")</f>
        <v>MDN PT3 P7I1 CTD-FCR GRIYA BLIMBING MENCIRIM</v>
      </c>
      <c r="D562" s="222" t="str">
        <f>IFERROR(__xludf.DUMMYFUNCTION("""COMPUTED_VALUE"""),"REGIONAL I")</f>
        <v>REGIONAL I</v>
      </c>
      <c r="E562" s="222" t="str">
        <f>IFERROR(__xludf.DUMMYFUNCTION("""COMPUTED_VALUE"""),"MEDAN")</f>
        <v>MEDAN</v>
      </c>
      <c r="F562" s="222" t="str">
        <f>IFERROR(__xludf.DUMMYFUNCTION("""COMPUTED_VALUE"""),"CTD")</f>
        <v>CTD</v>
      </c>
      <c r="G562" s="222" t="str">
        <f>IFERROR(__xludf.DUMMYFUNCTION("""COMPUTED_VALUE"""),"SUMBAGUT")</f>
        <v>SUMBAGUT</v>
      </c>
      <c r="H562" s="222" t="str">
        <f>IFERROR(__xludf.DUMMYFUNCTION("""COMPUTED_VALUE"""),"MEDAN")</f>
        <v>MEDAN</v>
      </c>
      <c r="I562" s="222" t="str">
        <f>IFERROR(__xludf.DUMMYFUNCTION("""COMPUTED_VALUE"""),"Batch 2")</f>
        <v>Batch 2</v>
      </c>
      <c r="J562" s="225">
        <f>IFERROR(__xludf.DUMMYFUNCTION("""COMPUTED_VALUE"""),6.0)</f>
        <v>6</v>
      </c>
      <c r="K562" s="224">
        <f>IFERROR(__xludf.DUMMYFUNCTION("""COMPUTED_VALUE"""),48.0)</f>
        <v>48</v>
      </c>
      <c r="L562" s="226">
        <f>IFERROR(__xludf.DUMMYFUNCTION("""COMPUTED_VALUE"""),1218316.0)</f>
        <v>1218316</v>
      </c>
      <c r="M562" s="227">
        <f>IFERROR(__xludf.DUMMYFUNCTION("""COMPUTED_VALUE"""),5.847914E7)</f>
        <v>58479140</v>
      </c>
      <c r="N562" s="222" t="str">
        <f>IFERROR(__xludf.DUMMYFUNCTION("""COMPUTED_VALUE"""),"PT ASWA KARYA DIFA")</f>
        <v>PT ASWA KARYA DIFA</v>
      </c>
      <c r="O562" s="222" t="str">
        <f>IFERROR(__xludf.DUMMYFUNCTION("""COMPUTED_VALUE"""),"0. DROP")</f>
        <v>0. DROP</v>
      </c>
      <c r="P562" s="222" t="str">
        <f>IFERROR(__xludf.DUMMYFUNCTION("""COMPUTED_VALUE"""),"0.1 Double Order")</f>
        <v>0.1 Double Order</v>
      </c>
      <c r="Q562" s="222" t="str">
        <f>IFERROR(__xludf.DUMMYFUNCTION("""COMPUTED_VALUE"""),"29/03 GOLIVE 2025
(07/01) Persiapan")</f>
        <v>29/03 GOLIVE 2025
(07/01) Persiapan</v>
      </c>
      <c r="R562" s="228"/>
      <c r="S562" s="11"/>
      <c r="T562" s="11"/>
      <c r="U562" s="11"/>
      <c r="V562" s="229"/>
      <c r="W562" s="229"/>
      <c r="X562" s="229" t="str">
        <f>IFERROR(__xludf.DUMMYFUNCTION("""COMPUTED_VALUE"""),"GOLIVE")</f>
        <v>GOLIVE</v>
      </c>
      <c r="Y562" s="229" t="str">
        <f>IFERROR(__xludf.DUMMYFUNCTION("""COMPUTED_VALUE"""),"DONE")</f>
        <v>DONE</v>
      </c>
      <c r="Z562" s="229" t="str">
        <f>IFERROR(__xludf.DUMMYFUNCTION("""COMPUTED_VALUE"""),"#N/A")</f>
        <v>#N/A</v>
      </c>
      <c r="AA562" s="229"/>
      <c r="AB562" s="229"/>
      <c r="AC562" s="229"/>
      <c r="AD562" s="232"/>
      <c r="AE562" s="233"/>
      <c r="AF562" s="54" t="str">
        <f>IFERROR(__xludf.DUMMYFUNCTION("""COMPUTED_VALUE"""),"Draft BA DROP")</f>
        <v>Draft BA DROP</v>
      </c>
      <c r="AG562" s="54"/>
      <c r="AH562" s="54"/>
      <c r="AI562" s="55" t="str">
        <f t="shared" si="68"/>
        <v/>
      </c>
      <c r="AW562" s="234"/>
      <c r="BP562" s="11"/>
      <c r="BQ562" s="11"/>
      <c r="BR562" s="235"/>
      <c r="BV562" s="158"/>
      <c r="BY562" s="158"/>
      <c r="CB562" s="158"/>
    </row>
    <row r="563" ht="18.0" hidden="1" customHeight="1">
      <c r="A563" s="222">
        <f>IFERROR(__xludf.DUMMYFUNCTION("""COMPUTED_VALUE"""),2026.0)</f>
        <v>2026</v>
      </c>
      <c r="B563" s="221">
        <f>IFERROR(__xludf.DUMMYFUNCTION("""COMPUTED_VALUE"""),1.1516553E7)</f>
        <v>11516553</v>
      </c>
      <c r="C563" s="222" t="str">
        <f>IFERROR(__xludf.DUMMYFUNCTION("""COMPUTED_VALUE"""),"ACH PT3 BPD-FE BABAH ROT-LHOK GAYO")</f>
        <v>ACH PT3 BPD-FE BABAH ROT-LHOK GAYO</v>
      </c>
      <c r="D563" s="222" t="str">
        <f>IFERROR(__xludf.DUMMYFUNCTION("""COMPUTED_VALUE"""),"REGIONAL I")</f>
        <v>REGIONAL I</v>
      </c>
      <c r="E563" s="222" t="str">
        <f>IFERROR(__xludf.DUMMYFUNCTION("""COMPUTED_VALUE"""),"ACEH")</f>
        <v>ACEH</v>
      </c>
      <c r="F563" s="222" t="str">
        <f>IFERROR(__xludf.DUMMYFUNCTION("""COMPUTED_VALUE"""),"BPD")</f>
        <v>BPD</v>
      </c>
      <c r="G563" s="222" t="str">
        <f>IFERROR(__xludf.DUMMYFUNCTION("""COMPUTED_VALUE"""),"SUMBAGUT")</f>
        <v>SUMBAGUT</v>
      </c>
      <c r="H563" s="222" t="str">
        <f>IFERROR(__xludf.DUMMYFUNCTION("""COMPUTED_VALUE"""),"BANDA ACEH")</f>
        <v>BANDA ACEH</v>
      </c>
      <c r="I563" s="222" t="str">
        <f>IFERROR(__xludf.DUMMYFUNCTION("""COMPUTED_VALUE"""),"Batch 2")</f>
        <v>Batch 2</v>
      </c>
      <c r="J563" s="225">
        <f>IFERROR(__xludf.DUMMYFUNCTION("""COMPUTED_VALUE"""),16.0)</f>
        <v>16</v>
      </c>
      <c r="K563" s="224">
        <f>IFERROR(__xludf.DUMMYFUNCTION("""COMPUTED_VALUE"""),128.0)</f>
        <v>128</v>
      </c>
      <c r="L563" s="226">
        <f>IFERROR(__xludf.DUMMYFUNCTION("""COMPUTED_VALUE"""),1217395.0)</f>
        <v>1217395</v>
      </c>
      <c r="M563" s="227">
        <f>IFERROR(__xludf.DUMMYFUNCTION("""COMPUTED_VALUE"""),1.5582653E8)</f>
        <v>155826530</v>
      </c>
      <c r="N563" s="222" t="str">
        <f>IFERROR(__xludf.DUMMYFUNCTION("""COMPUTED_VALUE"""),"PT NIAGA NUSANTARA DIVA")</f>
        <v>PT NIAGA NUSANTARA DIVA</v>
      </c>
      <c r="O563" s="222" t="str">
        <f>IFERROR(__xludf.DUMMYFUNCTION("""COMPUTED_VALUE"""),"4. MATDEL")</f>
        <v>4. MATDEL</v>
      </c>
      <c r="P563" s="222" t="str">
        <f>IFERROR(__xludf.DUMMYFUNCTION("""COMPUTED_VALUE"""),"4.2 Sudah Request Material (Alista)")</f>
        <v>4.2 Sudah Request Material (Alista)</v>
      </c>
      <c r="Q563" s="222" t="str">
        <f>IFERROR(__xludf.DUMMYFUNCTION("""COMPUTED_VALUE"""),"(03/03) Sudaj Request Material (09/02) PO Material (29/01) proses survey (07/01) Persiapan")</f>
        <v>(03/03) Sudaj Request Material (09/02) PO Material (29/01) proses survey (07/01) Persiapan</v>
      </c>
      <c r="R563" s="228"/>
      <c r="S563" s="11"/>
      <c r="T563" s="73"/>
      <c r="U563" s="11"/>
      <c r="V563" s="229"/>
      <c r="W563" s="229" t="str">
        <f>IFERROR(__xludf.DUMMYFUNCTION("""COMPUTED_VALUE"""),"#N/A")</f>
        <v>#N/A</v>
      </c>
      <c r="X563" s="229" t="str">
        <f>IFERROR(__xludf.DUMMYFUNCTION("""COMPUTED_VALUE"""),"BELUM GOLIVE")</f>
        <v>BELUM GOLIVE</v>
      </c>
      <c r="Y563" s="229"/>
      <c r="Z563" s="229" t="str">
        <f>IFERROR(__xludf.DUMMYFUNCTION("""COMPUTED_VALUE"""),"#N/A")</f>
        <v>#N/A</v>
      </c>
      <c r="AA563" s="229"/>
      <c r="AB563" s="229"/>
      <c r="AC563" s="229"/>
      <c r="AD563" s="232"/>
      <c r="AE563" s="233"/>
      <c r="AF563" s="54"/>
      <c r="AG563" s="54"/>
      <c r="AH563" s="54">
        <v>46135.0</v>
      </c>
      <c r="AI563" s="55" t="str">
        <f t="shared" si="68"/>
        <v/>
      </c>
      <c r="AW563" s="234"/>
      <c r="BP563" s="11"/>
      <c r="BQ563" s="11"/>
      <c r="BR563" s="235"/>
      <c r="BV563" s="158"/>
      <c r="BY563" s="158"/>
      <c r="CB563" s="158"/>
    </row>
    <row r="564" ht="18.0" hidden="1" customHeight="1">
      <c r="A564" s="222">
        <f>IFERROR(__xludf.DUMMYFUNCTION("""COMPUTED_VALUE"""),2026.0)</f>
        <v>2026</v>
      </c>
      <c r="B564" s="221">
        <f>IFERROR(__xludf.DUMMYFUNCTION("""COMPUTED_VALUE"""),1.1625716E7)</f>
        <v>11625716</v>
      </c>
      <c r="C564" s="222" t="str">
        <f>IFERROR(__xludf.DUMMYFUNCTION("""COMPUTED_VALUE"""),"MDN PT3 STB-FZ SECANGGANG_MD25")</f>
        <v>MDN PT3 STB-FZ SECANGGANG_MD25</v>
      </c>
      <c r="D564" s="222" t="str">
        <f>IFERROR(__xludf.DUMMYFUNCTION("""COMPUTED_VALUE"""),"REGIONAL I")</f>
        <v>REGIONAL I</v>
      </c>
      <c r="E564" s="222" t="str">
        <f>IFERROR(__xludf.DUMMYFUNCTION("""COMPUTED_VALUE"""),"MEDAN")</f>
        <v>MEDAN</v>
      </c>
      <c r="F564" s="222" t="str">
        <f>IFERROR(__xludf.DUMMYFUNCTION("""COMPUTED_VALUE"""),"STB")</f>
        <v>STB</v>
      </c>
      <c r="G564" s="222" t="str">
        <f>IFERROR(__xludf.DUMMYFUNCTION("""COMPUTED_VALUE"""),"SUMBAGUT")</f>
        <v>SUMBAGUT</v>
      </c>
      <c r="H564" s="222" t="str">
        <f>IFERROR(__xludf.DUMMYFUNCTION("""COMPUTED_VALUE"""),"BINJAI")</f>
        <v>BINJAI</v>
      </c>
      <c r="I564" s="222" t="str">
        <f>IFERROR(__xludf.DUMMYFUNCTION("""COMPUTED_VALUE"""),"Batch 2")</f>
        <v>Batch 2</v>
      </c>
      <c r="J564" s="225">
        <f>IFERROR(__xludf.DUMMYFUNCTION("""COMPUTED_VALUE"""),21.0)</f>
        <v>21</v>
      </c>
      <c r="K564" s="224">
        <f>IFERROR(__xludf.DUMMYFUNCTION("""COMPUTED_VALUE"""),168.0)</f>
        <v>168</v>
      </c>
      <c r="L564" s="226">
        <f>IFERROR(__xludf.DUMMYFUNCTION("""COMPUTED_VALUE"""),1216676.0)</f>
        <v>1216676</v>
      </c>
      <c r="M564" s="227">
        <f>IFERROR(__xludf.DUMMYFUNCTION("""COMPUTED_VALUE"""),2.04401494E8)</f>
        <v>204401494</v>
      </c>
      <c r="N564" s="222" t="str">
        <f>IFERROR(__xludf.DUMMYFUNCTION("""COMPUTED_VALUE"""),"PT KENCANA RAYA INDONESIA")</f>
        <v>PT KENCANA RAYA INDONESIA</v>
      </c>
      <c r="O564" s="222" t="str">
        <f>IFERROR(__xludf.DUMMYFUNCTION("""COMPUTED_VALUE"""),"8. UJI TERIMA")</f>
        <v>8. UJI TERIMA</v>
      </c>
      <c r="P564" s="222" t="str">
        <f>IFERROR(__xludf.DUMMYFUNCTION("""COMPUTED_VALUE"""),"8.1 Proses UT")</f>
        <v>8.1 Proses UT</v>
      </c>
      <c r="Q564" s="222" t="str">
        <f>IFERROR(__xludf.DUMMYFUNCTION("""COMPUTED_VALUE"""),"02/03 penanaman tiang dan repair feeder di odc 
20/02 pengambilan material
14/02 feeder ready + repair di basetray
(07/01) Persiapan")</f>
        <v>02/03 penanaman tiang dan repair feeder di odc 
20/02 pengambilan material
14/02 feeder ready + repair di basetray
(07/01) Persiapan</v>
      </c>
      <c r="R564" s="228">
        <f>IFERROR(__xludf.DUMMYFUNCTION("""COMPUTED_VALUE"""),46094.0)</f>
        <v>46094</v>
      </c>
      <c r="S564" s="11" t="str">
        <f>IFERROR(__xludf.DUMMYFUNCTION("""COMPUTED_VALUE"""),"MAR")</f>
        <v>MAR</v>
      </c>
      <c r="T564" s="11"/>
      <c r="U564" s="11"/>
      <c r="V564" s="229"/>
      <c r="W564" s="229" t="str">
        <f>IFERROR(__xludf.DUMMYFUNCTION("""COMPUTED_VALUE"""),"#N/A")</f>
        <v>#N/A</v>
      </c>
      <c r="X564" s="229" t="str">
        <f>IFERROR(__xludf.DUMMYFUNCTION("""COMPUTED_VALUE"""),"GOLIVE")</f>
        <v>GOLIVE</v>
      </c>
      <c r="Y564" s="229" t="str">
        <f>IFERROR(__xludf.DUMMYFUNCTION("""COMPUTED_VALUE"""),"DONE")</f>
        <v>DONE</v>
      </c>
      <c r="Z564" s="229" t="str">
        <f>IFERROR(__xludf.DUMMYFUNCTION("""COMPUTED_VALUE"""),"#N/A")</f>
        <v>#N/A</v>
      </c>
      <c r="AA564" s="229">
        <f>IFERROR(__xludf.DUMMYFUNCTION("""COMPUTED_VALUE"""),21.0)</f>
        <v>21</v>
      </c>
      <c r="AB564" s="229"/>
      <c r="AC564" s="229" t="str">
        <f>IFERROR(__xludf.DUMMYFUNCTION("""COMPUTED_VALUE"""),"9187776#9187782")</f>
        <v>9187776#9187782</v>
      </c>
      <c r="AD564" s="232">
        <f>IFERROR(__xludf.DUMMYFUNCTION("""COMPUTED_VALUE"""),168.0)</f>
        <v>168</v>
      </c>
      <c r="AE564" s="233">
        <f>IFERROR(__xludf.DUMMYFUNCTION("""COMPUTED_VALUE"""),46090.0)</f>
        <v>46090</v>
      </c>
      <c r="AF564" s="54"/>
      <c r="AG564" s="54"/>
      <c r="AH564" s="54">
        <v>46094.0</v>
      </c>
      <c r="AI564" s="55">
        <f t="shared" si="68"/>
        <v>4</v>
      </c>
      <c r="AW564" s="234"/>
      <c r="BP564" s="11"/>
      <c r="BQ564" s="11"/>
      <c r="BR564" s="235"/>
      <c r="BV564" s="158"/>
      <c r="BY564" s="158"/>
      <c r="CB564" s="158"/>
    </row>
    <row r="565" ht="18.0" hidden="1" customHeight="1">
      <c r="A565" s="222">
        <f>IFERROR(__xludf.DUMMYFUNCTION("""COMPUTED_VALUE"""),2026.0)</f>
        <v>2026</v>
      </c>
      <c r="B565" s="221">
        <f>IFERROR(__xludf.DUMMYFUNCTION("""COMPUTED_VALUE"""),1.1580947E7)</f>
        <v>11580947</v>
      </c>
      <c r="C565" s="222" t="str">
        <f>IFERROR(__xludf.DUMMYFUNCTION("""COMPUTED_VALUE"""),"BBL PT3 P3I1 GANG SUBROTO")</f>
        <v>BBL PT3 P3I1 GANG SUBROTO</v>
      </c>
      <c r="D565" s="222" t="str">
        <f>IFERROR(__xludf.DUMMYFUNCTION("""COMPUTED_VALUE"""),"REGIONAL I")</f>
        <v>REGIONAL I</v>
      </c>
      <c r="E565" s="222" t="str">
        <f>IFERROR(__xludf.DUMMYFUNCTION("""COMPUTED_VALUE"""),"BABEL")</f>
        <v>BABEL</v>
      </c>
      <c r="F565" s="222" t="str">
        <f>IFERROR(__xludf.DUMMYFUNCTION("""COMPUTED_VALUE"""),"TJN")</f>
        <v>TJN</v>
      </c>
      <c r="G565" s="222" t="str">
        <f>IFERROR(__xludf.DUMMYFUNCTION("""COMPUTED_VALUE"""),"SUMBAGSEL")</f>
        <v>SUMBAGSEL</v>
      </c>
      <c r="H565" s="222" t="str">
        <f>IFERROR(__xludf.DUMMYFUNCTION("""COMPUTED_VALUE"""),"PANGKAL PINANG")</f>
        <v>PANGKAL PINANG</v>
      </c>
      <c r="I565" s="222" t="str">
        <f>IFERROR(__xludf.DUMMYFUNCTION("""COMPUTED_VALUE"""),"Batch 2")</f>
        <v>Batch 2</v>
      </c>
      <c r="J565" s="225">
        <f>IFERROR(__xludf.DUMMYFUNCTION("""COMPUTED_VALUE"""),2.0)</f>
        <v>2</v>
      </c>
      <c r="K565" s="224">
        <f>IFERROR(__xludf.DUMMYFUNCTION("""COMPUTED_VALUE"""),32.0)</f>
        <v>32</v>
      </c>
      <c r="L565" s="226">
        <f>IFERROR(__xludf.DUMMYFUNCTION("""COMPUTED_VALUE"""),1216535.0)</f>
        <v>1216535</v>
      </c>
      <c r="M565" s="227">
        <f>IFERROR(__xludf.DUMMYFUNCTION("""COMPUTED_VALUE"""),3.8929089E7)</f>
        <v>38929089</v>
      </c>
      <c r="N565" s="222" t="str">
        <f>IFERROR(__xludf.DUMMYFUNCTION("""COMPUTED_VALUE"""),"SWAKELOLA")</f>
        <v>SWAKELOLA</v>
      </c>
      <c r="O565" s="222" t="str">
        <f>IFERROR(__xludf.DUMMYFUNCTION("""COMPUTED_VALUE"""),"8. UJI TERIMA")</f>
        <v>8. UJI TERIMA</v>
      </c>
      <c r="P565" s="222" t="str">
        <f>IFERROR(__xludf.DUMMYFUNCTION("""COMPUTED_VALUE"""),"8.1 Proses UT")</f>
        <v>8.1 Proses UT</v>
      </c>
      <c r="Q565" s="222" t="str">
        <f>IFERROR(__xludf.DUMMYFUNCTION("""COMPUTED_VALUE"""),"(08/01) Done Go Live (07/1)  SUDAH READY ABD V4 NYA  31/12 finish instalasi (16/12) instalasi ODP 28/11 pengecekan panjar regional 10/11 pp pengecekan regional (07/11) PP masih revisi ulang 04/11) penganjuan PP kendala belm ttd pak HOREG(06/10) Proses TTD"&amp;" PP ||  01/10 Pengambilan material kendala Project plan Mandor proses Evaluasi finance Area(15/9)Proses perizinan RT/RW  (10/09) Proses Perizinan ")</f>
        <v>(08/01) Done Go Live (07/1)  SUDAH READY ABD V4 NYA  31/12 finish instalasi (16/12) instalasi ODP 28/11 pengecekan panjar regional 10/11 pp pengecekan regional (07/11) PP masih revisi ulang 04/11) penganjuan PP kendala belm ttd pak HOREG(06/10) Proses TTD PP ||  01/10 Pengambilan material kendala Project plan Mandor proses Evaluasi finance Area(15/9)Proses perizinan RT/RW  (10/09) Proses Perizinan </v>
      </c>
      <c r="R565" s="228"/>
      <c r="S565" s="11"/>
      <c r="T565" s="11"/>
      <c r="U565" s="11"/>
      <c r="V565" s="229"/>
      <c r="W565" s="229"/>
      <c r="X565" s="229" t="str">
        <f>IFERROR(__xludf.DUMMYFUNCTION("""COMPUTED_VALUE"""),"GOLIVE")</f>
        <v>GOLIVE</v>
      </c>
      <c r="Y565" s="229" t="str">
        <f>IFERROR(__xludf.DUMMYFUNCTION("""COMPUTED_VALUE"""),"DONE")</f>
        <v>DONE</v>
      </c>
      <c r="Z565" s="229" t="str">
        <f>IFERROR(__xludf.DUMMYFUNCTION("""COMPUTED_VALUE"""),"#N/A")</f>
        <v>#N/A</v>
      </c>
      <c r="AA565" s="229"/>
      <c r="AB565" s="229">
        <f>IFERROR(__xludf.DUMMYFUNCTION("""COMPUTED_VALUE"""),2.0)</f>
        <v>2</v>
      </c>
      <c r="AC565" s="229" t="str">
        <f>IFERROR(__xludf.DUMMYFUNCTION("""COMPUTED_VALUE"""),"8929551#8929556")</f>
        <v>8929551#8929556</v>
      </c>
      <c r="AD565" s="232">
        <f>IFERROR(__xludf.DUMMYFUNCTION("""COMPUTED_VALUE"""),32.0)</f>
        <v>32</v>
      </c>
      <c r="AE565" s="233">
        <f>IFERROR(__xludf.DUMMYFUNCTION("""COMPUTED_VALUE"""),46030.0)</f>
        <v>46030</v>
      </c>
      <c r="AF565" s="54" t="str">
        <f>IFERROR(__xludf.DUMMYFUNCTION("""COMPUTED_VALUE"""),"DONE")</f>
        <v>DONE</v>
      </c>
      <c r="AG565" s="54"/>
      <c r="AH565" s="54"/>
      <c r="AI565" s="55" t="str">
        <f t="shared" si="68"/>
        <v/>
      </c>
      <c r="AW565" s="234"/>
      <c r="BP565" s="11"/>
      <c r="BQ565" s="11"/>
      <c r="BR565" s="235"/>
      <c r="BV565" s="158"/>
      <c r="BY565" s="158"/>
      <c r="CB565" s="158"/>
    </row>
    <row r="566" ht="18.0" customHeight="1">
      <c r="A566" s="222">
        <f>IFERROR(__xludf.DUMMYFUNCTION("""COMPUTED_VALUE"""),2026.0)</f>
        <v>2026</v>
      </c>
      <c r="B566" s="221">
        <f>IFERROR(__xludf.DUMMYFUNCTION("""COMPUTED_VALUE"""),1.1263753E7)</f>
        <v>11263753</v>
      </c>
      <c r="C566" s="222" t="str">
        <f>IFERROR(__xludf.DUMMYFUNCTION("""COMPUTED_VALUE"""),"RDR JPP PT3 ROKAN HULU_1278")</f>
        <v>RDR JPP PT3 ROKAN HULU_1278</v>
      </c>
      <c r="D566" s="222" t="str">
        <f>IFERROR(__xludf.DUMMYFUNCTION("""COMPUTED_VALUE"""),"REGIONAL I")</f>
        <v>REGIONAL I</v>
      </c>
      <c r="E566" s="222" t="str">
        <f>IFERROR(__xludf.DUMMYFUNCTION("""COMPUTED_VALUE"""),"RIDAR")</f>
        <v>RIDAR</v>
      </c>
      <c r="F566" s="222" t="str">
        <f>IFERROR(__xludf.DUMMYFUNCTION("""COMPUTED_VALUE"""),"PPN")</f>
        <v>PPN</v>
      </c>
      <c r="G566" s="222" t="str">
        <f>IFERROR(__xludf.DUMMYFUNCTION("""COMPUTED_VALUE"""),"SUMBAGTENG")</f>
        <v>SUMBAGTENG</v>
      </c>
      <c r="H566" s="222" t="str">
        <f>IFERROR(__xludf.DUMMYFUNCTION("""COMPUTED_VALUE"""),"DUMAI")</f>
        <v>DUMAI</v>
      </c>
      <c r="I566" s="222" t="str">
        <f>IFERROR(__xludf.DUMMYFUNCTION("""COMPUTED_VALUE"""),"Batch 2")</f>
        <v>Batch 2</v>
      </c>
      <c r="J566" s="225">
        <f>IFERROR(__xludf.DUMMYFUNCTION("""COMPUTED_VALUE"""),12.0)</f>
        <v>12</v>
      </c>
      <c r="K566" s="224">
        <f>IFERROR(__xludf.DUMMYFUNCTION("""COMPUTED_VALUE"""),96.0)</f>
        <v>96</v>
      </c>
      <c r="L566" s="226">
        <f>IFERROR(__xludf.DUMMYFUNCTION("""COMPUTED_VALUE"""),1216468.0)</f>
        <v>1216468</v>
      </c>
      <c r="M566" s="227">
        <f>IFERROR(__xludf.DUMMYFUNCTION("""COMPUTED_VALUE"""),1.16780893E8)</f>
        <v>116780893</v>
      </c>
      <c r="N566" s="222" t="str">
        <f>IFERROR(__xludf.DUMMYFUNCTION("""COMPUTED_VALUE"""),"PT LIBER PERSADA MANDIRI")</f>
        <v>PT LIBER PERSADA MANDIRI</v>
      </c>
      <c r="O566" s="222" t="str">
        <f>IFERROR(__xludf.DUMMYFUNCTION("""COMPUTED_VALUE"""),"0. DROP")</f>
        <v>0. DROP</v>
      </c>
      <c r="P566" s="222" t="str">
        <f>IFERROR(__xludf.DUMMYFUNCTION("""COMPUTED_VALUE"""),"0.3 Feeder Full")</f>
        <v>0.3 Feeder Full</v>
      </c>
      <c r="Q566" s="222" t="str">
        <f>IFERROR(__xludf.DUMMYFUNCTION("""COMPUTED_VALUE"""),"13/04 Kendala Feeder rusak, ogp pengecekan ulang untuk hasil ukur 08/04 Kendala Feeder rusak, ogp pengecekan ulang untuk hasil ukur 03/03 Kendala Feeder ODC PPN FB Rusak (07/01) Persiapan")</f>
        <v>13/04 Kendala Feeder rusak, ogp pengecekan ulang untuk hasil ukur 08/04 Kendala Feeder rusak, ogp pengecekan ulang untuk hasil ukur 03/03 Kendala Feeder ODC PPN FB Rusak (07/01) Persiapan</v>
      </c>
      <c r="R566" s="228"/>
      <c r="S566" s="11"/>
      <c r="T566" s="11"/>
      <c r="U566" s="11"/>
      <c r="V566" s="229" t="str">
        <f>IFERROR(__xludf.DUMMYFUNCTION("""COMPUTED_VALUE"""),"ONDI EKA SAPUTRA")</f>
        <v>ONDI EKA SAPUTRA</v>
      </c>
      <c r="W566" s="229"/>
      <c r="X566" s="229" t="str">
        <f>IFERROR(__xludf.DUMMYFUNCTION("""COMPUTED_VALUE"""),"BELUM GOLIVE")</f>
        <v>BELUM GOLIVE</v>
      </c>
      <c r="Y566" s="229"/>
      <c r="Z566" s="229" t="str">
        <f>IFERROR(__xludf.DUMMYFUNCTION("""COMPUTED_VALUE"""),"#N/A")</f>
        <v>#N/A</v>
      </c>
      <c r="AA566" s="229"/>
      <c r="AB566" s="229"/>
      <c r="AC566" s="229"/>
      <c r="AD566" s="232"/>
      <c r="AE566" s="233"/>
      <c r="AF566" s="54"/>
      <c r="AG566" s="54"/>
      <c r="AH566" s="54"/>
      <c r="AI566" s="55" t="str">
        <f t="shared" si="68"/>
        <v/>
      </c>
      <c r="AW566" s="234"/>
      <c r="BP566" s="11"/>
      <c r="BQ566" s="11"/>
      <c r="BR566" s="235"/>
      <c r="BV566" s="158"/>
      <c r="BY566" s="158"/>
      <c r="CB566" s="158"/>
    </row>
    <row r="567" ht="18.0" hidden="1" customHeight="1">
      <c r="A567" s="222">
        <f>IFERROR(__xludf.DUMMYFUNCTION("""COMPUTED_VALUE"""),2026.0)</f>
        <v>2026</v>
      </c>
      <c r="B567" s="221">
        <f>IFERROR(__xludf.DUMMYFUNCTION("""COMPUTED_VALUE"""),1.1810362E7)</f>
        <v>11810362</v>
      </c>
      <c r="C567" s="222" t="str">
        <f>IFERROR(__xludf.DUMMYFUNCTION("""COMPUTED_VALUE"""),"BNK-PT3BRC-IPU-FL-JPPTSEL-SUKA NEGARA")</f>
        <v>BNK-PT3BRC-IPU-FL-JPPTSEL-SUKA NEGARA</v>
      </c>
      <c r="D567" s="222" t="str">
        <f>IFERROR(__xludf.DUMMYFUNCTION("""COMPUTED_VALUE"""),"REGIONAL I")</f>
        <v>REGIONAL I</v>
      </c>
      <c r="E567" s="222" t="str">
        <f>IFERROR(__xludf.DUMMYFUNCTION("""COMPUTED_VALUE"""),"BENGKULU")</f>
        <v>BENGKULU</v>
      </c>
      <c r="F567" s="222" t="str">
        <f>IFERROR(__xludf.DUMMYFUNCTION("""COMPUTED_VALUE"""),"IPU")</f>
        <v>IPU</v>
      </c>
      <c r="G567" s="222" t="str">
        <f>IFERROR(__xludf.DUMMYFUNCTION("""COMPUTED_VALUE"""),"SUMBAGSEL")</f>
        <v>SUMBAGSEL</v>
      </c>
      <c r="H567" s="222" t="str">
        <f>IFERROR(__xludf.DUMMYFUNCTION("""COMPUTED_VALUE"""),"BENGKULU")</f>
        <v>BENGKULU</v>
      </c>
      <c r="I567" s="222" t="str">
        <f>IFERROR(__xludf.DUMMYFUNCTION("""COMPUTED_VALUE"""),"Batch 2")</f>
        <v>Batch 2</v>
      </c>
      <c r="J567" s="225">
        <f>IFERROR(__xludf.DUMMYFUNCTION("""COMPUTED_VALUE"""),3.0)</f>
        <v>3</v>
      </c>
      <c r="K567" s="224">
        <f>IFERROR(__xludf.DUMMYFUNCTION("""COMPUTED_VALUE"""),24.0)</f>
        <v>24</v>
      </c>
      <c r="L567" s="226">
        <f>IFERROR(__xludf.DUMMYFUNCTION("""COMPUTED_VALUE"""),961245.0)</f>
        <v>961245</v>
      </c>
      <c r="M567" s="227">
        <f>IFERROR(__xludf.DUMMYFUNCTION("""COMPUTED_VALUE"""),2.3069866E7)</f>
        <v>23069866</v>
      </c>
      <c r="N567" s="222" t="str">
        <f>IFERROR(__xludf.DUMMYFUNCTION("""COMPUTED_VALUE"""),"PT GITA PRIMA TAMBA PERKASA")</f>
        <v>PT GITA PRIMA TAMBA PERKASA</v>
      </c>
      <c r="O567" s="222" t="str">
        <f>IFERROR(__xludf.DUMMYFUNCTION("""COMPUTED_VALUE"""),"7. GOLIVE")</f>
        <v>7. GOLIVE</v>
      </c>
      <c r="P567" s="222" t="str">
        <f>IFERROR(__xludf.DUMMYFUNCTION("""COMPUTED_VALUE"""),"7.2 Golive Full / OA / DONE OTB")</f>
        <v>7.2 Golive Full / OA / DONE OTB</v>
      </c>
      <c r="Q567" s="222" t="str">
        <f>IFERROR(__xludf.DUMMYFUNCTION("""COMPUTED_VALUE"""),"12/2 plan 14 feb  progres  09/02: menuggu antrian pekerjaan // 07/02: cor tiang dan perapihan // 06/02: proses penarikan kabel dan gali lobang // 05/02 : Material sudah On site , menunggu anrian pekerjaan  // 04/02 : 03/02: pengambilan material di gudang,"&amp;" dan delivery ke lokasi // 30/01 : Proses PR PO // 22/01 : Done Andwidzing, proes perizinan // 14/01 : menunggu tim survey // (07/01) Persiapan")</f>
        <v>12/2 plan 14 feb  progres  09/02: menuggu antrian pekerjaan // 07/02: cor tiang dan perapihan // 06/02: proses penarikan kabel dan gali lobang // 05/02 : Material sudah On site , menunggu anrian pekerjaan  // 04/02 : 03/02: pengambilan material di gudang, dan delivery ke lokasi // 30/01 : Proses PR PO // 22/01 : Done Andwidzing, proes perizinan // 14/01 : menunggu tim survey // (07/01) Persiapan</v>
      </c>
      <c r="R567" s="228">
        <f>IFERROR(__xludf.DUMMYFUNCTION("""COMPUTED_VALUE"""),46073.0)</f>
        <v>46073</v>
      </c>
      <c r="S567" s="11"/>
      <c r="T567" s="11"/>
      <c r="U567" s="11" t="str">
        <f>IFERROR(__xludf.DUMMYFUNCTION("""COMPUTED_VALUE"""),"TIF-1334/2026")</f>
        <v>TIF-1334/2026</v>
      </c>
      <c r="V567" s="229"/>
      <c r="W567" s="229"/>
      <c r="X567" s="229" t="str">
        <f>IFERROR(__xludf.DUMMYFUNCTION("""COMPUTED_VALUE"""),"GOLIVE")</f>
        <v>GOLIVE</v>
      </c>
      <c r="Y567" s="229" t="str">
        <f>IFERROR(__xludf.DUMMYFUNCTION("""COMPUTED_VALUE"""),"DONE")</f>
        <v>DONE</v>
      </c>
      <c r="Z567" s="229" t="str">
        <f>IFERROR(__xludf.DUMMYFUNCTION("""COMPUTED_VALUE"""),"#N/A")</f>
        <v>#N/A</v>
      </c>
      <c r="AA567" s="229">
        <f>IFERROR(__xludf.DUMMYFUNCTION("""COMPUTED_VALUE"""),3.0)</f>
        <v>3</v>
      </c>
      <c r="AB567" s="229"/>
      <c r="AC567" s="229" t="str">
        <f>IFERROR(__xludf.DUMMYFUNCTION("""COMPUTED_VALUE"""),"9115455#9115460")</f>
        <v>9115455#9115460</v>
      </c>
      <c r="AD567" s="232">
        <f>IFERROR(__xludf.DUMMYFUNCTION("""COMPUTED_VALUE"""),24.0)</f>
        <v>24</v>
      </c>
      <c r="AE567" s="233">
        <f>IFERROR(__xludf.DUMMYFUNCTION("""COMPUTED_VALUE"""),46069.0)</f>
        <v>46069</v>
      </c>
      <c r="AF567" s="54"/>
      <c r="AG567" s="54"/>
      <c r="AH567" s="54">
        <v>46073.0</v>
      </c>
      <c r="AI567" s="55">
        <f t="shared" si="68"/>
        <v>4</v>
      </c>
      <c r="AW567" s="234"/>
      <c r="BP567" s="11"/>
      <c r="BQ567" s="11"/>
      <c r="BR567" s="235"/>
      <c r="BV567" s="158"/>
      <c r="BY567" s="158"/>
      <c r="CB567" s="158"/>
    </row>
    <row r="568" ht="18.0" hidden="1" customHeight="1">
      <c r="A568" s="222">
        <f>IFERROR(__xludf.DUMMYFUNCTION("""COMPUTED_VALUE"""),2026.0)</f>
        <v>2026</v>
      </c>
      <c r="B568" s="221">
        <f>IFERROR(__xludf.DUMMYFUNCTION("""COMPUTED_VALUE"""),1.0746896E7)</f>
        <v>10746896</v>
      </c>
      <c r="C568" s="222" t="str">
        <f>IFERROR(__xludf.DUMMYFUNCTION("""COMPUTED_VALUE"""),"JBI-PT4-KOA-MUHAMMAD TAUFIIK HARAHAP")</f>
        <v>JBI-PT4-KOA-MUHAMMAD TAUFIIK HARAHAP</v>
      </c>
      <c r="D568" s="222" t="str">
        <f>IFERROR(__xludf.DUMMYFUNCTION("""COMPUTED_VALUE"""),"REGIONAL I")</f>
        <v>REGIONAL I</v>
      </c>
      <c r="E568" s="222" t="str">
        <f>IFERROR(__xludf.DUMMYFUNCTION("""COMPUTED_VALUE"""),"JAMBI")</f>
        <v>JAMBI</v>
      </c>
      <c r="F568" s="222" t="str">
        <f>IFERROR(__xludf.DUMMYFUNCTION("""COMPUTED_VALUE"""),"KOA")</f>
        <v>KOA</v>
      </c>
      <c r="G568" s="222" t="str">
        <f>IFERROR(__xludf.DUMMYFUNCTION("""COMPUTED_VALUE"""),"SUMBAGSEL")</f>
        <v>SUMBAGSEL</v>
      </c>
      <c r="H568" s="222" t="str">
        <f>IFERROR(__xludf.DUMMYFUNCTION("""COMPUTED_VALUE"""),"JAMBI")</f>
        <v>JAMBI</v>
      </c>
      <c r="I568" s="222" t="str">
        <f>IFERROR(__xludf.DUMMYFUNCTION("""COMPUTED_VALUE"""),"Batch 2")</f>
        <v>Batch 2</v>
      </c>
      <c r="J568" s="225">
        <f>IFERROR(__xludf.DUMMYFUNCTION("""COMPUTED_VALUE"""),15.0)</f>
        <v>15</v>
      </c>
      <c r="K568" s="224">
        <f>IFERROR(__xludf.DUMMYFUNCTION("""COMPUTED_VALUE"""),120.0)</f>
        <v>120</v>
      </c>
      <c r="L568" s="226">
        <f>IFERROR(__xludf.DUMMYFUNCTION("""COMPUTED_VALUE"""),1214882.0)</f>
        <v>1214882</v>
      </c>
      <c r="M568" s="227">
        <f>IFERROR(__xludf.DUMMYFUNCTION("""COMPUTED_VALUE"""),1.45785831E8)</f>
        <v>145785831</v>
      </c>
      <c r="N568" s="222" t="str">
        <f>IFERROR(__xludf.DUMMYFUNCTION("""COMPUTED_VALUE"""),"PT ANGSO DUO TELEKOMUNIKASI")</f>
        <v>PT ANGSO DUO TELEKOMUNIKASI</v>
      </c>
      <c r="O568" s="222" t="str">
        <f>IFERROR(__xludf.DUMMYFUNCTION("""COMPUTED_VALUE"""),"0. DROP")</f>
        <v>0. DROP</v>
      </c>
      <c r="P568" s="222" t="str">
        <f>IFERROR(__xludf.DUMMYFUNCTION("""COMPUTED_VALUE"""),"0.5 DROP TSEL - Acc ED TIF")</f>
        <v>0.5 DROP TSEL - Acc ED TIF</v>
      </c>
      <c r="Q568" s="222" t="str">
        <f>IFERROR(__xludf.DUMMYFUNCTION("""COMPUTED_VALUE"""),"(12/1) BA Drop Sirkulir - Permintaan Tsel Market tidak OK  (06/01)order JPP batch-2 2026 (Drop Permintaan Tsel")</f>
        <v>(12/1) BA Drop Sirkulir - Permintaan Tsel Market tidak OK  (06/01)order JPP batch-2 2026 (Drop Permintaan Tsel</v>
      </c>
      <c r="R568" s="228"/>
      <c r="S568" s="11"/>
      <c r="T568" s="11"/>
      <c r="U568" s="11"/>
      <c r="V568" s="229"/>
      <c r="W568" s="229"/>
      <c r="X568" s="229" t="str">
        <f>IFERROR(__xludf.DUMMYFUNCTION("""COMPUTED_VALUE"""),"BELUM GOLIVE")</f>
        <v>BELUM GOLIVE</v>
      </c>
      <c r="Y568" s="229"/>
      <c r="Z568" s="229" t="str">
        <f>IFERROR(__xludf.DUMMYFUNCTION("""COMPUTED_VALUE"""),"#N/A")</f>
        <v>#N/A</v>
      </c>
      <c r="AA568" s="229"/>
      <c r="AB568" s="229"/>
      <c r="AC568" s="229"/>
      <c r="AD568" s="232"/>
      <c r="AE568" s="233"/>
      <c r="AF568" s="54"/>
      <c r="AG568" s="54"/>
      <c r="AH568" s="54"/>
      <c r="AI568" s="55" t="str">
        <f t="shared" si="68"/>
        <v/>
      </c>
      <c r="AW568" s="234"/>
      <c r="BP568" s="11"/>
      <c r="BQ568" s="11"/>
      <c r="BR568" s="235"/>
      <c r="BV568" s="158"/>
      <c r="BY568" s="158"/>
      <c r="CB568" s="158"/>
    </row>
    <row r="569" ht="18.0" hidden="1" customHeight="1">
      <c r="A569" s="222">
        <f>IFERROR(__xludf.DUMMYFUNCTION("""COMPUTED_VALUE"""),2026.0)</f>
        <v>2026</v>
      </c>
      <c r="B569" s="221">
        <f>IFERROR(__xludf.DUMMYFUNCTION("""COMPUTED_VALUE"""),1.2386403E7)</f>
        <v>12386403</v>
      </c>
      <c r="C569" s="222" t="str">
        <f>IFERROR(__xludf.DUMMYFUNCTION("""COMPUTED_VALUE"""),"BBL PT3 P4I3 Expand Lingkungan Ake")</f>
        <v>BBL PT3 P4I3 Expand Lingkungan Ake</v>
      </c>
      <c r="D569" s="222" t="str">
        <f>IFERROR(__xludf.DUMMYFUNCTION("""COMPUTED_VALUE"""),"REGIONAL I")</f>
        <v>REGIONAL I</v>
      </c>
      <c r="E569" s="222" t="str">
        <f>IFERROR(__xludf.DUMMYFUNCTION("""COMPUTED_VALUE"""),"BABEL")</f>
        <v>BABEL</v>
      </c>
      <c r="F569" s="222" t="str">
        <f>IFERROR(__xludf.DUMMYFUNCTION("""COMPUTED_VALUE"""),"SLT")</f>
        <v>SLT</v>
      </c>
      <c r="G569" s="222" t="str">
        <f>IFERROR(__xludf.DUMMYFUNCTION("""COMPUTED_VALUE"""),"SUMBAGSEL")</f>
        <v>SUMBAGSEL</v>
      </c>
      <c r="H569" s="222" t="str">
        <f>IFERROR(__xludf.DUMMYFUNCTION("""COMPUTED_VALUE"""),"PANGKAL PINANG")</f>
        <v>PANGKAL PINANG</v>
      </c>
      <c r="I569" s="222" t="str">
        <f>IFERROR(__xludf.DUMMYFUNCTION("""COMPUTED_VALUE"""),"Batch 2")</f>
        <v>Batch 2</v>
      </c>
      <c r="J569" s="225">
        <f>IFERROR(__xludf.DUMMYFUNCTION("""COMPUTED_VALUE"""),10.0)</f>
        <v>10</v>
      </c>
      <c r="K569" s="224">
        <f>IFERROR(__xludf.DUMMYFUNCTION("""COMPUTED_VALUE"""),96.0)</f>
        <v>96</v>
      </c>
      <c r="L569" s="226">
        <f>IFERROR(__xludf.DUMMYFUNCTION("""COMPUTED_VALUE"""),1213079.0)</f>
        <v>1213079</v>
      </c>
      <c r="M569" s="227">
        <f>IFERROR(__xludf.DUMMYFUNCTION("""COMPUTED_VALUE"""),1.16455494E8)</f>
        <v>116455494</v>
      </c>
      <c r="N569" s="222" t="str">
        <f>IFERROR(__xludf.DUMMYFUNCTION("""COMPUTED_VALUE"""),"PT KEMUNING AGUNG SEJAHTERA")</f>
        <v>PT KEMUNING AGUNG SEJAHTERA</v>
      </c>
      <c r="O569" s="222" t="str">
        <f>IFERROR(__xludf.DUMMYFUNCTION("""COMPUTED_VALUE"""),"7. GOLIVE")</f>
        <v>7. GOLIVE</v>
      </c>
      <c r="P569" s="222" t="str">
        <f>IFERROR(__xludf.DUMMYFUNCTION("""COMPUTED_VALUE"""),"7.2 Golive Full / OA / DONE OTB")</f>
        <v>7.2 Golive Full / OA / DONE OTB</v>
      </c>
      <c r="Q569" s="222" t="str">
        <f>IFERROR(__xludf.DUMMYFUNCTION("""COMPUTED_VALUE"""),"22/01 golive (21/01) terminasi ODP (16/01) penarikan kabel 12D 1250 done, tanam tiang 31 done (13/01) penarikan kabel 24D 3400 done, tanam tiang 8/31 (12/01) Proses Penarikan Kabel dan Instal ODP 09/1  MATDEL  (06/01)order JPP batch-2 2026 (02/01 terminas"&amp;"i ODP (16/12) hold, tarik kabel sisa 1250 28/11 sudah bisa request 14/11 sudah pr po (13/11) DRM Mitra done (6/11) sudah anwijzing proses create PID (04/11) BLM ANWIJZING , PLAN 6 NOV")</f>
        <v>22/01 golive (21/01) terminasi ODP (16/01) penarikan kabel 12D 1250 done, tanam tiang 31 done (13/01) penarikan kabel 24D 3400 done, tanam tiang 8/31 (12/01) Proses Penarikan Kabel dan Instal ODP 09/1  MATDEL  (06/01)order JPP batch-2 2026 (02/01 terminasi ODP (16/12) hold, tarik kabel sisa 1250 28/11 sudah bisa request 14/11 sudah pr po (13/11) DRM Mitra done (6/11) sudah anwijzing proses create PID (04/11) BLM ANWIJZING , PLAN 6 NOV</v>
      </c>
      <c r="R569" s="228"/>
      <c r="S569" s="11"/>
      <c r="T569" s="11"/>
      <c r="U569" s="11"/>
      <c r="V569" s="229"/>
      <c r="W569" s="229"/>
      <c r="X569" s="229" t="str">
        <f>IFERROR(__xludf.DUMMYFUNCTION("""COMPUTED_VALUE"""),"GOLIVE")</f>
        <v>GOLIVE</v>
      </c>
      <c r="Y569" s="229" t="str">
        <f>IFERROR(__xludf.DUMMYFUNCTION("""COMPUTED_VALUE"""),"DONE")</f>
        <v>DONE</v>
      </c>
      <c r="Z569" s="229" t="str">
        <f>IFERROR(__xludf.DUMMYFUNCTION("""COMPUTED_VALUE"""),"#N/A")</f>
        <v>#N/A</v>
      </c>
      <c r="AA569" s="229">
        <f>IFERROR(__xludf.DUMMYFUNCTION("""COMPUTED_VALUE"""),8.0)</f>
        <v>8</v>
      </c>
      <c r="AB569" s="229">
        <f>IFERROR(__xludf.DUMMYFUNCTION("""COMPUTED_VALUE"""),2.0)</f>
        <v>2</v>
      </c>
      <c r="AC569" s="229" t="str">
        <f>IFERROR(__xludf.DUMMYFUNCTION("""COMPUTED_VALUE"""),"8997777#8997784")</f>
        <v>8997777#8997784</v>
      </c>
      <c r="AD569" s="232">
        <f>IFERROR(__xludf.DUMMYFUNCTION("""COMPUTED_VALUE"""),96.0)</f>
        <v>96</v>
      </c>
      <c r="AE569" s="233">
        <f>IFERROR(__xludf.DUMMYFUNCTION("""COMPUTED_VALUE"""),46044.0)</f>
        <v>46044</v>
      </c>
      <c r="AF569" s="54" t="str">
        <f>IFERROR(__xludf.DUMMYFUNCTION("""COMPUTED_VALUE"""),"DONE")</f>
        <v>DONE</v>
      </c>
      <c r="AG569" s="54"/>
      <c r="AH569" s="54"/>
      <c r="AI569" s="55" t="str">
        <f t="shared" si="68"/>
        <v/>
      </c>
      <c r="AW569" s="234"/>
      <c r="BP569" s="11"/>
      <c r="BQ569" s="11"/>
      <c r="BR569" s="235"/>
      <c r="BV569" s="158"/>
      <c r="BY569" s="158"/>
      <c r="CB569" s="158"/>
    </row>
    <row r="570" ht="18.0" customHeight="1">
      <c r="A570" s="222">
        <f>IFERROR(__xludf.DUMMYFUNCTION("""COMPUTED_VALUE"""),2026.0)</f>
        <v>2026</v>
      </c>
      <c r="B570" s="221">
        <f>IFERROR(__xludf.DUMMYFUNCTION("""COMPUTED_VALUE"""),1.1029567E7)</f>
        <v>11029567</v>
      </c>
      <c r="C570" s="222" t="str">
        <f>IFERROR(__xludf.DUMMYFUNCTION("""COMPUTED_VALUE"""),"RKP PT3 JPPTSEL KMS-FBT PERUM. PERMANA VISTA")</f>
        <v>RKP PT3 JPPTSEL KMS-FBT PERUM. PERMANA VISTA</v>
      </c>
      <c r="D570" s="222" t="str">
        <f>IFERROR(__xludf.DUMMYFUNCTION("""COMPUTED_VALUE"""),"REGIONAL I")</f>
        <v>REGIONAL I</v>
      </c>
      <c r="E570" s="222" t="str">
        <f>IFERROR(__xludf.DUMMYFUNCTION("""COMPUTED_VALUE"""),"RIKEP")</f>
        <v>RIKEP</v>
      </c>
      <c r="F570" s="222" t="str">
        <f>IFERROR(__xludf.DUMMYFUNCTION("""COMPUTED_VALUE"""),"KMS")</f>
        <v>KMS</v>
      </c>
      <c r="G570" s="222" t="str">
        <f>IFERROR(__xludf.DUMMYFUNCTION("""COMPUTED_VALUE"""),"SUMBAGTENG")</f>
        <v>SUMBAGTENG</v>
      </c>
      <c r="H570" s="222" t="str">
        <f>IFERROR(__xludf.DUMMYFUNCTION("""COMPUTED_VALUE"""),"BATAM")</f>
        <v>BATAM</v>
      </c>
      <c r="I570" s="222" t="str">
        <f>IFERROR(__xludf.DUMMYFUNCTION("""COMPUTED_VALUE"""),"Batch 2")</f>
        <v>Batch 2</v>
      </c>
      <c r="J570" s="225">
        <f>IFERROR(__xludf.DUMMYFUNCTION("""COMPUTED_VALUE"""),4.0)</f>
        <v>4</v>
      </c>
      <c r="K570" s="224">
        <f>IFERROR(__xludf.DUMMYFUNCTION("""COMPUTED_VALUE"""),32.0)</f>
        <v>32</v>
      </c>
      <c r="L570" s="226">
        <f>IFERROR(__xludf.DUMMYFUNCTION("""COMPUTED_VALUE"""),1212411.0)</f>
        <v>1212411</v>
      </c>
      <c r="M570" s="227">
        <f>IFERROR(__xludf.DUMMYFUNCTION("""COMPUTED_VALUE"""),3.8797125E7)</f>
        <v>38797125</v>
      </c>
      <c r="N570" s="222" t="str">
        <f>IFERROR(__xludf.DUMMYFUNCTION("""COMPUTED_VALUE"""),"PT SALTTEK DUMPANG JAYA")</f>
        <v>PT SALTTEK DUMPANG JAYA</v>
      </c>
      <c r="O570" s="222" t="str">
        <f>IFERROR(__xludf.DUMMYFUNCTION("""COMPUTED_VALUE"""),"7. GOLIVE")</f>
        <v>7. GOLIVE</v>
      </c>
      <c r="P570" s="222" t="str">
        <f>IFERROR(__xludf.DUMMYFUNCTION("""COMPUTED_VALUE"""),"7.2 Golive Full / OA / DONE OTB")</f>
        <v>7.2 Golive Full / OA / DONE OTB</v>
      </c>
      <c r="Q570" s="222" t="str">
        <f>IFERROR(__xludf.DUMMYFUNCTION("""COMPUTED_VALUE"""),"16/03  ABD mitra 
09/03 Penanaman tiang. 
05/03 penggalian lubang tiang. 25/02 Proses pelunasan prelim minggu ini. 16/02 Kompensasi pelunasan di minggu ini. 09/02 menunggu pembayaran uang kompensasi dari mitra. 04/02 proses penyerahan uang kompensasi, 1,5"&amp;" jt rupiah.28/01 meminta kompensasi fasum, 1.5 jt one time charge, menunggu boq kml anwijzing untuk eval prelim")</f>
        <v>16/03  ABD mitra 
09/03 Penanaman tiang. 
05/03 penggalian lubang tiang. 25/02 Proses pelunasan prelim minggu ini. 16/02 Kompensasi pelunasan di minggu ini. 09/02 menunggu pembayaran uang kompensasi dari mitra. 04/02 proses penyerahan uang kompensasi, 1,5 jt rupiah.28/01 meminta kompensasi fasum, 1.5 jt one time charge, menunggu boq kml anwijzing untuk eval prelim</v>
      </c>
      <c r="R570" s="228">
        <f>IFERROR(__xludf.DUMMYFUNCTION("""COMPUTED_VALUE"""),46108.0)</f>
        <v>46108</v>
      </c>
      <c r="S570" s="238" t="str">
        <f>IFERROR(__xludf.DUMMYFUNCTION("""COMPUTED_VALUE"""),"MAR")</f>
        <v>MAR</v>
      </c>
      <c r="T570" s="238"/>
      <c r="U570" s="238" t="str">
        <f>IFERROR(__xludf.DUMMYFUNCTION("""COMPUTED_VALUE"""),"W09-276/2026")</f>
        <v>W09-276/2026</v>
      </c>
      <c r="V570" s="229" t="str">
        <f>IFERROR(__xludf.DUMMYFUNCTION("""COMPUTED_VALUE"""),"DEDY IRAWAN")</f>
        <v>DEDY IRAWAN</v>
      </c>
      <c r="W570" s="229" t="str">
        <f>IFERROR(__xludf.DUMMYFUNCTION("""COMPUTED_VALUE"""),"LEVITA INDRIYANI")</f>
        <v>LEVITA INDRIYANI</v>
      </c>
      <c r="X570" s="229" t="str">
        <f>IFERROR(__xludf.DUMMYFUNCTION("""COMPUTED_VALUE"""),"GOLIVE")</f>
        <v>GOLIVE</v>
      </c>
      <c r="Y570" s="229" t="str">
        <f>IFERROR(__xludf.DUMMYFUNCTION("""COMPUTED_VALUE"""),"DONE")</f>
        <v>DONE</v>
      </c>
      <c r="Z570" s="229" t="str">
        <f>IFERROR(__xludf.DUMMYFUNCTION("""COMPUTED_VALUE"""),"#N/A")</f>
        <v>#N/A</v>
      </c>
      <c r="AA570" s="229">
        <f>IFERROR(__xludf.DUMMYFUNCTION("""COMPUTED_VALUE"""),4.0)</f>
        <v>4</v>
      </c>
      <c r="AB570" s="229"/>
      <c r="AC570" s="229" t="str">
        <f>IFERROR(__xludf.DUMMYFUNCTION("""COMPUTED_VALUE"""),"9197148#9197153")</f>
        <v>9197148#9197153</v>
      </c>
      <c r="AD570" s="232">
        <f>IFERROR(__xludf.DUMMYFUNCTION("""COMPUTED_VALUE"""),32.0)</f>
        <v>32</v>
      </c>
      <c r="AE570" s="233">
        <f>IFERROR(__xludf.DUMMYFUNCTION("""COMPUTED_VALUE"""),46098.0)</f>
        <v>46098</v>
      </c>
      <c r="AF570" s="54"/>
      <c r="AG570" s="54"/>
      <c r="AH570" s="54">
        <v>46108.0</v>
      </c>
      <c r="AI570" s="55">
        <f>IF(OR(AH570="",AE570=""),"",AH570-AE570)</f>
        <v>10</v>
      </c>
      <c r="AW570" s="234"/>
      <c r="BP570" s="11"/>
      <c r="BQ570" s="11"/>
      <c r="BR570" s="235"/>
      <c r="BV570" s="158"/>
      <c r="BY570" s="158"/>
      <c r="CB570" s="158"/>
    </row>
    <row r="571" ht="18.0" customHeight="1">
      <c r="A571" s="222">
        <f>IFERROR(__xludf.DUMMYFUNCTION("""COMPUTED_VALUE"""),2026.0)</f>
        <v>2026</v>
      </c>
      <c r="B571" s="221">
        <f>IFERROR(__xludf.DUMMYFUNCTION("""COMPUTED_VALUE"""),1.116506E7)</f>
        <v>11165060</v>
      </c>
      <c r="C571" s="222" t="str">
        <f>IFERROR(__xludf.DUMMYFUNCTION("""COMPUTED_VALUE"""),"SMB P1I1 jl pakan ladang, Bukit B")</f>
        <v>SMB P1I1 jl pakan ladang, Bukit B</v>
      </c>
      <c r="D571" s="222" t="str">
        <f>IFERROR(__xludf.DUMMYFUNCTION("""COMPUTED_VALUE"""),"REGIONAL I")</f>
        <v>REGIONAL I</v>
      </c>
      <c r="E571" s="222" t="str">
        <f>IFERROR(__xludf.DUMMYFUNCTION("""COMPUTED_VALUE"""),"SUMBAR")</f>
        <v>SUMBAR</v>
      </c>
      <c r="F571" s="222" t="str">
        <f>IFERROR(__xludf.DUMMYFUNCTION("""COMPUTED_VALUE"""),"SUP")</f>
        <v>SUP</v>
      </c>
      <c r="G571" s="222" t="str">
        <f>IFERROR(__xludf.DUMMYFUNCTION("""COMPUTED_VALUE"""),"SUMBAGTENG")</f>
        <v>SUMBAGTENG</v>
      </c>
      <c r="H571" s="222" t="str">
        <f>IFERROR(__xludf.DUMMYFUNCTION("""COMPUTED_VALUE"""),"BUKIT TINGGI")</f>
        <v>BUKIT TINGGI</v>
      </c>
      <c r="I571" s="222" t="str">
        <f>IFERROR(__xludf.DUMMYFUNCTION("""COMPUTED_VALUE"""),"Batch 2")</f>
        <v>Batch 2</v>
      </c>
      <c r="J571" s="225">
        <f>IFERROR(__xludf.DUMMYFUNCTION("""COMPUTED_VALUE"""),2.0)</f>
        <v>2</v>
      </c>
      <c r="K571" s="224">
        <f>IFERROR(__xludf.DUMMYFUNCTION("""COMPUTED_VALUE"""),16.0)</f>
        <v>16</v>
      </c>
      <c r="L571" s="226">
        <f>IFERROR(__xludf.DUMMYFUNCTION("""COMPUTED_VALUE"""),1212409.0)</f>
        <v>1212409</v>
      </c>
      <c r="M571" s="227">
        <f>IFERROR(__xludf.DUMMYFUNCTION("""COMPUTED_VALUE"""),1.9398539E7)</f>
        <v>19398539</v>
      </c>
      <c r="N571" s="222" t="str">
        <f>IFERROR(__xludf.DUMMYFUNCTION("""COMPUTED_VALUE"""),"PT GARINDO TECHNO MANDIRI")</f>
        <v>PT GARINDO TECHNO MANDIRI</v>
      </c>
      <c r="O571" s="222" t="str">
        <f>IFERROR(__xludf.DUMMYFUNCTION("""COMPUTED_VALUE"""),"4. MATDEL")</f>
        <v>4. MATDEL</v>
      </c>
      <c r="P571" s="222" t="str">
        <f>IFERROR(__xludf.DUMMYFUNCTION("""COMPUTED_VALUE"""),"4.4 Proses Pengiriman Pabribak ke WH")</f>
        <v>4.4 Proses Pengiriman Pabribak ke WH</v>
      </c>
      <c r="Q571"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571" s="228"/>
      <c r="S571" s="11"/>
      <c r="T571" s="11"/>
      <c r="U571" s="11"/>
      <c r="V571" s="229" t="str">
        <f>IFERROR(__xludf.DUMMYFUNCTION("""COMPUTED_VALUE"""),"DELPA YANDA")</f>
        <v>DELPA YANDA</v>
      </c>
      <c r="W571" s="229" t="str">
        <f>IFERROR(__xludf.DUMMYFUNCTION("""COMPUTED_VALUE"""),"MELKO NARWADI")</f>
        <v>MELKO NARWADI</v>
      </c>
      <c r="X571" s="229" t="str">
        <f>IFERROR(__xludf.DUMMYFUNCTION("""COMPUTED_VALUE"""),"BELUM GOLIVE")</f>
        <v>BELUM GOLIVE</v>
      </c>
      <c r="Y571" s="229"/>
      <c r="Z571" s="229" t="str">
        <f>IFERROR(__xludf.DUMMYFUNCTION("""COMPUTED_VALUE"""),"#N/A")</f>
        <v>#N/A</v>
      </c>
      <c r="AA571" s="229"/>
      <c r="AB571" s="229"/>
      <c r="AC571" s="229"/>
      <c r="AD571" s="232"/>
      <c r="AE571" s="233"/>
      <c r="AF571" s="54" t="str">
        <f>IFERROR(__xludf.DUMMYFUNCTION("""COMPUTED_VALUE"""),"Draft BA DROP")</f>
        <v>Draft BA DROP</v>
      </c>
      <c r="AG571" s="54"/>
      <c r="AH571" s="54"/>
      <c r="AI571" s="55" t="str">
        <f t="shared" ref="AI571:AI590" si="69">IF(OR(R571="",AE571=""),"",R571-AE571)</f>
        <v/>
      </c>
      <c r="AW571" s="234"/>
      <c r="BP571" s="11"/>
      <c r="BQ571" s="11"/>
      <c r="BR571" s="235"/>
      <c r="BV571" s="158"/>
      <c r="BY571" s="158"/>
      <c r="CB571" s="158"/>
    </row>
    <row r="572" ht="18.0" hidden="1" customHeight="1">
      <c r="A572" s="222">
        <f>IFERROR(__xludf.DUMMYFUNCTION("""COMPUTED_VALUE"""),2026.0)</f>
        <v>2026</v>
      </c>
      <c r="B572" s="221">
        <f>IFERROR(__xludf.DUMMYFUNCTION("""COMPUTED_VALUE"""),1.1580969E7)</f>
        <v>11580969</v>
      </c>
      <c r="C572" s="222" t="str">
        <f>IFERROR(__xludf.DUMMYFUNCTION("""COMPUTED_VALUE"""),"BBL PT3 P3I1 PANTAI SERDANG")</f>
        <v>BBL PT3 P3I1 PANTAI SERDANG</v>
      </c>
      <c r="D572" s="222" t="str">
        <f>IFERROR(__xludf.DUMMYFUNCTION("""COMPUTED_VALUE"""),"REGIONAL I")</f>
        <v>REGIONAL I</v>
      </c>
      <c r="E572" s="222" t="str">
        <f>IFERROR(__xludf.DUMMYFUNCTION("""COMPUTED_VALUE"""),"BABEL")</f>
        <v>BABEL</v>
      </c>
      <c r="F572" s="222" t="str">
        <f>IFERROR(__xludf.DUMMYFUNCTION("""COMPUTED_VALUE"""),"MGR")</f>
        <v>MGR</v>
      </c>
      <c r="G572" s="222" t="str">
        <f>IFERROR(__xludf.DUMMYFUNCTION("""COMPUTED_VALUE"""),"SUMBAGSEL")</f>
        <v>SUMBAGSEL</v>
      </c>
      <c r="H572" s="222" t="str">
        <f>IFERROR(__xludf.DUMMYFUNCTION("""COMPUTED_VALUE"""),"PANGKAL PINANG")</f>
        <v>PANGKAL PINANG</v>
      </c>
      <c r="I572" s="222" t="str">
        <f>IFERROR(__xludf.DUMMYFUNCTION("""COMPUTED_VALUE"""),"Batch 2")</f>
        <v>Batch 2</v>
      </c>
      <c r="J572" s="225">
        <f>IFERROR(__xludf.DUMMYFUNCTION("""COMPUTED_VALUE"""),12.0)</f>
        <v>12</v>
      </c>
      <c r="K572" s="224">
        <f>IFERROR(__xludf.DUMMYFUNCTION("""COMPUTED_VALUE"""),96.0)</f>
        <v>96</v>
      </c>
      <c r="L572" s="226">
        <f>IFERROR(__xludf.DUMMYFUNCTION("""COMPUTED_VALUE"""),1212047.0)</f>
        <v>1212047</v>
      </c>
      <c r="M572" s="227">
        <f>IFERROR(__xludf.DUMMYFUNCTION("""COMPUTED_VALUE"""),1.1635647E8)</f>
        <v>116356470</v>
      </c>
      <c r="N572" s="222" t="str">
        <f>IFERROR(__xludf.DUMMYFUNCTION("""COMPUTED_VALUE"""),"PT SARANA MITRA PERSADA")</f>
        <v>PT SARANA MITRA PERSADA</v>
      </c>
      <c r="O572" s="222" t="str">
        <f>IFERROR(__xludf.DUMMYFUNCTION("""COMPUTED_VALUE"""),"8. UJI TERIMA")</f>
        <v>8. UJI TERIMA</v>
      </c>
      <c r="P572" s="222" t="str">
        <f>IFERROR(__xludf.DUMMYFUNCTION("""COMPUTED_VALUE"""),"8.1 Proses UT")</f>
        <v>8.1 Proses UT</v>
      </c>
      <c r="Q572" s="222" t="str">
        <f>IFERROR(__xludf.DUMMYFUNCTION("""COMPUTED_VALUE"""),"(08/01) Done Go Live (07/1) FINISH INSTALASI, ABD V4 READY (06/01)order JPP batch-2 2026 (02/01 perapihan (16/12) tarik kabel done 28/11 progres di lokasi lain (26/11) perapian 17 tiang (25/11) progres dilokasi lain (21/11) penarikan kabel 24D 3000 done ("&amp;"20/11) penarikan akbel 24D 2500/3000 (19/11) penarikan KU 12D 1900 done, KU 24D 1000/3000 (18/11) penanaman tiang 17/17 done (17/11) progres penarikan kabel , plan golive 1 desember(kendala mitra) 14/11 penarikan kabel 12D 300/1900 (13/11) Proses penanama"&amp;"n Tiang 1/17 (10/11) pengambilan material hari ini (04/11)MATDEL &amp; PROGRESS PARALEL ,ESTIMASI 10 NOV (15/10) Aproval PID")</f>
        <v>(08/01) Done Go Live (07/1) FINISH INSTALASI, ABD V4 READY (06/01)order JPP batch-2 2026 (02/01 perapihan (16/12) tarik kabel done 28/11 progres di lokasi lain (26/11) perapian 17 tiang (25/11) progres dilokasi lain (21/11) penarikan kabel 24D 3000 done (20/11) penarikan akbel 24D 2500/3000 (19/11) penarikan KU 12D 1900 done, KU 24D 1000/3000 (18/11) penanaman tiang 17/17 done (17/11) progres penarikan kabel , plan golive 1 desember(kendala mitra) 14/11 penarikan kabel 12D 300/1900 (13/11) Proses penanaman Tiang 1/17 (10/11) pengambilan material hari ini (04/11)MATDEL &amp; PROGRESS PARALEL ,ESTIMASI 10 NOV (15/10) Aproval PID</v>
      </c>
      <c r="R572" s="228"/>
      <c r="S572" s="11"/>
      <c r="T572" s="11"/>
      <c r="U572" s="11"/>
      <c r="V572" s="229"/>
      <c r="W572" s="229"/>
      <c r="X572" s="229" t="str">
        <f>IFERROR(__xludf.DUMMYFUNCTION("""COMPUTED_VALUE"""),"GOLIVE")</f>
        <v>GOLIVE</v>
      </c>
      <c r="Y572" s="229" t="str">
        <f>IFERROR(__xludf.DUMMYFUNCTION("""COMPUTED_VALUE"""),"DONE")</f>
        <v>DONE</v>
      </c>
      <c r="Z572" s="229" t="str">
        <f>IFERROR(__xludf.DUMMYFUNCTION("""COMPUTED_VALUE"""),"#N/A")</f>
        <v>#N/A</v>
      </c>
      <c r="AA572" s="229">
        <f>IFERROR(__xludf.DUMMYFUNCTION("""COMPUTED_VALUE"""),13.0)</f>
        <v>13</v>
      </c>
      <c r="AB572" s="229"/>
      <c r="AC572" s="229" t="str">
        <f>IFERROR(__xludf.DUMMYFUNCTION("""COMPUTED_VALUE"""),"8906242#8906247")</f>
        <v>8906242#8906247</v>
      </c>
      <c r="AD572" s="232">
        <f>IFERROR(__xludf.DUMMYFUNCTION("""COMPUTED_VALUE"""),104.0)</f>
        <v>104</v>
      </c>
      <c r="AE572" s="233">
        <f>IFERROR(__xludf.DUMMYFUNCTION("""COMPUTED_VALUE"""),46030.0)</f>
        <v>46030</v>
      </c>
      <c r="AF572" s="54" t="str">
        <f>IFERROR(__xludf.DUMMYFUNCTION("""COMPUTED_VALUE"""),"DONE")</f>
        <v>DONE</v>
      </c>
      <c r="AG572" s="54"/>
      <c r="AH572" s="54"/>
      <c r="AI572" s="55" t="str">
        <f t="shared" si="69"/>
        <v/>
      </c>
      <c r="AW572" s="234"/>
      <c r="BP572" s="11"/>
      <c r="BQ572" s="11"/>
      <c r="BR572" s="235"/>
      <c r="BV572" s="158"/>
      <c r="BY572" s="158"/>
      <c r="CB572" s="158"/>
    </row>
    <row r="573" ht="18.0" customHeight="1">
      <c r="A573" s="222">
        <f>IFERROR(__xludf.DUMMYFUNCTION("""COMPUTED_VALUE"""),2026.0)</f>
        <v>2026</v>
      </c>
      <c r="B573" s="221">
        <f>IFERROR(__xludf.DUMMYFUNCTION("""COMPUTED_VALUE"""),1.2308576E7)</f>
        <v>12308576</v>
      </c>
      <c r="C573" s="222" t="str">
        <f>IFERROR(__xludf.DUMMYFUNCTION("""COMPUTED_VALUE"""),"SMB-PT3-ODC-TRS-FA-PESISIR 54589-90223")</f>
        <v>SMB-PT3-ODC-TRS-FA-PESISIR 54589-90223</v>
      </c>
      <c r="D573" s="222" t="str">
        <f>IFERROR(__xludf.DUMMYFUNCTION("""COMPUTED_VALUE"""),"REGIONAL I")</f>
        <v>REGIONAL I</v>
      </c>
      <c r="E573" s="222" t="str">
        <f>IFERROR(__xludf.DUMMYFUNCTION("""COMPUTED_VALUE"""),"SUMBAR")</f>
        <v>SUMBAR</v>
      </c>
      <c r="F573" s="222" t="str">
        <f>IFERROR(__xludf.DUMMYFUNCTION("""COMPUTED_VALUE"""),"TRS")</f>
        <v>TRS</v>
      </c>
      <c r="G573" s="222" t="str">
        <f>IFERROR(__xludf.DUMMYFUNCTION("""COMPUTED_VALUE"""),"SUMBAGTENG")</f>
        <v>SUMBAGTENG</v>
      </c>
      <c r="H573" s="222" t="str">
        <f>IFERROR(__xludf.DUMMYFUNCTION("""COMPUTED_VALUE"""),"PADANG")</f>
        <v>PADANG</v>
      </c>
      <c r="I573" s="222" t="str">
        <f>IFERROR(__xludf.DUMMYFUNCTION("""COMPUTED_VALUE"""),"Batch 2")</f>
        <v>Batch 2</v>
      </c>
      <c r="J573" s="225">
        <f>IFERROR(__xludf.DUMMYFUNCTION("""COMPUTED_VALUE"""),3.0)</f>
        <v>3</v>
      </c>
      <c r="K573" s="224">
        <f>IFERROR(__xludf.DUMMYFUNCTION("""COMPUTED_VALUE"""),24.0)</f>
        <v>24</v>
      </c>
      <c r="L573" s="226">
        <f>IFERROR(__xludf.DUMMYFUNCTION("""COMPUTED_VALUE"""),1211464.0)</f>
        <v>1211464</v>
      </c>
      <c r="M573" s="227">
        <f>IFERROR(__xludf.DUMMYFUNCTION("""COMPUTED_VALUE"""),2.9075123E7)</f>
        <v>29075123</v>
      </c>
      <c r="N573" s="222" t="str">
        <f>IFERROR(__xludf.DUMMYFUNCTION("""COMPUTED_VALUE"""),"PT ACERO CETHA METALINDO")</f>
        <v>PT ACERO CETHA METALINDO</v>
      </c>
      <c r="O573" s="222" t="str">
        <f>IFERROR(__xludf.DUMMYFUNCTION("""COMPUTED_VALUE"""),"4. MATDEL")</f>
        <v>4. MATDEL</v>
      </c>
      <c r="P573" s="222" t="str">
        <f>IFERROR(__xludf.DUMMYFUNCTION("""COMPUTED_VALUE"""),"4.4 Proses Pengiriman Pabribak ke WH")</f>
        <v>4.4 Proses Pengiriman Pabribak ke WH</v>
      </c>
      <c r="Q573" s="222" t="str">
        <f>IFERROR(__xludf.DUMMYFUNCTION("""COMPUTED_VALUE"""),"(27/04) menunggu PO kabel 24 ADSS (20/04) sudah aanwijziing, proses eval  (10/04) Proses aanwijziing , LOP HOLD FEEDER FULL ACC GO (26/01)  Kendala feeder TRS-FA FULL")</f>
        <v>(27/04) menunggu PO kabel 24 ADSS (20/04) sudah aanwijziing, proses eval  (10/04) Proses aanwijziing , LOP HOLD FEEDER FULL ACC GO (26/01)  Kendala feeder TRS-FA FULL</v>
      </c>
      <c r="R573" s="228"/>
      <c r="S573" s="11"/>
      <c r="T573" s="11"/>
      <c r="U573" s="11"/>
      <c r="V573" s="229" t="str">
        <f>IFERROR(__xludf.DUMMYFUNCTION("""COMPUTED_VALUE"""),"PRAMADIO SEPWILMAN")</f>
        <v>PRAMADIO SEPWILMAN</v>
      </c>
      <c r="W573" s="229" t="str">
        <f>IFERROR(__xludf.DUMMYFUNCTION("""COMPUTED_VALUE"""),"MELKO NARWADI")</f>
        <v>MELKO NARWADI</v>
      </c>
      <c r="X573" s="229" t="str">
        <f>IFERROR(__xludf.DUMMYFUNCTION("""COMPUTED_VALUE"""),"BELUM GOLIVE")</f>
        <v>BELUM GOLIVE</v>
      </c>
      <c r="Y573" s="229"/>
      <c r="Z573" s="229" t="str">
        <f>IFERROR(__xludf.DUMMYFUNCTION("""COMPUTED_VALUE"""),"#N/A")</f>
        <v>#N/A</v>
      </c>
      <c r="AA573" s="229"/>
      <c r="AB573" s="229"/>
      <c r="AC573" s="229"/>
      <c r="AD573" s="232"/>
      <c r="AE573" s="233"/>
      <c r="AF573" s="54" t="str">
        <f>IFERROR(__xludf.DUMMYFUNCTION("""COMPUTED_VALUE"""),"Draft BA DROP")</f>
        <v>Draft BA DROP</v>
      </c>
      <c r="AG573" s="54"/>
      <c r="AH573" s="54"/>
      <c r="AI573" s="55" t="str">
        <f t="shared" si="69"/>
        <v/>
      </c>
      <c r="AW573" s="234"/>
      <c r="BP573" s="11"/>
      <c r="BQ573" s="11"/>
      <c r="BR573" s="235"/>
      <c r="BV573" s="158"/>
      <c r="BY573" s="158"/>
      <c r="CB573" s="158"/>
    </row>
    <row r="574" ht="18.0" hidden="1" customHeight="1">
      <c r="A574" s="222">
        <f>IFERROR(__xludf.DUMMYFUNCTION("""COMPUTED_VALUE"""),2026.0)</f>
        <v>2026</v>
      </c>
      <c r="B574" s="221">
        <f>IFERROR(__xludf.DUMMYFUNCTION("""COMPUTED_VALUE"""),1.2431029E7)</f>
        <v>12431029</v>
      </c>
      <c r="C574" s="222" t="str">
        <f>IFERROR(__xludf.DUMMYFUNCTION("""COMPUTED_VALUE"""),"BBL PT3 P4I3 AIR KUANG 2")</f>
        <v>BBL PT3 P4I3 AIR KUANG 2</v>
      </c>
      <c r="D574" s="222" t="str">
        <f>IFERROR(__xludf.DUMMYFUNCTION("""COMPUTED_VALUE"""),"REGIONAL I")</f>
        <v>REGIONAL I</v>
      </c>
      <c r="E574" s="222" t="str">
        <f>IFERROR(__xludf.DUMMYFUNCTION("""COMPUTED_VALUE"""),"BABEL")</f>
        <v>BABEL</v>
      </c>
      <c r="F574" s="222" t="str">
        <f>IFERROR(__xludf.DUMMYFUNCTION("""COMPUTED_VALUE"""),"JBS")</f>
        <v>JBS</v>
      </c>
      <c r="G574" s="222" t="str">
        <f>IFERROR(__xludf.DUMMYFUNCTION("""COMPUTED_VALUE"""),"SUMBAGSEL")</f>
        <v>SUMBAGSEL</v>
      </c>
      <c r="H574" s="222" t="str">
        <f>IFERROR(__xludf.DUMMYFUNCTION("""COMPUTED_VALUE"""),"PANGKAL PINANG")</f>
        <v>PANGKAL PINANG</v>
      </c>
      <c r="I574" s="222" t="str">
        <f>IFERROR(__xludf.DUMMYFUNCTION("""COMPUTED_VALUE"""),"Batch 2")</f>
        <v>Batch 2</v>
      </c>
      <c r="J574" s="225">
        <f>IFERROR(__xludf.DUMMYFUNCTION("""COMPUTED_VALUE"""),16.0)</f>
        <v>16</v>
      </c>
      <c r="K574" s="224">
        <f>IFERROR(__xludf.DUMMYFUNCTION("""COMPUTED_VALUE"""),160.0)</f>
        <v>160</v>
      </c>
      <c r="L574" s="226">
        <f>IFERROR(__xludf.DUMMYFUNCTION("""COMPUTED_VALUE"""),1210965.0)</f>
        <v>1210965</v>
      </c>
      <c r="M574" s="227">
        <f>IFERROR(__xludf.DUMMYFUNCTION("""COMPUTED_VALUE"""),1.93754381E8)</f>
        <v>193754381</v>
      </c>
      <c r="N574" s="222" t="str">
        <f>IFERROR(__xludf.DUMMYFUNCTION("""COMPUTED_VALUE"""),"PT FEDRON SOLUSINDO UTAMA")</f>
        <v>PT FEDRON SOLUSINDO UTAMA</v>
      </c>
      <c r="O574" s="222" t="str">
        <f>IFERROR(__xludf.DUMMYFUNCTION("""COMPUTED_VALUE"""),"7. GOLIVE")</f>
        <v>7. GOLIVE</v>
      </c>
      <c r="P574" s="222" t="str">
        <f>IFERROR(__xludf.DUMMYFUNCTION("""COMPUTED_VALUE"""),"7.2 Golive Full / OA / DONE OTB")</f>
        <v>7.2 Golive Full / OA / DONE OTB</v>
      </c>
      <c r="Q574" s="222" t="str">
        <f>IFERROR(__xludf.DUMMYFUNCTION("""COMPUTED_VALUE"""),"18/02 penguncian kabel (16/2)tarik kabel dan tanam tiang done , proses perapian . plan instal  odp 18 feb  (14/2) kabel 12= 3600/4300 ,kabel 24 = 3000/3000 , tiang 38/38   (13/2) tarik kabel 12D 3300/4300 (12/2) tarik kabel 4400/7400, plan 12 feb baru lan"&amp;"jut karena ada kendala kendaraan mitra mogok . tiang 3/38 kendala tanam tiang sama pemilik tanah  (10/02) penarikan kabel (09/02) penarikan kabel 12D 3000/4300, tanam tiang 38 done (06/02) Penarikan Kabel 26/01 penarikan kabel 24D 3000 done (21/01) penari"&amp;"kan kabel 24D 1700/3000 (19/01) Penarikan Kabel  (7/1) V4 DONE SETOR  (06/01)order JPP batch-2 2026 (02/01 matdel (16/12) hold , material on site 28/11 sudah bisa request (24/11) proses pr po (21/11) progres DRM mitra (17/11) sudah cretaed PID (13/11) anw"&amp;"ijzing ke lokasi (5/11) Penunjukan mitra")</f>
        <v>18/02 penguncian kabel (16/2)tarik kabel dan tanam tiang done , proses perapian . plan instal  odp 18 feb  (14/2) kabel 12= 3600/4300 ,kabel 24 = 3000/3000 , tiang 38/38   (13/2) tarik kabel 12D 3300/4300 (12/2) tarik kabel 4400/7400, plan 12 feb baru lanjut karena ada kendala kendaraan mitra mogok . tiang 3/38 kendala tanam tiang sama pemilik tanah  (10/02) penarikan kabel (09/02) penarikan kabel 12D 3000/4300, tanam tiang 38 done (06/02) Penarikan Kabel 26/01 penarikan kabel 24D 3000 done (21/01) penarikan kabel 24D 1700/3000 (19/01) Penarikan Kabel  (7/1) V4 DONE SETOR  (06/01)order JPP batch-2 2026 (02/01 matdel (16/12) hold , material on site 28/11 sudah bisa request (24/11) proses pr po (21/11) progres DRM mitra (17/11) sudah cretaed PID (13/11) anwijzing ke lokasi (5/11) Penunjukan mitra</v>
      </c>
      <c r="R574" s="228">
        <f>IFERROR(__xludf.DUMMYFUNCTION("""COMPUTED_VALUE"""),46075.0)</f>
        <v>46075</v>
      </c>
      <c r="S574" s="11"/>
      <c r="T574" s="11"/>
      <c r="U574" s="11"/>
      <c r="V574" s="229"/>
      <c r="W574" s="229"/>
      <c r="X574" s="229" t="str">
        <f>IFERROR(__xludf.DUMMYFUNCTION("""COMPUTED_VALUE"""),"GOLIVE")</f>
        <v>GOLIVE</v>
      </c>
      <c r="Y574" s="229" t="str">
        <f>IFERROR(__xludf.DUMMYFUNCTION("""COMPUTED_VALUE"""),"DONE")</f>
        <v>DONE</v>
      </c>
      <c r="Z574" s="229" t="str">
        <f>IFERROR(__xludf.DUMMYFUNCTION("""COMPUTED_VALUE"""),"#N/A")</f>
        <v>#N/A</v>
      </c>
      <c r="AA574" s="229">
        <f>IFERROR(__xludf.DUMMYFUNCTION("""COMPUTED_VALUE"""),12.0)</f>
        <v>12</v>
      </c>
      <c r="AB574" s="229"/>
      <c r="AC574" s="229" t="str">
        <f>IFERROR(__xludf.DUMMYFUNCTION("""COMPUTED_VALUE"""),"9123558#9123563")</f>
        <v>9123558#9123563</v>
      </c>
      <c r="AD574" s="232">
        <f>IFERROR(__xludf.DUMMYFUNCTION("""COMPUTED_VALUE"""),136.0)</f>
        <v>136</v>
      </c>
      <c r="AE574" s="233">
        <f>IFERROR(__xludf.DUMMYFUNCTION("""COMPUTED_VALUE"""),46075.0)</f>
        <v>46075</v>
      </c>
      <c r="AF574" s="54"/>
      <c r="AG574" s="54"/>
      <c r="AH574" s="54">
        <v>46075.0</v>
      </c>
      <c r="AI574" s="55">
        <f t="shared" si="69"/>
        <v>0</v>
      </c>
      <c r="AW574" s="234"/>
      <c r="BP574" s="11"/>
      <c r="BQ574" s="11"/>
      <c r="BR574" s="235"/>
      <c r="BV574" s="158"/>
      <c r="BY574" s="158"/>
      <c r="CB574" s="158"/>
    </row>
    <row r="575" ht="18.0" hidden="1" customHeight="1">
      <c r="A575" s="222">
        <f>IFERROR(__xludf.DUMMYFUNCTION("""COMPUTED_VALUE"""),2026.0)</f>
        <v>2026</v>
      </c>
      <c r="B575" s="221">
        <f>IFERROR(__xludf.DUMMYFUNCTION("""COMPUTED_VALUE"""),1.2384641E7)</f>
        <v>12384641</v>
      </c>
      <c r="C575" s="222" t="str">
        <f>IFERROR(__xludf.DUMMYFUNCTION("""COMPUTED_VALUE"""),"JBI-PT3 BRANCH-BKO-FM-PAMENANG HILIR")</f>
        <v>JBI-PT3 BRANCH-BKO-FM-PAMENANG HILIR</v>
      </c>
      <c r="D575" s="222" t="str">
        <f>IFERROR(__xludf.DUMMYFUNCTION("""COMPUTED_VALUE"""),"REGIONAL I")</f>
        <v>REGIONAL I</v>
      </c>
      <c r="E575" s="222" t="str">
        <f>IFERROR(__xludf.DUMMYFUNCTION("""COMPUTED_VALUE"""),"JAMBI")</f>
        <v>JAMBI</v>
      </c>
      <c r="F575" s="222" t="str">
        <f>IFERROR(__xludf.DUMMYFUNCTION("""COMPUTED_VALUE"""),"BKO")</f>
        <v>BKO</v>
      </c>
      <c r="G575" s="222" t="str">
        <f>IFERROR(__xludf.DUMMYFUNCTION("""COMPUTED_VALUE"""),"SUMBAGSEL")</f>
        <v>SUMBAGSEL</v>
      </c>
      <c r="H575" s="222" t="str">
        <f>IFERROR(__xludf.DUMMYFUNCTION("""COMPUTED_VALUE"""),"JAMBI")</f>
        <v>JAMBI</v>
      </c>
      <c r="I575" s="222" t="str">
        <f>IFERROR(__xludf.DUMMYFUNCTION("""COMPUTED_VALUE"""),"Batch 2")</f>
        <v>Batch 2</v>
      </c>
      <c r="J575" s="225">
        <f>IFERROR(__xludf.DUMMYFUNCTION("""COMPUTED_VALUE"""),6.0)</f>
        <v>6</v>
      </c>
      <c r="K575" s="224">
        <f>IFERROR(__xludf.DUMMYFUNCTION("""COMPUTED_VALUE"""),48.0)</f>
        <v>48</v>
      </c>
      <c r="L575" s="226">
        <f>IFERROR(__xludf.DUMMYFUNCTION("""COMPUTED_VALUE"""),1210650.0)</f>
        <v>1210650</v>
      </c>
      <c r="M575" s="227">
        <f>IFERROR(__xludf.DUMMYFUNCTION("""COMPUTED_VALUE"""),5.8111174E7)</f>
        <v>58111174</v>
      </c>
      <c r="N575" s="222" t="str">
        <f>IFERROR(__xludf.DUMMYFUNCTION("""COMPUTED_VALUE"""),"PT TSUIKA BERKAH RAYA")</f>
        <v>PT TSUIKA BERKAH RAYA</v>
      </c>
      <c r="O575" s="222" t="str">
        <f>IFERROR(__xludf.DUMMYFUNCTION("""COMPUTED_VALUE"""),"7. GOLIVE")</f>
        <v>7. GOLIVE</v>
      </c>
      <c r="P575" s="222" t="str">
        <f>IFERROR(__xludf.DUMMYFUNCTION("""COMPUTED_VALUE"""),"7.2 Golive Full / OA / DONE OTB")</f>
        <v>7.2 Golive Full / OA / DONE OTB</v>
      </c>
      <c r="Q575" s="222" t="str">
        <f>IFERROR(__xludf.DUMMYFUNCTION("""COMPUTED_VALUE"""),"(12/03) Valins (09/03) Jumper kendala wasaka Minol BKO-FM (02/03) Instalasi Odp 0/6 (28/02) Tanam tiang 13/28 , tarik kabel  1.100/1.300 (16/2)tanem tiang 13/28 , tarik kabel  800/1.300 (5/2) MENUNGGU ANTRIAN PEKERJAAN LOKASI LAIN  (29/1) MATDEL (22/01) P"&amp;"ID Done ogp Apv PM Area (12/1) Proses aanwidjizing 7/1 DRM  (06/01)order JPP batch-2 2026 ((18/11)HOLD-  tidak masuk target Optimis 2025 (17/11) kendala mitra10/11 mapping mitra")</f>
        <v>(12/03) Valins (09/03) Jumper kendala wasaka Minol BKO-FM (02/03) Instalasi Odp 0/6 (28/02) Tanam tiang 13/28 , tarik kabel  1.100/1.300 (16/2)tanem tiang 13/28 , tarik kabel  800/1.300 (5/2) MENUNGGU ANTRIAN PEKERJAAN LOKASI LAIN  (29/1) MATDEL (22/01) PID Done ogp Apv PM Area (12/1) Proses aanwidjizing 7/1 DRM  (06/01)order JPP batch-2 2026 ((18/11)HOLD-  tidak masuk target Optimis 2025 (17/11) kendala mitra10/11 mapping mitra</v>
      </c>
      <c r="R575" s="228">
        <f>IFERROR(__xludf.DUMMYFUNCTION("""COMPUTED_VALUE"""),46090.0)</f>
        <v>46090</v>
      </c>
      <c r="S575" s="11" t="str">
        <f>IFERROR(__xludf.DUMMYFUNCTION("""COMPUTED_VALUE"""),"MAR")</f>
        <v>MAR</v>
      </c>
      <c r="T575" s="11" t="str">
        <f>IFERROR(__xludf.DUMMYFUNCTION("""COMPUTED_VALUE"""),"P1")</f>
        <v>P1</v>
      </c>
      <c r="U575" s="11"/>
      <c r="V575" s="229" t="str">
        <f>IFERROR(__xludf.DUMMYFUNCTION("""COMPUTED_VALUE"""),"RUDI PRAYITNO")</f>
        <v>RUDI PRAYITNO</v>
      </c>
      <c r="W575" s="229"/>
      <c r="X575" s="229" t="str">
        <f>IFERROR(__xludf.DUMMYFUNCTION("""COMPUTED_VALUE"""),"GOLIVE")</f>
        <v>GOLIVE</v>
      </c>
      <c r="Y575" s="229" t="str">
        <f>IFERROR(__xludf.DUMMYFUNCTION("""COMPUTED_VALUE"""),"DONE")</f>
        <v>DONE</v>
      </c>
      <c r="Z575" s="229" t="str">
        <f>IFERROR(__xludf.DUMMYFUNCTION("""COMPUTED_VALUE"""),"#N/A")</f>
        <v>#N/A</v>
      </c>
      <c r="AA575" s="229">
        <f>IFERROR(__xludf.DUMMYFUNCTION("""COMPUTED_VALUE"""),5.0)</f>
        <v>5</v>
      </c>
      <c r="AB575" s="229"/>
      <c r="AC575" s="229" t="str">
        <f>IFERROR(__xludf.DUMMYFUNCTION("""COMPUTED_VALUE"""),"8622650#8622655")</f>
        <v>8622650#8622655</v>
      </c>
      <c r="AD575" s="232">
        <f>IFERROR(__xludf.DUMMYFUNCTION("""COMPUTED_VALUE"""),40.0)</f>
        <v>40</v>
      </c>
      <c r="AE575" s="233">
        <f>IFERROR(__xludf.DUMMYFUNCTION("""COMPUTED_VALUE"""),46096.0)</f>
        <v>46096</v>
      </c>
      <c r="AF575" s="54"/>
      <c r="AG575" s="54"/>
      <c r="AH575" s="54">
        <v>46090.0</v>
      </c>
      <c r="AI575" s="55">
        <f t="shared" si="69"/>
        <v>-6</v>
      </c>
      <c r="AW575" s="234"/>
      <c r="BP575" s="11"/>
      <c r="BQ575" s="11"/>
      <c r="BR575" s="235"/>
      <c r="BV575" s="158"/>
      <c r="BY575" s="158"/>
      <c r="CB575" s="158"/>
    </row>
    <row r="576" ht="18.0" hidden="1" customHeight="1">
      <c r="A576" s="222">
        <f>IFERROR(__xludf.DUMMYFUNCTION("""COMPUTED_VALUE"""),2026.0)</f>
        <v>2026</v>
      </c>
      <c r="B576" s="221">
        <f>IFERROR(__xludf.DUMMYFUNCTION("""COMPUTED_VALUE"""),1.2260086E7)</f>
        <v>12260086</v>
      </c>
      <c r="C576" s="222" t="str">
        <f>IFERROR(__xludf.DUMMYFUNCTION("""COMPUTED_VALUE"""),"MDN PT3 PERUM KARANG TENGAN ASRI")</f>
        <v>MDN PT3 PERUM KARANG TENGAN ASRI</v>
      </c>
      <c r="D576" s="222" t="str">
        <f>IFERROR(__xludf.DUMMYFUNCTION("""COMPUTED_VALUE"""),"REGIONAL I")</f>
        <v>REGIONAL I</v>
      </c>
      <c r="E576" s="222" t="str">
        <f>IFERROR(__xludf.DUMMYFUNCTION("""COMPUTED_VALUE"""),"MEDAN")</f>
        <v>MEDAN</v>
      </c>
      <c r="F576" s="222" t="str">
        <f>IFERROR(__xludf.DUMMYFUNCTION("""COMPUTED_VALUE"""),"GLG")</f>
        <v>GLG</v>
      </c>
      <c r="G576" s="222" t="str">
        <f>IFERROR(__xludf.DUMMYFUNCTION("""COMPUTED_VALUE"""),"SUMBAGUT")</f>
        <v>SUMBAGUT</v>
      </c>
      <c r="H576" s="222" t="str">
        <f>IFERROR(__xludf.DUMMYFUNCTION("""COMPUTED_VALUE"""),"MEDAN")</f>
        <v>MEDAN</v>
      </c>
      <c r="I576" s="222" t="str">
        <f>IFERROR(__xludf.DUMMYFUNCTION("""COMPUTED_VALUE"""),"Batch 2")</f>
        <v>Batch 2</v>
      </c>
      <c r="J576" s="225">
        <f>IFERROR(__xludf.DUMMYFUNCTION("""COMPUTED_VALUE"""),14.0)</f>
        <v>14</v>
      </c>
      <c r="K576" s="224">
        <f>IFERROR(__xludf.DUMMYFUNCTION("""COMPUTED_VALUE"""),112.0)</f>
        <v>112</v>
      </c>
      <c r="L576" s="226">
        <f>IFERROR(__xludf.DUMMYFUNCTION("""COMPUTED_VALUE"""),1210646.0)</f>
        <v>1210646</v>
      </c>
      <c r="M576" s="227">
        <f>IFERROR(__xludf.DUMMYFUNCTION("""COMPUTED_VALUE"""),1.35592335E8)</f>
        <v>135592335</v>
      </c>
      <c r="N576" s="222" t="str">
        <f>IFERROR(__xludf.DUMMYFUNCTION("""COMPUTED_VALUE"""),"PT NIAGA NUSANTARA DIVA")</f>
        <v>PT NIAGA NUSANTARA DIVA</v>
      </c>
      <c r="O576" s="222" t="str">
        <f>IFERROR(__xludf.DUMMYFUNCTION("""COMPUTED_VALUE"""),"0. DROP")</f>
        <v>0. DROP</v>
      </c>
      <c r="P576" s="222" t="str">
        <f>IFERROR(__xludf.DUMMYFUNCTION("""COMPUTED_VALUE"""),"0.4 CPP Tinggi Acc ED TIF")</f>
        <v>0.4 CPP Tinggi Acc ED TIF</v>
      </c>
      <c r="Q576" s="222" t="str">
        <f>IFERROR(__xludf.DUMMYFUNCTION("""COMPUTED_VALUE"""),"(07/01) Persiapan")</f>
        <v>(07/01) Persiapan</v>
      </c>
      <c r="R576" s="228"/>
      <c r="S576" s="11"/>
      <c r="T576" s="11"/>
      <c r="U576" s="11"/>
      <c r="V576" s="229"/>
      <c r="W576" s="229"/>
      <c r="X576" s="229" t="str">
        <f>IFERROR(__xludf.DUMMYFUNCTION("""COMPUTED_VALUE"""),"BELUM GOLIVE")</f>
        <v>BELUM GOLIVE</v>
      </c>
      <c r="Y576" s="229"/>
      <c r="Z576" s="229" t="str">
        <f>IFERROR(__xludf.DUMMYFUNCTION("""COMPUTED_VALUE"""),"#N/A")</f>
        <v>#N/A</v>
      </c>
      <c r="AA576" s="229"/>
      <c r="AB576" s="229"/>
      <c r="AC576" s="229"/>
      <c r="AD576" s="232"/>
      <c r="AE576" s="233"/>
      <c r="AF576" s="54" t="str">
        <f>IFERROR(__xludf.DUMMYFUNCTION("""COMPUTED_VALUE"""),"Draft BA DROP")</f>
        <v>Draft BA DROP</v>
      </c>
      <c r="AG576" s="54"/>
      <c r="AH576" s="54"/>
      <c r="AI576" s="55" t="str">
        <f t="shared" si="69"/>
        <v/>
      </c>
      <c r="AW576" s="234"/>
      <c r="BP576" s="11"/>
      <c r="BQ576" s="11"/>
      <c r="BR576" s="235"/>
      <c r="BV576" s="158"/>
      <c r="BY576" s="158"/>
      <c r="CB576" s="158"/>
    </row>
    <row r="577" ht="18.0" customHeight="1">
      <c r="A577" s="222">
        <f>IFERROR(__xludf.DUMMYFUNCTION("""COMPUTED_VALUE"""),2026.0)</f>
        <v>2026</v>
      </c>
      <c r="B577" s="221">
        <f>IFERROR(__xludf.DUMMYFUNCTION("""COMPUTED_VALUE"""),1.1527015E7)</f>
        <v>11527015</v>
      </c>
      <c r="C577" s="222" t="str">
        <f>IFERROR(__xludf.DUMMYFUNCTION("""COMPUTED_VALUE"""),"RKP TSEL PT3 LBJ-FV BALOI KOLAM 2")</f>
        <v>RKP TSEL PT3 LBJ-FV BALOI KOLAM 2</v>
      </c>
      <c r="D577" s="222" t="str">
        <f>IFERROR(__xludf.DUMMYFUNCTION("""COMPUTED_VALUE"""),"REGIONAL I")</f>
        <v>REGIONAL I</v>
      </c>
      <c r="E577" s="222" t="str">
        <f>IFERROR(__xludf.DUMMYFUNCTION("""COMPUTED_VALUE"""),"RIKEP")</f>
        <v>RIKEP</v>
      </c>
      <c r="F577" s="222" t="str">
        <f>IFERROR(__xludf.DUMMYFUNCTION("""COMPUTED_VALUE"""),"LBJ")</f>
        <v>LBJ</v>
      </c>
      <c r="G577" s="222" t="str">
        <f>IFERROR(__xludf.DUMMYFUNCTION("""COMPUTED_VALUE"""),"SUMBAGTENG")</f>
        <v>SUMBAGTENG</v>
      </c>
      <c r="H577" s="222" t="str">
        <f>IFERROR(__xludf.DUMMYFUNCTION("""COMPUTED_VALUE"""),"BATAM")</f>
        <v>BATAM</v>
      </c>
      <c r="I577" s="222" t="str">
        <f>IFERROR(__xludf.DUMMYFUNCTION("""COMPUTED_VALUE"""),"Batch 2")</f>
        <v>Batch 2</v>
      </c>
      <c r="J577" s="225">
        <f>IFERROR(__xludf.DUMMYFUNCTION("""COMPUTED_VALUE"""),2.0)</f>
        <v>2</v>
      </c>
      <c r="K577" s="224">
        <f>IFERROR(__xludf.DUMMYFUNCTION("""COMPUTED_VALUE"""),16.0)</f>
        <v>16</v>
      </c>
      <c r="L577" s="226">
        <f>IFERROR(__xludf.DUMMYFUNCTION("""COMPUTED_VALUE"""),1166846.0)</f>
        <v>1166846</v>
      </c>
      <c r="M577" s="227">
        <f>IFERROR(__xludf.DUMMYFUNCTION("""COMPUTED_VALUE"""),1.8669523E7)</f>
        <v>18669523</v>
      </c>
      <c r="N577" s="222" t="str">
        <f>IFERROR(__xludf.DUMMYFUNCTION("""COMPUTED_VALUE"""),"PT HDUA PUTRA PRAJODA")</f>
        <v>PT HDUA PUTRA PRAJODA</v>
      </c>
      <c r="O577" s="222" t="str">
        <f>IFERROR(__xludf.DUMMYFUNCTION("""COMPUTED_VALUE"""),"2. DONE AANWIJZING")</f>
        <v>2. DONE AANWIJZING</v>
      </c>
      <c r="P577" s="222" t="str">
        <f>IFERROR(__xludf.DUMMYFUNCTION("""COMPUTED_VALUE"""),"2.10 Kendala - Feeder Rusak")</f>
        <v>2.10 Kendala - Feeder Rusak</v>
      </c>
      <c r="Q577" s="222" t="str">
        <f>IFERROR(__xludf.DUMMYFUNCTION("""COMPUTED_VALUE"""),"31/03 Core  feeder rusak. 30/03 Tim mitra serial di LOP lain. 04/03 Izin OK, proses pengecekan core, tim mitra serial di LOP lain. 26/02 PIC perizinan fokus di daerah bengkong dan sekitar . 16/02 Plan Survey 17 Feb. 11/02 Peralihan mitra. 28/01 Plan surve"&amp;"y 29 Jan. 28/01 Mitra tripola belum ada PIC untuk anwijzing. 23/01 Plan anwijzing 26 Jan, pic mitra ada pertanggal 25 jan. 21/01 proses penunjukan mitra 
05/03 Proses Perizinan oke plan pekerjaan di tgl 10/03  ")</f>
        <v>31/03 Core  feeder rusak. 30/03 Tim mitra serial di LOP lain. 04/03 Izin OK, proses pengecekan core, tim mitra serial di LOP lain. 26/02 PIC perizinan fokus di daerah bengkong dan sekitar . 16/02 Plan Survey 17 Feb. 11/02 Peralihan mitra. 28/01 Plan survey 29 Jan. 28/01 Mitra tripola belum ada PIC untuk anwijzing. 23/01 Plan anwijzing 26 Jan, pic mitra ada pertanggal 25 jan. 21/01 proses penunjukan mitra 
05/03 Proses Perizinan oke plan pekerjaan di tgl 10/03  </v>
      </c>
      <c r="R577" s="228"/>
      <c r="S577" s="11"/>
      <c r="T577" s="11"/>
      <c r="U577" s="11" t="str">
        <f>IFERROR(__xludf.DUMMYFUNCTION("""COMPUTED_VALUE"""),"W09-225/2026")</f>
        <v>W09-225/2026</v>
      </c>
      <c r="V577" s="229" t="str">
        <f>IFERROR(__xludf.DUMMYFUNCTION("""COMPUTED_VALUE"""),"RONALDO LEO INFANTRI")</f>
        <v>RONALDO LEO INFANTRI</v>
      </c>
      <c r="W577" s="229" t="str">
        <f>IFERROR(__xludf.DUMMYFUNCTION("""COMPUTED_VALUE"""),"LEVITA INDRIYANI")</f>
        <v>LEVITA INDRIYANI</v>
      </c>
      <c r="X577" s="229" t="str">
        <f>IFERROR(__xludf.DUMMYFUNCTION("""COMPUTED_VALUE"""),"BELUM GOLIVE")</f>
        <v>BELUM GOLIVE</v>
      </c>
      <c r="Y577" s="229"/>
      <c r="Z577" s="229" t="str">
        <f>IFERROR(__xludf.DUMMYFUNCTION("""COMPUTED_VALUE"""),"#N/A")</f>
        <v>#N/A</v>
      </c>
      <c r="AA577" s="229"/>
      <c r="AB577" s="229"/>
      <c r="AC577" s="229"/>
      <c r="AD577" s="232"/>
      <c r="AE577" s="233"/>
      <c r="AF577" s="54"/>
      <c r="AG577" s="54"/>
      <c r="AH577" s="54"/>
      <c r="AI577" s="55" t="str">
        <f t="shared" si="69"/>
        <v/>
      </c>
      <c r="AW577" s="234"/>
      <c r="BP577" s="11"/>
      <c r="BQ577" s="11"/>
      <c r="BR577" s="235"/>
      <c r="BV577" s="158"/>
      <c r="BY577" s="158"/>
      <c r="CB577" s="158"/>
    </row>
    <row r="578" ht="18.0" hidden="1" customHeight="1">
      <c r="A578" s="222">
        <f>IFERROR(__xludf.DUMMYFUNCTION("""COMPUTED_VALUE"""),2026.0)</f>
        <v>2026</v>
      </c>
      <c r="B578" s="221">
        <f>IFERROR(__xludf.DUMMYFUNCTION("""COMPUTED_VALUE"""),1.1529154E7)</f>
        <v>11529154</v>
      </c>
      <c r="C578" s="222" t="str">
        <f>IFERROR(__xludf.DUMMYFUNCTION("""COMPUTED_VALUE"""),"SMS P3I1 PT3 MPA FR D05 SUKARAJA BUAY")</f>
        <v>SMS P3I1 PT3 MPA FR D05 SUKARAJA BUAY</v>
      </c>
      <c r="D578" s="222" t="str">
        <f>IFERROR(__xludf.DUMMYFUNCTION("""COMPUTED_VALUE"""),"REGIONAL I")</f>
        <v>REGIONAL I</v>
      </c>
      <c r="E578" s="222" t="str">
        <f>IFERROR(__xludf.DUMMYFUNCTION("""COMPUTED_VALUE"""),"SUMSEL")</f>
        <v>SUMSEL</v>
      </c>
      <c r="F578" s="222" t="str">
        <f>IFERROR(__xludf.DUMMYFUNCTION("""COMPUTED_VALUE"""),"MPA")</f>
        <v>MPA</v>
      </c>
      <c r="G578" s="222" t="str">
        <f>IFERROR(__xludf.DUMMYFUNCTION("""COMPUTED_VALUE"""),"SUMBAGSEL")</f>
        <v>SUMBAGSEL</v>
      </c>
      <c r="H578" s="222" t="str">
        <f>IFERROR(__xludf.DUMMYFUNCTION("""COMPUTED_VALUE"""),"PALEMBANG")</f>
        <v>PALEMBANG</v>
      </c>
      <c r="I578" s="222" t="str">
        <f>IFERROR(__xludf.DUMMYFUNCTION("""COMPUTED_VALUE"""),"Batch 2")</f>
        <v>Batch 2</v>
      </c>
      <c r="J578" s="225">
        <f>IFERROR(__xludf.DUMMYFUNCTION("""COMPUTED_VALUE"""),10.0)</f>
        <v>10</v>
      </c>
      <c r="K578" s="224">
        <f>IFERROR(__xludf.DUMMYFUNCTION("""COMPUTED_VALUE"""),80.0)</f>
        <v>80</v>
      </c>
      <c r="L578" s="226">
        <f>IFERROR(__xludf.DUMMYFUNCTION("""COMPUTED_VALUE"""),1210540.0)</f>
        <v>1210540</v>
      </c>
      <c r="M578" s="227">
        <f>IFERROR(__xludf.DUMMYFUNCTION("""COMPUTED_VALUE"""),9.6843169E7)</f>
        <v>96843169</v>
      </c>
      <c r="N578" s="222" t="str">
        <f>IFERROR(__xludf.DUMMYFUNCTION("""COMPUTED_VALUE"""),"PT GARINDO TECHNO MANDIRI")</f>
        <v>PT GARINDO TECHNO MANDIRI</v>
      </c>
      <c r="O578" s="222" t="str">
        <f>IFERROR(__xludf.DUMMYFUNCTION("""COMPUTED_VALUE"""),"5. INSTALASI")</f>
        <v>5. INSTALASI</v>
      </c>
      <c r="P578" s="222" t="str">
        <f>IFERROR(__xludf.DUMMYFUNCTION("""COMPUTED_VALUE"""),"5.4 Proses Penanaman Tiang")</f>
        <v>5.4 Proses Penanaman Tiang</v>
      </c>
      <c r="Q578" s="222" t="str">
        <f>IFERROR(__xludf.DUMMYFUNCTION("""COMPUTED_VALUE"""),"27/04 PROSES TANAM TIANG, 24/04 MENUNGGU ANTRIAN PEKERJAAN, 22/04 MENUNGGU ANTRIAN PEKERJAAN 21/04 tim masih progres di lokasi lain , material sdh di lokasi, 17/04 MENUNGGU ANTRIAN PEKERJAAN 13/04 Kirim Material 13 Apr 9/04 proses input material plan matd"&amp;"el  10 APR 07/04 DONE PR PO, LANJUT PROSES INPUT MATERIAL - KENDALA OVER BUDGET, 06/04 PROSES AMANDEMEN BUDGET, 04/04 BUTUH SFP DAN MASIH MENUNGGU PR PO, 02/04 MASIH MENUNGGU PR PO, 30/03 MENUNGGU PR PO, 28/03 DONE DRM, 27/03 PROSES DRM, 25/03 EST TGL 30 "&amp;"MAR DRM, 24/03 EST TGL 30 MAR DRM, 21/03 EST TGL 30 MAR DRM, 16/03 MASIH PROGRESS DRM, 13/03 OGP DRM, 09/03 IZIN SDH OK, LANJUT DRM, 06/03 OGP DRM, 04/03 OGP DRM, 03/03 LANJUT DRM, 24/02 DROP, BOQ NAIK DARI PLAN SEBESAR 10% - SDH ADA BA DROP, 06/02 HASIL "&amp;"REVIEW TSEL PROPOSE DROP - OVER BOQ LANJUT BATCH 4, 03/02 DONE EVAL, HOLD KARENA ADA PERUBAHAN DRI BRANCINGAN D05 TETAPI STUB CORE HABIS, MENJADI NEW DIST MAKA ADA KENAIKAN BOQ SEBESAR 10% DARI PLAN DAN CPP 1,3 JT 30/01 DONE AANWIDJZING TH 2025 - MENUNGGU"&amp;" HASIL EVAL, (26/1) tim TIF belum bisa EVAL hasil anwijzing karena lagi diluar kota , estimasi 29 jan baru kembali ke Palembang(25/01) DONE AANWIDJZING TH 2025, (21/01) menunggu antrian untuk aanwizjing lapangan, (15/1) SUDAH AANWIDJZING, MENUNGGU HASIL E"&amp;"VAL PALIM LAMBAT TANGGAL 23 JAN (15/1) ORDER DITERIMA MITRA 14/1, KENDALA FEEDER, PERLU QE, HASIL UKUR ADA DI GRUP (06/01)order JPP batch-2 2026 ((18/11) tidak masuk target optimis 2025 (18/11 done eval masih menunggu konfirmasi ke pihak kades karena kade"&amp;"s blm bisa di temui, 14/11 on progress eval, 13/11 MENUNGGU EVAL TIF -TA (08/11) SUDAH ANWIJZING , TUNGGU EVAL TIF -TA 5/11 menunggu jadwal aanwidzjing 23/10 penunjukan mitra")</f>
        <v>27/04 PROSES TANAM TIANG, 24/04 MENUNGGU ANTRIAN PEKERJAAN, 22/04 MENUNGGU ANTRIAN PEKERJAAN 21/04 tim masih progres di lokasi lain , material sdh di lokasi, 17/04 MENUNGGU ANTRIAN PEKERJAAN 13/04 Kirim Material 13 Apr 9/04 proses input material plan matdel  10 APR 07/04 DONE PR PO, LANJUT PROSES INPUT MATERIAL - KENDALA OVER BUDGET, 06/04 PROSES AMANDEMEN BUDGET, 04/04 BUTUH SFP DAN MASIH MENUNGGU PR PO, 02/04 MASIH MENUNGGU PR PO, 30/03 MENUNGGU PR PO, 28/03 DONE DRM, 27/03 PROSES DRM, 25/03 EST TGL 30 MAR DRM, 24/03 EST TGL 30 MAR DRM, 21/03 EST TGL 30 MAR DRM, 16/03 MASIH PROGRESS DRM, 13/03 OGP DRM, 09/03 IZIN SDH OK, LANJUT DRM, 06/03 OGP DRM, 04/03 OGP DRM, 03/03 LANJUT DRM, 24/02 DROP, BOQ NAIK DARI PLAN SEBESAR 10% - SDH ADA BA DROP, 06/02 HASIL REVIEW TSEL PROPOSE DROP - OVER BOQ LANJUT BATCH 4, 03/02 DONE EVAL, HOLD KARENA ADA PERUBAHAN DRI BRANCINGAN D05 TETAPI STUB CORE HABIS, MENJADI NEW DIST MAKA ADA KENAIKAN BOQ SEBESAR 10% DARI PLAN DAN CPP 1,3 JT 30/01 DONE AANWIDJZING TH 2025 - MENUNGGU HASIL EVAL, (26/1) tim TIF belum bisa EVAL hasil anwijzing karena lagi diluar kota , estimasi 29 jan baru kembali ke Palembang(25/01) DONE AANWIDJZING TH 2025, (21/01) menunggu antrian untuk aanwizjing lapangan, (15/1) SUDAH AANWIDJZING, MENUNGGU HASIL EVAL PALIM LAMBAT TANGGAL 23 JAN (15/1) ORDER DITERIMA MITRA 14/1, KENDALA FEEDER, PERLU QE, HASIL UKUR ADA DI GRUP (06/01)order JPP batch-2 2026 ((18/11) tidak masuk target optimis 2025 (18/11 done eval masih menunggu konfirmasi ke pihak kades karena kades blm bisa di temui, 14/11 on progress eval, 13/11 MENUNGGU EVAL TIF -TA (08/11) SUDAH ANWIJZING , TUNGGU EVAL TIF -TA 5/11 menunggu jadwal aanwidzjing 23/10 penunjukan mitra</v>
      </c>
      <c r="R578" s="228">
        <f>IFERROR(__xludf.DUMMYFUNCTION("""COMPUTED_VALUE"""),46142.0)</f>
        <v>46142</v>
      </c>
      <c r="S578" s="11" t="str">
        <f>IFERROR(__xludf.DUMMYFUNCTION("""COMPUTED_VALUE"""),"APR")</f>
        <v>APR</v>
      </c>
      <c r="T578" s="73" t="str">
        <f>IFERROR(__xludf.DUMMYFUNCTION("""COMPUTED_VALUE"""),"P1")</f>
        <v>P1</v>
      </c>
      <c r="U578" s="11"/>
      <c r="V578" s="229" t="str">
        <f>IFERROR(__xludf.DUMMYFUNCTION("""COMPUTED_VALUE"""),"TANTOWI")</f>
        <v>TANTOWI</v>
      </c>
      <c r="W578" s="229"/>
      <c r="X578" s="229" t="str">
        <f>IFERROR(__xludf.DUMMYFUNCTION("""COMPUTED_VALUE"""),"BELUM GOLIVE")</f>
        <v>BELUM GOLIVE</v>
      </c>
      <c r="Y578" s="229"/>
      <c r="Z578" s="229" t="str">
        <f>IFERROR(__xludf.DUMMYFUNCTION("""COMPUTED_VALUE"""),"#N/A")</f>
        <v>#N/A</v>
      </c>
      <c r="AA578" s="229"/>
      <c r="AB578" s="229"/>
      <c r="AC578" s="229"/>
      <c r="AD578" s="232"/>
      <c r="AE578" s="233"/>
      <c r="AF578" s="54"/>
      <c r="AG578" s="54"/>
      <c r="AH578" s="54">
        <v>46137.0</v>
      </c>
      <c r="AI578" s="55" t="str">
        <f t="shared" si="69"/>
        <v/>
      </c>
      <c r="AW578" s="234"/>
      <c r="BP578" s="11"/>
      <c r="BQ578" s="11"/>
      <c r="BR578" s="235"/>
      <c r="BV578" s="158"/>
      <c r="BY578" s="158"/>
      <c r="CB578" s="158"/>
    </row>
    <row r="579" ht="18.0" hidden="1" customHeight="1">
      <c r="A579" s="222">
        <f>IFERROR(__xludf.DUMMYFUNCTION("""COMPUTED_VALUE"""),2026.0)</f>
        <v>2026</v>
      </c>
      <c r="B579" s="221">
        <f>IFERROR(__xludf.DUMMYFUNCTION("""COMPUTED_VALUE"""),1.1675407E7)</f>
        <v>11675407</v>
      </c>
      <c r="C579" s="222" t="str">
        <f>IFERROR(__xludf.DUMMYFUNCTION("""COMPUTED_VALUE"""),"JBI-PT3-KOA-FP-SUKA MAJU")</f>
        <v>JBI-PT3-KOA-FP-SUKA MAJU</v>
      </c>
      <c r="D579" s="222" t="str">
        <f>IFERROR(__xludf.DUMMYFUNCTION("""COMPUTED_VALUE"""),"REGIONAL I")</f>
        <v>REGIONAL I</v>
      </c>
      <c r="E579" s="222" t="str">
        <f>IFERROR(__xludf.DUMMYFUNCTION("""COMPUTED_VALUE"""),"JAMBI")</f>
        <v>JAMBI</v>
      </c>
      <c r="F579" s="222" t="str">
        <f>IFERROR(__xludf.DUMMYFUNCTION("""COMPUTED_VALUE"""),"KOA")</f>
        <v>KOA</v>
      </c>
      <c r="G579" s="222" t="str">
        <f>IFERROR(__xludf.DUMMYFUNCTION("""COMPUTED_VALUE"""),"SUMBAGSEL")</f>
        <v>SUMBAGSEL</v>
      </c>
      <c r="H579" s="222" t="str">
        <f>IFERROR(__xludf.DUMMYFUNCTION("""COMPUTED_VALUE"""),"JAMBI")</f>
        <v>JAMBI</v>
      </c>
      <c r="I579" s="222" t="str">
        <f>IFERROR(__xludf.DUMMYFUNCTION("""COMPUTED_VALUE"""),"Batch 2")</f>
        <v>Batch 2</v>
      </c>
      <c r="J579" s="225">
        <f>IFERROR(__xludf.DUMMYFUNCTION("""COMPUTED_VALUE"""),9.0)</f>
        <v>9</v>
      </c>
      <c r="K579" s="224">
        <f>IFERROR(__xludf.DUMMYFUNCTION("""COMPUTED_VALUE"""),72.0)</f>
        <v>72</v>
      </c>
      <c r="L579" s="226">
        <f>IFERROR(__xludf.DUMMYFUNCTION("""COMPUTED_VALUE"""),1208982.0)</f>
        <v>1208982</v>
      </c>
      <c r="M579" s="227">
        <f>IFERROR(__xludf.DUMMYFUNCTION("""COMPUTED_VALUE"""),8.7046642E7)</f>
        <v>87046642</v>
      </c>
      <c r="N579" s="222" t="str">
        <f>IFERROR(__xludf.DUMMYFUNCTION("""COMPUTED_VALUE"""),"PT SARANA MITRA PERSADA")</f>
        <v>PT SARANA MITRA PERSADA</v>
      </c>
      <c r="O579" s="222" t="str">
        <f>IFERROR(__xludf.DUMMYFUNCTION("""COMPUTED_VALUE"""),"7. GOLIVE")</f>
        <v>7. GOLIVE</v>
      </c>
      <c r="P579" s="222" t="str">
        <f>IFERROR(__xludf.DUMMYFUNCTION("""COMPUTED_VALUE"""),"7.2 Golive Full / OA / DONE OTB")</f>
        <v>7.2 Golive Full / OA / DONE OTB</v>
      </c>
      <c r="Q579" s="222" t="str">
        <f>IFERROR(__xludf.DUMMYFUNCTION("""COMPUTED_VALUE"""),"(02/03) Golive. Drawing (28/02) Selesai Fisik Ogp valins (26/02) Tiang 0/9  tarik kabel 5.470/5.930 (25/02) Tiang 0/9  tarik kabel 3.300/5.930  (22/2) input material  (16/2)perijinan blm ok , pic minta wifi gratis , est 18 fu ulang ke lokasi  (6/2)  PP ke"&amp;"ndala TTD pak MULYA, (5/2) NEED SUPPORT TTD PP PAK WILLY PANJAITAN, BAKH TTD PAK ERZA   (29/1) pengajuan PP (22/01) Create PID (12/1) Proses aanwidjizing 7/1 DRM  (06/01)order JPP batch-2 2026 (17/11 prepare tim 6/11 (3/11) Input Material (15/10) CREATE P"&amp;"ID 08/10 Done Aanwijzing 06/10 Penjadwalan aanwijzing (16/09) Mapping mitra")</f>
        <v>(02/03) Golive. Drawing (28/02) Selesai Fisik Ogp valins (26/02) Tiang 0/9  tarik kabel 5.470/5.930 (25/02) Tiang 0/9  tarik kabel 3.300/5.930  (22/2) input material  (16/2)perijinan blm ok , pic minta wifi gratis , est 18 fu ulang ke lokasi  (6/2)  PP kendala TTD pak MULYA, (5/2) NEED SUPPORT TTD PP PAK WILLY PANJAITAN, BAKH TTD PAK ERZA   (29/1) pengajuan PP (22/01) Create PID (12/1) Proses aanwidjizing 7/1 DRM  (06/01)order JPP batch-2 2026 (17/11 prepare tim 6/11 (3/11) Input Material (15/10) CREATE PID 08/10 Done Aanwijzing 06/10 Penjadwalan aanwijzing (16/09) Mapping mitra</v>
      </c>
      <c r="R579" s="228">
        <f>IFERROR(__xludf.DUMMYFUNCTION("""COMPUTED_VALUE"""),46083.0)</f>
        <v>46083</v>
      </c>
      <c r="S579" s="11" t="str">
        <f>IFERROR(__xludf.DUMMYFUNCTION("""COMPUTED_VALUE"""),"MAR")</f>
        <v>MAR</v>
      </c>
      <c r="T579" s="11"/>
      <c r="U579" s="11"/>
      <c r="V579" s="229"/>
      <c r="W579" s="229"/>
      <c r="X579" s="229" t="str">
        <f>IFERROR(__xludf.DUMMYFUNCTION("""COMPUTED_VALUE"""),"GOLIVE")</f>
        <v>GOLIVE</v>
      </c>
      <c r="Y579" s="229" t="str">
        <f>IFERROR(__xludf.DUMMYFUNCTION("""COMPUTED_VALUE"""),"DONE")</f>
        <v>DONE</v>
      </c>
      <c r="Z579" s="229" t="str">
        <f>IFERROR(__xludf.DUMMYFUNCTION("""COMPUTED_VALUE"""),"#N/A")</f>
        <v>#N/A</v>
      </c>
      <c r="AA579" s="229">
        <f>IFERROR(__xludf.DUMMYFUNCTION("""COMPUTED_VALUE"""),9.0)</f>
        <v>9</v>
      </c>
      <c r="AB579" s="229"/>
      <c r="AC579" s="229" t="str">
        <f>IFERROR(__xludf.DUMMYFUNCTION("""COMPUTED_VALUE"""),"9096143#9096148")</f>
        <v>9096143#9096148</v>
      </c>
      <c r="AD579" s="232">
        <f>IFERROR(__xludf.DUMMYFUNCTION("""COMPUTED_VALUE"""),72.0)</f>
        <v>72</v>
      </c>
      <c r="AE579" s="233">
        <f>IFERROR(__xludf.DUMMYFUNCTION("""COMPUTED_VALUE"""),46083.0)</f>
        <v>46083</v>
      </c>
      <c r="AF579" s="54"/>
      <c r="AG579" s="54"/>
      <c r="AH579" s="54">
        <v>46083.0</v>
      </c>
      <c r="AI579" s="55">
        <f t="shared" si="69"/>
        <v>0</v>
      </c>
      <c r="AW579" s="234"/>
      <c r="BP579" s="11"/>
      <c r="BQ579" s="11"/>
      <c r="BR579" s="235"/>
      <c r="BV579" s="158"/>
      <c r="BY579" s="158"/>
      <c r="CB579" s="158"/>
    </row>
    <row r="580" ht="18.0" hidden="1" customHeight="1">
      <c r="A580" s="222">
        <f>IFERROR(__xludf.DUMMYFUNCTION("""COMPUTED_VALUE"""),2026.0)</f>
        <v>2026</v>
      </c>
      <c r="B580" s="221">
        <f>IFERROR(__xludf.DUMMYFUNCTION("""COMPUTED_VALUE"""),1.139342E7)</f>
        <v>11393420</v>
      </c>
      <c r="C580" s="222" t="str">
        <f>IFERROR(__xludf.DUMMYFUNCTION("""COMPUTED_VALUE"""),"BNK-BNC-JPPTSEL-PERUM GRAND VAGANZA 3")</f>
        <v>BNK-BNC-JPPTSEL-PERUM GRAND VAGANZA 3</v>
      </c>
      <c r="D580" s="222" t="str">
        <f>IFERROR(__xludf.DUMMYFUNCTION("""COMPUTED_VALUE"""),"REGIONAL I")</f>
        <v>REGIONAL I</v>
      </c>
      <c r="E580" s="222" t="str">
        <f>IFERROR(__xludf.DUMMYFUNCTION("""COMPUTED_VALUE"""),"BENGKULU")</f>
        <v>BENGKULU</v>
      </c>
      <c r="F580" s="222" t="str">
        <f>IFERROR(__xludf.DUMMYFUNCTION("""COMPUTED_VALUE"""),"BNC")</f>
        <v>BNC</v>
      </c>
      <c r="G580" s="222" t="str">
        <f>IFERROR(__xludf.DUMMYFUNCTION("""COMPUTED_VALUE"""),"SUMBAGSEL")</f>
        <v>SUMBAGSEL</v>
      </c>
      <c r="H580" s="222" t="str">
        <f>IFERROR(__xludf.DUMMYFUNCTION("""COMPUTED_VALUE"""),"BENGKULU")</f>
        <v>BENGKULU</v>
      </c>
      <c r="I580" s="222" t="str">
        <f>IFERROR(__xludf.DUMMYFUNCTION("""COMPUTED_VALUE"""),"Batch 2")</f>
        <v>Batch 2</v>
      </c>
      <c r="J580" s="225">
        <f>IFERROR(__xludf.DUMMYFUNCTION("""COMPUTED_VALUE"""),20.0)</f>
        <v>20</v>
      </c>
      <c r="K580" s="224">
        <f>IFERROR(__xludf.DUMMYFUNCTION("""COMPUTED_VALUE"""),160.0)</f>
        <v>160</v>
      </c>
      <c r="L580" s="226">
        <f>IFERROR(__xludf.DUMMYFUNCTION("""COMPUTED_VALUE"""),1208889.0)</f>
        <v>1208889</v>
      </c>
      <c r="M580" s="227">
        <f>IFERROR(__xludf.DUMMYFUNCTION("""COMPUTED_VALUE"""),1.93422181E8)</f>
        <v>193422181</v>
      </c>
      <c r="N580" s="222" t="str">
        <f>IFERROR(__xludf.DUMMYFUNCTION("""COMPUTED_VALUE"""),"PT Raharja Prakarsa Nusantara")</f>
        <v>PT Raharja Prakarsa Nusantara</v>
      </c>
      <c r="O580" s="222" t="str">
        <f>IFERROR(__xludf.DUMMYFUNCTION("""COMPUTED_VALUE"""),"0. DROP")</f>
        <v>0. DROP</v>
      </c>
      <c r="P580" s="222" t="str">
        <f>IFERROR(__xludf.DUMMYFUNCTION("""COMPUTED_VALUE"""),"0.2 Tidak Dapat Izin Warga/Kades/Lurah/Developer")</f>
        <v>0.2 Tidak Dapat Izin Warga/Kades/Lurah/Developer</v>
      </c>
      <c r="Q580" s="222" t="str">
        <f>IFERROR(__xludf.DUMMYFUNCTION("""COMPUTED_VALUE"""),"22/2 tidak mendapat IZIN 23/01 : Drop TSEL")</f>
        <v>22/2 tidak mendapat IZIN 23/01 : Drop TSEL</v>
      </c>
      <c r="R580" s="228"/>
      <c r="S580" s="11"/>
      <c r="T580" s="11"/>
      <c r="U580" s="11"/>
      <c r="V580" s="229"/>
      <c r="W580" s="229"/>
      <c r="X580" s="229" t="str">
        <f>IFERROR(__xludf.DUMMYFUNCTION("""COMPUTED_VALUE"""),"BELUM GOLIVE")</f>
        <v>BELUM GOLIVE</v>
      </c>
      <c r="Y580" s="229"/>
      <c r="Z580" s="229" t="str">
        <f>IFERROR(__xludf.DUMMYFUNCTION("""COMPUTED_VALUE"""),"#N/A")</f>
        <v>#N/A</v>
      </c>
      <c r="AA580" s="229"/>
      <c r="AB580" s="229"/>
      <c r="AC580" s="229"/>
      <c r="AD580" s="232"/>
      <c r="AE580" s="233"/>
      <c r="AF580" s="54" t="str">
        <f>IFERROR(__xludf.DUMMYFUNCTION("""COMPUTED_VALUE"""),"Draft BA DROP")</f>
        <v>Draft BA DROP</v>
      </c>
      <c r="AG580" s="54"/>
      <c r="AH580" s="54"/>
      <c r="AI580" s="55" t="str">
        <f t="shared" si="69"/>
        <v/>
      </c>
      <c r="AW580" s="234"/>
      <c r="BP580" s="11"/>
      <c r="BQ580" s="11"/>
      <c r="BR580" s="235"/>
      <c r="BV580" s="158"/>
      <c r="BY580" s="158"/>
      <c r="CB580" s="158"/>
    </row>
    <row r="581" ht="18.0" hidden="1" customHeight="1">
      <c r="A581" s="222">
        <f>IFERROR(__xludf.DUMMYFUNCTION("""COMPUTED_VALUE"""),2026.0)</f>
        <v>2026</v>
      </c>
      <c r="B581" s="221">
        <f>IFERROR(__xludf.DUMMYFUNCTION("""COMPUTED_VALUE"""),1.1282524E7)</f>
        <v>11282524</v>
      </c>
      <c r="C581" s="222" t="str">
        <f>IFERROR(__xludf.DUMMYFUNCTION("""COMPUTED_VALUE"""),"MDN PT3 P1I1 TTG-FJ JL.SEMPURNA 1")</f>
        <v>MDN PT3 P1I1 TTG-FJ JL.SEMPURNA 1</v>
      </c>
      <c r="D581" s="222" t="str">
        <f>IFERROR(__xludf.DUMMYFUNCTION("""COMPUTED_VALUE"""),"REGIONAL I")</f>
        <v>REGIONAL I</v>
      </c>
      <c r="E581" s="222" t="str">
        <f>IFERROR(__xludf.DUMMYFUNCTION("""COMPUTED_VALUE"""),"MEDAN")</f>
        <v>MEDAN</v>
      </c>
      <c r="F581" s="222" t="str">
        <f>IFERROR(__xludf.DUMMYFUNCTION("""COMPUTED_VALUE"""),"TTG")</f>
        <v>TTG</v>
      </c>
      <c r="G581" s="222" t="str">
        <f>IFERROR(__xludf.DUMMYFUNCTION("""COMPUTED_VALUE"""),"SUMBAGUT")</f>
        <v>SUMBAGUT</v>
      </c>
      <c r="H581" s="222" t="str">
        <f>IFERROR(__xludf.DUMMYFUNCTION("""COMPUTED_VALUE"""),"MEDAN")</f>
        <v>MEDAN</v>
      </c>
      <c r="I581" s="222" t="str">
        <f>IFERROR(__xludf.DUMMYFUNCTION("""COMPUTED_VALUE"""),"Batch 2")</f>
        <v>Batch 2</v>
      </c>
      <c r="J581" s="225">
        <f>IFERROR(__xludf.DUMMYFUNCTION("""COMPUTED_VALUE"""),16.0)</f>
        <v>16</v>
      </c>
      <c r="K581" s="224">
        <f>IFERROR(__xludf.DUMMYFUNCTION("""COMPUTED_VALUE"""),128.0)</f>
        <v>128</v>
      </c>
      <c r="L581" s="226">
        <f>IFERROR(__xludf.DUMMYFUNCTION("""COMPUTED_VALUE"""),1206578.0)</f>
        <v>1206578</v>
      </c>
      <c r="M581" s="227">
        <f>IFERROR(__xludf.DUMMYFUNCTION("""COMPUTED_VALUE"""),1.54441918E8)</f>
        <v>154441918</v>
      </c>
      <c r="N581" s="222" t="str">
        <f>IFERROR(__xludf.DUMMYFUNCTION("""COMPUTED_VALUE"""),"PT WALET SOLUSINDO")</f>
        <v>PT WALET SOLUSINDO</v>
      </c>
      <c r="O581" s="222" t="str">
        <f>IFERROR(__xludf.DUMMYFUNCTION("""COMPUTED_VALUE"""),"0. DROP")</f>
        <v>0. DROP</v>
      </c>
      <c r="P581" s="222" t="str">
        <f>IFERROR(__xludf.DUMMYFUNCTION("""COMPUTED_VALUE"""),"0.4 CPP Tinggi Acc ED TIF")</f>
        <v>0.4 CPP Tinggi Acc ED TIF</v>
      </c>
      <c r="Q581" s="222" t="str">
        <f>IFERROR(__xludf.DUMMYFUNCTION("""COMPUTED_VALUE"""),"13/02 Pengecekan ulang Feeder MDN PT4 P7I3 TTG-FJ KOMP HAWILA RESIDENCE 3 (12/01) DROP, kendala feeder habis, (07/01) Persiapan")</f>
        <v>13/02 Pengecekan ulang Feeder MDN PT4 P7I3 TTG-FJ KOMP HAWILA RESIDENCE 3 (12/01) DROP, kendala feeder habis, (07/01) Persiapan</v>
      </c>
      <c r="R581" s="228"/>
      <c r="S581" s="11"/>
      <c r="T581" s="11"/>
      <c r="U581" s="11"/>
      <c r="V581" s="229"/>
      <c r="W581" s="229"/>
      <c r="X581" s="229" t="str">
        <f>IFERROR(__xludf.DUMMYFUNCTION("""COMPUTED_VALUE"""),"BELUM GOLIVE")</f>
        <v>BELUM GOLIVE</v>
      </c>
      <c r="Y581" s="229"/>
      <c r="Z581" s="229" t="str">
        <f>IFERROR(__xludf.DUMMYFUNCTION("""COMPUTED_VALUE"""),"#N/A")</f>
        <v>#N/A</v>
      </c>
      <c r="AA581" s="229"/>
      <c r="AB581" s="229"/>
      <c r="AC581" s="229"/>
      <c r="AD581" s="232"/>
      <c r="AE581" s="233"/>
      <c r="AF581" s="54" t="str">
        <f>IFERROR(__xludf.DUMMYFUNCTION("""COMPUTED_VALUE"""),"Draft BA DROP")</f>
        <v>Draft BA DROP</v>
      </c>
      <c r="AG581" s="54"/>
      <c r="AH581" s="54"/>
      <c r="AI581" s="55" t="str">
        <f t="shared" si="69"/>
        <v/>
      </c>
      <c r="AW581" s="234"/>
      <c r="BP581" s="11"/>
      <c r="BQ581" s="11"/>
      <c r="BR581" s="235"/>
      <c r="BV581" s="158"/>
      <c r="BY581" s="158"/>
      <c r="CB581" s="158"/>
    </row>
    <row r="582" ht="18.0" hidden="1" customHeight="1">
      <c r="A582" s="222">
        <f>IFERROR(__xludf.DUMMYFUNCTION("""COMPUTED_VALUE"""),2026.0)</f>
        <v>2026</v>
      </c>
      <c r="B582" s="221">
        <f>IFERROR(__xludf.DUMMYFUNCTION("""COMPUTED_VALUE"""),1.213571E7)</f>
        <v>12135710</v>
      </c>
      <c r="C582" s="222" t="str">
        <f>IFERROR(__xludf.DUMMYFUNCTION("""COMPUTED_VALUE"""),"SMS PT3 ODC BKS FAQ D04 PALEMBANG 100082")</f>
        <v>SMS PT3 ODC BKS FAQ D04 PALEMBANG 100082</v>
      </c>
      <c r="D582" s="222" t="str">
        <f>IFERROR(__xludf.DUMMYFUNCTION("""COMPUTED_VALUE"""),"REGIONAL I")</f>
        <v>REGIONAL I</v>
      </c>
      <c r="E582" s="222" t="str">
        <f>IFERROR(__xludf.DUMMYFUNCTION("""COMPUTED_VALUE"""),"SUMSEL")</f>
        <v>SUMSEL</v>
      </c>
      <c r="F582" s="222" t="str">
        <f>IFERROR(__xludf.DUMMYFUNCTION("""COMPUTED_VALUE"""),"BKS")</f>
        <v>BKS</v>
      </c>
      <c r="G582" s="222" t="str">
        <f>IFERROR(__xludf.DUMMYFUNCTION("""COMPUTED_VALUE"""),"SUMBAGSEL")</f>
        <v>SUMBAGSEL</v>
      </c>
      <c r="H582" s="222" t="str">
        <f>IFERROR(__xludf.DUMMYFUNCTION("""COMPUTED_VALUE"""),"PALEMBANG")</f>
        <v>PALEMBANG</v>
      </c>
      <c r="I582" s="222" t="str">
        <f>IFERROR(__xludf.DUMMYFUNCTION("""COMPUTED_VALUE"""),"Batch 2")</f>
        <v>Batch 2</v>
      </c>
      <c r="J582" s="225">
        <f>IFERROR(__xludf.DUMMYFUNCTION("""COMPUTED_VALUE"""),2.0)</f>
        <v>2</v>
      </c>
      <c r="K582" s="224">
        <f>IFERROR(__xludf.DUMMYFUNCTION("""COMPUTED_VALUE"""),16.0)</f>
        <v>16</v>
      </c>
      <c r="L582" s="226">
        <f>IFERROR(__xludf.DUMMYFUNCTION("""COMPUTED_VALUE"""),1206459.0)</f>
        <v>1206459</v>
      </c>
      <c r="M582" s="227">
        <f>IFERROR(__xludf.DUMMYFUNCTION("""COMPUTED_VALUE"""),1.9303342E7)</f>
        <v>19303342</v>
      </c>
      <c r="N582" s="222" t="str">
        <f>IFERROR(__xludf.DUMMYFUNCTION("""COMPUTED_VALUE"""),"PT GARINDO TECHNO MANDIRI")</f>
        <v>PT GARINDO TECHNO MANDIRI</v>
      </c>
      <c r="O582" s="222" t="str">
        <f>IFERROR(__xludf.DUMMYFUNCTION("""COMPUTED_VALUE"""),"0. DROP")</f>
        <v>0. DROP</v>
      </c>
      <c r="P582" s="222" t="str">
        <f>IFERROR(__xludf.DUMMYFUNCTION("""COMPUTED_VALUE"""),"0.2 Tidak Dapat Izin Warga/Kades/Lurah/Developer")</f>
        <v>0.2 Tidak Dapat Izin Warga/Kades/Lurah/Developer</v>
      </c>
      <c r="Q582" s="222" t="str">
        <f>IFERROR(__xludf.DUMMYFUNCTION("""COMPUTED_VALUE"""),"28/2 Riview TIF 2 Mar  15/01 DROP stub core feeder habis (21/01) DROP, stub core feeder, (15/1) DROP KENDALA FEEDER (06/01)order JPP batch-2 2026 (18/11 DROP karena kendala feeder habis, 13/11 penunjukkan mitra, (11/11) Penunjukkan MITRA oleh Procurement "&amp;"10/11 mitra siscomtek ditunjuk sbagai mitra lop ini 3/11 mitra siscomtek ditunjuk sbagai mitra lop ini 23/10 belum di lakukan aanwizjing oleh mitra
 15/10 belum ada jadwal aanwjizjing dri mitra
 08/10 menunggu jadwal aanwzijing
 (01/10) menunggu jadwal aa"&amp;"nwizjing")</f>
        <v>28/2 Riview TIF 2 Mar  15/01 DROP stub core feeder habis (21/01) DROP, stub core feeder, (15/1) DROP KENDALA FEEDER (06/01)order JPP batch-2 2026 (18/11 DROP karena kendala feeder habis, 13/11 penunjukkan mitra, (11/11) Penunjukkan MITRA oleh Procurement 10/11 mitra siscomtek ditunjuk sbagai mitra lop ini 3/11 mitra siscomtek ditunjuk sbagai mitra lop ini 23/10 belum di lakukan aanwizjing oleh mitra
 15/10 belum ada jadwal aanwjizjing dri mitra
 08/10 menunggu jadwal aanwzijing
 (01/10) menunggu jadwal aanwizjing</v>
      </c>
      <c r="R582" s="228"/>
      <c r="S582" s="11"/>
      <c r="T582" s="11"/>
      <c r="U582" s="11"/>
      <c r="V582" s="229" t="str">
        <f>IFERROR(__xludf.DUMMYFUNCTION("""COMPUTED_VALUE"""),"PRIGUS")</f>
        <v>PRIGUS</v>
      </c>
      <c r="W582" s="229"/>
      <c r="X582" s="229" t="str">
        <f>IFERROR(__xludf.DUMMYFUNCTION("""COMPUTED_VALUE"""),"BELUM GOLIVE")</f>
        <v>BELUM GOLIVE</v>
      </c>
      <c r="Y582" s="229"/>
      <c r="Z582" s="229" t="str">
        <f>IFERROR(__xludf.DUMMYFUNCTION("""COMPUTED_VALUE"""),"#N/A")</f>
        <v>#N/A</v>
      </c>
      <c r="AA582" s="229"/>
      <c r="AB582" s="229"/>
      <c r="AC582" s="229"/>
      <c r="AD582" s="232"/>
      <c r="AE582" s="233"/>
      <c r="AF582" s="54" t="str">
        <f>IFERROR(__xludf.DUMMYFUNCTION("""COMPUTED_VALUE"""),"Draft BA DROP")</f>
        <v>Draft BA DROP</v>
      </c>
      <c r="AG582" s="54"/>
      <c r="AH582" s="54"/>
      <c r="AI582" s="55" t="str">
        <f t="shared" si="69"/>
        <v/>
      </c>
      <c r="AW582" s="234"/>
      <c r="BP582" s="11"/>
      <c r="BQ582" s="11"/>
      <c r="BR582" s="235"/>
      <c r="BV582" s="158"/>
      <c r="BY582" s="158"/>
      <c r="CB582" s="158"/>
    </row>
    <row r="583" ht="18.0" hidden="1" customHeight="1">
      <c r="A583" s="222">
        <f>IFERROR(__xludf.DUMMYFUNCTION("""COMPUTED_VALUE"""),2026.0)</f>
        <v>2026</v>
      </c>
      <c r="B583" s="221">
        <f>IFERROR(__xludf.DUMMYFUNCTION("""COMPUTED_VALUE"""),1.2383618E7)</f>
        <v>12383618</v>
      </c>
      <c r="C583" s="222" t="str">
        <f>IFERROR(__xludf.DUMMYFUNCTION("""COMPUTED_VALUE"""),"SMS P4I3 PT3 PLJ FBS D01 Jl REFINERY")</f>
        <v>SMS P4I3 PT3 PLJ FBS D01 Jl REFINERY</v>
      </c>
      <c r="D583" s="222" t="str">
        <f>IFERROR(__xludf.DUMMYFUNCTION("""COMPUTED_VALUE"""),"REGIONAL I")</f>
        <v>REGIONAL I</v>
      </c>
      <c r="E583" s="222" t="str">
        <f>IFERROR(__xludf.DUMMYFUNCTION("""COMPUTED_VALUE"""),"SUMSEL")</f>
        <v>SUMSEL</v>
      </c>
      <c r="F583" s="222" t="str">
        <f>IFERROR(__xludf.DUMMYFUNCTION("""COMPUTED_VALUE"""),"PLJ")</f>
        <v>PLJ</v>
      </c>
      <c r="G583" s="222" t="str">
        <f>IFERROR(__xludf.DUMMYFUNCTION("""COMPUTED_VALUE"""),"SUMBAGSEL")</f>
        <v>SUMBAGSEL</v>
      </c>
      <c r="H583" s="222" t="str">
        <f>IFERROR(__xludf.DUMMYFUNCTION("""COMPUTED_VALUE"""),"PALEMBANG")</f>
        <v>PALEMBANG</v>
      </c>
      <c r="I583" s="222" t="str">
        <f>IFERROR(__xludf.DUMMYFUNCTION("""COMPUTED_VALUE"""),"Batch 2")</f>
        <v>Batch 2</v>
      </c>
      <c r="J583" s="225">
        <f>IFERROR(__xludf.DUMMYFUNCTION("""COMPUTED_VALUE"""),6.0)</f>
        <v>6</v>
      </c>
      <c r="K583" s="224">
        <f>IFERROR(__xludf.DUMMYFUNCTION("""COMPUTED_VALUE"""),48.0)</f>
        <v>48</v>
      </c>
      <c r="L583" s="226">
        <f>IFERROR(__xludf.DUMMYFUNCTION("""COMPUTED_VALUE"""),1206412.0)</f>
        <v>1206412</v>
      </c>
      <c r="M583" s="227">
        <f>IFERROR(__xludf.DUMMYFUNCTION("""COMPUTED_VALUE"""),5.790777E7)</f>
        <v>57907770</v>
      </c>
      <c r="N583" s="222" t="str">
        <f>IFERROR(__xludf.DUMMYFUNCTION("""COMPUTED_VALUE"""),"PT ACERO CETHA METALINDO")</f>
        <v>PT ACERO CETHA METALINDO</v>
      </c>
      <c r="O583" s="222" t="str">
        <f>IFERROR(__xludf.DUMMYFUNCTION("""COMPUTED_VALUE"""),"0. DROP")</f>
        <v>0. DROP</v>
      </c>
      <c r="P583" s="222" t="str">
        <f>IFERROR(__xludf.DUMMYFUNCTION("""COMPUTED_VALUE"""),"0.2 Tidak Dapat Izin Warga/Kades/Lurah/Developer")</f>
        <v>0.2 Tidak Dapat Izin Warga/Kades/Lurah/Developer</v>
      </c>
      <c r="Q583" s="222" t="str">
        <f>IFERROR(__xludf.DUMMYFUNCTION("""COMPUTED_VALUE"""),"22/2 tidak medapatkan izin  (11/02) belum dpt update dari sales untuk cek lokasi tanam tiang, 06/02 HASIL REVIEW TSEL LANJUT VISIT KE LOKASI BARENG TIM SALES UNTUK CEK LOKASI YG TIDKA BISA TANAM TIANG, 03/02 DONE EVAL, DROP DILOKASI TIDAK ADA SPACE UNTUK "&amp;"TANAM TIANG 03/02 DONE EVAL, DROP DILOKASI TIDAK ADA SPACE UNTUK TANAM TIANG, 30/01 MENUNGGU JADWAL EVAL, 22/01 SUDAH AANWIDJZING, LANJUT EVAL, (15/1) ORDER DITERIMA MITRA 14/1, plan Aanwijdzing 19 Jan (06/01)order JPP batch-2 2026 ((14/11)HOLD- tidak mas"&amp;"uk target Optimis 2025 (14/11 aanwidjzing, 13/11 aanwidjzing, (11/11) Penunjukkan MITRA oleh Procurement")</f>
        <v>22/2 tidak medapatkan izin  (11/02) belum dpt update dari sales untuk cek lokasi tanam tiang, 06/02 HASIL REVIEW TSEL LANJUT VISIT KE LOKASI BARENG TIM SALES UNTUK CEK LOKASI YG TIDKA BISA TANAM TIANG, 03/02 DONE EVAL, DROP DILOKASI TIDAK ADA SPACE UNTUK TANAM TIANG 03/02 DONE EVAL, DROP DILOKASI TIDAK ADA SPACE UNTUK TANAM TIANG, 30/01 MENUNGGU JADWAL EVAL, 22/01 SUDAH AANWIDJZING, LANJUT EVAL, (15/1) ORDER DITERIMA MITRA 14/1, plan Aanwijdzing 19 Jan (06/01)order JPP batch-2 2026 ((14/11)HOLD- tidak masuk target Optimis 2025 (14/11 aanwidjzing, 13/11 aanwidjzing, (11/11) Penunjukkan MITRA oleh Procurement</v>
      </c>
      <c r="R583" s="228"/>
      <c r="S583" s="11"/>
      <c r="T583" s="11"/>
      <c r="U583" s="11"/>
      <c r="V583" s="229" t="str">
        <f>IFERROR(__xludf.DUMMYFUNCTION("""COMPUTED_VALUE"""),"PRIGUS")</f>
        <v>PRIGUS</v>
      </c>
      <c r="W583" s="229"/>
      <c r="X583" s="229" t="str">
        <f>IFERROR(__xludf.DUMMYFUNCTION("""COMPUTED_VALUE"""),"BELUM GOLIVE")</f>
        <v>BELUM GOLIVE</v>
      </c>
      <c r="Y583" s="229"/>
      <c r="Z583" s="229" t="str">
        <f>IFERROR(__xludf.DUMMYFUNCTION("""COMPUTED_VALUE"""),"#N/A")</f>
        <v>#N/A</v>
      </c>
      <c r="AA583" s="229"/>
      <c r="AB583" s="229"/>
      <c r="AC583" s="229"/>
      <c r="AD583" s="232"/>
      <c r="AE583" s="233"/>
      <c r="AF583" s="54" t="str">
        <f>IFERROR(__xludf.DUMMYFUNCTION("""COMPUTED_VALUE"""),"Draft BA DROP")</f>
        <v>Draft BA DROP</v>
      </c>
      <c r="AG583" s="54"/>
      <c r="AH583" s="54"/>
      <c r="AI583" s="55" t="str">
        <f t="shared" si="69"/>
        <v/>
      </c>
      <c r="AW583" s="234"/>
      <c r="BP583" s="11"/>
      <c r="BQ583" s="11"/>
      <c r="BR583" s="235"/>
      <c r="BV583" s="158"/>
      <c r="BY583" s="158"/>
      <c r="CB583" s="158"/>
    </row>
    <row r="584" ht="18.0" hidden="1" customHeight="1">
      <c r="A584" s="222">
        <f>IFERROR(__xludf.DUMMYFUNCTION("""COMPUTED_VALUE"""),2026.0)</f>
        <v>2026</v>
      </c>
      <c r="B584" s="221">
        <f>IFERROR(__xludf.DUMMYFUNCTION("""COMPUTED_VALUE"""),1.24796E7)</f>
        <v>12479600</v>
      </c>
      <c r="C584" s="222" t="str">
        <f>IFERROR(__xludf.DUMMYFUNCTION("""COMPUTED_VALUE"""),"MDN PT3 TTG-FK 250_1549_1625")</f>
        <v>MDN PT3 TTG-FK 250_1549_1625</v>
      </c>
      <c r="D584" s="222" t="str">
        <f>IFERROR(__xludf.DUMMYFUNCTION("""COMPUTED_VALUE"""),"REGIONAL I")</f>
        <v>REGIONAL I</v>
      </c>
      <c r="E584" s="222" t="str">
        <f>IFERROR(__xludf.DUMMYFUNCTION("""COMPUTED_VALUE"""),"MEDAN")</f>
        <v>MEDAN</v>
      </c>
      <c r="F584" s="222" t="str">
        <f>IFERROR(__xludf.DUMMYFUNCTION("""COMPUTED_VALUE"""),"TTG")</f>
        <v>TTG</v>
      </c>
      <c r="G584" s="222" t="str">
        <f>IFERROR(__xludf.DUMMYFUNCTION("""COMPUTED_VALUE"""),"SUMBAGUT")</f>
        <v>SUMBAGUT</v>
      </c>
      <c r="H584" s="222" t="str">
        <f>IFERROR(__xludf.DUMMYFUNCTION("""COMPUTED_VALUE"""),"MEDAN")</f>
        <v>MEDAN</v>
      </c>
      <c r="I584" s="222" t="str">
        <f>IFERROR(__xludf.DUMMYFUNCTION("""COMPUTED_VALUE"""),"Batch 2")</f>
        <v>Batch 2</v>
      </c>
      <c r="J584" s="225">
        <f>IFERROR(__xludf.DUMMYFUNCTION("""COMPUTED_VALUE"""),2.0)</f>
        <v>2</v>
      </c>
      <c r="K584" s="224">
        <f>IFERROR(__xludf.DUMMYFUNCTION("""COMPUTED_VALUE"""),16.0)</f>
        <v>16</v>
      </c>
      <c r="L584" s="226">
        <f>IFERROR(__xludf.DUMMYFUNCTION("""COMPUTED_VALUE"""),1206224.0)</f>
        <v>1206224</v>
      </c>
      <c r="M584" s="227">
        <f>IFERROR(__xludf.DUMMYFUNCTION("""COMPUTED_VALUE"""),1.9299584E7)</f>
        <v>19299584</v>
      </c>
      <c r="N584" s="222" t="str">
        <f>IFERROR(__xludf.DUMMYFUNCTION("""COMPUTED_VALUE"""),"SWAKELOLA")</f>
        <v>SWAKELOLA</v>
      </c>
      <c r="O584" s="222" t="str">
        <f>IFERROR(__xludf.DUMMYFUNCTION("""COMPUTED_VALUE"""),"0. DROP")</f>
        <v>0. DROP</v>
      </c>
      <c r="P584" s="222" t="str">
        <f>IFERROR(__xludf.DUMMYFUNCTION("""COMPUTED_VALUE"""),"0.4 CPP Tinggi Acc ED TIF")</f>
        <v>0.4 CPP Tinggi Acc ED TIF</v>
      </c>
      <c r="Q584" s="222" t="str">
        <f>IFERROR(__xludf.DUMMYFUNCTION("""COMPUTED_VALUE"""),"(07/01) Persiapan")</f>
        <v>(07/01) Persiapan</v>
      </c>
      <c r="R584" s="228"/>
      <c r="S584" s="11"/>
      <c r="T584" s="11"/>
      <c r="U584" s="11"/>
      <c r="V584" s="229"/>
      <c r="W584" s="229"/>
      <c r="X584" s="229" t="str">
        <f>IFERROR(__xludf.DUMMYFUNCTION("""COMPUTED_VALUE"""),"BELUM GOLIVE")</f>
        <v>BELUM GOLIVE</v>
      </c>
      <c r="Y584" s="229"/>
      <c r="Z584" s="229" t="str">
        <f>IFERROR(__xludf.DUMMYFUNCTION("""COMPUTED_VALUE"""),"#N/A")</f>
        <v>#N/A</v>
      </c>
      <c r="AA584" s="229"/>
      <c r="AB584" s="229"/>
      <c r="AC584" s="229"/>
      <c r="AD584" s="232"/>
      <c r="AE584" s="233"/>
      <c r="AF584" s="54" t="str">
        <f>IFERROR(__xludf.DUMMYFUNCTION("""COMPUTED_VALUE"""),"Draft BA DROP")</f>
        <v>Draft BA DROP</v>
      </c>
      <c r="AG584" s="54"/>
      <c r="AH584" s="54"/>
      <c r="AI584" s="55" t="str">
        <f t="shared" si="69"/>
        <v/>
      </c>
      <c r="AW584" s="234"/>
      <c r="BP584" s="11"/>
      <c r="BQ584" s="11"/>
      <c r="BR584" s="235"/>
      <c r="BV584" s="158"/>
      <c r="BY584" s="158"/>
      <c r="CB584" s="158"/>
    </row>
    <row r="585" ht="18.0" customHeight="1">
      <c r="A585" s="222">
        <f>IFERROR(__xludf.DUMMYFUNCTION("""COMPUTED_VALUE"""),2026.0)</f>
        <v>2026</v>
      </c>
      <c r="B585" s="221">
        <f>IFERROR(__xludf.DUMMYFUNCTION("""COMPUTED_VALUE"""),1.1316511E7)</f>
        <v>11316511</v>
      </c>
      <c r="C585" s="222" t="str">
        <f>IFERROR(__xludf.DUMMYFUNCTION("""COMPUTED_VALUE"""),"RKP PT3 TSEL SLU-FS GESYA GREEN PARK")</f>
        <v>RKP PT3 TSEL SLU-FS GESYA GREEN PARK</v>
      </c>
      <c r="D585" s="222" t="str">
        <f>IFERROR(__xludf.DUMMYFUNCTION("""COMPUTED_VALUE"""),"REGIONAL I")</f>
        <v>REGIONAL I</v>
      </c>
      <c r="E585" s="222" t="str">
        <f>IFERROR(__xludf.DUMMYFUNCTION("""COMPUTED_VALUE"""),"RIKEP")</f>
        <v>RIKEP</v>
      </c>
      <c r="F585" s="222" t="str">
        <f>IFERROR(__xludf.DUMMYFUNCTION("""COMPUTED_VALUE"""),"SLU")</f>
        <v>SLU</v>
      </c>
      <c r="G585" s="222" t="str">
        <f>IFERROR(__xludf.DUMMYFUNCTION("""COMPUTED_VALUE"""),"SUMBAGTENG")</f>
        <v>SUMBAGTENG</v>
      </c>
      <c r="H585" s="222" t="str">
        <f>IFERROR(__xludf.DUMMYFUNCTION("""COMPUTED_VALUE"""),"BATAM")</f>
        <v>BATAM</v>
      </c>
      <c r="I585" s="222" t="str">
        <f>IFERROR(__xludf.DUMMYFUNCTION("""COMPUTED_VALUE"""),"Batch 2")</f>
        <v>Batch 2</v>
      </c>
      <c r="J585" s="225">
        <f>IFERROR(__xludf.DUMMYFUNCTION("""COMPUTED_VALUE"""),5.0)</f>
        <v>5</v>
      </c>
      <c r="K585" s="224">
        <f>IFERROR(__xludf.DUMMYFUNCTION("""COMPUTED_VALUE"""),40.0)</f>
        <v>40</v>
      </c>
      <c r="L585" s="226">
        <f>IFERROR(__xludf.DUMMYFUNCTION("""COMPUTED_VALUE"""),1204861.0)</f>
        <v>1204861</v>
      </c>
      <c r="M585" s="227">
        <f>IFERROR(__xludf.DUMMYFUNCTION("""COMPUTED_VALUE"""),4.8194427E7)</f>
        <v>48194427</v>
      </c>
      <c r="N585" s="222" t="str">
        <f>IFERROR(__xludf.DUMMYFUNCTION("""COMPUTED_VALUE"""),"PT MITRA SETIA INDONESIA")</f>
        <v>PT MITRA SETIA INDONESIA</v>
      </c>
      <c r="O585" s="222" t="str">
        <f>IFERROR(__xludf.DUMMYFUNCTION("""COMPUTED_VALUE"""),"0. DROP")</f>
        <v>0. DROP</v>
      </c>
      <c r="P585" s="222" t="str">
        <f>IFERROR(__xludf.DUMMYFUNCTION("""COMPUTED_VALUE"""),"0.2 Tidak Dapat Izin Warga/Kades/Lurah/Developer")</f>
        <v>0.2 Tidak Dapat Izin Warga/Kades/Lurah/Developer</v>
      </c>
      <c r="Q585" s="222" t="str">
        <f>IFERROR(__xludf.DUMMYFUNCTION("""COMPUTED_VALUE"""),"21/01 Drop izin tidak di acc developer")</f>
        <v>21/01 Drop izin tidak di acc developer</v>
      </c>
      <c r="R585" s="228"/>
      <c r="S585" s="11"/>
      <c r="T585" s="11"/>
      <c r="U585" s="11"/>
      <c r="V585" s="229" t="str">
        <f>IFERROR(__xludf.DUMMYFUNCTION("""COMPUTED_VALUE"""),"MUHAMMAD RIDHO FALFO")</f>
        <v>MUHAMMAD RIDHO FALFO</v>
      </c>
      <c r="W585" s="229" t="str">
        <f>IFERROR(__xludf.DUMMYFUNCTION("""COMPUTED_VALUE"""),"LEVITA INDRIYANI")</f>
        <v>LEVITA INDRIYANI</v>
      </c>
      <c r="X585" s="229" t="str">
        <f>IFERROR(__xludf.DUMMYFUNCTION("""COMPUTED_VALUE"""),"BELUM GOLIVE")</f>
        <v>BELUM GOLIVE</v>
      </c>
      <c r="Y585" s="229"/>
      <c r="Z585" s="229" t="str">
        <f>IFERROR(__xludf.DUMMYFUNCTION("""COMPUTED_VALUE"""),"#N/A")</f>
        <v>#N/A</v>
      </c>
      <c r="AA585" s="229"/>
      <c r="AB585" s="229"/>
      <c r="AC585" s="229"/>
      <c r="AD585" s="232"/>
      <c r="AE585" s="233"/>
      <c r="AF585" s="54" t="str">
        <f>IFERROR(__xludf.DUMMYFUNCTION("""COMPUTED_VALUE"""),"Draft BA DROP")</f>
        <v>Draft BA DROP</v>
      </c>
      <c r="AG585" s="54"/>
      <c r="AH585" s="54"/>
      <c r="AI585" s="55" t="str">
        <f t="shared" si="69"/>
        <v/>
      </c>
      <c r="AW585" s="234"/>
      <c r="BP585" s="11"/>
      <c r="BQ585" s="11"/>
      <c r="BR585" s="235"/>
      <c r="BV585" s="158"/>
      <c r="BY585" s="158"/>
      <c r="CB585" s="158"/>
    </row>
    <row r="586" ht="18.0" hidden="1" customHeight="1">
      <c r="A586" s="222">
        <f>IFERROR(__xludf.DUMMYFUNCTION("""COMPUTED_VALUE"""),2026.0)</f>
        <v>2026</v>
      </c>
      <c r="B586" s="221">
        <f>IFERROR(__xludf.DUMMYFUNCTION("""COMPUTED_VALUE"""),1.2298895E7)</f>
        <v>12298895</v>
      </c>
      <c r="C586" s="222" t="str">
        <f>IFERROR(__xludf.DUMMYFUNCTION("""COMPUTED_VALUE"""),"ACH PT3 SGI-FU BR.D01 TANJONG TEUBENG")</f>
        <v>ACH PT3 SGI-FU BR.D01 TANJONG TEUBENG</v>
      </c>
      <c r="D586" s="222" t="str">
        <f>IFERROR(__xludf.DUMMYFUNCTION("""COMPUTED_VALUE"""),"REGIONAL I")</f>
        <v>REGIONAL I</v>
      </c>
      <c r="E586" s="222" t="str">
        <f>IFERROR(__xludf.DUMMYFUNCTION("""COMPUTED_VALUE"""),"ACEH")</f>
        <v>ACEH</v>
      </c>
      <c r="F586" s="222" t="str">
        <f>IFERROR(__xludf.DUMMYFUNCTION("""COMPUTED_VALUE"""),"SGI")</f>
        <v>SGI</v>
      </c>
      <c r="G586" s="222" t="str">
        <f>IFERROR(__xludf.DUMMYFUNCTION("""COMPUTED_VALUE"""),"SUMBAGUT")</f>
        <v>SUMBAGUT</v>
      </c>
      <c r="H586" s="222" t="str">
        <f>IFERROR(__xludf.DUMMYFUNCTION("""COMPUTED_VALUE"""),"BANDA ACEH")</f>
        <v>BANDA ACEH</v>
      </c>
      <c r="I586" s="222" t="str">
        <f>IFERROR(__xludf.DUMMYFUNCTION("""COMPUTED_VALUE"""),"Batch 2")</f>
        <v>Batch 2</v>
      </c>
      <c r="J586" s="225">
        <f>IFERROR(__xludf.DUMMYFUNCTION("""COMPUTED_VALUE"""),5.0)</f>
        <v>5</v>
      </c>
      <c r="K586" s="224">
        <f>IFERROR(__xludf.DUMMYFUNCTION("""COMPUTED_VALUE"""),40.0)</f>
        <v>40</v>
      </c>
      <c r="L586" s="226">
        <f>IFERROR(__xludf.DUMMYFUNCTION("""COMPUTED_VALUE"""),1204230.0)</f>
        <v>1204230</v>
      </c>
      <c r="M586" s="227">
        <f>IFERROR(__xludf.DUMMYFUNCTION("""COMPUTED_VALUE"""),4.8169191E7)</f>
        <v>48169191</v>
      </c>
      <c r="N586" s="222" t="str">
        <f>IFERROR(__xludf.DUMMYFUNCTION("""COMPUTED_VALUE"""),"PT TRIPOLA PANATA")</f>
        <v>PT TRIPOLA PANATA</v>
      </c>
      <c r="O586" s="222" t="str">
        <f>IFERROR(__xludf.DUMMYFUNCTION("""COMPUTED_VALUE"""),"7. GOLIVE")</f>
        <v>7. GOLIVE</v>
      </c>
      <c r="P586" s="222" t="str">
        <f>IFERROR(__xludf.DUMMYFUNCTION("""COMPUTED_VALUE"""),"7.2 Golive Full / OA / DONE OTB")</f>
        <v>7.2 Golive Full / OA / DONE OTB</v>
      </c>
      <c r="Q586" s="222" t="str">
        <f>IFERROR(__xludf.DUMMYFUNCTION("""COMPUTED_VALUE"""),"(05/03) DelMat (11/02) core putus di 566m (07/01) Persiapan")</f>
        <v>(05/03) DelMat (11/02) core putus di 566m (07/01) Persiapan</v>
      </c>
      <c r="R586" s="228"/>
      <c r="S586" s="11"/>
      <c r="T586" s="11"/>
      <c r="U586" s="11"/>
      <c r="V586" s="229"/>
      <c r="W586" s="229"/>
      <c r="X586" s="229" t="str">
        <f>IFERROR(__xludf.DUMMYFUNCTION("""COMPUTED_VALUE"""),"GOLIVE")</f>
        <v>GOLIVE</v>
      </c>
      <c r="Y586" s="229" t="str">
        <f>IFERROR(__xludf.DUMMYFUNCTION("""COMPUTED_VALUE"""),"DONE")</f>
        <v>DONE</v>
      </c>
      <c r="Z586" s="229" t="str">
        <f>IFERROR(__xludf.DUMMYFUNCTION("""COMPUTED_VALUE"""),"#N/A")</f>
        <v>#N/A</v>
      </c>
      <c r="AA586" s="229">
        <f>IFERROR(__xludf.DUMMYFUNCTION("""COMPUTED_VALUE"""),5.0)</f>
        <v>5</v>
      </c>
      <c r="AB586" s="229"/>
      <c r="AC586" s="229" t="str">
        <f>IFERROR(__xludf.DUMMYFUNCTION("""COMPUTED_VALUE"""),"9209784#9209789")</f>
        <v>9209784#9209789</v>
      </c>
      <c r="AD586" s="232">
        <f>IFERROR(__xludf.DUMMYFUNCTION("""COMPUTED_VALUE"""),40.0)</f>
        <v>40</v>
      </c>
      <c r="AE586" s="233">
        <f>IFERROR(__xludf.DUMMYFUNCTION("""COMPUTED_VALUE"""),46097.0)</f>
        <v>46097</v>
      </c>
      <c r="AF586" s="54"/>
      <c r="AG586" s="54"/>
      <c r="AH586" s="54"/>
      <c r="AI586" s="55" t="str">
        <f t="shared" si="69"/>
        <v/>
      </c>
      <c r="AW586" s="234"/>
      <c r="BP586" s="11"/>
      <c r="BQ586" s="11"/>
      <c r="BR586" s="235"/>
      <c r="BV586" s="158"/>
      <c r="BY586" s="158"/>
      <c r="CB586" s="158"/>
    </row>
    <row r="587" ht="18.0" customHeight="1">
      <c r="A587" s="222">
        <f>IFERROR(__xludf.DUMMYFUNCTION("""COMPUTED_VALUE"""),2026.0)</f>
        <v>2026</v>
      </c>
      <c r="B587" s="221">
        <f>IFERROR(__xludf.DUMMYFUNCTION("""COMPUTED_VALUE"""),1.1526724E7)</f>
        <v>11526724</v>
      </c>
      <c r="C587" s="222" t="str">
        <f>IFERROR(__xludf.DUMMYFUNCTION("""COMPUTED_VALUE"""),"RKP TSEL PT3 LBJ-FBB ANGGREK PERMAI")</f>
        <v>RKP TSEL PT3 LBJ-FBB ANGGREK PERMAI</v>
      </c>
      <c r="D587" s="222" t="str">
        <f>IFERROR(__xludf.DUMMYFUNCTION("""COMPUTED_VALUE"""),"REGIONAL I")</f>
        <v>REGIONAL I</v>
      </c>
      <c r="E587" s="222" t="str">
        <f>IFERROR(__xludf.DUMMYFUNCTION("""COMPUTED_VALUE"""),"RIKEP")</f>
        <v>RIKEP</v>
      </c>
      <c r="F587" s="222" t="str">
        <f>IFERROR(__xludf.DUMMYFUNCTION("""COMPUTED_VALUE"""),"LBJ")</f>
        <v>LBJ</v>
      </c>
      <c r="G587" s="222" t="str">
        <f>IFERROR(__xludf.DUMMYFUNCTION("""COMPUTED_VALUE"""),"SUMBAGTENG")</f>
        <v>SUMBAGTENG</v>
      </c>
      <c r="H587" s="222" t="str">
        <f>IFERROR(__xludf.DUMMYFUNCTION("""COMPUTED_VALUE"""),"BATAM")</f>
        <v>BATAM</v>
      </c>
      <c r="I587" s="222" t="str">
        <f>IFERROR(__xludf.DUMMYFUNCTION("""COMPUTED_VALUE"""),"Batch 2")</f>
        <v>Batch 2</v>
      </c>
      <c r="J587" s="225">
        <f>IFERROR(__xludf.DUMMYFUNCTION("""COMPUTED_VALUE"""),4.0)</f>
        <v>4</v>
      </c>
      <c r="K587" s="224">
        <f>IFERROR(__xludf.DUMMYFUNCTION("""COMPUTED_VALUE"""),32.0)</f>
        <v>32</v>
      </c>
      <c r="L587" s="226">
        <f>IFERROR(__xludf.DUMMYFUNCTION("""COMPUTED_VALUE"""),1203473.0)</f>
        <v>1203473</v>
      </c>
      <c r="M587" s="227">
        <f>IFERROR(__xludf.DUMMYFUNCTION("""COMPUTED_VALUE"""),3.8511106E7)</f>
        <v>38511106</v>
      </c>
      <c r="N587" s="222" t="str">
        <f>IFERROR(__xludf.DUMMYFUNCTION("""COMPUTED_VALUE"""),"PT. JARI TRIMINDO")</f>
        <v>PT. JARI TRIMINDO</v>
      </c>
      <c r="O587" s="222" t="str">
        <f>IFERROR(__xludf.DUMMYFUNCTION("""COMPUTED_VALUE"""),"0. DROP")</f>
        <v>0. DROP</v>
      </c>
      <c r="P587" s="222" t="str">
        <f>IFERROR(__xludf.DUMMYFUNCTION("""COMPUTED_VALUE"""),"0.2 Tidak Dapat Izin Warga/Kades/Lurah/Developer")</f>
        <v>0.2 Tidak Dapat Izin Warga/Kades/Lurah/Developer</v>
      </c>
      <c r="Q587" s="222" t="str">
        <f>IFERROR(__xludf.DUMMYFUNCTION("""COMPUTED_VALUE"""),"12/02 Izin tidak di acc oleh RT. 06/02 Anwijzing OK proses perizinan. 23/01 Plan anwijzing 26 Jan, PIC mitra belum sampai. 21/01 proses penunjukan mitra ")</f>
        <v>12/02 Izin tidak di acc oleh RT. 06/02 Anwijzing OK proses perizinan. 23/01 Plan anwijzing 26 Jan, PIC mitra belum sampai. 21/01 proses penunjukan mitra </v>
      </c>
      <c r="R587" s="228"/>
      <c r="S587" s="11"/>
      <c r="T587" s="11"/>
      <c r="U587" s="11"/>
      <c r="V587" s="229" t="str">
        <f>IFERROR(__xludf.DUMMYFUNCTION("""COMPUTED_VALUE"""),"RONALDO LEO INFANTRI")</f>
        <v>RONALDO LEO INFANTRI</v>
      </c>
      <c r="W587" s="229" t="str">
        <f>IFERROR(__xludf.DUMMYFUNCTION("""COMPUTED_VALUE"""),"LEVITA INDRIYANI")</f>
        <v>LEVITA INDRIYANI</v>
      </c>
      <c r="X587" s="229" t="str">
        <f>IFERROR(__xludf.DUMMYFUNCTION("""COMPUTED_VALUE"""),"BELUM GOLIVE")</f>
        <v>BELUM GOLIVE</v>
      </c>
      <c r="Y587" s="229"/>
      <c r="Z587" s="229" t="str">
        <f>IFERROR(__xludf.DUMMYFUNCTION("""COMPUTED_VALUE"""),"#N/A")</f>
        <v>#N/A</v>
      </c>
      <c r="AA587" s="229"/>
      <c r="AB587" s="229"/>
      <c r="AC587" s="229"/>
      <c r="AD587" s="232"/>
      <c r="AE587" s="233"/>
      <c r="AF587" s="54" t="str">
        <f>IFERROR(__xludf.DUMMYFUNCTION("""COMPUTED_VALUE"""),"Draft BA DROP")</f>
        <v>Draft BA DROP</v>
      </c>
      <c r="AG587" s="54"/>
      <c r="AH587" s="54"/>
      <c r="AI587" s="55" t="str">
        <f t="shared" si="69"/>
        <v/>
      </c>
      <c r="AW587" s="234"/>
      <c r="BP587" s="11"/>
      <c r="BQ587" s="11"/>
      <c r="BR587" s="235"/>
      <c r="BV587" s="158"/>
      <c r="BY587" s="158"/>
      <c r="CB587" s="158"/>
    </row>
    <row r="588" ht="18.0" hidden="1" customHeight="1">
      <c r="A588" s="222">
        <f>IFERROR(__xludf.DUMMYFUNCTION("""COMPUTED_VALUE"""),2026.0)</f>
        <v>2026</v>
      </c>
      <c r="B588" s="221">
        <f>IFERROR(__xludf.DUMMYFUNCTION("""COMPUTED_VALUE"""),1.1325349E7)</f>
        <v>11325349</v>
      </c>
      <c r="C588" s="222" t="str">
        <f>IFERROR(__xludf.DUMMYFUNCTION("""COMPUTED_VALUE"""),"MDN PT3 PRT-FB JL.SMPN 4 PERCUT")</f>
        <v>MDN PT3 PRT-FB JL.SMPN 4 PERCUT</v>
      </c>
      <c r="D588" s="222" t="str">
        <f>IFERROR(__xludf.DUMMYFUNCTION("""COMPUTED_VALUE"""),"REGIONAL I")</f>
        <v>REGIONAL I</v>
      </c>
      <c r="E588" s="222" t="str">
        <f>IFERROR(__xludf.DUMMYFUNCTION("""COMPUTED_VALUE"""),"MEDAN")</f>
        <v>MEDAN</v>
      </c>
      <c r="F588" s="222" t="str">
        <f>IFERROR(__xludf.DUMMYFUNCTION("""COMPUTED_VALUE"""),"PRT")</f>
        <v>PRT</v>
      </c>
      <c r="G588" s="222" t="str">
        <f>IFERROR(__xludf.DUMMYFUNCTION("""COMPUTED_VALUE"""),"SUMBAGUT")</f>
        <v>SUMBAGUT</v>
      </c>
      <c r="H588" s="222" t="str">
        <f>IFERROR(__xludf.DUMMYFUNCTION("""COMPUTED_VALUE"""),"MEDAN")</f>
        <v>MEDAN</v>
      </c>
      <c r="I588" s="222" t="str">
        <f>IFERROR(__xludf.DUMMYFUNCTION("""COMPUTED_VALUE"""),"Batch 2")</f>
        <v>Batch 2</v>
      </c>
      <c r="J588" s="225">
        <f>IFERROR(__xludf.DUMMYFUNCTION("""COMPUTED_VALUE"""),4.0)</f>
        <v>4</v>
      </c>
      <c r="K588" s="224">
        <f>IFERROR(__xludf.DUMMYFUNCTION("""COMPUTED_VALUE"""),32.0)</f>
        <v>32</v>
      </c>
      <c r="L588" s="226">
        <f>IFERROR(__xludf.DUMMYFUNCTION("""COMPUTED_VALUE"""),1429712.0)</f>
        <v>1429712</v>
      </c>
      <c r="M588" s="227">
        <f>IFERROR(__xludf.DUMMYFUNCTION("""COMPUTED_VALUE"""),4.5750769E7)</f>
        <v>45750769</v>
      </c>
      <c r="N588" s="222" t="str">
        <f>IFERROR(__xludf.DUMMYFUNCTION("""COMPUTED_VALUE"""),"PT BENWA  MITRA PRATAMA")</f>
        <v>PT BENWA  MITRA PRATAMA</v>
      </c>
      <c r="O588" s="222" t="str">
        <f>IFERROR(__xludf.DUMMYFUNCTION("""COMPUTED_VALUE"""),"0. DROP")</f>
        <v>0. DROP</v>
      </c>
      <c r="P588" s="222" t="str">
        <f>IFERROR(__xludf.DUMMYFUNCTION("""COMPUTED_VALUE"""),"0.4 CPP Tinggi Acc ED TIF")</f>
        <v>0.4 CPP Tinggi Acc ED TIF</v>
      </c>
      <c r="Q588" s="222" t="str">
        <f>IFERROR(__xludf.DUMMYFUNCTION("""COMPUTED_VALUE"""),"(29/01) Feeder Habis")</f>
        <v>(29/01) Feeder Habis</v>
      </c>
      <c r="R588" s="228"/>
      <c r="S588" s="11"/>
      <c r="T588" s="11"/>
      <c r="U588" s="11"/>
      <c r="V588" s="229"/>
      <c r="W588" s="229"/>
      <c r="X588" s="229" t="str">
        <f>IFERROR(__xludf.DUMMYFUNCTION("""COMPUTED_VALUE"""),"BELUM GOLIVE")</f>
        <v>BELUM GOLIVE</v>
      </c>
      <c r="Y588" s="229"/>
      <c r="Z588" s="229" t="str">
        <f>IFERROR(__xludf.DUMMYFUNCTION("""COMPUTED_VALUE"""),"#N/A")</f>
        <v>#N/A</v>
      </c>
      <c r="AA588" s="229"/>
      <c r="AB588" s="229"/>
      <c r="AC588" s="229"/>
      <c r="AD588" s="232"/>
      <c r="AE588" s="233"/>
      <c r="AF588" s="54" t="str">
        <f>IFERROR(__xludf.DUMMYFUNCTION("""COMPUTED_VALUE"""),"Draft BA DROP")</f>
        <v>Draft BA DROP</v>
      </c>
      <c r="AG588" s="54"/>
      <c r="AH588" s="54"/>
      <c r="AI588" s="55" t="str">
        <f t="shared" si="69"/>
        <v/>
      </c>
      <c r="AW588" s="234"/>
      <c r="BP588" s="11"/>
      <c r="BQ588" s="11"/>
      <c r="BR588" s="235"/>
      <c r="BV588" s="158"/>
      <c r="BY588" s="158"/>
      <c r="CB588" s="158"/>
    </row>
    <row r="589" ht="18.0" hidden="1" customHeight="1">
      <c r="A589" s="222">
        <f>IFERROR(__xludf.DUMMYFUNCTION("""COMPUTED_VALUE"""),2026.0)</f>
        <v>2026</v>
      </c>
      <c r="B589" s="221">
        <f>IFERROR(__xludf.DUMMYFUNCTION("""COMPUTED_VALUE"""),1.2084568E7)</f>
        <v>12084568</v>
      </c>
      <c r="C589" s="222" t="str">
        <f>IFERROR(__xludf.DUMMYFUNCTION("""COMPUTED_VALUE"""),"MDN PT3 DLT-FB DELI SERDANG_167409_MD25")</f>
        <v>MDN PT3 DLT-FB DELI SERDANG_167409_MD25</v>
      </c>
      <c r="D589" s="222" t="str">
        <f>IFERROR(__xludf.DUMMYFUNCTION("""COMPUTED_VALUE"""),"REGIONAL I")</f>
        <v>REGIONAL I</v>
      </c>
      <c r="E589" s="222" t="str">
        <f>IFERROR(__xludf.DUMMYFUNCTION("""COMPUTED_VALUE"""),"MEDAN")</f>
        <v>MEDAN</v>
      </c>
      <c r="F589" s="222" t="str">
        <f>IFERROR(__xludf.DUMMYFUNCTION("""COMPUTED_VALUE"""),"DLT")</f>
        <v>DLT</v>
      </c>
      <c r="G589" s="222" t="str">
        <f>IFERROR(__xludf.DUMMYFUNCTION("""COMPUTED_VALUE"""),"SUMBAGUT")</f>
        <v>SUMBAGUT</v>
      </c>
      <c r="H589" s="222" t="str">
        <f>IFERROR(__xludf.DUMMYFUNCTION("""COMPUTED_VALUE"""),"MEDAN")</f>
        <v>MEDAN</v>
      </c>
      <c r="I589" s="222" t="str">
        <f>IFERROR(__xludf.DUMMYFUNCTION("""COMPUTED_VALUE"""),"Batch 2")</f>
        <v>Batch 2</v>
      </c>
      <c r="J589" s="225">
        <f>IFERROR(__xludf.DUMMYFUNCTION("""COMPUTED_VALUE"""),4.0)</f>
        <v>4</v>
      </c>
      <c r="K589" s="224">
        <f>IFERROR(__xludf.DUMMYFUNCTION("""COMPUTED_VALUE"""),32.0)</f>
        <v>32</v>
      </c>
      <c r="L589" s="226">
        <f>IFERROR(__xludf.DUMMYFUNCTION("""COMPUTED_VALUE"""),1202004.0)</f>
        <v>1202004</v>
      </c>
      <c r="M589" s="227">
        <f>IFERROR(__xludf.DUMMYFUNCTION("""COMPUTED_VALUE"""),3.8464124E7)</f>
        <v>38464124</v>
      </c>
      <c r="N589" s="222" t="str">
        <f>IFERROR(__xludf.DUMMYFUNCTION("""COMPUTED_VALUE"""),"PT SALTTEK DUMPANG JAYA")</f>
        <v>PT SALTTEK DUMPANG JAYA</v>
      </c>
      <c r="O589" s="222" t="str">
        <f>IFERROR(__xludf.DUMMYFUNCTION("""COMPUTED_VALUE"""),"0. DROP")</f>
        <v>0. DROP</v>
      </c>
      <c r="P589" s="222" t="str">
        <f>IFERROR(__xludf.DUMMYFUNCTION("""COMPUTED_VALUE"""),"0.4 CPP Tinggi Acc ED TIF")</f>
        <v>0.4 CPP Tinggi Acc ED TIF</v>
      </c>
      <c r="Q589" s="222" t="str">
        <f>IFERROR(__xludf.DUMMYFUNCTION("""COMPUTED_VALUE"""),"02/03 Estimasi Perizinan 03/03 13/02 menunggu besaran nilai comcase dari warga 10/02 done order (07/01) Persiapan")</f>
        <v>02/03 Estimasi Perizinan 03/03 13/02 menunggu besaran nilai comcase dari warga 10/02 done order (07/01) Persiapan</v>
      </c>
      <c r="R589" s="228"/>
      <c r="S589" s="11"/>
      <c r="T589" s="11"/>
      <c r="U589" s="11"/>
      <c r="V589" s="229"/>
      <c r="W589" s="229"/>
      <c r="X589" s="229" t="str">
        <f>IFERROR(__xludf.DUMMYFUNCTION("""COMPUTED_VALUE"""),"BELUM GOLIVE")</f>
        <v>BELUM GOLIVE</v>
      </c>
      <c r="Y589" s="229"/>
      <c r="Z589" s="229" t="str">
        <f>IFERROR(__xludf.DUMMYFUNCTION("""COMPUTED_VALUE"""),"#N/A")</f>
        <v>#N/A</v>
      </c>
      <c r="AA589" s="229"/>
      <c r="AB589" s="229"/>
      <c r="AC589" s="229"/>
      <c r="AD589" s="232"/>
      <c r="AE589" s="233"/>
      <c r="AF589" s="54" t="str">
        <f>IFERROR(__xludf.DUMMYFUNCTION("""COMPUTED_VALUE"""),"Draft BA DROP")</f>
        <v>Draft BA DROP</v>
      </c>
      <c r="AG589" s="54"/>
      <c r="AH589" s="54"/>
      <c r="AI589" s="55" t="str">
        <f t="shared" si="69"/>
        <v/>
      </c>
      <c r="AW589" s="234"/>
      <c r="BP589" s="11"/>
      <c r="BQ589" s="11"/>
      <c r="BR589" s="235"/>
      <c r="BV589" s="158"/>
      <c r="BY589" s="158"/>
      <c r="CB589" s="158"/>
    </row>
    <row r="590" ht="18.0" hidden="1" customHeight="1">
      <c r="A590" s="222">
        <f>IFERROR(__xludf.DUMMYFUNCTION("""COMPUTED_VALUE"""),2026.0)</f>
        <v>2026</v>
      </c>
      <c r="B590" s="221">
        <f>IFERROR(__xludf.DUMMYFUNCTION("""COMPUTED_VALUE"""),1.113753E7)</f>
        <v>11137530</v>
      </c>
      <c r="C590" s="222" t="str">
        <f>IFERROR(__xludf.DUMMYFUNCTION("""COMPUTED_VALUE"""),"MDN PT3 P7I7 SPM-FAN JL.PENGILAR UJUNG")</f>
        <v>MDN PT3 P7I7 SPM-FAN JL.PENGILAR UJUNG</v>
      </c>
      <c r="D590" s="222" t="str">
        <f>IFERROR(__xludf.DUMMYFUNCTION("""COMPUTED_VALUE"""),"REGIONAL I")</f>
        <v>REGIONAL I</v>
      </c>
      <c r="E590" s="222" t="str">
        <f>IFERROR(__xludf.DUMMYFUNCTION("""COMPUTED_VALUE"""),"MEDAN")</f>
        <v>MEDAN</v>
      </c>
      <c r="F590" s="222" t="str">
        <f>IFERROR(__xludf.DUMMYFUNCTION("""COMPUTED_VALUE"""),"SPM")</f>
        <v>SPM</v>
      </c>
      <c r="G590" s="222" t="str">
        <f>IFERROR(__xludf.DUMMYFUNCTION("""COMPUTED_VALUE"""),"SUMBAGUT")</f>
        <v>SUMBAGUT</v>
      </c>
      <c r="H590" s="222" t="str">
        <f>IFERROR(__xludf.DUMMYFUNCTION("""COMPUTED_VALUE"""),"MEDAN")</f>
        <v>MEDAN</v>
      </c>
      <c r="I590" s="222" t="str">
        <f>IFERROR(__xludf.DUMMYFUNCTION("""COMPUTED_VALUE"""),"Batch 2")</f>
        <v>Batch 2</v>
      </c>
      <c r="J590" s="225">
        <f>IFERROR(__xludf.DUMMYFUNCTION("""COMPUTED_VALUE"""),4.0)</f>
        <v>4</v>
      </c>
      <c r="K590" s="224">
        <f>IFERROR(__xludf.DUMMYFUNCTION("""COMPUTED_VALUE"""),32.0)</f>
        <v>32</v>
      </c>
      <c r="L590" s="226">
        <f>IFERROR(__xludf.DUMMYFUNCTION("""COMPUTED_VALUE"""),1168006.0)</f>
        <v>1168006</v>
      </c>
      <c r="M590" s="227">
        <f>IFERROR(__xludf.DUMMYFUNCTION("""COMPUTED_VALUE"""),3.7376167E7)</f>
        <v>37376167</v>
      </c>
      <c r="N590" s="222" t="str">
        <f>IFERROR(__xludf.DUMMYFUNCTION("""COMPUTED_VALUE"""),"PT WALET SOLUSINDO")</f>
        <v>PT WALET SOLUSINDO</v>
      </c>
      <c r="O590" s="222" t="str">
        <f>IFERROR(__xludf.DUMMYFUNCTION("""COMPUTED_VALUE"""),"0. DROP")</f>
        <v>0. DROP</v>
      </c>
      <c r="P590" s="222" t="str">
        <f>IFERROR(__xludf.DUMMYFUNCTION("""COMPUTED_VALUE"""),"0.4 CPP Tinggi Acc ED TIF")</f>
        <v>0.4 CPP Tinggi Acc ED TIF</v>
      </c>
      <c r="Q590" s="222" t="str">
        <f>IFERROR(__xludf.DUMMYFUNCTION("""COMPUTED_VALUE"""),"12/02 Kap FE 24 Full 05/02 Done Order, Lnjut Aanwidzing")</f>
        <v>12/02 Kap FE 24 Full 05/02 Done Order, Lnjut Aanwidzing</v>
      </c>
      <c r="R590" s="228"/>
      <c r="S590" s="11"/>
      <c r="T590" s="11"/>
      <c r="U590" s="11"/>
      <c r="V590" s="229"/>
      <c r="W590" s="229"/>
      <c r="X590" s="229" t="str">
        <f>IFERROR(__xludf.DUMMYFUNCTION("""COMPUTED_VALUE"""),"BELUM GOLIVE")</f>
        <v>BELUM GOLIVE</v>
      </c>
      <c r="Y590" s="229"/>
      <c r="Z590" s="229" t="str">
        <f>IFERROR(__xludf.DUMMYFUNCTION("""COMPUTED_VALUE"""),"#N/A")</f>
        <v>#N/A</v>
      </c>
      <c r="AA590" s="229"/>
      <c r="AB590" s="229"/>
      <c r="AC590" s="229"/>
      <c r="AD590" s="232"/>
      <c r="AE590" s="233"/>
      <c r="AF590" s="54" t="str">
        <f>IFERROR(__xludf.DUMMYFUNCTION("""COMPUTED_VALUE"""),"Draft BA DROP")</f>
        <v>Draft BA DROP</v>
      </c>
      <c r="AG590" s="54"/>
      <c r="AH590" s="54"/>
      <c r="AI590" s="55" t="str">
        <f t="shared" si="69"/>
        <v/>
      </c>
      <c r="AW590" s="234"/>
      <c r="BP590" s="11"/>
      <c r="BQ590" s="11"/>
      <c r="BR590" s="235"/>
      <c r="BV590" s="158"/>
      <c r="BY590" s="158"/>
      <c r="CB590" s="158"/>
    </row>
    <row r="591" ht="18.0" customHeight="1">
      <c r="A591" s="222">
        <f>IFERROR(__xludf.DUMMYFUNCTION("""COMPUTED_VALUE"""),2026.0)</f>
        <v>2026</v>
      </c>
      <c r="B591" s="221">
        <f>IFERROR(__xludf.DUMMYFUNCTION("""COMPUTED_VALUE"""),1.248646E7)</f>
        <v>12486460</v>
      </c>
      <c r="C591" s="222" t="str">
        <f>IFERROR(__xludf.DUMMYFUNCTION("""COMPUTED_VALUE"""),"RDR JPP PT3 KOTA DUMAI_142819")</f>
        <v>RDR JPP PT3 KOTA DUMAI_142819</v>
      </c>
      <c r="D591" s="222" t="str">
        <f>IFERROR(__xludf.DUMMYFUNCTION("""COMPUTED_VALUE"""),"REGIONAL I")</f>
        <v>REGIONAL I</v>
      </c>
      <c r="E591" s="222" t="str">
        <f>IFERROR(__xludf.DUMMYFUNCTION("""COMPUTED_VALUE"""),"RIDAR")</f>
        <v>RIDAR</v>
      </c>
      <c r="F591" s="222" t="str">
        <f>IFERROR(__xludf.DUMMYFUNCTION("""COMPUTED_VALUE"""),"DUM")</f>
        <v>DUM</v>
      </c>
      <c r="G591" s="222" t="str">
        <f>IFERROR(__xludf.DUMMYFUNCTION("""COMPUTED_VALUE"""),"SUMBAGTENG")</f>
        <v>SUMBAGTENG</v>
      </c>
      <c r="H591" s="222" t="str">
        <f>IFERROR(__xludf.DUMMYFUNCTION("""COMPUTED_VALUE"""),"DUMAI")</f>
        <v>DUMAI</v>
      </c>
      <c r="I591" s="222" t="str">
        <f>IFERROR(__xludf.DUMMYFUNCTION("""COMPUTED_VALUE"""),"Batch 2")</f>
        <v>Batch 2</v>
      </c>
      <c r="J591" s="225">
        <f>IFERROR(__xludf.DUMMYFUNCTION("""COMPUTED_VALUE"""),2.0)</f>
        <v>2</v>
      </c>
      <c r="K591" s="224">
        <f>IFERROR(__xludf.DUMMYFUNCTION("""COMPUTED_VALUE"""),24.0)</f>
        <v>24</v>
      </c>
      <c r="L591" s="226">
        <f>IFERROR(__xludf.DUMMYFUNCTION("""COMPUTED_VALUE"""),1200338.0)</f>
        <v>1200338</v>
      </c>
      <c r="M591" s="227">
        <f>IFERROR(__xludf.DUMMYFUNCTION("""COMPUTED_VALUE"""),2.8808095E7)</f>
        <v>28808095</v>
      </c>
      <c r="N591" s="222" t="str">
        <f>IFERROR(__xludf.DUMMYFUNCTION("""COMPUTED_VALUE"""),"PT TIGA AKSES MANDIRI")</f>
        <v>PT TIGA AKSES MANDIRI</v>
      </c>
      <c r="O591" s="222" t="str">
        <f>IFERROR(__xludf.DUMMYFUNCTION("""COMPUTED_VALUE"""),"7. GOLIVE")</f>
        <v>7. GOLIVE</v>
      </c>
      <c r="P591" s="222" t="str">
        <f>IFERROR(__xludf.DUMMYFUNCTION("""COMPUTED_VALUE"""),"7.2 Golive Full / OA / DONE OTB")</f>
        <v>7.2 Golive Full / OA / DONE OTB</v>
      </c>
      <c r="Q591" s="222" t="str">
        <f>IFERROR(__xludf.DUMMYFUNCTION("""COMPUTED_VALUE"""),"29/01 Pengiriman Material ke Lokasi (07/01) Persiapan")</f>
        <v>29/01 Pengiriman Material ke Lokasi (07/01) Persiapan</v>
      </c>
      <c r="R591" s="228">
        <f>IFERROR(__xludf.DUMMYFUNCTION("""COMPUTED_VALUE"""),46063.0)</f>
        <v>46063</v>
      </c>
      <c r="S591" s="11"/>
      <c r="T591" s="11"/>
      <c r="U591" s="11" t="str">
        <f>IFERROR(__xludf.DUMMYFUNCTION("""COMPUTED_VALUE"""),"W08-88/202")</f>
        <v>W08-88/202</v>
      </c>
      <c r="V591" s="229" t="str">
        <f>IFERROR(__xludf.DUMMYFUNCTION("""COMPUTED_VALUE"""),"PIKI NOFRI SAPUTRA")</f>
        <v>PIKI NOFRI SAPUTRA</v>
      </c>
      <c r="W591" s="229" t="str">
        <f>IFERROR(__xludf.DUMMYFUNCTION("""COMPUTED_VALUE"""),"ANZALA SAKINAH")</f>
        <v>ANZALA SAKINAH</v>
      </c>
      <c r="X591" s="229" t="str">
        <f>IFERROR(__xludf.DUMMYFUNCTION("""COMPUTED_VALUE"""),"GOLIVE")</f>
        <v>GOLIVE</v>
      </c>
      <c r="Y591" s="229" t="str">
        <f>IFERROR(__xludf.DUMMYFUNCTION("""COMPUTED_VALUE"""),"DONE")</f>
        <v>DONE</v>
      </c>
      <c r="Z591" s="229" t="str">
        <f>IFERROR(__xludf.DUMMYFUNCTION("""COMPUTED_VALUE"""),"#N/A")</f>
        <v>#N/A</v>
      </c>
      <c r="AA591" s="229">
        <f>IFERROR(__xludf.DUMMYFUNCTION("""COMPUTED_VALUE"""),2.0)</f>
        <v>2</v>
      </c>
      <c r="AB591" s="229"/>
      <c r="AC591" s="229" t="str">
        <f>IFERROR(__xludf.DUMMYFUNCTION("""COMPUTED_VALUE"""),"8970820#8970825")</f>
        <v>8970820#8970825</v>
      </c>
      <c r="AD591" s="232">
        <f>IFERROR(__xludf.DUMMYFUNCTION("""COMPUTED_VALUE"""),16.0)</f>
        <v>16</v>
      </c>
      <c r="AE591" s="233">
        <f>IFERROR(__xludf.DUMMYFUNCTION("""COMPUTED_VALUE"""),46062.0)</f>
        <v>46062</v>
      </c>
      <c r="AF591" s="54"/>
      <c r="AG591" s="54"/>
      <c r="AH591" s="54">
        <v>46063.0</v>
      </c>
      <c r="AI591" s="55">
        <f>IF(OR(AH591="",AE591=""),"",AH591-AE591)</f>
        <v>1</v>
      </c>
      <c r="AW591" s="234"/>
      <c r="BP591" s="11"/>
      <c r="BQ591" s="11"/>
      <c r="BR591" s="235"/>
      <c r="BV591" s="158"/>
      <c r="BY591" s="158"/>
      <c r="CB591" s="158"/>
    </row>
    <row r="592" ht="18.0" hidden="1" customHeight="1">
      <c r="A592" s="222">
        <f>IFERROR(__xludf.DUMMYFUNCTION("""COMPUTED_VALUE"""),2026.0)</f>
        <v>2026</v>
      </c>
      <c r="B592" s="221">
        <f>IFERROR(__xludf.DUMMYFUNCTION("""COMPUTED_VALUE"""),1.2275682E7)</f>
        <v>12275682</v>
      </c>
      <c r="C592" s="222" t="str">
        <f>IFERROR(__xludf.DUMMYFUNCTION("""COMPUTED_VALUE"""),"BNK PT3 BRC CRP FQ JPPTSEL SUKARAMI")</f>
        <v>BNK PT3 BRC CRP FQ JPPTSEL SUKARAMI</v>
      </c>
      <c r="D592" s="222" t="str">
        <f>IFERROR(__xludf.DUMMYFUNCTION("""COMPUTED_VALUE"""),"REGIONAL I")</f>
        <v>REGIONAL I</v>
      </c>
      <c r="E592" s="222" t="str">
        <f>IFERROR(__xludf.DUMMYFUNCTION("""COMPUTED_VALUE"""),"BENGKULU")</f>
        <v>BENGKULU</v>
      </c>
      <c r="F592" s="222" t="str">
        <f>IFERROR(__xludf.DUMMYFUNCTION("""COMPUTED_VALUE"""),"CRP")</f>
        <v>CRP</v>
      </c>
      <c r="G592" s="222" t="str">
        <f>IFERROR(__xludf.DUMMYFUNCTION("""COMPUTED_VALUE"""),"SUMBAGSEL")</f>
        <v>SUMBAGSEL</v>
      </c>
      <c r="H592" s="222" t="str">
        <f>IFERROR(__xludf.DUMMYFUNCTION("""COMPUTED_VALUE"""),"BENGKULU")</f>
        <v>BENGKULU</v>
      </c>
      <c r="I592" s="222" t="str">
        <f>IFERROR(__xludf.DUMMYFUNCTION("""COMPUTED_VALUE"""),"Batch 2")</f>
        <v>Batch 2</v>
      </c>
      <c r="J592" s="225">
        <f>IFERROR(__xludf.DUMMYFUNCTION("""COMPUTED_VALUE"""),6.0)</f>
        <v>6</v>
      </c>
      <c r="K592" s="224">
        <f>IFERROR(__xludf.DUMMYFUNCTION("""COMPUTED_VALUE"""),48.0)</f>
        <v>48</v>
      </c>
      <c r="L592" s="226">
        <f>IFERROR(__xludf.DUMMYFUNCTION("""COMPUTED_VALUE"""),1196553.0)</f>
        <v>1196553</v>
      </c>
      <c r="M592" s="227">
        <f>IFERROR(__xludf.DUMMYFUNCTION("""COMPUTED_VALUE"""),5.7434532E7)</f>
        <v>57434532</v>
      </c>
      <c r="N592" s="222" t="str">
        <f>IFERROR(__xludf.DUMMYFUNCTION("""COMPUTED_VALUE"""),"PT TELAGA RESTU ABADI")</f>
        <v>PT TELAGA RESTU ABADI</v>
      </c>
      <c r="O592" s="222" t="str">
        <f>IFERROR(__xludf.DUMMYFUNCTION("""COMPUTED_VALUE"""),"7. GOLIVE")</f>
        <v>7. GOLIVE</v>
      </c>
      <c r="P592" s="222" t="str">
        <f>IFERROR(__xludf.DUMMYFUNCTION("""COMPUTED_VALUE"""),"7.2 Golive Full / OA / DONE OTB")</f>
        <v>7.2 Golive Full / OA / DONE OTB</v>
      </c>
      <c r="Q592" s="222" t="str">
        <f>IFERROR(__xludf.DUMMYFUNCTION("""COMPUTED_VALUE"""),"(08/01) Perizinan")</f>
        <v>(08/01) Perizinan</v>
      </c>
      <c r="R592" s="228"/>
      <c r="S592" s="11"/>
      <c r="T592" s="11"/>
      <c r="U592" s="11" t="str">
        <f>IFERROR(__xludf.DUMMYFUNCTION("""COMPUTED_VALUE"""),"W06-375/2025")</f>
        <v>W06-375/2025</v>
      </c>
      <c r="V592" s="229"/>
      <c r="W592" s="229"/>
      <c r="X592" s="229" t="str">
        <f>IFERROR(__xludf.DUMMYFUNCTION("""COMPUTED_VALUE"""),"GOLIVE")</f>
        <v>GOLIVE</v>
      </c>
      <c r="Y592" s="229" t="str">
        <f>IFERROR(__xludf.DUMMYFUNCTION("""COMPUTED_VALUE"""),"DONE")</f>
        <v>DONE</v>
      </c>
      <c r="Z592" s="229" t="str">
        <f>IFERROR(__xludf.DUMMYFUNCTION("""COMPUTED_VALUE"""),"#N/A")</f>
        <v>#N/A</v>
      </c>
      <c r="AA592" s="229">
        <f>IFERROR(__xludf.DUMMYFUNCTION("""COMPUTED_VALUE"""),6.0)</f>
        <v>6</v>
      </c>
      <c r="AB592" s="229"/>
      <c r="AC592" s="229" t="str">
        <f>IFERROR(__xludf.DUMMYFUNCTION("""COMPUTED_VALUE"""),"8873221#8873226")</f>
        <v>8873221#8873226</v>
      </c>
      <c r="AD592" s="232">
        <f>IFERROR(__xludf.DUMMYFUNCTION("""COMPUTED_VALUE"""),48.0)</f>
        <v>48</v>
      </c>
      <c r="AE592" s="233">
        <f>IFERROR(__xludf.DUMMYFUNCTION("""COMPUTED_VALUE"""),46030.0)</f>
        <v>46030</v>
      </c>
      <c r="AF592" s="54"/>
      <c r="AG592" s="54"/>
      <c r="AH592" s="54"/>
      <c r="AI592" s="55" t="str">
        <f>IF(OR(R592="",AE592=""),"",R592-AE592)</f>
        <v/>
      </c>
      <c r="AW592" s="234"/>
      <c r="BP592" s="11"/>
      <c r="BQ592" s="11"/>
      <c r="BR592" s="235"/>
      <c r="BV592" s="158"/>
      <c r="BY592" s="158"/>
      <c r="CB592" s="158"/>
    </row>
    <row r="593" ht="18.0" customHeight="1">
      <c r="A593" s="222">
        <f>IFERROR(__xludf.DUMMYFUNCTION("""COMPUTED_VALUE"""),2026.0)</f>
        <v>2026</v>
      </c>
      <c r="B593" s="221">
        <f>IFERROR(__xludf.DUMMYFUNCTION("""COMPUTED_VALUE"""),1.1105868E7)</f>
        <v>11105868</v>
      </c>
      <c r="C593" s="222" t="str">
        <f>IFERROR(__xludf.DUMMYFUNCTION("""COMPUTED_VALUE"""),"RKP PT3 JPPTSEL KMS-FBJ PERUM KENANGAN BARU 4_")</f>
        <v>RKP PT3 JPPTSEL KMS-FBJ PERUM KENANGAN BARU 4_</v>
      </c>
      <c r="D593" s="222" t="str">
        <f>IFERROR(__xludf.DUMMYFUNCTION("""COMPUTED_VALUE"""),"REGIONAL I")</f>
        <v>REGIONAL I</v>
      </c>
      <c r="E593" s="222" t="str">
        <f>IFERROR(__xludf.DUMMYFUNCTION("""COMPUTED_VALUE"""),"RIKEP")</f>
        <v>RIKEP</v>
      </c>
      <c r="F593" s="222" t="str">
        <f>IFERROR(__xludf.DUMMYFUNCTION("""COMPUTED_VALUE"""),"KIJ")</f>
        <v>KIJ</v>
      </c>
      <c r="G593" s="222" t="str">
        <f>IFERROR(__xludf.DUMMYFUNCTION("""COMPUTED_VALUE"""),"SUMBAGTENG")</f>
        <v>SUMBAGTENG</v>
      </c>
      <c r="H593" s="222" t="str">
        <f>IFERROR(__xludf.DUMMYFUNCTION("""COMPUTED_VALUE"""),"BATAM")</f>
        <v>BATAM</v>
      </c>
      <c r="I593" s="222" t="str">
        <f>IFERROR(__xludf.DUMMYFUNCTION("""COMPUTED_VALUE"""),"Batch 2")</f>
        <v>Batch 2</v>
      </c>
      <c r="J593" s="225">
        <f>IFERROR(__xludf.DUMMYFUNCTION("""COMPUTED_VALUE"""),3.0)</f>
        <v>3</v>
      </c>
      <c r="K593" s="224">
        <f>IFERROR(__xludf.DUMMYFUNCTION("""COMPUTED_VALUE"""),24.0)</f>
        <v>24</v>
      </c>
      <c r="L593" s="226">
        <f>IFERROR(__xludf.DUMMYFUNCTION("""COMPUTED_VALUE"""),1196277.0)</f>
        <v>1196277</v>
      </c>
      <c r="M593" s="227">
        <f>IFERROR(__xludf.DUMMYFUNCTION("""COMPUTED_VALUE"""),2.871063E7)</f>
        <v>28710630</v>
      </c>
      <c r="N593" s="222" t="str">
        <f>IFERROR(__xludf.DUMMYFUNCTION("""COMPUTED_VALUE"""),"PT SALTTEK DUMPANG JAYA")</f>
        <v>PT SALTTEK DUMPANG JAYA</v>
      </c>
      <c r="O593" s="222" t="str">
        <f>IFERROR(__xludf.DUMMYFUNCTION("""COMPUTED_VALUE"""),"7. GOLIVE")</f>
        <v>7. GOLIVE</v>
      </c>
      <c r="P593" s="222" t="str">
        <f>IFERROR(__xludf.DUMMYFUNCTION("""COMPUTED_VALUE"""),"7.2 Golive Full / OA / DONE OTB")</f>
        <v>7.2 Golive Full / OA / DONE OTB</v>
      </c>
      <c r="Q593" s="222" t="str">
        <f>IFERROR(__xludf.DUMMYFUNCTION("""COMPUTED_VALUE"""),"28/01 Plan installasi 29 Jan. 28/01 Anwizjing OK, Perizinan OK. 21/01 plan fu perizinan tanggal 26 Jan")</f>
        <v>28/01 Plan installasi 29 Jan. 28/01 Anwizjing OK, Perizinan OK. 21/01 plan fu perizinan tanggal 26 Jan</v>
      </c>
      <c r="R593" s="228">
        <f>IFERROR(__xludf.DUMMYFUNCTION("""COMPUTED_VALUE"""),46073.0)</f>
        <v>46073</v>
      </c>
      <c r="S593" s="11"/>
      <c r="T593" s="11"/>
      <c r="U593" s="11" t="str">
        <f>IFERROR(__xludf.DUMMYFUNCTION("""COMPUTED_VALUE"""),"W09-111/2026")</f>
        <v>W09-111/2026</v>
      </c>
      <c r="V593" s="229" t="str">
        <f>IFERROR(__xludf.DUMMYFUNCTION("""COMPUTED_VALUE"""),"DEDY IRAWAN")</f>
        <v>DEDY IRAWAN</v>
      </c>
      <c r="W593" s="229" t="str">
        <f>IFERROR(__xludf.DUMMYFUNCTION("""COMPUTED_VALUE"""),"LEVITA INDRIYANI")</f>
        <v>LEVITA INDRIYANI</v>
      </c>
      <c r="X593" s="229" t="str">
        <f>IFERROR(__xludf.DUMMYFUNCTION("""COMPUTED_VALUE"""),"GOLIVE")</f>
        <v>GOLIVE</v>
      </c>
      <c r="Y593" s="229" t="str">
        <f>IFERROR(__xludf.DUMMYFUNCTION("""COMPUTED_VALUE"""),"DONE")</f>
        <v>DONE</v>
      </c>
      <c r="Z593" s="229" t="str">
        <f>IFERROR(__xludf.DUMMYFUNCTION("""COMPUTED_VALUE"""),"#N/A")</f>
        <v>#N/A</v>
      </c>
      <c r="AA593" s="229">
        <f>IFERROR(__xludf.DUMMYFUNCTION("""COMPUTED_VALUE"""),3.0)</f>
        <v>3</v>
      </c>
      <c r="AB593" s="229"/>
      <c r="AC593" s="229" t="str">
        <f>IFERROR(__xludf.DUMMYFUNCTION("""COMPUTED_VALUE"""),"9038334#9038339")</f>
        <v>9038334#9038339</v>
      </c>
      <c r="AD593" s="232">
        <f>IFERROR(__xludf.DUMMYFUNCTION("""COMPUTED_VALUE"""),24.0)</f>
        <v>24</v>
      </c>
      <c r="AE593" s="233">
        <f>IFERROR(__xludf.DUMMYFUNCTION("""COMPUTED_VALUE"""),46059.0)</f>
        <v>46059</v>
      </c>
      <c r="AF593" s="54"/>
      <c r="AG593" s="54"/>
      <c r="AH593" s="54">
        <v>46073.0</v>
      </c>
      <c r="AI593" s="55">
        <f>IF(OR(AH593="",AE593=""),"",AH593-AE593)</f>
        <v>14</v>
      </c>
      <c r="AW593" s="234"/>
      <c r="BP593" s="11"/>
      <c r="BQ593" s="11"/>
      <c r="BR593" s="235"/>
      <c r="BV593" s="158"/>
      <c r="BY593" s="158"/>
      <c r="CB593" s="158"/>
    </row>
    <row r="594" ht="18.0" hidden="1" customHeight="1">
      <c r="A594" s="222">
        <f>IFERROR(__xludf.DUMMYFUNCTION("""COMPUTED_VALUE"""),2026.0)</f>
        <v>2026</v>
      </c>
      <c r="B594" s="221">
        <f>IFERROR(__xludf.DUMMYFUNCTION("""COMPUTED_VALUE"""),1.238643E7)</f>
        <v>12386430</v>
      </c>
      <c r="C594" s="222" t="str">
        <f>IFERROR(__xludf.DUMMYFUNCTION("""COMPUTED_VALUE"""),"BBL PT3 P4I3 EXPAND CUPAT")</f>
        <v>BBL PT3 P4I3 EXPAND CUPAT</v>
      </c>
      <c r="D594" s="222" t="str">
        <f>IFERROR(__xludf.DUMMYFUNCTION("""COMPUTED_VALUE"""),"REGIONAL I")</f>
        <v>REGIONAL I</v>
      </c>
      <c r="E594" s="222" t="str">
        <f>IFERROR(__xludf.DUMMYFUNCTION("""COMPUTED_VALUE"""),"BABEL")</f>
        <v>BABEL</v>
      </c>
      <c r="F594" s="222" t="str">
        <f>IFERROR(__xludf.DUMMYFUNCTION("""COMPUTED_VALUE"""),"JBS")</f>
        <v>JBS</v>
      </c>
      <c r="G594" s="222" t="str">
        <f>IFERROR(__xludf.DUMMYFUNCTION("""COMPUTED_VALUE"""),"SUMBAGSEL")</f>
        <v>SUMBAGSEL</v>
      </c>
      <c r="H594" s="222" t="str">
        <f>IFERROR(__xludf.DUMMYFUNCTION("""COMPUTED_VALUE"""),"PANGKAL PINANG")</f>
        <v>PANGKAL PINANG</v>
      </c>
      <c r="I594" s="222" t="str">
        <f>IFERROR(__xludf.DUMMYFUNCTION("""COMPUTED_VALUE"""),"Batch 2")</f>
        <v>Batch 2</v>
      </c>
      <c r="J594" s="225">
        <f>IFERROR(__xludf.DUMMYFUNCTION("""COMPUTED_VALUE"""),3.0)</f>
        <v>3</v>
      </c>
      <c r="K594" s="224">
        <f>IFERROR(__xludf.DUMMYFUNCTION("""COMPUTED_VALUE"""),32.0)</f>
        <v>32</v>
      </c>
      <c r="L594" s="226">
        <f>IFERROR(__xludf.DUMMYFUNCTION("""COMPUTED_VALUE"""),1195254.0)</f>
        <v>1195254</v>
      </c>
      <c r="M594" s="227">
        <f>IFERROR(__xludf.DUMMYFUNCTION("""COMPUTED_VALUE"""),3.8248098E7)</f>
        <v>38248098</v>
      </c>
      <c r="N594" s="222" t="str">
        <f>IFERROR(__xludf.DUMMYFUNCTION("""COMPUTED_VALUE"""),"PT BAYUMI CAHAYA NUSANTARA")</f>
        <v>PT BAYUMI CAHAYA NUSANTARA</v>
      </c>
      <c r="O594" s="222" t="str">
        <f>IFERROR(__xludf.DUMMYFUNCTION("""COMPUTED_VALUE"""),"7. GOLIVE")</f>
        <v>7. GOLIVE</v>
      </c>
      <c r="P594" s="222" t="str">
        <f>IFERROR(__xludf.DUMMYFUNCTION("""COMPUTED_VALUE"""),"7.2 Golive Full / OA / DONE OTB")</f>
        <v>7.2 Golive Full / OA / DONE OTB</v>
      </c>
      <c r="Q594" s="222" t="str">
        <f>IFERROR(__xludf.DUMMYFUNCTION("""COMPUTED_VALUE"""),"(12/01) Progres Go Live (7/1)  REKAP V4 (06/01)order JPP batch-2 2026 (02/01 instalasi ODP (31/12) kabel 12D 900 done, tiang 3 done (16/12) hold , material on site 28/11 sudah bisa request (24/11) proses PR PO (14/11) sudah DRM Mitra 10/11 progres create "&amp;"PID, kendala budget  (08/11) OPTIMIS des 25 (28/10) Penunjukan mitra")</f>
        <v>(12/01) Progres Go Live (7/1)  REKAP V4 (06/01)order JPP batch-2 2026 (02/01 instalasi ODP (31/12) kabel 12D 900 done, tiang 3 done (16/12) hold , material on site 28/11 sudah bisa request (24/11) proses PR PO (14/11) sudah DRM Mitra 10/11 progres create PID, kendala budget  (08/11) OPTIMIS des 25 (28/10) Penunjukan mitra</v>
      </c>
      <c r="R594" s="228"/>
      <c r="S594" s="11"/>
      <c r="T594" s="11"/>
      <c r="U594" s="11"/>
      <c r="V594" s="229"/>
      <c r="W594" s="229"/>
      <c r="X594" s="229" t="str">
        <f>IFERROR(__xludf.DUMMYFUNCTION("""COMPUTED_VALUE"""),"GOLIVE")</f>
        <v>GOLIVE</v>
      </c>
      <c r="Y594" s="229" t="str">
        <f>IFERROR(__xludf.DUMMYFUNCTION("""COMPUTED_VALUE"""),"DONE")</f>
        <v>DONE</v>
      </c>
      <c r="Z594" s="229" t="str">
        <f>IFERROR(__xludf.DUMMYFUNCTION("""COMPUTED_VALUE"""),"#N/A")</f>
        <v>#N/A</v>
      </c>
      <c r="AA594" s="229">
        <f>IFERROR(__xludf.DUMMYFUNCTION("""COMPUTED_VALUE"""),2.0)</f>
        <v>2</v>
      </c>
      <c r="AB594" s="229">
        <f>IFERROR(__xludf.DUMMYFUNCTION("""COMPUTED_VALUE"""),1.0)</f>
        <v>1</v>
      </c>
      <c r="AC594" s="229" t="str">
        <f>IFERROR(__xludf.DUMMYFUNCTION("""COMPUTED_VALUE"""),"8949497#8949502")</f>
        <v>8949497#8949502</v>
      </c>
      <c r="AD594" s="232">
        <f>IFERROR(__xludf.DUMMYFUNCTION("""COMPUTED_VALUE"""),32.0)</f>
        <v>32</v>
      </c>
      <c r="AE594" s="233">
        <f>IFERROR(__xludf.DUMMYFUNCTION("""COMPUTED_VALUE"""),46034.0)</f>
        <v>46034</v>
      </c>
      <c r="AF594" s="54" t="str">
        <f>IFERROR(__xludf.DUMMYFUNCTION("""COMPUTED_VALUE"""),"DONE")</f>
        <v>DONE</v>
      </c>
      <c r="AG594" s="54"/>
      <c r="AH594" s="54"/>
      <c r="AI594" s="55" t="str">
        <f t="shared" ref="AI594:AI596" si="70">IF(OR(R594="",AE594=""),"",R594-AE594)</f>
        <v/>
      </c>
      <c r="AW594" s="234"/>
      <c r="BP594" s="11"/>
      <c r="BQ594" s="11"/>
      <c r="BR594" s="235"/>
      <c r="BV594" s="158"/>
      <c r="BY594" s="158"/>
      <c r="CB594" s="158"/>
    </row>
    <row r="595" ht="18.0" hidden="1" customHeight="1">
      <c r="A595" s="222">
        <f>IFERROR(__xludf.DUMMYFUNCTION("""COMPUTED_VALUE"""),2026.0)</f>
        <v>2026</v>
      </c>
      <c r="B595" s="221">
        <f>IFERROR(__xludf.DUMMYFUNCTION("""COMPUTED_VALUE"""),1.1272349E7)</f>
        <v>11272349</v>
      </c>
      <c r="C595" s="222" t="str">
        <f>IFERROR(__xludf.DUMMYFUNCTION("""COMPUTED_VALUE"""),"MDN PT3 P1I1 BJI-FNC JL.PRAJURIT KLAMBIR")</f>
        <v>MDN PT3 P1I1 BJI-FNC JL.PRAJURIT KLAMBIR</v>
      </c>
      <c r="D595" s="222" t="str">
        <f>IFERROR(__xludf.DUMMYFUNCTION("""COMPUTED_VALUE"""),"REGIONAL I")</f>
        <v>REGIONAL I</v>
      </c>
      <c r="E595" s="222" t="str">
        <f>IFERROR(__xludf.DUMMYFUNCTION("""COMPUTED_VALUE"""),"MEDAN")</f>
        <v>MEDAN</v>
      </c>
      <c r="F595" s="222" t="str">
        <f>IFERROR(__xludf.DUMMYFUNCTION("""COMPUTED_VALUE"""),"BJI")</f>
        <v>BJI</v>
      </c>
      <c r="G595" s="222" t="str">
        <f>IFERROR(__xludf.DUMMYFUNCTION("""COMPUTED_VALUE"""),"SUMBAGUT")</f>
        <v>SUMBAGUT</v>
      </c>
      <c r="H595" s="222" t="str">
        <f>IFERROR(__xludf.DUMMYFUNCTION("""COMPUTED_VALUE"""),"BINJAI")</f>
        <v>BINJAI</v>
      </c>
      <c r="I595" s="222" t="str">
        <f>IFERROR(__xludf.DUMMYFUNCTION("""COMPUTED_VALUE"""),"Batch 2")</f>
        <v>Batch 2</v>
      </c>
      <c r="J595" s="225">
        <f>IFERROR(__xludf.DUMMYFUNCTION("""COMPUTED_VALUE"""),8.0)</f>
        <v>8</v>
      </c>
      <c r="K595" s="224">
        <f>IFERROR(__xludf.DUMMYFUNCTION("""COMPUTED_VALUE"""),64.0)</f>
        <v>64</v>
      </c>
      <c r="L595" s="226">
        <f>IFERROR(__xludf.DUMMYFUNCTION("""COMPUTED_VALUE"""),1193731.0)</f>
        <v>1193731</v>
      </c>
      <c r="M595" s="227">
        <f>IFERROR(__xludf.DUMMYFUNCTION("""COMPUTED_VALUE"""),7.6398732E7)</f>
        <v>76398732</v>
      </c>
      <c r="N595" s="222" t="str">
        <f>IFERROR(__xludf.DUMMYFUNCTION("""COMPUTED_VALUE"""),"PT JAYA ANINDYA MUSTIKA")</f>
        <v>PT JAYA ANINDYA MUSTIKA</v>
      </c>
      <c r="O595" s="222" t="str">
        <f>IFERROR(__xludf.DUMMYFUNCTION("""COMPUTED_VALUE"""),"0. DROP")</f>
        <v>0. DROP</v>
      </c>
      <c r="P595" s="222" t="str">
        <f>IFERROR(__xludf.DUMMYFUNCTION("""COMPUTED_VALUE"""),"0.4 CPP Tinggi Acc ED TIF")</f>
        <v>0.4 CPP Tinggi Acc ED TIF</v>
      </c>
      <c r="Q595" s="222" t="str">
        <f>IFERROR(__xludf.DUMMYFUNCTION("""COMPUTED_VALUE"""),"(07/01) Persiapan
22/09 dist butuh 4 core")</f>
        <v>(07/01) Persiapan
22/09 dist butuh 4 core</v>
      </c>
      <c r="R595" s="228"/>
      <c r="S595" s="11"/>
      <c r="T595" s="11"/>
      <c r="U595" s="11"/>
      <c r="V595" s="229"/>
      <c r="W595" s="229"/>
      <c r="X595" s="229" t="str">
        <f>IFERROR(__xludf.DUMMYFUNCTION("""COMPUTED_VALUE"""),"BELUM GOLIVE")</f>
        <v>BELUM GOLIVE</v>
      </c>
      <c r="Y595" s="229"/>
      <c r="Z595" s="229" t="str">
        <f>IFERROR(__xludf.DUMMYFUNCTION("""COMPUTED_VALUE"""),"#N/A")</f>
        <v>#N/A</v>
      </c>
      <c r="AA595" s="229"/>
      <c r="AB595" s="229"/>
      <c r="AC595" s="229"/>
      <c r="AD595" s="232"/>
      <c r="AE595" s="233"/>
      <c r="AF595" s="54" t="str">
        <f>IFERROR(__xludf.DUMMYFUNCTION("""COMPUTED_VALUE"""),"Draft BA DROP")</f>
        <v>Draft BA DROP</v>
      </c>
      <c r="AG595" s="54"/>
      <c r="AH595" s="54"/>
      <c r="AI595" s="55" t="str">
        <f t="shared" si="70"/>
        <v/>
      </c>
      <c r="AW595" s="234"/>
      <c r="BP595" s="11"/>
      <c r="BQ595" s="11"/>
      <c r="BR595" s="235"/>
      <c r="BV595" s="158"/>
      <c r="BY595" s="158"/>
      <c r="CB595" s="158"/>
    </row>
    <row r="596" ht="18.0" hidden="1" customHeight="1">
      <c r="A596" s="222">
        <f>IFERROR(__xludf.DUMMYFUNCTION("""COMPUTED_VALUE"""),2026.0)</f>
        <v>2026</v>
      </c>
      <c r="B596" s="221">
        <f>IFERROR(__xludf.DUMMYFUNCTION("""COMPUTED_VALUE"""),1.1088533E7)</f>
        <v>11088533</v>
      </c>
      <c r="C596" s="222" t="str">
        <f>IFERROR(__xludf.DUMMYFUNCTION("""COMPUTED_VALUE"""),"JBI-PT3-JMB-FCL- PERUMAHAN JAVANA VILLAGE 3")</f>
        <v>JBI-PT3-JMB-FCL- PERUMAHAN JAVANA VILLAGE 3</v>
      </c>
      <c r="D596" s="222" t="str">
        <f>IFERROR(__xludf.DUMMYFUNCTION("""COMPUTED_VALUE"""),"REGIONAL I")</f>
        <v>REGIONAL I</v>
      </c>
      <c r="E596" s="222" t="str">
        <f>IFERROR(__xludf.DUMMYFUNCTION("""COMPUTED_VALUE"""),"JAMBI")</f>
        <v>JAMBI</v>
      </c>
      <c r="F596" s="222" t="str">
        <f>IFERROR(__xludf.DUMMYFUNCTION("""COMPUTED_VALUE"""),"JMB")</f>
        <v>JMB</v>
      </c>
      <c r="G596" s="222" t="str">
        <f>IFERROR(__xludf.DUMMYFUNCTION("""COMPUTED_VALUE"""),"SUMBAGSEL")</f>
        <v>SUMBAGSEL</v>
      </c>
      <c r="H596" s="222" t="str">
        <f>IFERROR(__xludf.DUMMYFUNCTION("""COMPUTED_VALUE"""),"JAMBI")</f>
        <v>JAMBI</v>
      </c>
      <c r="I596" s="222" t="str">
        <f>IFERROR(__xludf.DUMMYFUNCTION("""COMPUTED_VALUE"""),"Batch 2")</f>
        <v>Batch 2</v>
      </c>
      <c r="J596" s="225">
        <f>IFERROR(__xludf.DUMMYFUNCTION("""COMPUTED_VALUE"""),9.0)</f>
        <v>9</v>
      </c>
      <c r="K596" s="224">
        <f>IFERROR(__xludf.DUMMYFUNCTION("""COMPUTED_VALUE"""),72.0)</f>
        <v>72</v>
      </c>
      <c r="L596" s="226">
        <f>IFERROR(__xludf.DUMMYFUNCTION("""COMPUTED_VALUE"""),1192176.0)</f>
        <v>1192176</v>
      </c>
      <c r="M596" s="227">
        <f>IFERROR(__xludf.DUMMYFUNCTION("""COMPUTED_VALUE"""),8.5836636E7)</f>
        <v>85836636</v>
      </c>
      <c r="N596" s="222" t="str">
        <f>IFERROR(__xludf.DUMMYFUNCTION("""COMPUTED_VALUE"""),"SWAKELOLA")</f>
        <v>SWAKELOLA</v>
      </c>
      <c r="O596" s="222" t="str">
        <f>IFERROR(__xludf.DUMMYFUNCTION("""COMPUTED_VALUE"""),"0. DROP")</f>
        <v>0. DROP</v>
      </c>
      <c r="P596" s="222" t="str">
        <f>IFERROR(__xludf.DUMMYFUNCTION("""COMPUTED_VALUE"""),"0.5 DROP TSEL - Acc ED TIF")</f>
        <v>0.5 DROP TSEL - Acc ED TIF</v>
      </c>
      <c r="Q596" s="222" t="str">
        <f>IFERROR(__xludf.DUMMYFUNCTION("""COMPUTED_VALUE"""),"(12/1) BA Drop Sirkulir -PERMINTAAN TSEL, ODP EXISTING HIJAU, KOMPETITOR BNYAK, RUMAH KOSONG (06/01)order JPP batch-2 2026 (6/11 Drop 12/9 PERIJINAN LURAH,RT, BABINSA, KAMTIPMAS.")</f>
        <v>(12/1) BA Drop Sirkulir -PERMINTAAN TSEL, ODP EXISTING HIJAU, KOMPETITOR BNYAK, RUMAH KOSONG (06/01)order JPP batch-2 2026 (6/11 Drop 12/9 PERIJINAN LURAH,RT, BABINSA, KAMTIPMAS.</v>
      </c>
      <c r="R596" s="228"/>
      <c r="S596" s="11"/>
      <c r="T596" s="11"/>
      <c r="U596" s="11"/>
      <c r="V596" s="229"/>
      <c r="W596" s="229"/>
      <c r="X596" s="229" t="str">
        <f>IFERROR(__xludf.DUMMYFUNCTION("""COMPUTED_VALUE"""),"BELUM GOLIVE")</f>
        <v>BELUM GOLIVE</v>
      </c>
      <c r="Y596" s="229"/>
      <c r="Z596" s="229" t="str">
        <f>IFERROR(__xludf.DUMMYFUNCTION("""COMPUTED_VALUE"""),"#N/A")</f>
        <v>#N/A</v>
      </c>
      <c r="AA596" s="229"/>
      <c r="AB596" s="229"/>
      <c r="AC596" s="229"/>
      <c r="AD596" s="232"/>
      <c r="AE596" s="233"/>
      <c r="AF596" s="54"/>
      <c r="AG596" s="54"/>
      <c r="AH596" s="54"/>
      <c r="AI596" s="55" t="str">
        <f t="shared" si="70"/>
        <v/>
      </c>
      <c r="AW596" s="234"/>
      <c r="BP596" s="11"/>
      <c r="BQ596" s="11"/>
      <c r="BR596" s="235"/>
      <c r="BV596" s="158"/>
      <c r="BY596" s="158"/>
      <c r="CB596" s="158"/>
    </row>
    <row r="597" ht="18.0" customHeight="1">
      <c r="A597" s="222">
        <f>IFERROR(__xludf.DUMMYFUNCTION("""COMPUTED_VALUE"""),2026.0)</f>
        <v>2026</v>
      </c>
      <c r="B597" s="221">
        <f>IFERROR(__xludf.DUMMYFUNCTION("""COMPUTED_VALUE"""),1.2090614E7)</f>
        <v>12090614</v>
      </c>
      <c r="C597" s="222" t="str">
        <f>IFERROR(__xludf.DUMMYFUNCTION("""COMPUTED_VALUE"""),"RDR JPP PT4 LOP Feeder DUM FAJ")</f>
        <v>RDR JPP PT4 LOP Feeder DUM FAJ</v>
      </c>
      <c r="D597" s="222" t="str">
        <f>IFERROR(__xludf.DUMMYFUNCTION("""COMPUTED_VALUE"""),"REGIONAL I")</f>
        <v>REGIONAL I</v>
      </c>
      <c r="E597" s="222" t="str">
        <f>IFERROR(__xludf.DUMMYFUNCTION("""COMPUTED_VALUE"""),"RIDAR")</f>
        <v>RIDAR</v>
      </c>
      <c r="F597" s="222" t="str">
        <f>IFERROR(__xludf.DUMMYFUNCTION("""COMPUTED_VALUE"""),"DUM")</f>
        <v>DUM</v>
      </c>
      <c r="G597" s="222" t="str">
        <f>IFERROR(__xludf.DUMMYFUNCTION("""COMPUTED_VALUE"""),"SUMBAGTENG")</f>
        <v>SUMBAGTENG</v>
      </c>
      <c r="H597" s="222" t="str">
        <f>IFERROR(__xludf.DUMMYFUNCTION("""COMPUTED_VALUE"""),"DUMAI")</f>
        <v>DUMAI</v>
      </c>
      <c r="I597" s="222" t="str">
        <f>IFERROR(__xludf.DUMMYFUNCTION("""COMPUTED_VALUE"""),"Batch 2")</f>
        <v>Batch 2</v>
      </c>
      <c r="J597" s="225">
        <f>IFERROR(__xludf.DUMMYFUNCTION("""COMPUTED_VALUE"""),19.0)</f>
        <v>19</v>
      </c>
      <c r="K597" s="224">
        <f>IFERROR(__xludf.DUMMYFUNCTION("""COMPUTED_VALUE"""),152.0)</f>
        <v>152</v>
      </c>
      <c r="L597" s="226">
        <f>IFERROR(__xludf.DUMMYFUNCTION("""COMPUTED_VALUE"""),1191865.0)</f>
        <v>1191865</v>
      </c>
      <c r="M597" s="227">
        <f>IFERROR(__xludf.DUMMYFUNCTION("""COMPUTED_VALUE"""),1.81163427E8)</f>
        <v>181163427</v>
      </c>
      <c r="N597" s="222" t="str">
        <f>IFERROR(__xludf.DUMMYFUNCTION("""COMPUTED_VALUE"""),"PT LIBER PERSADA MANDIRI")</f>
        <v>PT LIBER PERSADA MANDIRI</v>
      </c>
      <c r="O597" s="222" t="str">
        <f>IFERROR(__xludf.DUMMYFUNCTION("""COMPUTED_VALUE"""),"7. GOLIVE")</f>
        <v>7. GOLIVE</v>
      </c>
      <c r="P597" s="222" t="str">
        <f>IFERROR(__xludf.DUMMYFUNCTION("""COMPUTED_VALUE"""),"7.2 Golive Full / OA / DONE OTB")</f>
        <v>7.2 Golive Full / OA / DONE OTB</v>
      </c>
      <c r="Q597" s="222" t="str">
        <f>IFERROR(__xludf.DUMMYFUNCTION("""COMPUTED_VALUE"""),"20/02 Proses Valins 18/02 target golive 21 feb 2026 10/02 Penanaman tiang Penarikan kabel 29/01 Antrian Review hasil anwidzing (07/01) Persiapan")</f>
        <v>20/02 Proses Valins 18/02 target golive 21 feb 2026 10/02 Penanaman tiang Penarikan kabel 29/01 Antrian Review hasil anwidzing (07/01) Persiapan</v>
      </c>
      <c r="R597" s="228">
        <f>IFERROR(__xludf.DUMMYFUNCTION("""COMPUTED_VALUE"""),46078.0)</f>
        <v>46078</v>
      </c>
      <c r="S597" s="11"/>
      <c r="T597" s="11"/>
      <c r="U597" s="11" t="str">
        <f>IFERROR(__xludf.DUMMYFUNCTION("""COMPUTED_VALUE"""),"W08-79/2026")</f>
        <v>W08-79/2026</v>
      </c>
      <c r="V597" s="229" t="str">
        <f>IFERROR(__xludf.DUMMYFUNCTION("""COMPUTED_VALUE"""),"ONDI EKA SAPUTRA")</f>
        <v>ONDI EKA SAPUTRA</v>
      </c>
      <c r="W597" s="229" t="str">
        <f>IFERROR(__xludf.DUMMYFUNCTION("""COMPUTED_VALUE"""),"DESLITA RAHMADANI")</f>
        <v>DESLITA RAHMADANI</v>
      </c>
      <c r="X597" s="229" t="str">
        <f>IFERROR(__xludf.DUMMYFUNCTION("""COMPUTED_VALUE"""),"GOLIVE")</f>
        <v>GOLIVE</v>
      </c>
      <c r="Y597" s="229" t="str">
        <f>IFERROR(__xludf.DUMMYFUNCTION("""COMPUTED_VALUE"""),"DONE")</f>
        <v>DONE</v>
      </c>
      <c r="Z597" s="229" t="str">
        <f>IFERROR(__xludf.DUMMYFUNCTION("""COMPUTED_VALUE"""),"#N/A")</f>
        <v>#N/A</v>
      </c>
      <c r="AA597" s="229">
        <f>IFERROR(__xludf.DUMMYFUNCTION("""COMPUTED_VALUE"""),19.0)</f>
        <v>19</v>
      </c>
      <c r="AB597" s="229"/>
      <c r="AC597" s="229" t="str">
        <f>IFERROR(__xludf.DUMMYFUNCTION("""COMPUTED_VALUE"""),"8965198#8965203")</f>
        <v>8965198#8965203</v>
      </c>
      <c r="AD597" s="232">
        <f>IFERROR(__xludf.DUMMYFUNCTION("""COMPUTED_VALUE"""),152.0)</f>
        <v>152</v>
      </c>
      <c r="AE597" s="233">
        <f>IFERROR(__xludf.DUMMYFUNCTION("""COMPUTED_VALUE"""),46078.0)</f>
        <v>46078</v>
      </c>
      <c r="AF597" s="54"/>
      <c r="AG597" s="54"/>
      <c r="AH597" s="54">
        <v>46078.0</v>
      </c>
      <c r="AI597" s="55">
        <f>IF(OR(AH597="",AE597=""),"",AH597-AE597)</f>
        <v>0</v>
      </c>
      <c r="AW597" s="234"/>
      <c r="BP597" s="11"/>
      <c r="BQ597" s="11"/>
      <c r="BR597" s="235"/>
      <c r="BV597" s="158"/>
      <c r="BY597" s="158"/>
      <c r="CB597" s="158"/>
    </row>
    <row r="598" ht="18.0" customHeight="1">
      <c r="A598" s="222">
        <f>IFERROR(__xludf.DUMMYFUNCTION("""COMPUTED_VALUE"""),2026.0)</f>
        <v>2026</v>
      </c>
      <c r="B598" s="221">
        <f>IFERROR(__xludf.DUMMYFUNCTION("""COMPUTED_VALUE"""),1.1438191E7)</f>
        <v>11438191</v>
      </c>
      <c r="C598" s="222" t="str">
        <f>IFERROR(__xludf.DUMMYFUNCTION("""COMPUTED_VALUE"""),"RKP PT3 TSEL SLU-FBL RIAU BERTUAH 1")</f>
        <v>RKP PT3 TSEL SLU-FBL RIAU BERTUAH 1</v>
      </c>
      <c r="D598" s="222" t="str">
        <f>IFERROR(__xludf.DUMMYFUNCTION("""COMPUTED_VALUE"""),"REGIONAL I")</f>
        <v>REGIONAL I</v>
      </c>
      <c r="E598" s="222" t="str">
        <f>IFERROR(__xludf.DUMMYFUNCTION("""COMPUTED_VALUE"""),"RIKEP")</f>
        <v>RIKEP</v>
      </c>
      <c r="F598" s="222" t="str">
        <f>IFERROR(__xludf.DUMMYFUNCTION("""COMPUTED_VALUE"""),"SLU")</f>
        <v>SLU</v>
      </c>
      <c r="G598" s="222" t="str">
        <f>IFERROR(__xludf.DUMMYFUNCTION("""COMPUTED_VALUE"""),"SUMBAGTENG")</f>
        <v>SUMBAGTENG</v>
      </c>
      <c r="H598" s="222" t="str">
        <f>IFERROR(__xludf.DUMMYFUNCTION("""COMPUTED_VALUE"""),"BATAM")</f>
        <v>BATAM</v>
      </c>
      <c r="I598" s="222" t="str">
        <f>IFERROR(__xludf.DUMMYFUNCTION("""COMPUTED_VALUE"""),"Batch 2")</f>
        <v>Batch 2</v>
      </c>
      <c r="J598" s="225">
        <f>IFERROR(__xludf.DUMMYFUNCTION("""COMPUTED_VALUE"""),3.0)</f>
        <v>3</v>
      </c>
      <c r="K598" s="224">
        <f>IFERROR(__xludf.DUMMYFUNCTION("""COMPUTED_VALUE"""),24.0)</f>
        <v>24</v>
      </c>
      <c r="L598" s="226">
        <f>IFERROR(__xludf.DUMMYFUNCTION("""COMPUTED_VALUE"""),1190262.0)</f>
        <v>1190262</v>
      </c>
      <c r="M598" s="227">
        <f>IFERROR(__xludf.DUMMYFUNCTION("""COMPUTED_VALUE"""),2.8566278E7)</f>
        <v>28566278</v>
      </c>
      <c r="N598" s="222" t="str">
        <f>IFERROR(__xludf.DUMMYFUNCTION("""COMPUTED_VALUE"""),"PT MITRA HOSINDO SEJAHTERA")</f>
        <v>PT MITRA HOSINDO SEJAHTERA</v>
      </c>
      <c r="O598" s="222" t="str">
        <f>IFERROR(__xludf.DUMMYFUNCTION("""COMPUTED_VALUE"""),"0. DROP")</f>
        <v>0. DROP</v>
      </c>
      <c r="P598" s="222" t="str">
        <f>IFERROR(__xludf.DUMMYFUNCTION("""COMPUTED_VALUE"""),"0.2 Tidak Dapat Izin Warga/Kades/Lurah/Developer")</f>
        <v>0.2 Tidak Dapat Izin Warga/Kades/Lurah/Developer</v>
      </c>
      <c r="Q598" s="222" t="str">
        <f>IFERROR(__xludf.DUMMYFUNCTION("""COMPUTED_VALUE"""),"21/01 plan fu perizinan tanggal 26 Jan")</f>
        <v>21/01 plan fu perizinan tanggal 26 Jan</v>
      </c>
      <c r="R598" s="228"/>
      <c r="S598" s="11"/>
      <c r="T598" s="11"/>
      <c r="U598" s="11"/>
      <c r="V598" s="229" t="str">
        <f>IFERROR(__xludf.DUMMYFUNCTION("""COMPUTED_VALUE"""),"MUHAMMAD RIDHO FALFO")</f>
        <v>MUHAMMAD RIDHO FALFO</v>
      </c>
      <c r="W598" s="229" t="str">
        <f>IFERROR(__xludf.DUMMYFUNCTION("""COMPUTED_VALUE"""),"LEVITA INDRIYANI")</f>
        <v>LEVITA INDRIYANI</v>
      </c>
      <c r="X598" s="229" t="str">
        <f>IFERROR(__xludf.DUMMYFUNCTION("""COMPUTED_VALUE"""),"BELUM GOLIVE")</f>
        <v>BELUM GOLIVE</v>
      </c>
      <c r="Y598" s="229"/>
      <c r="Z598" s="229" t="str">
        <f>IFERROR(__xludf.DUMMYFUNCTION("""COMPUTED_VALUE"""),"#N/A")</f>
        <v>#N/A</v>
      </c>
      <c r="AA598" s="229"/>
      <c r="AB598" s="229"/>
      <c r="AC598" s="229"/>
      <c r="AD598" s="232"/>
      <c r="AE598" s="233"/>
      <c r="AF598" s="54" t="str">
        <f>IFERROR(__xludf.DUMMYFUNCTION("""COMPUTED_VALUE"""),"Draft BA DROP")</f>
        <v>Draft BA DROP</v>
      </c>
      <c r="AG598" s="54"/>
      <c r="AH598" s="54"/>
      <c r="AI598" s="55" t="str">
        <f t="shared" ref="AI598:AI603" si="71">IF(OR(R598="",AE598=""),"",R598-AE598)</f>
        <v/>
      </c>
      <c r="AW598" s="234"/>
      <c r="BP598" s="11"/>
      <c r="BQ598" s="11"/>
      <c r="BR598" s="235"/>
      <c r="BV598" s="158"/>
      <c r="BY598" s="158"/>
      <c r="CB598" s="158"/>
    </row>
    <row r="599" ht="18.0" customHeight="1">
      <c r="A599" s="222">
        <f>IFERROR(__xludf.DUMMYFUNCTION("""COMPUTED_VALUE"""),2026.0)</f>
        <v>2026</v>
      </c>
      <c r="B599" s="221">
        <f>IFERROR(__xludf.DUMMYFUNCTION("""COMPUTED_VALUE"""),1.1450019E7)</f>
        <v>11450019</v>
      </c>
      <c r="C599" s="222" t="str">
        <f>IFERROR(__xludf.DUMMYFUNCTION("""COMPUTED_VALUE"""),"RKP PT3 TSEL TPI-FR JL. HUTAN LINDUNG")</f>
        <v>RKP PT3 TSEL TPI-FR JL. HUTAN LINDUNG</v>
      </c>
      <c r="D599" s="222" t="str">
        <f>IFERROR(__xludf.DUMMYFUNCTION("""COMPUTED_VALUE"""),"REGIONAL I")</f>
        <v>REGIONAL I</v>
      </c>
      <c r="E599" s="222" t="str">
        <f>IFERROR(__xludf.DUMMYFUNCTION("""COMPUTED_VALUE"""),"RIKEP")</f>
        <v>RIKEP</v>
      </c>
      <c r="F599" s="222" t="str">
        <f>IFERROR(__xludf.DUMMYFUNCTION("""COMPUTED_VALUE"""),"TPI")</f>
        <v>TPI</v>
      </c>
      <c r="G599" s="222" t="str">
        <f>IFERROR(__xludf.DUMMYFUNCTION("""COMPUTED_VALUE"""),"SUMBAGTENG")</f>
        <v>SUMBAGTENG</v>
      </c>
      <c r="H599" s="222" t="str">
        <f>IFERROR(__xludf.DUMMYFUNCTION("""COMPUTED_VALUE"""),"BATAM")</f>
        <v>BATAM</v>
      </c>
      <c r="I599" s="222" t="str">
        <f>IFERROR(__xludf.DUMMYFUNCTION("""COMPUTED_VALUE"""),"Batch 2")</f>
        <v>Batch 2</v>
      </c>
      <c r="J599" s="225">
        <f>IFERROR(__xludf.DUMMYFUNCTION("""COMPUTED_VALUE"""),1.0)</f>
        <v>1</v>
      </c>
      <c r="K599" s="224">
        <f>IFERROR(__xludf.DUMMYFUNCTION("""COMPUTED_VALUE"""),8.0)</f>
        <v>8</v>
      </c>
      <c r="L599" s="226">
        <f>IFERROR(__xludf.DUMMYFUNCTION("""COMPUTED_VALUE"""),1190173.0)</f>
        <v>1190173</v>
      </c>
      <c r="M599" s="227">
        <f>IFERROR(__xludf.DUMMYFUNCTION("""COMPUTED_VALUE"""),9521379.0)</f>
        <v>9521379</v>
      </c>
      <c r="N599" s="222" t="str">
        <f>IFERROR(__xludf.DUMMYFUNCTION("""COMPUTED_VALUE"""),"PT SALTTEK DUMPANG JAYA")</f>
        <v>PT SALTTEK DUMPANG JAYA</v>
      </c>
      <c r="O599" s="222" t="str">
        <f>IFERROR(__xludf.DUMMYFUNCTION("""COMPUTED_VALUE"""),"2. DONE AANWIJZING")</f>
        <v>2. DONE AANWIJZING</v>
      </c>
      <c r="P599" s="222" t="str">
        <f>IFERROR(__xludf.DUMMYFUNCTION("""COMPUTED_VALUE"""),"2.11 Kendala - Feeder Full / Dependensi LOP lain")</f>
        <v>2.11 Kendala - Feeder Full / Dependensi LOP lain</v>
      </c>
      <c r="Q599" s="222" t="str">
        <f>IFERROR(__xludf.DUMMYFUNCTION("""COMPUTED_VALUE"""),"22/01 Feeder ODC full. 21/01 Proses anwijzing tanggal 22 Jan 2026")</f>
        <v>22/01 Feeder ODC full. 21/01 Proses anwijzing tanggal 22 Jan 2026</v>
      </c>
      <c r="R599" s="228"/>
      <c r="S599" s="11"/>
      <c r="T599" s="11"/>
      <c r="U599" s="11"/>
      <c r="V599" s="229" t="str">
        <f>IFERROR(__xludf.DUMMYFUNCTION("""COMPUTED_VALUE"""),"DEDY IRAWAN")</f>
        <v>DEDY IRAWAN</v>
      </c>
      <c r="W599" s="229" t="str">
        <f>IFERROR(__xludf.DUMMYFUNCTION("""COMPUTED_VALUE"""),"LEVITA INDRIYANI")</f>
        <v>LEVITA INDRIYANI</v>
      </c>
      <c r="X599" s="229" t="str">
        <f>IFERROR(__xludf.DUMMYFUNCTION("""COMPUTED_VALUE"""),"BELUM GOLIVE")</f>
        <v>BELUM GOLIVE</v>
      </c>
      <c r="Y599" s="229"/>
      <c r="Z599" s="229" t="str">
        <f>IFERROR(__xludf.DUMMYFUNCTION("""COMPUTED_VALUE"""),"#N/A")</f>
        <v>#N/A</v>
      </c>
      <c r="AA599" s="229"/>
      <c r="AB599" s="229"/>
      <c r="AC599" s="229"/>
      <c r="AD599" s="232"/>
      <c r="AE599" s="233"/>
      <c r="AF599" s="54"/>
      <c r="AG599" s="54"/>
      <c r="AH599" s="54"/>
      <c r="AI599" s="55" t="str">
        <f t="shared" si="71"/>
        <v/>
      </c>
      <c r="AW599" s="234"/>
      <c r="BP599" s="11"/>
      <c r="BQ599" s="11"/>
      <c r="BR599" s="235"/>
      <c r="BV599" s="158"/>
      <c r="BY599" s="158"/>
      <c r="CB599" s="158"/>
    </row>
    <row r="600" ht="18.0" hidden="1" customHeight="1">
      <c r="A600" s="222">
        <f>IFERROR(__xludf.DUMMYFUNCTION("""COMPUTED_VALUE"""),2026.0)</f>
        <v>2026</v>
      </c>
      <c r="B600" s="221">
        <f>IFERROR(__xludf.DUMMYFUNCTION("""COMPUTED_VALUE"""),1.1976957E7)</f>
        <v>11976957</v>
      </c>
      <c r="C600" s="222" t="str">
        <f>IFERROR(__xludf.DUMMYFUNCTION("""COMPUTED_VALUE"""),"SMS P4I1 PT4 PDT XX JL PANGKALAN BRANDAN")</f>
        <v>SMS P4I1 PT4 PDT XX JL PANGKALAN BRANDAN</v>
      </c>
      <c r="D600" s="222" t="str">
        <f>IFERROR(__xludf.DUMMYFUNCTION("""COMPUTED_VALUE"""),"REGIONAL I")</f>
        <v>REGIONAL I</v>
      </c>
      <c r="E600" s="222" t="str">
        <f>IFERROR(__xludf.DUMMYFUNCTION("""COMPUTED_VALUE"""),"SUMSEL")</f>
        <v>SUMSEL</v>
      </c>
      <c r="F600" s="222" t="str">
        <f>IFERROR(__xludf.DUMMYFUNCTION("""COMPUTED_VALUE"""),"PDT")</f>
        <v>PDT</v>
      </c>
      <c r="G600" s="222" t="str">
        <f>IFERROR(__xludf.DUMMYFUNCTION("""COMPUTED_VALUE"""),"SUMBAGSEL")</f>
        <v>SUMBAGSEL</v>
      </c>
      <c r="H600" s="222" t="str">
        <f>IFERROR(__xludf.DUMMYFUNCTION("""COMPUTED_VALUE"""),"PALEMBANG")</f>
        <v>PALEMBANG</v>
      </c>
      <c r="I600" s="222" t="str">
        <f>IFERROR(__xludf.DUMMYFUNCTION("""COMPUTED_VALUE"""),"Batch 2")</f>
        <v>Batch 2</v>
      </c>
      <c r="J600" s="225">
        <f>IFERROR(__xludf.DUMMYFUNCTION("""COMPUTED_VALUE"""),25.0)</f>
        <v>25</v>
      </c>
      <c r="K600" s="224">
        <f>IFERROR(__xludf.DUMMYFUNCTION("""COMPUTED_VALUE"""),192.0)</f>
        <v>192</v>
      </c>
      <c r="L600" s="226">
        <f>IFERROR(__xludf.DUMMYFUNCTION("""COMPUTED_VALUE"""),1189905.0)</f>
        <v>1189905</v>
      </c>
      <c r="M600" s="227">
        <f>IFERROR(__xludf.DUMMYFUNCTION("""COMPUTED_VALUE"""),2.28461736E8)</f>
        <v>228461736</v>
      </c>
      <c r="N600" s="222" t="str">
        <f>IFERROR(__xludf.DUMMYFUNCTION("""COMPUTED_VALUE"""),"PT ACERO CETHA METALINDO")</f>
        <v>PT ACERO CETHA METALINDO</v>
      </c>
      <c r="O600" s="222" t="str">
        <f>IFERROR(__xludf.DUMMYFUNCTION("""COMPUTED_VALUE"""),"1. AANWIJZING")</f>
        <v>1. AANWIJZING</v>
      </c>
      <c r="P600" s="222" t="str">
        <f>IFERROR(__xludf.DUMMYFUNCTION("""COMPUTED_VALUE"""),"1.4 Change Mitra")</f>
        <v>1.4 Change Mitra</v>
      </c>
      <c r="Q600" s="222" t="str">
        <f>IFERROR(__xludf.DUMMYFUNCTION("""COMPUTED_VALUE"""),"27/04 PENUNJUKKAN MITRA ULANG, 23/04 HASIL KOORDINASI TIF, TA DAN MTEL SDH DI APPROVE TERKAIT TIANG MTEL, 22/04 menunggu koordinasi antara tif, ta dan mtel terkait penggunaan tiang mterl secara bersama-sama, 13/04 Perizinan Kepala desa, sdh di approve ter"&amp;"kait tiang mtel  09/04MASIH BLM ADA INFO LANJUT TERKAIT TIANG MTEL, 08/04 HOLD MASIH KOORDINASI TERKAIT PELURUSAN CORE DAN TIANG MTEL, 26/03 KOORDINASI DG TIM SQUAD TERKAIT PENGECEKAN DAN PELURUSAN CORE, 24/03 PELURUSAN CORE, 21/03 MASIH PELURUSAN MANCORE"&amp;", 13/03 PELURUSAN MANCORE, 12/03 MASIH MENUNGGU INFO MENGENAI TIANG MTEL, 10/03 BLM ADA INFO TERKAIT TIANG MTEL, 03/03 hasil review pastikan izin dilokasi, dan pencrian core untuk uplink mini olt, 02/03 OGP REVIEW TIF, 27/02 MASIH KOORDINASI MASALLAH CATU"&amp;"AN KRNA CATUAN TDK ADA DAN CPP NAIK, 24/02 KOORDINASI MASALLAH CATUAN KRNA CATUAN TDK ADA DAN CPP NAIK, 22/2 kendala minol  06/02 hasil review TSEL pastikan izin dilokasi, dan pencrian core untuk uplink mini olt, 04/02 DONE EVAL, HOLD, SITE SAT193 HIDUP D"&amp;"R KABEL DIST DAN HIDUP DRI GPON, SECARA AANWIZJING NILAI BOQ TURUN DARI PLAN, CPP 1.0 JT, PASTIKAN DLU CORE UNTUK UPLINK MINI OLT DAN BELUM PERIZINAN 04/02 DONE EVAL, HOLD, SITE SAT193 HIDUP DR KABEL DIST DAN HIDUP DRI GPON, SECARA AANWIZJING NILAI BOQ TU"&amp;"RUN DARI PLAN, CPP 1.0 JT, PASTIKAN DLU CORE UNTUK UPLINK MINI OLT DAN BELUM PERIZINAN, 04/02 OGP EVAL, 25/01 DONE AANWIDJZING, 23/01 OGP AANWIDJZING, (21/01) menunggu antrian aanwizjing, (15/1) ORDER DITERIMA MITRA 14/1, plan Aanwijdzing 19 Jan (06/01)or"&amp;"der JPP batch-2 2026 ((14/11)HOLD- tidak masuk target Optimis 2025 ((11/11) Penunjukkan MITRA oleh Procurement 23/10 penunjukan mitra
 14/01 penunjukan mitra oleh procurement")</f>
        <v>27/04 PENUNJUKKAN MITRA ULANG, 23/04 HASIL KOORDINASI TIF, TA DAN MTEL SDH DI APPROVE TERKAIT TIANG MTEL, 22/04 menunggu koordinasi antara tif, ta dan mtel terkait penggunaan tiang mterl secara bersama-sama, 13/04 Perizinan Kepala desa, sdh di approve terkait tiang mtel  09/04MASIH BLM ADA INFO LANJUT TERKAIT TIANG MTEL, 08/04 HOLD MASIH KOORDINASI TERKAIT PELURUSAN CORE DAN TIANG MTEL, 26/03 KOORDINASI DG TIM SQUAD TERKAIT PENGECEKAN DAN PELURUSAN CORE, 24/03 PELURUSAN CORE, 21/03 MASIH PELURUSAN MANCORE, 13/03 PELURUSAN MANCORE, 12/03 MASIH MENUNGGU INFO MENGENAI TIANG MTEL, 10/03 BLM ADA INFO TERKAIT TIANG MTEL, 03/03 hasil review pastikan izin dilokasi, dan pencrian core untuk uplink mini olt, 02/03 OGP REVIEW TIF, 27/02 MASIH KOORDINASI MASALLAH CATUAN KRNA CATUAN TDK ADA DAN CPP NAIK, 24/02 KOORDINASI MASALLAH CATUAN KRNA CATUAN TDK ADA DAN CPP NAIK, 22/2 kendala minol  06/02 hasil review TSEL pastikan izin dilokasi, dan pencrian core untuk uplink mini olt, 04/02 DONE EVAL, HOLD, SITE SAT193 HIDUP DR KABEL DIST DAN HIDUP DRI GPON, SECARA AANWIZJING NILAI BOQ TURUN DARI PLAN, CPP 1.0 JT, PASTIKAN DLU CORE UNTUK UPLINK MINI OLT DAN BELUM PERIZINAN 04/02 DONE EVAL, HOLD, SITE SAT193 HIDUP DR KABEL DIST DAN HIDUP DRI GPON, SECARA AANWIZJING NILAI BOQ TURUN DARI PLAN, CPP 1.0 JT, PASTIKAN DLU CORE UNTUK UPLINK MINI OLT DAN BELUM PERIZINAN, 04/02 OGP EVAL, 25/01 DONE AANWIDJZING, 23/01 OGP AANWIDJZING, (21/01) menunggu antrian aanwizjing, (15/1) ORDER DITERIMA MITRA 14/1, plan Aanwijdzing 19 Jan (06/01)order JPP batch-2 2026 ((14/11)HOLD- tidak masuk target Optimis 2025 ((11/11) Penunjukkan MITRA oleh Procurement 23/10 penunjukan mitra
 14/01 penunjukan mitra oleh procurement</v>
      </c>
      <c r="R600" s="228"/>
      <c r="S600" s="11"/>
      <c r="T600" s="11"/>
      <c r="U600" s="11"/>
      <c r="V600" s="229" t="str">
        <f>IFERROR(__xludf.DUMMYFUNCTION("""COMPUTED_VALUE"""),"ILHAM")</f>
        <v>ILHAM</v>
      </c>
      <c r="W600" s="229"/>
      <c r="X600" s="229" t="str">
        <f>IFERROR(__xludf.DUMMYFUNCTION("""COMPUTED_VALUE"""),"BELUM GOLIVE")</f>
        <v>BELUM GOLIVE</v>
      </c>
      <c r="Y600" s="229"/>
      <c r="Z600" s="229"/>
      <c r="AA600" s="229"/>
      <c r="AB600" s="229"/>
      <c r="AC600" s="229"/>
      <c r="AD600" s="232"/>
      <c r="AE600" s="233"/>
      <c r="AF600" s="54"/>
      <c r="AG600" s="54"/>
      <c r="AH600" s="54"/>
      <c r="AI600" s="55" t="str">
        <f t="shared" si="71"/>
        <v/>
      </c>
      <c r="AW600" s="234"/>
      <c r="BP600" s="11"/>
      <c r="BQ600" s="11"/>
      <c r="BR600" s="235"/>
      <c r="BV600" s="158"/>
      <c r="BY600" s="158"/>
      <c r="CB600" s="158"/>
    </row>
    <row r="601" ht="18.0" hidden="1" customHeight="1">
      <c r="A601" s="222">
        <f>IFERROR(__xludf.DUMMYFUNCTION("""COMPUTED_VALUE"""),2026.0)</f>
        <v>2026</v>
      </c>
      <c r="B601" s="221">
        <f>IFERROR(__xludf.DUMMYFUNCTION("""COMPUTED_VALUE"""),1.1587427E7)</f>
        <v>11587427</v>
      </c>
      <c r="C601" s="222" t="str">
        <f>IFERROR(__xludf.DUMMYFUNCTION("""COMPUTED_VALUE"""),"ACH LNO PT3 LNO-FC D04 KRUENG TUNONG")</f>
        <v>ACH LNO PT3 LNO-FC D04 KRUENG TUNONG</v>
      </c>
      <c r="D601" s="222" t="str">
        <f>IFERROR(__xludf.DUMMYFUNCTION("""COMPUTED_VALUE"""),"REGIONAL I")</f>
        <v>REGIONAL I</v>
      </c>
      <c r="E601" s="222" t="str">
        <f>IFERROR(__xludf.DUMMYFUNCTION("""COMPUTED_VALUE"""),"ACEH")</f>
        <v>ACEH</v>
      </c>
      <c r="F601" s="222" t="str">
        <f>IFERROR(__xludf.DUMMYFUNCTION("""COMPUTED_VALUE"""),"LNO")</f>
        <v>LNO</v>
      </c>
      <c r="G601" s="222" t="str">
        <f>IFERROR(__xludf.DUMMYFUNCTION("""COMPUTED_VALUE"""),"SUMBAGUT")</f>
        <v>SUMBAGUT</v>
      </c>
      <c r="H601" s="222" t="str">
        <f>IFERROR(__xludf.DUMMYFUNCTION("""COMPUTED_VALUE"""),"BANDA ACEH")</f>
        <v>BANDA ACEH</v>
      </c>
      <c r="I601" s="222" t="str">
        <f>IFERROR(__xludf.DUMMYFUNCTION("""COMPUTED_VALUE"""),"Batch 2")</f>
        <v>Batch 2</v>
      </c>
      <c r="J601" s="225">
        <f>IFERROR(__xludf.DUMMYFUNCTION("""COMPUTED_VALUE"""),10.0)</f>
        <v>10</v>
      </c>
      <c r="K601" s="224">
        <f>IFERROR(__xludf.DUMMYFUNCTION("""COMPUTED_VALUE"""),80.0)</f>
        <v>80</v>
      </c>
      <c r="L601" s="226">
        <f>IFERROR(__xludf.DUMMYFUNCTION("""COMPUTED_VALUE"""),1189679.0)</f>
        <v>1189679</v>
      </c>
      <c r="M601" s="227">
        <f>IFERROR(__xludf.DUMMYFUNCTION("""COMPUTED_VALUE"""),9.5174255E7)</f>
        <v>95174255</v>
      </c>
      <c r="N601" s="222" t="str">
        <f>IFERROR(__xludf.DUMMYFUNCTION("""COMPUTED_VALUE"""),"PT TRIPOLA PANATA")</f>
        <v>PT TRIPOLA PANATA</v>
      </c>
      <c r="O601" s="222" t="str">
        <f>IFERROR(__xludf.DUMMYFUNCTION("""COMPUTED_VALUE"""),"4. MATDEL")</f>
        <v>4. MATDEL</v>
      </c>
      <c r="P601" s="222" t="str">
        <f>IFERROR(__xludf.DUMMYFUNCTION("""COMPUTED_VALUE"""),"4.2 Sudah Request Material (Alista)")</f>
        <v>4.2 Sudah Request Material (Alista)</v>
      </c>
      <c r="Q601" s="222" t="str">
        <f>IFERROR(__xludf.DUMMYFUNCTION("""COMPUTED_VALUE"""),"(03/03) Proses PO Material (12/01) RT tidak mengizinkan karena dilokasi sudah banyak tiang, (07/01) Persiapan")</f>
        <v>(03/03) Proses PO Material (12/01) RT tidak mengizinkan karena dilokasi sudah banyak tiang, (07/01) Persiapan</v>
      </c>
      <c r="R601" s="228"/>
      <c r="S601" s="11"/>
      <c r="T601" s="73"/>
      <c r="U601" s="11"/>
      <c r="V601" s="229"/>
      <c r="W601" s="229" t="str">
        <f>IFERROR(__xludf.DUMMYFUNCTION("""COMPUTED_VALUE"""),"#N/A")</f>
        <v>#N/A</v>
      </c>
      <c r="X601" s="229" t="str">
        <f>IFERROR(__xludf.DUMMYFUNCTION("""COMPUTED_VALUE"""),"BELUM GOLIVE")</f>
        <v>BELUM GOLIVE</v>
      </c>
      <c r="Y601" s="229"/>
      <c r="Z601" s="229" t="str">
        <f>IFERROR(__xludf.DUMMYFUNCTION("""COMPUTED_VALUE"""),"#N/A")</f>
        <v>#N/A</v>
      </c>
      <c r="AA601" s="229"/>
      <c r="AB601" s="229"/>
      <c r="AC601" s="229"/>
      <c r="AD601" s="232"/>
      <c r="AE601" s="233"/>
      <c r="AF601" s="54"/>
      <c r="AG601" s="54"/>
      <c r="AH601" s="54">
        <v>46132.0</v>
      </c>
      <c r="AI601" s="55" t="str">
        <f t="shared" si="71"/>
        <v/>
      </c>
      <c r="AW601" s="234"/>
      <c r="BP601" s="11"/>
      <c r="BQ601" s="11"/>
      <c r="BR601" s="235"/>
      <c r="BV601" s="158"/>
      <c r="BY601" s="158"/>
      <c r="CB601" s="158"/>
    </row>
    <row r="602" ht="18.0" hidden="1" customHeight="1">
      <c r="A602" s="222">
        <f>IFERROR(__xludf.DUMMYFUNCTION("""COMPUTED_VALUE"""),2026.0)</f>
        <v>2026</v>
      </c>
      <c r="B602" s="221">
        <f>IFERROR(__xludf.DUMMYFUNCTION("""COMPUTED_VALUE"""),1.1087743E7)</f>
        <v>11087743</v>
      </c>
      <c r="C602" s="222" t="str">
        <f>IFERROR(__xludf.DUMMYFUNCTION("""COMPUTED_VALUE"""),"SMS P7I5 PT3 SRO FBZ D02 MUZAZI VILLAGE")</f>
        <v>SMS P7I5 PT3 SRO FBZ D02 MUZAZI VILLAGE</v>
      </c>
      <c r="D602" s="222" t="str">
        <f>IFERROR(__xludf.DUMMYFUNCTION("""COMPUTED_VALUE"""),"REGIONAL I")</f>
        <v>REGIONAL I</v>
      </c>
      <c r="E602" s="222" t="str">
        <f>IFERROR(__xludf.DUMMYFUNCTION("""COMPUTED_VALUE"""),"SUMSEL")</f>
        <v>SUMSEL</v>
      </c>
      <c r="F602" s="222" t="str">
        <f>IFERROR(__xludf.DUMMYFUNCTION("""COMPUTED_VALUE"""),"SRO")</f>
        <v>SRO</v>
      </c>
      <c r="G602" s="222" t="str">
        <f>IFERROR(__xludf.DUMMYFUNCTION("""COMPUTED_VALUE"""),"SUMBAGSEL")</f>
        <v>SUMBAGSEL</v>
      </c>
      <c r="H602" s="222" t="str">
        <f>IFERROR(__xludf.DUMMYFUNCTION("""COMPUTED_VALUE"""),"PALEMBANG")</f>
        <v>PALEMBANG</v>
      </c>
      <c r="I602" s="222" t="str">
        <f>IFERROR(__xludf.DUMMYFUNCTION("""COMPUTED_VALUE"""),"Batch 2")</f>
        <v>Batch 2</v>
      </c>
      <c r="J602" s="225">
        <f>IFERROR(__xludf.DUMMYFUNCTION("""COMPUTED_VALUE"""),15.0)</f>
        <v>15</v>
      </c>
      <c r="K602" s="224">
        <f>IFERROR(__xludf.DUMMYFUNCTION("""COMPUTED_VALUE"""),120.0)</f>
        <v>120</v>
      </c>
      <c r="L602" s="226">
        <f>IFERROR(__xludf.DUMMYFUNCTION("""COMPUTED_VALUE"""),1188644.0)</f>
        <v>1188644</v>
      </c>
      <c r="M602" s="227">
        <f>IFERROR(__xludf.DUMMYFUNCTION("""COMPUTED_VALUE"""),1.42637199E8)</f>
        <v>142637199</v>
      </c>
      <c r="N602" s="222" t="str">
        <f>IFERROR(__xludf.DUMMYFUNCTION("""COMPUTED_VALUE"""),"PT TRIPOLA PANATA")</f>
        <v>PT TRIPOLA PANATA</v>
      </c>
      <c r="O602" s="222" t="str">
        <f>IFERROR(__xludf.DUMMYFUNCTION("""COMPUTED_VALUE"""),"0. DROP")</f>
        <v>0. DROP</v>
      </c>
      <c r="P602" s="222" t="str">
        <f>IFERROR(__xludf.DUMMYFUNCTION("""COMPUTED_VALUE"""),"0.2 Tidak Dapat Izin Warga/Kades/Lurah/Developer")</f>
        <v>0.2 Tidak Dapat Izin Warga/Kades/Lurah/Developer</v>
      </c>
      <c r="Q602" s="222" t="str">
        <f>IFERROR(__xludf.DUMMYFUNCTION("""COMPUTED_VALUE"""),"09/03 drop karena tidak mendapatkan izin dari ketua RT dan di lokasi sdh ada 2 kompetitor, 27/02 drop karena tidak mendapatkan izin dari ketua RT dan di lokasi sdh ada 2 kompetitor, 06/02 HASIL REVIEW TSEL DROP - TERKAIT PERIZINAN, 29/01, drop karena tida"&amp;"k mendapatkan izin dari ketua RT dan di lokasi sdh ada 2 kompetitor , 07/01 DROP tidak dpt izin dari RT (21/01) DROP, tidak mendapatkan izin dari warga dan RT setmpat, (06/01)order JPP batch-2 2026 (23/12 DROP, 20/11 RT tidak mengizinkan karena dilokasi s"&amp;"udah banyak tiang, 18/11 RT tidak mengizinkan karena dilokasi sudah banyak tiang, 11/11 masih kendala perizinan 05/11 koordinasi perizinan 23/10 penunjukan mitra")</f>
        <v>09/03 drop karena tidak mendapatkan izin dari ketua RT dan di lokasi sdh ada 2 kompetitor, 27/02 drop karena tidak mendapatkan izin dari ketua RT dan di lokasi sdh ada 2 kompetitor, 06/02 HASIL REVIEW TSEL DROP - TERKAIT PERIZINAN, 29/01, drop karena tidak mendapatkan izin dari ketua RT dan di lokasi sdh ada 2 kompetitor , 07/01 DROP tidak dpt izin dari RT (21/01) DROP, tidak mendapatkan izin dari warga dan RT setmpat, (06/01)order JPP batch-2 2026 (23/12 DROP, 20/11 RT tidak mengizinkan karena dilokasi sudah banyak tiang, 18/11 RT tidak mengizinkan karena dilokasi sudah banyak tiang, 11/11 masih kendala perizinan 05/11 koordinasi perizinan 23/10 penunjukan mitra</v>
      </c>
      <c r="R602" s="228"/>
      <c r="S602" s="11"/>
      <c r="T602" s="11"/>
      <c r="U602" s="11"/>
      <c r="V602" s="229" t="str">
        <f>IFERROR(__xludf.DUMMYFUNCTION("""COMPUTED_VALUE"""),"TEGAR")</f>
        <v>TEGAR</v>
      </c>
      <c r="W602" s="229"/>
      <c r="X602" s="229" t="str">
        <f>IFERROR(__xludf.DUMMYFUNCTION("""COMPUTED_VALUE"""),"BELUM GOLIVE")</f>
        <v>BELUM GOLIVE</v>
      </c>
      <c r="Y602" s="229"/>
      <c r="Z602" s="229" t="str">
        <f>IFERROR(__xludf.DUMMYFUNCTION("""COMPUTED_VALUE"""),"#N/A")</f>
        <v>#N/A</v>
      </c>
      <c r="AA602" s="229"/>
      <c r="AB602" s="229"/>
      <c r="AC602" s="229"/>
      <c r="AD602" s="232"/>
      <c r="AE602" s="233"/>
      <c r="AF602" s="54" t="str">
        <f>IFERROR(__xludf.DUMMYFUNCTION("""COMPUTED_VALUE"""),"Draft BA DROP")</f>
        <v>Draft BA DROP</v>
      </c>
      <c r="AG602" s="54"/>
      <c r="AH602" s="54"/>
      <c r="AI602" s="55" t="str">
        <f t="shared" si="71"/>
        <v/>
      </c>
      <c r="AW602" s="234"/>
      <c r="BP602" s="11"/>
      <c r="BQ602" s="11"/>
      <c r="BR602" s="235"/>
      <c r="BV602" s="158"/>
      <c r="BY602" s="158"/>
      <c r="CB602" s="158"/>
    </row>
    <row r="603" ht="18.0" hidden="1" customHeight="1">
      <c r="A603" s="222">
        <f>IFERROR(__xludf.DUMMYFUNCTION("""COMPUTED_VALUE"""),2026.0)</f>
        <v>2026</v>
      </c>
      <c r="B603" s="221">
        <f>IFERROR(__xludf.DUMMYFUNCTION("""COMPUTED_VALUE"""),1.1131345E7)</f>
        <v>11131345</v>
      </c>
      <c r="C603" s="222" t="str">
        <f>IFERROR(__xludf.DUMMYFUNCTION("""COMPUTED_VALUE"""),"MDN PT3 P7I7 PRT-FC GG.JATI")</f>
        <v>MDN PT3 P7I7 PRT-FC GG.JATI</v>
      </c>
      <c r="D603" s="222" t="str">
        <f>IFERROR(__xludf.DUMMYFUNCTION("""COMPUTED_VALUE"""),"REGIONAL I")</f>
        <v>REGIONAL I</v>
      </c>
      <c r="E603" s="222" t="str">
        <f>IFERROR(__xludf.DUMMYFUNCTION("""COMPUTED_VALUE"""),"MEDAN")</f>
        <v>MEDAN</v>
      </c>
      <c r="F603" s="222" t="str">
        <f>IFERROR(__xludf.DUMMYFUNCTION("""COMPUTED_VALUE"""),"PRT")</f>
        <v>PRT</v>
      </c>
      <c r="G603" s="222" t="str">
        <f>IFERROR(__xludf.DUMMYFUNCTION("""COMPUTED_VALUE"""),"SUMBAGUT")</f>
        <v>SUMBAGUT</v>
      </c>
      <c r="H603" s="222" t="str">
        <f>IFERROR(__xludf.DUMMYFUNCTION("""COMPUTED_VALUE"""),"MEDAN")</f>
        <v>MEDAN</v>
      </c>
      <c r="I603" s="222" t="str">
        <f>IFERROR(__xludf.DUMMYFUNCTION("""COMPUTED_VALUE"""),"Batch 2")</f>
        <v>Batch 2</v>
      </c>
      <c r="J603" s="225">
        <f>IFERROR(__xludf.DUMMYFUNCTION("""COMPUTED_VALUE"""),1.0)</f>
        <v>1</v>
      </c>
      <c r="K603" s="224">
        <f>IFERROR(__xludf.DUMMYFUNCTION("""COMPUTED_VALUE"""),8.0)</f>
        <v>8</v>
      </c>
      <c r="L603" s="226">
        <f>IFERROR(__xludf.DUMMYFUNCTION("""COMPUTED_VALUE"""),1187671.0)</f>
        <v>1187671</v>
      </c>
      <c r="M603" s="227">
        <f>IFERROR(__xludf.DUMMYFUNCTION("""COMPUTED_VALUE"""),9501363.0)</f>
        <v>9501363</v>
      </c>
      <c r="N603" s="222" t="str">
        <f>IFERROR(__xludf.DUMMYFUNCTION("""COMPUTED_VALUE"""),"PT BENWA  MITRA PRATAMA")</f>
        <v>PT BENWA  MITRA PRATAMA</v>
      </c>
      <c r="O603" s="222" t="str">
        <f>IFERROR(__xludf.DUMMYFUNCTION("""COMPUTED_VALUE"""),"0. DROP")</f>
        <v>0. DROP</v>
      </c>
      <c r="P603" s="222" t="str">
        <f>IFERROR(__xludf.DUMMYFUNCTION("""COMPUTED_VALUE"""),"0.4 CPP Tinggi Acc ED TIF")</f>
        <v>0.4 CPP Tinggi Acc ED TIF</v>
      </c>
      <c r="Q603" s="222" t="str">
        <f>IFERROR(__xludf.DUMMYFUNCTION("""COMPUTED_VALUE"""),"04/02 Aanwidzing ok, lanjut perizinan")</f>
        <v>04/02 Aanwidzing ok, lanjut perizinan</v>
      </c>
      <c r="R603" s="228"/>
      <c r="S603" s="11"/>
      <c r="T603" s="11"/>
      <c r="U603" s="11"/>
      <c r="V603" s="229"/>
      <c r="W603" s="229"/>
      <c r="X603" s="229" t="str">
        <f>IFERROR(__xludf.DUMMYFUNCTION("""COMPUTED_VALUE"""),"BELUM GOLIVE")</f>
        <v>BELUM GOLIVE</v>
      </c>
      <c r="Y603" s="229"/>
      <c r="Z603" s="229" t="str">
        <f>IFERROR(__xludf.DUMMYFUNCTION("""COMPUTED_VALUE"""),"#N/A")</f>
        <v>#N/A</v>
      </c>
      <c r="AA603" s="229"/>
      <c r="AB603" s="229"/>
      <c r="AC603" s="229"/>
      <c r="AD603" s="232"/>
      <c r="AE603" s="233"/>
      <c r="AF603" s="54" t="str">
        <f>IFERROR(__xludf.DUMMYFUNCTION("""COMPUTED_VALUE"""),"Draft BA DROP")</f>
        <v>Draft BA DROP</v>
      </c>
      <c r="AG603" s="54"/>
      <c r="AH603" s="54"/>
      <c r="AI603" s="55" t="str">
        <f t="shared" si="71"/>
        <v/>
      </c>
      <c r="AW603" s="234"/>
      <c r="BP603" s="11"/>
      <c r="BQ603" s="11"/>
      <c r="BR603" s="235"/>
      <c r="BV603" s="158"/>
      <c r="BY603" s="158"/>
      <c r="CB603" s="158"/>
    </row>
    <row r="604" ht="18.0" customHeight="1">
      <c r="A604" s="222">
        <f>IFERROR(__xludf.DUMMYFUNCTION("""COMPUTED_VALUE"""),2026.0)</f>
        <v>2026</v>
      </c>
      <c r="B604" s="221">
        <f>IFERROR(__xludf.DUMMYFUNCTION("""COMPUTED_VALUE"""),1.2037076E7)</f>
        <v>12037076</v>
      </c>
      <c r="C604" s="222" t="str">
        <f>IFERROR(__xludf.DUMMYFUNCTION("""COMPUTED_VALUE"""),"SMB STTF EXPAND TAMBAHAN TKU-FA")</f>
        <v>SMB STTF EXPAND TAMBAHAN TKU-FA</v>
      </c>
      <c r="D604" s="222" t="str">
        <f>IFERROR(__xludf.DUMMYFUNCTION("""COMPUTED_VALUE"""),"REGIONAL I")</f>
        <v>REGIONAL I</v>
      </c>
      <c r="E604" s="222" t="str">
        <f>IFERROR(__xludf.DUMMYFUNCTION("""COMPUTED_VALUE"""),"SUMBAR")</f>
        <v>SUMBAR</v>
      </c>
      <c r="F604" s="222" t="str">
        <f>IFERROR(__xludf.DUMMYFUNCTION("""COMPUTED_VALUE"""),"TKU")</f>
        <v>TKU</v>
      </c>
      <c r="G604" s="222" t="str">
        <f>IFERROR(__xludf.DUMMYFUNCTION("""COMPUTED_VALUE"""),"SUMBAGTENG")</f>
        <v>SUMBAGTENG</v>
      </c>
      <c r="H604" s="222" t="str">
        <f>IFERROR(__xludf.DUMMYFUNCTION("""COMPUTED_VALUE"""),"BUKIT TINGGI")</f>
        <v>BUKIT TINGGI</v>
      </c>
      <c r="I604" s="222" t="str">
        <f>IFERROR(__xludf.DUMMYFUNCTION("""COMPUTED_VALUE"""),"Batch 2")</f>
        <v>Batch 2</v>
      </c>
      <c r="J604" s="225">
        <f>IFERROR(__xludf.DUMMYFUNCTION("""COMPUTED_VALUE"""),17.0)</f>
        <v>17</v>
      </c>
      <c r="K604" s="224">
        <f>IFERROR(__xludf.DUMMYFUNCTION("""COMPUTED_VALUE"""),136.0)</f>
        <v>136</v>
      </c>
      <c r="L604" s="226">
        <f>IFERROR(__xludf.DUMMYFUNCTION("""COMPUTED_VALUE"""),1186994.0)</f>
        <v>1186994</v>
      </c>
      <c r="M604" s="227">
        <f>IFERROR(__xludf.DUMMYFUNCTION("""COMPUTED_VALUE"""),1.61431157E8)</f>
        <v>161431157</v>
      </c>
      <c r="N604" s="222" t="str">
        <f>IFERROR(__xludf.DUMMYFUNCTION("""COMPUTED_VALUE"""),"PT TIGA AKSES MANDIRI")</f>
        <v>PT TIGA AKSES MANDIRI</v>
      </c>
      <c r="O604" s="222" t="str">
        <f>IFERROR(__xludf.DUMMYFUNCTION("""COMPUTED_VALUE"""),"7. GOLIVE")</f>
        <v>7. GOLIVE</v>
      </c>
      <c r="P604" s="222" t="str">
        <f>IFERROR(__xludf.DUMMYFUNCTION("""COMPUTED_VALUE"""),"7.2 Golive Full / OA / DONE OTB")</f>
        <v>7.2 Golive Full / OA / DONE OTB</v>
      </c>
      <c r="Q604" s="222" t="str">
        <f>IFERROR(__xludf.DUMMYFUNCTION("""COMPUTED_VALUE"""),"(30/03) proses abd ke SDI (16/03) proses penarikan kabel (05/03) proses create PID  3/3 Meeting ED1 - TAREGION - TA AREA ACC CPP Tinggi LANJUT (29/01) CPP 1,3 Dan kenaikan lebih dari 10% ")</f>
        <v>(30/03) proses abd ke SDI (16/03) proses penarikan kabel (05/03) proses create PID  3/3 Meeting ED1 - TAREGION - TA AREA ACC CPP Tinggi LANJUT (29/01) CPP 1,3 Dan kenaikan lebih dari 10% </v>
      </c>
      <c r="R604" s="228">
        <f>IFERROR(__xludf.DUMMYFUNCTION("""COMPUTED_VALUE"""),46112.0)</f>
        <v>46112</v>
      </c>
      <c r="S604" s="11" t="str">
        <f>IFERROR(__xludf.DUMMYFUNCTION("""COMPUTED_VALUE"""),"MAR")</f>
        <v>MAR</v>
      </c>
      <c r="T604" s="11" t="str">
        <f>IFERROR(__xludf.DUMMYFUNCTION("""COMPUTED_VALUE"""),"P1")</f>
        <v>P1</v>
      </c>
      <c r="U604" s="11" t="str">
        <f>IFERROR(__xludf.DUMMYFUNCTION("""COMPUTED_VALUE"""),"TIF-5467/2026  26KT03R107-0018")</f>
        <v>TIF-5467/2026  26KT03R107-0018</v>
      </c>
      <c r="V604" s="229" t="str">
        <f>IFERROR(__xludf.DUMMYFUNCTION("""COMPUTED_VALUE"""),"JANUAR RIZAL")</f>
        <v>JANUAR RIZAL</v>
      </c>
      <c r="W604" s="229" t="str">
        <f>IFERROR(__xludf.DUMMYFUNCTION("""COMPUTED_VALUE"""),"MELKO NARWADI")</f>
        <v>MELKO NARWADI</v>
      </c>
      <c r="X604" s="229" t="str">
        <f>IFERROR(__xludf.DUMMYFUNCTION("""COMPUTED_VALUE"""),"GOLIVE")</f>
        <v>GOLIVE</v>
      </c>
      <c r="Y604" s="229" t="str">
        <f>IFERROR(__xludf.DUMMYFUNCTION("""COMPUTED_VALUE"""),"DONE")</f>
        <v>DONE</v>
      </c>
      <c r="Z604" s="229" t="str">
        <f>IFERROR(__xludf.DUMMYFUNCTION("""COMPUTED_VALUE"""),"#N/A")</f>
        <v>#N/A</v>
      </c>
      <c r="AA604" s="229">
        <f>IFERROR(__xludf.DUMMYFUNCTION("""COMPUTED_VALUE"""),17.0)</f>
        <v>17</v>
      </c>
      <c r="AB604" s="229"/>
      <c r="AC604" s="229" t="str">
        <f>IFERROR(__xludf.DUMMYFUNCTION("""COMPUTED_VALUE"""),"9230852#9230857")</f>
        <v>9230852#9230857</v>
      </c>
      <c r="AD604" s="232">
        <f>IFERROR(__xludf.DUMMYFUNCTION("""COMPUTED_VALUE"""),136.0)</f>
        <v>136</v>
      </c>
      <c r="AE604" s="233">
        <f>IFERROR(__xludf.DUMMYFUNCTION("""COMPUTED_VALUE"""),46112.0)</f>
        <v>46112</v>
      </c>
      <c r="AF604" s="54"/>
      <c r="AG604" s="54"/>
      <c r="AH604" s="54">
        <v>46112.0</v>
      </c>
      <c r="AI604" s="55">
        <f>IF(OR(AH604="",AE604=""),"",AH604-AE604)</f>
        <v>0</v>
      </c>
      <c r="AW604" s="234"/>
      <c r="BP604" s="11"/>
      <c r="BQ604" s="11"/>
      <c r="BR604" s="235"/>
      <c r="BV604" s="158"/>
      <c r="BY604" s="158"/>
      <c r="CB604" s="158"/>
    </row>
    <row r="605" ht="18.0" hidden="1" customHeight="1">
      <c r="A605" s="222">
        <f>IFERROR(__xludf.DUMMYFUNCTION("""COMPUTED_VALUE"""),2026.0)</f>
        <v>2026</v>
      </c>
      <c r="B605" s="221">
        <f>IFERROR(__xludf.DUMMYFUNCTION("""COMPUTED_VALUE"""),1.1986887E7)</f>
        <v>11986887</v>
      </c>
      <c r="C605" s="222" t="str">
        <f>IFERROR(__xludf.DUMMYFUNCTION("""COMPUTED_VALUE"""),"ACH SAB PT3 SAB-FB JL.YOS SUDARSO")</f>
        <v>ACH SAB PT3 SAB-FB JL.YOS SUDARSO</v>
      </c>
      <c r="D605" s="222" t="str">
        <f>IFERROR(__xludf.DUMMYFUNCTION("""COMPUTED_VALUE"""),"REGIONAL I")</f>
        <v>REGIONAL I</v>
      </c>
      <c r="E605" s="222" t="str">
        <f>IFERROR(__xludf.DUMMYFUNCTION("""COMPUTED_VALUE"""),"ACEH")</f>
        <v>ACEH</v>
      </c>
      <c r="F605" s="222" t="str">
        <f>IFERROR(__xludf.DUMMYFUNCTION("""COMPUTED_VALUE"""),"SAB")</f>
        <v>SAB</v>
      </c>
      <c r="G605" s="222" t="str">
        <f>IFERROR(__xludf.DUMMYFUNCTION("""COMPUTED_VALUE"""),"SUMBAGUT")</f>
        <v>SUMBAGUT</v>
      </c>
      <c r="H605" s="222" t="str">
        <f>IFERROR(__xludf.DUMMYFUNCTION("""COMPUTED_VALUE"""),"BANDA ACEH")</f>
        <v>BANDA ACEH</v>
      </c>
      <c r="I605" s="222" t="str">
        <f>IFERROR(__xludf.DUMMYFUNCTION("""COMPUTED_VALUE"""),"Batch 2")</f>
        <v>Batch 2</v>
      </c>
      <c r="J605" s="225">
        <f>IFERROR(__xludf.DUMMYFUNCTION("""COMPUTED_VALUE"""),7.0)</f>
        <v>7</v>
      </c>
      <c r="K605" s="224">
        <f>IFERROR(__xludf.DUMMYFUNCTION("""COMPUTED_VALUE"""),56.0)</f>
        <v>56</v>
      </c>
      <c r="L605" s="226">
        <f>IFERROR(__xludf.DUMMYFUNCTION("""COMPUTED_VALUE"""),1186707.0)</f>
        <v>1186707</v>
      </c>
      <c r="M605" s="227">
        <f>IFERROR(__xludf.DUMMYFUNCTION("""COMPUTED_VALUE"""),6.6455546E7)</f>
        <v>66455546</v>
      </c>
      <c r="N605" s="222" t="str">
        <f>IFERROR(__xludf.DUMMYFUNCTION("""COMPUTED_VALUE"""),"PT TRIPOLA PANATA")</f>
        <v>PT TRIPOLA PANATA</v>
      </c>
      <c r="O605" s="222" t="str">
        <f>IFERROR(__xludf.DUMMYFUNCTION("""COMPUTED_VALUE"""),"7. GOLIVE")</f>
        <v>7. GOLIVE</v>
      </c>
      <c r="P605" s="222" t="str">
        <f>IFERROR(__xludf.DUMMYFUNCTION("""COMPUTED_VALUE"""),"7.2 Golive Full / OA / DONE OTB")</f>
        <v>7.2 Golive Full / OA / DONE OTB</v>
      </c>
      <c r="Q605" s="222" t="str">
        <f>IFERROR(__xludf.DUMMYFUNCTION("""COMPUTED_VALUE"""),"(11/02) pgl (10/02) Validasi ABD Mncore (07/02) Persiapan Terminasi (02/02) Tanam Tiang (23/01) PO Material (21/01) DelMat (07/01) Persiapan")</f>
        <v>(11/02) pgl (10/02) Validasi ABD Mncore (07/02) Persiapan Terminasi (02/02) Tanam Tiang (23/01) PO Material (21/01) DelMat (07/01) Persiapan</v>
      </c>
      <c r="R605" s="228">
        <f>IFERROR(__xludf.DUMMYFUNCTION("""COMPUTED_VALUE"""),46064.0)</f>
        <v>46064</v>
      </c>
      <c r="S605" s="11"/>
      <c r="T605" s="11"/>
      <c r="U605" s="11" t="str">
        <f>IFERROR(__xludf.DUMMYFUNCTION("""COMPUTED_VALUE"""),"W04-1065/2025")</f>
        <v>W04-1065/2025</v>
      </c>
      <c r="V605" s="229"/>
      <c r="W605" s="229"/>
      <c r="X605" s="229" t="str">
        <f>IFERROR(__xludf.DUMMYFUNCTION("""COMPUTED_VALUE"""),"GOLIVE")</f>
        <v>GOLIVE</v>
      </c>
      <c r="Y605" s="229" t="str">
        <f>IFERROR(__xludf.DUMMYFUNCTION("""COMPUTED_VALUE"""),"DONE")</f>
        <v>DONE</v>
      </c>
      <c r="Z605" s="229" t="str">
        <f>IFERROR(__xludf.DUMMYFUNCTION("""COMPUTED_VALUE"""),"#N/A")</f>
        <v>#N/A</v>
      </c>
      <c r="AA605" s="229">
        <f>IFERROR(__xludf.DUMMYFUNCTION("""COMPUTED_VALUE"""),7.0)</f>
        <v>7</v>
      </c>
      <c r="AB605" s="229"/>
      <c r="AC605" s="229" t="str">
        <f>IFERROR(__xludf.DUMMYFUNCTION("""COMPUTED_VALUE"""),"9095592#9095597")</f>
        <v>9095592#9095597</v>
      </c>
      <c r="AD605" s="232">
        <f>IFERROR(__xludf.DUMMYFUNCTION("""COMPUTED_VALUE"""),56.0)</f>
        <v>56</v>
      </c>
      <c r="AE605" s="233">
        <f>IFERROR(__xludf.DUMMYFUNCTION("""COMPUTED_VALUE"""),46064.0)</f>
        <v>46064</v>
      </c>
      <c r="AF605" s="54"/>
      <c r="AG605" s="54"/>
      <c r="AH605" s="54">
        <v>46137.0</v>
      </c>
      <c r="AI605" s="237">
        <f>AH605-NOW()</f>
        <v>-3.377989896</v>
      </c>
      <c r="AJ605" s="229" t="str">
        <f>if(AI605&gt;=0,"In Komitmen","Out Komitmen")</f>
        <v>Out Komitmen</v>
      </c>
      <c r="AK605" s="229" t="e">
        <v>#N/A</v>
      </c>
      <c r="AW605" s="234"/>
      <c r="BP605" s="11"/>
      <c r="BQ605" s="11"/>
      <c r="BR605" s="235"/>
      <c r="BV605" s="158"/>
      <c r="BY605" s="158"/>
      <c r="CB605" s="158"/>
    </row>
    <row r="606" ht="18.0" customHeight="1">
      <c r="A606" s="222">
        <f>IFERROR(__xludf.DUMMYFUNCTION("""COMPUTED_VALUE"""),2026.0)</f>
        <v>2026</v>
      </c>
      <c r="B606" s="221">
        <f>IFERROR(__xludf.DUMMYFUNCTION("""COMPUTED_VALUE"""),1.1378346E7)</f>
        <v>11378346</v>
      </c>
      <c r="C606" s="222" t="str">
        <f>IFERROR(__xludf.DUMMYFUNCTION("""COMPUTED_VALUE"""),"RKP PT4 TSEL DBS-FXX JL. BATU AMPAR")</f>
        <v>RKP PT4 TSEL DBS-FXX JL. BATU AMPAR</v>
      </c>
      <c r="D606" s="222" t="str">
        <f>IFERROR(__xludf.DUMMYFUNCTION("""COMPUTED_VALUE"""),"REGIONAL I")</f>
        <v>REGIONAL I</v>
      </c>
      <c r="E606" s="222" t="str">
        <f>IFERROR(__xludf.DUMMYFUNCTION("""COMPUTED_VALUE"""),"RIKEP")</f>
        <v>RIKEP</v>
      </c>
      <c r="F606" s="222" t="str">
        <f>IFERROR(__xludf.DUMMYFUNCTION("""COMPUTED_VALUE"""),"DBS")</f>
        <v>DBS</v>
      </c>
      <c r="G606" s="222" t="str">
        <f>IFERROR(__xludf.DUMMYFUNCTION("""COMPUTED_VALUE"""),"SUMBAGTENG")</f>
        <v>SUMBAGTENG</v>
      </c>
      <c r="H606" s="222" t="str">
        <f>IFERROR(__xludf.DUMMYFUNCTION("""COMPUTED_VALUE"""),"BATAM")</f>
        <v>BATAM</v>
      </c>
      <c r="I606" s="222" t="str">
        <f>IFERROR(__xludf.DUMMYFUNCTION("""COMPUTED_VALUE"""),"Batch 2")</f>
        <v>Batch 2</v>
      </c>
      <c r="J606" s="225">
        <f>IFERROR(__xludf.DUMMYFUNCTION("""COMPUTED_VALUE"""),5.0)</f>
        <v>5</v>
      </c>
      <c r="K606" s="224">
        <f>IFERROR(__xludf.DUMMYFUNCTION("""COMPUTED_VALUE"""),40.0)</f>
        <v>40</v>
      </c>
      <c r="L606" s="226">
        <f>IFERROR(__xludf.DUMMYFUNCTION("""COMPUTED_VALUE"""),1184921.0)</f>
        <v>1184921</v>
      </c>
      <c r="M606" s="227">
        <f>IFERROR(__xludf.DUMMYFUNCTION("""COMPUTED_VALUE"""),4.7396806E7)</f>
        <v>47396806</v>
      </c>
      <c r="N606" s="222" t="str">
        <f>IFERROR(__xludf.DUMMYFUNCTION("""COMPUTED_VALUE"""),"SWAKELOLA")</f>
        <v>SWAKELOLA</v>
      </c>
      <c r="O606" s="222" t="str">
        <f>IFERROR(__xludf.DUMMYFUNCTION("""COMPUTED_VALUE"""),"4. MATDEL")</f>
        <v>4. MATDEL</v>
      </c>
      <c r="P606" s="222" t="str">
        <f>IFERROR(__xludf.DUMMYFUNCTION("""COMPUTED_VALUE"""),"4.3 Proses Kirim Mateial Kelokasi")</f>
        <v>4.3 Proses Kirim Mateial Kelokasi</v>
      </c>
      <c r="Q606"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606" s="228"/>
      <c r="S606" s="11"/>
      <c r="T606" s="11"/>
      <c r="U606" s="11" t="str">
        <f>IFERROR(__xludf.DUMMYFUNCTION("""COMPUTED_VALUE"""),"TIF-7807/2026
")</f>
        <v>TIF-7807/2026
</v>
      </c>
      <c r="V606" s="229" t="str">
        <f>IFERROR(__xludf.DUMMYFUNCTION("""COMPUTED_VALUE"""),"DEDY IRAWAN")</f>
        <v>DEDY IRAWAN</v>
      </c>
      <c r="W606" s="229" t="str">
        <f>IFERROR(__xludf.DUMMYFUNCTION("""COMPUTED_VALUE"""),"LEVITA INDRIYANI")</f>
        <v>LEVITA INDRIYANI</v>
      </c>
      <c r="X606" s="229" t="str">
        <f>IFERROR(__xludf.DUMMYFUNCTION("""COMPUTED_VALUE"""),"BELUM GOLIVE")</f>
        <v>BELUM GOLIVE</v>
      </c>
      <c r="Y606" s="229"/>
      <c r="Z606" s="229" t="str">
        <f>IFERROR(__xludf.DUMMYFUNCTION("""COMPUTED_VALUE"""),"#N/A")</f>
        <v>#N/A</v>
      </c>
      <c r="AA606" s="229"/>
      <c r="AB606" s="229"/>
      <c r="AC606" s="229"/>
      <c r="AD606" s="232"/>
      <c r="AE606" s="233"/>
      <c r="AF606" s="54"/>
      <c r="AG606" s="54"/>
      <c r="AH606" s="54"/>
      <c r="AI606" s="55" t="str">
        <f t="shared" ref="AI606:AI632" si="72">IF(OR(R606="",AE606=""),"",R606-AE606)</f>
        <v/>
      </c>
      <c r="AW606" s="234"/>
      <c r="BP606" s="11"/>
      <c r="BQ606" s="11"/>
      <c r="BR606" s="235"/>
      <c r="BV606" s="158"/>
      <c r="BY606" s="158"/>
      <c r="CB606" s="158"/>
    </row>
    <row r="607" ht="18.0" hidden="1" customHeight="1">
      <c r="A607" s="222">
        <f>IFERROR(__xludf.DUMMYFUNCTION("""COMPUTED_VALUE"""),2026.0)</f>
        <v>2026</v>
      </c>
      <c r="B607" s="221">
        <f>IFERROR(__xludf.DUMMYFUNCTION("""COMPUTED_VALUE"""),1.1041219E7)</f>
        <v>11041219</v>
      </c>
      <c r="C607" s="222" t="str">
        <f>IFERROR(__xludf.DUMMYFUNCTION("""COMPUTED_VALUE"""),"MDN PT3 P7I1 PRT-FB LEMBAGA DESA TANJUNG REJO")</f>
        <v>MDN PT3 P7I1 PRT-FB LEMBAGA DESA TANJUNG REJO</v>
      </c>
      <c r="D607" s="222" t="str">
        <f>IFERROR(__xludf.DUMMYFUNCTION("""COMPUTED_VALUE"""),"REGIONAL I")</f>
        <v>REGIONAL I</v>
      </c>
      <c r="E607" s="222" t="str">
        <f>IFERROR(__xludf.DUMMYFUNCTION("""COMPUTED_VALUE"""),"MEDAN")</f>
        <v>MEDAN</v>
      </c>
      <c r="F607" s="222" t="str">
        <f>IFERROR(__xludf.DUMMYFUNCTION("""COMPUTED_VALUE"""),"PRT")</f>
        <v>PRT</v>
      </c>
      <c r="G607" s="222" t="str">
        <f>IFERROR(__xludf.DUMMYFUNCTION("""COMPUTED_VALUE"""),"SUMBAGUT")</f>
        <v>SUMBAGUT</v>
      </c>
      <c r="H607" s="222" t="str">
        <f>IFERROR(__xludf.DUMMYFUNCTION("""COMPUTED_VALUE"""),"MEDAN")</f>
        <v>MEDAN</v>
      </c>
      <c r="I607" s="222" t="str">
        <f>IFERROR(__xludf.DUMMYFUNCTION("""COMPUTED_VALUE"""),"Batch 2")</f>
        <v>Batch 2</v>
      </c>
      <c r="J607" s="225">
        <f>IFERROR(__xludf.DUMMYFUNCTION("""COMPUTED_VALUE"""),4.0)</f>
        <v>4</v>
      </c>
      <c r="K607" s="224">
        <f>IFERROR(__xludf.DUMMYFUNCTION("""COMPUTED_VALUE"""),32.0)</f>
        <v>32</v>
      </c>
      <c r="L607" s="226">
        <f>IFERROR(__xludf.DUMMYFUNCTION("""COMPUTED_VALUE"""),1327989.0)</f>
        <v>1327989</v>
      </c>
      <c r="M607" s="227">
        <f>IFERROR(__xludf.DUMMYFUNCTION("""COMPUTED_VALUE"""),4.2495645E7)</f>
        <v>42495645</v>
      </c>
      <c r="N607" s="222" t="str">
        <f>IFERROR(__xludf.DUMMYFUNCTION("""COMPUTED_VALUE"""),"PT BENWA  MITRA PRATAMA")</f>
        <v>PT BENWA  MITRA PRATAMA</v>
      </c>
      <c r="O607" s="222" t="str">
        <f>IFERROR(__xludf.DUMMYFUNCTION("""COMPUTED_VALUE"""),"0. DROP")</f>
        <v>0. DROP</v>
      </c>
      <c r="P607" s="222" t="str">
        <f>IFERROR(__xludf.DUMMYFUNCTION("""COMPUTED_VALUE"""),"0.4 CPP Tinggi Acc ED TIF")</f>
        <v>0.4 CPP Tinggi Acc ED TIF</v>
      </c>
      <c r="Q607" s="222" t="str">
        <f>IFERROR(__xludf.DUMMYFUNCTION("""COMPUTED_VALUE"""),"(29/01) Feeder Habis")</f>
        <v>(29/01) Feeder Habis</v>
      </c>
      <c r="R607" s="228"/>
      <c r="S607" s="11"/>
      <c r="T607" s="11"/>
      <c r="U607" s="11"/>
      <c r="V607" s="229"/>
      <c r="W607" s="229"/>
      <c r="X607" s="229" t="str">
        <f>IFERROR(__xludf.DUMMYFUNCTION("""COMPUTED_VALUE"""),"BELUM GOLIVE")</f>
        <v>BELUM GOLIVE</v>
      </c>
      <c r="Y607" s="229"/>
      <c r="Z607" s="229" t="str">
        <f>IFERROR(__xludf.DUMMYFUNCTION("""COMPUTED_VALUE"""),"#N/A")</f>
        <v>#N/A</v>
      </c>
      <c r="AA607" s="229"/>
      <c r="AB607" s="229"/>
      <c r="AC607" s="229"/>
      <c r="AD607" s="232"/>
      <c r="AE607" s="233"/>
      <c r="AF607" s="54" t="str">
        <f>IFERROR(__xludf.DUMMYFUNCTION("""COMPUTED_VALUE"""),"Draft BA DROP")</f>
        <v>Draft BA DROP</v>
      </c>
      <c r="AG607" s="54"/>
      <c r="AH607" s="54"/>
      <c r="AI607" s="55" t="str">
        <f t="shared" si="72"/>
        <v/>
      </c>
      <c r="AW607" s="234"/>
      <c r="BP607" s="11"/>
      <c r="BQ607" s="11"/>
      <c r="BR607" s="235"/>
      <c r="BV607" s="158"/>
      <c r="BY607" s="158"/>
      <c r="CB607" s="158"/>
    </row>
    <row r="608" ht="18.0" hidden="1" customHeight="1">
      <c r="A608" s="222">
        <f>IFERROR(__xludf.DUMMYFUNCTION("""COMPUTED_VALUE"""),2026.0)</f>
        <v>2026</v>
      </c>
      <c r="B608" s="221">
        <f>IFERROR(__xludf.DUMMYFUNCTION("""COMPUTED_VALUE"""),1.1346646E7)</f>
        <v>11346646</v>
      </c>
      <c r="C608" s="222" t="str">
        <f>IFERROR(__xludf.DUMMYFUNCTION("""COMPUTED_VALUE"""),"ACH PT3 BNN-FD D05 TEUPIN RAYA")</f>
        <v>ACH PT3 BNN-FD D05 TEUPIN RAYA</v>
      </c>
      <c r="D608" s="222" t="str">
        <f>IFERROR(__xludf.DUMMYFUNCTION("""COMPUTED_VALUE"""),"REGIONAL I")</f>
        <v>REGIONAL I</v>
      </c>
      <c r="E608" s="222" t="str">
        <f>IFERROR(__xludf.DUMMYFUNCTION("""COMPUTED_VALUE"""),"ACEH")</f>
        <v>ACEH</v>
      </c>
      <c r="F608" s="222" t="str">
        <f>IFERROR(__xludf.DUMMYFUNCTION("""COMPUTED_VALUE"""),"BNN")</f>
        <v>BNN</v>
      </c>
      <c r="G608" s="222" t="str">
        <f>IFERROR(__xludf.DUMMYFUNCTION("""COMPUTED_VALUE"""),"SUMBAGUT")</f>
        <v>SUMBAGUT</v>
      </c>
      <c r="H608" s="222" t="str">
        <f>IFERROR(__xludf.DUMMYFUNCTION("""COMPUTED_VALUE"""),"BANDA ACEH")</f>
        <v>BANDA ACEH</v>
      </c>
      <c r="I608" s="222" t="str">
        <f>IFERROR(__xludf.DUMMYFUNCTION("""COMPUTED_VALUE"""),"Batch 2")</f>
        <v>Batch 2</v>
      </c>
      <c r="J608" s="225">
        <f>IFERROR(__xludf.DUMMYFUNCTION("""COMPUTED_VALUE"""),14.0)</f>
        <v>14</v>
      </c>
      <c r="K608" s="224">
        <f>IFERROR(__xludf.DUMMYFUNCTION("""COMPUTED_VALUE"""),120.0)</f>
        <v>120</v>
      </c>
      <c r="L608" s="226">
        <f>IFERROR(__xludf.DUMMYFUNCTION("""COMPUTED_VALUE"""),1183458.0)</f>
        <v>1183458</v>
      </c>
      <c r="M608" s="227">
        <f>IFERROR(__xludf.DUMMYFUNCTION("""COMPUTED_VALUE"""),1.42014864E8)</f>
        <v>142014864</v>
      </c>
      <c r="N608" s="222" t="str">
        <f>IFERROR(__xludf.DUMMYFUNCTION("""COMPUTED_VALUE"""),"PT TRIPOLA PANATA")</f>
        <v>PT TRIPOLA PANATA</v>
      </c>
      <c r="O608" s="222" t="str">
        <f>IFERROR(__xludf.DUMMYFUNCTION("""COMPUTED_VALUE"""),"4. MATDEL")</f>
        <v>4. MATDEL</v>
      </c>
      <c r="P608" s="222" t="str">
        <f>IFERROR(__xludf.DUMMYFUNCTION("""COMPUTED_VALUE"""),"4.2 Sudah Request Material (Alista)")</f>
        <v>4.2 Sudah Request Material (Alista)</v>
      </c>
      <c r="Q608" s="222" t="str">
        <f>IFERROR(__xludf.DUMMYFUNCTION("""COMPUTED_VALUE"""),"(01/04) Delmat dari pabrik ke WH (07/02) Proses Negosiasi dgn Kepala Desa (07/01) Persiapan")</f>
        <v>(01/04) Delmat dari pabrik ke WH (07/02) Proses Negosiasi dgn Kepala Desa (07/01) Persiapan</v>
      </c>
      <c r="R608" s="228"/>
      <c r="S608" s="11"/>
      <c r="T608" s="73"/>
      <c r="U608" s="11"/>
      <c r="V608" s="229" t="str">
        <f>IFERROR(__xludf.DUMMYFUNCTION("""COMPUTED_VALUE"""),"28/Apr/2026")</f>
        <v>28/Apr/2026</v>
      </c>
      <c r="W608" s="229"/>
      <c r="X608" s="229" t="str">
        <f>IFERROR(__xludf.DUMMYFUNCTION("""COMPUTED_VALUE"""),"BELUM GOLIVE")</f>
        <v>BELUM GOLIVE</v>
      </c>
      <c r="Y608" s="229"/>
      <c r="Z608" s="229" t="str">
        <f>IFERROR(__xludf.DUMMYFUNCTION("""COMPUTED_VALUE"""),"#N/A")</f>
        <v>#N/A</v>
      </c>
      <c r="AA608" s="229"/>
      <c r="AB608" s="229"/>
      <c r="AC608" s="229"/>
      <c r="AD608" s="232"/>
      <c r="AE608" s="233"/>
      <c r="AF608" s="54"/>
      <c r="AG608" s="54"/>
      <c r="AH608" s="54"/>
      <c r="AI608" s="55" t="str">
        <f t="shared" si="72"/>
        <v/>
      </c>
      <c r="AW608" s="234"/>
      <c r="BP608" s="11"/>
      <c r="BQ608" s="11"/>
      <c r="BR608" s="235"/>
      <c r="BV608" s="158"/>
      <c r="BY608" s="158"/>
      <c r="CB608" s="158"/>
    </row>
    <row r="609" ht="18.0" hidden="1" customHeight="1">
      <c r="A609" s="222">
        <f>IFERROR(__xludf.DUMMYFUNCTION("""COMPUTED_VALUE"""),2026.0)</f>
        <v>2026</v>
      </c>
      <c r="B609" s="221">
        <f>IFERROR(__xludf.DUMMYFUNCTION("""COMPUTED_VALUE"""),1.2316869E7)</f>
        <v>12316869</v>
      </c>
      <c r="C609" s="222" t="str">
        <f>IFERROR(__xludf.DUMMYFUNCTION("""COMPUTED_VALUE"""),"SMS P4I2 PT3 MUD FS D03 RANTAU PJG RCM")</f>
        <v>SMS P4I2 PT3 MUD FS D03 RANTAU PJG RCM</v>
      </c>
      <c r="D609" s="222" t="str">
        <f>IFERROR(__xludf.DUMMYFUNCTION("""COMPUTED_VALUE"""),"REGIONAL I")</f>
        <v>REGIONAL I</v>
      </c>
      <c r="E609" s="222" t="str">
        <f>IFERROR(__xludf.DUMMYFUNCTION("""COMPUTED_VALUE"""),"SUMSEL")</f>
        <v>SUMSEL</v>
      </c>
      <c r="F609" s="222" t="str">
        <f>IFERROR(__xludf.DUMMYFUNCTION("""COMPUTED_VALUE"""),"MUD")</f>
        <v>MUD</v>
      </c>
      <c r="G609" s="222" t="str">
        <f>IFERROR(__xludf.DUMMYFUNCTION("""COMPUTED_VALUE"""),"SUMBAGSEL")</f>
        <v>SUMBAGSEL</v>
      </c>
      <c r="H609" s="222" t="str">
        <f>IFERROR(__xludf.DUMMYFUNCTION("""COMPUTED_VALUE"""),"PALEMBANG")</f>
        <v>PALEMBANG</v>
      </c>
      <c r="I609" s="222" t="str">
        <f>IFERROR(__xludf.DUMMYFUNCTION("""COMPUTED_VALUE"""),"Batch 2")</f>
        <v>Batch 2</v>
      </c>
      <c r="J609" s="225">
        <f>IFERROR(__xludf.DUMMYFUNCTION("""COMPUTED_VALUE"""),2.0)</f>
        <v>2</v>
      </c>
      <c r="K609" s="224">
        <f>IFERROR(__xludf.DUMMYFUNCTION("""COMPUTED_VALUE"""),16.0)</f>
        <v>16</v>
      </c>
      <c r="L609" s="226">
        <f>IFERROR(__xludf.DUMMYFUNCTION("""COMPUTED_VALUE"""),1183379.0)</f>
        <v>1183379</v>
      </c>
      <c r="M609" s="227">
        <f>IFERROR(__xludf.DUMMYFUNCTION("""COMPUTED_VALUE"""),1.8934055E7)</f>
        <v>18934055</v>
      </c>
      <c r="N609" s="222" t="str">
        <f>IFERROR(__xludf.DUMMYFUNCTION("""COMPUTED_VALUE"""),"PT GARINDO TECHNO MANDIRI")</f>
        <v>PT GARINDO TECHNO MANDIRI</v>
      </c>
      <c r="O609" s="222" t="str">
        <f>IFERROR(__xludf.DUMMYFUNCTION("""COMPUTED_VALUE"""),"0. DROP")</f>
        <v>0. DROP</v>
      </c>
      <c r="P609" s="222" t="str">
        <f>IFERROR(__xludf.DUMMYFUNCTION("""COMPUTED_VALUE"""),"0.3 Feeder Full")</f>
        <v>0.3 Feeder Full</v>
      </c>
      <c r="Q609" s="222" t="str">
        <f>IFERROR(__xludf.DUMMYFUNCTION("""COMPUTED_VALUE"""),"06/04 HOLD - MASIH KENDALA FEEDER PUTUS, 25/03 HOLD - MASIH KENDALA FEEDER PUTUS, 13/03 HOLD - KENDALA FEEDER PUTUS, 11/03 HOLD BOQ DAN CPP NAIK, 02/03 OGP REVIEW TIF, 27/02 HOLD - BOQ NAIK, 22/2 Boq naik dari plan  06/02 konfirm tsel atas kenaikan boq dr"&amp;"i plan sebesar 11%, 03/02 DONE EVAL, HOLD, ADA KENAIKAN BOQ SEBESAR 11% DAN CPP 1,3 JT 30/01 MITRA SUDAH KIRIM HASIL AANWIDJZING - PERIZINAN OK, (24/1) Sudah aanwijdzing, menunggu update hasil (15/1) ORDER DITERIMA MITRA 14/1,MENUNGGU PLAN AANWIJDZING (06"&amp;"/01)order JPP batch-2 2026 ((14/11)HOLD- tidak masuk target Optimis 2025 ((11/11) Penunjukkan MITRA oleh Procurement")</f>
        <v>06/04 HOLD - MASIH KENDALA FEEDER PUTUS, 25/03 HOLD - MASIH KENDALA FEEDER PUTUS, 13/03 HOLD - KENDALA FEEDER PUTUS, 11/03 HOLD BOQ DAN CPP NAIK, 02/03 OGP REVIEW TIF, 27/02 HOLD - BOQ NAIK, 22/2 Boq naik dari plan  06/02 konfirm tsel atas kenaikan boq dri plan sebesar 11%, 03/02 DONE EVAL, HOLD, ADA KENAIKAN BOQ SEBESAR 11% DAN CPP 1,3 JT 30/01 MITRA SUDAH KIRIM HASIL AANWIDJZING - PERIZINAN OK, (24/1) Sudah aanwijdzing, menunggu update hasil (15/1) ORDER DITERIMA MITRA 14/1,MENUNGGU PLAN AANWIJDZING (06/01)order JPP batch-2 2026 ((14/11)HOLD- tidak masuk target Optimis 2025 ((11/11) Penunjukkan MITRA oleh Procurement</v>
      </c>
      <c r="R609" s="228"/>
      <c r="S609" s="11"/>
      <c r="T609" s="11"/>
      <c r="U609" s="11"/>
      <c r="V609" s="229" t="str">
        <f>IFERROR(__xludf.DUMMYFUNCTION("""COMPUTED_VALUE"""),"TANTOWI")</f>
        <v>TANTOWI</v>
      </c>
      <c r="W609" s="229"/>
      <c r="X609" s="229" t="str">
        <f>IFERROR(__xludf.DUMMYFUNCTION("""COMPUTED_VALUE"""),"BELUM GOLIVE")</f>
        <v>BELUM GOLIVE</v>
      </c>
      <c r="Y609" s="229"/>
      <c r="Z609" s="229" t="str">
        <f>IFERROR(__xludf.DUMMYFUNCTION("""COMPUTED_VALUE"""),"#N/A")</f>
        <v>#N/A</v>
      </c>
      <c r="AA609" s="229"/>
      <c r="AB609" s="229"/>
      <c r="AC609" s="229"/>
      <c r="AD609" s="232"/>
      <c r="AE609" s="233"/>
      <c r="AF609" s="54" t="str">
        <f>IFERROR(__xludf.DUMMYFUNCTION("""COMPUTED_VALUE"""),"Draft BA DROP")</f>
        <v>Draft BA DROP</v>
      </c>
      <c r="AG609" s="54"/>
      <c r="AH609" s="54"/>
      <c r="AI609" s="55" t="str">
        <f t="shared" si="72"/>
        <v/>
      </c>
      <c r="AW609" s="234"/>
      <c r="BP609" s="11"/>
      <c r="BQ609" s="11"/>
      <c r="BR609" s="235"/>
      <c r="BV609" s="158"/>
      <c r="BY609" s="158"/>
      <c r="CB609" s="158"/>
    </row>
    <row r="610" ht="18.0" customHeight="1">
      <c r="A610" s="222">
        <f>IFERROR(__xludf.DUMMYFUNCTION("""COMPUTED_VALUE"""),2026.0)</f>
        <v>2026</v>
      </c>
      <c r="B610" s="221">
        <f>IFERROR(__xludf.DUMMYFUNCTION("""COMPUTED_VALUE"""),1.1503203E7)</f>
        <v>11503203</v>
      </c>
      <c r="C610" s="222" t="str">
        <f>IFERROR(__xludf.DUMMYFUNCTION("""COMPUTED_VALUE"""),"RDR JPP PT3 EXPAND ARK FKF")</f>
        <v>RDR JPP PT3 EXPAND ARK FKF</v>
      </c>
      <c r="D610" s="222" t="str">
        <f>IFERROR(__xludf.DUMMYFUNCTION("""COMPUTED_VALUE"""),"REGIONAL I")</f>
        <v>REGIONAL I</v>
      </c>
      <c r="E610" s="222" t="str">
        <f>IFERROR(__xludf.DUMMYFUNCTION("""COMPUTED_VALUE"""),"RIDAR")</f>
        <v>RIDAR</v>
      </c>
      <c r="F610" s="222" t="str">
        <f>IFERROR(__xludf.DUMMYFUNCTION("""COMPUTED_VALUE"""),"ARK")</f>
        <v>ARK</v>
      </c>
      <c r="G610" s="222" t="str">
        <f>IFERROR(__xludf.DUMMYFUNCTION("""COMPUTED_VALUE"""),"SUMBAGTENG")</f>
        <v>SUMBAGTENG</v>
      </c>
      <c r="H610" s="222" t="str">
        <f>IFERROR(__xludf.DUMMYFUNCTION("""COMPUTED_VALUE"""),"PEKANBARU")</f>
        <v>PEKANBARU</v>
      </c>
      <c r="I610" s="222" t="str">
        <f>IFERROR(__xludf.DUMMYFUNCTION("""COMPUTED_VALUE"""),"Batch 2")</f>
        <v>Batch 2</v>
      </c>
      <c r="J610" s="225">
        <f>IFERROR(__xludf.DUMMYFUNCTION("""COMPUTED_VALUE"""),5.0)</f>
        <v>5</v>
      </c>
      <c r="K610" s="224">
        <f>IFERROR(__xludf.DUMMYFUNCTION("""COMPUTED_VALUE"""),40.0)</f>
        <v>40</v>
      </c>
      <c r="L610" s="226">
        <f>IFERROR(__xludf.DUMMYFUNCTION("""COMPUTED_VALUE"""),1169791.0)</f>
        <v>1169791</v>
      </c>
      <c r="M610" s="227">
        <f>IFERROR(__xludf.DUMMYFUNCTION("""COMPUTED_VALUE"""),4.6791628E7)</f>
        <v>46791628</v>
      </c>
      <c r="N610" s="222" t="str">
        <f>IFERROR(__xludf.DUMMYFUNCTION("""COMPUTED_VALUE"""),"PT SAMUDERA PUTRA KENCANA")</f>
        <v>PT SAMUDERA PUTRA KENCANA</v>
      </c>
      <c r="O610" s="222" t="str">
        <f>IFERROR(__xludf.DUMMYFUNCTION("""COMPUTED_VALUE"""),"0. DROP")</f>
        <v>0. DROP</v>
      </c>
      <c r="P610" s="222" t="str">
        <f>IFERROR(__xludf.DUMMYFUNCTION("""COMPUTED_VALUE"""),"0.3 Feeder Full")</f>
        <v>0.3 Feeder Full</v>
      </c>
      <c r="Q610" s="222" t="str">
        <f>IFERROR(__xludf.DUMMYFUNCTION("""COMPUTED_VALUE"""),"20/01 Drop kendala feeder full (07/01) Persiapan")</f>
        <v>20/01 Drop kendala feeder full (07/01) Persiapan</v>
      </c>
      <c r="R610" s="228"/>
      <c r="S610" s="11"/>
      <c r="T610" s="11"/>
      <c r="U610" s="11"/>
      <c r="V610" s="229" t="str">
        <f>IFERROR(__xludf.DUMMYFUNCTION("""COMPUTED_VALUE"""),"TEGUH IMAM PERDANA")</f>
        <v>TEGUH IMAM PERDANA</v>
      </c>
      <c r="W610" s="229" t="str">
        <f>IFERROR(__xludf.DUMMYFUNCTION("""COMPUTED_VALUE"""),"DESLITA RAHMADANI")</f>
        <v>DESLITA RAHMADANI</v>
      </c>
      <c r="X610" s="229" t="str">
        <f>IFERROR(__xludf.DUMMYFUNCTION("""COMPUTED_VALUE"""),"BELUM GOLIVE")</f>
        <v>BELUM GOLIVE</v>
      </c>
      <c r="Y610" s="229"/>
      <c r="Z610" s="229" t="str">
        <f>IFERROR(__xludf.DUMMYFUNCTION("""COMPUTED_VALUE"""),"#N/A")</f>
        <v>#N/A</v>
      </c>
      <c r="AA610" s="229"/>
      <c r="AB610" s="229"/>
      <c r="AC610" s="229"/>
      <c r="AD610" s="232"/>
      <c r="AE610" s="233"/>
      <c r="AF610" s="54"/>
      <c r="AG610" s="54"/>
      <c r="AH610" s="54"/>
      <c r="AI610" s="55" t="str">
        <f t="shared" si="72"/>
        <v/>
      </c>
      <c r="AW610" s="234"/>
      <c r="BP610" s="11"/>
      <c r="BQ610" s="11"/>
      <c r="BR610" s="235"/>
      <c r="BV610" s="158"/>
      <c r="BY610" s="158"/>
      <c r="CB610" s="158"/>
    </row>
    <row r="611" ht="18.0" hidden="1" customHeight="1">
      <c r="A611" s="222">
        <f>IFERROR(__xludf.DUMMYFUNCTION("""COMPUTED_VALUE"""),2026.0)</f>
        <v>2026</v>
      </c>
      <c r="B611" s="221">
        <f>IFERROR(__xludf.DUMMYFUNCTION("""COMPUTED_VALUE"""),1.127204E7)</f>
        <v>11272040</v>
      </c>
      <c r="C611" s="222" t="str">
        <f>IFERROR(__xludf.DUMMYFUNCTION("""COMPUTED_VALUE"""),"MDN PT3 P1I1 PDB-FAG PURI BENGAWAN ASRI")</f>
        <v>MDN PT3 P1I1 PDB-FAG PURI BENGAWAN ASRI</v>
      </c>
      <c r="D611" s="222" t="str">
        <f>IFERROR(__xludf.DUMMYFUNCTION("""COMPUTED_VALUE"""),"REGIONAL I")</f>
        <v>REGIONAL I</v>
      </c>
      <c r="E611" s="222" t="str">
        <f>IFERROR(__xludf.DUMMYFUNCTION("""COMPUTED_VALUE"""),"MEDAN")</f>
        <v>MEDAN</v>
      </c>
      <c r="F611" s="222" t="str">
        <f>IFERROR(__xludf.DUMMYFUNCTION("""COMPUTED_VALUE"""),"PDB")</f>
        <v>PDB</v>
      </c>
      <c r="G611" s="222" t="str">
        <f>IFERROR(__xludf.DUMMYFUNCTION("""COMPUTED_VALUE"""),"SUMBAGUT")</f>
        <v>SUMBAGUT</v>
      </c>
      <c r="H611" s="222" t="str">
        <f>IFERROR(__xludf.DUMMYFUNCTION("""COMPUTED_VALUE"""),"MEDAN")</f>
        <v>MEDAN</v>
      </c>
      <c r="I611" s="222" t="str">
        <f>IFERROR(__xludf.DUMMYFUNCTION("""COMPUTED_VALUE"""),"Batch 2")</f>
        <v>Batch 2</v>
      </c>
      <c r="J611" s="225">
        <f>IFERROR(__xludf.DUMMYFUNCTION("""COMPUTED_VALUE"""),7.0)</f>
        <v>7</v>
      </c>
      <c r="K611" s="224">
        <f>IFERROR(__xludf.DUMMYFUNCTION("""COMPUTED_VALUE"""),56.0)</f>
        <v>56</v>
      </c>
      <c r="L611" s="226">
        <f>IFERROR(__xludf.DUMMYFUNCTION("""COMPUTED_VALUE"""),712600.0)</f>
        <v>712600</v>
      </c>
      <c r="M611" s="227">
        <f>IFERROR(__xludf.DUMMYFUNCTION("""COMPUTED_VALUE"""),3.9905572E7)</f>
        <v>39905572</v>
      </c>
      <c r="N611" s="222" t="str">
        <f>IFERROR(__xludf.DUMMYFUNCTION("""COMPUTED_VALUE"""),"PT MITRA AKSES INSANI")</f>
        <v>PT MITRA AKSES INSANI</v>
      </c>
      <c r="O611" s="222" t="str">
        <f>IFERROR(__xludf.DUMMYFUNCTION("""COMPUTED_VALUE"""),"2. DONE AANWIJZING")</f>
        <v>2. DONE AANWIJZING</v>
      </c>
      <c r="P611" s="222" t="str">
        <f>IFERROR(__xludf.DUMMYFUNCTION("""COMPUTED_VALUE"""),"2.10 Kendala - Feeder Rusak")</f>
        <v>2.10 Kendala - Feeder Rusak</v>
      </c>
      <c r="Q611" s="222" t="str">
        <f>IFERROR(__xludf.DUMMYFUNCTION("""COMPUTED_VALUE"""),"01/11 Feeder Loss
(24/09) Perizinan Warga dan Kades / Lurah
(23/09) Perizinan Warga dan Kades / Lurah
15/09 proses aanwijzing")</f>
        <v>01/11 Feeder Loss
(24/09) Perizinan Warga dan Kades / Lurah
(23/09) Perizinan Warga dan Kades / Lurah
15/09 proses aanwijzing</v>
      </c>
      <c r="R611" s="228"/>
      <c r="S611" s="11"/>
      <c r="T611" s="11"/>
      <c r="U611" s="11"/>
      <c r="V611" s="229"/>
      <c r="W611" s="229"/>
      <c r="X611" s="229" t="str">
        <f>IFERROR(__xludf.DUMMYFUNCTION("""COMPUTED_VALUE"""),"BELUM GOLIVE")</f>
        <v>BELUM GOLIVE</v>
      </c>
      <c r="Y611" s="229"/>
      <c r="Z611" s="229" t="str">
        <f>IFERROR(__xludf.DUMMYFUNCTION("""COMPUTED_VALUE"""),"#N/A")</f>
        <v>#N/A</v>
      </c>
      <c r="AA611" s="229"/>
      <c r="AB611" s="229"/>
      <c r="AC611" s="229"/>
      <c r="AD611" s="232"/>
      <c r="AE611" s="233"/>
      <c r="AF611" s="54"/>
      <c r="AG611" s="54"/>
      <c r="AH611" s="54"/>
      <c r="AI611" s="55" t="str">
        <f t="shared" si="72"/>
        <v/>
      </c>
      <c r="AW611" s="234"/>
      <c r="BP611" s="11"/>
      <c r="BQ611" s="11"/>
      <c r="BR611" s="235"/>
      <c r="BV611" s="158"/>
      <c r="BY611" s="158"/>
      <c r="CB611" s="158"/>
    </row>
    <row r="612" ht="18.0" hidden="1" customHeight="1">
      <c r="A612" s="222">
        <f>IFERROR(__xludf.DUMMYFUNCTION("""COMPUTED_VALUE"""),2026.0)</f>
        <v>2026</v>
      </c>
      <c r="B612" s="221">
        <f>IFERROR(__xludf.DUMMYFUNCTION("""COMPUTED_VALUE"""),1.2084567E7)</f>
        <v>12084567</v>
      </c>
      <c r="C612" s="222" t="str">
        <f>IFERROR(__xludf.DUMMYFUNCTION("""COMPUTED_VALUE"""),"LPG PT3 JPP PESONA BAHARI INDAH TJK")</f>
        <v>LPG PT3 JPP PESONA BAHARI INDAH TJK</v>
      </c>
      <c r="D612" s="222" t="str">
        <f>IFERROR(__xludf.DUMMYFUNCTION("""COMPUTED_VALUE"""),"REGIONAL I")</f>
        <v>REGIONAL I</v>
      </c>
      <c r="E612" s="222" t="str">
        <f>IFERROR(__xludf.DUMMYFUNCTION("""COMPUTED_VALUE"""),"LAMPUNG")</f>
        <v>LAMPUNG</v>
      </c>
      <c r="F612" s="222" t="str">
        <f>IFERROR(__xludf.DUMMYFUNCTION("""COMPUTED_VALUE"""),"TJK")</f>
        <v>TJK</v>
      </c>
      <c r="G612" s="222" t="str">
        <f>IFERROR(__xludf.DUMMYFUNCTION("""COMPUTED_VALUE"""),"SUMBAGSEL")</f>
        <v>SUMBAGSEL</v>
      </c>
      <c r="H612" s="222" t="str">
        <f>IFERROR(__xludf.DUMMYFUNCTION("""COMPUTED_VALUE"""),"LAMPUNG")</f>
        <v>LAMPUNG</v>
      </c>
      <c r="I612" s="222" t="str">
        <f>IFERROR(__xludf.DUMMYFUNCTION("""COMPUTED_VALUE"""),"Batch 2")</f>
        <v>Batch 2</v>
      </c>
      <c r="J612" s="225">
        <f>IFERROR(__xludf.DUMMYFUNCTION("""COMPUTED_VALUE"""),8.0)</f>
        <v>8</v>
      </c>
      <c r="K612" s="224">
        <f>IFERROR(__xludf.DUMMYFUNCTION("""COMPUTED_VALUE"""),64.0)</f>
        <v>64</v>
      </c>
      <c r="L612" s="226">
        <f>IFERROR(__xludf.DUMMYFUNCTION("""COMPUTED_VALUE"""),1182238.0)</f>
        <v>1182238</v>
      </c>
      <c r="M612" s="227">
        <f>IFERROR(__xludf.DUMMYFUNCTION("""COMPUTED_VALUE"""),7.5663172E7)</f>
        <v>75663172</v>
      </c>
      <c r="N612" s="222" t="str">
        <f>IFERROR(__xludf.DUMMYFUNCTION("""COMPUTED_VALUE"""),"PT SARANA MITRA PERSADA")</f>
        <v>PT SARANA MITRA PERSADA</v>
      </c>
      <c r="O612" s="222" t="str">
        <f>IFERROR(__xludf.DUMMYFUNCTION("""COMPUTED_VALUE"""),"0. DROP")</f>
        <v>0. DROP</v>
      </c>
      <c r="P612" s="222" t="str">
        <f>IFERROR(__xludf.DUMMYFUNCTION("""COMPUTED_VALUE"""),"0.2 Tidak Dapat Izin Warga/Kades/Lurah/Developer")</f>
        <v>0.2 Tidak Dapat Izin Warga/Kades/Lurah/Developer</v>
      </c>
      <c r="Q612" s="222" t="str">
        <f>IFERROR(__xludf.DUMMYFUNCTION("""COMPUTED_VALUE"""),"6/2 tidak dapat izin dari lurah 
4/2 kendala lurah belum bisa di  temui 
19/1 proses pengacekan core dan perizinan")</f>
        <v>6/2 tidak dapat izin dari lurah 
4/2 kendala lurah belum bisa di  temui 
19/1 proses pengacekan core dan perizinan</v>
      </c>
      <c r="R612" s="228"/>
      <c r="S612" s="11"/>
      <c r="T612" s="11"/>
      <c r="U612" s="11"/>
      <c r="V612" s="229"/>
      <c r="W612" s="229"/>
      <c r="X612" s="229" t="str">
        <f>IFERROR(__xludf.DUMMYFUNCTION("""COMPUTED_VALUE"""),"BELUM GOLIVE")</f>
        <v>BELUM GOLIVE</v>
      </c>
      <c r="Y612" s="229"/>
      <c r="Z612" s="229" t="str">
        <f>IFERROR(__xludf.DUMMYFUNCTION("""COMPUTED_VALUE"""),"#N/A")</f>
        <v>#N/A</v>
      </c>
      <c r="AA612" s="229"/>
      <c r="AB612" s="229"/>
      <c r="AC612" s="229"/>
      <c r="AD612" s="232"/>
      <c r="AE612" s="233"/>
      <c r="AF612" s="54" t="str">
        <f>IFERROR(__xludf.DUMMYFUNCTION("""COMPUTED_VALUE"""),"Draft BA DROP")</f>
        <v>Draft BA DROP</v>
      </c>
      <c r="AG612" s="54"/>
      <c r="AH612" s="54"/>
      <c r="AI612" s="55" t="str">
        <f t="shared" si="72"/>
        <v/>
      </c>
      <c r="AW612" s="234"/>
      <c r="BP612" s="11"/>
      <c r="BQ612" s="11"/>
      <c r="BR612" s="235"/>
      <c r="BV612" s="158"/>
      <c r="BY612" s="158"/>
      <c r="CB612" s="158"/>
    </row>
    <row r="613" ht="18.0" hidden="1" customHeight="1">
      <c r="A613" s="222">
        <f>IFERROR(__xludf.DUMMYFUNCTION("""COMPUTED_VALUE"""),2026.0)</f>
        <v>2026</v>
      </c>
      <c r="B613" s="221">
        <f>IFERROR(__xludf.DUMMYFUNCTION("""COMPUTED_VALUE"""),1.2355877E7)</f>
        <v>12355877</v>
      </c>
      <c r="C613" s="222" t="str">
        <f>IFERROR(__xludf.DUMMYFUNCTION("""COMPUTED_VALUE"""),"SMU SIB-FAH D04 CLUST 176060_H2_2025")</f>
        <v>SMU SIB-FAH D04 CLUST 176060_H2_2025</v>
      </c>
      <c r="D613" s="222" t="str">
        <f>IFERROR(__xludf.DUMMYFUNCTION("""COMPUTED_VALUE"""),"REGIONAL I")</f>
        <v>REGIONAL I</v>
      </c>
      <c r="E613" s="222" t="str">
        <f>IFERROR(__xludf.DUMMYFUNCTION("""COMPUTED_VALUE"""),"SUMUT")</f>
        <v>SUMUT</v>
      </c>
      <c r="F613" s="222" t="str">
        <f>IFERROR(__xludf.DUMMYFUNCTION("""COMPUTED_VALUE"""),"SIB")</f>
        <v>SIB</v>
      </c>
      <c r="G613" s="222" t="str">
        <f>IFERROR(__xludf.DUMMYFUNCTION("""COMPUTED_VALUE"""),"SUMBAGUT")</f>
        <v>SUMBAGUT</v>
      </c>
      <c r="H613" s="222" t="str">
        <f>IFERROR(__xludf.DUMMYFUNCTION("""COMPUTED_VALUE"""),"PADANG SIDEMPUAN")</f>
        <v>PADANG SIDEMPUAN</v>
      </c>
      <c r="I613" s="222" t="str">
        <f>IFERROR(__xludf.DUMMYFUNCTION("""COMPUTED_VALUE"""),"Batch 2")</f>
        <v>Batch 2</v>
      </c>
      <c r="J613" s="225">
        <f>IFERROR(__xludf.DUMMYFUNCTION("""COMPUTED_VALUE"""),3.0)</f>
        <v>3</v>
      </c>
      <c r="K613" s="224">
        <f>IFERROR(__xludf.DUMMYFUNCTION("""COMPUTED_VALUE"""),24.0)</f>
        <v>24</v>
      </c>
      <c r="L613" s="226">
        <f>IFERROR(__xludf.DUMMYFUNCTION("""COMPUTED_VALUE"""),1181673.0)</f>
        <v>1181673</v>
      </c>
      <c r="M613" s="227">
        <f>IFERROR(__xludf.DUMMYFUNCTION("""COMPUTED_VALUE"""),2.8360136E7)</f>
        <v>28360136</v>
      </c>
      <c r="N613" s="222" t="str">
        <f>IFERROR(__xludf.DUMMYFUNCTION("""COMPUTED_VALUE"""),"PT ARTHA MANDIRI BERSAMA")</f>
        <v>PT ARTHA MANDIRI BERSAMA</v>
      </c>
      <c r="O613" s="222" t="str">
        <f>IFERROR(__xludf.DUMMYFUNCTION("""COMPUTED_VALUE"""),"7. GOLIVE")</f>
        <v>7. GOLIVE</v>
      </c>
      <c r="P613" s="222" t="str">
        <f>IFERROR(__xludf.DUMMYFUNCTION("""COMPUTED_VALUE"""),"7.2 Golive Full / OA / DONE OTB")</f>
        <v>7.2 Golive Full / OA / DONE OTB</v>
      </c>
      <c r="Q613" s="222" t="str">
        <f>IFERROR(__xludf.DUMMYFUNCTION("""COMPUTED_VALUE"""),"25/2 validasi sdi, 24/2 team proses instal dan terminasi odp, 23/2 team serial di lop psp fai, plan kamis lanjut progres  sisa terminasi 3 odp, ku 24 (2210 selesai, 
22/2 team terminasi di closure, sisa terminasi 3 odp, ku 24 (2210 selesai, 20/2 team kelo"&amp;"aksi minggu 22 feb, sisa instal dan terminasi 3 odp, ku 24 (2210 selesai, 19/2 sisa instal dan terminasi 3 odp, ku 24 (2210 selesai, 18/2 sisa instal dan terminasi 3 odp, ku 24 (2210 selesai, 16/2 penarikan ku 24 ( 2210 sisa 710, odp 3 belum progres, 13/2"&amp;" plan besok mulai instalasi, 11/2 proses input alista kendala over budget, 10/2 proses input alista, 9/2 proses req material, 6/2 plan cek cpp hasil survey, 5/2 menunggu boq kml hasil survey, 3/2 prepair team untuk survey kelokasi (pengalihan dari mitra p"&amp;"t.aum), 2/2 prepair team untuk survey kelokasi (pengalihan dari mitra pt.aum),  1/2 plan besok 2/2 team turun kelokasi untuk survey, 30/1 prepair team untuk survey ke lokasi ( sesuai zoom mnggu ini tidak jalan lop akan kita alihkan ke mitra lain),  28/1 p"&amp;"repair team untuk survey ke lokasi ( sesuai zoom mnggu ini tidak jalan lop akan kita alihkan ke mitra lain), 27/1 prepair team untuk survey ke lokasi ( sesuai zoom mnggu ini tidak jalan lop akan kita alihkan ke mitra lain), 26/1 prepair team untuk survey "&amp;"ke lokasi ( sesuai zoom mnggu ini tidak jalan lop akan kita alihkan ke mitra lain), 23/1 ( hari ini pic mitra menuju siantar untuk kordinasi terkait kelanjutan project), 22/1 plan survey 23/1,21/1 plan survey 22/1 (apabila surveynya tidak kunjung jalan  k"&amp;"ita plankan pengalihan ke mitra lain), 20/1 plan survey tanggal 21/1, 19/1 plan survey tanggal 21/115/1 plan survey tanggal 17/1, 14/01 plan survey minggu ini tgl 16/01, 13/01 plan survey minggu ini tgl 16/01, (07/01) Persiapan")</f>
        <v>25/2 validasi sdi, 24/2 team proses instal dan terminasi odp, 23/2 team serial di lop psp fai, plan kamis lanjut progres  sisa terminasi 3 odp, ku 24 (2210 selesai, 
22/2 team terminasi di closure, sisa terminasi 3 odp, ku 24 (2210 selesai, 20/2 team keloaksi minggu 22 feb, sisa instal dan terminasi 3 odp, ku 24 (2210 selesai, 19/2 sisa instal dan terminasi 3 odp, ku 24 (2210 selesai, 18/2 sisa instal dan terminasi 3 odp, ku 24 (2210 selesai, 16/2 penarikan ku 24 ( 2210 sisa 710, odp 3 belum progres, 13/2 plan besok mulai instalasi, 11/2 proses input alista kendala over budget, 10/2 proses input alista, 9/2 proses req material, 6/2 plan cek cpp hasil survey, 5/2 menunggu boq kml hasil survey, 3/2 prepair team untuk survey kelokasi (pengalihan dari mitra pt.aum), 2/2 prepair team untuk survey kelokasi (pengalihan dari mitra pt.aum),  1/2 plan besok 2/2 team turun kelokasi untuk survey, 30/1 prepair team untuk survey ke lokasi ( sesuai zoom mnggu ini tidak jalan lop akan kita alihkan ke mitra lain),  28/1 prepair team untuk survey ke lokasi ( sesuai zoom mnggu ini tidak jalan lop akan kita alihkan ke mitra lain), 27/1 prepair team untuk survey ke lokasi ( sesuai zoom mnggu ini tidak jalan lop akan kita alihkan ke mitra lain), 26/1 prepair team untuk survey ke lokasi ( sesuai zoom mnggu ini tidak jalan lop akan kita alihkan ke mitra lain), 23/1 ( hari ini pic mitra menuju siantar untuk kordinasi terkait kelanjutan project), 22/1 plan survey 23/1,21/1 plan survey 22/1 (apabila surveynya tidak kunjung jalan  kita plankan pengalihan ke mitra lain), 20/1 plan survey tanggal 21/1, 19/1 plan survey tanggal 21/115/1 plan survey tanggal 17/1, 14/01 plan survey minggu ini tgl 16/01, 13/01 plan survey minggu ini tgl 16/01, (07/01) Persiapan</v>
      </c>
      <c r="R613" s="228"/>
      <c r="S613" s="11"/>
      <c r="T613" s="11"/>
      <c r="U613" s="11" t="str">
        <f>IFERROR(__xludf.DUMMYFUNCTION("""COMPUTED_VALUE"""),"TIF-1414/2026")</f>
        <v>TIF-1414/2026</v>
      </c>
      <c r="V613" s="229"/>
      <c r="W613" s="229"/>
      <c r="X613" s="229" t="str">
        <f>IFERROR(__xludf.DUMMYFUNCTION("""COMPUTED_VALUE"""),"GOLIVE")</f>
        <v>GOLIVE</v>
      </c>
      <c r="Y613" s="229" t="str">
        <f>IFERROR(__xludf.DUMMYFUNCTION("""COMPUTED_VALUE"""),"DONE")</f>
        <v>DONE</v>
      </c>
      <c r="Z613" s="229" t="str">
        <f>IFERROR(__xludf.DUMMYFUNCTION("""COMPUTED_VALUE"""),"#N/A")</f>
        <v>#N/A</v>
      </c>
      <c r="AA613" s="229">
        <f>IFERROR(__xludf.DUMMYFUNCTION("""COMPUTED_VALUE"""),3.0)</f>
        <v>3</v>
      </c>
      <c r="AB613" s="229"/>
      <c r="AC613" s="229" t="str">
        <f>IFERROR(__xludf.DUMMYFUNCTION("""COMPUTED_VALUE"""),"9152589#9152594")</f>
        <v>9152589#9152594</v>
      </c>
      <c r="AD613" s="232">
        <f>IFERROR(__xludf.DUMMYFUNCTION("""COMPUTED_VALUE"""),24.0)</f>
        <v>24</v>
      </c>
      <c r="AE613" s="233">
        <f>IFERROR(__xludf.DUMMYFUNCTION("""COMPUTED_VALUE"""),46079.0)</f>
        <v>46079</v>
      </c>
      <c r="AF613" s="54"/>
      <c r="AG613" s="54"/>
      <c r="AH613" s="54"/>
      <c r="AI613" s="55" t="str">
        <f t="shared" si="72"/>
        <v/>
      </c>
      <c r="AW613" s="234"/>
      <c r="BP613" s="11"/>
      <c r="BQ613" s="11"/>
      <c r="BR613" s="235"/>
      <c r="BV613" s="158"/>
      <c r="BY613" s="158"/>
      <c r="CB613" s="158"/>
    </row>
    <row r="614" ht="18.0" customHeight="1">
      <c r="A614" s="222">
        <f>IFERROR(__xludf.DUMMYFUNCTION("""COMPUTED_VALUE"""),2026.0)</f>
        <v>2026</v>
      </c>
      <c r="B614" s="221">
        <f>IFERROR(__xludf.DUMMYFUNCTION("""COMPUTED_VALUE"""),1.1539958E7)</f>
        <v>11539958</v>
      </c>
      <c r="C614" s="222" t="str">
        <f>IFERROR(__xludf.DUMMYFUNCTION("""COMPUTED_VALUE"""),"RKP TSEL PT3 LBJ-FD PERMATA BALOI BLK B5")</f>
        <v>RKP TSEL PT3 LBJ-FD PERMATA BALOI BLK B5</v>
      </c>
      <c r="D614" s="222" t="str">
        <f>IFERROR(__xludf.DUMMYFUNCTION("""COMPUTED_VALUE"""),"REGIONAL I")</f>
        <v>REGIONAL I</v>
      </c>
      <c r="E614" s="222" t="str">
        <f>IFERROR(__xludf.DUMMYFUNCTION("""COMPUTED_VALUE"""),"RIKEP")</f>
        <v>RIKEP</v>
      </c>
      <c r="F614" s="222" t="str">
        <f>IFERROR(__xludf.DUMMYFUNCTION("""COMPUTED_VALUE"""),"LBJ")</f>
        <v>LBJ</v>
      </c>
      <c r="G614" s="222" t="str">
        <f>IFERROR(__xludf.DUMMYFUNCTION("""COMPUTED_VALUE"""),"SUMBAGTENG")</f>
        <v>SUMBAGTENG</v>
      </c>
      <c r="H614" s="222" t="str">
        <f>IFERROR(__xludf.DUMMYFUNCTION("""COMPUTED_VALUE"""),"BATAM")</f>
        <v>BATAM</v>
      </c>
      <c r="I614" s="222" t="str">
        <f>IFERROR(__xludf.DUMMYFUNCTION("""COMPUTED_VALUE"""),"Batch 2")</f>
        <v>Batch 2</v>
      </c>
      <c r="J614" s="225">
        <f>IFERROR(__xludf.DUMMYFUNCTION("""COMPUTED_VALUE"""),2.0)</f>
        <v>2</v>
      </c>
      <c r="K614" s="224">
        <f>IFERROR(__xludf.DUMMYFUNCTION("""COMPUTED_VALUE"""),16.0)</f>
        <v>16</v>
      </c>
      <c r="L614" s="226">
        <f>IFERROR(__xludf.DUMMYFUNCTION("""COMPUTED_VALUE"""),1181549.0)</f>
        <v>1181549</v>
      </c>
      <c r="M614" s="227">
        <f>IFERROR(__xludf.DUMMYFUNCTION("""COMPUTED_VALUE"""),1.8904773E7)</f>
        <v>18904773</v>
      </c>
      <c r="N614" s="222" t="str">
        <f>IFERROR(__xludf.DUMMYFUNCTION("""COMPUTED_VALUE"""),"PT HDUA PUTRA PRAJODA")</f>
        <v>PT HDUA PUTRA PRAJODA</v>
      </c>
      <c r="O614" s="222" t="str">
        <f>IFERROR(__xludf.DUMMYFUNCTION("""COMPUTED_VALUE"""),"0. DROP")</f>
        <v>0. DROP</v>
      </c>
      <c r="P614" s="222" t="str">
        <f>IFERROR(__xludf.DUMMYFUNCTION("""COMPUTED_VALUE"""),"0.2 Tidak Dapat Izin Warga/Kades/Lurah/Developer")</f>
        <v>0.2 Tidak Dapat Izin Warga/Kades/Lurah/Developer</v>
      </c>
      <c r="Q614" s="222" t="str">
        <f>IFERROR(__xludf.DUMMYFUNCTION("""COMPUTED_VALUE"""),"04/03 jalur melewati 2 perumahan dan 2 developer berbeda, sudah tinggalin surat namun belum ada balasan sudah seminggu lebih. 
26/02 PIC perizinan fokus di daerah bengkong dan sekitar . 16/02 Plan Survey 17 Feb.11/02 Peralihan mitra. 28/01 Plan survey 29 "&amp;"Jan. 28/01 Mitra tripola belum ada PIC untuk anwijzing. 23/01 Plan anwijzing 26 Jan, pic mitra ada pertanggal 25 jan. 21/01 proses penunjukan mitra ")</f>
        <v>04/03 jalur melewati 2 perumahan dan 2 developer berbeda, sudah tinggalin surat namun belum ada balasan sudah seminggu lebih. 
26/02 PIC perizinan fokus di daerah bengkong dan sekitar . 16/02 Plan Survey 17 Feb.11/02 Peralihan mitra. 28/01 Plan survey 29 Jan. 28/01 Mitra tripola belum ada PIC untuk anwijzing. 23/01 Plan anwijzing 26 Jan, pic mitra ada pertanggal 25 jan. 21/01 proses penunjukan mitra </v>
      </c>
      <c r="R614" s="228"/>
      <c r="S614" s="11"/>
      <c r="T614" s="11"/>
      <c r="U614" s="11"/>
      <c r="V614" s="229" t="str">
        <f>IFERROR(__xludf.DUMMYFUNCTION("""COMPUTED_VALUE"""),"RONALDO LEO INFANTRI")</f>
        <v>RONALDO LEO INFANTRI</v>
      </c>
      <c r="W614" s="229" t="str">
        <f>IFERROR(__xludf.DUMMYFUNCTION("""COMPUTED_VALUE"""),"LEVITA INDRIYANI")</f>
        <v>LEVITA INDRIYANI</v>
      </c>
      <c r="X614" s="229" t="str">
        <f>IFERROR(__xludf.DUMMYFUNCTION("""COMPUTED_VALUE"""),"BELUM GOLIVE")</f>
        <v>BELUM GOLIVE</v>
      </c>
      <c r="Y614" s="229"/>
      <c r="Z614" s="229" t="str">
        <f>IFERROR(__xludf.DUMMYFUNCTION("""COMPUTED_VALUE"""),"#N/A")</f>
        <v>#N/A</v>
      </c>
      <c r="AA614" s="229"/>
      <c r="AB614" s="229"/>
      <c r="AC614" s="229"/>
      <c r="AD614" s="232"/>
      <c r="AE614" s="233"/>
      <c r="AF614" s="54"/>
      <c r="AG614" s="54"/>
      <c r="AH614" s="54"/>
      <c r="AI614" s="55" t="str">
        <f t="shared" si="72"/>
        <v/>
      </c>
      <c r="AW614" s="234"/>
      <c r="BP614" s="11"/>
      <c r="BQ614" s="11"/>
      <c r="BR614" s="235"/>
      <c r="BV614" s="158"/>
      <c r="BY614" s="158"/>
      <c r="CB614" s="158"/>
    </row>
    <row r="615" ht="18.0" customHeight="1">
      <c r="A615" s="222">
        <f>IFERROR(__xludf.DUMMYFUNCTION("""COMPUTED_VALUE"""),2026.0)</f>
        <v>2026</v>
      </c>
      <c r="B615" s="221">
        <f>IFERROR(__xludf.DUMMYFUNCTION("""COMPUTED_VALUE"""),1.1498694E7)</f>
        <v>11498694</v>
      </c>
      <c r="C615" s="222" t="str">
        <f>IFERROR(__xludf.DUMMYFUNCTION("""COMPUTED_VALUE"""),"RKP PT3 TSEL KAI-FT TELUK NIPAH KABIL 2")</f>
        <v>RKP PT3 TSEL KAI-FT TELUK NIPAH KABIL 2</v>
      </c>
      <c r="D615" s="222" t="str">
        <f>IFERROR(__xludf.DUMMYFUNCTION("""COMPUTED_VALUE"""),"REGIONAL I")</f>
        <v>REGIONAL I</v>
      </c>
      <c r="E615" s="222" t="str">
        <f>IFERROR(__xludf.DUMMYFUNCTION("""COMPUTED_VALUE"""),"RIKEP")</f>
        <v>RIKEP</v>
      </c>
      <c r="F615" s="222" t="str">
        <f>IFERROR(__xludf.DUMMYFUNCTION("""COMPUTED_VALUE"""),"KAI")</f>
        <v>KAI</v>
      </c>
      <c r="G615" s="222" t="str">
        <f>IFERROR(__xludf.DUMMYFUNCTION("""COMPUTED_VALUE"""),"SUMBAGTENG")</f>
        <v>SUMBAGTENG</v>
      </c>
      <c r="H615" s="222" t="str">
        <f>IFERROR(__xludf.DUMMYFUNCTION("""COMPUTED_VALUE"""),"BATAM")</f>
        <v>BATAM</v>
      </c>
      <c r="I615" s="222" t="str">
        <f>IFERROR(__xludf.DUMMYFUNCTION("""COMPUTED_VALUE"""),"Batch 2")</f>
        <v>Batch 2</v>
      </c>
      <c r="J615" s="225">
        <f>IFERROR(__xludf.DUMMYFUNCTION("""COMPUTED_VALUE"""),1.0)</f>
        <v>1</v>
      </c>
      <c r="K615" s="224">
        <f>IFERROR(__xludf.DUMMYFUNCTION("""COMPUTED_VALUE"""),8.0)</f>
        <v>8</v>
      </c>
      <c r="L615" s="226">
        <f>IFERROR(__xludf.DUMMYFUNCTION("""COMPUTED_VALUE"""),1180927.0)</f>
        <v>1180927</v>
      </c>
      <c r="M615" s="227">
        <f>IFERROR(__xludf.DUMMYFUNCTION("""COMPUTED_VALUE"""),9447410.0)</f>
        <v>9447410</v>
      </c>
      <c r="N615" s="222" t="str">
        <f>IFERROR(__xludf.DUMMYFUNCTION("""COMPUTED_VALUE"""),"PT HDUA PUTRA PRAJODA")</f>
        <v>PT HDUA PUTRA PRAJODA</v>
      </c>
      <c r="O615" s="222" t="str">
        <f>IFERROR(__xludf.DUMMYFUNCTION("""COMPUTED_VALUE"""),"0. DROP")</f>
        <v>0. DROP</v>
      </c>
      <c r="P615" s="222" t="str">
        <f>IFERROR(__xludf.DUMMYFUNCTION("""COMPUTED_VALUE"""),"0.2 Tidak Dapat Izin Warga/Kades/Lurah/Developer")</f>
        <v>0.2 Tidak Dapat Izin Warga/Kades/Lurah/Developer</v>
      </c>
      <c r="Q615" s="222" t="str">
        <f>IFERROR(__xludf.DUMMYFUNCTION("""COMPUTED_VALUE"""),"22/01 Izin tanam tiang di tolak. (07/01) Persiapan")</f>
        <v>22/01 Izin tanam tiang di tolak. (07/01) Persiapan</v>
      </c>
      <c r="R615" s="228"/>
      <c r="S615" s="11"/>
      <c r="T615" s="11"/>
      <c r="U615" s="11"/>
      <c r="V615" s="229" t="str">
        <f>IFERROR(__xludf.DUMMYFUNCTION("""COMPUTED_VALUE"""),"GANI PRASTYO")</f>
        <v>GANI PRASTYO</v>
      </c>
      <c r="W615" s="229" t="str">
        <f>IFERROR(__xludf.DUMMYFUNCTION("""COMPUTED_VALUE"""),"LEVITA INDRIYANI")</f>
        <v>LEVITA INDRIYANI</v>
      </c>
      <c r="X615" s="229" t="str">
        <f>IFERROR(__xludf.DUMMYFUNCTION("""COMPUTED_VALUE"""),"BELUM GOLIVE")</f>
        <v>BELUM GOLIVE</v>
      </c>
      <c r="Y615" s="229"/>
      <c r="Z615" s="229" t="str">
        <f>IFERROR(__xludf.DUMMYFUNCTION("""COMPUTED_VALUE"""),"#N/A")</f>
        <v>#N/A</v>
      </c>
      <c r="AA615" s="229"/>
      <c r="AB615" s="229"/>
      <c r="AC615" s="229"/>
      <c r="AD615" s="232"/>
      <c r="AE615" s="233"/>
      <c r="AF615" s="54" t="str">
        <f>IFERROR(__xludf.DUMMYFUNCTION("""COMPUTED_VALUE"""),"Draft BA DROP")</f>
        <v>Draft BA DROP</v>
      </c>
      <c r="AG615" s="54"/>
      <c r="AH615" s="54"/>
      <c r="AI615" s="55" t="str">
        <f t="shared" si="72"/>
        <v/>
      </c>
      <c r="AW615" s="234"/>
      <c r="BP615" s="11"/>
      <c r="BQ615" s="11"/>
      <c r="BR615" s="235"/>
      <c r="BV615" s="158"/>
      <c r="BY615" s="158"/>
      <c r="CB615" s="158"/>
    </row>
    <row r="616" ht="18.0" customHeight="1">
      <c r="A616" s="222">
        <f>IFERROR(__xludf.DUMMYFUNCTION("""COMPUTED_VALUE"""),2026.0)</f>
        <v>2026</v>
      </c>
      <c r="B616" s="221">
        <f>IFERROR(__xludf.DUMMYFUNCTION("""COMPUTED_VALUE"""),1.1277911E7)</f>
        <v>11277911</v>
      </c>
      <c r="C616" s="222" t="str">
        <f>IFERROR(__xludf.DUMMYFUNCTION("""COMPUTED_VALUE"""),"RKP PT3 TSEL KAI-FT TELUK NIPAH KABIL")</f>
        <v>RKP PT3 TSEL KAI-FT TELUK NIPAH KABIL</v>
      </c>
      <c r="D616" s="222" t="str">
        <f>IFERROR(__xludf.DUMMYFUNCTION("""COMPUTED_VALUE"""),"REGIONAL I")</f>
        <v>REGIONAL I</v>
      </c>
      <c r="E616" s="222" t="str">
        <f>IFERROR(__xludf.DUMMYFUNCTION("""COMPUTED_VALUE"""),"RIKEP")</f>
        <v>RIKEP</v>
      </c>
      <c r="F616" s="222" t="str">
        <f>IFERROR(__xludf.DUMMYFUNCTION("""COMPUTED_VALUE"""),"KAI")</f>
        <v>KAI</v>
      </c>
      <c r="G616" s="222" t="str">
        <f>IFERROR(__xludf.DUMMYFUNCTION("""COMPUTED_VALUE"""),"SUMBAGTENG")</f>
        <v>SUMBAGTENG</v>
      </c>
      <c r="H616" s="222" t="str">
        <f>IFERROR(__xludf.DUMMYFUNCTION("""COMPUTED_VALUE"""),"BATAM")</f>
        <v>BATAM</v>
      </c>
      <c r="I616" s="222" t="str">
        <f>IFERROR(__xludf.DUMMYFUNCTION("""COMPUTED_VALUE"""),"Batch 2")</f>
        <v>Batch 2</v>
      </c>
      <c r="J616" s="225">
        <f>IFERROR(__xludf.DUMMYFUNCTION("""COMPUTED_VALUE"""),1.0)</f>
        <v>1</v>
      </c>
      <c r="K616" s="224">
        <f>IFERROR(__xludf.DUMMYFUNCTION("""COMPUTED_VALUE"""),8.0)</f>
        <v>8</v>
      </c>
      <c r="L616" s="226">
        <f>IFERROR(__xludf.DUMMYFUNCTION("""COMPUTED_VALUE"""),1180927.0)</f>
        <v>1180927</v>
      </c>
      <c r="M616" s="227">
        <f>IFERROR(__xludf.DUMMYFUNCTION("""COMPUTED_VALUE"""),9447409.0)</f>
        <v>9447409</v>
      </c>
      <c r="N616" s="222" t="str">
        <f>IFERROR(__xludf.DUMMYFUNCTION("""COMPUTED_VALUE"""),"PT HDUA PUTRA PRAJODA")</f>
        <v>PT HDUA PUTRA PRAJODA</v>
      </c>
      <c r="O616" s="222" t="str">
        <f>IFERROR(__xludf.DUMMYFUNCTION("""COMPUTED_VALUE"""),"0. DROP")</f>
        <v>0. DROP</v>
      </c>
      <c r="P616" s="222" t="str">
        <f>IFERROR(__xludf.DUMMYFUNCTION("""COMPUTED_VALUE"""),"0.2 Tidak Dapat Izin Warga/Kades/Lurah/Developer")</f>
        <v>0.2 Tidak Dapat Izin Warga/Kades/Lurah/Developer</v>
      </c>
      <c r="Q616" s="222" t="str">
        <f>IFERROR(__xludf.DUMMYFUNCTION("""COMPUTED_VALUE"""),"22/01 Izin tanam tiang di tolak. (07/01) Persiapan")</f>
        <v>22/01 Izin tanam tiang di tolak. (07/01) Persiapan</v>
      </c>
      <c r="R616" s="228"/>
      <c r="S616" s="11"/>
      <c r="T616" s="11"/>
      <c r="U616" s="11"/>
      <c r="V616" s="229" t="str">
        <f>IFERROR(__xludf.DUMMYFUNCTION("""COMPUTED_VALUE"""),"GANI PRASTYO")</f>
        <v>GANI PRASTYO</v>
      </c>
      <c r="W616" s="229" t="str">
        <f>IFERROR(__xludf.DUMMYFUNCTION("""COMPUTED_VALUE"""),"LEVITA INDRIYANI")</f>
        <v>LEVITA INDRIYANI</v>
      </c>
      <c r="X616" s="229" t="str">
        <f>IFERROR(__xludf.DUMMYFUNCTION("""COMPUTED_VALUE"""),"BELUM GOLIVE")</f>
        <v>BELUM GOLIVE</v>
      </c>
      <c r="Y616" s="229"/>
      <c r="Z616" s="229" t="str">
        <f>IFERROR(__xludf.DUMMYFUNCTION("""COMPUTED_VALUE"""),"#N/A")</f>
        <v>#N/A</v>
      </c>
      <c r="AA616" s="229"/>
      <c r="AB616" s="229"/>
      <c r="AC616" s="229"/>
      <c r="AD616" s="232"/>
      <c r="AE616" s="233"/>
      <c r="AF616" s="54" t="str">
        <f>IFERROR(__xludf.DUMMYFUNCTION("""COMPUTED_VALUE"""),"Draft BA DROP")</f>
        <v>Draft BA DROP</v>
      </c>
      <c r="AG616" s="54"/>
      <c r="AH616" s="54"/>
      <c r="AI616" s="55" t="str">
        <f t="shared" si="72"/>
        <v/>
      </c>
      <c r="AW616" s="234"/>
      <c r="BP616" s="11"/>
      <c r="BQ616" s="11"/>
      <c r="BR616" s="235"/>
      <c r="BV616" s="158"/>
      <c r="BY616" s="158"/>
      <c r="CB616" s="158"/>
    </row>
    <row r="617" ht="18.0" hidden="1" customHeight="1">
      <c r="A617" s="222">
        <f>IFERROR(__xludf.DUMMYFUNCTION("""COMPUTED_VALUE"""),2026.0)</f>
        <v>2026</v>
      </c>
      <c r="B617" s="221">
        <f>IFERROR(__xludf.DUMMYFUNCTION("""COMPUTED_VALUE"""),1.1161682E7)</f>
        <v>11161682</v>
      </c>
      <c r="C617" s="222" t="str">
        <f>IFERROR(__xludf.DUMMYFUNCTION("""COMPUTED_VALUE"""),"PT3 GLG-FE SCATER DSN III TANJUNG GUSTI")</f>
        <v>PT3 GLG-FE SCATER DSN III TANJUNG GUSTI</v>
      </c>
      <c r="D617" s="222" t="str">
        <f>IFERROR(__xludf.DUMMYFUNCTION("""COMPUTED_VALUE"""),"REGIONAL I")</f>
        <v>REGIONAL I</v>
      </c>
      <c r="E617" s="222" t="str">
        <f>IFERROR(__xludf.DUMMYFUNCTION("""COMPUTED_VALUE"""),"MEDAN")</f>
        <v>MEDAN</v>
      </c>
      <c r="F617" s="222" t="str">
        <f>IFERROR(__xludf.DUMMYFUNCTION("""COMPUTED_VALUE"""),"GLG")</f>
        <v>GLG</v>
      </c>
      <c r="G617" s="222" t="str">
        <f>IFERROR(__xludf.DUMMYFUNCTION("""COMPUTED_VALUE"""),"SUMBAGUT")</f>
        <v>SUMBAGUT</v>
      </c>
      <c r="H617" s="222" t="str">
        <f>IFERROR(__xludf.DUMMYFUNCTION("""COMPUTED_VALUE"""),"MEDAN")</f>
        <v>MEDAN</v>
      </c>
      <c r="I617" s="222" t="str">
        <f>IFERROR(__xludf.DUMMYFUNCTION("""COMPUTED_VALUE"""),"Batch 2")</f>
        <v>Batch 2</v>
      </c>
      <c r="J617" s="225">
        <f>IFERROR(__xludf.DUMMYFUNCTION("""COMPUTED_VALUE"""),2.0)</f>
        <v>2</v>
      </c>
      <c r="K617" s="224">
        <f>IFERROR(__xludf.DUMMYFUNCTION("""COMPUTED_VALUE"""),16.0)</f>
        <v>16</v>
      </c>
      <c r="L617" s="226">
        <f>IFERROR(__xludf.DUMMYFUNCTION("""COMPUTED_VALUE"""),1180861.0)</f>
        <v>1180861</v>
      </c>
      <c r="M617" s="227">
        <f>IFERROR(__xludf.DUMMYFUNCTION("""COMPUTED_VALUE"""),1.8893773E7)</f>
        <v>18893773</v>
      </c>
      <c r="N617" s="222" t="str">
        <f>IFERROR(__xludf.DUMMYFUNCTION("""COMPUTED_VALUE"""),"PT UPAYA TEKNIK")</f>
        <v>PT UPAYA TEKNIK</v>
      </c>
      <c r="O617" s="222" t="str">
        <f>IFERROR(__xludf.DUMMYFUNCTION("""COMPUTED_VALUE"""),"0. DROP")</f>
        <v>0. DROP</v>
      </c>
      <c r="P617" s="222" t="str">
        <f>IFERROR(__xludf.DUMMYFUNCTION("""COMPUTED_VALUE"""),"0.3 Feeder Full")</f>
        <v>0.3 Feeder Full</v>
      </c>
      <c r="Q617" s="222" t="str">
        <f>IFERROR(__xludf.DUMMYFUNCTION("""COMPUTED_VALUE"""),"09/03 feeder &amp; dist penuh habis
(07/01) Persiapan")</f>
        <v>09/03 feeder &amp; dist penuh habis
(07/01) Persiapan</v>
      </c>
      <c r="R617" s="228"/>
      <c r="S617" s="11"/>
      <c r="T617" s="11"/>
      <c r="U617" s="11"/>
      <c r="V617" s="229"/>
      <c r="W617" s="229"/>
      <c r="X617" s="229" t="str">
        <f>IFERROR(__xludf.DUMMYFUNCTION("""COMPUTED_VALUE"""),"BELUM GOLIVE")</f>
        <v>BELUM GOLIVE</v>
      </c>
      <c r="Y617" s="229"/>
      <c r="Z617" s="229" t="str">
        <f>IFERROR(__xludf.DUMMYFUNCTION("""COMPUTED_VALUE"""),"#N/A")</f>
        <v>#N/A</v>
      </c>
      <c r="AA617" s="229"/>
      <c r="AB617" s="229"/>
      <c r="AC617" s="229"/>
      <c r="AD617" s="232"/>
      <c r="AE617" s="233"/>
      <c r="AF617" s="54"/>
      <c r="AG617" s="54"/>
      <c r="AH617" s="54"/>
      <c r="AI617" s="55" t="str">
        <f t="shared" si="72"/>
        <v/>
      </c>
      <c r="AW617" s="234"/>
      <c r="BP617" s="11"/>
      <c r="BQ617" s="11"/>
      <c r="BR617" s="235"/>
      <c r="BV617" s="158"/>
      <c r="BY617" s="158"/>
      <c r="CB617" s="158"/>
    </row>
    <row r="618" ht="18.0" hidden="1" customHeight="1">
      <c r="A618" s="222">
        <f>IFERROR(__xludf.DUMMYFUNCTION("""COMPUTED_VALUE"""),2026.0)</f>
        <v>2026</v>
      </c>
      <c r="B618" s="221">
        <f>IFERROR(__xludf.DUMMYFUNCTION("""COMPUTED_VALUE"""),1.229875E7)</f>
        <v>12298750</v>
      </c>
      <c r="C618" s="222" t="str">
        <f>IFERROR(__xludf.DUMMYFUNCTION("""COMPUTED_VALUE"""),"ACH PT3 LTM-FK BR.D05 PERUM NEUSOK")</f>
        <v>ACH PT3 LTM-FK BR.D05 PERUM NEUSOK</v>
      </c>
      <c r="D618" s="222" t="str">
        <f>IFERROR(__xludf.DUMMYFUNCTION("""COMPUTED_VALUE"""),"REGIONAL I")</f>
        <v>REGIONAL I</v>
      </c>
      <c r="E618" s="222" t="str">
        <f>IFERROR(__xludf.DUMMYFUNCTION("""COMPUTED_VALUE"""),"ACEH")</f>
        <v>ACEH</v>
      </c>
      <c r="F618" s="222" t="str">
        <f>IFERROR(__xludf.DUMMYFUNCTION("""COMPUTED_VALUE"""),"LTM")</f>
        <v>LTM</v>
      </c>
      <c r="G618" s="222" t="str">
        <f>IFERROR(__xludf.DUMMYFUNCTION("""COMPUTED_VALUE"""),"SUMBAGUT")</f>
        <v>SUMBAGUT</v>
      </c>
      <c r="H618" s="222" t="str">
        <f>IFERROR(__xludf.DUMMYFUNCTION("""COMPUTED_VALUE"""),"BANDA ACEH")</f>
        <v>BANDA ACEH</v>
      </c>
      <c r="I618" s="222" t="str">
        <f>IFERROR(__xludf.DUMMYFUNCTION("""COMPUTED_VALUE"""),"Batch 2")</f>
        <v>Batch 2</v>
      </c>
      <c r="J618" s="225">
        <f>IFERROR(__xludf.DUMMYFUNCTION("""COMPUTED_VALUE"""),3.0)</f>
        <v>3</v>
      </c>
      <c r="K618" s="224">
        <f>IFERROR(__xludf.DUMMYFUNCTION("""COMPUTED_VALUE"""),24.0)</f>
        <v>24</v>
      </c>
      <c r="L618" s="226">
        <f>IFERROR(__xludf.DUMMYFUNCTION("""COMPUTED_VALUE"""),1180714.0)</f>
        <v>1180714</v>
      </c>
      <c r="M618" s="227">
        <f>IFERROR(__xludf.DUMMYFUNCTION("""COMPUTED_VALUE"""),2.8337124E7)</f>
        <v>28337124</v>
      </c>
      <c r="N618" s="222" t="str">
        <f>IFERROR(__xludf.DUMMYFUNCTION("""COMPUTED_VALUE"""),"PT NURISA JAYA PERKASA")</f>
        <v>PT NURISA JAYA PERKASA</v>
      </c>
      <c r="O618" s="222" t="str">
        <f>IFERROR(__xludf.DUMMYFUNCTION("""COMPUTED_VALUE"""),"2. DONE AANWIJZING")</f>
        <v>2. DONE AANWIJZING</v>
      </c>
      <c r="P618" s="222" t="str">
        <f>IFERROR(__xludf.DUMMYFUNCTION("""COMPUTED_VALUE"""),"2.10 Kendala - Feeder Rusak")</f>
        <v>2.10 Kendala - Feeder Rusak</v>
      </c>
      <c r="Q618" s="222" t="str">
        <f>IFERROR(__xludf.DUMMYFUNCTION("""COMPUTED_VALUE"""),"(29/01) Perlu review solusi QE Feeder rusak dengan TIF (21/01) Feeder Tidak Tembus (07/01) Persiapan")</f>
        <v>(29/01) Perlu review solusi QE Feeder rusak dengan TIF (21/01) Feeder Tidak Tembus (07/01) Persiapan</v>
      </c>
      <c r="R618" s="228"/>
      <c r="S618" s="11"/>
      <c r="T618" s="11"/>
      <c r="U618" s="11"/>
      <c r="V618" s="229"/>
      <c r="W618" s="229"/>
      <c r="X618" s="229" t="str">
        <f>IFERROR(__xludf.DUMMYFUNCTION("""COMPUTED_VALUE"""),"BELUM GOLIVE")</f>
        <v>BELUM GOLIVE</v>
      </c>
      <c r="Y618" s="229"/>
      <c r="Z618" s="229" t="str">
        <f>IFERROR(__xludf.DUMMYFUNCTION("""COMPUTED_VALUE"""),"#N/A")</f>
        <v>#N/A</v>
      </c>
      <c r="AA618" s="229"/>
      <c r="AB618" s="229"/>
      <c r="AC618" s="229"/>
      <c r="AD618" s="232"/>
      <c r="AE618" s="233"/>
      <c r="AF618" s="54"/>
      <c r="AG618" s="54"/>
      <c r="AH618" s="54"/>
      <c r="AI618" s="55" t="str">
        <f t="shared" si="72"/>
        <v/>
      </c>
      <c r="AW618" s="234"/>
      <c r="BP618" s="11"/>
      <c r="BQ618" s="11"/>
      <c r="BR618" s="235"/>
      <c r="BV618" s="158"/>
      <c r="BY618" s="158"/>
      <c r="CB618" s="158"/>
    </row>
    <row r="619" ht="18.0" hidden="1" customHeight="1">
      <c r="A619" s="222">
        <f>IFERROR(__xludf.DUMMYFUNCTION("""COMPUTED_VALUE"""),2026.0)</f>
        <v>2026</v>
      </c>
      <c r="B619" s="221">
        <f>IFERROR(__xludf.DUMMYFUNCTION("""COMPUTED_VALUE"""),1.128839E7)</f>
        <v>11288390</v>
      </c>
      <c r="C619" s="222" t="str">
        <f>IFERROR(__xludf.DUMMYFUNCTION("""COMPUTED_VALUE"""),"MDN PT3 TJR-FAL PERUM M SERDANG PERMAI")</f>
        <v>MDN PT3 TJR-FAL PERUM M SERDANG PERMAI</v>
      </c>
      <c r="D619" s="222" t="str">
        <f>IFERROR(__xludf.DUMMYFUNCTION("""COMPUTED_VALUE"""),"REGIONAL I")</f>
        <v>REGIONAL I</v>
      </c>
      <c r="E619" s="222" t="str">
        <f>IFERROR(__xludf.DUMMYFUNCTION("""COMPUTED_VALUE"""),"MEDAN")</f>
        <v>MEDAN</v>
      </c>
      <c r="F619" s="222" t="str">
        <f>IFERROR(__xludf.DUMMYFUNCTION("""COMPUTED_VALUE"""),"TJR")</f>
        <v>TJR</v>
      </c>
      <c r="G619" s="222" t="str">
        <f>IFERROR(__xludf.DUMMYFUNCTION("""COMPUTED_VALUE"""),"SUMBAGUT")</f>
        <v>SUMBAGUT</v>
      </c>
      <c r="H619" s="222" t="str">
        <f>IFERROR(__xludf.DUMMYFUNCTION("""COMPUTED_VALUE"""),"MEDAN")</f>
        <v>MEDAN</v>
      </c>
      <c r="I619" s="222" t="str">
        <f>IFERROR(__xludf.DUMMYFUNCTION("""COMPUTED_VALUE"""),"Batch 2")</f>
        <v>Batch 2</v>
      </c>
      <c r="J619" s="225">
        <f>IFERROR(__xludf.DUMMYFUNCTION("""COMPUTED_VALUE"""),7.0)</f>
        <v>7</v>
      </c>
      <c r="K619" s="224">
        <f>IFERROR(__xludf.DUMMYFUNCTION("""COMPUTED_VALUE"""),56.0)</f>
        <v>56</v>
      </c>
      <c r="L619" s="226">
        <f>IFERROR(__xludf.DUMMYFUNCTION("""COMPUTED_VALUE"""),1179330.0)</f>
        <v>1179330</v>
      </c>
      <c r="M619" s="227">
        <f>IFERROR(__xludf.DUMMYFUNCTION("""COMPUTED_VALUE"""),6.604243E7)</f>
        <v>66042430</v>
      </c>
      <c r="N619" s="222" t="str">
        <f>IFERROR(__xludf.DUMMYFUNCTION("""COMPUTED_VALUE"""),"PT UPAYA TEKNIK")</f>
        <v>PT UPAYA TEKNIK</v>
      </c>
      <c r="O619" s="222" t="str">
        <f>IFERROR(__xludf.DUMMYFUNCTION("""COMPUTED_VALUE"""),"3. PERIZINAN")</f>
        <v>3. PERIZINAN</v>
      </c>
      <c r="P619" s="222" t="str">
        <f>IFERROR(__xludf.DUMMYFUNCTION("""COMPUTED_VALUE"""),"3.9 Izin Kades / Lurah / RTRW")</f>
        <v>3.9 Izin Kades / Lurah / RTRW</v>
      </c>
      <c r="Q619" s="222" t="str">
        <f>IFERROR(__xludf.DUMMYFUNCTION("""COMPUTED_VALUE"""),"21/04 OGP perizinan
31/03 menunggu perizinan CHAM duedate (01/04) 12/02 proses perizinan
09/02 feeder ok
(07/01) Persiapan")</f>
        <v>21/04 OGP perizinan
31/03 menunggu perizinan CHAM duedate (01/04) 12/02 proses perizinan
09/02 feeder ok
(07/01) Persiapan</v>
      </c>
      <c r="R619" s="228"/>
      <c r="S619" s="11"/>
      <c r="T619" s="73"/>
      <c r="U619" s="11"/>
      <c r="V619" s="229" t="str">
        <f>IFERROR(__xludf.DUMMYFUNCTION("""COMPUTED_VALUE"""),"28/Apr/2026")</f>
        <v>28/Apr/2026</v>
      </c>
      <c r="W619" s="229"/>
      <c r="X619" s="229" t="str">
        <f>IFERROR(__xludf.DUMMYFUNCTION("""COMPUTED_VALUE"""),"BELUM GOLIVE")</f>
        <v>BELUM GOLIVE</v>
      </c>
      <c r="Y619" s="229"/>
      <c r="Z619" s="229" t="str">
        <f>IFERROR(__xludf.DUMMYFUNCTION("""COMPUTED_VALUE"""),"#N/A")</f>
        <v>#N/A</v>
      </c>
      <c r="AA619" s="229"/>
      <c r="AB619" s="229"/>
      <c r="AC619" s="229"/>
      <c r="AD619" s="232"/>
      <c r="AE619" s="233"/>
      <c r="AF619" s="54"/>
      <c r="AG619" s="54"/>
      <c r="AH619" s="54"/>
      <c r="AI619" s="55" t="str">
        <f t="shared" si="72"/>
        <v/>
      </c>
      <c r="AW619" s="234"/>
      <c r="BP619" s="11"/>
      <c r="BQ619" s="11"/>
      <c r="BR619" s="235"/>
      <c r="BV619" s="158"/>
      <c r="BY619" s="158"/>
      <c r="CB619" s="158"/>
    </row>
    <row r="620" ht="18.0" hidden="1" customHeight="1">
      <c r="A620" s="222">
        <f>IFERROR(__xludf.DUMMYFUNCTION("""COMPUTED_VALUE"""),2026.0)</f>
        <v>2026</v>
      </c>
      <c r="B620" s="221">
        <f>IFERROR(__xludf.DUMMYFUNCTION("""COMPUTED_VALUE"""),1.1388932E7)</f>
        <v>11388932</v>
      </c>
      <c r="C620" s="222" t="str">
        <f>IFERROR(__xludf.DUMMYFUNCTION("""COMPUTED_VALUE"""),"ACH PT3 BIR-FF BR.D05 BLANG KETUMBA")</f>
        <v>ACH PT3 BIR-FF BR.D05 BLANG KETUMBA</v>
      </c>
      <c r="D620" s="222" t="str">
        <f>IFERROR(__xludf.DUMMYFUNCTION("""COMPUTED_VALUE"""),"REGIONAL I")</f>
        <v>REGIONAL I</v>
      </c>
      <c r="E620" s="222" t="str">
        <f>IFERROR(__xludf.DUMMYFUNCTION("""COMPUTED_VALUE"""),"ACEH")</f>
        <v>ACEH</v>
      </c>
      <c r="F620" s="222" t="str">
        <f>IFERROR(__xludf.DUMMYFUNCTION("""COMPUTED_VALUE"""),"BIR")</f>
        <v>BIR</v>
      </c>
      <c r="G620" s="222" t="str">
        <f>IFERROR(__xludf.DUMMYFUNCTION("""COMPUTED_VALUE"""),"SUMBAGUT")</f>
        <v>SUMBAGUT</v>
      </c>
      <c r="H620" s="222" t="str">
        <f>IFERROR(__xludf.DUMMYFUNCTION("""COMPUTED_VALUE"""),"BANDA ACEH")</f>
        <v>BANDA ACEH</v>
      </c>
      <c r="I620" s="222" t="str">
        <f>IFERROR(__xludf.DUMMYFUNCTION("""COMPUTED_VALUE"""),"Batch 2")</f>
        <v>Batch 2</v>
      </c>
      <c r="J620" s="225">
        <f>IFERROR(__xludf.DUMMYFUNCTION("""COMPUTED_VALUE"""),11.0)</f>
        <v>11</v>
      </c>
      <c r="K620" s="224">
        <f>IFERROR(__xludf.DUMMYFUNCTION("""COMPUTED_VALUE"""),96.0)</f>
        <v>96</v>
      </c>
      <c r="L620" s="226">
        <f>IFERROR(__xludf.DUMMYFUNCTION("""COMPUTED_VALUE"""),1179178.0)</f>
        <v>1179178</v>
      </c>
      <c r="M620" s="227">
        <f>IFERROR(__xludf.DUMMYFUNCTION("""COMPUTED_VALUE"""),1.1320106E8)</f>
        <v>113201060</v>
      </c>
      <c r="N620" s="222" t="str">
        <f>IFERROR(__xludf.DUMMYFUNCTION("""COMPUTED_VALUE"""),"PT KANA PRISMA AKSES")</f>
        <v>PT KANA PRISMA AKSES</v>
      </c>
      <c r="O620" s="222" t="str">
        <f>IFERROR(__xludf.DUMMYFUNCTION("""COMPUTED_VALUE"""),"7. GOLIVE")</f>
        <v>7. GOLIVE</v>
      </c>
      <c r="P620" s="222" t="str">
        <f>IFERROR(__xludf.DUMMYFUNCTION("""COMPUTED_VALUE"""),"7.2 Golive Full / OA / DONE OTB")</f>
        <v>7.2 Golive Full / OA / DONE OTB</v>
      </c>
      <c r="Q620" s="222" t="str">
        <f>IFERROR(__xludf.DUMMYFUNCTION("""COMPUTED_VALUE"""),"(02/03) Terminasi ODP (27/02) CO Selesai, lanjut penarikan kabel (11/02) (MENUNGGU INFO CO FEEDER) (29/01) Progress Tanam Tiang (07/01) Persiapan")</f>
        <v>(02/03) Terminasi ODP (27/02) CO Selesai, lanjut penarikan kabel (11/02) (MENUNGGU INFO CO FEEDER) (29/01) Progress Tanam Tiang (07/01) Persiapan</v>
      </c>
      <c r="R620" s="228">
        <f>IFERROR(__xludf.DUMMYFUNCTION("""COMPUTED_VALUE"""),46086.0)</f>
        <v>46086</v>
      </c>
      <c r="S620" s="11" t="str">
        <f>IFERROR(__xludf.DUMMYFUNCTION("""COMPUTED_VALUE"""),"MAR")</f>
        <v>MAR</v>
      </c>
      <c r="T620" s="11"/>
      <c r="U620" s="11" t="str">
        <f>IFERROR(__xludf.DUMMYFUNCTION("""COMPUTED_VALUE"""),"W04-1044/2025")</f>
        <v>W04-1044/2025</v>
      </c>
      <c r="V620" s="229"/>
      <c r="W620" s="229" t="str">
        <f>IFERROR(__xludf.DUMMYFUNCTION("""COMPUTED_VALUE"""),"AZMI SYUKRAN")</f>
        <v>AZMI SYUKRAN</v>
      </c>
      <c r="X620" s="229" t="str">
        <f>IFERROR(__xludf.DUMMYFUNCTION("""COMPUTED_VALUE"""),"GOLIVE")</f>
        <v>GOLIVE</v>
      </c>
      <c r="Y620" s="229" t="str">
        <f>IFERROR(__xludf.DUMMYFUNCTION("""COMPUTED_VALUE"""),"DONE")</f>
        <v>DONE</v>
      </c>
      <c r="Z620" s="229" t="str">
        <f>IFERROR(__xludf.DUMMYFUNCTION("""COMPUTED_VALUE"""),"#N/A")</f>
        <v>#N/A</v>
      </c>
      <c r="AA620" s="229">
        <f>IFERROR(__xludf.DUMMYFUNCTION("""COMPUTED_VALUE"""),11.0)</f>
        <v>11</v>
      </c>
      <c r="AB620" s="229">
        <f>IFERROR(__xludf.DUMMYFUNCTION("""COMPUTED_VALUE"""),0.0)</f>
        <v>0</v>
      </c>
      <c r="AC620" s="229" t="str">
        <f>IFERROR(__xludf.DUMMYFUNCTION("""COMPUTED_VALUE"""),"9165686#9165691")</f>
        <v>9165686#9165691</v>
      </c>
      <c r="AD620" s="232">
        <f>IFERROR(__xludf.DUMMYFUNCTION("""COMPUTED_VALUE"""),88.0)</f>
        <v>88</v>
      </c>
      <c r="AE620" s="233">
        <f>IFERROR(__xludf.DUMMYFUNCTION("""COMPUTED_VALUE"""),46086.0)</f>
        <v>46086</v>
      </c>
      <c r="AF620" s="54"/>
      <c r="AG620" s="54"/>
      <c r="AH620" s="54">
        <v>46086.0</v>
      </c>
      <c r="AI620" s="55">
        <f t="shared" si="72"/>
        <v>0</v>
      </c>
      <c r="AW620" s="234"/>
      <c r="BP620" s="11"/>
      <c r="BQ620" s="11"/>
      <c r="BR620" s="235"/>
      <c r="BV620" s="158"/>
      <c r="BY620" s="158"/>
      <c r="CB620" s="158"/>
    </row>
    <row r="621" ht="18.0" customHeight="1">
      <c r="A621" s="222">
        <f>IFERROR(__xludf.DUMMYFUNCTION("""COMPUTED_VALUE"""),2026.0)</f>
        <v>2026</v>
      </c>
      <c r="B621" s="221">
        <f>IFERROR(__xludf.DUMMYFUNCTION("""COMPUTED_VALUE"""),1.190202E7)</f>
        <v>11902020</v>
      </c>
      <c r="C621" s="222" t="str">
        <f>IFERROR(__xludf.DUMMYFUNCTION("""COMPUTED_VALUE"""),"RKP TSEL PT3 LBJ-FBE BENGKONG_KOLAM")</f>
        <v>RKP TSEL PT3 LBJ-FBE BENGKONG_KOLAM</v>
      </c>
      <c r="D621" s="222" t="str">
        <f>IFERROR(__xludf.DUMMYFUNCTION("""COMPUTED_VALUE"""),"REGIONAL I")</f>
        <v>REGIONAL I</v>
      </c>
      <c r="E621" s="222" t="str">
        <f>IFERROR(__xludf.DUMMYFUNCTION("""COMPUTED_VALUE"""),"RIKEP")</f>
        <v>RIKEP</v>
      </c>
      <c r="F621" s="222" t="str">
        <f>IFERROR(__xludf.DUMMYFUNCTION("""COMPUTED_VALUE"""),"LBJ")</f>
        <v>LBJ</v>
      </c>
      <c r="G621" s="222" t="str">
        <f>IFERROR(__xludf.DUMMYFUNCTION("""COMPUTED_VALUE"""),"SUMBAGTENG")</f>
        <v>SUMBAGTENG</v>
      </c>
      <c r="H621" s="222" t="str">
        <f>IFERROR(__xludf.DUMMYFUNCTION("""COMPUTED_VALUE"""),"BATAM")</f>
        <v>BATAM</v>
      </c>
      <c r="I621" s="222" t="str">
        <f>IFERROR(__xludf.DUMMYFUNCTION("""COMPUTED_VALUE"""),"Batch 2")</f>
        <v>Batch 2</v>
      </c>
      <c r="J621" s="225">
        <f>IFERROR(__xludf.DUMMYFUNCTION("""COMPUTED_VALUE"""),5.0)</f>
        <v>5</v>
      </c>
      <c r="K621" s="224">
        <f>IFERROR(__xludf.DUMMYFUNCTION("""COMPUTED_VALUE"""),40.0)</f>
        <v>40</v>
      </c>
      <c r="L621" s="226">
        <f>IFERROR(__xludf.DUMMYFUNCTION("""COMPUTED_VALUE"""),1179059.0)</f>
        <v>1179059</v>
      </c>
      <c r="M621" s="227">
        <f>IFERROR(__xludf.DUMMYFUNCTION("""COMPUTED_VALUE"""),4.7162326E7)</f>
        <v>47162326</v>
      </c>
      <c r="N621" s="222" t="str">
        <f>IFERROR(__xludf.DUMMYFUNCTION("""COMPUTED_VALUE"""),"PT ACERO CETHA METALINDO")</f>
        <v>PT ACERO CETHA METALINDO</v>
      </c>
      <c r="O621" s="222" t="str">
        <f>IFERROR(__xludf.DUMMYFUNCTION("""COMPUTED_VALUE"""),"0. DROP")</f>
        <v>0. DROP</v>
      </c>
      <c r="P621" s="222" t="str">
        <f>IFERROR(__xludf.DUMMYFUNCTION("""COMPUTED_VALUE"""),"0.2 Tidak Dapat Izin Warga/Kades/Lurah/Developer")</f>
        <v>0.2 Tidak Dapat Izin Warga/Kades/Lurah/Developer</v>
      </c>
      <c r="Q621" s="222" t="str">
        <f>IFERROR(__xludf.DUMMYFUNCTION("""COMPUTED_VALUE"""),"21/01 Drop tidak di berikan izin RT RW")</f>
        <v>21/01 Drop tidak di berikan izin RT RW</v>
      </c>
      <c r="R621" s="228"/>
      <c r="S621" s="11"/>
      <c r="T621" s="11"/>
      <c r="U621" s="11"/>
      <c r="V621" s="229" t="str">
        <f>IFERROR(__xludf.DUMMYFUNCTION("""COMPUTED_VALUE"""),"RONALDO LEO INFANTRI")</f>
        <v>RONALDO LEO INFANTRI</v>
      </c>
      <c r="W621" s="229" t="str">
        <f>IFERROR(__xludf.DUMMYFUNCTION("""COMPUTED_VALUE"""),"LEVITA INDRIYANI")</f>
        <v>LEVITA INDRIYANI</v>
      </c>
      <c r="X621" s="229" t="str">
        <f>IFERROR(__xludf.DUMMYFUNCTION("""COMPUTED_VALUE"""),"BELUM GOLIVE")</f>
        <v>BELUM GOLIVE</v>
      </c>
      <c r="Y621" s="229"/>
      <c r="Z621" s="229" t="str">
        <f>IFERROR(__xludf.DUMMYFUNCTION("""COMPUTED_VALUE"""),"#N/A")</f>
        <v>#N/A</v>
      </c>
      <c r="AA621" s="229"/>
      <c r="AB621" s="229"/>
      <c r="AC621" s="229"/>
      <c r="AD621" s="232"/>
      <c r="AE621" s="233"/>
      <c r="AF621" s="54" t="str">
        <f>IFERROR(__xludf.DUMMYFUNCTION("""COMPUTED_VALUE"""),"Draft BA DROP")</f>
        <v>Draft BA DROP</v>
      </c>
      <c r="AG621" s="54"/>
      <c r="AH621" s="54"/>
      <c r="AI621" s="55" t="str">
        <f t="shared" si="72"/>
        <v/>
      </c>
      <c r="AW621" s="234"/>
      <c r="BP621" s="11"/>
      <c r="BQ621" s="11"/>
      <c r="BR621" s="235"/>
      <c r="BV621" s="158"/>
      <c r="BY621" s="158"/>
      <c r="CB621" s="158"/>
    </row>
    <row r="622" ht="18.0" hidden="1" customHeight="1">
      <c r="A622" s="222">
        <f>IFERROR(__xludf.DUMMYFUNCTION("""COMPUTED_VALUE"""),2026.0)</f>
        <v>2026</v>
      </c>
      <c r="B622" s="221">
        <f>IFERROR(__xludf.DUMMYFUNCTION("""COMPUTED_VALUE"""),1.112989E7)</f>
        <v>11129890</v>
      </c>
      <c r="C622" s="222" t="str">
        <f>IFERROR(__xludf.DUMMYFUNCTION("""COMPUTED_VALUE"""),"MDN PT3 P7I8 PUB-FBK JL.ALFATTAH 4")</f>
        <v>MDN PT3 P7I8 PUB-FBK JL.ALFATTAH 4</v>
      </c>
      <c r="D622" s="222" t="str">
        <f>IFERROR(__xludf.DUMMYFUNCTION("""COMPUTED_VALUE"""),"REGIONAL I")</f>
        <v>REGIONAL I</v>
      </c>
      <c r="E622" s="222" t="str">
        <f>IFERROR(__xludf.DUMMYFUNCTION("""COMPUTED_VALUE"""),"MEDAN")</f>
        <v>MEDAN</v>
      </c>
      <c r="F622" s="222" t="str">
        <f>IFERROR(__xludf.DUMMYFUNCTION("""COMPUTED_VALUE"""),"PUB")</f>
        <v>PUB</v>
      </c>
      <c r="G622" s="222" t="str">
        <f>IFERROR(__xludf.DUMMYFUNCTION("""COMPUTED_VALUE"""),"SUMBAGUT")</f>
        <v>SUMBAGUT</v>
      </c>
      <c r="H622" s="222" t="str">
        <f>IFERROR(__xludf.DUMMYFUNCTION("""COMPUTED_VALUE"""),"MEDAN")</f>
        <v>MEDAN</v>
      </c>
      <c r="I622" s="222" t="str">
        <f>IFERROR(__xludf.DUMMYFUNCTION("""COMPUTED_VALUE"""),"Batch 2")</f>
        <v>Batch 2</v>
      </c>
      <c r="J622" s="225">
        <f>IFERROR(__xludf.DUMMYFUNCTION("""COMPUTED_VALUE"""),1.0)</f>
        <v>1</v>
      </c>
      <c r="K622" s="224">
        <f>IFERROR(__xludf.DUMMYFUNCTION("""COMPUTED_VALUE"""),8.0)</f>
        <v>8</v>
      </c>
      <c r="L622" s="226">
        <f>IFERROR(__xludf.DUMMYFUNCTION("""COMPUTED_VALUE"""),1178571.0)</f>
        <v>1178571</v>
      </c>
      <c r="M622" s="227">
        <f>IFERROR(__xludf.DUMMYFUNCTION("""COMPUTED_VALUE"""),9428561.0)</f>
        <v>9428561</v>
      </c>
      <c r="N622" s="222" t="str">
        <f>IFERROR(__xludf.DUMMYFUNCTION("""COMPUTED_VALUE"""),"PT BENWA  MITRA PRATAMA")</f>
        <v>PT BENWA  MITRA PRATAMA</v>
      </c>
      <c r="O622" s="222" t="str">
        <f>IFERROR(__xludf.DUMMYFUNCTION("""COMPUTED_VALUE"""),"0. DROP")</f>
        <v>0. DROP</v>
      </c>
      <c r="P622" s="222" t="str">
        <f>IFERROR(__xludf.DUMMYFUNCTION("""COMPUTED_VALUE"""),"0.4 CPP Tinggi Acc ED TIF")</f>
        <v>0.4 CPP Tinggi Acc ED TIF</v>
      </c>
      <c r="Q622" s="222" t="str">
        <f>IFERROR(__xludf.DUMMYFUNCTION("""COMPUTED_VALUE"""),"16/10 Feeder Habis
16/10 Mapping Mitra")</f>
        <v>16/10 Feeder Habis
16/10 Mapping Mitra</v>
      </c>
      <c r="R622" s="228"/>
      <c r="S622" s="11"/>
      <c r="T622" s="11"/>
      <c r="U622" s="11"/>
      <c r="V622" s="229"/>
      <c r="W622" s="229"/>
      <c r="X622" s="229" t="str">
        <f>IFERROR(__xludf.DUMMYFUNCTION("""COMPUTED_VALUE"""),"BELUM GOLIVE")</f>
        <v>BELUM GOLIVE</v>
      </c>
      <c r="Y622" s="229"/>
      <c r="Z622" s="229" t="str">
        <f>IFERROR(__xludf.DUMMYFUNCTION("""COMPUTED_VALUE"""),"#N/A")</f>
        <v>#N/A</v>
      </c>
      <c r="AA622" s="229"/>
      <c r="AB622" s="229"/>
      <c r="AC622" s="229"/>
      <c r="AD622" s="232"/>
      <c r="AE622" s="233"/>
      <c r="AF622" s="54" t="str">
        <f>IFERROR(__xludf.DUMMYFUNCTION("""COMPUTED_VALUE"""),"Draft BA DROP")</f>
        <v>Draft BA DROP</v>
      </c>
      <c r="AG622" s="54"/>
      <c r="AH622" s="54"/>
      <c r="AI622" s="55" t="str">
        <f t="shared" si="72"/>
        <v/>
      </c>
      <c r="AW622" s="234"/>
      <c r="BP622" s="11"/>
      <c r="BQ622" s="11"/>
      <c r="BR622" s="235"/>
      <c r="BV622" s="158"/>
      <c r="BY622" s="158"/>
      <c r="CB622" s="158"/>
    </row>
    <row r="623" ht="18.0" hidden="1" customHeight="1">
      <c r="A623" s="222">
        <f>IFERROR(__xludf.DUMMYFUNCTION("""COMPUTED_VALUE"""),2026.0)</f>
        <v>2026</v>
      </c>
      <c r="B623" s="221">
        <f>IFERROR(__xludf.DUMMYFUNCTION("""COMPUTED_VALUE"""),1.136746E7)</f>
        <v>11367460</v>
      </c>
      <c r="C623" s="222" t="str">
        <f>IFERROR(__xludf.DUMMYFUNCTION("""COMPUTED_VALUE"""),"MDN PT3 TMU-FAC PLATINUM GARDEN 3")</f>
        <v>MDN PT3 TMU-FAC PLATINUM GARDEN 3</v>
      </c>
      <c r="D623" s="222" t="str">
        <f>IFERROR(__xludf.DUMMYFUNCTION("""COMPUTED_VALUE"""),"REGIONAL I")</f>
        <v>REGIONAL I</v>
      </c>
      <c r="E623" s="222" t="str">
        <f>IFERROR(__xludf.DUMMYFUNCTION("""COMPUTED_VALUE"""),"MEDAN")</f>
        <v>MEDAN</v>
      </c>
      <c r="F623" s="222" t="str">
        <f>IFERROR(__xludf.DUMMYFUNCTION("""COMPUTED_VALUE"""),"TMU")</f>
        <v>TMU</v>
      </c>
      <c r="G623" s="222" t="str">
        <f>IFERROR(__xludf.DUMMYFUNCTION("""COMPUTED_VALUE"""),"SUMBAGUT")</f>
        <v>SUMBAGUT</v>
      </c>
      <c r="H623" s="222" t="str">
        <f>IFERROR(__xludf.DUMMYFUNCTION("""COMPUTED_VALUE"""),"MEDAN")</f>
        <v>MEDAN</v>
      </c>
      <c r="I623" s="222" t="str">
        <f>IFERROR(__xludf.DUMMYFUNCTION("""COMPUTED_VALUE"""),"Batch 2")</f>
        <v>Batch 2</v>
      </c>
      <c r="J623" s="225">
        <f>IFERROR(__xludf.DUMMYFUNCTION("""COMPUTED_VALUE"""),18.0)</f>
        <v>18</v>
      </c>
      <c r="K623" s="224">
        <f>IFERROR(__xludf.DUMMYFUNCTION("""COMPUTED_VALUE"""),160.0)</f>
        <v>160</v>
      </c>
      <c r="L623" s="226">
        <f>IFERROR(__xludf.DUMMYFUNCTION("""COMPUTED_VALUE"""),1409445.0)</f>
        <v>1409445</v>
      </c>
      <c r="M623" s="227">
        <f>IFERROR(__xludf.DUMMYFUNCTION("""COMPUTED_VALUE"""),2.25511145E8)</f>
        <v>225511145</v>
      </c>
      <c r="N623" s="222" t="str">
        <f>IFERROR(__xludf.DUMMYFUNCTION("""COMPUTED_VALUE"""),"PT DUL JAYA TAMA")</f>
        <v>PT DUL JAYA TAMA</v>
      </c>
      <c r="O623" s="222" t="str">
        <f>IFERROR(__xludf.DUMMYFUNCTION("""COMPUTED_VALUE"""),"0. DROP")</f>
        <v>0. DROP</v>
      </c>
      <c r="P623" s="222" t="str">
        <f>IFERROR(__xludf.DUMMYFUNCTION("""COMPUTED_VALUE"""),"0.4 CPP Tinggi Acc ED TIF")</f>
        <v>0.4 CPP Tinggi Acc ED TIF</v>
      </c>
      <c r="Q623" s="222" t="str">
        <f>IFERROR(__xludf.DUMMYFUNCTION("""COMPUTED_VALUE"""),"29/01 Done Order, lnjut Aanwidzing")</f>
        <v>29/01 Done Order, lnjut Aanwidzing</v>
      </c>
      <c r="R623" s="228"/>
      <c r="S623" s="11"/>
      <c r="T623" s="11"/>
      <c r="U623" s="11"/>
      <c r="V623" s="229"/>
      <c r="W623" s="229"/>
      <c r="X623" s="229" t="str">
        <f>IFERROR(__xludf.DUMMYFUNCTION("""COMPUTED_VALUE"""),"BELUM GOLIVE")</f>
        <v>BELUM GOLIVE</v>
      </c>
      <c r="Y623" s="229"/>
      <c r="Z623" s="229" t="str">
        <f>IFERROR(__xludf.DUMMYFUNCTION("""COMPUTED_VALUE"""),"#N/A")</f>
        <v>#N/A</v>
      </c>
      <c r="AA623" s="229"/>
      <c r="AB623" s="229"/>
      <c r="AC623" s="229"/>
      <c r="AD623" s="232"/>
      <c r="AE623" s="233"/>
      <c r="AF623" s="54" t="str">
        <f>IFERROR(__xludf.DUMMYFUNCTION("""COMPUTED_VALUE"""),"Draft BA DROP")</f>
        <v>Draft BA DROP</v>
      </c>
      <c r="AG623" s="54"/>
      <c r="AH623" s="54"/>
      <c r="AI623" s="55" t="str">
        <f t="shared" si="72"/>
        <v/>
      </c>
      <c r="AW623" s="234"/>
      <c r="BP623" s="11"/>
      <c r="BQ623" s="11"/>
      <c r="BR623" s="235"/>
      <c r="BV623" s="158"/>
      <c r="BY623" s="158"/>
      <c r="CB623" s="158"/>
    </row>
    <row r="624" ht="18.0" hidden="1" customHeight="1">
      <c r="A624" s="222">
        <f>IFERROR(__xludf.DUMMYFUNCTION("""COMPUTED_VALUE"""),2026.0)</f>
        <v>2026</v>
      </c>
      <c r="B624" s="221">
        <f>IFERROR(__xludf.DUMMYFUNCTION("""COMPUTED_VALUE"""),1.1237191E7)</f>
        <v>11237191</v>
      </c>
      <c r="C624" s="222" t="str">
        <f>IFERROR(__xludf.DUMMYFUNCTION("""COMPUTED_VALUE"""),"MDN PT3 P7I13 DLT-FK JL.GENTENG UJUNG")</f>
        <v>MDN PT3 P7I13 DLT-FK JL.GENTENG UJUNG</v>
      </c>
      <c r="D624" s="222" t="str">
        <f>IFERROR(__xludf.DUMMYFUNCTION("""COMPUTED_VALUE"""),"REGIONAL I")</f>
        <v>REGIONAL I</v>
      </c>
      <c r="E624" s="222" t="str">
        <f>IFERROR(__xludf.DUMMYFUNCTION("""COMPUTED_VALUE"""),"MEDAN")</f>
        <v>MEDAN</v>
      </c>
      <c r="F624" s="222" t="str">
        <f>IFERROR(__xludf.DUMMYFUNCTION("""COMPUTED_VALUE"""),"DLT")</f>
        <v>DLT</v>
      </c>
      <c r="G624" s="222" t="str">
        <f>IFERROR(__xludf.DUMMYFUNCTION("""COMPUTED_VALUE"""),"SUMBAGUT")</f>
        <v>SUMBAGUT</v>
      </c>
      <c r="H624" s="222" t="str">
        <f>IFERROR(__xludf.DUMMYFUNCTION("""COMPUTED_VALUE"""),"MEDAN")</f>
        <v>MEDAN</v>
      </c>
      <c r="I624" s="222" t="str">
        <f>IFERROR(__xludf.DUMMYFUNCTION("""COMPUTED_VALUE"""),"Batch 2")</f>
        <v>Batch 2</v>
      </c>
      <c r="J624" s="225">
        <f>IFERROR(__xludf.DUMMYFUNCTION("""COMPUTED_VALUE"""),6.0)</f>
        <v>6</v>
      </c>
      <c r="K624" s="224">
        <f>IFERROR(__xludf.DUMMYFUNCTION("""COMPUTED_VALUE"""),48.0)</f>
        <v>48</v>
      </c>
      <c r="L624" s="226">
        <f>IFERROR(__xludf.DUMMYFUNCTION("""COMPUTED_VALUE"""),1488668.0)</f>
        <v>1488668</v>
      </c>
      <c r="M624" s="227">
        <f>IFERROR(__xludf.DUMMYFUNCTION("""COMPUTED_VALUE"""),7.1456064E7)</f>
        <v>71456064</v>
      </c>
      <c r="N624" s="222" t="str">
        <f>IFERROR(__xludf.DUMMYFUNCTION("""COMPUTED_VALUE"""),"PT UPENTEL INTERNASIONAL")</f>
        <v>PT UPENTEL INTERNASIONAL</v>
      </c>
      <c r="O624" s="222" t="str">
        <f>IFERROR(__xludf.DUMMYFUNCTION("""COMPUTED_VALUE"""),"0. DROP")</f>
        <v>0. DROP</v>
      </c>
      <c r="P624" s="222" t="str">
        <f>IFERROR(__xludf.DUMMYFUNCTION("""COMPUTED_VALUE"""),"0.4 CPP Tinggi Acc ED TIF")</f>
        <v>0.4 CPP Tinggi Acc ED TIF</v>
      </c>
      <c r="Q624" s="222" t="str">
        <f>IFERROR(__xludf.DUMMYFUNCTION("""COMPUTED_VALUE"""),"12/02 Feeder Tidak Tembus07/02 Done Order, Lnjut Aanwidzing")</f>
        <v>12/02 Feeder Tidak Tembus07/02 Done Order, Lnjut Aanwidzing</v>
      </c>
      <c r="R624" s="228"/>
      <c r="S624" s="11"/>
      <c r="T624" s="11"/>
      <c r="U624" s="11"/>
      <c r="V624" s="229"/>
      <c r="W624" s="229"/>
      <c r="X624" s="229" t="str">
        <f>IFERROR(__xludf.DUMMYFUNCTION("""COMPUTED_VALUE"""),"BELUM GOLIVE")</f>
        <v>BELUM GOLIVE</v>
      </c>
      <c r="Y624" s="229"/>
      <c r="Z624" s="229" t="str">
        <f>IFERROR(__xludf.DUMMYFUNCTION("""COMPUTED_VALUE"""),"#N/A")</f>
        <v>#N/A</v>
      </c>
      <c r="AA624" s="229"/>
      <c r="AB624" s="229"/>
      <c r="AC624" s="229"/>
      <c r="AD624" s="232"/>
      <c r="AE624" s="233"/>
      <c r="AF624" s="54" t="str">
        <f>IFERROR(__xludf.DUMMYFUNCTION("""COMPUTED_VALUE"""),"Draft BA DROP")</f>
        <v>Draft BA DROP</v>
      </c>
      <c r="AG624" s="54"/>
      <c r="AH624" s="54"/>
      <c r="AI624" s="55" t="str">
        <f t="shared" si="72"/>
        <v/>
      </c>
      <c r="AW624" s="234"/>
      <c r="BP624" s="11"/>
      <c r="BQ624" s="11"/>
      <c r="BR624" s="235"/>
      <c r="BV624" s="158"/>
      <c r="BY624" s="158"/>
      <c r="CB624" s="158"/>
    </row>
    <row r="625" ht="18.0" customHeight="1">
      <c r="A625" s="222">
        <f>IFERROR(__xludf.DUMMYFUNCTION("""COMPUTED_VALUE"""),2026.0)</f>
        <v>2026</v>
      </c>
      <c r="B625" s="221">
        <f>IFERROR(__xludf.DUMMYFUNCTION("""COMPUTED_VALUE"""),1.2101647E7)</f>
        <v>12101647</v>
      </c>
      <c r="C625" s="222" t="str">
        <f>IFERROR(__xludf.DUMMYFUNCTION("""COMPUTED_VALUE"""),"SMB-PT3-ODC-SIR-FB-250_187_2509")</f>
        <v>SMB-PT3-ODC-SIR-FB-250_187_2509</v>
      </c>
      <c r="D625" s="222" t="str">
        <f>IFERROR(__xludf.DUMMYFUNCTION("""COMPUTED_VALUE"""),"REGIONAL I")</f>
        <v>REGIONAL I</v>
      </c>
      <c r="E625" s="222" t="str">
        <f>IFERROR(__xludf.DUMMYFUNCTION("""COMPUTED_VALUE"""),"SUMBAR")</f>
        <v>SUMBAR</v>
      </c>
      <c r="F625" s="222" t="str">
        <f>IFERROR(__xludf.DUMMYFUNCTION("""COMPUTED_VALUE"""),"SIR")</f>
        <v>SIR</v>
      </c>
      <c r="G625" s="222" t="str">
        <f>IFERROR(__xludf.DUMMYFUNCTION("""COMPUTED_VALUE"""),"SUMBAGTENG")</f>
        <v>SUMBAGTENG</v>
      </c>
      <c r="H625" s="222" t="str">
        <f>IFERROR(__xludf.DUMMYFUNCTION("""COMPUTED_VALUE"""),"BUKIT TINGGI")</f>
        <v>BUKIT TINGGI</v>
      </c>
      <c r="I625" s="222" t="str">
        <f>IFERROR(__xludf.DUMMYFUNCTION("""COMPUTED_VALUE"""),"Batch 2")</f>
        <v>Batch 2</v>
      </c>
      <c r="J625" s="225">
        <f>IFERROR(__xludf.DUMMYFUNCTION("""COMPUTED_VALUE"""),4.0)</f>
        <v>4</v>
      </c>
      <c r="K625" s="224">
        <f>IFERROR(__xludf.DUMMYFUNCTION("""COMPUTED_VALUE"""),32.0)</f>
        <v>32</v>
      </c>
      <c r="L625" s="226">
        <f>IFERROR(__xludf.DUMMYFUNCTION("""COMPUTED_VALUE"""),1178114.0)</f>
        <v>1178114</v>
      </c>
      <c r="M625" s="227">
        <f>IFERROR(__xludf.DUMMYFUNCTION("""COMPUTED_VALUE"""),3.7699629E7)</f>
        <v>37699629</v>
      </c>
      <c r="N625" s="222" t="str">
        <f>IFERROR(__xludf.DUMMYFUNCTION("""COMPUTED_VALUE"""),"PT RATRI PRIMA MANDIRI")</f>
        <v>PT RATRI PRIMA MANDIRI</v>
      </c>
      <c r="O625" s="222" t="str">
        <f>IFERROR(__xludf.DUMMYFUNCTION("""COMPUTED_VALUE"""),"0. DROP")</f>
        <v>0. DROP</v>
      </c>
      <c r="P625" s="222" t="str">
        <f>IFERROR(__xludf.DUMMYFUNCTION("""COMPUTED_VALUE"""),"0.3 Feeder Full")</f>
        <v>0.3 Feeder Full</v>
      </c>
      <c r="Q625" s="222" t="str">
        <f>IFERROR(__xludf.DUMMYFUNCTION("""COMPUTED_VALUE"""),"(12/03) proses pengukuran tipus feeder SIR-FB (27/01) butuh repair feeder SIR-FB  ")</f>
        <v>(12/03) proses pengukuran tipus feeder SIR-FB (27/01) butuh repair feeder SIR-FB  </v>
      </c>
      <c r="R625" s="228"/>
      <c r="S625" s="11"/>
      <c r="T625" s="11"/>
      <c r="U625" s="11"/>
      <c r="V625" s="229"/>
      <c r="W625" s="229"/>
      <c r="X625" s="229" t="str">
        <f>IFERROR(__xludf.DUMMYFUNCTION("""COMPUTED_VALUE"""),"BELUM GOLIVE")</f>
        <v>BELUM GOLIVE</v>
      </c>
      <c r="Y625" s="229"/>
      <c r="Z625" s="229" t="str">
        <f>IFERROR(__xludf.DUMMYFUNCTION("""COMPUTED_VALUE"""),"#N/A")</f>
        <v>#N/A</v>
      </c>
      <c r="AA625" s="229"/>
      <c r="AB625" s="229"/>
      <c r="AC625" s="229"/>
      <c r="AD625" s="232"/>
      <c r="AE625" s="233"/>
      <c r="AF625" s="54"/>
      <c r="AG625" s="54"/>
      <c r="AH625" s="54"/>
      <c r="AI625" s="55" t="str">
        <f t="shared" si="72"/>
        <v/>
      </c>
      <c r="AW625" s="234"/>
      <c r="BP625" s="11"/>
      <c r="BQ625" s="11"/>
      <c r="BR625" s="235"/>
      <c r="BV625" s="158"/>
      <c r="BY625" s="158"/>
      <c r="CB625" s="158"/>
    </row>
    <row r="626" ht="18.0" hidden="1" customHeight="1">
      <c r="A626" s="222">
        <f>IFERROR(__xludf.DUMMYFUNCTION("""COMPUTED_VALUE"""),2026.0)</f>
        <v>2026</v>
      </c>
      <c r="B626" s="221">
        <f>IFERROR(__xludf.DUMMYFUNCTION("""COMPUTED_VALUE"""),1.1388748E7)</f>
        <v>11388748</v>
      </c>
      <c r="C626" s="222" t="str">
        <f>IFERROR(__xludf.DUMMYFUNCTION("""COMPUTED_VALUE"""),"SMS P2I2 PT3 PBM FAK D01 TRSN SUKAMENANG")</f>
        <v>SMS P2I2 PT3 PBM FAK D01 TRSN SUKAMENANG</v>
      </c>
      <c r="D626" s="222" t="str">
        <f>IFERROR(__xludf.DUMMYFUNCTION("""COMPUTED_VALUE"""),"REGIONAL I")</f>
        <v>REGIONAL I</v>
      </c>
      <c r="E626" s="222" t="str">
        <f>IFERROR(__xludf.DUMMYFUNCTION("""COMPUTED_VALUE"""),"SUMSEL")</f>
        <v>SUMSEL</v>
      </c>
      <c r="F626" s="222" t="str">
        <f>IFERROR(__xludf.DUMMYFUNCTION("""COMPUTED_VALUE"""),"PBM")</f>
        <v>PBM</v>
      </c>
      <c r="G626" s="222" t="str">
        <f>IFERROR(__xludf.DUMMYFUNCTION("""COMPUTED_VALUE"""),"SUMBAGSEL")</f>
        <v>SUMBAGSEL</v>
      </c>
      <c r="H626" s="222" t="str">
        <f>IFERROR(__xludf.DUMMYFUNCTION("""COMPUTED_VALUE"""),"PALEMBANG")</f>
        <v>PALEMBANG</v>
      </c>
      <c r="I626" s="222" t="str">
        <f>IFERROR(__xludf.DUMMYFUNCTION("""COMPUTED_VALUE"""),"Batch 2")</f>
        <v>Batch 2</v>
      </c>
      <c r="J626" s="225">
        <f>IFERROR(__xludf.DUMMYFUNCTION("""COMPUTED_VALUE"""),3.0)</f>
        <v>3</v>
      </c>
      <c r="K626" s="224">
        <f>IFERROR(__xludf.DUMMYFUNCTION("""COMPUTED_VALUE"""),24.0)</f>
        <v>24</v>
      </c>
      <c r="L626" s="226">
        <f>IFERROR(__xludf.DUMMYFUNCTION("""COMPUTED_VALUE"""),1177314.0)</f>
        <v>1177314</v>
      </c>
      <c r="M626" s="227">
        <f>IFERROR(__xludf.DUMMYFUNCTION("""COMPUTED_VALUE"""),2.8255525E7)</f>
        <v>28255525</v>
      </c>
      <c r="N626" s="222" t="str">
        <f>IFERROR(__xludf.DUMMYFUNCTION("""COMPUTED_VALUE"""),"PT. SISCOM TECHNOLOGIES")</f>
        <v>PT. SISCOM TECHNOLOGIES</v>
      </c>
      <c r="O626" s="222" t="str">
        <f>IFERROR(__xludf.DUMMYFUNCTION("""COMPUTED_VALUE"""),"7. GOLIVE")</f>
        <v>7. GOLIVE</v>
      </c>
      <c r="P626" s="222" t="str">
        <f>IFERROR(__xludf.DUMMYFUNCTION("""COMPUTED_VALUE"""),"7.2 Golive Full / OA / DONE OTB")</f>
        <v>7.2 Golive Full / OA / DONE OTB</v>
      </c>
      <c r="Q626" s="222" t="str">
        <f>IFERROR(__xludf.DUMMYFUNCTION("""COMPUTED_VALUE"""),"22/02 DONE SUBMIT ABD KE SDI, 06/02 HASIL REVIEW TSEL PLAN GOLIVE TGL 10FEB,  (28/1) konfirm tim mtc , plan progress qe minggu ini , est  31 jan (26/1) SELESAI FISIK, KENDALA BUTUH QE DIST ODC (21/01) selesai fisik, kendala kabel exisitng dist butuh repai"&amp;"r, sdh koordinasi dg tim MTC untk bantu repair, (06/01)order JPP batch-2 2026 (30/12 kendala QE distribusi, 23/12 kendala QE distribusi, 16/12 kendala QE distribusi, 08/12 kendala QE distribusi, 18/11 MENUNGGU GOLIVE, 13/11 menunggu golive, 10/11 menunggu"&amp;" data golive masuk 04/11 onprogress jummper (20/10)plan 21 /10 labeling ODP  08/10 mitra masih mencari armada untuk kirim material
(01/10) proses kirim material
19/09 proses req material. 15/09 Aanwijzing Done, lanjut proses DRM")</f>
        <v>22/02 DONE SUBMIT ABD KE SDI, 06/02 HASIL REVIEW TSEL PLAN GOLIVE TGL 10FEB,  (28/1) konfirm tim mtc , plan progress qe minggu ini , est  31 jan (26/1) SELESAI FISIK, KENDALA BUTUH QE DIST ODC (21/01) selesai fisik, kendala kabel exisitng dist butuh repair, sdh koordinasi dg tim MTC untk bantu repair, (06/01)order JPP batch-2 2026 (30/12 kendala QE distribusi, 23/12 kendala QE distribusi, 16/12 kendala QE distribusi, 08/12 kendala QE distribusi, 18/11 MENUNGGU GOLIVE, 13/11 menunggu golive, 10/11 menunggu data golive masuk 04/11 onprogress jummper (20/10)plan 21 /10 labeling ODP  08/10 mitra masih mencari armada untuk kirim material
(01/10) proses kirim material
19/09 proses req material. 15/09 Aanwijzing Done, lanjut proses DRM</v>
      </c>
      <c r="R626" s="228"/>
      <c r="S626" s="11"/>
      <c r="T626" s="11"/>
      <c r="U626" s="11"/>
      <c r="V626" s="229" t="str">
        <f>IFERROR(__xludf.DUMMYFUNCTION("""COMPUTED_VALUE"""),"ILHAM")</f>
        <v>ILHAM</v>
      </c>
      <c r="W626" s="229"/>
      <c r="X626" s="229" t="str">
        <f>IFERROR(__xludf.DUMMYFUNCTION("""COMPUTED_VALUE"""),"GOLIVE")</f>
        <v>GOLIVE</v>
      </c>
      <c r="Y626" s="229" t="str">
        <f>IFERROR(__xludf.DUMMYFUNCTION("""COMPUTED_VALUE"""),"DONE")</f>
        <v>DONE</v>
      </c>
      <c r="Z626" s="229" t="str">
        <f>IFERROR(__xludf.DUMMYFUNCTION("""COMPUTED_VALUE"""),"#N/A")</f>
        <v>#N/A</v>
      </c>
      <c r="AA626" s="229">
        <f>IFERROR(__xludf.DUMMYFUNCTION("""COMPUTED_VALUE"""),2.0)</f>
        <v>2</v>
      </c>
      <c r="AB626" s="229"/>
      <c r="AC626" s="229" t="str">
        <f>IFERROR(__xludf.DUMMYFUNCTION("""COMPUTED_VALUE"""),"9131153#9131158")</f>
        <v>9131153#9131158</v>
      </c>
      <c r="AD626" s="232">
        <f>IFERROR(__xludf.DUMMYFUNCTION("""COMPUTED_VALUE"""),16.0)</f>
        <v>16</v>
      </c>
      <c r="AE626" s="233">
        <f>IFERROR(__xludf.DUMMYFUNCTION("""COMPUTED_VALUE"""),46074.0)</f>
        <v>46074</v>
      </c>
      <c r="AF626" s="54"/>
      <c r="AG626" s="54"/>
      <c r="AH626" s="54"/>
      <c r="AI626" s="55" t="str">
        <f t="shared" si="72"/>
        <v/>
      </c>
      <c r="AW626" s="234"/>
      <c r="BP626" s="11"/>
      <c r="BQ626" s="11"/>
      <c r="BR626" s="235"/>
      <c r="BV626" s="158"/>
      <c r="BY626" s="158"/>
      <c r="CB626" s="158"/>
    </row>
    <row r="627" ht="18.0" hidden="1" customHeight="1">
      <c r="A627" s="222">
        <f>IFERROR(__xludf.DUMMYFUNCTION("""COMPUTED_VALUE"""),2026.0)</f>
        <v>2026</v>
      </c>
      <c r="B627" s="221">
        <f>IFERROR(__xludf.DUMMYFUNCTION("""COMPUTED_VALUE"""),1.151653E7)</f>
        <v>11516530</v>
      </c>
      <c r="C627" s="222" t="str">
        <f>IFERROR(__xludf.DUMMYFUNCTION("""COMPUTED_VALUE"""),"ACH PT3 BPD-FE BR.D02 PANTE CERMIN")</f>
        <v>ACH PT3 BPD-FE BR.D02 PANTE CERMIN</v>
      </c>
      <c r="D627" s="222" t="str">
        <f>IFERROR(__xludf.DUMMYFUNCTION("""COMPUTED_VALUE"""),"REGIONAL I")</f>
        <v>REGIONAL I</v>
      </c>
      <c r="E627" s="222" t="str">
        <f>IFERROR(__xludf.DUMMYFUNCTION("""COMPUTED_VALUE"""),"ACEH")</f>
        <v>ACEH</v>
      </c>
      <c r="F627" s="222" t="str">
        <f>IFERROR(__xludf.DUMMYFUNCTION("""COMPUTED_VALUE"""),"BPD")</f>
        <v>BPD</v>
      </c>
      <c r="G627" s="222" t="str">
        <f>IFERROR(__xludf.DUMMYFUNCTION("""COMPUTED_VALUE"""),"SUMBAGUT")</f>
        <v>SUMBAGUT</v>
      </c>
      <c r="H627" s="222" t="str">
        <f>IFERROR(__xludf.DUMMYFUNCTION("""COMPUTED_VALUE"""),"BANDA ACEH")</f>
        <v>BANDA ACEH</v>
      </c>
      <c r="I627" s="222" t="str">
        <f>IFERROR(__xludf.DUMMYFUNCTION("""COMPUTED_VALUE"""),"Batch 2")</f>
        <v>Batch 2</v>
      </c>
      <c r="J627" s="225">
        <f>IFERROR(__xludf.DUMMYFUNCTION("""COMPUTED_VALUE"""),12.0)</f>
        <v>12</v>
      </c>
      <c r="K627" s="224">
        <f>IFERROR(__xludf.DUMMYFUNCTION("""COMPUTED_VALUE"""),96.0)</f>
        <v>96</v>
      </c>
      <c r="L627" s="226">
        <f>IFERROR(__xludf.DUMMYFUNCTION("""COMPUTED_VALUE"""),1175876.0)</f>
        <v>1175876</v>
      </c>
      <c r="M627" s="227">
        <f>IFERROR(__xludf.DUMMYFUNCTION("""COMPUTED_VALUE"""),1.12884042E8)</f>
        <v>112884042</v>
      </c>
      <c r="N627" s="222" t="str">
        <f>IFERROR(__xludf.DUMMYFUNCTION("""COMPUTED_VALUE"""),"PT NIAGA NUSANTARA DIVA")</f>
        <v>PT NIAGA NUSANTARA DIVA</v>
      </c>
      <c r="O627" s="222" t="str">
        <f>IFERROR(__xludf.DUMMYFUNCTION("""COMPUTED_VALUE"""),"4. MATDEL")</f>
        <v>4. MATDEL</v>
      </c>
      <c r="P627" s="222" t="str">
        <f>IFERROR(__xludf.DUMMYFUNCTION("""COMPUTED_VALUE"""),"4.2 Sudah Request Material (Alista)")</f>
        <v>4.2 Sudah Request Material (Alista)</v>
      </c>
      <c r="Q627" s="222" t="str">
        <f>IFERROR(__xludf.DUMMYFUNCTION("""COMPUTED_VALUE"""),"(09/02) Sudah Request Material (09/02) PO Material (29/01) proses survey (07/01) Persiapan")</f>
        <v>(09/02) Sudah Request Material (09/02) PO Material (29/01) proses survey (07/01) Persiapan</v>
      </c>
      <c r="R627" s="228"/>
      <c r="S627" s="11"/>
      <c r="T627" s="73"/>
      <c r="U627" s="11"/>
      <c r="V627" s="229"/>
      <c r="W627" s="229" t="str">
        <f>IFERROR(__xludf.DUMMYFUNCTION("""COMPUTED_VALUE"""),"#N/A")</f>
        <v>#N/A</v>
      </c>
      <c r="X627" s="229" t="str">
        <f>IFERROR(__xludf.DUMMYFUNCTION("""COMPUTED_VALUE"""),"BELUM GOLIVE")</f>
        <v>BELUM GOLIVE</v>
      </c>
      <c r="Y627" s="229"/>
      <c r="Z627" s="229" t="str">
        <f>IFERROR(__xludf.DUMMYFUNCTION("""COMPUTED_VALUE"""),"#N/A")</f>
        <v>#N/A</v>
      </c>
      <c r="AA627" s="229"/>
      <c r="AB627" s="229"/>
      <c r="AC627" s="229"/>
      <c r="AD627" s="232"/>
      <c r="AE627" s="233"/>
      <c r="AF627" s="54"/>
      <c r="AG627" s="54"/>
      <c r="AH627" s="54">
        <v>46135.0</v>
      </c>
      <c r="AI627" s="55" t="str">
        <f t="shared" si="72"/>
        <v/>
      </c>
      <c r="AW627" s="234"/>
      <c r="BP627" s="11"/>
      <c r="BQ627" s="11"/>
      <c r="BR627" s="235"/>
      <c r="BV627" s="158"/>
      <c r="BY627" s="158"/>
      <c r="CB627" s="158"/>
    </row>
    <row r="628" ht="18.0" hidden="1" customHeight="1">
      <c r="A628" s="222">
        <f>IFERROR(__xludf.DUMMYFUNCTION("""COMPUTED_VALUE"""),2026.0)</f>
        <v>2026</v>
      </c>
      <c r="B628" s="221">
        <f>IFERROR(__xludf.DUMMYFUNCTION("""COMPUTED_VALUE"""),1.2365035E7)</f>
        <v>12365035</v>
      </c>
      <c r="C628" s="222" t="str">
        <f>IFERROR(__xludf.DUMMYFUNCTION("""COMPUTED_VALUE"""),"SMU PYB-FAL 9266_H2_2025")</f>
        <v>SMU PYB-FAL 9266_H2_2025</v>
      </c>
      <c r="D628" s="222" t="str">
        <f>IFERROR(__xludf.DUMMYFUNCTION("""COMPUTED_VALUE"""),"REGIONAL I")</f>
        <v>REGIONAL I</v>
      </c>
      <c r="E628" s="222" t="str">
        <f>IFERROR(__xludf.DUMMYFUNCTION("""COMPUTED_VALUE"""),"SUMUT")</f>
        <v>SUMUT</v>
      </c>
      <c r="F628" s="222" t="str">
        <f>IFERROR(__xludf.DUMMYFUNCTION("""COMPUTED_VALUE"""),"PYB")</f>
        <v>PYB</v>
      </c>
      <c r="G628" s="222" t="str">
        <f>IFERROR(__xludf.DUMMYFUNCTION("""COMPUTED_VALUE"""),"SUMBAGUT")</f>
        <v>SUMBAGUT</v>
      </c>
      <c r="H628" s="222" t="str">
        <f>IFERROR(__xludf.DUMMYFUNCTION("""COMPUTED_VALUE"""),"PADANG SIDEMPUAN")</f>
        <v>PADANG SIDEMPUAN</v>
      </c>
      <c r="I628" s="222" t="str">
        <f>IFERROR(__xludf.DUMMYFUNCTION("""COMPUTED_VALUE"""),"Batch 2")</f>
        <v>Batch 2</v>
      </c>
      <c r="J628" s="225">
        <f>IFERROR(__xludf.DUMMYFUNCTION("""COMPUTED_VALUE"""),11.0)</f>
        <v>11</v>
      </c>
      <c r="K628" s="224">
        <f>IFERROR(__xludf.DUMMYFUNCTION("""COMPUTED_VALUE"""),88.0)</f>
        <v>88</v>
      </c>
      <c r="L628" s="226">
        <f>IFERROR(__xludf.DUMMYFUNCTION("""COMPUTED_VALUE"""),1175354.0)</f>
        <v>1175354</v>
      </c>
      <c r="M628" s="227">
        <f>IFERROR(__xludf.DUMMYFUNCTION("""COMPUTED_VALUE"""),1.03431091E8)</f>
        <v>103431091</v>
      </c>
      <c r="N628" s="222" t="str">
        <f>IFERROR(__xludf.DUMMYFUNCTION("""COMPUTED_VALUE"""),"PT SALTTEK DUMPANG JAYA")</f>
        <v>PT SALTTEK DUMPANG JAYA</v>
      </c>
      <c r="O628" s="222" t="str">
        <f>IFERROR(__xludf.DUMMYFUNCTION("""COMPUTED_VALUE"""),"3. PERIZINAN")</f>
        <v>3. PERIZINAN</v>
      </c>
      <c r="P628" s="222" t="str">
        <f>IFERROR(__xludf.DUMMYFUNCTION("""COMPUTED_VALUE"""),"3.1 Submit permohon ke PU")</f>
        <v>3.1 Submit permohon ke PU</v>
      </c>
      <c r="Q628" s="222" t="str">
        <f>IFERROR(__xludf.DUMMYFUNCTION("""COMPUTED_VALUE"""),"27/4 ( adanya kenaikan nilai dikarnakan ada kebutuhan qe feeder sekitar 210 m dan sambungan sekitar 310 core) menunggu ttd GM terkait pengantar ijin pu kab, 24/4 ( adanya kenaikan nilai dikarnakan ada kebutuhan qe feeder sekitar 210 m dan sambungan sekita"&amp;"r 310 core) menunggu ttd GM terkait pengantar ijin pu kab,  23/4 ( adanya kenaikan nilai dikarnakan ada kebutuhan qe feeder sekitar 210 m dan sambungan sekitar 310 core) menunggu ttd GM terkait pengantar ijin pu kab,   22/4 menunggu ttd GM terkait pengant"&amp;"ar ijin pu kab,  21/4 menunggu ttd GM terkait pengantar ijin pu kab, 20/4 menunggu ttd GM terkait pengantar ijin pu kab, 16/4 menunggu ttd GM terkait pengantar ijin pu kab, 15/4 menunggu approve pengantar ijin pu, 14/4 menunggu approve pengantar ijin pu, "&amp;"13/4 prepair tim untuk fu kembali perizinan desa plan tim turun selasa 14 april,  10/4 prepair tim untuk fu kembali perizinan desa plan tim turun selasa 14 april, 9/4 prepair tim untuk fu kembali perizinan desa plan bsk tgl 10 april, 8/4 prepair team untu"&amp;"k fu kmbali perizina desa paling lambat rabu, 6/4 prepair team untuk fu kmbali perizina desa paling lambat rabu, 5/4 prepair tim terkait fu perizinan desa, 1/4 prepair tim terkait fu perizinan desa, 31/3 prepair tim terkait fu perizinan desa, 30/3 plan fu"&amp;" terkait perizinan desa selasa tgl 31 maret, 27/3 plan fu terkait perizinan desa senin tgl 30 maret, 26/3 proses perizinan lanjut setelah lebaran, 22/3 proses perizinan lanjut setelah lebaran,  18/3 proses perizina lanjut setelah lebaran, 16/3 proses peri"&amp;"zina lanjut setelah lebaran, 3/3 meeting ED1-ED-RSBU-TA1: drop cpp tinggi 2/3 cpp tinggi 1,4, 25/2 plan submit boq kml survey dan qe besok 26 feb.24/2 plan team mitra kordinasi dengan waspang terkait kebutuhan qe, 23/2 plan team mitra kordinasi dengan was"&amp;"pang terkait kebutuhan qe, 20/2 plan team mitra kordinasi dengan waspang terkait kebutuhan qe, 19/2 menunggu boq kml survey incloude kebutuhan qe feeder,  18/2 menunggu boq kml survey incloude kebutuhan qe feeder,  16/2 menunggu boq kml survey incloude ke"&amp;"butuhan qe feeder,  13/2 menunggu boq kml survey incloude kebutuhan qe feeder, 13/2 menunggu boq kml survey incloude kebutuhan qe feeder,  11/2 menunggu boq kml survey incloude kebutuhan qe feeder, 10/2 menunggu boq kml survey incloude kebutuhan qe feeder"&amp;",  9/2 menunggu boq kml survey incloude kebutuhan qe feeder, 6/2 menunggu boq kml survey incloude kebutuhan qe feeder, 5/2 menunggu boq kml survey incloude kebutuhan qe feeder,  3/2 menunggu boq kml survey incloude kebutuhan qe feeder, 2/2 menunggu boq km"&amp;"l survey incloude kebutuhan qe feeder, 1/2 menunggu boq kml survey incloude kebutuhan qe feeder, 30/1 menunggu boq kml survey  dan otdr  kebutuhan qe feeder (galian),  28/1 menunggu boq kml survey  dan otdr  kebutuhan qe feeder (galian), 27/1 menunggu boq"&amp;" kml survey incloude kebutuhan qe feeder, 26/1 menunggu boq kml survey incloude kebutuhan qe feeder, 23/1 menunggu boq kml survey incloude kebutuhan qe feeder,   22/1 menunggu boq kml survey incloude kebutuhan qe feeder,  21/1 menunggu boq kml survey incl"&amp;"oude kebutuhan qe feeder, 20/1 plan survey 22/1,  19/1 plan survey 22/1,  15/1 plan survey 22/1, 14/1 plan survey 21/1, 13/1 penunjukan mitra, (07/01) Persiapan")</f>
        <v>27/4 ( adanya kenaikan nilai dikarnakan ada kebutuhan qe feeder sekitar 210 m dan sambungan sekitar 310 core) menunggu ttd GM terkait pengantar ijin pu kab, 24/4 ( adanya kenaikan nilai dikarnakan ada kebutuhan qe feeder sekitar 210 m dan sambungan sekitar 310 core) menunggu ttd GM terkait pengantar ijin pu kab,  23/4 ( adanya kenaikan nilai dikarnakan ada kebutuhan qe feeder sekitar 210 m dan sambungan sekitar 310 core) menunggu ttd GM terkait pengantar ijin pu kab,   22/4 menunggu ttd GM terkait pengantar ijin pu kab,  21/4 menunggu ttd GM terkait pengantar ijin pu kab, 20/4 menunggu ttd GM terkait pengantar ijin pu kab, 16/4 menunggu ttd GM terkait pengantar ijin pu kab, 15/4 menunggu approve pengantar ijin pu, 14/4 menunggu approve pengantar ijin pu, 13/4 prepair tim untuk fu kembali perizinan desa plan tim turun selasa 14 april,  10/4 prepair tim untuk fu kembali perizinan desa plan tim turun selasa 14 april, 9/4 prepair tim untuk fu kembali perizinan desa plan bsk tgl 10 april, 8/4 prepair team untuk fu kmbali perizina desa paling lambat rabu, 6/4 prepair team untuk fu kmbali perizina desa paling lambat rabu, 5/4 prepair tim terkait fu perizinan desa, 1/4 prepair tim terkait fu perizinan desa, 31/3 prepair tim terkait fu perizinan desa, 30/3 plan fu terkait perizinan desa selasa tgl 31 maret, 27/3 plan fu terkait perizinan desa senin tgl 30 maret, 26/3 proses perizinan lanjut setelah lebaran, 22/3 proses perizinan lanjut setelah lebaran,  18/3 proses perizina lanjut setelah lebaran, 16/3 proses perizina lanjut setelah lebaran, 3/3 meeting ED1-ED-RSBU-TA1: drop cpp tinggi 2/3 cpp tinggi 1,4, 25/2 plan submit boq kml survey dan qe besok 26 feb.24/2 plan team mitra kordinasi dengan waspang terkait kebutuhan qe, 23/2 plan team mitra kordinasi dengan waspang terkait kebutuhan qe, 20/2 plan team mitra kordinasi dengan waspang terkait kebutuhan qe, 19/2 menunggu boq kml survey incloude kebutuhan qe feeder,  18/2 menunggu boq kml survey incloude kebutuhan qe feeder,  16/2 menunggu boq kml survey incloude kebutuhan qe feeder,  13/2 menunggu boq kml survey incloude kebutuhan qe feeder, 13/2 menunggu boq kml survey incloude kebutuhan qe feeder,  11/2 menunggu boq kml survey incloude kebutuhan qe feeder, 10/2 menunggu boq kml survey incloude kebutuhan qe feeder,  9/2 menunggu boq kml survey incloude kebutuhan qe feeder, 6/2 menunggu boq kml survey incloude kebutuhan qe feeder, 5/2 menunggu boq kml survey incloude kebutuhan qe feeder,  3/2 menunggu boq kml survey incloude kebutuhan qe feeder, 2/2 menunggu boq kml survey incloude kebutuhan qe feeder, 1/2 menunggu boq kml survey incloude kebutuhan qe feeder, 30/1 menunggu boq kml survey  dan otdr  kebutuhan qe feeder (galian),  28/1 menunggu boq kml survey  dan otdr  kebutuhan qe feeder (galian), 27/1 menunggu boq kml survey incloude kebutuhan qe feeder, 26/1 menunggu boq kml survey incloude kebutuhan qe feeder, 23/1 menunggu boq kml survey incloude kebutuhan qe feeder,   22/1 menunggu boq kml survey incloude kebutuhan qe feeder,  21/1 menunggu boq kml survey incloude kebutuhan qe feeder, 20/1 plan survey 22/1,  19/1 plan survey 22/1,  15/1 plan survey 22/1, 14/1 plan survey 21/1, 13/1 penunjukan mitra, (07/01) Persiapan</v>
      </c>
      <c r="R628" s="228"/>
      <c r="S628" s="11"/>
      <c r="T628" s="11"/>
      <c r="U628" s="11" t="str">
        <f>IFERROR(__xludf.DUMMYFUNCTION("""COMPUTED_VALUE"""),"TIF-1415/2026")</f>
        <v>TIF-1415/2026</v>
      </c>
      <c r="V628" s="229"/>
      <c r="W628" s="229"/>
      <c r="X628" s="229" t="str">
        <f>IFERROR(__xludf.DUMMYFUNCTION("""COMPUTED_VALUE"""),"BELUM GOLIVE")</f>
        <v>BELUM GOLIVE</v>
      </c>
      <c r="Y628" s="229" t="str">
        <f>IFERROR(__xludf.DUMMYFUNCTION("""COMPUTED_VALUE"""),"QE Feeder, Izin pu")</f>
        <v>QE Feeder, Izin pu</v>
      </c>
      <c r="Z628" s="229" t="str">
        <f>IFERROR(__xludf.DUMMYFUNCTION("""COMPUTED_VALUE"""),"#N/A")</f>
        <v>#N/A</v>
      </c>
      <c r="AA628" s="229"/>
      <c r="AB628" s="229"/>
      <c r="AC628" s="229"/>
      <c r="AD628" s="232"/>
      <c r="AE628" s="233"/>
      <c r="AF628" s="54" t="str">
        <f>IFERROR(__xludf.DUMMYFUNCTION("""COMPUTED_VALUE"""),"Draft BA DROP")</f>
        <v>Draft BA DROP</v>
      </c>
      <c r="AG628" s="54"/>
      <c r="AH628" s="54"/>
      <c r="AI628" s="55" t="str">
        <f t="shared" si="72"/>
        <v/>
      </c>
      <c r="AW628" s="234"/>
      <c r="BP628" s="11"/>
      <c r="BQ628" s="11"/>
      <c r="BR628" s="235"/>
      <c r="BV628" s="158"/>
      <c r="BY628" s="158"/>
      <c r="CB628" s="158"/>
    </row>
    <row r="629" ht="18.0" customHeight="1">
      <c r="A629" s="222">
        <f>IFERROR(__xludf.DUMMYFUNCTION("""COMPUTED_VALUE"""),2026.0)</f>
        <v>2026</v>
      </c>
      <c r="B629" s="221">
        <f>IFERROR(__xludf.DUMMYFUNCTION("""COMPUTED_VALUE"""),1.1525701E7)</f>
        <v>11525701</v>
      </c>
      <c r="C629" s="222" t="str">
        <f>IFERROR(__xludf.DUMMYFUNCTION("""COMPUTED_VALUE"""),"RDR DUM PT3 P3I1 SUBA PERMAI INDAH")</f>
        <v>RDR DUM PT3 P3I1 SUBA PERMAI INDAH</v>
      </c>
      <c r="D629" s="222" t="str">
        <f>IFERROR(__xludf.DUMMYFUNCTION("""COMPUTED_VALUE"""),"REGIONAL I")</f>
        <v>REGIONAL I</v>
      </c>
      <c r="E629" s="222" t="str">
        <f>IFERROR(__xludf.DUMMYFUNCTION("""COMPUTED_VALUE"""),"RIDAR")</f>
        <v>RIDAR</v>
      </c>
      <c r="F629" s="222" t="str">
        <f>IFERROR(__xludf.DUMMYFUNCTION("""COMPUTED_VALUE"""),"DRI")</f>
        <v>DRI</v>
      </c>
      <c r="G629" s="222" t="str">
        <f>IFERROR(__xludf.DUMMYFUNCTION("""COMPUTED_VALUE"""),"SUMBAGTENG")</f>
        <v>SUMBAGTENG</v>
      </c>
      <c r="H629" s="222" t="str">
        <f>IFERROR(__xludf.DUMMYFUNCTION("""COMPUTED_VALUE"""),"DUMAI")</f>
        <v>DUMAI</v>
      </c>
      <c r="I629" s="222" t="str">
        <f>IFERROR(__xludf.DUMMYFUNCTION("""COMPUTED_VALUE"""),"Batch 2")</f>
        <v>Batch 2</v>
      </c>
      <c r="J629" s="225">
        <f>IFERROR(__xludf.DUMMYFUNCTION("""COMPUTED_VALUE"""),15.0)</f>
        <v>15</v>
      </c>
      <c r="K629" s="224">
        <f>IFERROR(__xludf.DUMMYFUNCTION("""COMPUTED_VALUE"""),120.0)</f>
        <v>120</v>
      </c>
      <c r="L629" s="226">
        <f>IFERROR(__xludf.DUMMYFUNCTION("""COMPUTED_VALUE"""),1174708.0)</f>
        <v>1174708</v>
      </c>
      <c r="M629" s="227">
        <f>IFERROR(__xludf.DUMMYFUNCTION("""COMPUTED_VALUE"""),1.40964929E8)</f>
        <v>140964929</v>
      </c>
      <c r="N629" s="222" t="str">
        <f>IFERROR(__xludf.DUMMYFUNCTION("""COMPUTED_VALUE"""),"PT TSUIKA BERKAH RAYA")</f>
        <v>PT TSUIKA BERKAH RAYA</v>
      </c>
      <c r="O629" s="222" t="str">
        <f>IFERROR(__xludf.DUMMYFUNCTION("""COMPUTED_VALUE"""),"0. DROP")</f>
        <v>0. DROP</v>
      </c>
      <c r="P629" s="222" t="str">
        <f>IFERROR(__xludf.DUMMYFUNCTION("""COMPUTED_VALUE"""),"0.2 Tidak Dapat Izin Warga/Kades/Lurah/Developer")</f>
        <v>0.2 Tidak Dapat Izin Warga/Kades/Lurah/Developer</v>
      </c>
      <c r="Q629" s="222" t="str">
        <f>IFERROR(__xludf.DUMMYFUNCTION("""COMPUTED_VALUE"""),"20/01 Tidak dapat izin tanam tiang (07/01) Persiapan")</f>
        <v>20/01 Tidak dapat izin tanam tiang (07/01) Persiapan</v>
      </c>
      <c r="R629" s="228"/>
      <c r="S629" s="11"/>
      <c r="T629" s="11"/>
      <c r="U629" s="11"/>
      <c r="V629" s="229" t="str">
        <f>IFERROR(__xludf.DUMMYFUNCTION("""COMPUTED_VALUE"""),"GUSKAR DIYONAL")</f>
        <v>GUSKAR DIYONAL</v>
      </c>
      <c r="W629" s="229" t="str">
        <f>IFERROR(__xludf.DUMMYFUNCTION("""COMPUTED_VALUE"""),"ANZALA SAKINAH")</f>
        <v>ANZALA SAKINAH</v>
      </c>
      <c r="X629" s="229" t="str">
        <f>IFERROR(__xludf.DUMMYFUNCTION("""COMPUTED_VALUE"""),"BELUM GOLIVE")</f>
        <v>BELUM GOLIVE</v>
      </c>
      <c r="Y629" s="229"/>
      <c r="Z629" s="229" t="str">
        <f>IFERROR(__xludf.DUMMYFUNCTION("""COMPUTED_VALUE"""),"#N/A")</f>
        <v>#N/A</v>
      </c>
      <c r="AA629" s="229"/>
      <c r="AB629" s="229"/>
      <c r="AC629" s="229"/>
      <c r="AD629" s="232"/>
      <c r="AE629" s="233"/>
      <c r="AF629" s="54" t="str">
        <f>IFERROR(__xludf.DUMMYFUNCTION("""COMPUTED_VALUE"""),"Draft BA DROP")</f>
        <v>Draft BA DROP</v>
      </c>
      <c r="AG629" s="54"/>
      <c r="AH629" s="54"/>
      <c r="AI629" s="55" t="str">
        <f t="shared" si="72"/>
        <v/>
      </c>
      <c r="AW629" s="234"/>
      <c r="BP629" s="11"/>
      <c r="BQ629" s="11"/>
      <c r="BR629" s="235"/>
      <c r="BV629" s="158"/>
      <c r="BY629" s="158"/>
      <c r="CB629" s="158"/>
    </row>
    <row r="630" ht="18.0" hidden="1" customHeight="1">
      <c r="A630" s="222">
        <f>IFERROR(__xludf.DUMMYFUNCTION("""COMPUTED_VALUE"""),2026.0)</f>
        <v>2026</v>
      </c>
      <c r="B630" s="221">
        <f>IFERROR(__xludf.DUMMYFUNCTION("""COMPUTED_VALUE"""),1.116146E7)</f>
        <v>11161460</v>
      </c>
      <c r="C630" s="222" t="str">
        <f>IFERROR(__xludf.DUMMYFUNCTION("""COMPUTED_VALUE"""),"MDN PT3 BJI-FHB JL.NIBUNG 3 JATI MAKMUR")</f>
        <v>MDN PT3 BJI-FHB JL.NIBUNG 3 JATI MAKMUR</v>
      </c>
      <c r="D630" s="222" t="str">
        <f>IFERROR(__xludf.DUMMYFUNCTION("""COMPUTED_VALUE"""),"REGIONAL I")</f>
        <v>REGIONAL I</v>
      </c>
      <c r="E630" s="222" t="str">
        <f>IFERROR(__xludf.DUMMYFUNCTION("""COMPUTED_VALUE"""),"MEDAN")</f>
        <v>MEDAN</v>
      </c>
      <c r="F630" s="222" t="str">
        <f>IFERROR(__xludf.DUMMYFUNCTION("""COMPUTED_VALUE"""),"BJI")</f>
        <v>BJI</v>
      </c>
      <c r="G630" s="222" t="str">
        <f>IFERROR(__xludf.DUMMYFUNCTION("""COMPUTED_VALUE"""),"SUMBAGUT")</f>
        <v>SUMBAGUT</v>
      </c>
      <c r="H630" s="222" t="str">
        <f>IFERROR(__xludf.DUMMYFUNCTION("""COMPUTED_VALUE"""),"BINJAI")</f>
        <v>BINJAI</v>
      </c>
      <c r="I630" s="222" t="str">
        <f>IFERROR(__xludf.DUMMYFUNCTION("""COMPUTED_VALUE"""),"Batch 2")</f>
        <v>Batch 2</v>
      </c>
      <c r="J630" s="225">
        <f>IFERROR(__xludf.DUMMYFUNCTION("""COMPUTED_VALUE"""),3.0)</f>
        <v>3</v>
      </c>
      <c r="K630" s="224">
        <f>IFERROR(__xludf.DUMMYFUNCTION("""COMPUTED_VALUE"""),24.0)</f>
        <v>24</v>
      </c>
      <c r="L630" s="226">
        <f>IFERROR(__xludf.DUMMYFUNCTION("""COMPUTED_VALUE"""),1174293.0)</f>
        <v>1174293</v>
      </c>
      <c r="M630" s="227">
        <f>IFERROR(__xludf.DUMMYFUNCTION("""COMPUTED_VALUE"""),2.8183025E7)</f>
        <v>28183025</v>
      </c>
      <c r="N630" s="222" t="str">
        <f>IFERROR(__xludf.DUMMYFUNCTION("""COMPUTED_VALUE"""),"PT KENCANA RAYA INDONESIA")</f>
        <v>PT KENCANA RAYA INDONESIA</v>
      </c>
      <c r="O630" s="222" t="str">
        <f>IFERROR(__xludf.DUMMYFUNCTION("""COMPUTED_VALUE"""),"0. DROP")</f>
        <v>0. DROP</v>
      </c>
      <c r="P630" s="222" t="str">
        <f>IFERROR(__xludf.DUMMYFUNCTION("""COMPUTED_VALUE"""),"0.4 CPP Tinggi Acc ED TIF")</f>
        <v>0.4 CPP Tinggi Acc ED TIF</v>
      </c>
      <c r="Q630" s="222" t="str">
        <f>IFERROR(__xludf.DUMMYFUNCTION("""COMPUTED_VALUE"""),"14/02 feeder tidak ada yang tembus
08/09 order mitra")</f>
        <v>14/02 feeder tidak ada yang tembus
08/09 order mitra</v>
      </c>
      <c r="R630" s="228"/>
      <c r="S630" s="11"/>
      <c r="T630" s="11"/>
      <c r="U630" s="11"/>
      <c r="V630" s="229"/>
      <c r="W630" s="229"/>
      <c r="X630" s="229" t="str">
        <f>IFERROR(__xludf.DUMMYFUNCTION("""COMPUTED_VALUE"""),"BELUM GOLIVE")</f>
        <v>BELUM GOLIVE</v>
      </c>
      <c r="Y630" s="229"/>
      <c r="Z630" s="229" t="str">
        <f>IFERROR(__xludf.DUMMYFUNCTION("""COMPUTED_VALUE"""),"#N/A")</f>
        <v>#N/A</v>
      </c>
      <c r="AA630" s="229"/>
      <c r="AB630" s="229"/>
      <c r="AC630" s="229"/>
      <c r="AD630" s="232"/>
      <c r="AE630" s="233"/>
      <c r="AF630" s="54" t="str">
        <f>IFERROR(__xludf.DUMMYFUNCTION("""COMPUTED_VALUE"""),"Draft BA DROP")</f>
        <v>Draft BA DROP</v>
      </c>
      <c r="AG630" s="54"/>
      <c r="AH630" s="54"/>
      <c r="AI630" s="55" t="str">
        <f t="shared" si="72"/>
        <v/>
      </c>
      <c r="AW630" s="234"/>
      <c r="BP630" s="11"/>
      <c r="BQ630" s="11"/>
      <c r="BR630" s="235"/>
      <c r="BV630" s="158"/>
      <c r="BY630" s="158"/>
      <c r="CB630" s="158"/>
    </row>
    <row r="631" ht="18.0" hidden="1" customHeight="1">
      <c r="A631" s="222">
        <f>IFERROR(__xludf.DUMMYFUNCTION("""COMPUTED_VALUE"""),2026.0)</f>
        <v>2026</v>
      </c>
      <c r="B631" s="221">
        <f>IFERROR(__xludf.DUMMYFUNCTION("""COMPUTED_VALUE"""),1.1324379E7)</f>
        <v>11324379</v>
      </c>
      <c r="C631" s="222" t="str">
        <f>IFERROR(__xludf.DUMMYFUNCTION("""COMPUTED_VALUE"""),"MDN PT3 PDB-FAD KOMP SETIA BUDI LANDMARK")</f>
        <v>MDN PT3 PDB-FAD KOMP SETIA BUDI LANDMARK</v>
      </c>
      <c r="D631" s="222" t="str">
        <f>IFERROR(__xludf.DUMMYFUNCTION("""COMPUTED_VALUE"""),"REGIONAL I")</f>
        <v>REGIONAL I</v>
      </c>
      <c r="E631" s="222" t="str">
        <f>IFERROR(__xludf.DUMMYFUNCTION("""COMPUTED_VALUE"""),"MEDAN")</f>
        <v>MEDAN</v>
      </c>
      <c r="F631" s="222" t="str">
        <f>IFERROR(__xludf.DUMMYFUNCTION("""COMPUTED_VALUE"""),"PDB")</f>
        <v>PDB</v>
      </c>
      <c r="G631" s="222" t="str">
        <f>IFERROR(__xludf.DUMMYFUNCTION("""COMPUTED_VALUE"""),"SUMBAGUT")</f>
        <v>SUMBAGUT</v>
      </c>
      <c r="H631" s="222" t="str">
        <f>IFERROR(__xludf.DUMMYFUNCTION("""COMPUTED_VALUE"""),"MEDAN")</f>
        <v>MEDAN</v>
      </c>
      <c r="I631" s="222" t="str">
        <f>IFERROR(__xludf.DUMMYFUNCTION("""COMPUTED_VALUE"""),"Batch 2")</f>
        <v>Batch 2</v>
      </c>
      <c r="J631" s="225">
        <f>IFERROR(__xludf.DUMMYFUNCTION("""COMPUTED_VALUE"""),5.0)</f>
        <v>5</v>
      </c>
      <c r="K631" s="224">
        <f>IFERROR(__xludf.DUMMYFUNCTION("""COMPUTED_VALUE"""),40.0)</f>
        <v>40</v>
      </c>
      <c r="L631" s="226">
        <f>IFERROR(__xludf.DUMMYFUNCTION("""COMPUTED_VALUE"""),782108.0)</f>
        <v>782108</v>
      </c>
      <c r="M631" s="227">
        <f>IFERROR(__xludf.DUMMYFUNCTION("""COMPUTED_VALUE"""),3.12843E7)</f>
        <v>31284300</v>
      </c>
      <c r="N631" s="222" t="str">
        <f>IFERROR(__xludf.DUMMYFUNCTION("""COMPUTED_VALUE"""),"PT GLOBAL KARYA WANDA")</f>
        <v>PT GLOBAL KARYA WANDA</v>
      </c>
      <c r="O631" s="222" t="str">
        <f>IFERROR(__xludf.DUMMYFUNCTION("""COMPUTED_VALUE"""),"0. DROP")</f>
        <v>0. DROP</v>
      </c>
      <c r="P631" s="222" t="str">
        <f>IFERROR(__xludf.DUMMYFUNCTION("""COMPUTED_VALUE"""),"0.1 Double Order")</f>
        <v>0.1 Double Order</v>
      </c>
      <c r="Q631" s="222" t="str">
        <f>IFERROR(__xludf.DUMMYFUNCTION("""COMPUTED_VALUE"""),"02/03 sudah tercover LoP lain dilokasi sudah ada ODP 27/02 dilokasi terindikasi duplikasi, menunggu FU CHAM 26/02 done order")</f>
        <v>02/03 sudah tercover LoP lain dilokasi sudah ada ODP 27/02 dilokasi terindikasi duplikasi, menunggu FU CHAM 26/02 done order</v>
      </c>
      <c r="R631" s="228"/>
      <c r="S631" s="11"/>
      <c r="T631" s="11"/>
      <c r="U631" s="11"/>
      <c r="V631" s="229"/>
      <c r="W631" s="229"/>
      <c r="X631" s="229" t="str">
        <f>IFERROR(__xludf.DUMMYFUNCTION("""COMPUTED_VALUE"""),"BELUM GOLIVE")</f>
        <v>BELUM GOLIVE</v>
      </c>
      <c r="Y631" s="229"/>
      <c r="Z631" s="229" t="str">
        <f>IFERROR(__xludf.DUMMYFUNCTION("""COMPUTED_VALUE"""),"#N/A")</f>
        <v>#N/A</v>
      </c>
      <c r="AA631" s="229"/>
      <c r="AB631" s="229"/>
      <c r="AC631" s="229"/>
      <c r="AD631" s="232"/>
      <c r="AE631" s="233"/>
      <c r="AF631" s="54" t="str">
        <f>IFERROR(__xludf.DUMMYFUNCTION("""COMPUTED_VALUE"""),"Draft BA DROP")</f>
        <v>Draft BA DROP</v>
      </c>
      <c r="AG631" s="54"/>
      <c r="AH631" s="54"/>
      <c r="AI631" s="55" t="str">
        <f t="shared" si="72"/>
        <v/>
      </c>
      <c r="AW631" s="234"/>
      <c r="BP631" s="11"/>
      <c r="BQ631" s="11"/>
      <c r="BR631" s="235"/>
      <c r="BV631" s="158"/>
      <c r="BY631" s="158"/>
      <c r="CB631" s="158"/>
    </row>
    <row r="632" ht="18.0" hidden="1" customHeight="1">
      <c r="A632" s="222">
        <f>IFERROR(__xludf.DUMMYFUNCTION("""COMPUTED_VALUE"""),2026.0)</f>
        <v>2026</v>
      </c>
      <c r="B632" s="221">
        <f>IFERROR(__xludf.DUMMYFUNCTION("""COMPUTED_VALUE"""),1.2082229E7)</f>
        <v>12082229</v>
      </c>
      <c r="C632" s="222" t="str">
        <f>IFERROR(__xludf.DUMMYFUNCTION("""COMPUTED_VALUE"""),"BNK PT3 BNC FBL JPPTSEL 432_H2_2025")</f>
        <v>BNK PT3 BNC FBL JPPTSEL 432_H2_2025</v>
      </c>
      <c r="D632" s="222" t="str">
        <f>IFERROR(__xludf.DUMMYFUNCTION("""COMPUTED_VALUE"""),"REGIONAL I")</f>
        <v>REGIONAL I</v>
      </c>
      <c r="E632" s="222" t="str">
        <f>IFERROR(__xludf.DUMMYFUNCTION("""COMPUTED_VALUE"""),"BENGKULU")</f>
        <v>BENGKULU</v>
      </c>
      <c r="F632" s="222" t="str">
        <f>IFERROR(__xludf.DUMMYFUNCTION("""COMPUTED_VALUE"""),"BNC")</f>
        <v>BNC</v>
      </c>
      <c r="G632" s="222" t="str">
        <f>IFERROR(__xludf.DUMMYFUNCTION("""COMPUTED_VALUE"""),"SUMBAGSEL")</f>
        <v>SUMBAGSEL</v>
      </c>
      <c r="H632" s="222" t="str">
        <f>IFERROR(__xludf.DUMMYFUNCTION("""COMPUTED_VALUE"""),"BENGKULU")</f>
        <v>BENGKULU</v>
      </c>
      <c r="I632" s="222" t="str">
        <f>IFERROR(__xludf.DUMMYFUNCTION("""COMPUTED_VALUE"""),"Batch 2")</f>
        <v>Batch 2</v>
      </c>
      <c r="J632" s="225">
        <f>IFERROR(__xludf.DUMMYFUNCTION("""COMPUTED_VALUE"""),1.0)</f>
        <v>1</v>
      </c>
      <c r="K632" s="224">
        <f>IFERROR(__xludf.DUMMYFUNCTION("""COMPUTED_VALUE"""),8.0)</f>
        <v>8</v>
      </c>
      <c r="L632" s="226">
        <f>IFERROR(__xludf.DUMMYFUNCTION("""COMPUTED_VALUE"""),1173673.0)</f>
        <v>1173673</v>
      </c>
      <c r="M632" s="227">
        <f>IFERROR(__xludf.DUMMYFUNCTION("""COMPUTED_VALUE"""),9389383.0)</f>
        <v>9389383</v>
      </c>
      <c r="N632" s="222" t="str">
        <f>IFERROR(__xludf.DUMMYFUNCTION("""COMPUTED_VALUE"""),"PT TELAGA RESTU ABADI")</f>
        <v>PT TELAGA RESTU ABADI</v>
      </c>
      <c r="O632" s="222" t="str">
        <f>IFERROR(__xludf.DUMMYFUNCTION("""COMPUTED_VALUE"""),"0. DROP")</f>
        <v>0. DROP</v>
      </c>
      <c r="P632" s="222" t="str">
        <f>IFERROR(__xludf.DUMMYFUNCTION("""COMPUTED_VALUE"""),"0.3 Feeder Full")</f>
        <v>0.3 Feeder Full</v>
      </c>
      <c r="Q632" s="222" t="str">
        <f>IFERROR(__xludf.DUMMYFUNCTION("""COMPUTED_VALUE"""),"3/3 drop - tidak ada alternative solusi 23/01 : Feeder eksting full
")</f>
        <v>3/3 drop - tidak ada alternative solusi 23/01 : Feeder eksting full
</v>
      </c>
      <c r="R632" s="228"/>
      <c r="S632" s="11"/>
      <c r="T632" s="11"/>
      <c r="U632" s="11"/>
      <c r="V632" s="229"/>
      <c r="W632" s="229"/>
      <c r="X632" s="229" t="str">
        <f>IFERROR(__xludf.DUMMYFUNCTION("""COMPUTED_VALUE"""),"BELUM GOLIVE")</f>
        <v>BELUM GOLIVE</v>
      </c>
      <c r="Y632" s="229"/>
      <c r="Z632" s="229" t="str">
        <f>IFERROR(__xludf.DUMMYFUNCTION("""COMPUTED_VALUE"""),"#N/A")</f>
        <v>#N/A</v>
      </c>
      <c r="AA632" s="229"/>
      <c r="AB632" s="229"/>
      <c r="AC632" s="229"/>
      <c r="AD632" s="232"/>
      <c r="AE632" s="233"/>
      <c r="AF632" s="54" t="str">
        <f>IFERROR(__xludf.DUMMYFUNCTION("""COMPUTED_VALUE"""),"Draft BA DROP")</f>
        <v>Draft BA DROP</v>
      </c>
      <c r="AG632" s="54"/>
      <c r="AH632" s="54"/>
      <c r="AI632" s="55" t="str">
        <f t="shared" si="72"/>
        <v/>
      </c>
      <c r="AW632" s="234"/>
      <c r="BP632" s="11"/>
      <c r="BQ632" s="11"/>
      <c r="BR632" s="235"/>
      <c r="BV632" s="158"/>
      <c r="BY632" s="158"/>
      <c r="CB632" s="158"/>
    </row>
    <row r="633" ht="18.0" hidden="1" customHeight="1">
      <c r="A633" s="222">
        <f>IFERROR(__xludf.DUMMYFUNCTION("""COMPUTED_VALUE"""),2026.0)</f>
        <v>2026</v>
      </c>
      <c r="B633" s="221">
        <f>IFERROR(__xludf.DUMMYFUNCTION("""COMPUTED_VALUE"""),1.1325362E7)</f>
        <v>11325362</v>
      </c>
      <c r="C633" s="222" t="str">
        <f>IFERROR(__xludf.DUMMYFUNCTION("""COMPUTED_VALUE"""),"MDN PT3 PRT-FC JL.SIYONG WINARA")</f>
        <v>MDN PT3 PRT-FC JL.SIYONG WINARA</v>
      </c>
      <c r="D633" s="222" t="str">
        <f>IFERROR(__xludf.DUMMYFUNCTION("""COMPUTED_VALUE"""),"REGIONAL I")</f>
        <v>REGIONAL I</v>
      </c>
      <c r="E633" s="222" t="str">
        <f>IFERROR(__xludf.DUMMYFUNCTION("""COMPUTED_VALUE"""),"MEDAN")</f>
        <v>MEDAN</v>
      </c>
      <c r="F633" s="222" t="str">
        <f>IFERROR(__xludf.DUMMYFUNCTION("""COMPUTED_VALUE"""),"PRT")</f>
        <v>PRT</v>
      </c>
      <c r="G633" s="222" t="str">
        <f>IFERROR(__xludf.DUMMYFUNCTION("""COMPUTED_VALUE"""),"SUMBAGUT")</f>
        <v>SUMBAGUT</v>
      </c>
      <c r="H633" s="222" t="str">
        <f>IFERROR(__xludf.DUMMYFUNCTION("""COMPUTED_VALUE"""),"MEDAN")</f>
        <v>MEDAN</v>
      </c>
      <c r="I633" s="222" t="str">
        <f>IFERROR(__xludf.DUMMYFUNCTION("""COMPUTED_VALUE"""),"Batch 2")</f>
        <v>Batch 2</v>
      </c>
      <c r="J633" s="225">
        <f>IFERROR(__xludf.DUMMYFUNCTION("""COMPUTED_VALUE"""),9.0)</f>
        <v>9</v>
      </c>
      <c r="K633" s="224">
        <f>IFERROR(__xludf.DUMMYFUNCTION("""COMPUTED_VALUE"""),72.0)</f>
        <v>72</v>
      </c>
      <c r="L633" s="226">
        <f>IFERROR(__xludf.DUMMYFUNCTION("""COMPUTED_VALUE"""),773431.0)</f>
        <v>773431</v>
      </c>
      <c r="M633" s="227">
        <f>IFERROR(__xludf.DUMMYFUNCTION("""COMPUTED_VALUE"""),5.568701E7)</f>
        <v>55687010</v>
      </c>
      <c r="N633" s="222" t="str">
        <f>IFERROR(__xludf.DUMMYFUNCTION("""COMPUTED_VALUE"""),"PT BENWA  MITRA PRATAMA")</f>
        <v>PT BENWA  MITRA PRATAMA</v>
      </c>
      <c r="O633" s="222" t="str">
        <f>IFERROR(__xludf.DUMMYFUNCTION("""COMPUTED_VALUE"""),"0. DROP")</f>
        <v>0. DROP</v>
      </c>
      <c r="P633" s="222" t="str">
        <f>IFERROR(__xludf.DUMMYFUNCTION("""COMPUTED_VALUE"""),"0.2 Tidak Dapat Izin Warga/Kades/Lurah/Developer")</f>
        <v>0.2 Tidak Dapat Izin Warga/Kades/Lurah/Developer</v>
      </c>
      <c r="Q633" s="222" t="str">
        <f>IFERROR(__xludf.DUMMYFUNCTION("""COMPUTED_VALUE"""),"03/03 tidak dapat izin tanam tiang 04/02 Aanwidzing ok, lanjut perizinan")</f>
        <v>03/03 tidak dapat izin tanam tiang 04/02 Aanwidzing ok, lanjut perizinan</v>
      </c>
      <c r="R633" s="228"/>
      <c r="S633" s="11"/>
      <c r="T633" s="11"/>
      <c r="U633" s="11"/>
      <c r="V633" s="229"/>
      <c r="W633" s="229"/>
      <c r="X633" s="229" t="str">
        <f>IFERROR(__xludf.DUMMYFUNCTION("""COMPUTED_VALUE"""),"BELUM GOLIVE")</f>
        <v>BELUM GOLIVE</v>
      </c>
      <c r="Y633" s="229"/>
      <c r="Z633" s="229" t="str">
        <f>IFERROR(__xludf.DUMMYFUNCTION("""COMPUTED_VALUE"""),"#N/A")</f>
        <v>#N/A</v>
      </c>
      <c r="AA633" s="229"/>
      <c r="AB633" s="229"/>
      <c r="AC633" s="229"/>
      <c r="AD633" s="232"/>
      <c r="AE633" s="233"/>
      <c r="AF633" s="54"/>
      <c r="AG633" s="54"/>
      <c r="AH633" s="54">
        <v>46138.0</v>
      </c>
      <c r="AI633" s="237">
        <f t="shared" ref="AI633:AI634" si="73">AH633-NOW()</f>
        <v>-2.377989896</v>
      </c>
      <c r="AJ633" s="229" t="str">
        <f t="shared" ref="AJ633:AJ634" si="74">if(AI633&gt;=0,"In Komitmen","Out Komitmen")</f>
        <v>Out Komitmen</v>
      </c>
      <c r="AK633" s="229" t="e">
        <v>#N/A</v>
      </c>
      <c r="AW633" s="234"/>
      <c r="BP633" s="11"/>
      <c r="BQ633" s="11"/>
      <c r="BR633" s="235"/>
      <c r="BV633" s="158"/>
      <c r="BY633" s="158"/>
      <c r="CB633" s="158"/>
    </row>
    <row r="634" ht="18.0" customHeight="1">
      <c r="A634" s="222">
        <f>IFERROR(__xludf.DUMMYFUNCTION("""COMPUTED_VALUE"""),2026.0)</f>
        <v>2026</v>
      </c>
      <c r="B634" s="221">
        <f>IFERROR(__xludf.DUMMYFUNCTION("""COMPUTED_VALUE"""),1.1364943E7)</f>
        <v>11364943</v>
      </c>
      <c r="C634" s="222" t="str">
        <f>IFERROR(__xludf.DUMMYFUNCTION("""COMPUTED_VALUE"""),"RKP PT3 TSEL DBS-FD SEKOP DARAT")</f>
        <v>RKP PT3 TSEL DBS-FD SEKOP DARAT</v>
      </c>
      <c r="D634" s="222" t="str">
        <f>IFERROR(__xludf.DUMMYFUNCTION("""COMPUTED_VALUE"""),"REGIONAL I")</f>
        <v>REGIONAL I</v>
      </c>
      <c r="E634" s="222" t="str">
        <f>IFERROR(__xludf.DUMMYFUNCTION("""COMPUTED_VALUE"""),"RIKEP")</f>
        <v>RIKEP</v>
      </c>
      <c r="F634" s="222" t="str">
        <f>IFERROR(__xludf.DUMMYFUNCTION("""COMPUTED_VALUE"""),"DBS")</f>
        <v>DBS</v>
      </c>
      <c r="G634" s="222" t="str">
        <f>IFERROR(__xludf.DUMMYFUNCTION("""COMPUTED_VALUE"""),"SUMBAGTENG")</f>
        <v>SUMBAGTENG</v>
      </c>
      <c r="H634" s="222" t="str">
        <f>IFERROR(__xludf.DUMMYFUNCTION("""COMPUTED_VALUE"""),"BATAM")</f>
        <v>BATAM</v>
      </c>
      <c r="I634" s="222" t="str">
        <f>IFERROR(__xludf.DUMMYFUNCTION("""COMPUTED_VALUE"""),"Batch 2")</f>
        <v>Batch 2</v>
      </c>
      <c r="J634" s="225">
        <f>IFERROR(__xludf.DUMMYFUNCTION("""COMPUTED_VALUE"""),6.0)</f>
        <v>6</v>
      </c>
      <c r="K634" s="224">
        <f>IFERROR(__xludf.DUMMYFUNCTION("""COMPUTED_VALUE"""),48.0)</f>
        <v>48</v>
      </c>
      <c r="L634" s="226">
        <f>IFERROR(__xludf.DUMMYFUNCTION("""COMPUTED_VALUE"""),1173180.0)</f>
        <v>1173180</v>
      </c>
      <c r="M634" s="227">
        <f>IFERROR(__xludf.DUMMYFUNCTION("""COMPUTED_VALUE"""),5.6312631E7)</f>
        <v>56312631</v>
      </c>
      <c r="N634" s="222" t="str">
        <f>IFERROR(__xludf.DUMMYFUNCTION("""COMPUTED_VALUE"""),"SWAKELOLA")</f>
        <v>SWAKELOLA</v>
      </c>
      <c r="O634" s="222" t="str">
        <f>IFERROR(__xludf.DUMMYFUNCTION("""COMPUTED_VALUE"""),"4. MATDEL")</f>
        <v>4. MATDEL</v>
      </c>
      <c r="P634" s="222" t="str">
        <f>IFERROR(__xludf.DUMMYFUNCTION("""COMPUTED_VALUE"""),"4.3 Proses Kirim Mateial Kelokasi")</f>
        <v>4.3 Proses Kirim Mateial Kelokasi</v>
      </c>
      <c r="Q634"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634" s="228"/>
      <c r="S634" s="11"/>
      <c r="T634" s="11"/>
      <c r="U634" s="11" t="str">
        <f>IFERROR(__xludf.DUMMYFUNCTION("""COMPUTED_VALUE"""),"W09-306/2026")</f>
        <v>W09-306/2026</v>
      </c>
      <c r="V634" s="229" t="str">
        <f>IFERROR(__xludf.DUMMYFUNCTION("""COMPUTED_VALUE"""),"DEDY IRAWAN")</f>
        <v>DEDY IRAWAN</v>
      </c>
      <c r="W634" s="229" t="str">
        <f>IFERROR(__xludf.DUMMYFUNCTION("""COMPUTED_VALUE"""),"LEVITA INDRIYANI")</f>
        <v>LEVITA INDRIYANI</v>
      </c>
      <c r="X634" s="229" t="str">
        <f>IFERROR(__xludf.DUMMYFUNCTION("""COMPUTED_VALUE"""),"BELUM GOLIVE")</f>
        <v>BELUM GOLIVE</v>
      </c>
      <c r="Y634" s="229"/>
      <c r="Z634" s="229" t="str">
        <f>IFERROR(__xludf.DUMMYFUNCTION("""COMPUTED_VALUE"""),"#N/A")</f>
        <v>#N/A</v>
      </c>
      <c r="AA634" s="229"/>
      <c r="AB634" s="229"/>
      <c r="AC634" s="229"/>
      <c r="AD634" s="232"/>
      <c r="AE634" s="233"/>
      <c r="AF634" s="54"/>
      <c r="AG634" s="54"/>
      <c r="AH634" s="54">
        <v>46137.0</v>
      </c>
      <c r="AI634" s="237">
        <f t="shared" si="73"/>
        <v>-3.377989896</v>
      </c>
      <c r="AJ634" s="229" t="str">
        <f t="shared" si="74"/>
        <v>Out Komitmen</v>
      </c>
      <c r="AW634" s="234"/>
      <c r="BP634" s="11"/>
      <c r="BQ634" s="11"/>
      <c r="BR634" s="235"/>
      <c r="BV634" s="158"/>
      <c r="BY634" s="158"/>
      <c r="CB634" s="158"/>
    </row>
    <row r="635" ht="18.0" customHeight="1">
      <c r="A635" s="222">
        <f>IFERROR(__xludf.DUMMYFUNCTION("""COMPUTED_VALUE"""),2026.0)</f>
        <v>2026</v>
      </c>
      <c r="B635" s="221">
        <f>IFERROR(__xludf.DUMMYFUNCTION("""COMPUTED_VALUE"""),1.1196562E7)</f>
        <v>11196562</v>
      </c>
      <c r="C635" s="222" t="str">
        <f>IFERROR(__xludf.DUMMYFUNCTION("""COMPUTED_VALUE"""),"RKP PT3 TSEL SGT-FA KEC KATEMAN")</f>
        <v>RKP PT3 TSEL SGT-FA KEC KATEMAN</v>
      </c>
      <c r="D635" s="222" t="str">
        <f>IFERROR(__xludf.DUMMYFUNCTION("""COMPUTED_VALUE"""),"REGIONAL I")</f>
        <v>REGIONAL I</v>
      </c>
      <c r="E635" s="222" t="str">
        <f>IFERROR(__xludf.DUMMYFUNCTION("""COMPUTED_VALUE"""),"RIKEP")</f>
        <v>RIKEP</v>
      </c>
      <c r="F635" s="222" t="str">
        <f>IFERROR(__xludf.DUMMYFUNCTION("""COMPUTED_VALUE"""),"SGT")</f>
        <v>SGT</v>
      </c>
      <c r="G635" s="222" t="str">
        <f>IFERROR(__xludf.DUMMYFUNCTION("""COMPUTED_VALUE"""),"SUMBAGTENG")</f>
        <v>SUMBAGTENG</v>
      </c>
      <c r="H635" s="222" t="str">
        <f>IFERROR(__xludf.DUMMYFUNCTION("""COMPUTED_VALUE"""),"BATAM")</f>
        <v>BATAM</v>
      </c>
      <c r="I635" s="222" t="str">
        <f>IFERROR(__xludf.DUMMYFUNCTION("""COMPUTED_VALUE"""),"Batch 2")</f>
        <v>Batch 2</v>
      </c>
      <c r="J635" s="225">
        <f>IFERROR(__xludf.DUMMYFUNCTION("""COMPUTED_VALUE"""),1.0)</f>
        <v>1</v>
      </c>
      <c r="K635" s="224">
        <f>IFERROR(__xludf.DUMMYFUNCTION("""COMPUTED_VALUE"""),8.0)</f>
        <v>8</v>
      </c>
      <c r="L635" s="226">
        <f>IFERROR(__xludf.DUMMYFUNCTION("""COMPUTED_VALUE"""),1172650.0)</f>
        <v>1172650</v>
      </c>
      <c r="M635" s="227">
        <f>IFERROR(__xludf.DUMMYFUNCTION("""COMPUTED_VALUE"""),9381193.0)</f>
        <v>9381193</v>
      </c>
      <c r="N635" s="222" t="str">
        <f>IFERROR(__xludf.DUMMYFUNCTION("""COMPUTED_VALUE"""),"PT MITRA AKSES INSANI")</f>
        <v>PT MITRA AKSES INSANI</v>
      </c>
      <c r="O635" s="222" t="str">
        <f>IFERROR(__xludf.DUMMYFUNCTION("""COMPUTED_VALUE"""),"4. MATDEL")</f>
        <v>4. MATDEL</v>
      </c>
      <c r="P635" s="222" t="str">
        <f>IFERROR(__xludf.DUMMYFUNCTION("""COMPUTED_VALUE"""),"4.3 Proses Kirim Mateial Kelokasi")</f>
        <v>4.3 Proses Kirim Mateial Kelokasi</v>
      </c>
      <c r="Q635" s="222" t="str">
        <f>IFERROR(__xludf.DUMMYFUNCTION("""COMPUTED_VALUE"""),"24/04 Take Over mitra, plan pengiriman material dan MP, tbc tanggal 20 Apr.
13/04 Menunggu pengiriman material dan prepare MP ke pulau sei guntung.
27/03 menunggu delivery material
05/03 menunggu delivery material
26/02 Pengiriman material 21/01 Proses pe"&amp;"rizinan")</f>
        <v>24/04 Take Over mitra, plan pengiriman material dan MP, tbc tanggal 20 Apr.
13/04 Menunggu pengiriman material dan prepare MP ke pulau sei guntung.
27/03 menunggu delivery material
05/03 menunggu delivery material
26/02 Pengiriman material 21/01 Proses perizinan</v>
      </c>
      <c r="R635" s="228"/>
      <c r="S635" s="11"/>
      <c r="T635" s="11"/>
      <c r="U635" s="11" t="str">
        <f>IFERROR(__xludf.DUMMYFUNCTION("""COMPUTED_VALUE"""),"W09-189/2026")</f>
        <v>W09-189/2026</v>
      </c>
      <c r="V635" s="229" t="str">
        <f>IFERROR(__xludf.DUMMYFUNCTION("""COMPUTED_VALUE"""),"MOHAMMAD FAUZY")</f>
        <v>MOHAMMAD FAUZY</v>
      </c>
      <c r="W635" s="229" t="str">
        <f>IFERROR(__xludf.DUMMYFUNCTION("""COMPUTED_VALUE"""),"LEVITA INDRIYANI")</f>
        <v>LEVITA INDRIYANI</v>
      </c>
      <c r="X635" s="229" t="str">
        <f>IFERROR(__xludf.DUMMYFUNCTION("""COMPUTED_VALUE"""),"BELUM GOLIVE")</f>
        <v>BELUM GOLIVE</v>
      </c>
      <c r="Y635" s="229"/>
      <c r="Z635" s="229" t="str">
        <f>IFERROR(__xludf.DUMMYFUNCTION("""COMPUTED_VALUE"""),"#N/A")</f>
        <v>#N/A</v>
      </c>
      <c r="AA635" s="229"/>
      <c r="AB635" s="229"/>
      <c r="AC635" s="229"/>
      <c r="AD635" s="232"/>
      <c r="AE635" s="233"/>
      <c r="AF635" s="54"/>
      <c r="AG635" s="54"/>
      <c r="AH635" s="54"/>
      <c r="AI635" s="55" t="str">
        <f t="shared" ref="AI635:AI638" si="75">IF(OR(R635="",AE635=""),"",R635-AE635)</f>
        <v/>
      </c>
      <c r="AW635" s="234"/>
      <c r="BP635" s="11"/>
      <c r="BQ635" s="11"/>
      <c r="BR635" s="235"/>
      <c r="BV635" s="158"/>
      <c r="BY635" s="158"/>
      <c r="CB635" s="158"/>
    </row>
    <row r="636" ht="18.0" customHeight="1">
      <c r="A636" s="222">
        <f>IFERROR(__xludf.DUMMYFUNCTION("""COMPUTED_VALUE"""),2026.0)</f>
        <v>2026</v>
      </c>
      <c r="B636" s="221">
        <f>IFERROR(__xludf.DUMMYFUNCTION("""COMPUTED_VALUE"""),1.1511496E7)</f>
        <v>11511496</v>
      </c>
      <c r="C636" s="222" t="str">
        <f>IFERROR(__xludf.DUMMYFUNCTION("""COMPUTED_VALUE"""),"RDR ARK PT3 P3I1 REPAIR ARK FBG")</f>
        <v>RDR ARK PT3 P3I1 REPAIR ARK FBG</v>
      </c>
      <c r="D636" s="222" t="str">
        <f>IFERROR(__xludf.DUMMYFUNCTION("""COMPUTED_VALUE"""),"REGIONAL I")</f>
        <v>REGIONAL I</v>
      </c>
      <c r="E636" s="222" t="str">
        <f>IFERROR(__xludf.DUMMYFUNCTION("""COMPUTED_VALUE"""),"RIDAR")</f>
        <v>RIDAR</v>
      </c>
      <c r="F636" s="222" t="str">
        <f>IFERROR(__xludf.DUMMYFUNCTION("""COMPUTED_VALUE"""),"ARK")</f>
        <v>ARK</v>
      </c>
      <c r="G636" s="222" t="str">
        <f>IFERROR(__xludf.DUMMYFUNCTION("""COMPUTED_VALUE"""),"SUMBAGTENG")</f>
        <v>SUMBAGTENG</v>
      </c>
      <c r="H636" s="222" t="str">
        <f>IFERROR(__xludf.DUMMYFUNCTION("""COMPUTED_VALUE"""),"PEKANBARU")</f>
        <v>PEKANBARU</v>
      </c>
      <c r="I636" s="222" t="str">
        <f>IFERROR(__xludf.DUMMYFUNCTION("""COMPUTED_VALUE"""),"Batch 2")</f>
        <v>Batch 2</v>
      </c>
      <c r="J636" s="225">
        <f>IFERROR(__xludf.DUMMYFUNCTION("""COMPUTED_VALUE"""),6.0)</f>
        <v>6</v>
      </c>
      <c r="K636" s="224">
        <f>IFERROR(__xludf.DUMMYFUNCTION("""COMPUTED_VALUE"""),48.0)</f>
        <v>48</v>
      </c>
      <c r="L636" s="226">
        <f>IFERROR(__xludf.DUMMYFUNCTION("""COMPUTED_VALUE"""),1169526.0)</f>
        <v>1169526</v>
      </c>
      <c r="M636" s="227">
        <f>IFERROR(__xludf.DUMMYFUNCTION("""COMPUTED_VALUE"""),5.613721E7)</f>
        <v>56137210</v>
      </c>
      <c r="N636" s="222" t="str">
        <f>IFERROR(__xludf.DUMMYFUNCTION("""COMPUTED_VALUE"""),"SWAKELOLA")</f>
        <v>SWAKELOLA</v>
      </c>
      <c r="O636" s="222" t="str">
        <f>IFERROR(__xludf.DUMMYFUNCTION("""COMPUTED_VALUE"""),"0. DROP")</f>
        <v>0. DROP</v>
      </c>
      <c r="P636" s="222" t="str">
        <f>IFERROR(__xludf.DUMMYFUNCTION("""COMPUTED_VALUE"""),"0.2 Tidak Dapat Izin Warga/Kades/Lurah/Developer")</f>
        <v>0.2 Tidak Dapat Izin Warga/Kades/Lurah/Developer</v>
      </c>
      <c r="Q636" s="222" t="str">
        <f>IFERROR(__xludf.DUMMYFUNCTION("""COMPUTED_VALUE"""),"20/01 Tidak dapat izin tanam tiang (07/01) Persiapan")</f>
        <v>20/01 Tidak dapat izin tanam tiang (07/01) Persiapan</v>
      </c>
      <c r="R636" s="228"/>
      <c r="S636" s="11"/>
      <c r="T636" s="11"/>
      <c r="U636" s="11"/>
      <c r="V636" s="229" t="str">
        <f>IFERROR(__xludf.DUMMYFUNCTION("""COMPUTED_VALUE"""),"PIKI NOFRI SAPUTRA")</f>
        <v>PIKI NOFRI SAPUTRA</v>
      </c>
      <c r="W636" s="229" t="str">
        <f>IFERROR(__xludf.DUMMYFUNCTION("""COMPUTED_VALUE"""),"ANZALA SAKINAH")</f>
        <v>ANZALA SAKINAH</v>
      </c>
      <c r="X636" s="229" t="str">
        <f>IFERROR(__xludf.DUMMYFUNCTION("""COMPUTED_VALUE"""),"BELUM GOLIVE")</f>
        <v>BELUM GOLIVE</v>
      </c>
      <c r="Y636" s="229"/>
      <c r="Z636" s="229" t="str">
        <f>IFERROR(__xludf.DUMMYFUNCTION("""COMPUTED_VALUE"""),"#N/A")</f>
        <v>#N/A</v>
      </c>
      <c r="AA636" s="229"/>
      <c r="AB636" s="229"/>
      <c r="AC636" s="229"/>
      <c r="AD636" s="232"/>
      <c r="AE636" s="233"/>
      <c r="AF636" s="54" t="str">
        <f>IFERROR(__xludf.DUMMYFUNCTION("""COMPUTED_VALUE"""),"Draft BA DROP")</f>
        <v>Draft BA DROP</v>
      </c>
      <c r="AG636" s="54"/>
      <c r="AH636" s="54"/>
      <c r="AI636" s="55" t="str">
        <f t="shared" si="75"/>
        <v/>
      </c>
      <c r="AW636" s="234"/>
      <c r="BP636" s="11"/>
      <c r="BQ636" s="11"/>
      <c r="BR636" s="235"/>
      <c r="BV636" s="158"/>
      <c r="BY636" s="158"/>
      <c r="CB636" s="158"/>
    </row>
    <row r="637" ht="18.0" hidden="1" customHeight="1">
      <c r="A637" s="222">
        <f>IFERROR(__xludf.DUMMYFUNCTION("""COMPUTED_VALUE"""),2026.0)</f>
        <v>2026</v>
      </c>
      <c r="B637" s="221">
        <f>IFERROR(__xludf.DUMMYFUNCTION("""COMPUTED_VALUE"""),1.1140427E7)</f>
        <v>11140427</v>
      </c>
      <c r="C637" s="222" t="str">
        <f>IFERROR(__xludf.DUMMYFUNCTION("""COMPUTED_VALUE"""),"MDN PT3 P7I6 CTD-FCL JL.PERSATUAN RAYA")</f>
        <v>MDN PT3 P7I6 CTD-FCL JL.PERSATUAN RAYA</v>
      </c>
      <c r="D637" s="222" t="str">
        <f>IFERROR(__xludf.DUMMYFUNCTION("""COMPUTED_VALUE"""),"REGIONAL I")</f>
        <v>REGIONAL I</v>
      </c>
      <c r="E637" s="222" t="str">
        <f>IFERROR(__xludf.DUMMYFUNCTION("""COMPUTED_VALUE"""),"MEDAN")</f>
        <v>MEDAN</v>
      </c>
      <c r="F637" s="222" t="str">
        <f>IFERROR(__xludf.DUMMYFUNCTION("""COMPUTED_VALUE"""),"CTD")</f>
        <v>CTD</v>
      </c>
      <c r="G637" s="222" t="str">
        <f>IFERROR(__xludf.DUMMYFUNCTION("""COMPUTED_VALUE"""),"SUMBAGUT")</f>
        <v>SUMBAGUT</v>
      </c>
      <c r="H637" s="222" t="str">
        <f>IFERROR(__xludf.DUMMYFUNCTION("""COMPUTED_VALUE"""),"MEDAN")</f>
        <v>MEDAN</v>
      </c>
      <c r="I637" s="222" t="str">
        <f>IFERROR(__xludf.DUMMYFUNCTION("""COMPUTED_VALUE"""),"Batch 2")</f>
        <v>Batch 2</v>
      </c>
      <c r="J637" s="225">
        <f>IFERROR(__xludf.DUMMYFUNCTION("""COMPUTED_VALUE"""),11.0)</f>
        <v>11</v>
      </c>
      <c r="K637" s="224">
        <f>IFERROR(__xludf.DUMMYFUNCTION("""COMPUTED_VALUE"""),88.0)</f>
        <v>88</v>
      </c>
      <c r="L637" s="226">
        <f>IFERROR(__xludf.DUMMYFUNCTION("""COMPUTED_VALUE"""),1174826.0)</f>
        <v>1174826</v>
      </c>
      <c r="M637" s="227">
        <f>IFERROR(__xludf.DUMMYFUNCTION("""COMPUTED_VALUE"""),1.03384639E8)</f>
        <v>103384639</v>
      </c>
      <c r="N637" s="222" t="str">
        <f>IFERROR(__xludf.DUMMYFUNCTION("""COMPUTED_VALUE"""),"PT TRIPOLA PANATA")</f>
        <v>PT TRIPOLA PANATA</v>
      </c>
      <c r="O637" s="222" t="str">
        <f>IFERROR(__xludf.DUMMYFUNCTION("""COMPUTED_VALUE"""),"8. UJI TERIMA")</f>
        <v>8. UJI TERIMA</v>
      </c>
      <c r="P637" s="222" t="str">
        <f>IFERROR(__xludf.DUMMYFUNCTION("""COMPUTED_VALUE"""),"8.1 Proses UT")</f>
        <v>8.1 Proses UT</v>
      </c>
      <c r="Q637" s="222" t="str">
        <f>IFERROR(__xludf.DUMMYFUNCTION("""COMPUTED_VALUE"""),"(07/01) Persiapan")</f>
        <v>(07/01) Persiapan</v>
      </c>
      <c r="R637" s="228">
        <f>IFERROR(__xludf.DUMMYFUNCTION("""COMPUTED_VALUE"""),46033.0)</f>
        <v>46033</v>
      </c>
      <c r="S637" s="11"/>
      <c r="T637" s="11"/>
      <c r="U637" s="11" t="str">
        <f>IFERROR(__xludf.DUMMYFUNCTION("""COMPUTED_VALUE"""),"FALSE")</f>
        <v>FALSE</v>
      </c>
      <c r="V637" s="229"/>
      <c r="W637" s="229"/>
      <c r="X637" s="229" t="str">
        <f>IFERROR(__xludf.DUMMYFUNCTION("""COMPUTED_VALUE"""),"GOLIVE")</f>
        <v>GOLIVE</v>
      </c>
      <c r="Y637" s="229" t="str">
        <f>IFERROR(__xludf.DUMMYFUNCTION("""COMPUTED_VALUE"""),"DONE")</f>
        <v>DONE</v>
      </c>
      <c r="Z637" s="229" t="str">
        <f>IFERROR(__xludf.DUMMYFUNCTION("""COMPUTED_VALUE"""),"#N/A")</f>
        <v>#N/A</v>
      </c>
      <c r="AA637" s="229">
        <f>IFERROR(__xludf.DUMMYFUNCTION("""COMPUTED_VALUE"""),11.0)</f>
        <v>11</v>
      </c>
      <c r="AB637" s="229"/>
      <c r="AC637" s="229" t="str">
        <f>IFERROR(__xludf.DUMMYFUNCTION("""COMPUTED_VALUE"""),"8943477#8943482")</f>
        <v>8943477#8943482</v>
      </c>
      <c r="AD637" s="232">
        <f>IFERROR(__xludf.DUMMYFUNCTION("""COMPUTED_VALUE"""),88.0)</f>
        <v>88</v>
      </c>
      <c r="AE637" s="233">
        <f>IFERROR(__xludf.DUMMYFUNCTION("""COMPUTED_VALUE"""),46033.0)</f>
        <v>46033</v>
      </c>
      <c r="AF637" s="54"/>
      <c r="AG637" s="54"/>
      <c r="AH637" s="54">
        <v>46033.0</v>
      </c>
      <c r="AI637" s="55">
        <f t="shared" si="75"/>
        <v>0</v>
      </c>
      <c r="AW637" s="234"/>
      <c r="BP637" s="11"/>
      <c r="BQ637" s="11"/>
      <c r="BR637" s="235"/>
      <c r="BV637" s="158"/>
      <c r="BY637" s="158"/>
      <c r="CB637" s="158"/>
    </row>
    <row r="638" ht="18.0" hidden="1" customHeight="1">
      <c r="A638" s="222">
        <f>IFERROR(__xludf.DUMMYFUNCTION("""COMPUTED_VALUE"""),2026.0)</f>
        <v>2026</v>
      </c>
      <c r="B638" s="221">
        <f>IFERROR(__xludf.DUMMYFUNCTION("""COMPUTED_VALUE"""),1.1131241E7)</f>
        <v>11131241</v>
      </c>
      <c r="C638" s="222" t="str">
        <f>IFERROR(__xludf.DUMMYFUNCTION("""COMPUTED_VALUE"""),"MDN PT3 P7I6 TMU-FCB JL.ARRIDHO BELAKANG")</f>
        <v>MDN PT3 P7I6 TMU-FCB JL.ARRIDHO BELAKANG</v>
      </c>
      <c r="D638" s="222" t="str">
        <f>IFERROR(__xludf.DUMMYFUNCTION("""COMPUTED_VALUE"""),"REGIONAL I")</f>
        <v>REGIONAL I</v>
      </c>
      <c r="E638" s="222" t="str">
        <f>IFERROR(__xludf.DUMMYFUNCTION("""COMPUTED_VALUE"""),"MEDAN")</f>
        <v>MEDAN</v>
      </c>
      <c r="F638" s="222" t="str">
        <f>IFERROR(__xludf.DUMMYFUNCTION("""COMPUTED_VALUE"""),"TMU")</f>
        <v>TMU</v>
      </c>
      <c r="G638" s="222" t="str">
        <f>IFERROR(__xludf.DUMMYFUNCTION("""COMPUTED_VALUE"""),"SUMBAGUT")</f>
        <v>SUMBAGUT</v>
      </c>
      <c r="H638" s="222" t="str">
        <f>IFERROR(__xludf.DUMMYFUNCTION("""COMPUTED_VALUE"""),"MEDAN")</f>
        <v>MEDAN</v>
      </c>
      <c r="I638" s="222" t="str">
        <f>IFERROR(__xludf.DUMMYFUNCTION("""COMPUTED_VALUE"""),"Batch 2")</f>
        <v>Batch 2</v>
      </c>
      <c r="J638" s="225">
        <f>IFERROR(__xludf.DUMMYFUNCTION("""COMPUTED_VALUE"""),2.0)</f>
        <v>2</v>
      </c>
      <c r="K638" s="224">
        <f>IFERROR(__xludf.DUMMYFUNCTION("""COMPUTED_VALUE"""),16.0)</f>
        <v>16</v>
      </c>
      <c r="L638" s="226">
        <f>IFERROR(__xludf.DUMMYFUNCTION("""COMPUTED_VALUE"""),1169061.0)</f>
        <v>1169061</v>
      </c>
      <c r="M638" s="227">
        <f>IFERROR(__xludf.DUMMYFUNCTION("""COMPUTED_VALUE"""),1.8704973E7)</f>
        <v>18704973</v>
      </c>
      <c r="N638" s="222" t="str">
        <f>IFERROR(__xludf.DUMMYFUNCTION("""COMPUTED_VALUE"""),"PT GLOBAL KARYA WANDA")</f>
        <v>PT GLOBAL KARYA WANDA</v>
      </c>
      <c r="O638" s="222" t="str">
        <f>IFERROR(__xludf.DUMMYFUNCTION("""COMPUTED_VALUE"""),"0. DROP")</f>
        <v>0. DROP</v>
      </c>
      <c r="P638" s="222" t="str">
        <f>IFERROR(__xludf.DUMMYFUNCTION("""COMPUTED_VALUE"""),"0.4 CPP Tinggi Acc ED TIF")</f>
        <v>0.4 CPP Tinggi Acc ED TIF</v>
      </c>
      <c r="Q638" s="222" t="str">
        <f>IFERROR(__xludf.DUMMYFUNCTION("""COMPUTED_VALUE"""),"11/02 Feeder LOS, Menunggu Evident
(07/01) Persiapan")</f>
        <v>11/02 Feeder LOS, Menunggu Evident
(07/01) Persiapan</v>
      </c>
      <c r="R638" s="228"/>
      <c r="S638" s="11"/>
      <c r="T638" s="11"/>
      <c r="U638" s="11"/>
      <c r="V638" s="229"/>
      <c r="W638" s="229"/>
      <c r="X638" s="229" t="str">
        <f>IFERROR(__xludf.DUMMYFUNCTION("""COMPUTED_VALUE"""),"BELUM GOLIVE")</f>
        <v>BELUM GOLIVE</v>
      </c>
      <c r="Y638" s="229"/>
      <c r="Z638" s="229" t="str">
        <f>IFERROR(__xludf.DUMMYFUNCTION("""COMPUTED_VALUE"""),"#N/A")</f>
        <v>#N/A</v>
      </c>
      <c r="AA638" s="229"/>
      <c r="AB638" s="229"/>
      <c r="AC638" s="229"/>
      <c r="AD638" s="232"/>
      <c r="AE638" s="233"/>
      <c r="AF638" s="54" t="str">
        <f>IFERROR(__xludf.DUMMYFUNCTION("""COMPUTED_VALUE"""),"Draft BA DROP")</f>
        <v>Draft BA DROP</v>
      </c>
      <c r="AG638" s="54"/>
      <c r="AH638" s="54"/>
      <c r="AI638" s="55" t="str">
        <f t="shared" si="75"/>
        <v/>
      </c>
      <c r="AW638" s="234"/>
      <c r="BP638" s="11"/>
      <c r="BQ638" s="11"/>
      <c r="BR638" s="235"/>
      <c r="BV638" s="158"/>
      <c r="BY638" s="158"/>
      <c r="CB638" s="158"/>
    </row>
    <row r="639" ht="18.0" hidden="1" customHeight="1">
      <c r="A639" s="222">
        <f>IFERROR(__xludf.DUMMYFUNCTION("""COMPUTED_VALUE"""),2026.0)</f>
        <v>2026</v>
      </c>
      <c r="B639" s="221">
        <f>IFERROR(__xludf.DUMMYFUNCTION("""COMPUTED_VALUE"""),1.2085163E7)</f>
        <v>12085163</v>
      </c>
      <c r="C639" s="222" t="str">
        <f>IFERROR(__xludf.DUMMYFUNCTION("""COMPUTED_VALUE"""),"BNK PT3 CRP FY JPPTSEL 250_-1569_3361")</f>
        <v>BNK PT3 CRP FY JPPTSEL 250_-1569_3361</v>
      </c>
      <c r="D639" s="222" t="str">
        <f>IFERROR(__xludf.DUMMYFUNCTION("""COMPUTED_VALUE"""),"REGIONAL I")</f>
        <v>REGIONAL I</v>
      </c>
      <c r="E639" s="222" t="str">
        <f>IFERROR(__xludf.DUMMYFUNCTION("""COMPUTED_VALUE"""),"BENGKULU")</f>
        <v>BENGKULU</v>
      </c>
      <c r="F639" s="222" t="str">
        <f>IFERROR(__xludf.DUMMYFUNCTION("""COMPUTED_VALUE"""),"CRP")</f>
        <v>CRP</v>
      </c>
      <c r="G639" s="222" t="str">
        <f>IFERROR(__xludf.DUMMYFUNCTION("""COMPUTED_VALUE"""),"SUMBAGSEL")</f>
        <v>SUMBAGSEL</v>
      </c>
      <c r="H639" s="222" t="str">
        <f>IFERROR(__xludf.DUMMYFUNCTION("""COMPUTED_VALUE"""),"BENGKULU")</f>
        <v>BENGKULU</v>
      </c>
      <c r="I639" s="222" t="str">
        <f>IFERROR(__xludf.DUMMYFUNCTION("""COMPUTED_VALUE"""),"Batch 2")</f>
        <v>Batch 2</v>
      </c>
      <c r="J639" s="225">
        <f>IFERROR(__xludf.DUMMYFUNCTION("""COMPUTED_VALUE"""),15.0)</f>
        <v>15</v>
      </c>
      <c r="K639" s="224">
        <f>IFERROR(__xludf.DUMMYFUNCTION("""COMPUTED_VALUE"""),120.0)</f>
        <v>120</v>
      </c>
      <c r="L639" s="226">
        <f>IFERROR(__xludf.DUMMYFUNCTION("""COMPUTED_VALUE"""),1168640.0)</f>
        <v>1168640</v>
      </c>
      <c r="M639" s="227">
        <f>IFERROR(__xludf.DUMMYFUNCTION("""COMPUTED_VALUE"""),1.40236786E8)</f>
        <v>140236786</v>
      </c>
      <c r="N639" s="222" t="str">
        <f>IFERROR(__xludf.DUMMYFUNCTION("""COMPUTED_VALUE"""),"PT TELAGA RESTU ABADI")</f>
        <v>PT TELAGA RESTU ABADI</v>
      </c>
      <c r="O639" s="222" t="str">
        <f>IFERROR(__xludf.DUMMYFUNCTION("""COMPUTED_VALUE"""),"0. DROP")</f>
        <v>0. DROP</v>
      </c>
      <c r="P639" s="222" t="str">
        <f>IFERROR(__xludf.DUMMYFUNCTION("""COMPUTED_VALUE"""),"0.3 Feeder Full")</f>
        <v>0.3 Feeder Full</v>
      </c>
      <c r="Q639" s="222" t="str">
        <f>IFERROR(__xludf.DUMMYFUNCTION("""COMPUTED_VALUE"""),"02/03 : feeder full // 22/01 : Feeder Habis")</f>
        <v>02/03 : feeder full // 22/01 : Feeder Habis</v>
      </c>
      <c r="R639" s="228"/>
      <c r="S639" s="11"/>
      <c r="T639" s="11"/>
      <c r="U639" s="11"/>
      <c r="V639" s="229"/>
      <c r="W639" s="229"/>
      <c r="X639" s="229" t="str">
        <f>IFERROR(__xludf.DUMMYFUNCTION("""COMPUTED_VALUE"""),"BELUM GOLIVE")</f>
        <v>BELUM GOLIVE</v>
      </c>
      <c r="Y639" s="229"/>
      <c r="Z639" s="229" t="str">
        <f>IFERROR(__xludf.DUMMYFUNCTION("""COMPUTED_VALUE"""),"#N/A")</f>
        <v>#N/A</v>
      </c>
      <c r="AA639" s="229"/>
      <c r="AB639" s="229"/>
      <c r="AC639" s="229"/>
      <c r="AD639" s="232"/>
      <c r="AE639" s="233"/>
      <c r="AF639" s="54" t="str">
        <f>IFERROR(__xludf.DUMMYFUNCTION("""COMPUTED_VALUE"""),"Draft BA DROP")</f>
        <v>Draft BA DROP</v>
      </c>
      <c r="AG639" s="54"/>
      <c r="AH639" s="54">
        <v>46137.0</v>
      </c>
      <c r="AI639" s="237">
        <f>AH639-NOW()</f>
        <v>-3.377989896</v>
      </c>
      <c r="AJ639" s="229" t="str">
        <f>if(AI639&gt;=0,"In Komitmen","Out Komitmen")</f>
        <v>Out Komitmen</v>
      </c>
      <c r="AK639" s="229" t="e">
        <v>#N/A</v>
      </c>
      <c r="AW639" s="234"/>
      <c r="BP639" s="11"/>
      <c r="BQ639" s="11"/>
      <c r="BR639" s="235"/>
      <c r="BV639" s="158"/>
      <c r="BY639" s="158"/>
      <c r="CB639" s="158"/>
    </row>
    <row r="640" ht="18.0" customHeight="1">
      <c r="A640" s="222">
        <f>IFERROR(__xludf.DUMMYFUNCTION("""COMPUTED_VALUE"""),2026.0)</f>
        <v>2026</v>
      </c>
      <c r="B640" s="221">
        <f>IFERROR(__xludf.DUMMYFUNCTION("""COMPUTED_VALUE"""),1.1196672E7)</f>
        <v>11196672</v>
      </c>
      <c r="C640" s="222" t="str">
        <f>IFERROR(__xludf.DUMMYFUNCTION("""COMPUTED_VALUE"""),"RKP PT3 TSEL SGT-FB MESS LP GUNTUNG")</f>
        <v>RKP PT3 TSEL SGT-FB MESS LP GUNTUNG</v>
      </c>
      <c r="D640" s="222" t="str">
        <f>IFERROR(__xludf.DUMMYFUNCTION("""COMPUTED_VALUE"""),"REGIONAL I")</f>
        <v>REGIONAL I</v>
      </c>
      <c r="E640" s="222" t="str">
        <f>IFERROR(__xludf.DUMMYFUNCTION("""COMPUTED_VALUE"""),"RIKEP")</f>
        <v>RIKEP</v>
      </c>
      <c r="F640" s="222" t="str">
        <f>IFERROR(__xludf.DUMMYFUNCTION("""COMPUTED_VALUE"""),"SGT")</f>
        <v>SGT</v>
      </c>
      <c r="G640" s="222" t="str">
        <f>IFERROR(__xludf.DUMMYFUNCTION("""COMPUTED_VALUE"""),"SUMBAGTENG")</f>
        <v>SUMBAGTENG</v>
      </c>
      <c r="H640" s="222" t="str">
        <f>IFERROR(__xludf.DUMMYFUNCTION("""COMPUTED_VALUE"""),"BATAM")</f>
        <v>BATAM</v>
      </c>
      <c r="I640" s="222" t="str">
        <f>IFERROR(__xludf.DUMMYFUNCTION("""COMPUTED_VALUE"""),"Batch 2")</f>
        <v>Batch 2</v>
      </c>
      <c r="J640" s="225">
        <f>IFERROR(__xludf.DUMMYFUNCTION("""COMPUTED_VALUE"""),2.0)</f>
        <v>2</v>
      </c>
      <c r="K640" s="224">
        <f>IFERROR(__xludf.DUMMYFUNCTION("""COMPUTED_VALUE"""),16.0)</f>
        <v>16</v>
      </c>
      <c r="L640" s="226">
        <f>IFERROR(__xludf.DUMMYFUNCTION("""COMPUTED_VALUE"""),1168445.0)</f>
        <v>1168445</v>
      </c>
      <c r="M640" s="227">
        <f>IFERROR(__xludf.DUMMYFUNCTION("""COMPUTED_VALUE"""),1.8695109E7)</f>
        <v>18695109</v>
      </c>
      <c r="N640" s="222" t="str">
        <f>IFERROR(__xludf.DUMMYFUNCTION("""COMPUTED_VALUE"""),"PT MITRA AKSES INSANI")</f>
        <v>PT MITRA AKSES INSANI</v>
      </c>
      <c r="O640" s="222" t="str">
        <f>IFERROR(__xludf.DUMMYFUNCTION("""COMPUTED_VALUE"""),"4. MATDEL")</f>
        <v>4. MATDEL</v>
      </c>
      <c r="P640" s="222" t="str">
        <f>IFERROR(__xludf.DUMMYFUNCTION("""COMPUTED_VALUE"""),"4.3 Proses Kirim Mateial Kelokasi")</f>
        <v>4.3 Proses Kirim Mateial Kelokasi</v>
      </c>
      <c r="Q640" s="222" t="str">
        <f>IFERROR(__xludf.DUMMYFUNCTION("""COMPUTED_VALUE"""),"24/04 Take Over mitra, plan pengiriman material dan MP, tbc tanggal 20 Apr.
13/04 Menunggu pengiriman material dan prepare MP ke pulau sei guntung.
27/03 menunggu delivery material
05/03 menunggu delivery material
26/02 Pengiriman material 21/01 Proses pe"&amp;"rizinan")</f>
        <v>24/04 Take Over mitra, plan pengiriman material dan MP, tbc tanggal 20 Apr.
13/04 Menunggu pengiriman material dan prepare MP ke pulau sei guntung.
27/03 menunggu delivery material
05/03 menunggu delivery material
26/02 Pengiriman material 21/01 Proses perizinan</v>
      </c>
      <c r="R640" s="228"/>
      <c r="S640" s="11"/>
      <c r="T640" s="11"/>
      <c r="U640" s="11" t="str">
        <f>IFERROR(__xludf.DUMMYFUNCTION("""COMPUTED_VALUE"""),"W09-191/2026")</f>
        <v>W09-191/2026</v>
      </c>
      <c r="V640" s="229" t="str">
        <f>IFERROR(__xludf.DUMMYFUNCTION("""COMPUTED_VALUE"""),"MOHAMMAD FAUZY")</f>
        <v>MOHAMMAD FAUZY</v>
      </c>
      <c r="W640" s="229" t="str">
        <f>IFERROR(__xludf.DUMMYFUNCTION("""COMPUTED_VALUE"""),"LEVITA INDRIYANI")</f>
        <v>LEVITA INDRIYANI</v>
      </c>
      <c r="X640" s="229" t="str">
        <f>IFERROR(__xludf.DUMMYFUNCTION("""COMPUTED_VALUE"""),"BELUM GOLIVE")</f>
        <v>BELUM GOLIVE</v>
      </c>
      <c r="Y640" s="229"/>
      <c r="Z640" s="229" t="str">
        <f>IFERROR(__xludf.DUMMYFUNCTION("""COMPUTED_VALUE"""),"#N/A")</f>
        <v>#N/A</v>
      </c>
      <c r="AA640" s="229"/>
      <c r="AB640" s="229"/>
      <c r="AC640" s="229"/>
      <c r="AD640" s="232"/>
      <c r="AE640" s="233"/>
      <c r="AF640" s="54"/>
      <c r="AG640" s="54"/>
      <c r="AH640" s="54"/>
      <c r="AI640" s="55" t="str">
        <f t="shared" ref="AI640:AI644" si="76">IF(OR(R640="",AE640=""),"",R640-AE640)</f>
        <v/>
      </c>
      <c r="AW640" s="234"/>
      <c r="BP640" s="11"/>
      <c r="BQ640" s="11"/>
      <c r="BR640" s="235"/>
      <c r="BV640" s="158"/>
      <c r="BY640" s="158"/>
      <c r="CB640" s="158"/>
    </row>
    <row r="641" ht="18.0" hidden="1" customHeight="1">
      <c r="A641" s="222">
        <f>IFERROR(__xludf.DUMMYFUNCTION("""COMPUTED_VALUE"""),2026.0)</f>
        <v>2026</v>
      </c>
      <c r="B641" s="221">
        <f>IFERROR(__xludf.DUMMYFUNCTION("""COMPUTED_VALUE"""),1.1271924E7)</f>
        <v>11271924</v>
      </c>
      <c r="C641" s="222" t="str">
        <f>IFERROR(__xludf.DUMMYFUNCTION("""COMPUTED_VALUE"""),"MDN PT3 STB-FS SIMPANG PEKAN STABAT")</f>
        <v>MDN PT3 STB-FS SIMPANG PEKAN STABAT</v>
      </c>
      <c r="D641" s="222" t="str">
        <f>IFERROR(__xludf.DUMMYFUNCTION("""COMPUTED_VALUE"""),"REGIONAL I")</f>
        <v>REGIONAL I</v>
      </c>
      <c r="E641" s="222" t="str">
        <f>IFERROR(__xludf.DUMMYFUNCTION("""COMPUTED_VALUE"""),"MEDAN")</f>
        <v>MEDAN</v>
      </c>
      <c r="F641" s="222" t="str">
        <f>IFERROR(__xludf.DUMMYFUNCTION("""COMPUTED_VALUE"""),"STB")</f>
        <v>STB</v>
      </c>
      <c r="G641" s="222" t="str">
        <f>IFERROR(__xludf.DUMMYFUNCTION("""COMPUTED_VALUE"""),"SUMBAGUT")</f>
        <v>SUMBAGUT</v>
      </c>
      <c r="H641" s="222" t="str">
        <f>IFERROR(__xludf.DUMMYFUNCTION("""COMPUTED_VALUE"""),"BINJAI")</f>
        <v>BINJAI</v>
      </c>
      <c r="I641" s="222" t="str">
        <f>IFERROR(__xludf.DUMMYFUNCTION("""COMPUTED_VALUE"""),"Batch 2")</f>
        <v>Batch 2</v>
      </c>
      <c r="J641" s="225">
        <f>IFERROR(__xludf.DUMMYFUNCTION("""COMPUTED_VALUE"""),21.0)</f>
        <v>21</v>
      </c>
      <c r="K641" s="224">
        <f>IFERROR(__xludf.DUMMYFUNCTION("""COMPUTED_VALUE"""),168.0)</f>
        <v>168</v>
      </c>
      <c r="L641" s="226">
        <f>IFERROR(__xludf.DUMMYFUNCTION("""COMPUTED_VALUE"""),1406583.0)</f>
        <v>1406583</v>
      </c>
      <c r="M641" s="227">
        <f>IFERROR(__xludf.DUMMYFUNCTION("""COMPUTED_VALUE"""),2.3630589E8)</f>
        <v>236305890</v>
      </c>
      <c r="N641" s="222" t="str">
        <f>IFERROR(__xludf.DUMMYFUNCTION("""COMPUTED_VALUE"""),"PT M JUSUF AND SONS")</f>
        <v>PT M JUSUF AND SONS</v>
      </c>
      <c r="O641" s="222" t="str">
        <f>IFERROR(__xludf.DUMMYFUNCTION("""COMPUTED_VALUE"""),"0. DROP")</f>
        <v>0. DROP</v>
      </c>
      <c r="P641" s="222" t="str">
        <f>IFERROR(__xludf.DUMMYFUNCTION("""COMPUTED_VALUE"""),"0.4 CPP Tinggi Acc ED TIF")</f>
        <v>0.4 CPP Tinggi Acc ED TIF</v>
      </c>
      <c r="Q641" s="222" t="str">
        <f>IFERROR(__xludf.DUMMYFUNCTION("""COMPUTED_VALUE"""),"29/01 poses perhitungan boq untuk solusi QE (07/01) Persiapan")</f>
        <v>29/01 poses perhitungan boq untuk solusi QE (07/01) Persiapan</v>
      </c>
      <c r="R641" s="228"/>
      <c r="S641" s="11"/>
      <c r="T641" s="11"/>
      <c r="U641" s="11"/>
      <c r="V641" s="229"/>
      <c r="W641" s="229"/>
      <c r="X641" s="229" t="str">
        <f>IFERROR(__xludf.DUMMYFUNCTION("""COMPUTED_VALUE"""),"BELUM GOLIVE")</f>
        <v>BELUM GOLIVE</v>
      </c>
      <c r="Y641" s="229"/>
      <c r="Z641" s="229" t="str">
        <f>IFERROR(__xludf.DUMMYFUNCTION("""COMPUTED_VALUE"""),"#N/A")</f>
        <v>#N/A</v>
      </c>
      <c r="AA641" s="229"/>
      <c r="AB641" s="229"/>
      <c r="AC641" s="229"/>
      <c r="AD641" s="232"/>
      <c r="AE641" s="233"/>
      <c r="AF641" s="54" t="str">
        <f>IFERROR(__xludf.DUMMYFUNCTION("""COMPUTED_VALUE"""),"Draft BA DROP")</f>
        <v>Draft BA DROP</v>
      </c>
      <c r="AG641" s="54"/>
      <c r="AH641" s="54"/>
      <c r="AI641" s="55" t="str">
        <f t="shared" si="76"/>
        <v/>
      </c>
      <c r="AW641" s="234"/>
      <c r="BP641" s="11"/>
      <c r="BQ641" s="11"/>
      <c r="BR641" s="235"/>
      <c r="BV641" s="158"/>
      <c r="BY641" s="158"/>
      <c r="CB641" s="158"/>
    </row>
    <row r="642" ht="18.0" hidden="1" customHeight="1">
      <c r="A642" s="222">
        <f>IFERROR(__xludf.DUMMYFUNCTION("""COMPUTED_VALUE"""),2026.0)</f>
        <v>2026</v>
      </c>
      <c r="B642" s="221">
        <f>IFERROR(__xludf.DUMMYFUNCTION("""COMPUTED_VALUE"""),1.1192674E7)</f>
        <v>11192674</v>
      </c>
      <c r="C642" s="222" t="str">
        <f>IFERROR(__xludf.DUMMYFUNCTION("""COMPUTED_VALUE"""),"MDN PT3 P7I8 CTD-FCX JL.AL-HUDA KLUMPANG")</f>
        <v>MDN PT3 P7I8 CTD-FCX JL.AL-HUDA KLUMPANG</v>
      </c>
      <c r="D642" s="222" t="str">
        <f>IFERROR(__xludf.DUMMYFUNCTION("""COMPUTED_VALUE"""),"REGIONAL I")</f>
        <v>REGIONAL I</v>
      </c>
      <c r="E642" s="222" t="str">
        <f>IFERROR(__xludf.DUMMYFUNCTION("""COMPUTED_VALUE"""),"MEDAN")</f>
        <v>MEDAN</v>
      </c>
      <c r="F642" s="222" t="str">
        <f>IFERROR(__xludf.DUMMYFUNCTION("""COMPUTED_VALUE"""),"CTD")</f>
        <v>CTD</v>
      </c>
      <c r="G642" s="222" t="str">
        <f>IFERROR(__xludf.DUMMYFUNCTION("""COMPUTED_VALUE"""),"SUMBAGUT")</f>
        <v>SUMBAGUT</v>
      </c>
      <c r="H642" s="222" t="str">
        <f>IFERROR(__xludf.DUMMYFUNCTION("""COMPUTED_VALUE"""),"MEDAN")</f>
        <v>MEDAN</v>
      </c>
      <c r="I642" s="222" t="str">
        <f>IFERROR(__xludf.DUMMYFUNCTION("""COMPUTED_VALUE"""),"Batch 2")</f>
        <v>Batch 2</v>
      </c>
      <c r="J642" s="225">
        <f>IFERROR(__xludf.DUMMYFUNCTION("""COMPUTED_VALUE"""),5.0)</f>
        <v>5</v>
      </c>
      <c r="K642" s="224">
        <f>IFERROR(__xludf.DUMMYFUNCTION("""COMPUTED_VALUE"""),40.0)</f>
        <v>40</v>
      </c>
      <c r="L642" s="226">
        <f>IFERROR(__xludf.DUMMYFUNCTION("""COMPUTED_VALUE"""),1405122.0)</f>
        <v>1405122</v>
      </c>
      <c r="M642" s="227">
        <f>IFERROR(__xludf.DUMMYFUNCTION("""COMPUTED_VALUE"""),5.6204866E7)</f>
        <v>56204866</v>
      </c>
      <c r="N642" s="222" t="str">
        <f>IFERROR(__xludf.DUMMYFUNCTION("""COMPUTED_VALUE"""),"PT M JUSUF AND SONS")</f>
        <v>PT M JUSUF AND SONS</v>
      </c>
      <c r="O642" s="222" t="str">
        <f>IFERROR(__xludf.DUMMYFUNCTION("""COMPUTED_VALUE"""),"0. DROP")</f>
        <v>0. DROP</v>
      </c>
      <c r="P642" s="222" t="str">
        <f>IFERROR(__xludf.DUMMYFUNCTION("""COMPUTED_VALUE"""),"0.4 CPP Tinggi Acc ED TIF")</f>
        <v>0.4 CPP Tinggi Acc ED TIF</v>
      </c>
      <c r="Q642" s="222" t="str">
        <f>IFERROR(__xludf.DUMMYFUNCTION("""COMPUTED_VALUE"""),"02/02 Feeder Habis
(07/01) Persiapan")</f>
        <v>02/02 Feeder Habis
(07/01) Persiapan</v>
      </c>
      <c r="R642" s="228"/>
      <c r="S642" s="11"/>
      <c r="T642" s="11"/>
      <c r="U642" s="11"/>
      <c r="V642" s="229"/>
      <c r="W642" s="229"/>
      <c r="X642" s="229" t="str">
        <f>IFERROR(__xludf.DUMMYFUNCTION("""COMPUTED_VALUE"""),"BELUM GOLIVE")</f>
        <v>BELUM GOLIVE</v>
      </c>
      <c r="Y642" s="229"/>
      <c r="Z642" s="229" t="str">
        <f>IFERROR(__xludf.DUMMYFUNCTION("""COMPUTED_VALUE"""),"#N/A")</f>
        <v>#N/A</v>
      </c>
      <c r="AA642" s="229"/>
      <c r="AB642" s="229"/>
      <c r="AC642" s="229"/>
      <c r="AD642" s="232"/>
      <c r="AE642" s="233"/>
      <c r="AF642" s="54" t="str">
        <f>IFERROR(__xludf.DUMMYFUNCTION("""COMPUTED_VALUE"""),"Draft BA DROP")</f>
        <v>Draft BA DROP</v>
      </c>
      <c r="AG642" s="54"/>
      <c r="AH642" s="54"/>
      <c r="AI642" s="55" t="str">
        <f t="shared" si="76"/>
        <v/>
      </c>
      <c r="AW642" s="234"/>
      <c r="BP642" s="11"/>
      <c r="BQ642" s="11"/>
      <c r="BR642" s="235"/>
      <c r="BV642" s="158"/>
      <c r="BY642" s="158"/>
      <c r="CB642" s="158"/>
    </row>
    <row r="643" ht="18.0" hidden="1" customHeight="1">
      <c r="A643" s="222">
        <f>IFERROR(__xludf.DUMMYFUNCTION("""COMPUTED_VALUE"""),2026.0)</f>
        <v>2026</v>
      </c>
      <c r="B643" s="221">
        <f>IFERROR(__xludf.DUMMYFUNCTION("""COMPUTED_VALUE"""),1.1335708E7)</f>
        <v>11335708</v>
      </c>
      <c r="C643" s="222" t="str">
        <f>IFERROR(__xludf.DUMMYFUNCTION("""COMPUTED_VALUE"""),"LPG PESAWARAN_11673")</f>
        <v>LPG PESAWARAN_11673</v>
      </c>
      <c r="D643" s="222" t="str">
        <f>IFERROR(__xludf.DUMMYFUNCTION("""COMPUTED_VALUE"""),"REGIONAL I")</f>
        <v>REGIONAL I</v>
      </c>
      <c r="E643" s="222" t="str">
        <f>IFERROR(__xludf.DUMMYFUNCTION("""COMPUTED_VALUE"""),"LAMPUNG")</f>
        <v>LAMPUNG</v>
      </c>
      <c r="F643" s="222" t="str">
        <f>IFERROR(__xludf.DUMMYFUNCTION("""COMPUTED_VALUE"""),"GDT")</f>
        <v>GDT</v>
      </c>
      <c r="G643" s="222" t="str">
        <f>IFERROR(__xludf.DUMMYFUNCTION("""COMPUTED_VALUE"""),"SUMBAGSEL")</f>
        <v>SUMBAGSEL</v>
      </c>
      <c r="H643" s="222" t="str">
        <f>IFERROR(__xludf.DUMMYFUNCTION("""COMPUTED_VALUE"""),"LAMPUNG")</f>
        <v>LAMPUNG</v>
      </c>
      <c r="I643" s="222" t="str">
        <f>IFERROR(__xludf.DUMMYFUNCTION("""COMPUTED_VALUE"""),"Batch 2")</f>
        <v>Batch 2</v>
      </c>
      <c r="J643" s="225">
        <f>IFERROR(__xludf.DUMMYFUNCTION("""COMPUTED_VALUE"""),20.0)</f>
        <v>20</v>
      </c>
      <c r="K643" s="224">
        <f>IFERROR(__xludf.DUMMYFUNCTION("""COMPUTED_VALUE"""),160.0)</f>
        <v>160</v>
      </c>
      <c r="L643" s="226">
        <f>IFERROR(__xludf.DUMMYFUNCTION("""COMPUTED_VALUE"""),1167767.0)</f>
        <v>1167767</v>
      </c>
      <c r="M643" s="227">
        <f>IFERROR(__xludf.DUMMYFUNCTION("""COMPUTED_VALUE"""),1.86842689E8)</f>
        <v>186842689</v>
      </c>
      <c r="N643" s="222" t="str">
        <f>IFERROR(__xludf.DUMMYFUNCTION("""COMPUTED_VALUE"""),"PT SARANA MITRA PERSADA")</f>
        <v>PT SARANA MITRA PERSADA</v>
      </c>
      <c r="O643" s="222" t="str">
        <f>IFERROR(__xludf.DUMMYFUNCTION("""COMPUTED_VALUE"""),"7. GOLIVE")</f>
        <v>7. GOLIVE</v>
      </c>
      <c r="P643" s="222" t="str">
        <f>IFERROR(__xludf.DUMMYFUNCTION("""COMPUTED_VALUE"""),"7.2 Golive Full / OA / DONE OTB")</f>
        <v>7.2 Golive Full / OA / DONE OTB</v>
      </c>
      <c r="Q643" s="222" t="str">
        <f>IFERROR(__xludf.DUMMYFUNCTION("""COMPUTED_VALUE"""),"18/2 sudah GOLIVE 15 FEb  11/2 SUDAH CO ODC, PELURUSAN CORE  9/2  PLAN GOLIVE 15 FEB  4/2 menunggu plan co 
19/1 MENUNGGU CRQ")</f>
        <v>18/2 sudah GOLIVE 15 FEb  11/2 SUDAH CO ODC, PELURUSAN CORE  9/2  PLAN GOLIVE 15 FEB  4/2 menunggu plan co 
19/1 MENUNGGU CRQ</v>
      </c>
      <c r="R643" s="228">
        <f>IFERROR(__xludf.DUMMYFUNCTION("""COMPUTED_VALUE"""),46068.0)</f>
        <v>46068</v>
      </c>
      <c r="S643" s="11"/>
      <c r="T643" s="11"/>
      <c r="U643" s="11" t="str">
        <f>IFERROR(__xludf.DUMMYFUNCTION("""COMPUTED_VALUE"""),"W02-220/2025")</f>
        <v>W02-220/2025</v>
      </c>
      <c r="V643" s="229"/>
      <c r="W643" s="229"/>
      <c r="X643" s="229" t="str">
        <f>IFERROR(__xludf.DUMMYFUNCTION("""COMPUTED_VALUE"""),"GOLIVE")</f>
        <v>GOLIVE</v>
      </c>
      <c r="Y643" s="229" t="str">
        <f>IFERROR(__xludf.DUMMYFUNCTION("""COMPUTED_VALUE"""),"DONE")</f>
        <v>DONE</v>
      </c>
      <c r="Z643" s="229" t="str">
        <f>IFERROR(__xludf.DUMMYFUNCTION("""COMPUTED_VALUE"""),"#N/A")</f>
        <v>#N/A</v>
      </c>
      <c r="AA643" s="229">
        <f>IFERROR(__xludf.DUMMYFUNCTION("""COMPUTED_VALUE"""),20.0)</f>
        <v>20</v>
      </c>
      <c r="AB643" s="229"/>
      <c r="AC643" s="229" t="str">
        <f>IFERROR(__xludf.DUMMYFUNCTION("""COMPUTED_VALUE"""),"9115131#9115136")</f>
        <v>9115131#9115136</v>
      </c>
      <c r="AD643" s="232">
        <f>IFERROR(__xludf.DUMMYFUNCTION("""COMPUTED_VALUE"""),160.0)</f>
        <v>160</v>
      </c>
      <c r="AE643" s="233">
        <f>IFERROR(__xludf.DUMMYFUNCTION("""COMPUTED_VALUE"""),46068.0)</f>
        <v>46068</v>
      </c>
      <c r="AF643" s="54"/>
      <c r="AG643" s="54"/>
      <c r="AH643" s="54">
        <v>46068.0</v>
      </c>
      <c r="AI643" s="55">
        <f t="shared" si="76"/>
        <v>0</v>
      </c>
      <c r="AW643" s="234"/>
      <c r="BP643" s="11"/>
      <c r="BQ643" s="11"/>
      <c r="BR643" s="235"/>
      <c r="BV643" s="158"/>
      <c r="BY643" s="158"/>
      <c r="CB643" s="158"/>
    </row>
    <row r="644" ht="18.0" customHeight="1">
      <c r="A644" s="222">
        <f>IFERROR(__xludf.DUMMYFUNCTION("""COMPUTED_VALUE"""),2026.0)</f>
        <v>2026</v>
      </c>
      <c r="B644" s="221">
        <f>IFERROR(__xludf.DUMMYFUNCTION("""COMPUTED_VALUE"""),1.1132158E7)</f>
        <v>11132158</v>
      </c>
      <c r="C644" s="222" t="str">
        <f>IFERROR(__xludf.DUMMYFUNCTION("""COMPUTED_VALUE"""),"RDR JPP PT4 PAHLAWAN KERJA")</f>
        <v>RDR JPP PT4 PAHLAWAN KERJA</v>
      </c>
      <c r="D644" s="222" t="str">
        <f>IFERROR(__xludf.DUMMYFUNCTION("""COMPUTED_VALUE"""),"REGIONAL I")</f>
        <v>REGIONAL I</v>
      </c>
      <c r="E644" s="222" t="str">
        <f>IFERROR(__xludf.DUMMYFUNCTION("""COMPUTED_VALUE"""),"RIDAR")</f>
        <v>RIDAR</v>
      </c>
      <c r="F644" s="222" t="str">
        <f>IFERROR(__xludf.DUMMYFUNCTION("""COMPUTED_VALUE"""),"ARK")</f>
        <v>ARK</v>
      </c>
      <c r="G644" s="222" t="str">
        <f>IFERROR(__xludf.DUMMYFUNCTION("""COMPUTED_VALUE"""),"SUMBAGTENG")</f>
        <v>SUMBAGTENG</v>
      </c>
      <c r="H644" s="222" t="str">
        <f>IFERROR(__xludf.DUMMYFUNCTION("""COMPUTED_VALUE"""),"PEKANBARU")</f>
        <v>PEKANBARU</v>
      </c>
      <c r="I644" s="222" t="str">
        <f>IFERROR(__xludf.DUMMYFUNCTION("""COMPUTED_VALUE"""),"Batch 2")</f>
        <v>Batch 2</v>
      </c>
      <c r="J644" s="225">
        <f>IFERROR(__xludf.DUMMYFUNCTION("""COMPUTED_VALUE"""),8.0)</f>
        <v>8</v>
      </c>
      <c r="K644" s="224">
        <f>IFERROR(__xludf.DUMMYFUNCTION("""COMPUTED_VALUE"""),64.0)</f>
        <v>64</v>
      </c>
      <c r="L644" s="226">
        <f>IFERROR(__xludf.DUMMYFUNCTION("""COMPUTED_VALUE"""),1166290.0)</f>
        <v>1166290</v>
      </c>
      <c r="M644" s="227">
        <f>IFERROR(__xludf.DUMMYFUNCTION("""COMPUTED_VALUE"""),7.4642525E7)</f>
        <v>74642525</v>
      </c>
      <c r="N644" s="222"/>
      <c r="O644" s="222" t="str">
        <f>IFERROR(__xludf.DUMMYFUNCTION("""COMPUTED_VALUE"""),"0. DROP")</f>
        <v>0. DROP</v>
      </c>
      <c r="P644" s="222" t="str">
        <f>IFERROR(__xludf.DUMMYFUNCTION("""COMPUTED_VALUE"""),"0.3 Feeder Full")</f>
        <v>0.3 Feeder Full</v>
      </c>
      <c r="Q644" s="222" t="str">
        <f>IFERROR(__xludf.DUMMYFUNCTION("""COMPUTED_VALUE"""),"20/01 Feeder petikan utk PT4 Sudah Full (07/01) Persiapan")</f>
        <v>20/01 Feeder petikan utk PT4 Sudah Full (07/01) Persiapan</v>
      </c>
      <c r="R644" s="228"/>
      <c r="S644" s="11"/>
      <c r="T644" s="11"/>
      <c r="U644" s="11"/>
      <c r="V644" s="229"/>
      <c r="W644" s="229"/>
      <c r="X644" s="229" t="str">
        <f>IFERROR(__xludf.DUMMYFUNCTION("""COMPUTED_VALUE"""),"BELUM GOLIVE")</f>
        <v>BELUM GOLIVE</v>
      </c>
      <c r="Y644" s="229"/>
      <c r="Z644" s="229" t="str">
        <f>IFERROR(__xludf.DUMMYFUNCTION("""COMPUTED_VALUE"""),"#N/A")</f>
        <v>#N/A</v>
      </c>
      <c r="AA644" s="229"/>
      <c r="AB644" s="229"/>
      <c r="AC644" s="229"/>
      <c r="AD644" s="232"/>
      <c r="AE644" s="233"/>
      <c r="AF644" s="54"/>
      <c r="AG644" s="54"/>
      <c r="AH644" s="54"/>
      <c r="AI644" s="55" t="str">
        <f t="shared" si="76"/>
        <v/>
      </c>
      <c r="AW644" s="234"/>
      <c r="BP644" s="11"/>
      <c r="BQ644" s="11"/>
      <c r="BR644" s="235"/>
      <c r="BV644" s="158"/>
      <c r="BY644" s="158"/>
      <c r="CB644" s="158"/>
    </row>
    <row r="645" ht="18.0" hidden="1" customHeight="1">
      <c r="A645" s="222">
        <f>IFERROR(__xludf.DUMMYFUNCTION("""COMPUTED_VALUE"""),2026.0)</f>
        <v>2026</v>
      </c>
      <c r="B645" s="221">
        <f>IFERROR(__xludf.DUMMYFUNCTION("""COMPUTED_VALUE"""),1.1137691E7)</f>
        <v>11137691</v>
      </c>
      <c r="C645" s="222" t="str">
        <f>IFERROR(__xludf.DUMMYFUNCTION("""COMPUTED_VALUE"""),"MDN PT3 P7I4 TTG-FN Jl.BESAR KUTALIMBARU")</f>
        <v>MDN PT3 P7I4 TTG-FN Jl.BESAR KUTALIMBARU</v>
      </c>
      <c r="D645" s="222" t="str">
        <f>IFERROR(__xludf.DUMMYFUNCTION("""COMPUTED_VALUE"""),"REGIONAL I")</f>
        <v>REGIONAL I</v>
      </c>
      <c r="E645" s="222" t="str">
        <f>IFERROR(__xludf.DUMMYFUNCTION("""COMPUTED_VALUE"""),"MEDAN")</f>
        <v>MEDAN</v>
      </c>
      <c r="F645" s="222" t="str">
        <f>IFERROR(__xludf.DUMMYFUNCTION("""COMPUTED_VALUE"""),"TTG")</f>
        <v>TTG</v>
      </c>
      <c r="G645" s="222" t="str">
        <f>IFERROR(__xludf.DUMMYFUNCTION("""COMPUTED_VALUE"""),"SUMBAGUT")</f>
        <v>SUMBAGUT</v>
      </c>
      <c r="H645" s="222" t="str">
        <f>IFERROR(__xludf.DUMMYFUNCTION("""COMPUTED_VALUE"""),"MEDAN")</f>
        <v>MEDAN</v>
      </c>
      <c r="I645" s="222" t="str">
        <f>IFERROR(__xludf.DUMMYFUNCTION("""COMPUTED_VALUE"""),"Batch 2")</f>
        <v>Batch 2</v>
      </c>
      <c r="J645" s="225">
        <f>IFERROR(__xludf.DUMMYFUNCTION("""COMPUTED_VALUE"""),2.0)</f>
        <v>2</v>
      </c>
      <c r="K645" s="224">
        <f>IFERROR(__xludf.DUMMYFUNCTION("""COMPUTED_VALUE"""),16.0)</f>
        <v>16</v>
      </c>
      <c r="L645" s="226">
        <f>IFERROR(__xludf.DUMMYFUNCTION("""COMPUTED_VALUE"""),1164904.0)</f>
        <v>1164904</v>
      </c>
      <c r="M645" s="227">
        <f>IFERROR(__xludf.DUMMYFUNCTION("""COMPUTED_VALUE"""),1.863846E7)</f>
        <v>18638460</v>
      </c>
      <c r="N645" s="222" t="str">
        <f>IFERROR(__xludf.DUMMYFUNCTION("""COMPUTED_VALUE"""),"SWAKELOLA")</f>
        <v>SWAKELOLA</v>
      </c>
      <c r="O645" s="222" t="str">
        <f>IFERROR(__xludf.DUMMYFUNCTION("""COMPUTED_VALUE"""),"0. DROP")</f>
        <v>0. DROP</v>
      </c>
      <c r="P645" s="222" t="str">
        <f>IFERROR(__xludf.DUMMYFUNCTION("""COMPUTED_VALUE"""),"0.4 CPP Tinggi Acc ED TIF")</f>
        <v>0.4 CPP Tinggi Acc ED TIF</v>
      </c>
      <c r="Q645" s="222" t="str">
        <f>IFERROR(__xludf.DUMMYFUNCTION("""COMPUTED_VALUE"""),"10/02 done order SWAKELOLA (07/01) Persiapan")</f>
        <v>10/02 done order SWAKELOLA (07/01) Persiapan</v>
      </c>
      <c r="R645" s="228"/>
      <c r="S645" s="11"/>
      <c r="T645" s="11"/>
      <c r="U645" s="11"/>
      <c r="V645" s="229"/>
      <c r="W645" s="229"/>
      <c r="X645" s="229" t="str">
        <f>IFERROR(__xludf.DUMMYFUNCTION("""COMPUTED_VALUE"""),"BELUM GOLIVE")</f>
        <v>BELUM GOLIVE</v>
      </c>
      <c r="Y645" s="229"/>
      <c r="Z645" s="229" t="str">
        <f>IFERROR(__xludf.DUMMYFUNCTION("""COMPUTED_VALUE"""),"#N/A")</f>
        <v>#N/A</v>
      </c>
      <c r="AA645" s="229"/>
      <c r="AB645" s="229"/>
      <c r="AC645" s="229"/>
      <c r="AD645" s="232"/>
      <c r="AE645" s="233"/>
      <c r="AF645" s="54" t="str">
        <f>IFERROR(__xludf.DUMMYFUNCTION("""COMPUTED_VALUE"""),"Draft BA DROP")</f>
        <v>Draft BA DROP</v>
      </c>
      <c r="AG645" s="54"/>
      <c r="AH645" s="54">
        <v>46127.0</v>
      </c>
      <c r="AI645" s="237">
        <f>AH645-NOW()</f>
        <v>-13.3779899</v>
      </c>
      <c r="AJ645" s="229" t="str">
        <f t="shared" ref="AJ645:AJ646" si="77">if(AI645&gt;=0,"In Komitmen","Out Komitmen")</f>
        <v>Out Komitmen</v>
      </c>
      <c r="AK645" s="229" t="s">
        <v>199</v>
      </c>
      <c r="AW645" s="234"/>
      <c r="BP645" s="11"/>
      <c r="BQ645" s="11"/>
      <c r="BR645" s="235"/>
      <c r="BV645" s="158"/>
      <c r="BY645" s="158"/>
      <c r="CB645" s="158"/>
    </row>
    <row r="646" ht="18.0" customHeight="1">
      <c r="A646" s="222">
        <f>IFERROR(__xludf.DUMMYFUNCTION("""COMPUTED_VALUE"""),2026.0)</f>
        <v>2026</v>
      </c>
      <c r="B646" s="221">
        <f>IFERROR(__xludf.DUMMYFUNCTION("""COMPUTED_VALUE"""),1.1276722E7)</f>
        <v>11276722</v>
      </c>
      <c r="C646" s="222" t="str">
        <f>IFERROR(__xludf.DUMMYFUNCTION("""COMPUTED_VALUE"""),"RKP PT3 TSEL KAI-FV KAV. BUKIT MULIA")</f>
        <v>RKP PT3 TSEL KAI-FV KAV. BUKIT MULIA</v>
      </c>
      <c r="D646" s="222" t="str">
        <f>IFERROR(__xludf.DUMMYFUNCTION("""COMPUTED_VALUE"""),"REGIONAL I")</f>
        <v>REGIONAL I</v>
      </c>
      <c r="E646" s="222" t="str">
        <f>IFERROR(__xludf.DUMMYFUNCTION("""COMPUTED_VALUE"""),"RIKEP")</f>
        <v>RIKEP</v>
      </c>
      <c r="F646" s="222" t="str">
        <f>IFERROR(__xludf.DUMMYFUNCTION("""COMPUTED_VALUE"""),"KAI")</f>
        <v>KAI</v>
      </c>
      <c r="G646" s="222" t="str">
        <f>IFERROR(__xludf.DUMMYFUNCTION("""COMPUTED_VALUE"""),"SUMBAGTENG")</f>
        <v>SUMBAGTENG</v>
      </c>
      <c r="H646" s="222" t="str">
        <f>IFERROR(__xludf.DUMMYFUNCTION("""COMPUTED_VALUE"""),"BATAM")</f>
        <v>BATAM</v>
      </c>
      <c r="I646" s="222" t="str">
        <f>IFERROR(__xludf.DUMMYFUNCTION("""COMPUTED_VALUE"""),"Batch 2")</f>
        <v>Batch 2</v>
      </c>
      <c r="J646" s="225">
        <f>IFERROR(__xludf.DUMMYFUNCTION("""COMPUTED_VALUE"""),8.0)</f>
        <v>8</v>
      </c>
      <c r="K646" s="224">
        <f>IFERROR(__xludf.DUMMYFUNCTION("""COMPUTED_VALUE"""),64.0)</f>
        <v>64</v>
      </c>
      <c r="L646" s="226">
        <f>IFERROR(__xludf.DUMMYFUNCTION("""COMPUTED_VALUE"""),1164730.0)</f>
        <v>1164730</v>
      </c>
      <c r="M646" s="227">
        <f>IFERROR(__xludf.DUMMYFUNCTION("""COMPUTED_VALUE"""),7.4542693E7)</f>
        <v>74542693</v>
      </c>
      <c r="N646" s="222" t="str">
        <f>IFERROR(__xludf.DUMMYFUNCTION("""COMPUTED_VALUE"""),"PT MITRA AKSES INSANI")</f>
        <v>PT MITRA AKSES INSANI</v>
      </c>
      <c r="O646" s="222" t="str">
        <f>IFERROR(__xludf.DUMMYFUNCTION("""COMPUTED_VALUE"""),"0. DROP")</f>
        <v>0. DROP</v>
      </c>
      <c r="P646" s="222" t="str">
        <f>IFERROR(__xludf.DUMMYFUNCTION("""COMPUTED_VALUE"""),"0.2 Tidak Dapat Izin Warga/Kades/Lurah/Developer")</f>
        <v>0.2 Tidak Dapat Izin Warga/Kades/Lurah/Developer</v>
      </c>
      <c r="Q646" s="222" t="str">
        <f>IFERROR(__xludf.DUMMYFUNCTION("""COMPUTED_VALUE"""),"23/04 Dari total 4 RW, sudah 3 RW ACC, namun 1 RW ada (8 RT) meminta kompensasi 18 Juta rupiah, plan drop sudah confirm ke TIF dan TSEL. 
22/04 Plan pertemuan RW 20 malam ini.
20/04 selasa/rabu Pertemuan RT RW nya. 
17/04 Dari 3 RW ada 1 RW meminta berund"&amp;"ing dahulu dengan warga. 
06/04 Tim KU dari jawa sampai ke batam tanggal 03 april, plan progres, 10 april, plan GL 13 april. 30/03 Tim mitra masih di pulau tanjung batu dan belum bisa balik ke pulau batam. 03/03 izin OK tim KU masih di pulau tanjung batu."&amp;" 16/02 Plan FU perizinan besok 17 Feb.09/02 perizinan blm di FU mitra. 28/01 Anwijzing OK, proses perizinan RT HI. 22/01 Plan survey 24 Jan ")</f>
        <v>23/04 Dari total 4 RW, sudah 3 RW ACC, namun 1 RW ada (8 RT) meminta kompensasi 18 Juta rupiah, plan drop sudah confirm ke TIF dan TSEL. 
22/04 Plan pertemuan RW 20 malam ini.
20/04 selasa/rabu Pertemuan RT RW nya. 
17/04 Dari 3 RW ada 1 RW meminta berunding dahulu dengan warga. 
06/04 Tim KU dari jawa sampai ke batam tanggal 03 april, plan progres, 10 april, plan GL 13 april. 30/03 Tim mitra masih di pulau tanjung batu dan belum bisa balik ke pulau batam. 03/03 izin OK tim KU masih di pulau tanjung batu. 16/02 Plan FU perizinan besok 17 Feb.09/02 perizinan blm di FU mitra. 28/01 Anwijzing OK, proses perizinan RT HI. 22/01 Plan survey 24 Jan </v>
      </c>
      <c r="R646" s="228"/>
      <c r="S646" s="11"/>
      <c r="T646" s="73"/>
      <c r="U646" s="11" t="str">
        <f>IFERROR(__xludf.DUMMYFUNCTION("""COMPUTED_VALUE"""),"W09-282/2026 ")</f>
        <v>W09-282/2026 </v>
      </c>
      <c r="V646" s="229" t="str">
        <f>IFERROR(__xludf.DUMMYFUNCTION("""COMPUTED_VALUE"""),"GANI PRASTYO")</f>
        <v>GANI PRASTYO</v>
      </c>
      <c r="W646" s="229" t="str">
        <f>IFERROR(__xludf.DUMMYFUNCTION("""COMPUTED_VALUE"""),"LEVITA INDRIYANI")</f>
        <v>LEVITA INDRIYANI</v>
      </c>
      <c r="X646" s="229" t="str">
        <f>IFERROR(__xludf.DUMMYFUNCTION("""COMPUTED_VALUE"""),"BELUM GOLIVE")</f>
        <v>BELUM GOLIVE</v>
      </c>
      <c r="Y646" s="229"/>
      <c r="Z646" s="229" t="str">
        <f>IFERROR(__xludf.DUMMYFUNCTION("""COMPUTED_VALUE"""),"#N/A")</f>
        <v>#N/A</v>
      </c>
      <c r="AA646" s="229"/>
      <c r="AB646" s="229"/>
      <c r="AC646" s="229"/>
      <c r="AD646" s="232"/>
      <c r="AE646" s="233"/>
      <c r="AF646" s="54"/>
      <c r="AG646" s="54"/>
      <c r="AH646" s="54">
        <v>46127.0</v>
      </c>
      <c r="AI646" s="55">
        <f>AH646-TODAY()</f>
        <v>-13</v>
      </c>
      <c r="AJ646" s="229" t="str">
        <f t="shared" si="77"/>
        <v>Out Komitmen</v>
      </c>
      <c r="AK646" s="231" t="s">
        <v>199</v>
      </c>
      <c r="AW646" s="234"/>
      <c r="BP646" s="11"/>
      <c r="BQ646" s="11"/>
      <c r="BR646" s="235"/>
      <c r="BV646" s="158"/>
      <c r="BY646" s="158"/>
      <c r="CB646" s="158"/>
    </row>
    <row r="647" ht="18.0" customHeight="1">
      <c r="A647" s="222">
        <f>IFERROR(__xludf.DUMMYFUNCTION("""COMPUTED_VALUE"""),2026.0)</f>
        <v>2026</v>
      </c>
      <c r="B647" s="221">
        <f>IFERROR(__xludf.DUMMYFUNCTION("""COMPUTED_VALUE"""),1.2436759E7)</f>
        <v>12436759</v>
      </c>
      <c r="C647" s="222" t="str">
        <f>IFERROR(__xludf.DUMMYFUNCTION("""COMPUTED_VALUE"""),"RDR JPP PT3 JL M YAMIN DUMAI BARAT")</f>
        <v>RDR JPP PT3 JL M YAMIN DUMAI BARAT</v>
      </c>
      <c r="D647" s="222" t="str">
        <f>IFERROR(__xludf.DUMMYFUNCTION("""COMPUTED_VALUE"""),"REGIONAL I")</f>
        <v>REGIONAL I</v>
      </c>
      <c r="E647" s="222" t="str">
        <f>IFERROR(__xludf.DUMMYFUNCTION("""COMPUTED_VALUE"""),"RIDAR")</f>
        <v>RIDAR</v>
      </c>
      <c r="F647" s="222" t="str">
        <f>IFERROR(__xludf.DUMMYFUNCTION("""COMPUTED_VALUE"""),"DUM")</f>
        <v>DUM</v>
      </c>
      <c r="G647" s="222" t="str">
        <f>IFERROR(__xludf.DUMMYFUNCTION("""COMPUTED_VALUE"""),"SUMBAGTENG")</f>
        <v>SUMBAGTENG</v>
      </c>
      <c r="H647" s="222" t="str">
        <f>IFERROR(__xludf.DUMMYFUNCTION("""COMPUTED_VALUE"""),"DUMAI")</f>
        <v>DUMAI</v>
      </c>
      <c r="I647" s="222" t="str">
        <f>IFERROR(__xludf.DUMMYFUNCTION("""COMPUTED_VALUE"""),"Batch 2")</f>
        <v>Batch 2</v>
      </c>
      <c r="J647" s="225">
        <f>IFERROR(__xludf.DUMMYFUNCTION("""COMPUTED_VALUE"""),18.0)</f>
        <v>18</v>
      </c>
      <c r="K647" s="224">
        <f>IFERROR(__xludf.DUMMYFUNCTION("""COMPUTED_VALUE"""),144.0)</f>
        <v>144</v>
      </c>
      <c r="L647" s="226">
        <f>IFERROR(__xludf.DUMMYFUNCTION("""COMPUTED_VALUE"""),1164311.0)</f>
        <v>1164311</v>
      </c>
      <c r="M647" s="227">
        <f>IFERROR(__xludf.DUMMYFUNCTION("""COMPUTED_VALUE"""),1.67660768E8)</f>
        <v>167660768</v>
      </c>
      <c r="N647" s="222" t="str">
        <f>IFERROR(__xludf.DUMMYFUNCTION("""COMPUTED_VALUE"""),"PT TIGA AKSES MANDIRI")</f>
        <v>PT TIGA AKSES MANDIRI</v>
      </c>
      <c r="O647" s="222" t="str">
        <f>IFERROR(__xludf.DUMMYFUNCTION("""COMPUTED_VALUE"""),"2. DONE AANWIJZING")</f>
        <v>2. DONE AANWIJZING</v>
      </c>
      <c r="P647" s="222" t="str">
        <f>IFERROR(__xludf.DUMMYFUNCTION("""COMPUTED_VALUE"""),"2.10 Kendala - Feeder Rusak")</f>
        <v>2.10 Kendala - Feeder Rusak</v>
      </c>
      <c r="Q647" s="222" t="str">
        <f>IFERROR(__xludf.DUMMYFUNCTION("""COMPUTED_VALUE"""),"20/04 Pengambilan ulang hasil ukur OTDR 13/04 Survey ulang kebutuhan QE 08/04 Survey ulang kebutuhan qe 29/01  Feeder eksisting rusak (07/01) Persiapan")</f>
        <v>20/04 Pengambilan ulang hasil ukur OTDR 13/04 Survey ulang kebutuhan QE 08/04 Survey ulang kebutuhan qe 29/01  Feeder eksisting rusak (07/01) Persiapan</v>
      </c>
      <c r="R647" s="228"/>
      <c r="S647" s="11"/>
      <c r="T647" s="11"/>
      <c r="U647" s="11" t="str">
        <f>IFERROR(__xludf.DUMMYFUNCTION("""COMPUTED_VALUE"""),"W08-1992/2025")</f>
        <v>W08-1992/2025</v>
      </c>
      <c r="V647" s="229" t="str">
        <f>IFERROR(__xludf.DUMMYFUNCTION("""COMPUTED_VALUE"""),"ONDI EKA SAPUTRA")</f>
        <v>ONDI EKA SAPUTRA</v>
      </c>
      <c r="W647" s="229" t="str">
        <f>IFERROR(__xludf.DUMMYFUNCTION("""COMPUTED_VALUE"""),"DESLITA RAHMADANI")</f>
        <v>DESLITA RAHMADANI</v>
      </c>
      <c r="X647" s="229" t="str">
        <f>IFERROR(__xludf.DUMMYFUNCTION("""COMPUTED_VALUE"""),"BELUM GOLIVE")</f>
        <v>BELUM GOLIVE</v>
      </c>
      <c r="Y647" s="229"/>
      <c r="Z647" s="229" t="str">
        <f>IFERROR(__xludf.DUMMYFUNCTION("""COMPUTED_VALUE"""),"#N/A")</f>
        <v>#N/A</v>
      </c>
      <c r="AA647" s="229"/>
      <c r="AB647" s="229"/>
      <c r="AC647" s="229"/>
      <c r="AD647" s="232"/>
      <c r="AE647" s="233"/>
      <c r="AF647" s="54"/>
      <c r="AG647" s="54"/>
      <c r="AH647" s="54"/>
      <c r="AI647" s="55" t="str">
        <f t="shared" ref="AI647:AI648" si="78">IF(OR(R647="",AE647=""),"",R647-AE647)</f>
        <v/>
      </c>
      <c r="AW647" s="234"/>
      <c r="BP647" s="11"/>
      <c r="BQ647" s="11"/>
      <c r="BR647" s="235"/>
      <c r="BV647" s="158"/>
      <c r="BY647" s="158"/>
      <c r="CB647" s="158"/>
    </row>
    <row r="648" ht="18.0" hidden="1" customHeight="1">
      <c r="A648" s="222">
        <f>IFERROR(__xludf.DUMMYFUNCTION("""COMPUTED_VALUE"""),2026.0)</f>
        <v>2026</v>
      </c>
      <c r="B648" s="221">
        <f>IFERROR(__xludf.DUMMYFUNCTION("""COMPUTED_VALUE"""),1.1404644E7)</f>
        <v>11404644</v>
      </c>
      <c r="C648" s="222" t="str">
        <f>IFERROR(__xludf.DUMMYFUNCTION("""COMPUTED_VALUE"""),"LPG PT3 JPP GRAHA ASRI LEMPASING TJK")</f>
        <v>LPG PT3 JPP GRAHA ASRI LEMPASING TJK</v>
      </c>
      <c r="D648" s="222" t="str">
        <f>IFERROR(__xludf.DUMMYFUNCTION("""COMPUTED_VALUE"""),"REGIONAL I")</f>
        <v>REGIONAL I</v>
      </c>
      <c r="E648" s="222" t="str">
        <f>IFERROR(__xludf.DUMMYFUNCTION("""COMPUTED_VALUE"""),"LAMPUNG")</f>
        <v>LAMPUNG</v>
      </c>
      <c r="F648" s="222" t="str">
        <f>IFERROR(__xludf.DUMMYFUNCTION("""COMPUTED_VALUE"""),"TJK")</f>
        <v>TJK</v>
      </c>
      <c r="G648" s="222" t="str">
        <f>IFERROR(__xludf.DUMMYFUNCTION("""COMPUTED_VALUE"""),"SUMBAGSEL")</f>
        <v>SUMBAGSEL</v>
      </c>
      <c r="H648" s="222" t="str">
        <f>IFERROR(__xludf.DUMMYFUNCTION("""COMPUTED_VALUE"""),"LAMPUNG")</f>
        <v>LAMPUNG</v>
      </c>
      <c r="I648" s="222" t="str">
        <f>IFERROR(__xludf.DUMMYFUNCTION("""COMPUTED_VALUE"""),"Batch 2")</f>
        <v>Batch 2</v>
      </c>
      <c r="J648" s="225">
        <f>IFERROR(__xludf.DUMMYFUNCTION("""COMPUTED_VALUE"""),4.0)</f>
        <v>4</v>
      </c>
      <c r="K648" s="224">
        <f>IFERROR(__xludf.DUMMYFUNCTION("""COMPUTED_VALUE"""),32.0)</f>
        <v>32</v>
      </c>
      <c r="L648" s="226">
        <f>IFERROR(__xludf.DUMMYFUNCTION("""COMPUTED_VALUE"""),1164126.0)</f>
        <v>1164126</v>
      </c>
      <c r="M648" s="227">
        <f>IFERROR(__xludf.DUMMYFUNCTION("""COMPUTED_VALUE"""),3.7252011E7)</f>
        <v>37252011</v>
      </c>
      <c r="N648" s="222" t="str">
        <f>IFERROR(__xludf.DUMMYFUNCTION("""COMPUTED_VALUE"""),"SWAKELOLA")</f>
        <v>SWAKELOLA</v>
      </c>
      <c r="O648" s="222" t="str">
        <f>IFERROR(__xludf.DUMMYFUNCTION("""COMPUTED_VALUE"""),"0. DROP")</f>
        <v>0. DROP</v>
      </c>
      <c r="P648" s="222" t="str">
        <f>IFERROR(__xludf.DUMMYFUNCTION("""COMPUTED_VALUE"""),"0.2 Tidak Dapat Izin Warga/Kades/Lurah/Developer")</f>
        <v>0.2 Tidak Dapat Izin Warga/Kades/Lurah/Developer</v>
      </c>
      <c r="Q648" s="222" t="str">
        <f>IFERROR(__xludf.DUMMYFUNCTION("""COMPUTED_VALUE"""),"4/2 tidak dapat izin dari lurah")</f>
        <v>4/2 tidak dapat izin dari lurah</v>
      </c>
      <c r="R648" s="228"/>
      <c r="S648" s="11"/>
      <c r="T648" s="11"/>
      <c r="U648" s="11" t="str">
        <f>IFERROR(__xludf.DUMMYFUNCTION("""COMPUTED_VALUE"""),"W02-471/2025")</f>
        <v>W02-471/2025</v>
      </c>
      <c r="V648" s="229"/>
      <c r="W648" s="229"/>
      <c r="X648" s="229" t="str">
        <f>IFERROR(__xludf.DUMMYFUNCTION("""COMPUTED_VALUE"""),"BELUM GOLIVE")</f>
        <v>BELUM GOLIVE</v>
      </c>
      <c r="Y648" s="229"/>
      <c r="Z648" s="229" t="str">
        <f>IFERROR(__xludf.DUMMYFUNCTION("""COMPUTED_VALUE"""),"#N/A")</f>
        <v>#N/A</v>
      </c>
      <c r="AA648" s="229"/>
      <c r="AB648" s="229"/>
      <c r="AC648" s="229"/>
      <c r="AD648" s="232"/>
      <c r="AE648" s="233"/>
      <c r="AF648" s="54" t="str">
        <f>IFERROR(__xludf.DUMMYFUNCTION("""COMPUTED_VALUE"""),"Draft BA DROP")</f>
        <v>Draft BA DROP</v>
      </c>
      <c r="AG648" s="54"/>
      <c r="AH648" s="54"/>
      <c r="AI648" s="55" t="str">
        <f t="shared" si="78"/>
        <v/>
      </c>
      <c r="AW648" s="234"/>
      <c r="BP648" s="11"/>
      <c r="BQ648" s="11"/>
      <c r="BR648" s="235"/>
      <c r="BV648" s="158"/>
      <c r="BY648" s="158"/>
      <c r="CB648" s="158"/>
    </row>
    <row r="649" ht="18.0" hidden="1" customHeight="1">
      <c r="A649" s="222">
        <f>IFERROR(__xludf.DUMMYFUNCTION("""COMPUTED_VALUE"""),2026.0)</f>
        <v>2026</v>
      </c>
      <c r="B649" s="221">
        <f>IFERROR(__xludf.DUMMYFUNCTION("""COMPUTED_VALUE"""),1.2384339E7)</f>
        <v>12384339</v>
      </c>
      <c r="C649" s="222" t="str">
        <f>IFERROR(__xludf.DUMMYFUNCTION("""COMPUTED_VALUE"""),"JBI-PT3 BRANCHINGL-MAB-FX-ID565209")</f>
        <v>JBI-PT3 BRANCHINGL-MAB-FX-ID565209</v>
      </c>
      <c r="D649" s="222" t="str">
        <f>IFERROR(__xludf.DUMMYFUNCTION("""COMPUTED_VALUE"""),"REGIONAL I")</f>
        <v>REGIONAL I</v>
      </c>
      <c r="E649" s="222" t="str">
        <f>IFERROR(__xludf.DUMMYFUNCTION("""COMPUTED_VALUE"""),"JAMBI")</f>
        <v>JAMBI</v>
      </c>
      <c r="F649" s="222" t="str">
        <f>IFERROR(__xludf.DUMMYFUNCTION("""COMPUTED_VALUE"""),"MAB")</f>
        <v>MAB</v>
      </c>
      <c r="G649" s="222" t="str">
        <f>IFERROR(__xludf.DUMMYFUNCTION("""COMPUTED_VALUE"""),"SUMBAGSEL")</f>
        <v>SUMBAGSEL</v>
      </c>
      <c r="H649" s="222" t="str">
        <f>IFERROR(__xludf.DUMMYFUNCTION("""COMPUTED_VALUE"""),"JAMBI")</f>
        <v>JAMBI</v>
      </c>
      <c r="I649" s="222" t="str">
        <f>IFERROR(__xludf.DUMMYFUNCTION("""COMPUTED_VALUE"""),"Batch 2")</f>
        <v>Batch 2</v>
      </c>
      <c r="J649" s="225">
        <f>IFERROR(__xludf.DUMMYFUNCTION("""COMPUTED_VALUE"""),1.0)</f>
        <v>1</v>
      </c>
      <c r="K649" s="224">
        <f>IFERROR(__xludf.DUMMYFUNCTION("""COMPUTED_VALUE"""),8.0)</f>
        <v>8</v>
      </c>
      <c r="L649" s="226">
        <f>IFERROR(__xludf.DUMMYFUNCTION("""COMPUTED_VALUE"""),1164015.0)</f>
        <v>1164015</v>
      </c>
      <c r="M649" s="227">
        <f>IFERROR(__xludf.DUMMYFUNCTION("""COMPUTED_VALUE"""),9312113.0)</f>
        <v>9312113</v>
      </c>
      <c r="N649" s="222" t="str">
        <f>IFERROR(__xludf.DUMMYFUNCTION("""COMPUTED_VALUE"""),"PT HAN SUNG INDONESIA")</f>
        <v>PT HAN SUNG INDONESIA</v>
      </c>
      <c r="O649" s="222" t="str">
        <f>IFERROR(__xludf.DUMMYFUNCTION("""COMPUTED_VALUE"""),"0. DROP")</f>
        <v>0. DROP</v>
      </c>
      <c r="P649" s="222" t="str">
        <f>IFERROR(__xludf.DUMMYFUNCTION("""COMPUTED_VALUE"""),"0.5 DROP TSEL - Acc ED TIF")</f>
        <v>0.5 DROP TSEL - Acc ED TIF</v>
      </c>
      <c r="Q649" s="222" t="str">
        <f>IFERROR(__xludf.DUMMYFUNCTION("""COMPUTED_VALUE"""),"(12/1) BA Drop Sirkulir - Permintaan Tsel Market tidak OK  (06/01)order JPP batch-2 2026 (17/11 drop permintaan Tsel 10/11 mapping mitra")</f>
        <v>(12/1) BA Drop Sirkulir - Permintaan Tsel Market tidak OK  (06/01)order JPP batch-2 2026 (17/11 drop permintaan Tsel 10/11 mapping mitra</v>
      </c>
      <c r="R649" s="228"/>
      <c r="S649" s="11"/>
      <c r="T649" s="11"/>
      <c r="U649" s="11"/>
      <c r="V649" s="229"/>
      <c r="W649" s="229"/>
      <c r="X649" s="229" t="str">
        <f>IFERROR(__xludf.DUMMYFUNCTION("""COMPUTED_VALUE"""),"BELUM GOLIVE")</f>
        <v>BELUM GOLIVE</v>
      </c>
      <c r="Y649" s="229"/>
      <c r="Z649" s="229" t="str">
        <f>IFERROR(__xludf.DUMMYFUNCTION("""COMPUTED_VALUE"""),"#N/A")</f>
        <v>#N/A</v>
      </c>
      <c r="AA649" s="229"/>
      <c r="AB649" s="229"/>
      <c r="AC649" s="229"/>
      <c r="AD649" s="232"/>
      <c r="AE649" s="233"/>
      <c r="AF649" s="54"/>
      <c r="AG649" s="54"/>
      <c r="AH649" s="54">
        <v>46120.0</v>
      </c>
      <c r="AI649" s="237">
        <f>AH649-NOW()</f>
        <v>-20.3779899</v>
      </c>
      <c r="AJ649" s="229" t="str">
        <f>if(AI649&gt;=0,"in Komitmen","Out komitmen")</f>
        <v>Out komitmen</v>
      </c>
      <c r="AK649" s="229" t="s">
        <v>199</v>
      </c>
      <c r="AW649" s="234"/>
      <c r="BP649" s="11"/>
      <c r="BQ649" s="11"/>
      <c r="BR649" s="235"/>
      <c r="BV649" s="158"/>
      <c r="BY649" s="158"/>
      <c r="CB649" s="158"/>
    </row>
    <row r="650" ht="18.0" customHeight="1">
      <c r="A650" s="222">
        <f>IFERROR(__xludf.DUMMYFUNCTION("""COMPUTED_VALUE"""),2026.0)</f>
        <v>2026</v>
      </c>
      <c r="B650" s="221">
        <f>IFERROR(__xludf.DUMMYFUNCTION("""COMPUTED_VALUE"""),1.2204982E7)</f>
        <v>12204982</v>
      </c>
      <c r="C650" s="222" t="str">
        <f>IFERROR(__xludf.DUMMYFUNCTION("""COMPUTED_VALUE"""),"RDR JPP PT3 SIAK_134261")</f>
        <v>RDR JPP PT3 SIAK_134261</v>
      </c>
      <c r="D650" s="222" t="str">
        <f>IFERROR(__xludf.DUMMYFUNCTION("""COMPUTED_VALUE"""),"REGIONAL I")</f>
        <v>REGIONAL I</v>
      </c>
      <c r="E650" s="222" t="str">
        <f>IFERROR(__xludf.DUMMYFUNCTION("""COMPUTED_VALUE"""),"RIDAR")</f>
        <v>RIDAR</v>
      </c>
      <c r="F650" s="222" t="str">
        <f>IFERROR(__xludf.DUMMYFUNCTION("""COMPUTED_VALUE"""),"SAK")</f>
        <v>SAK</v>
      </c>
      <c r="G650" s="222" t="str">
        <f>IFERROR(__xludf.DUMMYFUNCTION("""COMPUTED_VALUE"""),"SUMBAGTENG")</f>
        <v>SUMBAGTENG</v>
      </c>
      <c r="H650" s="222" t="str">
        <f>IFERROR(__xludf.DUMMYFUNCTION("""COMPUTED_VALUE"""),"PEKANBARU")</f>
        <v>PEKANBARU</v>
      </c>
      <c r="I650" s="222" t="str">
        <f>IFERROR(__xludf.DUMMYFUNCTION("""COMPUTED_VALUE"""),"Batch 2")</f>
        <v>Batch 2</v>
      </c>
      <c r="J650" s="225">
        <f>IFERROR(__xludf.DUMMYFUNCTION("""COMPUTED_VALUE"""),10.0)</f>
        <v>10</v>
      </c>
      <c r="K650" s="224">
        <f>IFERROR(__xludf.DUMMYFUNCTION("""COMPUTED_VALUE"""),80.0)</f>
        <v>80</v>
      </c>
      <c r="L650" s="226">
        <f>IFERROR(__xludf.DUMMYFUNCTION("""COMPUTED_VALUE"""),1178137.0)</f>
        <v>1178137</v>
      </c>
      <c r="M650" s="227">
        <f>IFERROR(__xludf.DUMMYFUNCTION("""COMPUTED_VALUE"""),9.4250899E7)</f>
        <v>94250899</v>
      </c>
      <c r="N650" s="222" t="str">
        <f>IFERROR(__xludf.DUMMYFUNCTION("""COMPUTED_VALUE"""),"PT UPAYA TEKNIK")</f>
        <v>PT UPAYA TEKNIK</v>
      </c>
      <c r="O650" s="222" t="str">
        <f>IFERROR(__xludf.DUMMYFUNCTION("""COMPUTED_VALUE"""),"7. GOLIVE")</f>
        <v>7. GOLIVE</v>
      </c>
      <c r="P650" s="222" t="str">
        <f>IFERROR(__xludf.DUMMYFUNCTION("""COMPUTED_VALUE"""),"7.1 Golive Parsial")</f>
        <v>7.1 Golive Parsial</v>
      </c>
      <c r="Q650" s="222" t="str">
        <f>IFERROR(__xludf.DUMMYFUNCTION("""COMPUTED_VALUE"""),"06/04 Proses Valins 27/03 Pemasangan dan terminasi ODP 16/03 Pemasangan ODP 05/03 Penanaman tiang dan penarikan kabel 23/02 Penanaman tiang 09/02 Antrian Review 29/01 Antrian Review hasil anwidzing (07/01) Persiapan")</f>
        <v>06/04 Proses Valins 27/03 Pemasangan dan terminasi ODP 16/03 Pemasangan ODP 05/03 Penanaman tiang dan penarikan kabel 23/02 Penanaman tiang 09/02 Antrian Review 29/01 Antrian Review hasil anwidzing (07/01) Persiapan</v>
      </c>
      <c r="R650" s="228">
        <f>IFERROR(__xludf.DUMMYFUNCTION("""COMPUTED_VALUE"""),46120.0)</f>
        <v>46120</v>
      </c>
      <c r="S650" s="11" t="str">
        <f>IFERROR(__xludf.DUMMYFUNCTION("""COMPUTED_VALUE"""),"MAR")</f>
        <v>MAR</v>
      </c>
      <c r="T650" s="73"/>
      <c r="U650" s="11" t="str">
        <f>IFERROR(__xludf.DUMMYFUNCTION("""COMPUTED_VALUE"""),"W08-1756/2025")</f>
        <v>W08-1756/2025</v>
      </c>
      <c r="V650" s="229" t="str">
        <f>IFERROR(__xludf.DUMMYFUNCTION("""COMPUTED_VALUE"""),"GUSKAR DIYONAL")</f>
        <v>GUSKAR DIYONAL</v>
      </c>
      <c r="W650" s="229" t="str">
        <f>IFERROR(__xludf.DUMMYFUNCTION("""COMPUTED_VALUE"""),"ANZALA SAKINAH")</f>
        <v>ANZALA SAKINAH</v>
      </c>
      <c r="X650" s="229" t="str">
        <f>IFERROR(__xludf.DUMMYFUNCTION("""COMPUTED_VALUE"""),"GOLIVE")</f>
        <v>GOLIVE</v>
      </c>
      <c r="Y650" s="229" t="str">
        <f>IFERROR(__xludf.DUMMYFUNCTION("""COMPUTED_VALUE"""),"DONE")</f>
        <v>DONE</v>
      </c>
      <c r="Z650" s="229" t="str">
        <f>IFERROR(__xludf.DUMMYFUNCTION("""COMPUTED_VALUE"""),"#N/A")</f>
        <v>#N/A</v>
      </c>
      <c r="AA650" s="229">
        <f>IFERROR(__xludf.DUMMYFUNCTION("""COMPUTED_VALUE"""),8.0)</f>
        <v>8</v>
      </c>
      <c r="AB650" s="229"/>
      <c r="AC650" s="229" t="str">
        <f>IFERROR(__xludf.DUMMYFUNCTION("""COMPUTED_VALUE"""),"9248927#9248932")</f>
        <v>9248927#9248932</v>
      </c>
      <c r="AD650" s="232">
        <f>IFERROR(__xludf.DUMMYFUNCTION("""COMPUTED_VALUE"""),64.0)</f>
        <v>64</v>
      </c>
      <c r="AE650" s="233">
        <f>IFERROR(__xludf.DUMMYFUNCTION("""COMPUTED_VALUE"""),46120.0)</f>
        <v>46120</v>
      </c>
      <c r="AF650" s="54"/>
      <c r="AG650" s="54"/>
      <c r="AH650" s="54">
        <v>46120.0</v>
      </c>
      <c r="AI650" s="55">
        <f>IF(OR(AH650="",AE650=""),"",AH650-AE650)</f>
        <v>0</v>
      </c>
      <c r="AJ650" s="229" t="str">
        <f>if(AI650&gt;=0,"Gl in Komitmen","Gl out komitmen")</f>
        <v>Gl in Komitmen</v>
      </c>
      <c r="AK650" s="231" t="s">
        <v>199</v>
      </c>
      <c r="AW650" s="234"/>
      <c r="BP650" s="11"/>
      <c r="BQ650" s="11"/>
      <c r="BR650" s="235"/>
      <c r="BV650" s="158"/>
      <c r="BY650" s="158"/>
      <c r="CB650" s="158"/>
    </row>
    <row r="651" ht="18.0" customHeight="1">
      <c r="A651" s="222">
        <f>IFERROR(__xludf.DUMMYFUNCTION("""COMPUTED_VALUE"""),2026.0)</f>
        <v>2026</v>
      </c>
      <c r="B651" s="221">
        <f>IFERROR(__xludf.DUMMYFUNCTION("""COMPUTED_VALUE"""),1.1201202E7)</f>
        <v>11201202</v>
      </c>
      <c r="C651" s="222" t="str">
        <f>IFERROR(__xludf.DUMMYFUNCTION("""COMPUTED_VALUE"""),"RKP PT3 TSEL LBJ-FBF BENGKONG KOLAM MAS")</f>
        <v>RKP PT3 TSEL LBJ-FBF BENGKONG KOLAM MAS</v>
      </c>
      <c r="D651" s="222" t="str">
        <f>IFERROR(__xludf.DUMMYFUNCTION("""COMPUTED_VALUE"""),"REGIONAL I")</f>
        <v>REGIONAL I</v>
      </c>
      <c r="E651" s="222" t="str">
        <f>IFERROR(__xludf.DUMMYFUNCTION("""COMPUTED_VALUE"""),"RIKEP")</f>
        <v>RIKEP</v>
      </c>
      <c r="F651" s="222" t="str">
        <f>IFERROR(__xludf.DUMMYFUNCTION("""COMPUTED_VALUE"""),"LBJ")</f>
        <v>LBJ</v>
      </c>
      <c r="G651" s="222" t="str">
        <f>IFERROR(__xludf.DUMMYFUNCTION("""COMPUTED_VALUE"""),"SUMBAGTENG")</f>
        <v>SUMBAGTENG</v>
      </c>
      <c r="H651" s="222" t="str">
        <f>IFERROR(__xludf.DUMMYFUNCTION("""COMPUTED_VALUE"""),"BATAM")</f>
        <v>BATAM</v>
      </c>
      <c r="I651" s="222" t="str">
        <f>IFERROR(__xludf.DUMMYFUNCTION("""COMPUTED_VALUE"""),"Batch 2")</f>
        <v>Batch 2</v>
      </c>
      <c r="J651" s="225">
        <f>IFERROR(__xludf.DUMMYFUNCTION("""COMPUTED_VALUE"""),2.0)</f>
        <v>2</v>
      </c>
      <c r="K651" s="224">
        <f>IFERROR(__xludf.DUMMYFUNCTION("""COMPUTED_VALUE"""),16.0)</f>
        <v>16</v>
      </c>
      <c r="L651" s="226">
        <f>IFERROR(__xludf.DUMMYFUNCTION("""COMPUTED_VALUE"""),1163875.0)</f>
        <v>1163875</v>
      </c>
      <c r="M651" s="227">
        <f>IFERROR(__xludf.DUMMYFUNCTION("""COMPUTED_VALUE"""),1.8621997E7)</f>
        <v>18621997</v>
      </c>
      <c r="N651" s="222" t="str">
        <f>IFERROR(__xludf.DUMMYFUNCTION("""COMPUTED_VALUE"""),"PT HDUA PUTRA PRAJODA")</f>
        <v>PT HDUA PUTRA PRAJODA</v>
      </c>
      <c r="O651" s="222" t="str">
        <f>IFERROR(__xludf.DUMMYFUNCTION("""COMPUTED_VALUE"""),"0. DROP")</f>
        <v>0. DROP</v>
      </c>
      <c r="P651" s="222" t="str">
        <f>IFERROR(__xludf.DUMMYFUNCTION("""COMPUTED_VALUE"""),"0.2 Tidak Dapat Izin Warga/Kades/Lurah/Developer")</f>
        <v>0.2 Tidak Dapat Izin Warga/Kades/Lurah/Developer</v>
      </c>
      <c r="Q651" s="222" t="str">
        <f>IFERROR(__xludf.DUMMYFUNCTION("""COMPUTED_VALUE"""),"04/03 RW meminta kompensasi 6 juta rupiah, dan wifi gratis seumur hidup di fasum.  
16/02 Dari 5 RT, sudah acc 3 RT, sisa 2 RT lagi. 16/02 Dari 05 RT, 2 RT sudah acc, 3 lagi blm ada feedback. 13/02 Anwijzing OK, izin belum di beri kepastian. 11/02 Peralih"&amp;"an mitra. 28/01 Plan survey 29 Jan. 28/01 Mitra tripola belum ada PIC untuk anwijzing. 23/01 Plan anwijzing 26 Jan, pic mitra ada pertanggal 25 jan. 21/01 proses penunjukan mitra ")</f>
        <v>04/03 RW meminta kompensasi 6 juta rupiah, dan wifi gratis seumur hidup di fasum.  
16/02 Dari 5 RT, sudah acc 3 RT, sisa 2 RT lagi. 16/02 Dari 05 RT, 2 RT sudah acc, 3 lagi blm ada feedback. 13/02 Anwijzing OK, izin belum di beri kepastian. 11/02 Peralihan mitra. 28/01 Plan survey 29 Jan. 28/01 Mitra tripola belum ada PIC untuk anwijzing. 23/01 Plan anwijzing 26 Jan, pic mitra ada pertanggal 25 jan. 21/01 proses penunjukan mitra </v>
      </c>
      <c r="R651" s="228"/>
      <c r="S651" s="11"/>
      <c r="T651" s="11"/>
      <c r="U651" s="11"/>
      <c r="V651" s="229" t="str">
        <f>IFERROR(__xludf.DUMMYFUNCTION("""COMPUTED_VALUE"""),"RONALDO LEO INFANTRI")</f>
        <v>RONALDO LEO INFANTRI</v>
      </c>
      <c r="W651" s="229" t="str">
        <f>IFERROR(__xludf.DUMMYFUNCTION("""COMPUTED_VALUE"""),"LEVITA INDRIYANI")</f>
        <v>LEVITA INDRIYANI</v>
      </c>
      <c r="X651" s="229" t="str">
        <f>IFERROR(__xludf.DUMMYFUNCTION("""COMPUTED_VALUE"""),"BELUM GOLIVE")</f>
        <v>BELUM GOLIVE</v>
      </c>
      <c r="Y651" s="229"/>
      <c r="Z651" s="229" t="str">
        <f>IFERROR(__xludf.DUMMYFUNCTION("""COMPUTED_VALUE"""),"#N/A")</f>
        <v>#N/A</v>
      </c>
      <c r="AA651" s="229"/>
      <c r="AB651" s="229"/>
      <c r="AC651" s="229"/>
      <c r="AD651" s="232"/>
      <c r="AE651" s="233"/>
      <c r="AF651" s="54"/>
      <c r="AG651" s="54"/>
      <c r="AH651" s="54"/>
      <c r="AI651" s="55" t="str">
        <f t="shared" ref="AI651:AI660" si="79">IF(OR(R651="",AE651=""),"",R651-AE651)</f>
        <v/>
      </c>
      <c r="AW651" s="234"/>
      <c r="BP651" s="11"/>
      <c r="BQ651" s="11"/>
      <c r="BR651" s="235"/>
      <c r="BV651" s="158"/>
      <c r="BY651" s="158"/>
      <c r="CB651" s="158"/>
    </row>
    <row r="652" ht="18.0" hidden="1" customHeight="1">
      <c r="A652" s="222">
        <f>IFERROR(__xludf.DUMMYFUNCTION("""COMPUTED_VALUE"""),2026.0)</f>
        <v>2026</v>
      </c>
      <c r="B652" s="221">
        <f>IFERROR(__xludf.DUMMYFUNCTION("""COMPUTED_VALUE"""),1.2367366E7)</f>
        <v>12367366</v>
      </c>
      <c r="C652" s="222" t="str">
        <f>IFERROR(__xludf.DUMMYFUNCTION("""COMPUTED_VALUE"""),"MDN PT3 BJI-FNC DELI SERDANG_18255")</f>
        <v>MDN PT3 BJI-FNC DELI SERDANG_18255</v>
      </c>
      <c r="D652" s="222" t="str">
        <f>IFERROR(__xludf.DUMMYFUNCTION("""COMPUTED_VALUE"""),"REGIONAL I")</f>
        <v>REGIONAL I</v>
      </c>
      <c r="E652" s="222" t="str">
        <f>IFERROR(__xludf.DUMMYFUNCTION("""COMPUTED_VALUE"""),"MEDAN")</f>
        <v>MEDAN</v>
      </c>
      <c r="F652" s="222" t="str">
        <f>IFERROR(__xludf.DUMMYFUNCTION("""COMPUTED_VALUE"""),"BJI")</f>
        <v>BJI</v>
      </c>
      <c r="G652" s="222" t="str">
        <f>IFERROR(__xludf.DUMMYFUNCTION("""COMPUTED_VALUE"""),"SUMBAGUT")</f>
        <v>SUMBAGUT</v>
      </c>
      <c r="H652" s="222" t="str">
        <f>IFERROR(__xludf.DUMMYFUNCTION("""COMPUTED_VALUE"""),"BINJAI")</f>
        <v>BINJAI</v>
      </c>
      <c r="I652" s="222" t="str">
        <f>IFERROR(__xludf.DUMMYFUNCTION("""COMPUTED_VALUE"""),"Batch 2")</f>
        <v>Batch 2</v>
      </c>
      <c r="J652" s="225">
        <f>IFERROR(__xludf.DUMMYFUNCTION("""COMPUTED_VALUE"""),5.0)</f>
        <v>5</v>
      </c>
      <c r="K652" s="224">
        <f>IFERROR(__xludf.DUMMYFUNCTION("""COMPUTED_VALUE"""),40.0)</f>
        <v>40</v>
      </c>
      <c r="L652" s="226">
        <f>IFERROR(__xludf.DUMMYFUNCTION("""COMPUTED_VALUE"""),1163309.0)</f>
        <v>1163309</v>
      </c>
      <c r="M652" s="227">
        <f>IFERROR(__xludf.DUMMYFUNCTION("""COMPUTED_VALUE"""),4.6532327E7)</f>
        <v>46532327</v>
      </c>
      <c r="N652" s="222" t="str">
        <f>IFERROR(__xludf.DUMMYFUNCTION("""COMPUTED_VALUE"""),"PT FIBERHOME TECHNOLOGIES INDONESIA")</f>
        <v>PT FIBERHOME TECHNOLOGIES INDONESIA</v>
      </c>
      <c r="O652" s="222" t="str">
        <f>IFERROR(__xludf.DUMMYFUNCTION("""COMPUTED_VALUE"""),"0. DROP")</f>
        <v>0. DROP</v>
      </c>
      <c r="P652" s="222" t="str">
        <f>IFERROR(__xludf.DUMMYFUNCTION("""COMPUTED_VALUE"""),"0.4 CPP Tinggi Acc ED TIF")</f>
        <v>0.4 CPP Tinggi Acc ED TIF</v>
      </c>
      <c r="Q652" s="222" t="str">
        <f>IFERROR(__xludf.DUMMYFUNCTION("""COMPUTED_VALUE"""),"(07/01) Persiapan")</f>
        <v>(07/01) Persiapan</v>
      </c>
      <c r="R652" s="228"/>
      <c r="S652" s="11"/>
      <c r="T652" s="11"/>
      <c r="U652" s="11"/>
      <c r="V652" s="229"/>
      <c r="W652" s="229"/>
      <c r="X652" s="229" t="str">
        <f>IFERROR(__xludf.DUMMYFUNCTION("""COMPUTED_VALUE"""),"BELUM GOLIVE")</f>
        <v>BELUM GOLIVE</v>
      </c>
      <c r="Y652" s="229"/>
      <c r="Z652" s="229" t="str">
        <f>IFERROR(__xludf.DUMMYFUNCTION("""COMPUTED_VALUE"""),"#N/A")</f>
        <v>#N/A</v>
      </c>
      <c r="AA652" s="229"/>
      <c r="AB652" s="229"/>
      <c r="AC652" s="229"/>
      <c r="AD652" s="232"/>
      <c r="AE652" s="233"/>
      <c r="AF652" s="54" t="str">
        <f>IFERROR(__xludf.DUMMYFUNCTION("""COMPUTED_VALUE"""),"Draft BA DROP")</f>
        <v>Draft BA DROP</v>
      </c>
      <c r="AG652" s="54"/>
      <c r="AH652" s="54"/>
      <c r="AI652" s="55" t="str">
        <f t="shared" si="79"/>
        <v/>
      </c>
      <c r="AW652" s="234"/>
      <c r="BP652" s="11"/>
      <c r="BQ652" s="11"/>
      <c r="BR652" s="235"/>
      <c r="BV652" s="158"/>
      <c r="BY652" s="158"/>
      <c r="CB652" s="158"/>
    </row>
    <row r="653" ht="18.0" customHeight="1">
      <c r="A653" s="222">
        <f>IFERROR(__xludf.DUMMYFUNCTION("""COMPUTED_VALUE"""),2026.0)</f>
        <v>2026</v>
      </c>
      <c r="B653" s="221">
        <f>IFERROR(__xludf.DUMMYFUNCTION("""COMPUTED_VALUE"""),1.1242097E7)</f>
        <v>11242097</v>
      </c>
      <c r="C653" s="222" t="str">
        <f>IFERROR(__xludf.DUMMYFUNCTION("""COMPUTED_VALUE"""),"RKP PT3 TSEL BTC-FEJ GESYA RESIDENCE")</f>
        <v>RKP PT3 TSEL BTC-FEJ GESYA RESIDENCE</v>
      </c>
      <c r="D653" s="222" t="str">
        <f>IFERROR(__xludf.DUMMYFUNCTION("""COMPUTED_VALUE"""),"REGIONAL I")</f>
        <v>REGIONAL I</v>
      </c>
      <c r="E653" s="222" t="str">
        <f>IFERROR(__xludf.DUMMYFUNCTION("""COMPUTED_VALUE"""),"RIKEP")</f>
        <v>RIKEP</v>
      </c>
      <c r="F653" s="222" t="str">
        <f>IFERROR(__xludf.DUMMYFUNCTION("""COMPUTED_VALUE"""),"BTC")</f>
        <v>BTC</v>
      </c>
      <c r="G653" s="222" t="str">
        <f>IFERROR(__xludf.DUMMYFUNCTION("""COMPUTED_VALUE"""),"SUMBAGTENG")</f>
        <v>SUMBAGTENG</v>
      </c>
      <c r="H653" s="222" t="str">
        <f>IFERROR(__xludf.DUMMYFUNCTION("""COMPUTED_VALUE"""),"BATAM")</f>
        <v>BATAM</v>
      </c>
      <c r="I653" s="222" t="str">
        <f>IFERROR(__xludf.DUMMYFUNCTION("""COMPUTED_VALUE"""),"Batch 2")</f>
        <v>Batch 2</v>
      </c>
      <c r="J653" s="225">
        <f>IFERROR(__xludf.DUMMYFUNCTION("""COMPUTED_VALUE"""),6.0)</f>
        <v>6</v>
      </c>
      <c r="K653" s="224">
        <f>IFERROR(__xludf.DUMMYFUNCTION("""COMPUTED_VALUE"""),48.0)</f>
        <v>48</v>
      </c>
      <c r="L653" s="226">
        <f>IFERROR(__xludf.DUMMYFUNCTION("""COMPUTED_VALUE"""),1163177.0)</f>
        <v>1163177</v>
      </c>
      <c r="M653" s="227">
        <f>IFERROR(__xludf.DUMMYFUNCTION("""COMPUTED_VALUE"""),5.5832482E7)</f>
        <v>55832482</v>
      </c>
      <c r="N653" s="222" t="str">
        <f>IFERROR(__xludf.DUMMYFUNCTION("""COMPUTED_VALUE"""),"PT ALTONG JAYA ABADI")</f>
        <v>PT ALTONG JAYA ABADI</v>
      </c>
      <c r="O653" s="222" t="str">
        <f>IFERROR(__xludf.DUMMYFUNCTION("""COMPUTED_VALUE"""),"0. DROP")</f>
        <v>0. DROP</v>
      </c>
      <c r="P653" s="222" t="str">
        <f>IFERROR(__xludf.DUMMYFUNCTION("""COMPUTED_VALUE"""),"0.2 Tidak Dapat Izin Warga/Kades/Lurah/Developer")</f>
        <v>0.2 Tidak Dapat Izin Warga/Kades/Lurah/Developer</v>
      </c>
      <c r="Q653" s="222" t="str">
        <f>IFERROR(__xludf.DUMMYFUNCTION("""COMPUTED_VALUE"""),"28/01 Tidak di izinkan developer karena sudah ada provider first media di lokasi. 26/01  Mitra PT Altong menolak order alasan MP, peralihan mitra. 21/01 plan fu perizinan tanggal 26 Jan")</f>
        <v>28/01 Tidak di izinkan developer karena sudah ada provider first media di lokasi. 26/01  Mitra PT Altong menolak order alasan MP, peralihan mitra. 21/01 plan fu perizinan tanggal 26 Jan</v>
      </c>
      <c r="R653" s="228"/>
      <c r="S653" s="11"/>
      <c r="T653" s="11"/>
      <c r="U653" s="11"/>
      <c r="V653" s="229" t="str">
        <f>IFERROR(__xludf.DUMMYFUNCTION("""COMPUTED_VALUE"""),"GANI PRASTYO")</f>
        <v>GANI PRASTYO</v>
      </c>
      <c r="W653" s="229" t="str">
        <f>IFERROR(__xludf.DUMMYFUNCTION("""COMPUTED_VALUE"""),"LEVITA INDRIYANI")</f>
        <v>LEVITA INDRIYANI</v>
      </c>
      <c r="X653" s="229" t="str">
        <f>IFERROR(__xludf.DUMMYFUNCTION("""COMPUTED_VALUE"""),"BELUM GOLIVE")</f>
        <v>BELUM GOLIVE</v>
      </c>
      <c r="Y653" s="229"/>
      <c r="Z653" s="229" t="str">
        <f>IFERROR(__xludf.DUMMYFUNCTION("""COMPUTED_VALUE"""),"#N/A")</f>
        <v>#N/A</v>
      </c>
      <c r="AA653" s="229"/>
      <c r="AB653" s="229"/>
      <c r="AC653" s="229"/>
      <c r="AD653" s="232"/>
      <c r="AE653" s="233"/>
      <c r="AF653" s="54" t="str">
        <f>IFERROR(__xludf.DUMMYFUNCTION("""COMPUTED_VALUE"""),"Draft BA DROP")</f>
        <v>Draft BA DROP</v>
      </c>
      <c r="AG653" s="54"/>
      <c r="AH653" s="54"/>
      <c r="AI653" s="55" t="str">
        <f t="shared" si="79"/>
        <v/>
      </c>
      <c r="AW653" s="234"/>
      <c r="BP653" s="11"/>
      <c r="BQ653" s="11"/>
      <c r="BR653" s="235"/>
      <c r="BV653" s="158"/>
      <c r="BY653" s="158"/>
      <c r="CB653" s="158"/>
    </row>
    <row r="654" ht="18.0" hidden="1" customHeight="1">
      <c r="A654" s="222">
        <f>IFERROR(__xludf.DUMMYFUNCTION("""COMPUTED_VALUE"""),2026.0)</f>
        <v>2026</v>
      </c>
      <c r="B654" s="221">
        <f>IFERROR(__xludf.DUMMYFUNCTION("""COMPUTED_VALUE"""),1.1368488E7)</f>
        <v>11368488</v>
      </c>
      <c r="C654" s="222" t="str">
        <f>IFERROR(__xludf.DUMMYFUNCTION("""COMPUTED_VALUE"""),"MDN PT3 TTG-FB JL.BUNGA MALEM 7")</f>
        <v>MDN PT3 TTG-FB JL.BUNGA MALEM 7</v>
      </c>
      <c r="D654" s="222" t="str">
        <f>IFERROR(__xludf.DUMMYFUNCTION("""COMPUTED_VALUE"""),"REGIONAL I")</f>
        <v>REGIONAL I</v>
      </c>
      <c r="E654" s="222" t="str">
        <f>IFERROR(__xludf.DUMMYFUNCTION("""COMPUTED_VALUE"""),"MEDAN")</f>
        <v>MEDAN</v>
      </c>
      <c r="F654" s="222" t="str">
        <f>IFERROR(__xludf.DUMMYFUNCTION("""COMPUTED_VALUE"""),"TTG")</f>
        <v>TTG</v>
      </c>
      <c r="G654" s="222" t="str">
        <f>IFERROR(__xludf.DUMMYFUNCTION("""COMPUTED_VALUE"""),"SUMBAGUT")</f>
        <v>SUMBAGUT</v>
      </c>
      <c r="H654" s="222" t="str">
        <f>IFERROR(__xludf.DUMMYFUNCTION("""COMPUTED_VALUE"""),"MEDAN")</f>
        <v>MEDAN</v>
      </c>
      <c r="I654" s="222" t="str">
        <f>IFERROR(__xludf.DUMMYFUNCTION("""COMPUTED_VALUE"""),"Batch 2")</f>
        <v>Batch 2</v>
      </c>
      <c r="J654" s="225">
        <f>IFERROR(__xludf.DUMMYFUNCTION("""COMPUTED_VALUE"""),4.0)</f>
        <v>4</v>
      </c>
      <c r="K654" s="224">
        <f>IFERROR(__xludf.DUMMYFUNCTION("""COMPUTED_VALUE"""),32.0)</f>
        <v>32</v>
      </c>
      <c r="L654" s="226">
        <f>IFERROR(__xludf.DUMMYFUNCTION("""COMPUTED_VALUE"""),522858.0)</f>
        <v>522858</v>
      </c>
      <c r="M654" s="227">
        <f>IFERROR(__xludf.DUMMYFUNCTION("""COMPUTED_VALUE"""),1.6731429E7)</f>
        <v>16731429</v>
      </c>
      <c r="N654" s="222" t="str">
        <f>IFERROR(__xludf.DUMMYFUNCTION("""COMPUTED_VALUE"""),"SWAKELOLA")</f>
        <v>SWAKELOLA</v>
      </c>
      <c r="O654" s="222" t="str">
        <f>IFERROR(__xludf.DUMMYFUNCTION("""COMPUTED_VALUE"""),"3. PERIZINAN")</f>
        <v>3. PERIZINAN</v>
      </c>
      <c r="P654" s="222" t="str">
        <f>IFERROR(__xludf.DUMMYFUNCTION("""COMPUTED_VALUE"""),"3.9 Izin Kades / Lurah / RTRW")</f>
        <v>3.9 Izin Kades / Lurah / RTRW</v>
      </c>
      <c r="Q654" s="222" t="str">
        <f>IFERROR(__xludf.DUMMYFUNCTION("""COMPUTED_VALUE"""),"12/02 Aanwidzing OK, lnjut perizinan")</f>
        <v>12/02 Aanwidzing OK, lnjut perizinan</v>
      </c>
      <c r="R654" s="228"/>
      <c r="S654" s="11"/>
      <c r="T654" s="73"/>
      <c r="U654" s="11"/>
      <c r="V654" s="229" t="str">
        <f>IFERROR(__xludf.DUMMYFUNCTION("""COMPUTED_VALUE"""),"28/Apr/2026")</f>
        <v>28/Apr/2026</v>
      </c>
      <c r="W654" s="229"/>
      <c r="X654" s="229" t="str">
        <f>IFERROR(__xludf.DUMMYFUNCTION("""COMPUTED_VALUE"""),"BELUM GOLIVE")</f>
        <v>BELUM GOLIVE</v>
      </c>
      <c r="Y654" s="229"/>
      <c r="Z654" s="229" t="str">
        <f>IFERROR(__xludf.DUMMYFUNCTION("""COMPUTED_VALUE"""),"#N/A")</f>
        <v>#N/A</v>
      </c>
      <c r="AA654" s="229"/>
      <c r="AB654" s="229"/>
      <c r="AC654" s="229"/>
      <c r="AD654" s="232"/>
      <c r="AE654" s="233"/>
      <c r="AF654" s="54"/>
      <c r="AG654" s="54"/>
      <c r="AH654" s="54"/>
      <c r="AI654" s="55" t="str">
        <f t="shared" si="79"/>
        <v/>
      </c>
      <c r="AW654" s="234"/>
      <c r="BP654" s="11"/>
      <c r="BQ654" s="11"/>
      <c r="BR654" s="235"/>
      <c r="BV654" s="158"/>
      <c r="BY654" s="158"/>
      <c r="CB654" s="158"/>
    </row>
    <row r="655" ht="18.0" hidden="1" customHeight="1">
      <c r="A655" s="222">
        <f>IFERROR(__xludf.DUMMYFUNCTION("""COMPUTED_VALUE"""),2026.0)</f>
        <v>2026</v>
      </c>
      <c r="B655" s="221">
        <f>IFERROR(__xludf.DUMMYFUNCTION("""COMPUTED_VALUE"""),1.1909986E7)</f>
        <v>11909986</v>
      </c>
      <c r="C655" s="222" t="str">
        <f>IFERROR(__xludf.DUMMYFUNCTION("""COMPUTED_VALUE"""),"MDN PT3 DELI SERDANG_108240_H2_2025")</f>
        <v>MDN PT3 DELI SERDANG_108240_H2_2025</v>
      </c>
      <c r="D655" s="222" t="str">
        <f>IFERROR(__xludf.DUMMYFUNCTION("""COMPUTED_VALUE"""),"REGIONAL I")</f>
        <v>REGIONAL I</v>
      </c>
      <c r="E655" s="222" t="str">
        <f>IFERROR(__xludf.DUMMYFUNCTION("""COMPUTED_VALUE"""),"MEDAN")</f>
        <v>MEDAN</v>
      </c>
      <c r="F655" s="222" t="str">
        <f>IFERROR(__xludf.DUMMYFUNCTION("""COMPUTED_VALUE"""),"BJI")</f>
        <v>BJI</v>
      </c>
      <c r="G655" s="222" t="str">
        <f>IFERROR(__xludf.DUMMYFUNCTION("""COMPUTED_VALUE"""),"SUMBAGUT")</f>
        <v>SUMBAGUT</v>
      </c>
      <c r="H655" s="222" t="str">
        <f>IFERROR(__xludf.DUMMYFUNCTION("""COMPUTED_VALUE"""),"BINJAI")</f>
        <v>BINJAI</v>
      </c>
      <c r="I655" s="222" t="str">
        <f>IFERROR(__xludf.DUMMYFUNCTION("""COMPUTED_VALUE"""),"Batch 2")</f>
        <v>Batch 2</v>
      </c>
      <c r="J655" s="225">
        <f>IFERROR(__xludf.DUMMYFUNCTION("""COMPUTED_VALUE"""),2.0)</f>
        <v>2</v>
      </c>
      <c r="K655" s="224">
        <f>IFERROR(__xludf.DUMMYFUNCTION("""COMPUTED_VALUE"""),16.0)</f>
        <v>16</v>
      </c>
      <c r="L655" s="226">
        <f>IFERROR(__xludf.DUMMYFUNCTION("""COMPUTED_VALUE"""),1178949.0)</f>
        <v>1178949</v>
      </c>
      <c r="M655" s="227">
        <f>IFERROR(__xludf.DUMMYFUNCTION("""COMPUTED_VALUE"""),1.8863183E7)</f>
        <v>18863183</v>
      </c>
      <c r="N655" s="222" t="str">
        <f>IFERROR(__xludf.DUMMYFUNCTION("""COMPUTED_VALUE"""),"PT KENCANA RAYA INDONESIA")</f>
        <v>PT KENCANA RAYA INDONESIA</v>
      </c>
      <c r="O655" s="222" t="str">
        <f>IFERROR(__xludf.DUMMYFUNCTION("""COMPUTED_VALUE"""),"0. DROP")</f>
        <v>0. DROP</v>
      </c>
      <c r="P655" s="222" t="str">
        <f>IFERROR(__xludf.DUMMYFUNCTION("""COMPUTED_VALUE"""),"0.4 CPP Tinggi Acc ED TIF")</f>
        <v>0.4 CPP Tinggi Acc ED TIF</v>
      </c>
      <c r="Q655" s="222" t="str">
        <f>IFERROR(__xludf.DUMMYFUNCTION("""COMPUTED_VALUE""")," 17/02 feeder redaman tinggi
KENDALA PERIZINAN DESA DAN PORT EXSISTINGTIDAK TEMBUS 
(07/01) Persiapan")</f>
        <v> 17/02 feeder redaman tinggi
KENDALA PERIZINAN DESA DAN PORT EXSISTINGTIDAK TEMBUS 
(07/01) Persiapan</v>
      </c>
      <c r="R655" s="228"/>
      <c r="S655" s="11"/>
      <c r="T655" s="11"/>
      <c r="U655" s="11"/>
      <c r="V655" s="229"/>
      <c r="W655" s="229"/>
      <c r="X655" s="229" t="str">
        <f>IFERROR(__xludf.DUMMYFUNCTION("""COMPUTED_VALUE"""),"BELUM GOLIVE")</f>
        <v>BELUM GOLIVE</v>
      </c>
      <c r="Y655" s="229"/>
      <c r="Z655" s="229" t="str">
        <f>IFERROR(__xludf.DUMMYFUNCTION("""COMPUTED_VALUE"""),"#N/A")</f>
        <v>#N/A</v>
      </c>
      <c r="AA655" s="229"/>
      <c r="AB655" s="229"/>
      <c r="AC655" s="229"/>
      <c r="AD655" s="232"/>
      <c r="AE655" s="233"/>
      <c r="AF655" s="54" t="str">
        <f>IFERROR(__xludf.DUMMYFUNCTION("""COMPUTED_VALUE"""),"Draft BA DROP")</f>
        <v>Draft BA DROP</v>
      </c>
      <c r="AG655" s="54"/>
      <c r="AH655" s="54"/>
      <c r="AI655" s="55" t="str">
        <f t="shared" si="79"/>
        <v/>
      </c>
      <c r="AW655" s="234"/>
      <c r="BP655" s="11"/>
      <c r="BQ655" s="11"/>
      <c r="BR655" s="235"/>
      <c r="BV655" s="158"/>
      <c r="BY655" s="158"/>
      <c r="CB655" s="158"/>
    </row>
    <row r="656" ht="18.0" hidden="1" customHeight="1">
      <c r="A656" s="222">
        <f>IFERROR(__xludf.DUMMYFUNCTION("""COMPUTED_VALUE"""),2026.0)</f>
        <v>2026</v>
      </c>
      <c r="B656" s="221">
        <f>IFERROR(__xludf.DUMMYFUNCTION("""COMPUTED_VALUE"""),1.2205494E7)</f>
        <v>12205494</v>
      </c>
      <c r="C656" s="222" t="str">
        <f>IFERROR(__xludf.DUMMYFUNCTION("""COMPUTED_VALUE"""),"BNK-PT3-MUA-JPPTSEL-LEBONG_210_H2_2025")</f>
        <v>BNK-PT3-MUA-JPPTSEL-LEBONG_210_H2_2025</v>
      </c>
      <c r="D656" s="222" t="str">
        <f>IFERROR(__xludf.DUMMYFUNCTION("""COMPUTED_VALUE"""),"REGIONAL I")</f>
        <v>REGIONAL I</v>
      </c>
      <c r="E656" s="222" t="str">
        <f>IFERROR(__xludf.DUMMYFUNCTION("""COMPUTED_VALUE"""),"BENGKULU")</f>
        <v>BENGKULU</v>
      </c>
      <c r="F656" s="222" t="str">
        <f>IFERROR(__xludf.DUMMYFUNCTION("""COMPUTED_VALUE"""),"MUA")</f>
        <v>MUA</v>
      </c>
      <c r="G656" s="222" t="str">
        <f>IFERROR(__xludf.DUMMYFUNCTION("""COMPUTED_VALUE"""),"SUMBAGSEL")</f>
        <v>SUMBAGSEL</v>
      </c>
      <c r="H656" s="222" t="str">
        <f>IFERROR(__xludf.DUMMYFUNCTION("""COMPUTED_VALUE"""),"BENGKULU")</f>
        <v>BENGKULU</v>
      </c>
      <c r="I656" s="222" t="str">
        <f>IFERROR(__xludf.DUMMYFUNCTION("""COMPUTED_VALUE"""),"Batch 2")</f>
        <v>Batch 2</v>
      </c>
      <c r="J656" s="225">
        <f>IFERROR(__xludf.DUMMYFUNCTION("""COMPUTED_VALUE"""),12.0)</f>
        <v>12</v>
      </c>
      <c r="K656" s="224">
        <f>IFERROR(__xludf.DUMMYFUNCTION("""COMPUTED_VALUE"""),96.0)</f>
        <v>96</v>
      </c>
      <c r="L656" s="226">
        <f>IFERROR(__xludf.DUMMYFUNCTION("""COMPUTED_VALUE"""),1160680.0)</f>
        <v>1160680</v>
      </c>
      <c r="M656" s="227">
        <f>IFERROR(__xludf.DUMMYFUNCTION("""COMPUTED_VALUE"""),1.11425205E8)</f>
        <v>111425205</v>
      </c>
      <c r="N656" s="222" t="str">
        <f>IFERROR(__xludf.DUMMYFUNCTION("""COMPUTED_VALUE"""),"PT GARINDO TECHNO MANDIRI")</f>
        <v>PT GARINDO TECHNO MANDIRI</v>
      </c>
      <c r="O656" s="222" t="str">
        <f>IFERROR(__xludf.DUMMYFUNCTION("""COMPUTED_VALUE"""),"0. DROP")</f>
        <v>0. DROP</v>
      </c>
      <c r="P656" s="222" t="str">
        <f>IFERROR(__xludf.DUMMYFUNCTION("""COMPUTED_VALUE"""),"0.3 Feeder Full")</f>
        <v>0.3 Feeder Full</v>
      </c>
      <c r="Q656" s="222" t="str">
        <f>IFERROR(__xludf.DUMMYFUNCTION("""COMPUTED_VALUE"""),"02/03 : feeder  full  // 22/01 : KT FEEDER tidak ada yang tembus sampai STO panjang kabel hanya 3KM eviden terlampir .")</f>
        <v>02/03 : feeder  full  // 22/01 : KT FEEDER tidak ada yang tembus sampai STO panjang kabel hanya 3KM eviden terlampir .</v>
      </c>
      <c r="R656" s="228"/>
      <c r="S656" s="11"/>
      <c r="T656" s="11"/>
      <c r="U656" s="11"/>
      <c r="V656" s="229"/>
      <c r="W656" s="229"/>
      <c r="X656" s="229" t="str">
        <f>IFERROR(__xludf.DUMMYFUNCTION("""COMPUTED_VALUE"""),"BELUM GOLIVE")</f>
        <v>BELUM GOLIVE</v>
      </c>
      <c r="Y656" s="229"/>
      <c r="Z656" s="229" t="str">
        <f>IFERROR(__xludf.DUMMYFUNCTION("""COMPUTED_VALUE"""),"#N/A")</f>
        <v>#N/A</v>
      </c>
      <c r="AA656" s="229"/>
      <c r="AB656" s="229"/>
      <c r="AC656" s="229"/>
      <c r="AD656" s="232"/>
      <c r="AE656" s="233"/>
      <c r="AF656" s="54" t="str">
        <f>IFERROR(__xludf.DUMMYFUNCTION("""COMPUTED_VALUE"""),"Draft BA DROP")</f>
        <v>Draft BA DROP</v>
      </c>
      <c r="AG656" s="54"/>
      <c r="AH656" s="54"/>
      <c r="AI656" s="55" t="str">
        <f t="shared" si="79"/>
        <v/>
      </c>
      <c r="AW656" s="234"/>
      <c r="BP656" s="11"/>
      <c r="BQ656" s="11"/>
      <c r="BR656" s="235"/>
      <c r="BV656" s="158"/>
      <c r="BY656" s="158"/>
      <c r="CB656" s="158"/>
    </row>
    <row r="657" ht="18.0" hidden="1" customHeight="1">
      <c r="A657" s="222">
        <f>IFERROR(__xludf.DUMMYFUNCTION("""COMPUTED_VALUE"""),2026.0)</f>
        <v>2026</v>
      </c>
      <c r="B657" s="221">
        <f>IFERROR(__xludf.DUMMYFUNCTION("""COMPUTED_VALUE"""),1.1346417E7)</f>
        <v>11346417</v>
      </c>
      <c r="C657" s="222" t="str">
        <f>IFERROR(__xludf.DUMMYFUNCTION("""COMPUTED_VALUE"""),"ACH PT3 MRU-FB NEW D03 MEUNASAH BALEK")</f>
        <v>ACH PT3 MRU-FB NEW D03 MEUNASAH BALEK</v>
      </c>
      <c r="D657" s="222" t="str">
        <f>IFERROR(__xludf.DUMMYFUNCTION("""COMPUTED_VALUE"""),"REGIONAL I")</f>
        <v>REGIONAL I</v>
      </c>
      <c r="E657" s="222" t="str">
        <f>IFERROR(__xludf.DUMMYFUNCTION("""COMPUTED_VALUE"""),"ACEH")</f>
        <v>ACEH</v>
      </c>
      <c r="F657" s="222" t="str">
        <f>IFERROR(__xludf.DUMMYFUNCTION("""COMPUTED_VALUE"""),"MRU")</f>
        <v>MRU</v>
      </c>
      <c r="G657" s="222" t="str">
        <f>IFERROR(__xludf.DUMMYFUNCTION("""COMPUTED_VALUE"""),"SUMBAGUT")</f>
        <v>SUMBAGUT</v>
      </c>
      <c r="H657" s="222" t="str">
        <f>IFERROR(__xludf.DUMMYFUNCTION("""COMPUTED_VALUE"""),"BANDA ACEH")</f>
        <v>BANDA ACEH</v>
      </c>
      <c r="I657" s="222" t="str">
        <f>IFERROR(__xludf.DUMMYFUNCTION("""COMPUTED_VALUE"""),"Batch 2")</f>
        <v>Batch 2</v>
      </c>
      <c r="J657" s="225">
        <f>IFERROR(__xludf.DUMMYFUNCTION("""COMPUTED_VALUE"""),6.0)</f>
        <v>6</v>
      </c>
      <c r="K657" s="224">
        <f>IFERROR(__xludf.DUMMYFUNCTION("""COMPUTED_VALUE"""),48.0)</f>
        <v>48</v>
      </c>
      <c r="L657" s="226">
        <f>IFERROR(__xludf.DUMMYFUNCTION("""COMPUTED_VALUE"""),1159735.0)</f>
        <v>1159735</v>
      </c>
      <c r="M657" s="227">
        <f>IFERROR(__xludf.DUMMYFUNCTION("""COMPUTED_VALUE"""),5.5667252E7)</f>
        <v>55667252</v>
      </c>
      <c r="N657" s="222" t="str">
        <f>IFERROR(__xludf.DUMMYFUNCTION("""COMPUTED_VALUE"""),"PT JAYA ANINDYA MUSTIKA")</f>
        <v>PT JAYA ANINDYA MUSTIKA</v>
      </c>
      <c r="O657" s="222" t="str">
        <f>IFERROR(__xludf.DUMMYFUNCTION("""COMPUTED_VALUE"""),"7. GOLIVE")</f>
        <v>7. GOLIVE</v>
      </c>
      <c r="P657" s="222" t="str">
        <f>IFERROR(__xludf.DUMMYFUNCTION("""COMPUTED_VALUE"""),"7.2 Golive Full / OA / DONE OTB")</f>
        <v>7.2 Golive Full / OA / DONE OTB</v>
      </c>
      <c r="Q657" s="222" t="str">
        <f>IFERROR(__xludf.DUMMYFUNCTION("""COMPUTED_VALUE"""),"(03/03) terminasi(11/02) penarikan kabel (04/02) Tanam Tiang (29/01) DelMat (07/01) Persiapan")</f>
        <v>(03/03) terminasi(11/02) penarikan kabel (04/02) Tanam Tiang (29/01) DelMat (07/01) Persiapan</v>
      </c>
      <c r="R657" s="228">
        <f>IFERROR(__xludf.DUMMYFUNCTION("""COMPUTED_VALUE"""),46086.0)</f>
        <v>46086</v>
      </c>
      <c r="S657" s="11" t="str">
        <f>IFERROR(__xludf.DUMMYFUNCTION("""COMPUTED_VALUE"""),"MAR")</f>
        <v>MAR</v>
      </c>
      <c r="T657" s="11"/>
      <c r="U657" s="11"/>
      <c r="V657" s="229"/>
      <c r="W657" s="229"/>
      <c r="X657" s="229" t="str">
        <f>IFERROR(__xludf.DUMMYFUNCTION("""COMPUTED_VALUE"""),"GOLIVE")</f>
        <v>GOLIVE</v>
      </c>
      <c r="Y657" s="229" t="str">
        <f>IFERROR(__xludf.DUMMYFUNCTION("""COMPUTED_VALUE"""),"DONE")</f>
        <v>DONE</v>
      </c>
      <c r="Z657" s="229" t="str">
        <f>IFERROR(__xludf.DUMMYFUNCTION("""COMPUTED_VALUE"""),"#N/A")</f>
        <v>#N/A</v>
      </c>
      <c r="AA657" s="229">
        <f>IFERROR(__xludf.DUMMYFUNCTION("""COMPUTED_VALUE"""),6.0)</f>
        <v>6</v>
      </c>
      <c r="AB657" s="229"/>
      <c r="AC657" s="229" t="str">
        <f>IFERROR(__xludf.DUMMYFUNCTION("""COMPUTED_VALUE"""),"9194952#9194957")</f>
        <v>9194952#9194957</v>
      </c>
      <c r="AD657" s="232">
        <f>IFERROR(__xludf.DUMMYFUNCTION("""COMPUTED_VALUE"""),48.0)</f>
        <v>48</v>
      </c>
      <c r="AE657" s="233">
        <f>IFERROR(__xludf.DUMMYFUNCTION("""COMPUTED_VALUE"""),46091.0)</f>
        <v>46091</v>
      </c>
      <c r="AF657" s="54"/>
      <c r="AG657" s="54"/>
      <c r="AH657" s="54">
        <v>46086.0</v>
      </c>
      <c r="AI657" s="55">
        <f t="shared" si="79"/>
        <v>-5</v>
      </c>
      <c r="AW657" s="234"/>
      <c r="BP657" s="11"/>
      <c r="BQ657" s="11"/>
      <c r="BR657" s="235"/>
      <c r="BV657" s="158"/>
      <c r="BY657" s="158"/>
      <c r="CB657" s="158"/>
    </row>
    <row r="658" ht="18.0" hidden="1" customHeight="1">
      <c r="A658" s="222">
        <f>IFERROR(__xludf.DUMMYFUNCTION("""COMPUTED_VALUE"""),2026.0)</f>
        <v>2026</v>
      </c>
      <c r="B658" s="221">
        <f>IFERROR(__xludf.DUMMYFUNCTION("""COMPUTED_VALUE"""),1.1140333E7)</f>
        <v>11140333</v>
      </c>
      <c r="C658" s="222" t="str">
        <f>IFERROR(__xludf.DUMMYFUNCTION("""COMPUTED_VALUE"""),"MDN PT3 P7I7 SKI-FAN JL.KENANGAN BARU")</f>
        <v>MDN PT3 P7I7 SKI-FAN JL.KENANGAN BARU</v>
      </c>
      <c r="D658" s="222" t="str">
        <f>IFERROR(__xludf.DUMMYFUNCTION("""COMPUTED_VALUE"""),"REGIONAL I")</f>
        <v>REGIONAL I</v>
      </c>
      <c r="E658" s="222" t="str">
        <f>IFERROR(__xludf.DUMMYFUNCTION("""COMPUTED_VALUE"""),"MEDAN")</f>
        <v>MEDAN</v>
      </c>
      <c r="F658" s="222" t="str">
        <f>IFERROR(__xludf.DUMMYFUNCTION("""COMPUTED_VALUE"""),"SKI")</f>
        <v>SKI</v>
      </c>
      <c r="G658" s="222" t="str">
        <f>IFERROR(__xludf.DUMMYFUNCTION("""COMPUTED_VALUE"""),"SUMBAGUT")</f>
        <v>SUMBAGUT</v>
      </c>
      <c r="H658" s="222" t="str">
        <f>IFERROR(__xludf.DUMMYFUNCTION("""COMPUTED_VALUE"""),"MEDAN")</f>
        <v>MEDAN</v>
      </c>
      <c r="I658" s="222" t="str">
        <f>IFERROR(__xludf.DUMMYFUNCTION("""COMPUTED_VALUE"""),"Batch 2")</f>
        <v>Batch 2</v>
      </c>
      <c r="J658" s="225">
        <f>IFERROR(__xludf.DUMMYFUNCTION("""COMPUTED_VALUE"""),2.0)</f>
        <v>2</v>
      </c>
      <c r="K658" s="224">
        <f>IFERROR(__xludf.DUMMYFUNCTION("""COMPUTED_VALUE"""),16.0)</f>
        <v>16</v>
      </c>
      <c r="L658" s="226">
        <f>IFERROR(__xludf.DUMMYFUNCTION("""COMPUTED_VALUE"""),1159530.0)</f>
        <v>1159530</v>
      </c>
      <c r="M658" s="227">
        <f>IFERROR(__xludf.DUMMYFUNCTION("""COMPUTED_VALUE"""),1.8552475E7)</f>
        <v>18552475</v>
      </c>
      <c r="N658" s="222" t="str">
        <f>IFERROR(__xludf.DUMMYFUNCTION("""COMPUTED_VALUE"""),"PT PRIMA INDO SENTOSA")</f>
        <v>PT PRIMA INDO SENTOSA</v>
      </c>
      <c r="O658" s="222" t="str">
        <f>IFERROR(__xludf.DUMMYFUNCTION("""COMPUTED_VALUE"""),"0. DROP")</f>
        <v>0. DROP</v>
      </c>
      <c r="P658" s="222" t="str">
        <f>IFERROR(__xludf.DUMMYFUNCTION("""COMPUTED_VALUE"""),"0.4 CPP Tinggi Acc ED TIF")</f>
        <v>0.4 CPP Tinggi Acc ED TIF</v>
      </c>
      <c r="Q658" s="222" t="str">
        <f>IFERROR(__xludf.DUMMYFUNCTION("""COMPUTED_VALUE"""),"27/02 done order")</f>
        <v>27/02 done order</v>
      </c>
      <c r="R658" s="228"/>
      <c r="S658" s="11"/>
      <c r="T658" s="11"/>
      <c r="U658" s="11"/>
      <c r="V658" s="229"/>
      <c r="W658" s="229"/>
      <c r="X658" s="229" t="str">
        <f>IFERROR(__xludf.DUMMYFUNCTION("""COMPUTED_VALUE"""),"BELUM GOLIVE")</f>
        <v>BELUM GOLIVE</v>
      </c>
      <c r="Y658" s="229"/>
      <c r="Z658" s="229" t="str">
        <f>IFERROR(__xludf.DUMMYFUNCTION("""COMPUTED_VALUE"""),"#N/A")</f>
        <v>#N/A</v>
      </c>
      <c r="AA658" s="229"/>
      <c r="AB658" s="229"/>
      <c r="AC658" s="229"/>
      <c r="AD658" s="232"/>
      <c r="AE658" s="233"/>
      <c r="AF658" s="54" t="str">
        <f>IFERROR(__xludf.DUMMYFUNCTION("""COMPUTED_VALUE"""),"Draft BA DROP")</f>
        <v>Draft BA DROP</v>
      </c>
      <c r="AG658" s="54"/>
      <c r="AH658" s="54"/>
      <c r="AI658" s="55" t="str">
        <f t="shared" si="79"/>
        <v/>
      </c>
      <c r="AW658" s="234"/>
      <c r="BP658" s="11"/>
      <c r="BQ658" s="11"/>
      <c r="BR658" s="235"/>
      <c r="BV658" s="158"/>
      <c r="BY658" s="158"/>
      <c r="CB658" s="158"/>
    </row>
    <row r="659" ht="18.0" customHeight="1">
      <c r="A659" s="222">
        <f>IFERROR(__xludf.DUMMYFUNCTION("""COMPUTED_VALUE"""),2026.0)</f>
        <v>2026</v>
      </c>
      <c r="B659" s="221">
        <f>IFERROR(__xludf.DUMMYFUNCTION("""COMPUTED_VALUE"""),1.2322725E7)</f>
        <v>12322725</v>
      </c>
      <c r="C659" s="222" t="str">
        <f>IFERROR(__xludf.DUMMYFUNCTION("""COMPUTED_VALUE"""),"RKP PT3 APC NGS-FAA SEDANA RESIDENCE")</f>
        <v>RKP PT3 APC NGS-FAA SEDANA RESIDENCE</v>
      </c>
      <c r="D659" s="222" t="str">
        <f>IFERROR(__xludf.DUMMYFUNCTION("""COMPUTED_VALUE"""),"REGIONAL I")</f>
        <v>REGIONAL I</v>
      </c>
      <c r="E659" s="222" t="str">
        <f>IFERROR(__xludf.DUMMYFUNCTION("""COMPUTED_VALUE"""),"RIKEP")</f>
        <v>RIKEP</v>
      </c>
      <c r="F659" s="222" t="str">
        <f>IFERROR(__xludf.DUMMYFUNCTION("""COMPUTED_VALUE"""),"NGS")</f>
        <v>NGS</v>
      </c>
      <c r="G659" s="222" t="str">
        <f>IFERROR(__xludf.DUMMYFUNCTION("""COMPUTED_VALUE"""),"SUMBAGTENG")</f>
        <v>SUMBAGTENG</v>
      </c>
      <c r="H659" s="222" t="str">
        <f>IFERROR(__xludf.DUMMYFUNCTION("""COMPUTED_VALUE"""),"BATAM")</f>
        <v>BATAM</v>
      </c>
      <c r="I659" s="222" t="str">
        <f>IFERROR(__xludf.DUMMYFUNCTION("""COMPUTED_VALUE"""),"Batch 2")</f>
        <v>Batch 2</v>
      </c>
      <c r="J659" s="225">
        <f>IFERROR(__xludf.DUMMYFUNCTION("""COMPUTED_VALUE"""),11.0)</f>
        <v>11</v>
      </c>
      <c r="K659" s="224">
        <f>IFERROR(__xludf.DUMMYFUNCTION("""COMPUTED_VALUE"""),88.0)</f>
        <v>88</v>
      </c>
      <c r="L659" s="226">
        <f>IFERROR(__xludf.DUMMYFUNCTION("""COMPUTED_VALUE"""),1157809.0)</f>
        <v>1157809</v>
      </c>
      <c r="M659" s="227">
        <f>IFERROR(__xludf.DUMMYFUNCTION("""COMPUTED_VALUE"""),1.01887183E8)</f>
        <v>101887183</v>
      </c>
      <c r="N659" s="222" t="str">
        <f>IFERROR(__xludf.DUMMYFUNCTION("""COMPUTED_VALUE"""),"PT MITRA AKSES INSANI")</f>
        <v>PT MITRA AKSES INSANI</v>
      </c>
      <c r="O659" s="222" t="str">
        <f>IFERROR(__xludf.DUMMYFUNCTION("""COMPUTED_VALUE"""),"0. DROP")</f>
        <v>0. DROP</v>
      </c>
      <c r="P659" s="222" t="str">
        <f>IFERROR(__xludf.DUMMYFUNCTION("""COMPUTED_VALUE"""),"0.2 Tidak Dapat Izin Warga/Kades/Lurah/Developer")</f>
        <v>0.2 Tidak Dapat Izin Warga/Kades/Lurah/Developer</v>
      </c>
      <c r="Q659" s="222" t="str">
        <f>IFERROR(__xludf.DUMMYFUNCTION("""COMPUTED_VALUE"""),"31/03 Developer meminta ada PKS resmi dari TSEL ke developer. 30/03 Tim mitra masih di pulau tanjung batu dan belum bisa balik ke pulau batam. 03/03 izin OK tim KU masih di pulau tanjung batu. 16/02 Plan FU perizinan besok 17 Feb.09/02 belum di survey kar"&amp;"ena, PIC mitra masih fokus di installasi dan LOP butuh percepatan dari Telkomsel. 29/01 Plan survey tanggal 30 karena PIC mitra sdg berhalangan. 28/01 Plan survey 29 Jan. 22/01 Plan survey 24 Jan ")</f>
        <v>31/03 Developer meminta ada PKS resmi dari TSEL ke developer. 30/03 Tim mitra masih di pulau tanjung batu dan belum bisa balik ke pulau batam. 03/03 izin OK tim KU masih di pulau tanjung batu. 16/02 Plan FU perizinan besok 17 Feb.09/02 belum di survey karena, PIC mitra masih fokus di installasi dan LOP butuh percepatan dari Telkomsel. 29/01 Plan survey tanggal 30 karena PIC mitra sdg berhalangan. 28/01 Plan survey 29 Jan. 22/01 Plan survey 24 Jan </v>
      </c>
      <c r="R659" s="228"/>
      <c r="S659" s="11"/>
      <c r="T659" s="11" t="str">
        <f>IFERROR(__xludf.DUMMYFUNCTION("""COMPUTED_VALUE"""),"P1")</f>
        <v>P1</v>
      </c>
      <c r="U659" s="11" t="str">
        <f>IFERROR(__xludf.DUMMYFUNCTION("""COMPUTED_VALUE"""),"W09-226/2026")</f>
        <v>W09-226/2026</v>
      </c>
      <c r="V659" s="229" t="str">
        <f>IFERROR(__xludf.DUMMYFUNCTION("""COMPUTED_VALUE"""),"GANI PRASTYO")</f>
        <v>GANI PRASTYO</v>
      </c>
      <c r="W659" s="229" t="str">
        <f>IFERROR(__xludf.DUMMYFUNCTION("""COMPUTED_VALUE"""),"LEVITA INDRIYANI")</f>
        <v>LEVITA INDRIYANI</v>
      </c>
      <c r="X659" s="229" t="str">
        <f>IFERROR(__xludf.DUMMYFUNCTION("""COMPUTED_VALUE"""),"BELUM GOLIVE")</f>
        <v>BELUM GOLIVE</v>
      </c>
      <c r="Y659" s="229"/>
      <c r="Z659" s="229" t="str">
        <f>IFERROR(__xludf.DUMMYFUNCTION("""COMPUTED_VALUE"""),"#N/A")</f>
        <v>#N/A</v>
      </c>
      <c r="AA659" s="229"/>
      <c r="AB659" s="229"/>
      <c r="AC659" s="229"/>
      <c r="AD659" s="232"/>
      <c r="AE659" s="233"/>
      <c r="AF659" s="54"/>
      <c r="AG659" s="54"/>
      <c r="AH659" s="54"/>
      <c r="AI659" s="55" t="str">
        <f t="shared" si="79"/>
        <v/>
      </c>
      <c r="AW659" s="234"/>
      <c r="BP659" s="11"/>
      <c r="BQ659" s="11"/>
      <c r="BR659" s="235"/>
      <c r="BV659" s="158"/>
      <c r="BY659" s="158"/>
      <c r="CB659" s="158"/>
    </row>
    <row r="660" ht="18.0" hidden="1" customHeight="1">
      <c r="A660" s="222">
        <f>IFERROR(__xludf.DUMMYFUNCTION("""COMPUTED_VALUE"""),2026.0)</f>
        <v>2026</v>
      </c>
      <c r="B660" s="221">
        <f>IFERROR(__xludf.DUMMYFUNCTION("""COMPUTED_VALUE"""),1.2438405E7)</f>
        <v>12438405</v>
      </c>
      <c r="C660" s="222" t="str">
        <f>IFERROR(__xludf.DUMMYFUNCTION("""COMPUTED_VALUE"""),"SMS P4I4 PT3 PGA FQ D04 PAGAR DEWA")</f>
        <v>SMS P4I4 PT3 PGA FQ D04 PAGAR DEWA</v>
      </c>
      <c r="D660" s="222" t="str">
        <f>IFERROR(__xludf.DUMMYFUNCTION("""COMPUTED_VALUE"""),"REGIONAL I")</f>
        <v>REGIONAL I</v>
      </c>
      <c r="E660" s="222" t="str">
        <f>IFERROR(__xludf.DUMMYFUNCTION("""COMPUTED_VALUE"""),"SUMSEL")</f>
        <v>SUMSEL</v>
      </c>
      <c r="F660" s="222" t="str">
        <f>IFERROR(__xludf.DUMMYFUNCTION("""COMPUTED_VALUE"""),"PGA")</f>
        <v>PGA</v>
      </c>
      <c r="G660" s="222" t="str">
        <f>IFERROR(__xludf.DUMMYFUNCTION("""COMPUTED_VALUE"""),"SUMBAGSEL")</f>
        <v>SUMBAGSEL</v>
      </c>
      <c r="H660" s="222" t="str">
        <f>IFERROR(__xludf.DUMMYFUNCTION("""COMPUTED_VALUE"""),"BENGKULU")</f>
        <v>BENGKULU</v>
      </c>
      <c r="I660" s="222" t="str">
        <f>IFERROR(__xludf.DUMMYFUNCTION("""COMPUTED_VALUE"""),"Batch 2")</f>
        <v>Batch 2</v>
      </c>
      <c r="J660" s="225">
        <f>IFERROR(__xludf.DUMMYFUNCTION("""COMPUTED_VALUE"""),8.0)</f>
        <v>8</v>
      </c>
      <c r="K660" s="224">
        <f>IFERROR(__xludf.DUMMYFUNCTION("""COMPUTED_VALUE"""),64.0)</f>
        <v>64</v>
      </c>
      <c r="L660" s="226">
        <f>IFERROR(__xludf.DUMMYFUNCTION("""COMPUTED_VALUE"""),1157803.0)</f>
        <v>1157803</v>
      </c>
      <c r="M660" s="227">
        <f>IFERROR(__xludf.DUMMYFUNCTION("""COMPUTED_VALUE"""),7.4099336E7)</f>
        <v>74099336</v>
      </c>
      <c r="N660" s="222" t="str">
        <f>IFERROR(__xludf.DUMMYFUNCTION("""COMPUTED_VALUE"""),"PT GITA PRIMA TAMBA PERKASA")</f>
        <v>PT GITA PRIMA TAMBA PERKASA</v>
      </c>
      <c r="O660" s="222" t="str">
        <f>IFERROR(__xludf.DUMMYFUNCTION("""COMPUTED_VALUE"""),"2. DONE AANWIJZING")</f>
        <v>2. DONE AANWIJZING</v>
      </c>
      <c r="P660" s="222" t="str">
        <f>IFERROR(__xludf.DUMMYFUNCTION("""COMPUTED_VALUE"""),"2.5 Proses Create PID")</f>
        <v>2.5 Proses Create PID</v>
      </c>
      <c r="Q660" s="222" t="str">
        <f>IFERROR(__xludf.DUMMYFUNCTION("""COMPUTED_VALUE"""),"27/04 : Proses PR PO, Pararel DRM Dengan Mitra 09/04 kepala desa belum ada FEEDBACK , plan 10 apr visit ulang  08/04 Proses perizinan kepala desa, belum ada feedback 26/03 proses pergantian mitra dri raharja ke GPTP, 25/03 PROGRESS UPDATE BOQ DAN KML SETE"&amp;"LAH AANWIDJZING - MASIH MENUNGGU INFO TSEL MENGENAI PENGURANGAN ODP,  16/03 HASIL AANWIDJZING TDK PERLU IZIN KRNA HANYA TARIK KABEL SAJA (BISA DIKERJAKAN), 12/03 DONE AANWIDJZING, 10/03 PROGRESS AANWIJDZING ULANG, 09/03 DIALIHKAN KE MITRA GPTP, 09/03 DATA"&amp;" UPDATE BLM DI KIRIM MITRA, 06/03 SDH DI FU TERUS TP BELUM ADA INFO DARI MITRA, 02/03 SDH DI FU TERUS TP BELUM ADA INFO DARI MITRA, 27/02 BELUM EVAL, 23/02 LANJUT EVAL, 22/2  menunggu hasil perhitungan QE dan review TIF  19/02 HASIL AANWIDJZING BISA DIKER"&amp;"JAKAN SESUAI PLAN DAN TIDAK BUTUH IZIN DIKARENAKAN HANYA PENARIKAN KABEL PENDEK, 10/02 DONE AANWIDJZING - MITRA BELUM KIRIM HASIL AANWIDJZING, 04/02 PROSES AANWIDJZING, 30/01 PROSES AANWIDJZING, (23/1) Proses Aanwijdzing - Est 27 Setor ke Pak wijaya  (21/"&amp;"01) menunggu antrian untuk aanwizjing, (15/1) ORDER DITERIMA MITRA 14/1, masih menunngu confirm- kepastian 19 jan (14/11)HOLD-  tidak masuk target Optimis 2025 (13/11)  penunjukkan mitra raharja, 10/11 penunjukkan mitra raharja 3/11 mitra raharja ditunjuk"&amp;" sbagai mitra lop ini 23/10 belum di lakukan oleh mitra ke lokasi
15/10 plan aanwiznig tgl 17/10
(08/10) menunggu jadwal aanwijizng
(01/10) menunggu jadwal aanwijizng
(19/09) pejadwalan aanwijzing
14/01 sudah penunjukan mitra oleh procurement")</f>
        <v>27/04 : Proses PR PO, Pararel DRM Dengan Mitra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660" s="228"/>
      <c r="S660" s="11"/>
      <c r="T660" s="11"/>
      <c r="U660" s="11"/>
      <c r="V660" s="229" t="str">
        <f>IFERROR(__xludf.DUMMYFUNCTION("""COMPUTED_VALUE"""),"PUTRA")</f>
        <v>PUTRA</v>
      </c>
      <c r="W660" s="229"/>
      <c r="X660" s="229" t="str">
        <f>IFERROR(__xludf.DUMMYFUNCTION("""COMPUTED_VALUE"""),"BELUM GOLIVE")</f>
        <v>BELUM GOLIVE</v>
      </c>
      <c r="Y660" s="229"/>
      <c r="Z660" s="229" t="str">
        <f>IFERROR(__xludf.DUMMYFUNCTION("""COMPUTED_VALUE"""),"#N/A")</f>
        <v>#N/A</v>
      </c>
      <c r="AA660" s="229"/>
      <c r="AB660" s="229"/>
      <c r="AC660" s="229"/>
      <c r="AD660" s="232"/>
      <c r="AE660" s="233"/>
      <c r="AF660" s="54"/>
      <c r="AG660" s="54"/>
      <c r="AH660" s="54"/>
      <c r="AI660" s="55" t="str">
        <f t="shared" si="79"/>
        <v/>
      </c>
      <c r="AW660" s="234"/>
      <c r="BP660" s="11"/>
      <c r="BQ660" s="11"/>
      <c r="BR660" s="235"/>
      <c r="BV660" s="158"/>
      <c r="BY660" s="158"/>
      <c r="CB660" s="158"/>
    </row>
    <row r="661" ht="18.0" customHeight="1">
      <c r="A661" s="222">
        <f>IFERROR(__xludf.DUMMYFUNCTION("""COMPUTED_VALUE"""),2026.0)</f>
        <v>2026</v>
      </c>
      <c r="B661" s="221">
        <f>IFERROR(__xludf.DUMMYFUNCTION("""COMPUTED_VALUE"""),1.1266443E7)</f>
        <v>11266443</v>
      </c>
      <c r="C661" s="222" t="str">
        <f>IFERROR(__xludf.DUMMYFUNCTION("""COMPUTED_VALUE"""),"RKP PT3 TSEL SGT-FC Jl. Parit 1")</f>
        <v>RKP PT3 TSEL SGT-FC Jl. Parit 1</v>
      </c>
      <c r="D661" s="222" t="str">
        <f>IFERROR(__xludf.DUMMYFUNCTION("""COMPUTED_VALUE"""),"REGIONAL I")</f>
        <v>REGIONAL I</v>
      </c>
      <c r="E661" s="222" t="str">
        <f>IFERROR(__xludf.DUMMYFUNCTION("""COMPUTED_VALUE"""),"RIKEP")</f>
        <v>RIKEP</v>
      </c>
      <c r="F661" s="222" t="str">
        <f>IFERROR(__xludf.DUMMYFUNCTION("""COMPUTED_VALUE"""),"SGT")</f>
        <v>SGT</v>
      </c>
      <c r="G661" s="222" t="str">
        <f>IFERROR(__xludf.DUMMYFUNCTION("""COMPUTED_VALUE"""),"SUMBAGTENG")</f>
        <v>SUMBAGTENG</v>
      </c>
      <c r="H661" s="222" t="str">
        <f>IFERROR(__xludf.DUMMYFUNCTION("""COMPUTED_VALUE"""),"BATAM")</f>
        <v>BATAM</v>
      </c>
      <c r="I661" s="222" t="str">
        <f>IFERROR(__xludf.DUMMYFUNCTION("""COMPUTED_VALUE"""),"Batch 2")</f>
        <v>Batch 2</v>
      </c>
      <c r="J661" s="225">
        <f>IFERROR(__xludf.DUMMYFUNCTION("""COMPUTED_VALUE"""),3.0)</f>
        <v>3</v>
      </c>
      <c r="K661" s="224">
        <f>IFERROR(__xludf.DUMMYFUNCTION("""COMPUTED_VALUE"""),24.0)</f>
        <v>24</v>
      </c>
      <c r="L661" s="226">
        <f>IFERROR(__xludf.DUMMYFUNCTION("""COMPUTED_VALUE"""),1157469.0)</f>
        <v>1157469</v>
      </c>
      <c r="M661" s="227">
        <f>IFERROR(__xludf.DUMMYFUNCTION("""COMPUTED_VALUE"""),2.7779247E7)</f>
        <v>27779247</v>
      </c>
      <c r="N661" s="222" t="str">
        <f>IFERROR(__xludf.DUMMYFUNCTION("""COMPUTED_VALUE"""),"SWAKELOLA")</f>
        <v>SWAKELOLA</v>
      </c>
      <c r="O661" s="222" t="str">
        <f>IFERROR(__xludf.DUMMYFUNCTION("""COMPUTED_VALUE"""),"0. DROP")</f>
        <v>0. DROP</v>
      </c>
      <c r="P661" s="222" t="str">
        <f>IFERROR(__xludf.DUMMYFUNCTION("""COMPUTED_VALUE"""),"0.2 Tidak Dapat Izin Warga/Kades/Lurah/Developer")</f>
        <v>0.2 Tidak Dapat Izin Warga/Kades/Lurah/Developer</v>
      </c>
      <c r="Q661" s="222" t="str">
        <f>IFERROR(__xludf.DUMMYFUNCTION("""COMPUTED_VALUE"""),"21/01 Hold karena SGT-FC feeder full, butuh PT4 narik dari mini OLT namun pihak RSUP meminta legal dari telkom, sudah di infokan ke AOM namun blm ada kejelasan dari pihak RSUP pulau burung, case sudah dari 2024.")</f>
        <v>21/01 Hold karena SGT-FC feeder full, butuh PT4 narik dari mini OLT namun pihak RSUP meminta legal dari telkom, sudah di infokan ke AOM namun blm ada kejelasan dari pihak RSUP pulau burung, case sudah dari 2024.</v>
      </c>
      <c r="R661" s="228"/>
      <c r="S661" s="11"/>
      <c r="T661" s="11"/>
      <c r="U661" s="11"/>
      <c r="V661" s="229" t="str">
        <f>IFERROR(__xludf.DUMMYFUNCTION("""COMPUTED_VALUE"""),"MOHAMMAD FAUZY")</f>
        <v>MOHAMMAD FAUZY</v>
      </c>
      <c r="W661" s="229" t="str">
        <f>IFERROR(__xludf.DUMMYFUNCTION("""COMPUTED_VALUE"""),"LEVITA INDRIYANI")</f>
        <v>LEVITA INDRIYANI</v>
      </c>
      <c r="X661" s="229" t="str">
        <f>IFERROR(__xludf.DUMMYFUNCTION("""COMPUTED_VALUE"""),"BELUM GOLIVE")</f>
        <v>BELUM GOLIVE</v>
      </c>
      <c r="Y661" s="229"/>
      <c r="Z661" s="229" t="str">
        <f>IFERROR(__xludf.DUMMYFUNCTION("""COMPUTED_VALUE"""),"#N/A")</f>
        <v>#N/A</v>
      </c>
      <c r="AA661" s="229"/>
      <c r="AB661" s="229"/>
      <c r="AC661" s="229"/>
      <c r="AD661" s="232"/>
      <c r="AE661" s="233"/>
      <c r="AF661" s="54" t="str">
        <f>IFERROR(__xludf.DUMMYFUNCTION("""COMPUTED_VALUE"""),"Draft BA DROP")</f>
        <v>Draft BA DROP</v>
      </c>
      <c r="AG661" s="54"/>
      <c r="AH661" s="54">
        <v>46137.0</v>
      </c>
      <c r="AI661" s="237">
        <f>AH661-NOW()</f>
        <v>-3.377989896</v>
      </c>
      <c r="AJ661" s="229" t="str">
        <f>if(AI661&gt;=0,"In Komitmen","Out Komitmen")</f>
        <v>Out Komitmen</v>
      </c>
      <c r="AW661" s="234"/>
      <c r="BP661" s="11"/>
      <c r="BQ661" s="11"/>
      <c r="BR661" s="235"/>
      <c r="BV661" s="158"/>
      <c r="BY661" s="158"/>
      <c r="CB661" s="158"/>
    </row>
    <row r="662" ht="18.0" customHeight="1">
      <c r="A662" s="222">
        <f>IFERROR(__xludf.DUMMYFUNCTION("""COMPUTED_VALUE"""),2026.0)</f>
        <v>2026</v>
      </c>
      <c r="B662" s="221">
        <f>IFERROR(__xludf.DUMMYFUNCTION("""COMPUTED_VALUE"""),1.2242416E7)</f>
        <v>12242416</v>
      </c>
      <c r="C662" s="222" t="str">
        <f>IFERROR(__xludf.DUMMYFUNCTION("""COMPUTED_VALUE"""),"SMB PT3-SLK-FM SOLOK_12774_H2_2025")</f>
        <v>SMB PT3-SLK-FM SOLOK_12774_H2_2025</v>
      </c>
      <c r="D662" s="222" t="str">
        <f>IFERROR(__xludf.DUMMYFUNCTION("""COMPUTED_VALUE"""),"REGIONAL I")</f>
        <v>REGIONAL I</v>
      </c>
      <c r="E662" s="222" t="str">
        <f>IFERROR(__xludf.DUMMYFUNCTION("""COMPUTED_VALUE"""),"SUMBAR")</f>
        <v>SUMBAR</v>
      </c>
      <c r="F662" s="222" t="str">
        <f>IFERROR(__xludf.DUMMYFUNCTION("""COMPUTED_VALUE"""),"SLK")</f>
        <v>SLK</v>
      </c>
      <c r="G662" s="222" t="str">
        <f>IFERROR(__xludf.DUMMYFUNCTION("""COMPUTED_VALUE"""),"SUMBAGTENG")</f>
        <v>SUMBAGTENG</v>
      </c>
      <c r="H662" s="222" t="str">
        <f>IFERROR(__xludf.DUMMYFUNCTION("""COMPUTED_VALUE"""),"PADANG")</f>
        <v>PADANG</v>
      </c>
      <c r="I662" s="222" t="str">
        <f>IFERROR(__xludf.DUMMYFUNCTION("""COMPUTED_VALUE"""),"Batch 2")</f>
        <v>Batch 2</v>
      </c>
      <c r="J662" s="225">
        <f>IFERROR(__xludf.DUMMYFUNCTION("""COMPUTED_VALUE"""),4.0)</f>
        <v>4</v>
      </c>
      <c r="K662" s="224">
        <f>IFERROR(__xludf.DUMMYFUNCTION("""COMPUTED_VALUE"""),32.0)</f>
        <v>32</v>
      </c>
      <c r="L662" s="226">
        <f>IFERROR(__xludf.DUMMYFUNCTION("""COMPUTED_VALUE"""),1157265.0)</f>
        <v>1157265</v>
      </c>
      <c r="M662" s="227">
        <f>IFERROR(__xludf.DUMMYFUNCTION("""COMPUTED_VALUE"""),3.7032459E7)</f>
        <v>37032459</v>
      </c>
      <c r="N662" s="222" t="str">
        <f>IFERROR(__xludf.DUMMYFUNCTION("""COMPUTED_VALUE"""),"PT TRI PENAMAS")</f>
        <v>PT TRI PENAMAS</v>
      </c>
      <c r="O662" s="222" t="str">
        <f>IFERROR(__xludf.DUMMYFUNCTION("""COMPUTED_VALUE"""),"4. MATDEL")</f>
        <v>4. MATDEL</v>
      </c>
      <c r="P662" s="222" t="str">
        <f>IFERROR(__xludf.DUMMYFUNCTION("""COMPUTED_VALUE"""),"4.4 Proses Pengiriman Pabribak ke WH")</f>
        <v>4.4 Proses Pengiriman Pabribak ke WH</v>
      </c>
      <c r="Q662" s="222" t="str">
        <f>IFERROR(__xludf.DUMMYFUNCTION("""COMPUTED_VALUE"""),"(27/04) menunggu PO kabel 24 ADSS (20/04) matdel ke LOP  (13/04) Proses create PID (10/04) Proses aanwijziing , LOP HOLD FEEDER FULL ACC GO (06/03) LOP di gabung ke LOP SMB MD SOLOK_1507 (05/03) proses aanwijziing plan selesai 07/03")</f>
        <v>(27/04) menunggu PO kabel 24 ADSS (20/04) matdel ke LOP  (13/04) Proses create PID (10/04) Proses aanwijziing , LOP HOLD FEEDER FULL ACC GO (06/03) LOP di gabung ke LOP SMB MD SOLOK_1507 (05/03) proses aanwijziing plan selesai 07/03</v>
      </c>
      <c r="R662" s="228">
        <f>IFERROR(__xludf.DUMMYFUNCTION("""COMPUTED_VALUE"""),46150.0)</f>
        <v>46150</v>
      </c>
      <c r="S662" s="11"/>
      <c r="T662" s="11"/>
      <c r="U662" s="11"/>
      <c r="V662" s="229" t="str">
        <f>IFERROR(__xludf.DUMMYFUNCTION("""COMPUTED_VALUE"""),"FABIO RAHMAN")</f>
        <v>FABIO RAHMAN</v>
      </c>
      <c r="W662" s="229" t="str">
        <f>IFERROR(__xludf.DUMMYFUNCTION("""COMPUTED_VALUE"""),"MELKO NARWADI")</f>
        <v>MELKO NARWADI</v>
      </c>
      <c r="X662" s="229" t="str">
        <f>IFERROR(__xludf.DUMMYFUNCTION("""COMPUTED_VALUE"""),"BELUM GOLIVE")</f>
        <v>BELUM GOLIVE</v>
      </c>
      <c r="Y662" s="229"/>
      <c r="Z662" s="229" t="str">
        <f>IFERROR(__xludf.DUMMYFUNCTION("""COMPUTED_VALUE"""),"#N/A")</f>
        <v>#N/A</v>
      </c>
      <c r="AA662" s="229"/>
      <c r="AB662" s="229"/>
      <c r="AC662" s="229"/>
      <c r="AD662" s="232"/>
      <c r="AE662" s="233"/>
      <c r="AF662" s="54"/>
      <c r="AG662" s="54"/>
      <c r="AH662" s="54"/>
      <c r="AI662" s="55" t="str">
        <f t="shared" ref="AI662:AI686" si="80">IF(OR(R662="",AE662=""),"",R662-AE662)</f>
        <v/>
      </c>
      <c r="AW662" s="234"/>
      <c r="BP662" s="11"/>
      <c r="BQ662" s="11"/>
      <c r="BR662" s="235"/>
      <c r="BV662" s="158"/>
      <c r="BY662" s="158"/>
      <c r="CB662" s="158"/>
    </row>
    <row r="663" ht="18.0" hidden="1" customHeight="1">
      <c r="A663" s="222">
        <f>IFERROR(__xludf.DUMMYFUNCTION("""COMPUTED_VALUE"""),2026.0)</f>
        <v>2026</v>
      </c>
      <c r="B663" s="221">
        <f>IFERROR(__xludf.DUMMYFUNCTION("""COMPUTED_VALUE"""),1.113137E7)</f>
        <v>11131370</v>
      </c>
      <c r="C663" s="222" t="str">
        <f>IFERROR(__xludf.DUMMYFUNCTION("""COMPUTED_VALUE"""),"MDN PT3 TMU-FCA PERUM GRIYA SAFA MARWA")</f>
        <v>MDN PT3 TMU-FCA PERUM GRIYA SAFA MARWA</v>
      </c>
      <c r="D663" s="222" t="str">
        <f>IFERROR(__xludf.DUMMYFUNCTION("""COMPUTED_VALUE"""),"REGIONAL I")</f>
        <v>REGIONAL I</v>
      </c>
      <c r="E663" s="222" t="str">
        <f>IFERROR(__xludf.DUMMYFUNCTION("""COMPUTED_VALUE"""),"MEDAN")</f>
        <v>MEDAN</v>
      </c>
      <c r="F663" s="222" t="str">
        <f>IFERROR(__xludf.DUMMYFUNCTION("""COMPUTED_VALUE"""),"TMU")</f>
        <v>TMU</v>
      </c>
      <c r="G663" s="222" t="str">
        <f>IFERROR(__xludf.DUMMYFUNCTION("""COMPUTED_VALUE"""),"SUMBAGUT")</f>
        <v>SUMBAGUT</v>
      </c>
      <c r="H663" s="222" t="str">
        <f>IFERROR(__xludf.DUMMYFUNCTION("""COMPUTED_VALUE"""),"MEDAN")</f>
        <v>MEDAN</v>
      </c>
      <c r="I663" s="222" t="str">
        <f>IFERROR(__xludf.DUMMYFUNCTION("""COMPUTED_VALUE"""),"Batch 2")</f>
        <v>Batch 2</v>
      </c>
      <c r="J663" s="225">
        <f>IFERROR(__xludf.DUMMYFUNCTION("""COMPUTED_VALUE"""),3.0)</f>
        <v>3</v>
      </c>
      <c r="K663" s="224">
        <f>IFERROR(__xludf.DUMMYFUNCTION("""COMPUTED_VALUE"""),24.0)</f>
        <v>24</v>
      </c>
      <c r="L663" s="226">
        <f>IFERROR(__xludf.DUMMYFUNCTION("""COMPUTED_VALUE"""),1008971.0)</f>
        <v>1008971</v>
      </c>
      <c r="M663" s="227">
        <f>IFERROR(__xludf.DUMMYFUNCTION("""COMPUTED_VALUE"""),2.4215297E7)</f>
        <v>24215297</v>
      </c>
      <c r="N663" s="222" t="str">
        <f>IFERROR(__xludf.DUMMYFUNCTION("""COMPUTED_VALUE"""),"SWAKELOLA")</f>
        <v>SWAKELOLA</v>
      </c>
      <c r="O663" s="222" t="str">
        <f>IFERROR(__xludf.DUMMYFUNCTION("""COMPUTED_VALUE"""),"0. DROP")</f>
        <v>0. DROP</v>
      </c>
      <c r="P663" s="222" t="str">
        <f>IFERROR(__xludf.DUMMYFUNCTION("""COMPUTED_VALUE"""),"0.3 Feeder Full")</f>
        <v>0.3 Feeder Full</v>
      </c>
      <c r="Q663" s="222" t="str">
        <f>IFERROR(__xludf.DUMMYFUNCTION("""COMPUTED_VALUE"""),"21/04 feeder full / butuh upgrade odc
(07/01) Persiapan")</f>
        <v>21/04 feeder full / butuh upgrade odc
(07/01) Persiapan</v>
      </c>
      <c r="R663" s="228"/>
      <c r="S663" s="11"/>
      <c r="T663" s="11"/>
      <c r="U663" s="11"/>
      <c r="V663" s="229"/>
      <c r="W663" s="229"/>
      <c r="X663" s="229" t="str">
        <f>IFERROR(__xludf.DUMMYFUNCTION("""COMPUTED_VALUE"""),"BELUM GOLIVE")</f>
        <v>BELUM GOLIVE</v>
      </c>
      <c r="Y663" s="229"/>
      <c r="Z663" s="229" t="str">
        <f>IFERROR(__xludf.DUMMYFUNCTION("""COMPUTED_VALUE"""),"#N/A")</f>
        <v>#N/A</v>
      </c>
      <c r="AA663" s="229"/>
      <c r="AB663" s="229"/>
      <c r="AC663" s="229"/>
      <c r="AD663" s="232"/>
      <c r="AE663" s="233"/>
      <c r="AF663" s="54"/>
      <c r="AG663" s="54"/>
      <c r="AH663" s="54"/>
      <c r="AI663" s="55" t="str">
        <f t="shared" si="80"/>
        <v/>
      </c>
      <c r="AW663" s="234"/>
      <c r="BP663" s="11"/>
      <c r="BQ663" s="11"/>
      <c r="BR663" s="235"/>
      <c r="BV663" s="158"/>
      <c r="BY663" s="158"/>
      <c r="CB663" s="158"/>
    </row>
    <row r="664" ht="18.0" hidden="1" customHeight="1">
      <c r="A664" s="222">
        <f>IFERROR(__xludf.DUMMYFUNCTION("""COMPUTED_VALUE"""),2026.0)</f>
        <v>2026</v>
      </c>
      <c r="B664" s="221">
        <f>IFERROR(__xludf.DUMMYFUNCTION("""COMPUTED_VALUE"""),1.2098804E7)</f>
        <v>12098804</v>
      </c>
      <c r="C664" s="222" t="str">
        <f>IFERROR(__xludf.DUMMYFUNCTION("""COMPUTED_VALUE"""),"JBI-PT3 BRANCHING-SRJ-FQ-ID 549896")</f>
        <v>JBI-PT3 BRANCHING-SRJ-FQ-ID 549896</v>
      </c>
      <c r="D664" s="222" t="str">
        <f>IFERROR(__xludf.DUMMYFUNCTION("""COMPUTED_VALUE"""),"REGIONAL I")</f>
        <v>REGIONAL I</v>
      </c>
      <c r="E664" s="222" t="str">
        <f>IFERROR(__xludf.DUMMYFUNCTION("""COMPUTED_VALUE"""),"JAMBI")</f>
        <v>JAMBI</v>
      </c>
      <c r="F664" s="222" t="str">
        <f>IFERROR(__xludf.DUMMYFUNCTION("""COMPUTED_VALUE"""),"SRJ")</f>
        <v>SRJ</v>
      </c>
      <c r="G664" s="222" t="str">
        <f>IFERROR(__xludf.DUMMYFUNCTION("""COMPUTED_VALUE"""),"SUMBAGSEL")</f>
        <v>SUMBAGSEL</v>
      </c>
      <c r="H664" s="222" t="str">
        <f>IFERROR(__xludf.DUMMYFUNCTION("""COMPUTED_VALUE"""),"JAMBI")</f>
        <v>JAMBI</v>
      </c>
      <c r="I664" s="222" t="str">
        <f>IFERROR(__xludf.DUMMYFUNCTION("""COMPUTED_VALUE"""),"Batch 2")</f>
        <v>Batch 2</v>
      </c>
      <c r="J664" s="225">
        <f>IFERROR(__xludf.DUMMYFUNCTION("""COMPUTED_VALUE"""),1.0)</f>
        <v>1</v>
      </c>
      <c r="K664" s="224">
        <f>IFERROR(__xludf.DUMMYFUNCTION("""COMPUTED_VALUE"""),8.0)</f>
        <v>8</v>
      </c>
      <c r="L664" s="226">
        <f>IFERROR(__xludf.DUMMYFUNCTION("""COMPUTED_VALUE"""),1156218.0)</f>
        <v>1156218</v>
      </c>
      <c r="M664" s="227">
        <f>IFERROR(__xludf.DUMMYFUNCTION("""COMPUTED_VALUE"""),9249740.0)</f>
        <v>9249740</v>
      </c>
      <c r="N664" s="222" t="str">
        <f>IFERROR(__xludf.DUMMYFUNCTION("""COMPUTED_VALUE"""),"PT TRIPUTRA ANDALAN")</f>
        <v>PT TRIPUTRA ANDALAN</v>
      </c>
      <c r="O664" s="222" t="str">
        <f>IFERROR(__xludf.DUMMYFUNCTION("""COMPUTED_VALUE"""),"0. DROP")</f>
        <v>0. DROP</v>
      </c>
      <c r="P664" s="222" t="str">
        <f>IFERROR(__xludf.DUMMYFUNCTION("""COMPUTED_VALUE"""),"0.5 DROP TSEL - Acc ED TIF")</f>
        <v>0.5 DROP TSEL - Acc ED TIF</v>
      </c>
      <c r="Q664" s="222" t="str">
        <f>IFERROR(__xludf.DUMMYFUNCTION("""COMPUTED_VALUE"""),"09/04 BA Drop Sirkulir - Permintaan Tsel Market tidak OK  (12/1) BA Drop Sirkulir - Permintaan Tsel Market tidak OK  (06/01)order JPP batch-2 2026 (Drop Permintaan Tsel")</f>
        <v>09/04 BA Drop Sirkulir - Permintaan Tsel Market tidak OK  (12/1) BA Drop Sirkulir - Permintaan Tsel Market tidak OK  (06/01)order JPP batch-2 2026 (Drop Permintaan Tsel</v>
      </c>
      <c r="R664" s="228"/>
      <c r="S664" s="11"/>
      <c r="T664" s="11"/>
      <c r="U664" s="11"/>
      <c r="V664" s="229"/>
      <c r="W664" s="229"/>
      <c r="X664" s="229" t="str">
        <f>IFERROR(__xludf.DUMMYFUNCTION("""COMPUTED_VALUE"""),"BELUM GOLIVE")</f>
        <v>BELUM GOLIVE</v>
      </c>
      <c r="Y664" s="229"/>
      <c r="Z664" s="229" t="str">
        <f>IFERROR(__xludf.DUMMYFUNCTION("""COMPUTED_VALUE"""),"#N/A")</f>
        <v>#N/A</v>
      </c>
      <c r="AA664" s="229"/>
      <c r="AB664" s="229"/>
      <c r="AC664" s="229"/>
      <c r="AD664" s="232"/>
      <c r="AE664" s="233"/>
      <c r="AF664" s="54"/>
      <c r="AG664" s="54"/>
      <c r="AH664" s="54"/>
      <c r="AI664" s="55" t="str">
        <f t="shared" si="80"/>
        <v/>
      </c>
      <c r="AW664" s="234"/>
      <c r="BP664" s="11"/>
      <c r="BQ664" s="11"/>
      <c r="BR664" s="235"/>
      <c r="BV664" s="158"/>
      <c r="BY664" s="158"/>
      <c r="CB664" s="158"/>
    </row>
    <row r="665" ht="18.0" hidden="1" customHeight="1">
      <c r="A665" s="222">
        <f>IFERROR(__xludf.DUMMYFUNCTION("""COMPUTED_VALUE"""),2026.0)</f>
        <v>2026</v>
      </c>
      <c r="B665" s="221">
        <f>IFERROR(__xludf.DUMMYFUNCTION("""COMPUTED_VALUE"""),1.1389024E7)</f>
        <v>11389024</v>
      </c>
      <c r="C665" s="222" t="str">
        <f>IFERROR(__xludf.DUMMYFUNCTION("""COMPUTED_VALUE"""),"ACH PT3 BPD-FC LADANG")</f>
        <v>ACH PT3 BPD-FC LADANG</v>
      </c>
      <c r="D665" s="222" t="str">
        <f>IFERROR(__xludf.DUMMYFUNCTION("""COMPUTED_VALUE"""),"REGIONAL I")</f>
        <v>REGIONAL I</v>
      </c>
      <c r="E665" s="222" t="str">
        <f>IFERROR(__xludf.DUMMYFUNCTION("""COMPUTED_VALUE"""),"ACEH")</f>
        <v>ACEH</v>
      </c>
      <c r="F665" s="222" t="str">
        <f>IFERROR(__xludf.DUMMYFUNCTION("""COMPUTED_VALUE"""),"BPD")</f>
        <v>BPD</v>
      </c>
      <c r="G665" s="222" t="str">
        <f>IFERROR(__xludf.DUMMYFUNCTION("""COMPUTED_VALUE"""),"SUMBAGUT")</f>
        <v>SUMBAGUT</v>
      </c>
      <c r="H665" s="222" t="str">
        <f>IFERROR(__xludf.DUMMYFUNCTION("""COMPUTED_VALUE"""),"BANDA ACEH")</f>
        <v>BANDA ACEH</v>
      </c>
      <c r="I665" s="222" t="str">
        <f>IFERROR(__xludf.DUMMYFUNCTION("""COMPUTED_VALUE"""),"Batch 2")</f>
        <v>Batch 2</v>
      </c>
      <c r="J665" s="225">
        <f>IFERROR(__xludf.DUMMYFUNCTION("""COMPUTED_VALUE"""),25.0)</f>
        <v>25</v>
      </c>
      <c r="K665" s="224">
        <f>IFERROR(__xludf.DUMMYFUNCTION("""COMPUTED_VALUE"""),200.0)</f>
        <v>200</v>
      </c>
      <c r="L665" s="226">
        <f>IFERROR(__xludf.DUMMYFUNCTION("""COMPUTED_VALUE"""),1155168.0)</f>
        <v>1155168</v>
      </c>
      <c r="M665" s="227">
        <f>IFERROR(__xludf.DUMMYFUNCTION("""COMPUTED_VALUE"""),2.31033464E8)</f>
        <v>231033464</v>
      </c>
      <c r="N665" s="222" t="str">
        <f>IFERROR(__xludf.DUMMYFUNCTION("""COMPUTED_VALUE"""),"PT NIAGA NUSANTARA DIVA")</f>
        <v>PT NIAGA NUSANTARA DIVA</v>
      </c>
      <c r="O665" s="222" t="str">
        <f>IFERROR(__xludf.DUMMYFUNCTION("""COMPUTED_VALUE"""),"5. INSTALASI")</f>
        <v>5. INSTALASI</v>
      </c>
      <c r="P665" s="222" t="str">
        <f>IFERROR(__xludf.DUMMYFUNCTION("""COMPUTED_VALUE"""),"5.9 Proses Pemasangan/Terminasi ODP/OTB")</f>
        <v>5.9 Proses Pemasangan/Terminasi ODP/OTB</v>
      </c>
      <c r="Q665" s="222" t="str">
        <f>IFERROR(__xludf.DUMMYFUNCTION("""COMPUTED_VALUE"""),"(21/04) OGP terminasi ODP , namun kendala modul OLT
(13/04) Terminasi (09/04) Penarikan Kabel (31/03) Tanam Tiang (03/03) Waiting Material Ready (09/02) PO Material (06/02) Done Aanwijzing (29/01) proses survey (07/01) Persiapan")</f>
        <v>(21/04) OGP terminasi ODP , namun kendala modul OLT
(13/04) Terminasi (09/04) Penarikan Kabel (31/03) Tanam Tiang (03/03) Waiting Material Ready (09/02) PO Material (06/02) Done Aanwijzing (29/01) proses survey (07/01) Persiapan</v>
      </c>
      <c r="R665" s="228">
        <f>IFERROR(__xludf.DUMMYFUNCTION("""COMPUTED_VALUE"""),46140.0)</f>
        <v>46140</v>
      </c>
      <c r="S665" s="11" t="str">
        <f>IFERROR(__xludf.DUMMYFUNCTION("""COMPUTED_VALUE"""),"APR")</f>
        <v>APR</v>
      </c>
      <c r="T665" s="73"/>
      <c r="U665" s="11"/>
      <c r="V665" s="229"/>
      <c r="W665" s="229" t="str">
        <f>IFERROR(__xludf.DUMMYFUNCTION("""COMPUTED_VALUE"""),"#N/A")</f>
        <v>#N/A</v>
      </c>
      <c r="X665" s="229" t="str">
        <f>IFERROR(__xludf.DUMMYFUNCTION("""COMPUTED_VALUE"""),"BELUM GOLIVE")</f>
        <v>BELUM GOLIVE</v>
      </c>
      <c r="Y665" s="229"/>
      <c r="Z665" s="229" t="str">
        <f>IFERROR(__xludf.DUMMYFUNCTION("""COMPUTED_VALUE"""),"#N/A")</f>
        <v>#N/A</v>
      </c>
      <c r="AA665" s="229"/>
      <c r="AB665" s="229"/>
      <c r="AC665" s="229"/>
      <c r="AD665" s="232"/>
      <c r="AE665" s="233"/>
      <c r="AF665" s="54"/>
      <c r="AG665" s="54"/>
      <c r="AH665" s="54">
        <v>46133.0</v>
      </c>
      <c r="AI665" s="55" t="str">
        <f t="shared" si="80"/>
        <v/>
      </c>
      <c r="AW665" s="234"/>
      <c r="BP665" s="11"/>
      <c r="BQ665" s="11"/>
      <c r="BR665" s="235"/>
      <c r="BV665" s="158"/>
      <c r="BY665" s="158"/>
      <c r="CB665" s="158"/>
    </row>
    <row r="666" ht="18.0" hidden="1" customHeight="1">
      <c r="A666" s="222">
        <f>IFERROR(__xludf.DUMMYFUNCTION("""COMPUTED_VALUE"""),2026.0)</f>
        <v>2026</v>
      </c>
      <c r="B666" s="221">
        <f>IFERROR(__xludf.DUMMYFUNCTION("""COMPUTED_VALUE"""),1.1157963E7)</f>
        <v>11157963</v>
      </c>
      <c r="C666" s="222" t="str">
        <f>IFERROR(__xludf.DUMMYFUNCTION("""COMPUTED_VALUE"""),"MDN PT3 PDB-FAG SEMBADA MINIMALIS 2")</f>
        <v>MDN PT3 PDB-FAG SEMBADA MINIMALIS 2</v>
      </c>
      <c r="D666" s="222" t="str">
        <f>IFERROR(__xludf.DUMMYFUNCTION("""COMPUTED_VALUE"""),"REGIONAL I")</f>
        <v>REGIONAL I</v>
      </c>
      <c r="E666" s="222" t="str">
        <f>IFERROR(__xludf.DUMMYFUNCTION("""COMPUTED_VALUE"""),"MEDAN")</f>
        <v>MEDAN</v>
      </c>
      <c r="F666" s="222" t="str">
        <f>IFERROR(__xludf.DUMMYFUNCTION("""COMPUTED_VALUE"""),"PDB")</f>
        <v>PDB</v>
      </c>
      <c r="G666" s="222" t="str">
        <f>IFERROR(__xludf.DUMMYFUNCTION("""COMPUTED_VALUE"""),"SUMBAGUT")</f>
        <v>SUMBAGUT</v>
      </c>
      <c r="H666" s="222" t="str">
        <f>IFERROR(__xludf.DUMMYFUNCTION("""COMPUTED_VALUE"""),"MEDAN")</f>
        <v>MEDAN</v>
      </c>
      <c r="I666" s="222" t="str">
        <f>IFERROR(__xludf.DUMMYFUNCTION("""COMPUTED_VALUE"""),"Batch 2")</f>
        <v>Batch 2</v>
      </c>
      <c r="J666" s="225">
        <f>IFERROR(__xludf.DUMMYFUNCTION("""COMPUTED_VALUE"""),9.0)</f>
        <v>9</v>
      </c>
      <c r="K666" s="224">
        <f>IFERROR(__xludf.DUMMYFUNCTION("""COMPUTED_VALUE"""),72.0)</f>
        <v>72</v>
      </c>
      <c r="L666" s="226">
        <f>IFERROR(__xludf.DUMMYFUNCTION("""COMPUTED_VALUE"""),1152156.0)</f>
        <v>1152156</v>
      </c>
      <c r="M666" s="227">
        <f>IFERROR(__xludf.DUMMYFUNCTION("""COMPUTED_VALUE"""),8.2955231E7)</f>
        <v>82955231</v>
      </c>
      <c r="N666" s="222" t="str">
        <f>IFERROR(__xludf.DUMMYFUNCTION("""COMPUTED_VALUE"""),"PT MITRA AKSES INSANI")</f>
        <v>PT MITRA AKSES INSANI</v>
      </c>
      <c r="O666" s="222" t="str">
        <f>IFERROR(__xludf.DUMMYFUNCTION("""COMPUTED_VALUE"""),"0. DROP")</f>
        <v>0. DROP</v>
      </c>
      <c r="P666" s="222" t="str">
        <f>IFERROR(__xludf.DUMMYFUNCTION("""COMPUTED_VALUE"""),"0.4 CPP Tinggi Acc ED TIF")</f>
        <v>0.4 CPP Tinggi Acc ED TIF</v>
      </c>
      <c r="Q666" s="222" t="str">
        <f>IFERROR(__xludf.DUMMYFUNCTION("""COMPUTED_VALUE"""),"02/02 Feeder Tidak Tembus")</f>
        <v>02/02 Feeder Tidak Tembus</v>
      </c>
      <c r="R666" s="228"/>
      <c r="S666" s="11"/>
      <c r="T666" s="11"/>
      <c r="U666" s="11"/>
      <c r="V666" s="229"/>
      <c r="W666" s="229"/>
      <c r="X666" s="229" t="str">
        <f>IFERROR(__xludf.DUMMYFUNCTION("""COMPUTED_VALUE"""),"BELUM GOLIVE")</f>
        <v>BELUM GOLIVE</v>
      </c>
      <c r="Y666" s="229"/>
      <c r="Z666" s="229" t="str">
        <f>IFERROR(__xludf.DUMMYFUNCTION("""COMPUTED_VALUE"""),"#N/A")</f>
        <v>#N/A</v>
      </c>
      <c r="AA666" s="229"/>
      <c r="AB666" s="229"/>
      <c r="AC666" s="229"/>
      <c r="AD666" s="232"/>
      <c r="AE666" s="233"/>
      <c r="AF666" s="54" t="str">
        <f>IFERROR(__xludf.DUMMYFUNCTION("""COMPUTED_VALUE"""),"Draft BA DROP")</f>
        <v>Draft BA DROP</v>
      </c>
      <c r="AG666" s="54"/>
      <c r="AH666" s="54"/>
      <c r="AI666" s="55" t="str">
        <f t="shared" si="80"/>
        <v/>
      </c>
      <c r="AW666" s="234"/>
      <c r="BP666" s="11"/>
      <c r="BQ666" s="11"/>
      <c r="BR666" s="235"/>
      <c r="BV666" s="158"/>
      <c r="BY666" s="158"/>
      <c r="CB666" s="158"/>
    </row>
    <row r="667" ht="18.0" customHeight="1">
      <c r="A667" s="222">
        <f>IFERROR(__xludf.DUMMYFUNCTION("""COMPUTED_VALUE"""),2026.0)</f>
        <v>2026</v>
      </c>
      <c r="B667" s="221">
        <f>IFERROR(__xludf.DUMMYFUNCTION("""COMPUTED_VALUE"""),1.1276386E7)</f>
        <v>11276386</v>
      </c>
      <c r="C667" s="222" t="str">
        <f>IFERROR(__xludf.DUMMYFUNCTION("""COMPUTED_VALUE"""),"RKP PT3 TSEL LBJ-FAG KAMPUNG UTAMA")</f>
        <v>RKP PT3 TSEL LBJ-FAG KAMPUNG UTAMA</v>
      </c>
      <c r="D667" s="222" t="str">
        <f>IFERROR(__xludf.DUMMYFUNCTION("""COMPUTED_VALUE"""),"REGIONAL I")</f>
        <v>REGIONAL I</v>
      </c>
      <c r="E667" s="222" t="str">
        <f>IFERROR(__xludf.DUMMYFUNCTION("""COMPUTED_VALUE"""),"RIKEP")</f>
        <v>RIKEP</v>
      </c>
      <c r="F667" s="222" t="str">
        <f>IFERROR(__xludf.DUMMYFUNCTION("""COMPUTED_VALUE"""),"LBJ")</f>
        <v>LBJ</v>
      </c>
      <c r="G667" s="222" t="str">
        <f>IFERROR(__xludf.DUMMYFUNCTION("""COMPUTED_VALUE"""),"SUMBAGTENG")</f>
        <v>SUMBAGTENG</v>
      </c>
      <c r="H667" s="222" t="str">
        <f>IFERROR(__xludf.DUMMYFUNCTION("""COMPUTED_VALUE"""),"BATAM")</f>
        <v>BATAM</v>
      </c>
      <c r="I667" s="222" t="str">
        <f>IFERROR(__xludf.DUMMYFUNCTION("""COMPUTED_VALUE"""),"Batch 2")</f>
        <v>Batch 2</v>
      </c>
      <c r="J667" s="225">
        <f>IFERROR(__xludf.DUMMYFUNCTION("""COMPUTED_VALUE"""),3.0)</f>
        <v>3</v>
      </c>
      <c r="K667" s="224">
        <f>IFERROR(__xludf.DUMMYFUNCTION("""COMPUTED_VALUE"""),24.0)</f>
        <v>24</v>
      </c>
      <c r="L667" s="226">
        <f>IFERROR(__xludf.DUMMYFUNCTION("""COMPUTED_VALUE"""),1151356.0)</f>
        <v>1151356</v>
      </c>
      <c r="M667" s="227">
        <f>IFERROR(__xludf.DUMMYFUNCTION("""COMPUTED_VALUE"""),2.7632544E7)</f>
        <v>27632544</v>
      </c>
      <c r="N667" s="222" t="str">
        <f>IFERROR(__xludf.DUMMYFUNCTION("""COMPUTED_VALUE"""),"PT. JARI TRIMINDO")</f>
        <v>PT. JARI TRIMINDO</v>
      </c>
      <c r="O667" s="222" t="str">
        <f>IFERROR(__xludf.DUMMYFUNCTION("""COMPUTED_VALUE"""),"2. DONE AANWIJZING")</f>
        <v>2. DONE AANWIJZING</v>
      </c>
      <c r="P667" s="222" t="str">
        <f>IFERROR(__xludf.DUMMYFUNCTION("""COMPUTED_VALUE"""),"2.10 Kendala - Feeder Rusak")</f>
        <v>2.10 Kendala - Feeder Rusak</v>
      </c>
      <c r="Q667" s="222" t="str">
        <f>IFERROR(__xludf.DUMMYFUNCTION("""COMPUTED_VALUE"""),"05/03 repair kabel feeder krn rusak ( core tidak tembus )
23/01 Plan anwijzing 26 Jan, PIC mitra belum sampai. 21/01 proses penunjukan mitra 
")</f>
        <v>05/03 repair kabel feeder krn rusak ( core tidak tembus )
23/01 Plan anwijzing 26 Jan, PIC mitra belum sampai. 21/01 proses penunjukan mitra 
</v>
      </c>
      <c r="R667" s="228"/>
      <c r="S667" s="11" t="str">
        <f>IFERROR(__xludf.DUMMYFUNCTION("""COMPUTED_VALUE"""),"MAR")</f>
        <v>MAR</v>
      </c>
      <c r="T667" s="11"/>
      <c r="U667" s="11"/>
      <c r="V667" s="229" t="str">
        <f>IFERROR(__xludf.DUMMYFUNCTION("""COMPUTED_VALUE"""),"RONALDO LEO INFANTRI")</f>
        <v>RONALDO LEO INFANTRI</v>
      </c>
      <c r="W667" s="229" t="str">
        <f>IFERROR(__xludf.DUMMYFUNCTION("""COMPUTED_VALUE"""),"LEVITA INDRIYANI")</f>
        <v>LEVITA INDRIYANI</v>
      </c>
      <c r="X667" s="229" t="str">
        <f>IFERROR(__xludf.DUMMYFUNCTION("""COMPUTED_VALUE"""),"BELUM GOLIVE")</f>
        <v>BELUM GOLIVE</v>
      </c>
      <c r="Y667" s="229"/>
      <c r="Z667" s="229" t="str">
        <f>IFERROR(__xludf.DUMMYFUNCTION("""COMPUTED_VALUE"""),"#N/A")</f>
        <v>#N/A</v>
      </c>
      <c r="AA667" s="229"/>
      <c r="AB667" s="229"/>
      <c r="AC667" s="229"/>
      <c r="AD667" s="232"/>
      <c r="AE667" s="233"/>
      <c r="AF667" s="54"/>
      <c r="AG667" s="54"/>
      <c r="AH667" s="54"/>
      <c r="AI667" s="55" t="str">
        <f t="shared" si="80"/>
        <v/>
      </c>
      <c r="AW667" s="234"/>
      <c r="BP667" s="11"/>
      <c r="BQ667" s="11"/>
      <c r="BR667" s="235"/>
      <c r="BV667" s="158"/>
      <c r="BY667" s="158"/>
      <c r="CB667" s="158"/>
    </row>
    <row r="668" ht="18.0" hidden="1" customHeight="1">
      <c r="A668" s="222">
        <f>IFERROR(__xludf.DUMMYFUNCTION("""COMPUTED_VALUE"""),2026.0)</f>
        <v>2026</v>
      </c>
      <c r="B668" s="221">
        <f>IFERROR(__xludf.DUMMYFUNCTION("""COMPUTED_VALUE"""),1.1391138E7)</f>
        <v>11391138</v>
      </c>
      <c r="C668" s="222" t="str">
        <f>IFERROR(__xludf.DUMMYFUNCTION("""COMPUTED_VALUE"""),"MDN PT3 BJI-FGC KOTA BINJAI_1470")</f>
        <v>MDN PT3 BJI-FGC KOTA BINJAI_1470</v>
      </c>
      <c r="D668" s="222" t="str">
        <f>IFERROR(__xludf.DUMMYFUNCTION("""COMPUTED_VALUE"""),"REGIONAL I")</f>
        <v>REGIONAL I</v>
      </c>
      <c r="E668" s="222" t="str">
        <f>IFERROR(__xludf.DUMMYFUNCTION("""COMPUTED_VALUE"""),"MEDAN")</f>
        <v>MEDAN</v>
      </c>
      <c r="F668" s="222" t="str">
        <f>IFERROR(__xludf.DUMMYFUNCTION("""COMPUTED_VALUE"""),"BJI")</f>
        <v>BJI</v>
      </c>
      <c r="G668" s="222" t="str">
        <f>IFERROR(__xludf.DUMMYFUNCTION("""COMPUTED_VALUE"""),"SUMBAGUT")</f>
        <v>SUMBAGUT</v>
      </c>
      <c r="H668" s="222" t="str">
        <f>IFERROR(__xludf.DUMMYFUNCTION("""COMPUTED_VALUE"""),"BINJAI")</f>
        <v>BINJAI</v>
      </c>
      <c r="I668" s="222" t="str">
        <f>IFERROR(__xludf.DUMMYFUNCTION("""COMPUTED_VALUE"""),"Batch 2")</f>
        <v>Batch 2</v>
      </c>
      <c r="J668" s="225">
        <f>IFERROR(__xludf.DUMMYFUNCTION("""COMPUTED_VALUE"""),2.0)</f>
        <v>2</v>
      </c>
      <c r="K668" s="224">
        <f>IFERROR(__xludf.DUMMYFUNCTION("""COMPUTED_VALUE"""),16.0)</f>
        <v>16</v>
      </c>
      <c r="L668" s="226">
        <f>IFERROR(__xludf.DUMMYFUNCTION("""COMPUTED_VALUE"""),1415853.0)</f>
        <v>1415853</v>
      </c>
      <c r="M668" s="227">
        <f>IFERROR(__xludf.DUMMYFUNCTION("""COMPUTED_VALUE"""),2.2653648E7)</f>
        <v>22653648</v>
      </c>
      <c r="N668" s="222" t="str">
        <f>IFERROR(__xludf.DUMMYFUNCTION("""COMPUTED_VALUE"""),"PT ALAM UTAMA MULIA")</f>
        <v>PT ALAM UTAMA MULIA</v>
      </c>
      <c r="O668" s="222" t="str">
        <f>IFERROR(__xludf.DUMMYFUNCTION("""COMPUTED_VALUE"""),"0. DROP")</f>
        <v>0. DROP</v>
      </c>
      <c r="P668" s="222" t="str">
        <f>IFERROR(__xludf.DUMMYFUNCTION("""COMPUTED_VALUE"""),"0.4 CPP Tinggi Acc ED TIF")</f>
        <v>0.4 CPP Tinggi Acc ED TIF</v>
      </c>
      <c r="Q668" s="222" t="str">
        <f>IFERROR(__xludf.DUMMYFUNCTION("""COMPUTED_VALUE"""),"(07/01) Persiapan
20/10 proses perizinan
07/10 pengecekan core idle feeder ready")</f>
        <v>(07/01) Persiapan
20/10 proses perizinan
07/10 pengecekan core idle feeder ready</v>
      </c>
      <c r="R668" s="228"/>
      <c r="S668" s="11"/>
      <c r="T668" s="11"/>
      <c r="U668" s="11"/>
      <c r="V668" s="229"/>
      <c r="W668" s="229"/>
      <c r="X668" s="229" t="str">
        <f>IFERROR(__xludf.DUMMYFUNCTION("""COMPUTED_VALUE"""),"BELUM GOLIVE")</f>
        <v>BELUM GOLIVE</v>
      </c>
      <c r="Y668" s="229"/>
      <c r="Z668" s="229" t="str">
        <f>IFERROR(__xludf.DUMMYFUNCTION("""COMPUTED_VALUE"""),"#N/A")</f>
        <v>#N/A</v>
      </c>
      <c r="AA668" s="229"/>
      <c r="AB668" s="229"/>
      <c r="AC668" s="229"/>
      <c r="AD668" s="232"/>
      <c r="AE668" s="233"/>
      <c r="AF668" s="54" t="str">
        <f>IFERROR(__xludf.DUMMYFUNCTION("""COMPUTED_VALUE"""),"Draft BA DROP")</f>
        <v>Draft BA DROP</v>
      </c>
      <c r="AG668" s="54"/>
      <c r="AH668" s="54"/>
      <c r="AI668" s="55" t="str">
        <f t="shared" si="80"/>
        <v/>
      </c>
      <c r="AW668" s="234"/>
      <c r="BP668" s="11"/>
      <c r="BQ668" s="11"/>
      <c r="BR668" s="235"/>
      <c r="BV668" s="158"/>
      <c r="BY668" s="158"/>
      <c r="CB668" s="158"/>
    </row>
    <row r="669" ht="18.0" hidden="1" customHeight="1">
      <c r="A669" s="222">
        <f>IFERROR(__xludf.DUMMYFUNCTION("""COMPUTED_VALUE"""),2026.0)</f>
        <v>2026</v>
      </c>
      <c r="B669" s="221">
        <f>IFERROR(__xludf.DUMMYFUNCTION("""COMPUTED_VALUE"""),1.1517665E7)</f>
        <v>11517665</v>
      </c>
      <c r="C669" s="222" t="str">
        <f>IFERROR(__xludf.DUMMYFUNCTION("""COMPUTED_VALUE"""),"BBL PT3 Ujung Kulong Aik Ranggong")</f>
        <v>BBL PT3 Ujung Kulong Aik Ranggong</v>
      </c>
      <c r="D669" s="222" t="str">
        <f>IFERROR(__xludf.DUMMYFUNCTION("""COMPUTED_VALUE"""),"REGIONAL I")</f>
        <v>REGIONAL I</v>
      </c>
      <c r="E669" s="222" t="str">
        <f>IFERROR(__xludf.DUMMYFUNCTION("""COMPUTED_VALUE"""),"BABEL")</f>
        <v>BABEL</v>
      </c>
      <c r="F669" s="222" t="str">
        <f>IFERROR(__xludf.DUMMYFUNCTION("""COMPUTED_VALUE"""),"TJN")</f>
        <v>TJN</v>
      </c>
      <c r="G669" s="222" t="str">
        <f>IFERROR(__xludf.DUMMYFUNCTION("""COMPUTED_VALUE"""),"SUMBAGSEL")</f>
        <v>SUMBAGSEL</v>
      </c>
      <c r="H669" s="222" t="str">
        <f>IFERROR(__xludf.DUMMYFUNCTION("""COMPUTED_VALUE"""),"PANGKAL PINANG")</f>
        <v>PANGKAL PINANG</v>
      </c>
      <c r="I669" s="222" t="str">
        <f>IFERROR(__xludf.DUMMYFUNCTION("""COMPUTED_VALUE"""),"Batch 2")</f>
        <v>Batch 2</v>
      </c>
      <c r="J669" s="225">
        <f>IFERROR(__xludf.DUMMYFUNCTION("""COMPUTED_VALUE"""),7.0)</f>
        <v>7</v>
      </c>
      <c r="K669" s="224">
        <f>IFERROR(__xludf.DUMMYFUNCTION("""COMPUTED_VALUE"""),56.0)</f>
        <v>56</v>
      </c>
      <c r="L669" s="226">
        <f>IFERROR(__xludf.DUMMYFUNCTION("""COMPUTED_VALUE"""),1151042.0)</f>
        <v>1151042</v>
      </c>
      <c r="M669" s="227">
        <f>IFERROR(__xludf.DUMMYFUNCTION("""COMPUTED_VALUE"""),6.4458322E7)</f>
        <v>64458322</v>
      </c>
      <c r="N669" s="222" t="str">
        <f>IFERROR(__xludf.DUMMYFUNCTION("""COMPUTED_VALUE"""),"SWAKELOLA")</f>
        <v>SWAKELOLA</v>
      </c>
      <c r="O669" s="222" t="str">
        <f>IFERROR(__xludf.DUMMYFUNCTION("""COMPUTED_VALUE"""),"7. GOLIVE")</f>
        <v>7. GOLIVE</v>
      </c>
      <c r="P669" s="222" t="str">
        <f>IFERROR(__xludf.DUMMYFUNCTION("""COMPUTED_VALUE"""),"7.2 Golive Full / OA / DONE OTB")</f>
        <v>7.2 Golive Full / OA / DONE OTB</v>
      </c>
      <c r="Q669" s="222" t="str">
        <f>IFERROR(__xludf.DUMMYFUNCTION("""COMPUTED_VALUE"""),"(08/01) Done Go Live (07/1)  SUDAH READY ABD V4 NYA 31/12 Finish Instalasi 16/12 hold, plan matdel besok 28/11 pengecekan panjar regional 10/11 pp pengecekan regional (07/11) PP masih revisi ulang (04/11) penganjuan PP kendala belm ttd pak HOREG (06/10) P"&amp;"roses TTD PP || 01/10 Pengambilan material kendala Project plan Mandor proses Evaluasi finance Area (15/9)Proses perizinan RT/RW  (10/09) Proses Perizinan ")</f>
        <v>(08/01) Done Go Live (07/1)  SUDAH READY ABD V4 NYA 31/12 Finish Instalasi 16/12 hold, plan matdel besok 28/11 pengecekan panjar regional 10/11 pp pengecekan regional (07/11) PP masih revisi ulang (04/11) penganjuan PP kendala belm ttd pak HOREG (06/10) Proses TTD PP || 01/10 Pengambilan material kendala Project plan Mandor proses Evaluasi finance Area (15/9)Proses perizinan RT/RW  (10/09) Proses Perizinan </v>
      </c>
      <c r="R669" s="228"/>
      <c r="S669" s="11"/>
      <c r="T669" s="11"/>
      <c r="U669" s="11"/>
      <c r="V669" s="229"/>
      <c r="W669" s="229"/>
      <c r="X669" s="229" t="str">
        <f>IFERROR(__xludf.DUMMYFUNCTION("""COMPUTED_VALUE"""),"GOLIVE")</f>
        <v>GOLIVE</v>
      </c>
      <c r="Y669" s="229" t="str">
        <f>IFERROR(__xludf.DUMMYFUNCTION("""COMPUTED_VALUE"""),"DONE")</f>
        <v>DONE</v>
      </c>
      <c r="Z669" s="229" t="str">
        <f>IFERROR(__xludf.DUMMYFUNCTION("""COMPUTED_VALUE"""),"#N/A")</f>
        <v>#N/A</v>
      </c>
      <c r="AA669" s="229">
        <f>IFERROR(__xludf.DUMMYFUNCTION("""COMPUTED_VALUE"""),1.0)</f>
        <v>1</v>
      </c>
      <c r="AB669" s="229">
        <f>IFERROR(__xludf.DUMMYFUNCTION("""COMPUTED_VALUE"""),2.0)</f>
        <v>2</v>
      </c>
      <c r="AC669" s="229" t="str">
        <f>IFERROR(__xludf.DUMMYFUNCTION("""COMPUTED_VALUE"""),"8937260#8937265")</f>
        <v>8937260#8937265</v>
      </c>
      <c r="AD669" s="232">
        <f>IFERROR(__xludf.DUMMYFUNCTION("""COMPUTED_VALUE"""),40.0)</f>
        <v>40</v>
      </c>
      <c r="AE669" s="233">
        <f>IFERROR(__xludf.DUMMYFUNCTION("""COMPUTED_VALUE"""),46036.0)</f>
        <v>46036</v>
      </c>
      <c r="AF669" s="54" t="str">
        <f>IFERROR(__xludf.DUMMYFUNCTION("""COMPUTED_VALUE"""),"DONE")</f>
        <v>DONE</v>
      </c>
      <c r="AG669" s="54"/>
      <c r="AH669" s="54"/>
      <c r="AI669" s="55" t="str">
        <f t="shared" si="80"/>
        <v/>
      </c>
      <c r="AW669" s="234"/>
      <c r="BP669" s="11"/>
      <c r="BQ669" s="11"/>
      <c r="BR669" s="235"/>
      <c r="BV669" s="158"/>
      <c r="BY669" s="158"/>
      <c r="CB669" s="158"/>
    </row>
    <row r="670" ht="18.0" hidden="1" customHeight="1">
      <c r="A670" s="222">
        <f>IFERROR(__xludf.DUMMYFUNCTION("""COMPUTED_VALUE"""),2026.0)</f>
        <v>2026</v>
      </c>
      <c r="B670" s="221">
        <f>IFERROR(__xludf.DUMMYFUNCTION("""COMPUTED_VALUE"""),1.2098603E7)</f>
        <v>12098603</v>
      </c>
      <c r="C670" s="222" t="str">
        <f>IFERROR(__xludf.DUMMYFUNCTION("""COMPUTED_VALUE"""),"JBI-PT3 BRANCHINGL-SRJ-FQ-ID 549858")</f>
        <v>JBI-PT3 BRANCHINGL-SRJ-FQ-ID 549858</v>
      </c>
      <c r="D670" s="222" t="str">
        <f>IFERROR(__xludf.DUMMYFUNCTION("""COMPUTED_VALUE"""),"REGIONAL I")</f>
        <v>REGIONAL I</v>
      </c>
      <c r="E670" s="222" t="str">
        <f>IFERROR(__xludf.DUMMYFUNCTION("""COMPUTED_VALUE"""),"JAMBI")</f>
        <v>JAMBI</v>
      </c>
      <c r="F670" s="222" t="str">
        <f>IFERROR(__xludf.DUMMYFUNCTION("""COMPUTED_VALUE"""),"SRJ")</f>
        <v>SRJ</v>
      </c>
      <c r="G670" s="222" t="str">
        <f>IFERROR(__xludf.DUMMYFUNCTION("""COMPUTED_VALUE"""),"SUMBAGSEL")</f>
        <v>SUMBAGSEL</v>
      </c>
      <c r="H670" s="222" t="str">
        <f>IFERROR(__xludf.DUMMYFUNCTION("""COMPUTED_VALUE"""),"JAMBI")</f>
        <v>JAMBI</v>
      </c>
      <c r="I670" s="222" t="str">
        <f>IFERROR(__xludf.DUMMYFUNCTION("""COMPUTED_VALUE"""),"Batch 2")</f>
        <v>Batch 2</v>
      </c>
      <c r="J670" s="225">
        <f>IFERROR(__xludf.DUMMYFUNCTION("""COMPUTED_VALUE"""),1.0)</f>
        <v>1</v>
      </c>
      <c r="K670" s="224">
        <f>IFERROR(__xludf.DUMMYFUNCTION("""COMPUTED_VALUE"""),8.0)</f>
        <v>8</v>
      </c>
      <c r="L670" s="226">
        <f>IFERROR(__xludf.DUMMYFUNCTION("""COMPUTED_VALUE"""),1150681.0)</f>
        <v>1150681</v>
      </c>
      <c r="M670" s="227">
        <f>IFERROR(__xludf.DUMMYFUNCTION("""COMPUTED_VALUE"""),9205443.0)</f>
        <v>9205443</v>
      </c>
      <c r="N670" s="222" t="str">
        <f>IFERROR(__xludf.DUMMYFUNCTION("""COMPUTED_VALUE"""),"PT TRIPUTRA ANDALAN")</f>
        <v>PT TRIPUTRA ANDALAN</v>
      </c>
      <c r="O670" s="222" t="str">
        <f>IFERROR(__xludf.DUMMYFUNCTION("""COMPUTED_VALUE"""),"0. DROP")</f>
        <v>0. DROP</v>
      </c>
      <c r="P670" s="222" t="str">
        <f>IFERROR(__xludf.DUMMYFUNCTION("""COMPUTED_VALUE"""),"0.5 DROP TSEL - Acc ED TIF")</f>
        <v>0.5 DROP TSEL - Acc ED TIF</v>
      </c>
      <c r="Q670" s="222" t="str">
        <f>IFERROR(__xludf.DUMMYFUNCTION("""COMPUTED_VALUE"""),"(12/1) BA Drop Sirkulir - Permintaan Tsel Market tidak OK  (06/01)order JPP batch-2 2026 (Drop Permintaan Tsel")</f>
        <v>(12/1) BA Drop Sirkulir - Permintaan Tsel Market tidak OK  (06/01)order JPP batch-2 2026 (Drop Permintaan Tsel</v>
      </c>
      <c r="R670" s="228"/>
      <c r="S670" s="11"/>
      <c r="T670" s="11"/>
      <c r="U670" s="11"/>
      <c r="V670" s="229"/>
      <c r="W670" s="229"/>
      <c r="X670" s="229" t="str">
        <f>IFERROR(__xludf.DUMMYFUNCTION("""COMPUTED_VALUE"""),"BELUM GOLIVE")</f>
        <v>BELUM GOLIVE</v>
      </c>
      <c r="Y670" s="229"/>
      <c r="Z670" s="229" t="str">
        <f>IFERROR(__xludf.DUMMYFUNCTION("""COMPUTED_VALUE"""),"#N/A")</f>
        <v>#N/A</v>
      </c>
      <c r="AA670" s="229"/>
      <c r="AB670" s="229"/>
      <c r="AC670" s="229"/>
      <c r="AD670" s="232"/>
      <c r="AE670" s="233"/>
      <c r="AF670" s="54"/>
      <c r="AG670" s="54"/>
      <c r="AH670" s="54"/>
      <c r="AI670" s="55" t="str">
        <f t="shared" si="80"/>
        <v/>
      </c>
      <c r="AW670" s="234"/>
      <c r="BP670" s="11"/>
      <c r="BQ670" s="11"/>
      <c r="BR670" s="235"/>
      <c r="BV670" s="158"/>
      <c r="BY670" s="158"/>
      <c r="CB670" s="158"/>
    </row>
    <row r="671" ht="18.0" hidden="1" customHeight="1">
      <c r="A671" s="222">
        <f>IFERROR(__xludf.DUMMYFUNCTION("""COMPUTED_VALUE"""),2026.0)</f>
        <v>2026</v>
      </c>
      <c r="B671" s="221">
        <f>IFERROR(__xludf.DUMMYFUNCTION("""COMPUTED_VALUE"""),1.1368405E7)</f>
        <v>11368405</v>
      </c>
      <c r="C671" s="222" t="str">
        <f>IFERROR(__xludf.DUMMYFUNCTION("""COMPUTED_VALUE"""),"MDN PT3 DLT-FK KOMP SETIA GADING PERMAI")</f>
        <v>MDN PT3 DLT-FK KOMP SETIA GADING PERMAI</v>
      </c>
      <c r="D671" s="222" t="str">
        <f>IFERROR(__xludf.DUMMYFUNCTION("""COMPUTED_VALUE"""),"REGIONAL I")</f>
        <v>REGIONAL I</v>
      </c>
      <c r="E671" s="222" t="str">
        <f>IFERROR(__xludf.DUMMYFUNCTION("""COMPUTED_VALUE"""),"MEDAN")</f>
        <v>MEDAN</v>
      </c>
      <c r="F671" s="222" t="str">
        <f>IFERROR(__xludf.DUMMYFUNCTION("""COMPUTED_VALUE"""),"DLT")</f>
        <v>DLT</v>
      </c>
      <c r="G671" s="222" t="str">
        <f>IFERROR(__xludf.DUMMYFUNCTION("""COMPUTED_VALUE"""),"SUMBAGUT")</f>
        <v>SUMBAGUT</v>
      </c>
      <c r="H671" s="222" t="str">
        <f>IFERROR(__xludf.DUMMYFUNCTION("""COMPUTED_VALUE"""),"MEDAN")</f>
        <v>MEDAN</v>
      </c>
      <c r="I671" s="222" t="str">
        <f>IFERROR(__xludf.DUMMYFUNCTION("""COMPUTED_VALUE"""),"Batch 2")</f>
        <v>Batch 2</v>
      </c>
      <c r="J671" s="225">
        <f>IFERROR(__xludf.DUMMYFUNCTION("""COMPUTED_VALUE"""),3.0)</f>
        <v>3</v>
      </c>
      <c r="K671" s="224">
        <f>IFERROR(__xludf.DUMMYFUNCTION("""COMPUTED_VALUE"""),24.0)</f>
        <v>24</v>
      </c>
      <c r="L671" s="226">
        <f>IFERROR(__xludf.DUMMYFUNCTION("""COMPUTED_VALUE"""),479477.0)</f>
        <v>479477</v>
      </c>
      <c r="M671" s="227">
        <f>IFERROR(__xludf.DUMMYFUNCTION("""COMPUTED_VALUE"""),1.1507426E7)</f>
        <v>11507426</v>
      </c>
      <c r="N671" s="222" t="str">
        <f>IFERROR(__xludf.DUMMYFUNCTION("""COMPUTED_VALUE"""),"PT UPENTEL INTERNASIONAL")</f>
        <v>PT UPENTEL INTERNASIONAL</v>
      </c>
      <c r="O671" s="222" t="str">
        <f>IFERROR(__xludf.DUMMYFUNCTION("""COMPUTED_VALUE"""),"2. DONE AANWIJZING")</f>
        <v>2. DONE AANWIJZING</v>
      </c>
      <c r="P671" s="222" t="str">
        <f>IFERROR(__xludf.DUMMYFUNCTION("""COMPUTED_VALUE"""),"2.10 Kendala - Feeder Rusak")</f>
        <v>2.10 Kendala - Feeder Rusak</v>
      </c>
      <c r="Q671" s="222" t="str">
        <f>IFERROR(__xludf.DUMMYFUNCTION("""COMPUTED_VALUE"""),"11/02 Update Mitra Feeder Redti &amp; DS Tidak Tembus, menunggu Evident 07/02 Done Order, Lnjut Aanwidzing")</f>
        <v>11/02 Update Mitra Feeder Redti &amp; DS Tidak Tembus, menunggu Evident 07/02 Done Order, Lnjut Aanwidzing</v>
      </c>
      <c r="R671" s="228"/>
      <c r="S671" s="11"/>
      <c r="T671" s="11"/>
      <c r="U671" s="11"/>
      <c r="V671" s="229"/>
      <c r="W671" s="229"/>
      <c r="X671" s="229" t="str">
        <f>IFERROR(__xludf.DUMMYFUNCTION("""COMPUTED_VALUE"""),"BELUM GOLIVE")</f>
        <v>BELUM GOLIVE</v>
      </c>
      <c r="Y671" s="229"/>
      <c r="Z671" s="229" t="str">
        <f>IFERROR(__xludf.DUMMYFUNCTION("""COMPUTED_VALUE"""),"#N/A")</f>
        <v>#N/A</v>
      </c>
      <c r="AA671" s="229"/>
      <c r="AB671" s="229"/>
      <c r="AC671" s="229"/>
      <c r="AD671" s="232"/>
      <c r="AE671" s="233"/>
      <c r="AF671" s="54"/>
      <c r="AG671" s="54"/>
      <c r="AH671" s="54"/>
      <c r="AI671" s="55" t="str">
        <f t="shared" si="80"/>
        <v/>
      </c>
      <c r="AW671" s="234"/>
      <c r="BP671" s="11"/>
      <c r="BQ671" s="11"/>
      <c r="BR671" s="235"/>
      <c r="BV671" s="158"/>
      <c r="BY671" s="158"/>
      <c r="CB671" s="158"/>
    </row>
    <row r="672" ht="18.0" hidden="1" customHeight="1">
      <c r="A672" s="222">
        <f>IFERROR(__xludf.DUMMYFUNCTION("""COMPUTED_VALUE"""),2026.0)</f>
        <v>2026</v>
      </c>
      <c r="B672" s="221">
        <f>IFERROR(__xludf.DUMMYFUNCTION("""COMPUTED_VALUE"""),1.1286625E7)</f>
        <v>11286625</v>
      </c>
      <c r="C672" s="222" t="str">
        <f>IFERROR(__xludf.DUMMYFUNCTION("""COMPUTED_VALUE"""),"BNK-PT3 BRC-BNC-FDG-JPPTSEL-P.KELAPA")</f>
        <v>BNK-PT3 BRC-BNC-FDG-JPPTSEL-P.KELAPA</v>
      </c>
      <c r="D672" s="222" t="str">
        <f>IFERROR(__xludf.DUMMYFUNCTION("""COMPUTED_VALUE"""),"REGIONAL I")</f>
        <v>REGIONAL I</v>
      </c>
      <c r="E672" s="222" t="str">
        <f>IFERROR(__xludf.DUMMYFUNCTION("""COMPUTED_VALUE"""),"BENGKULU")</f>
        <v>BENGKULU</v>
      </c>
      <c r="F672" s="222" t="str">
        <f>IFERROR(__xludf.DUMMYFUNCTION("""COMPUTED_VALUE"""),"BNC")</f>
        <v>BNC</v>
      </c>
      <c r="G672" s="222" t="str">
        <f>IFERROR(__xludf.DUMMYFUNCTION("""COMPUTED_VALUE"""),"SUMBAGSEL")</f>
        <v>SUMBAGSEL</v>
      </c>
      <c r="H672" s="222" t="str">
        <f>IFERROR(__xludf.DUMMYFUNCTION("""COMPUTED_VALUE"""),"BENGKULU")</f>
        <v>BENGKULU</v>
      </c>
      <c r="I672" s="222" t="str">
        <f>IFERROR(__xludf.DUMMYFUNCTION("""COMPUTED_VALUE"""),"Batch 2")</f>
        <v>Batch 2</v>
      </c>
      <c r="J672" s="225">
        <f>IFERROR(__xludf.DUMMYFUNCTION("""COMPUTED_VALUE"""),11.0)</f>
        <v>11</v>
      </c>
      <c r="K672" s="224">
        <f>IFERROR(__xludf.DUMMYFUNCTION("""COMPUTED_VALUE"""),88.0)</f>
        <v>88</v>
      </c>
      <c r="L672" s="226">
        <f>IFERROR(__xludf.DUMMYFUNCTION("""COMPUTED_VALUE"""),1150365.0)</f>
        <v>1150365</v>
      </c>
      <c r="M672" s="227">
        <f>IFERROR(__xludf.DUMMYFUNCTION("""COMPUTED_VALUE"""),1.01232044E8)</f>
        <v>101232044</v>
      </c>
      <c r="N672" s="222" t="str">
        <f>IFERROR(__xludf.DUMMYFUNCTION("""COMPUTED_VALUE"""),"PT TELAGA RESTU ABADI")</f>
        <v>PT TELAGA RESTU ABADI</v>
      </c>
      <c r="O672" s="222" t="str">
        <f>IFERROR(__xludf.DUMMYFUNCTION("""COMPUTED_VALUE"""),"0. DROP")</f>
        <v>0. DROP</v>
      </c>
      <c r="P672" s="222" t="str">
        <f>IFERROR(__xludf.DUMMYFUNCTION("""COMPUTED_VALUE"""),"0.3 Feeder Full")</f>
        <v>0.3 Feeder Full</v>
      </c>
      <c r="Q672" s="222" t="str">
        <f>IFERROR(__xludf.DUMMYFUNCTION("""COMPUTED_VALUE"""),"02/03 : Feeder  full  // (07/01) Persiapan")</f>
        <v>02/03 : Feeder  full  // (07/01) Persiapan</v>
      </c>
      <c r="R672" s="228"/>
      <c r="S672" s="11"/>
      <c r="T672" s="11"/>
      <c r="U672" s="11"/>
      <c r="V672" s="229"/>
      <c r="W672" s="229"/>
      <c r="X672" s="229" t="str">
        <f>IFERROR(__xludf.DUMMYFUNCTION("""COMPUTED_VALUE"""),"BELUM GOLIVE")</f>
        <v>BELUM GOLIVE</v>
      </c>
      <c r="Y672" s="229"/>
      <c r="Z672" s="229" t="str">
        <f>IFERROR(__xludf.DUMMYFUNCTION("""COMPUTED_VALUE"""),"#N/A")</f>
        <v>#N/A</v>
      </c>
      <c r="AA672" s="229"/>
      <c r="AB672" s="229"/>
      <c r="AC672" s="229"/>
      <c r="AD672" s="232"/>
      <c r="AE672" s="233"/>
      <c r="AF672" s="54" t="str">
        <f>IFERROR(__xludf.DUMMYFUNCTION("""COMPUTED_VALUE"""),"Draft BA DROP")</f>
        <v>Draft BA DROP</v>
      </c>
      <c r="AG672" s="54"/>
      <c r="AH672" s="54"/>
      <c r="AI672" s="55" t="str">
        <f t="shared" si="80"/>
        <v/>
      </c>
      <c r="AW672" s="234"/>
      <c r="BP672" s="11"/>
      <c r="BQ672" s="11"/>
      <c r="BR672" s="235"/>
      <c r="BV672" s="158"/>
      <c r="BY672" s="158"/>
      <c r="CB672" s="158"/>
    </row>
    <row r="673" ht="18.0" hidden="1" customHeight="1">
      <c r="A673" s="222">
        <f>IFERROR(__xludf.DUMMYFUNCTION("""COMPUTED_VALUE"""),2026.0)</f>
        <v>2026</v>
      </c>
      <c r="B673" s="221">
        <f>IFERROR(__xludf.DUMMYFUNCTION("""COMPUTED_VALUE"""),1.2084734E7)</f>
        <v>12084734</v>
      </c>
      <c r="C673" s="222" t="str">
        <f>IFERROR(__xludf.DUMMYFUNCTION("""COMPUTED_VALUE"""),"MDN PT3 CTD-FBP JL.AFNAWI NOEH_MD25")</f>
        <v>MDN PT3 CTD-FBP JL.AFNAWI NOEH_MD25</v>
      </c>
      <c r="D673" s="222" t="str">
        <f>IFERROR(__xludf.DUMMYFUNCTION("""COMPUTED_VALUE"""),"REGIONAL I")</f>
        <v>REGIONAL I</v>
      </c>
      <c r="E673" s="222" t="str">
        <f>IFERROR(__xludf.DUMMYFUNCTION("""COMPUTED_VALUE"""),"MEDAN")</f>
        <v>MEDAN</v>
      </c>
      <c r="F673" s="222" t="str">
        <f>IFERROR(__xludf.DUMMYFUNCTION("""COMPUTED_VALUE"""),"CTD")</f>
        <v>CTD</v>
      </c>
      <c r="G673" s="222" t="str">
        <f>IFERROR(__xludf.DUMMYFUNCTION("""COMPUTED_VALUE"""),"SUMBAGUT")</f>
        <v>SUMBAGUT</v>
      </c>
      <c r="H673" s="222" t="str">
        <f>IFERROR(__xludf.DUMMYFUNCTION("""COMPUTED_VALUE"""),"MEDAN")</f>
        <v>MEDAN</v>
      </c>
      <c r="I673" s="222" t="str">
        <f>IFERROR(__xludf.DUMMYFUNCTION("""COMPUTED_VALUE"""),"Batch 2")</f>
        <v>Batch 2</v>
      </c>
      <c r="J673" s="225">
        <f>IFERROR(__xludf.DUMMYFUNCTION("""COMPUTED_VALUE"""),3.0)</f>
        <v>3</v>
      </c>
      <c r="K673" s="224">
        <f>IFERROR(__xludf.DUMMYFUNCTION("""COMPUTED_VALUE"""),24.0)</f>
        <v>24</v>
      </c>
      <c r="L673" s="226">
        <f>IFERROR(__xludf.DUMMYFUNCTION("""COMPUTED_VALUE"""),1149836.0)</f>
        <v>1149836</v>
      </c>
      <c r="M673" s="227">
        <f>IFERROR(__xludf.DUMMYFUNCTION("""COMPUTED_VALUE"""),2.7596057E7)</f>
        <v>27596057</v>
      </c>
      <c r="N673" s="222" t="str">
        <f>IFERROR(__xludf.DUMMYFUNCTION("""COMPUTED_VALUE"""),"PT MILFHA MUTIARA PRIMA")</f>
        <v>PT MILFHA MUTIARA PRIMA</v>
      </c>
      <c r="O673" s="222" t="str">
        <f>IFERROR(__xludf.DUMMYFUNCTION("""COMPUTED_VALUE"""),"0. DROP")</f>
        <v>0. DROP</v>
      </c>
      <c r="P673" s="222" t="str">
        <f>IFERROR(__xludf.DUMMYFUNCTION("""COMPUTED_VALUE"""),"0.4 CPP Tinggi Acc ED TIF")</f>
        <v>0.4 CPP Tinggi Acc ED TIF</v>
      </c>
      <c r="Q673" s="222" t="str">
        <f>IFERROR(__xludf.DUMMYFUNCTION("""COMPUTED_VALUE"""),"04/02 Feeder Redti (07/01) Persiapan")</f>
        <v>04/02 Feeder Redti (07/01) Persiapan</v>
      </c>
      <c r="R673" s="228"/>
      <c r="S673" s="11"/>
      <c r="T673" s="11"/>
      <c r="U673" s="11"/>
      <c r="V673" s="229"/>
      <c r="W673" s="229"/>
      <c r="X673" s="229" t="str">
        <f>IFERROR(__xludf.DUMMYFUNCTION("""COMPUTED_VALUE"""),"BELUM GOLIVE")</f>
        <v>BELUM GOLIVE</v>
      </c>
      <c r="Y673" s="229"/>
      <c r="Z673" s="229" t="str">
        <f>IFERROR(__xludf.DUMMYFUNCTION("""COMPUTED_VALUE"""),"#N/A")</f>
        <v>#N/A</v>
      </c>
      <c r="AA673" s="229"/>
      <c r="AB673" s="229"/>
      <c r="AC673" s="229"/>
      <c r="AD673" s="232"/>
      <c r="AE673" s="233"/>
      <c r="AF673" s="54" t="str">
        <f>IFERROR(__xludf.DUMMYFUNCTION("""COMPUTED_VALUE"""),"Draft BA DROP")</f>
        <v>Draft BA DROP</v>
      </c>
      <c r="AG673" s="54"/>
      <c r="AH673" s="54"/>
      <c r="AI673" s="55" t="str">
        <f t="shared" si="80"/>
        <v/>
      </c>
      <c r="AW673" s="234"/>
      <c r="BP673" s="11"/>
      <c r="BQ673" s="11"/>
      <c r="BR673" s="235"/>
      <c r="BV673" s="158"/>
      <c r="BY673" s="158"/>
      <c r="CB673" s="158"/>
    </row>
    <row r="674" ht="18.0" hidden="1" customHeight="1">
      <c r="A674" s="222">
        <f>IFERROR(__xludf.DUMMYFUNCTION("""COMPUTED_VALUE"""),2026.0)</f>
        <v>2026</v>
      </c>
      <c r="B674" s="221">
        <f>IFERROR(__xludf.DUMMYFUNCTION("""COMPUTED_VALUE"""),1.158768E7)</f>
        <v>11587680</v>
      </c>
      <c r="C674" s="222" t="str">
        <f>IFERROR(__xludf.DUMMYFUNCTION("""COMPUTED_VALUE"""),"ACH BPD PT3 BPD-FN BR.D02 ALUE RAMBOT")</f>
        <v>ACH BPD PT3 BPD-FN BR.D02 ALUE RAMBOT</v>
      </c>
      <c r="D674" s="222" t="str">
        <f>IFERROR(__xludf.DUMMYFUNCTION("""COMPUTED_VALUE"""),"REGIONAL I")</f>
        <v>REGIONAL I</v>
      </c>
      <c r="E674" s="222" t="str">
        <f>IFERROR(__xludf.DUMMYFUNCTION("""COMPUTED_VALUE"""),"ACEH")</f>
        <v>ACEH</v>
      </c>
      <c r="F674" s="222" t="str">
        <f>IFERROR(__xludf.DUMMYFUNCTION("""COMPUTED_VALUE"""),"BPD")</f>
        <v>BPD</v>
      </c>
      <c r="G674" s="222" t="str">
        <f>IFERROR(__xludf.DUMMYFUNCTION("""COMPUTED_VALUE"""),"SUMBAGUT")</f>
        <v>SUMBAGUT</v>
      </c>
      <c r="H674" s="222" t="str">
        <f>IFERROR(__xludf.DUMMYFUNCTION("""COMPUTED_VALUE"""),"BANDA ACEH")</f>
        <v>BANDA ACEH</v>
      </c>
      <c r="I674" s="222" t="str">
        <f>IFERROR(__xludf.DUMMYFUNCTION("""COMPUTED_VALUE"""),"Batch 2")</f>
        <v>Batch 2</v>
      </c>
      <c r="J674" s="225">
        <f>IFERROR(__xludf.DUMMYFUNCTION("""COMPUTED_VALUE"""),15.0)</f>
        <v>15</v>
      </c>
      <c r="K674" s="224">
        <f>IFERROR(__xludf.DUMMYFUNCTION("""COMPUTED_VALUE"""),120.0)</f>
        <v>120</v>
      </c>
      <c r="L674" s="226">
        <f>IFERROR(__xludf.DUMMYFUNCTION("""COMPUTED_VALUE"""),1149240.0)</f>
        <v>1149240</v>
      </c>
      <c r="M674" s="227">
        <f>IFERROR(__xludf.DUMMYFUNCTION("""COMPUTED_VALUE"""),1.37908783E8)</f>
        <v>137908783</v>
      </c>
      <c r="N674" s="222" t="str">
        <f>IFERROR(__xludf.DUMMYFUNCTION("""COMPUTED_VALUE"""),"PT NIAGA NUSANTARA DIVA")</f>
        <v>PT NIAGA NUSANTARA DIVA</v>
      </c>
      <c r="O674" s="222" t="str">
        <f>IFERROR(__xludf.DUMMYFUNCTION("""COMPUTED_VALUE"""),"4. MATDEL")</f>
        <v>4. MATDEL</v>
      </c>
      <c r="P674" s="222" t="str">
        <f>IFERROR(__xludf.DUMMYFUNCTION("""COMPUTED_VALUE"""),"4.2 Sudah Request Material (Alista)")</f>
        <v>4.2 Sudah Request Material (Alista)</v>
      </c>
      <c r="Q674" s="222" t="str">
        <f>IFERROR(__xludf.DUMMYFUNCTION("""COMPUTED_VALUE"""),"(03/03) Waiting Material Ready (09/02) PO Material (29/01) proses survey (07/01) Persiapan")</f>
        <v>(03/03) Waiting Material Ready (09/02) PO Material (29/01) proses survey (07/01) Persiapan</v>
      </c>
      <c r="R674" s="228"/>
      <c r="S674" s="11"/>
      <c r="T674" s="73"/>
      <c r="U674" s="11"/>
      <c r="V674" s="229"/>
      <c r="W674" s="229" t="str">
        <f>IFERROR(__xludf.DUMMYFUNCTION("""COMPUTED_VALUE"""),"#N/A")</f>
        <v>#N/A</v>
      </c>
      <c r="X674" s="229" t="str">
        <f>IFERROR(__xludf.DUMMYFUNCTION("""COMPUTED_VALUE"""),"BELUM GOLIVE")</f>
        <v>BELUM GOLIVE</v>
      </c>
      <c r="Y674" s="229"/>
      <c r="Z674" s="229" t="str">
        <f>IFERROR(__xludf.DUMMYFUNCTION("""COMPUTED_VALUE"""),"#N/A")</f>
        <v>#N/A</v>
      </c>
      <c r="AA674" s="229"/>
      <c r="AB674" s="229"/>
      <c r="AC674" s="229"/>
      <c r="AD674" s="232"/>
      <c r="AE674" s="233"/>
      <c r="AF674" s="54"/>
      <c r="AG674" s="54"/>
      <c r="AH674" s="54">
        <v>46135.0</v>
      </c>
      <c r="AI674" s="55" t="str">
        <f t="shared" si="80"/>
        <v/>
      </c>
      <c r="AW674" s="234"/>
      <c r="BP674" s="11"/>
      <c r="BQ674" s="11"/>
      <c r="BR674" s="235"/>
      <c r="BV674" s="158"/>
      <c r="BY674" s="158"/>
      <c r="CB674" s="158"/>
    </row>
    <row r="675" ht="18.0" hidden="1" customHeight="1">
      <c r="A675" s="222">
        <f>IFERROR(__xludf.DUMMYFUNCTION("""COMPUTED_VALUE"""),2026.0)</f>
        <v>2026</v>
      </c>
      <c r="B675" s="221">
        <f>IFERROR(__xludf.DUMMYFUNCTION("""COMPUTED_VALUE"""),133763.0)</f>
        <v>133763</v>
      </c>
      <c r="C675" s="222" t="str">
        <f>IFERROR(__xludf.DUMMYFUNCTION("""COMPUTED_VALUE"""),"JBI-PT3-2023-SPN-FT-CLUSTER SUNGAI MEDANG")</f>
        <v>JBI-PT3-2023-SPN-FT-CLUSTER SUNGAI MEDANG</v>
      </c>
      <c r="D675" s="222" t="str">
        <f>IFERROR(__xludf.DUMMYFUNCTION("""COMPUTED_VALUE"""),"REGIONAL I")</f>
        <v>REGIONAL I</v>
      </c>
      <c r="E675" s="222" t="str">
        <f>IFERROR(__xludf.DUMMYFUNCTION("""COMPUTED_VALUE"""),"JAMBI")</f>
        <v>JAMBI</v>
      </c>
      <c r="F675" s="222" t="str">
        <f>IFERROR(__xludf.DUMMYFUNCTION("""COMPUTED_VALUE"""),"SPN")</f>
        <v>SPN</v>
      </c>
      <c r="G675" s="222" t="str">
        <f>IFERROR(__xludf.DUMMYFUNCTION("""COMPUTED_VALUE"""),"SUMBAGSEL")</f>
        <v>SUMBAGSEL</v>
      </c>
      <c r="H675" s="222" t="str">
        <f>IFERROR(__xludf.DUMMYFUNCTION("""COMPUTED_VALUE"""),"JAMBI")</f>
        <v>JAMBI</v>
      </c>
      <c r="I675" s="222" t="str">
        <f>IFERROR(__xludf.DUMMYFUNCTION("""COMPUTED_VALUE"""),"Batch 2")</f>
        <v>Batch 2</v>
      </c>
      <c r="J675" s="225">
        <f>IFERROR(__xludf.DUMMYFUNCTION("""COMPUTED_VALUE"""),19.0)</f>
        <v>19</v>
      </c>
      <c r="K675" s="224">
        <f>IFERROR(__xludf.DUMMYFUNCTION("""COMPUTED_VALUE"""),152.0)</f>
        <v>152</v>
      </c>
      <c r="L675" s="226">
        <f>IFERROR(__xludf.DUMMYFUNCTION("""COMPUTED_VALUE"""),1148745.0)</f>
        <v>1148745</v>
      </c>
      <c r="M675" s="227">
        <f>IFERROR(__xludf.DUMMYFUNCTION("""COMPUTED_VALUE"""),1.74609115E8)</f>
        <v>174609115</v>
      </c>
      <c r="N675" s="222"/>
      <c r="O675" s="222" t="str">
        <f>IFERROR(__xludf.DUMMYFUNCTION("""COMPUTED_VALUE"""),"0. DROP")</f>
        <v>0. DROP</v>
      </c>
      <c r="P675" s="222" t="str">
        <f>IFERROR(__xludf.DUMMYFUNCTION("""COMPUTED_VALUE"""),"0.1 Double Order")</f>
        <v>0.1 Double Order</v>
      </c>
      <c r="Q675" s="222" t="str">
        <f>IFERROR(__xludf.DUMMYFUNCTION("""COMPUTED_VALUE"""),"(12/1) BA Drop Sirkulir  (06/01)order JPP batch-2 2026 (16/10 Double Order sebelum nya (JBI-PT3-2023-CLUSTER SUNGAI MEDANG        ID IHLD : 10077775)")</f>
        <v>(12/1) BA Drop Sirkulir  (06/01)order JPP batch-2 2026 (16/10 Double Order sebelum nya (JBI-PT3-2023-CLUSTER SUNGAI MEDANG        ID IHLD : 10077775)</v>
      </c>
      <c r="R675" s="228"/>
      <c r="S675" s="11"/>
      <c r="T675" s="11"/>
      <c r="U675" s="11"/>
      <c r="V675" s="229"/>
      <c r="W675" s="229"/>
      <c r="X675" s="229" t="str">
        <f>IFERROR(__xludf.DUMMYFUNCTION("""COMPUTED_VALUE"""),"BELUM GOLIVE")</f>
        <v>BELUM GOLIVE</v>
      </c>
      <c r="Y675" s="229"/>
      <c r="Z675" s="229" t="str">
        <f>IFERROR(__xludf.DUMMYFUNCTION("""COMPUTED_VALUE"""),"#N/A")</f>
        <v>#N/A</v>
      </c>
      <c r="AA675" s="229"/>
      <c r="AB675" s="229"/>
      <c r="AC675" s="229"/>
      <c r="AD675" s="232"/>
      <c r="AE675" s="233"/>
      <c r="AF675" s="54" t="str">
        <f>IFERROR(__xludf.DUMMYFUNCTION("""COMPUTED_VALUE"""),"Draft BA DROP")</f>
        <v>Draft BA DROP</v>
      </c>
      <c r="AG675" s="54"/>
      <c r="AH675" s="54"/>
      <c r="AI675" s="55" t="str">
        <f t="shared" si="80"/>
        <v/>
      </c>
      <c r="AW675" s="234"/>
      <c r="BP675" s="11"/>
      <c r="BQ675" s="11"/>
      <c r="BR675" s="235"/>
      <c r="BV675" s="158"/>
      <c r="BY675" s="158"/>
      <c r="CB675" s="158"/>
    </row>
    <row r="676" ht="18.0" hidden="1" customHeight="1">
      <c r="A676" s="222">
        <f>IFERROR(__xludf.DUMMYFUNCTION("""COMPUTED_VALUE"""),2026.0)</f>
        <v>2026</v>
      </c>
      <c r="B676" s="221">
        <f>IFERROR(__xludf.DUMMYFUNCTION("""COMPUTED_VALUE"""),1.1587709E7)</f>
        <v>11587709</v>
      </c>
      <c r="C676" s="222" t="str">
        <f>IFERROR(__xludf.DUMMYFUNCTION("""COMPUTED_VALUE"""),"ACH TTN PT3 TTN-FC LHOK KEUTAPANG")</f>
        <v>ACH TTN PT3 TTN-FC LHOK KEUTAPANG</v>
      </c>
      <c r="D676" s="222" t="str">
        <f>IFERROR(__xludf.DUMMYFUNCTION("""COMPUTED_VALUE"""),"REGIONAL I")</f>
        <v>REGIONAL I</v>
      </c>
      <c r="E676" s="222" t="str">
        <f>IFERROR(__xludf.DUMMYFUNCTION("""COMPUTED_VALUE"""),"ACEH")</f>
        <v>ACEH</v>
      </c>
      <c r="F676" s="222" t="str">
        <f>IFERROR(__xludf.DUMMYFUNCTION("""COMPUTED_VALUE"""),"TTN")</f>
        <v>TTN</v>
      </c>
      <c r="G676" s="222" t="str">
        <f>IFERROR(__xludf.DUMMYFUNCTION("""COMPUTED_VALUE"""),"SUMBAGUT")</f>
        <v>SUMBAGUT</v>
      </c>
      <c r="H676" s="222" t="str">
        <f>IFERROR(__xludf.DUMMYFUNCTION("""COMPUTED_VALUE"""),"BANDA ACEH")</f>
        <v>BANDA ACEH</v>
      </c>
      <c r="I676" s="222" t="str">
        <f>IFERROR(__xludf.DUMMYFUNCTION("""COMPUTED_VALUE"""),"Batch 2")</f>
        <v>Batch 2</v>
      </c>
      <c r="J676" s="225">
        <f>IFERROR(__xludf.DUMMYFUNCTION("""COMPUTED_VALUE"""),4.0)</f>
        <v>4</v>
      </c>
      <c r="K676" s="224">
        <f>IFERROR(__xludf.DUMMYFUNCTION("""COMPUTED_VALUE"""),32.0)</f>
        <v>32</v>
      </c>
      <c r="L676" s="226">
        <f>IFERROR(__xludf.DUMMYFUNCTION("""COMPUTED_VALUE"""),1147076.0)</f>
        <v>1147076</v>
      </c>
      <c r="M676" s="227">
        <f>IFERROR(__xludf.DUMMYFUNCTION("""COMPUTED_VALUE"""),3.6706425E7)</f>
        <v>36706425</v>
      </c>
      <c r="N676" s="222" t="str">
        <f>IFERROR(__xludf.DUMMYFUNCTION("""COMPUTED_VALUE"""),"PT ASWA KARYA DIFA")</f>
        <v>PT ASWA KARYA DIFA</v>
      </c>
      <c r="O676" s="222" t="str">
        <f>IFERROR(__xludf.DUMMYFUNCTION("""COMPUTED_VALUE"""),"7. GOLIVE")</f>
        <v>7. GOLIVE</v>
      </c>
      <c r="P676" s="222" t="str">
        <f>IFERROR(__xludf.DUMMYFUNCTION("""COMPUTED_VALUE"""),"7.2 Golive Full / OA / DONE OTB")</f>
        <v>7.2 Golive Full / OA / DONE OTB</v>
      </c>
      <c r="Q676" s="222" t="str">
        <f>IFERROR(__xludf.DUMMYFUNCTION("""COMPUTED_VALUE"""),"(21/04) FI , Kendala modul big olt
(25/03) Tanam Tiang (10/03) DelMat ke Lokasi (27/02) DelMat (29/01) proses po material (22/01) Done Aanwijzing  (07/01) Persiapan")</f>
        <v>(21/04) FI , Kendala modul big olt
(25/03) Tanam Tiang (10/03) DelMat ke Lokasi (27/02) DelMat (29/01) proses po material (22/01) Done Aanwijzing  (07/01) Persiapan</v>
      </c>
      <c r="R676" s="228">
        <f>IFERROR(__xludf.DUMMYFUNCTION("""COMPUTED_VALUE"""),46133.0)</f>
        <v>46133</v>
      </c>
      <c r="S676" s="11" t="str">
        <f>IFERROR(__xludf.DUMMYFUNCTION("""COMPUTED_VALUE"""),"APR")</f>
        <v>APR</v>
      </c>
      <c r="T676" s="73"/>
      <c r="U676" s="11"/>
      <c r="V676" s="229"/>
      <c r="W676" s="229" t="str">
        <f>IFERROR(__xludf.DUMMYFUNCTION("""COMPUTED_VALUE"""),"#N/A")</f>
        <v>#N/A</v>
      </c>
      <c r="X676" s="229" t="str">
        <f>IFERROR(__xludf.DUMMYFUNCTION("""COMPUTED_VALUE"""),"GOLIVE")</f>
        <v>GOLIVE</v>
      </c>
      <c r="Y676" s="229" t="str">
        <f>IFERROR(__xludf.DUMMYFUNCTION("""COMPUTED_VALUE"""),"DONE")</f>
        <v>DONE</v>
      </c>
      <c r="Z676" s="229" t="str">
        <f>IFERROR(__xludf.DUMMYFUNCTION("""COMPUTED_VALUE"""),"#N/A")</f>
        <v>#N/A</v>
      </c>
      <c r="AA676" s="229">
        <f>IFERROR(__xludf.DUMMYFUNCTION("""COMPUTED_VALUE"""),4.0)</f>
        <v>4</v>
      </c>
      <c r="AB676" s="229"/>
      <c r="AC676" s="229" t="str">
        <f>IFERROR(__xludf.DUMMYFUNCTION("""COMPUTED_VALUE"""),"9309453#9309458")</f>
        <v>9309453#9309458</v>
      </c>
      <c r="AD676" s="232">
        <f>IFERROR(__xludf.DUMMYFUNCTION("""COMPUTED_VALUE"""),32.0)</f>
        <v>32</v>
      </c>
      <c r="AE676" s="233">
        <f>IFERROR(__xludf.DUMMYFUNCTION("""COMPUTED_VALUE"""),46138.0)</f>
        <v>46138</v>
      </c>
      <c r="AF676" s="54"/>
      <c r="AG676" s="54"/>
      <c r="AH676" s="54">
        <v>46133.0</v>
      </c>
      <c r="AI676" s="55">
        <f t="shared" si="80"/>
        <v>-5</v>
      </c>
      <c r="AW676" s="234"/>
      <c r="BP676" s="11"/>
      <c r="BQ676" s="11"/>
      <c r="BR676" s="235"/>
      <c r="BV676" s="158"/>
      <c r="BY676" s="158"/>
      <c r="CB676" s="158"/>
    </row>
    <row r="677" ht="18.0" hidden="1" customHeight="1">
      <c r="A677" s="222">
        <f>IFERROR(__xludf.DUMMYFUNCTION("""COMPUTED_VALUE"""),2026.0)</f>
        <v>2026</v>
      </c>
      <c r="B677" s="221">
        <f>IFERROR(__xludf.DUMMYFUNCTION("""COMPUTED_VALUE"""),1.1626098E7)</f>
        <v>11626098</v>
      </c>
      <c r="C677" s="222" t="str">
        <f>IFERROR(__xludf.DUMMYFUNCTION("""COMPUTED_VALUE"""),"SMS P3I1 PT3 SBU FBE D04 PER LIVERPOOL 1")</f>
        <v>SMS P3I1 PT3 SBU FBE D04 PER LIVERPOOL 1</v>
      </c>
      <c r="D677" s="222" t="str">
        <f>IFERROR(__xludf.DUMMYFUNCTION("""COMPUTED_VALUE"""),"REGIONAL I")</f>
        <v>REGIONAL I</v>
      </c>
      <c r="E677" s="222" t="str">
        <f>IFERROR(__xludf.DUMMYFUNCTION("""COMPUTED_VALUE"""),"SUMSEL")</f>
        <v>SUMSEL</v>
      </c>
      <c r="F677" s="222" t="str">
        <f>IFERROR(__xludf.DUMMYFUNCTION("""COMPUTED_VALUE"""),"SBU")</f>
        <v>SBU</v>
      </c>
      <c r="G677" s="222" t="str">
        <f>IFERROR(__xludf.DUMMYFUNCTION("""COMPUTED_VALUE"""),"SUMBAGSEL")</f>
        <v>SUMBAGSEL</v>
      </c>
      <c r="H677" s="222" t="str">
        <f>IFERROR(__xludf.DUMMYFUNCTION("""COMPUTED_VALUE"""),"PALEMBANG")</f>
        <v>PALEMBANG</v>
      </c>
      <c r="I677" s="222" t="str">
        <f>IFERROR(__xludf.DUMMYFUNCTION("""COMPUTED_VALUE"""),"Batch 2")</f>
        <v>Batch 2</v>
      </c>
      <c r="J677" s="225">
        <f>IFERROR(__xludf.DUMMYFUNCTION("""COMPUTED_VALUE"""),3.0)</f>
        <v>3</v>
      </c>
      <c r="K677" s="224">
        <f>IFERROR(__xludf.DUMMYFUNCTION("""COMPUTED_VALUE"""),24.0)</f>
        <v>24</v>
      </c>
      <c r="L677" s="226">
        <f>IFERROR(__xludf.DUMMYFUNCTION("""COMPUTED_VALUE"""),1145927.0)</f>
        <v>1145927</v>
      </c>
      <c r="M677" s="227">
        <f>IFERROR(__xludf.DUMMYFUNCTION("""COMPUTED_VALUE"""),2.7502248E7)</f>
        <v>27502248</v>
      </c>
      <c r="N677" s="222" t="str">
        <f>IFERROR(__xludf.DUMMYFUNCTION("""COMPUTED_VALUE"""),"PT ACERO CETHA METALINDO")</f>
        <v>PT ACERO CETHA METALINDO</v>
      </c>
      <c r="O677" s="222" t="str">
        <f>IFERROR(__xludf.DUMMYFUNCTION("""COMPUTED_VALUE"""),"0. DROP")</f>
        <v>0. DROP</v>
      </c>
      <c r="P677" s="222" t="str">
        <f>IFERROR(__xludf.DUMMYFUNCTION("""COMPUTED_VALUE"""),"0.2 Tidak Dapat Izin Warga/Kades/Lurah/Developer")</f>
        <v>0.2 Tidak Dapat Izin Warga/Kades/Lurah/Developer</v>
      </c>
      <c r="Q677" s="222" t="str">
        <f>IFERROR(__xludf.DUMMYFUNCTION("""COMPUTED_VALUE"""),"06/02 HASIL REVIEW TSEL - SALES KONFIRM KE SALES SENIN 07/01 DROP tidak dpt izin dari RT (21/01) DROP, tidak dpt izin dari RT, (15/1) ORDER DITERIMA MITRA 14/1, plan Aanwijdzing 19 Jan (06/01)order JPP batch-2 2026 ((18/11) tidak masuk target optimis 2025"&amp;" (18/11 propose DROP karena tidak dapat izin dari RT, 17/11 propose DROP karena tidak dapat izin dari RT, (5/11 )menunggu jadwal aanwidzjing 23/10 penunjukan mitra")</f>
        <v>06/02 HASIL REVIEW TSEL - SALES KONFIRM KE SALES SENIN 07/01 DROP tidak dpt izin dari RT (21/01) DROP, tidak dpt izin dari RT, (15/1) ORDER DITERIMA MITRA 14/1, plan Aanwijdzing 19 Jan (06/01)order JPP batch-2 2026 ((18/11) tidak masuk target optimis 2025 (18/11 propose DROP karena tidak dapat izin dari RT, 17/11 propose DROP karena tidak dapat izin dari RT, (5/11 )menunggu jadwal aanwidzjing 23/10 penunjukan mitra</v>
      </c>
      <c r="R677" s="228"/>
      <c r="S677" s="11"/>
      <c r="T677" s="11"/>
      <c r="U677" s="11"/>
      <c r="V677" s="229" t="str">
        <f>IFERROR(__xludf.DUMMYFUNCTION("""COMPUTED_VALUE"""),"PRIGUS")</f>
        <v>PRIGUS</v>
      </c>
      <c r="W677" s="229"/>
      <c r="X677" s="229" t="str">
        <f>IFERROR(__xludf.DUMMYFUNCTION("""COMPUTED_VALUE"""),"BELUM GOLIVE")</f>
        <v>BELUM GOLIVE</v>
      </c>
      <c r="Y677" s="229"/>
      <c r="Z677" s="229" t="str">
        <f>IFERROR(__xludf.DUMMYFUNCTION("""COMPUTED_VALUE"""),"#N/A")</f>
        <v>#N/A</v>
      </c>
      <c r="AA677" s="229"/>
      <c r="AB677" s="229"/>
      <c r="AC677" s="229"/>
      <c r="AD677" s="232"/>
      <c r="AE677" s="233"/>
      <c r="AF677" s="54" t="str">
        <f>IFERROR(__xludf.DUMMYFUNCTION("""COMPUTED_VALUE"""),"Draft BA DROP")</f>
        <v>Draft BA DROP</v>
      </c>
      <c r="AG677" s="54"/>
      <c r="AH677" s="54"/>
      <c r="AI677" s="55" t="str">
        <f t="shared" si="80"/>
        <v/>
      </c>
      <c r="AW677" s="234"/>
      <c r="BP677" s="11"/>
      <c r="BQ677" s="11"/>
      <c r="BR677" s="235"/>
      <c r="BV677" s="158"/>
      <c r="BY677" s="158"/>
      <c r="CB677" s="158"/>
    </row>
    <row r="678" ht="18.0" hidden="1" customHeight="1">
      <c r="A678" s="222">
        <f>IFERROR(__xludf.DUMMYFUNCTION("""COMPUTED_VALUE"""),2026.0)</f>
        <v>2026</v>
      </c>
      <c r="B678" s="221">
        <f>IFERROR(__xludf.DUMMYFUNCTION("""COMPUTED_VALUE"""),1.2212866E7)</f>
        <v>12212866</v>
      </c>
      <c r="C678" s="222" t="str">
        <f>IFERROR(__xludf.DUMMYFUNCTION("""COMPUTED_VALUE"""),"BBL PT3 P3I4 PANGKALAN DUDA")</f>
        <v>BBL PT3 P3I4 PANGKALAN DUDA</v>
      </c>
      <c r="D678" s="222" t="str">
        <f>IFERROR(__xludf.DUMMYFUNCTION("""COMPUTED_VALUE"""),"REGIONAL I")</f>
        <v>REGIONAL I</v>
      </c>
      <c r="E678" s="222" t="str">
        <f>IFERROR(__xludf.DUMMYFUNCTION("""COMPUTED_VALUE"""),"BABEL")</f>
        <v>BABEL</v>
      </c>
      <c r="F678" s="222" t="str">
        <f>IFERROR(__xludf.DUMMYFUNCTION("""COMPUTED_VALUE"""),"TJN")</f>
        <v>TJN</v>
      </c>
      <c r="G678" s="222" t="str">
        <f>IFERROR(__xludf.DUMMYFUNCTION("""COMPUTED_VALUE"""),"SUMBAGSEL")</f>
        <v>SUMBAGSEL</v>
      </c>
      <c r="H678" s="222" t="str">
        <f>IFERROR(__xludf.DUMMYFUNCTION("""COMPUTED_VALUE"""),"PANGKAL PINANG")</f>
        <v>PANGKAL PINANG</v>
      </c>
      <c r="I678" s="222" t="str">
        <f>IFERROR(__xludf.DUMMYFUNCTION("""COMPUTED_VALUE"""),"Batch 2")</f>
        <v>Batch 2</v>
      </c>
      <c r="J678" s="225">
        <f>IFERROR(__xludf.DUMMYFUNCTION("""COMPUTED_VALUE"""),6.0)</f>
        <v>6</v>
      </c>
      <c r="K678" s="224">
        <f>IFERROR(__xludf.DUMMYFUNCTION("""COMPUTED_VALUE"""),72.0)</f>
        <v>72</v>
      </c>
      <c r="L678" s="226">
        <f>IFERROR(__xludf.DUMMYFUNCTION("""COMPUTED_VALUE"""),1145720.0)</f>
        <v>1145720</v>
      </c>
      <c r="M678" s="227">
        <f>IFERROR(__xludf.DUMMYFUNCTION("""COMPUTED_VALUE"""),8.2491787E7)</f>
        <v>82491787</v>
      </c>
      <c r="N678" s="222" t="str">
        <f>IFERROR(__xludf.DUMMYFUNCTION("""COMPUTED_VALUE"""),"PT Raharja Prakarsa Nusantara")</f>
        <v>PT Raharja Prakarsa Nusantara</v>
      </c>
      <c r="O678" s="222" t="str">
        <f>IFERROR(__xludf.DUMMYFUNCTION("""COMPUTED_VALUE"""),"7. GOLIVE")</f>
        <v>7. GOLIVE</v>
      </c>
      <c r="P678" s="222" t="str">
        <f>IFERROR(__xludf.DUMMYFUNCTION("""COMPUTED_VALUE"""),"7.2 Golive Full / OA / DONE OTB")</f>
        <v>7.2 Golive Full / OA / DONE OTB</v>
      </c>
      <c r="Q678" s="222" t="str">
        <f>IFERROR(__xludf.DUMMYFUNCTION("""COMPUTED_VALUE"""),"(15/1) golive 15 jan 2026 (13/01) finish instalasi (09/1) INSTALASI ODP  (06/01)order JPP batch-2 2026 (02/01 perapihan (16/12) tarik kabel done 04/12 lebel 33 tiang (03/12) perapian 33 tiang (02/12) KU 12D 2218 done, tiang 33 done (01/12) penanaman tiang"&amp;" 27/33 (28/11) persiapan instalasi (27/11) sudah ambil material (26/11) request material (25/11 sudah bisa request (24/11) DRM Mitra (14/11) sudah created PID (13/11) selesai anwijzing (5/11) Penunjukan mitra")</f>
        <v>(15/1) golive 15 jan 2026 (13/01) finish instalasi (09/1) INSTALASI ODP  (06/01)order JPP batch-2 2026 (02/01 perapihan (16/12) tarik kabel done 04/12 lebel 33 tiang (03/12) perapian 33 tiang (02/12) KU 12D 2218 done, tiang 33 done (01/12) penanaman tiang 27/33 (28/11) persiapan instalasi (27/11) sudah ambil material (26/11) request material (25/11 sudah bisa request (24/11) DRM Mitra (14/11) sudah created PID (13/11) selesai anwijzing (5/11) Penunjukan mitra</v>
      </c>
      <c r="R678" s="228"/>
      <c r="S678" s="11"/>
      <c r="T678" s="11"/>
      <c r="U678" s="11"/>
      <c r="V678" s="229"/>
      <c r="W678" s="229"/>
      <c r="X678" s="229" t="str">
        <f>IFERROR(__xludf.DUMMYFUNCTION("""COMPUTED_VALUE"""),"GOLIVE")</f>
        <v>GOLIVE</v>
      </c>
      <c r="Y678" s="229" t="str">
        <f>IFERROR(__xludf.DUMMYFUNCTION("""COMPUTED_VALUE"""),"DONE")</f>
        <v>DONE</v>
      </c>
      <c r="Z678" s="229" t="str">
        <f>IFERROR(__xludf.DUMMYFUNCTION("""COMPUTED_VALUE"""),"#N/A")</f>
        <v>#N/A</v>
      </c>
      <c r="AA678" s="229">
        <f>IFERROR(__xludf.DUMMYFUNCTION("""COMPUTED_VALUE"""),3.0)</f>
        <v>3</v>
      </c>
      <c r="AB678" s="229">
        <f>IFERROR(__xludf.DUMMYFUNCTION("""COMPUTED_VALUE"""),3.0)</f>
        <v>3</v>
      </c>
      <c r="AC678" s="229" t="str">
        <f>IFERROR(__xludf.DUMMYFUNCTION("""COMPUTED_VALUE"""),"8964281#8964286")</f>
        <v>8964281#8964286</v>
      </c>
      <c r="AD678" s="232">
        <f>IFERROR(__xludf.DUMMYFUNCTION("""COMPUTED_VALUE"""),72.0)</f>
        <v>72</v>
      </c>
      <c r="AE678" s="233">
        <f>IFERROR(__xludf.DUMMYFUNCTION("""COMPUTED_VALUE"""),46036.0)</f>
        <v>46036</v>
      </c>
      <c r="AF678" s="54" t="str">
        <f>IFERROR(__xludf.DUMMYFUNCTION("""COMPUTED_VALUE"""),"DONE")</f>
        <v>DONE</v>
      </c>
      <c r="AG678" s="54"/>
      <c r="AH678" s="54"/>
      <c r="AI678" s="55" t="str">
        <f t="shared" si="80"/>
        <v/>
      </c>
      <c r="AW678" s="234"/>
      <c r="BP678" s="11"/>
      <c r="BQ678" s="11"/>
      <c r="BR678" s="235"/>
      <c r="BV678" s="158"/>
      <c r="BY678" s="158"/>
      <c r="CB678" s="158"/>
    </row>
    <row r="679" ht="18.0" hidden="1" customHeight="1">
      <c r="A679" s="222">
        <f>IFERROR(__xludf.DUMMYFUNCTION("""COMPUTED_VALUE"""),2026.0)</f>
        <v>2026</v>
      </c>
      <c r="B679" s="221">
        <f>IFERROR(__xludf.DUMMYFUNCTION("""COMPUTED_VALUE"""),1.1628722E7)</f>
        <v>11628722</v>
      </c>
      <c r="C679" s="222" t="str">
        <f>IFERROR(__xludf.DUMMYFUNCTION("""COMPUTED_VALUE"""),"LPG PT3 JPP SUKAJADI PESAWARAN GDT")</f>
        <v>LPG PT3 JPP SUKAJADI PESAWARAN GDT</v>
      </c>
      <c r="D679" s="222" t="str">
        <f>IFERROR(__xludf.DUMMYFUNCTION("""COMPUTED_VALUE"""),"REGIONAL I")</f>
        <v>REGIONAL I</v>
      </c>
      <c r="E679" s="222" t="str">
        <f>IFERROR(__xludf.DUMMYFUNCTION("""COMPUTED_VALUE"""),"LAMPUNG")</f>
        <v>LAMPUNG</v>
      </c>
      <c r="F679" s="222" t="str">
        <f>IFERROR(__xludf.DUMMYFUNCTION("""COMPUTED_VALUE"""),"GDT")</f>
        <v>GDT</v>
      </c>
      <c r="G679" s="222" t="str">
        <f>IFERROR(__xludf.DUMMYFUNCTION("""COMPUTED_VALUE"""),"SUMBAGSEL")</f>
        <v>SUMBAGSEL</v>
      </c>
      <c r="H679" s="222" t="str">
        <f>IFERROR(__xludf.DUMMYFUNCTION("""COMPUTED_VALUE"""),"LAMPUNG")</f>
        <v>LAMPUNG</v>
      </c>
      <c r="I679" s="222" t="str">
        <f>IFERROR(__xludf.DUMMYFUNCTION("""COMPUTED_VALUE"""),"Batch 2")</f>
        <v>Batch 2</v>
      </c>
      <c r="J679" s="225">
        <f>IFERROR(__xludf.DUMMYFUNCTION("""COMPUTED_VALUE"""),4.0)</f>
        <v>4</v>
      </c>
      <c r="K679" s="224">
        <f>IFERROR(__xludf.DUMMYFUNCTION("""COMPUTED_VALUE"""),32.0)</f>
        <v>32</v>
      </c>
      <c r="L679" s="226">
        <f>IFERROR(__xludf.DUMMYFUNCTION("""COMPUTED_VALUE"""),1145703.0)</f>
        <v>1145703</v>
      </c>
      <c r="M679" s="227">
        <f>IFERROR(__xludf.DUMMYFUNCTION("""COMPUTED_VALUE"""),3.6662479E7)</f>
        <v>36662479</v>
      </c>
      <c r="N679" s="222" t="str">
        <f>IFERROR(__xludf.DUMMYFUNCTION("""COMPUTED_VALUE"""),"SWAKELOLA")</f>
        <v>SWAKELOLA</v>
      </c>
      <c r="O679" s="222" t="str">
        <f>IFERROR(__xludf.DUMMYFUNCTION("""COMPUTED_VALUE"""),"0. DROP")</f>
        <v>0. DROP</v>
      </c>
      <c r="P679" s="222" t="str">
        <f>IFERROR(__xludf.DUMMYFUNCTION("""COMPUTED_VALUE"""),"0.2 Tidak Dapat Izin Warga/Kades/Lurah/Developer")</f>
        <v>0.2 Tidak Dapat Izin Warga/Kades/Lurah/Developer</v>
      </c>
      <c r="Q679" s="222" t="str">
        <f>IFERROR(__xludf.DUMMYFUNCTION("""COMPUTED_VALUE"""),"14/1 Tidak Dapat Izin Dari Lurah")</f>
        <v>14/1 Tidak Dapat Izin Dari Lurah</v>
      </c>
      <c r="R679" s="228"/>
      <c r="S679" s="11"/>
      <c r="T679" s="11"/>
      <c r="U679" s="11" t="str">
        <f>IFERROR(__xludf.DUMMYFUNCTION("""COMPUTED_VALUE"""),"W02-570/2025")</f>
        <v>W02-570/2025</v>
      </c>
      <c r="V679" s="229"/>
      <c r="W679" s="229"/>
      <c r="X679" s="229" t="str">
        <f>IFERROR(__xludf.DUMMYFUNCTION("""COMPUTED_VALUE"""),"BELUM GOLIVE")</f>
        <v>BELUM GOLIVE</v>
      </c>
      <c r="Y679" s="229"/>
      <c r="Z679" s="229" t="str">
        <f>IFERROR(__xludf.DUMMYFUNCTION("""COMPUTED_VALUE"""),"#N/A")</f>
        <v>#N/A</v>
      </c>
      <c r="AA679" s="229"/>
      <c r="AB679" s="229"/>
      <c r="AC679" s="229"/>
      <c r="AD679" s="232"/>
      <c r="AE679" s="233"/>
      <c r="AF679" s="54" t="str">
        <f>IFERROR(__xludf.DUMMYFUNCTION("""COMPUTED_VALUE"""),"Draft BA DROP")</f>
        <v>Draft BA DROP</v>
      </c>
      <c r="AG679" s="54"/>
      <c r="AH679" s="54"/>
      <c r="AI679" s="55" t="str">
        <f t="shared" si="80"/>
        <v/>
      </c>
      <c r="AW679" s="234"/>
      <c r="BP679" s="11"/>
      <c r="BQ679" s="11"/>
      <c r="BR679" s="235"/>
      <c r="BV679" s="158"/>
      <c r="BY679" s="158"/>
      <c r="CB679" s="158"/>
    </row>
    <row r="680" ht="18.0" hidden="1" customHeight="1">
      <c r="A680" s="222">
        <f>IFERROR(__xludf.DUMMYFUNCTION("""COMPUTED_VALUE"""),2026.0)</f>
        <v>2026</v>
      </c>
      <c r="B680" s="221">
        <f>IFERROR(__xludf.DUMMYFUNCTION("""COMPUTED_VALUE"""),1.1271706E7)</f>
        <v>11271706</v>
      </c>
      <c r="C680" s="222" t="str">
        <f>IFERROR(__xludf.DUMMYFUNCTION("""COMPUTED_VALUE"""),"MDN PT3 P1I1 CTD-FBX GRAHA KUSWARI")</f>
        <v>MDN PT3 P1I1 CTD-FBX GRAHA KUSWARI</v>
      </c>
      <c r="D680" s="222" t="str">
        <f>IFERROR(__xludf.DUMMYFUNCTION("""COMPUTED_VALUE"""),"REGIONAL I")</f>
        <v>REGIONAL I</v>
      </c>
      <c r="E680" s="222" t="str">
        <f>IFERROR(__xludf.DUMMYFUNCTION("""COMPUTED_VALUE"""),"MEDAN")</f>
        <v>MEDAN</v>
      </c>
      <c r="F680" s="222" t="str">
        <f>IFERROR(__xludf.DUMMYFUNCTION("""COMPUTED_VALUE"""),"CTD")</f>
        <v>CTD</v>
      </c>
      <c r="G680" s="222" t="str">
        <f>IFERROR(__xludf.DUMMYFUNCTION("""COMPUTED_VALUE"""),"SUMBAGUT")</f>
        <v>SUMBAGUT</v>
      </c>
      <c r="H680" s="222" t="str">
        <f>IFERROR(__xludf.DUMMYFUNCTION("""COMPUTED_VALUE"""),"MEDAN")</f>
        <v>MEDAN</v>
      </c>
      <c r="I680" s="222" t="str">
        <f>IFERROR(__xludf.DUMMYFUNCTION("""COMPUTED_VALUE"""),"Batch 2")</f>
        <v>Batch 2</v>
      </c>
      <c r="J680" s="225">
        <f>IFERROR(__xludf.DUMMYFUNCTION("""COMPUTED_VALUE"""),2.0)</f>
        <v>2</v>
      </c>
      <c r="K680" s="224">
        <f>IFERROR(__xludf.DUMMYFUNCTION("""COMPUTED_VALUE"""),16.0)</f>
        <v>16</v>
      </c>
      <c r="L680" s="226">
        <f>IFERROR(__xludf.DUMMYFUNCTION("""COMPUTED_VALUE"""),693651.0)</f>
        <v>693651</v>
      </c>
      <c r="M680" s="227">
        <f>IFERROR(__xludf.DUMMYFUNCTION("""COMPUTED_VALUE"""),1.1098402E7)</f>
        <v>11098402</v>
      </c>
      <c r="N680" s="222" t="str">
        <f>IFERROR(__xludf.DUMMYFUNCTION("""COMPUTED_VALUE"""),"PT TRIPOLA PANATA")</f>
        <v>PT TRIPOLA PANATA</v>
      </c>
      <c r="O680" s="222" t="str">
        <f>IFERROR(__xludf.DUMMYFUNCTION("""COMPUTED_VALUE"""),"0. DROP")</f>
        <v>0. DROP</v>
      </c>
      <c r="P680" s="222" t="str">
        <f>IFERROR(__xludf.DUMMYFUNCTION("""COMPUTED_VALUE"""),"0.2 Tidak Dapat Izin Warga/Kades/Lurah/Developer")</f>
        <v>0.2 Tidak Dapat Izin Warga/Kades/Lurah/Developer</v>
      </c>
      <c r="Q680" s="222" t="str">
        <f>IFERROR(__xludf.DUMMYFUNCTION("""COMPUTED_VALUE"""),"Tidak diberi izin Security")</f>
        <v>Tidak diberi izin Security</v>
      </c>
      <c r="R680" s="228"/>
      <c r="S680" s="11"/>
      <c r="T680" s="11"/>
      <c r="U680" s="11"/>
      <c r="V680" s="229"/>
      <c r="W680" s="229"/>
      <c r="X680" s="229" t="str">
        <f>IFERROR(__xludf.DUMMYFUNCTION("""COMPUTED_VALUE"""),"BELUM GOLIVE")</f>
        <v>BELUM GOLIVE</v>
      </c>
      <c r="Y680" s="229"/>
      <c r="Z680" s="229" t="str">
        <f>IFERROR(__xludf.DUMMYFUNCTION("""COMPUTED_VALUE"""),"#N/A")</f>
        <v>#N/A</v>
      </c>
      <c r="AA680" s="229"/>
      <c r="AB680" s="229"/>
      <c r="AC680" s="229"/>
      <c r="AD680" s="232"/>
      <c r="AE680" s="233"/>
      <c r="AF680" s="54" t="str">
        <f>IFERROR(__xludf.DUMMYFUNCTION("""COMPUTED_VALUE"""),"Draft BA DROP")</f>
        <v>Draft BA DROP</v>
      </c>
      <c r="AG680" s="54"/>
      <c r="AH680" s="54"/>
      <c r="AI680" s="55" t="str">
        <f t="shared" si="80"/>
        <v/>
      </c>
      <c r="AW680" s="234"/>
      <c r="BP680" s="11"/>
      <c r="BQ680" s="11"/>
      <c r="BR680" s="235"/>
      <c r="BV680" s="158"/>
      <c r="BY680" s="158"/>
      <c r="CB680" s="158"/>
    </row>
    <row r="681" ht="18.0" customHeight="1">
      <c r="A681" s="222">
        <f>IFERROR(__xludf.DUMMYFUNCTION("""COMPUTED_VALUE"""),2026.0)</f>
        <v>2026</v>
      </c>
      <c r="B681" s="221">
        <f>IFERROR(__xludf.DUMMYFUNCTION("""COMPUTED_VALUE"""),1.0896732E7)</f>
        <v>10896732</v>
      </c>
      <c r="C681" s="222" t="str">
        <f>IFERROR(__xludf.DUMMYFUNCTION("""COMPUTED_VALUE"""),"RDR JPP P4l1 PT3 JL.LINTAS TIMUR KM33")</f>
        <v>RDR JPP P4l1 PT3 JL.LINTAS TIMUR KM33</v>
      </c>
      <c r="D681" s="222" t="str">
        <f>IFERROR(__xludf.DUMMYFUNCTION("""COMPUTED_VALUE"""),"REGIONAL I")</f>
        <v>REGIONAL I</v>
      </c>
      <c r="E681" s="222" t="str">
        <f>IFERROR(__xludf.DUMMYFUNCTION("""COMPUTED_VALUE"""),"RIDAR")</f>
        <v>RIDAR</v>
      </c>
      <c r="F681" s="222" t="str">
        <f>IFERROR(__xludf.DUMMYFUNCTION("""COMPUTED_VALUE"""),"PBB")</f>
        <v>PBB</v>
      </c>
      <c r="G681" s="222" t="str">
        <f>IFERROR(__xludf.DUMMYFUNCTION("""COMPUTED_VALUE"""),"SUMBAGTENG")</f>
        <v>SUMBAGTENG</v>
      </c>
      <c r="H681" s="222" t="str">
        <f>IFERROR(__xludf.DUMMYFUNCTION("""COMPUTED_VALUE"""),"PEKANBARU")</f>
        <v>PEKANBARU</v>
      </c>
      <c r="I681" s="222" t="str">
        <f>IFERROR(__xludf.DUMMYFUNCTION("""COMPUTED_VALUE"""),"Batch 2")</f>
        <v>Batch 2</v>
      </c>
      <c r="J681" s="225">
        <f>IFERROR(__xludf.DUMMYFUNCTION("""COMPUTED_VALUE"""),3.0)</f>
        <v>3</v>
      </c>
      <c r="K681" s="224">
        <f>IFERROR(__xludf.DUMMYFUNCTION("""COMPUTED_VALUE"""),24.0)</f>
        <v>24</v>
      </c>
      <c r="L681" s="226">
        <f>IFERROR(__xludf.DUMMYFUNCTION("""COMPUTED_VALUE"""),1144804.0)</f>
        <v>1144804</v>
      </c>
      <c r="M681" s="227">
        <f>IFERROR(__xludf.DUMMYFUNCTION("""COMPUTED_VALUE"""),2.7475292E7)</f>
        <v>27475292</v>
      </c>
      <c r="N681" s="222" t="str">
        <f>IFERROR(__xludf.DUMMYFUNCTION("""COMPUTED_VALUE"""),"PT LIBER PERSADA MANDIRI")</f>
        <v>PT LIBER PERSADA MANDIRI</v>
      </c>
      <c r="O681" s="222" t="str">
        <f>IFERROR(__xludf.DUMMYFUNCTION("""COMPUTED_VALUE"""),"2. DONE AANWIJZING")</f>
        <v>2. DONE AANWIJZING</v>
      </c>
      <c r="P681" s="222" t="str">
        <f>IFERROR(__xludf.DUMMYFUNCTION("""COMPUTED_VALUE"""),"2.10 Kendala - Feeder Rusak")</f>
        <v>2.10 Kendala - Feeder Rusak</v>
      </c>
      <c r="Q681" s="222" t="str">
        <f>IFERROR(__xludf.DUMMYFUNCTION("""COMPUTED_VALUE"""),"20/04 Pengambilan ulang hasil ukur OTDR 13/04 Kendala Feeder rusak, ogp pengecekan ulang untuk hasil ukur 08/04 Kendala Feeder rusak, ogp pengecekan ulang untuk hasil ukur 03/03 Kendala feeder Rusak")</f>
        <v>20/04 Pengambilan ulang hasil ukur OTDR 13/04 Kendala Feeder rusak, ogp pengecekan ulang untuk hasil ukur 08/04 Kendala Feeder rusak, ogp pengecekan ulang untuk hasil ukur 03/03 Kendala feeder Rusak</v>
      </c>
      <c r="R681" s="228"/>
      <c r="S681" s="11"/>
      <c r="T681" s="11"/>
      <c r="U681" s="11"/>
      <c r="V681" s="229" t="str">
        <f>IFERROR(__xludf.DUMMYFUNCTION("""COMPUTED_VALUE"""),"ONDI EKA SAPUTRA")</f>
        <v>ONDI EKA SAPUTRA</v>
      </c>
      <c r="W681" s="229"/>
      <c r="X681" s="229" t="str">
        <f>IFERROR(__xludf.DUMMYFUNCTION("""COMPUTED_VALUE"""),"BELUM GOLIVE")</f>
        <v>BELUM GOLIVE</v>
      </c>
      <c r="Y681" s="229"/>
      <c r="Z681" s="229" t="str">
        <f>IFERROR(__xludf.DUMMYFUNCTION("""COMPUTED_VALUE"""),"#N/A")</f>
        <v>#N/A</v>
      </c>
      <c r="AA681" s="229"/>
      <c r="AB681" s="229"/>
      <c r="AC681" s="229"/>
      <c r="AD681" s="232"/>
      <c r="AE681" s="233"/>
      <c r="AF681" s="54"/>
      <c r="AG681" s="54"/>
      <c r="AH681" s="54"/>
      <c r="AI681" s="55" t="str">
        <f t="shared" si="80"/>
        <v/>
      </c>
      <c r="AW681" s="234"/>
      <c r="BP681" s="11"/>
      <c r="BQ681" s="11"/>
      <c r="BR681" s="235"/>
      <c r="BV681" s="158"/>
      <c r="BY681" s="158"/>
      <c r="CB681" s="158"/>
    </row>
    <row r="682" ht="18.0" customHeight="1">
      <c r="A682" s="222">
        <f>IFERROR(__xludf.DUMMYFUNCTION("""COMPUTED_VALUE"""),2026.0)</f>
        <v>2026</v>
      </c>
      <c r="B682" s="221">
        <f>IFERROR(__xludf.DUMMYFUNCTION("""COMPUTED_VALUE"""),1.1394322E7)</f>
        <v>11394322</v>
      </c>
      <c r="C682" s="222" t="str">
        <f>IFERROR(__xludf.DUMMYFUNCTION("""COMPUTED_VALUE"""),"SMB P3I1 MD SOLOK_11014")</f>
        <v>SMB P3I1 MD SOLOK_11014</v>
      </c>
      <c r="D682" s="222" t="str">
        <f>IFERROR(__xludf.DUMMYFUNCTION("""COMPUTED_VALUE"""),"REGIONAL I")</f>
        <v>REGIONAL I</v>
      </c>
      <c r="E682" s="222" t="str">
        <f>IFERROR(__xludf.DUMMYFUNCTION("""COMPUTED_VALUE"""),"SUMBAR")</f>
        <v>SUMBAR</v>
      </c>
      <c r="F682" s="222" t="str">
        <f>IFERROR(__xludf.DUMMYFUNCTION("""COMPUTED_VALUE"""),"TLN")</f>
        <v>TLN</v>
      </c>
      <c r="G682" s="222" t="str">
        <f>IFERROR(__xludf.DUMMYFUNCTION("""COMPUTED_VALUE"""),"SUMBAGTENG")</f>
        <v>SUMBAGTENG</v>
      </c>
      <c r="H682" s="222" t="str">
        <f>IFERROR(__xludf.DUMMYFUNCTION("""COMPUTED_VALUE"""),"PADANG")</f>
        <v>PADANG</v>
      </c>
      <c r="I682" s="222" t="str">
        <f>IFERROR(__xludf.DUMMYFUNCTION("""COMPUTED_VALUE"""),"Batch 2")</f>
        <v>Batch 2</v>
      </c>
      <c r="J682" s="225">
        <f>IFERROR(__xludf.DUMMYFUNCTION("""COMPUTED_VALUE"""),2.0)</f>
        <v>2</v>
      </c>
      <c r="K682" s="224">
        <f>IFERROR(__xludf.DUMMYFUNCTION("""COMPUTED_VALUE"""),16.0)</f>
        <v>16</v>
      </c>
      <c r="L682" s="226">
        <f>IFERROR(__xludf.DUMMYFUNCTION("""COMPUTED_VALUE"""),1143483.0)</f>
        <v>1143483</v>
      </c>
      <c r="M682" s="227">
        <f>IFERROR(__xludf.DUMMYFUNCTION("""COMPUTED_VALUE"""),1.8295713E7)</f>
        <v>18295713</v>
      </c>
      <c r="N682" s="222" t="str">
        <f>IFERROR(__xludf.DUMMYFUNCTION("""COMPUTED_VALUE"""),"PT TRI PENAMAS")</f>
        <v>PT TRI PENAMAS</v>
      </c>
      <c r="O682" s="222" t="str">
        <f>IFERROR(__xludf.DUMMYFUNCTION("""COMPUTED_VALUE"""),"0. DROP")</f>
        <v>0. DROP</v>
      </c>
      <c r="P682" s="222" t="str">
        <f>IFERROR(__xludf.DUMMYFUNCTION("""COMPUTED_VALUE"""),"0.3 Feeder Full")</f>
        <v>0.3 Feeder Full</v>
      </c>
      <c r="Q682" s="222" t="str">
        <f>IFERROR(__xludf.DUMMYFUNCTION("""COMPUTED_VALUE"""),"(26/01) kendala feeder TLN-FD  full ")</f>
        <v>(26/01) kendala feeder TLN-FD  full </v>
      </c>
      <c r="R682" s="228"/>
      <c r="S682" s="11"/>
      <c r="T682" s="11"/>
      <c r="U682" s="11"/>
      <c r="V682" s="229"/>
      <c r="W682" s="229"/>
      <c r="X682" s="229" t="str">
        <f>IFERROR(__xludf.DUMMYFUNCTION("""COMPUTED_VALUE"""),"BELUM GOLIVE")</f>
        <v>BELUM GOLIVE</v>
      </c>
      <c r="Y682" s="229"/>
      <c r="Z682" s="229" t="str">
        <f>IFERROR(__xludf.DUMMYFUNCTION("""COMPUTED_VALUE"""),"#N/A")</f>
        <v>#N/A</v>
      </c>
      <c r="AA682" s="229"/>
      <c r="AB682" s="229"/>
      <c r="AC682" s="229"/>
      <c r="AD682" s="232"/>
      <c r="AE682" s="233"/>
      <c r="AF682" s="54" t="str">
        <f>IFERROR(__xludf.DUMMYFUNCTION("""COMPUTED_VALUE"""),"Draft BA DROP")</f>
        <v>Draft BA DROP</v>
      </c>
      <c r="AG682" s="54"/>
      <c r="AH682" s="54"/>
      <c r="AI682" s="55" t="str">
        <f t="shared" si="80"/>
        <v/>
      </c>
      <c r="AW682" s="234"/>
      <c r="BP682" s="11"/>
      <c r="BQ682" s="11"/>
      <c r="BR682" s="235"/>
      <c r="BV682" s="158"/>
      <c r="BY682" s="158"/>
      <c r="CB682" s="158"/>
    </row>
    <row r="683" ht="18.0" hidden="1" customHeight="1">
      <c r="A683" s="222">
        <f>IFERROR(__xludf.DUMMYFUNCTION("""COMPUTED_VALUE"""),2026.0)</f>
        <v>2026</v>
      </c>
      <c r="B683" s="221">
        <f>IFERROR(__xludf.DUMMYFUNCTION("""COMPUTED_VALUE"""),1.1346338E7)</f>
        <v>11346338</v>
      </c>
      <c r="C683" s="222" t="str">
        <f>IFERROR(__xludf.DUMMYFUNCTION("""COMPUTED_VALUE"""),"ACH PT3 DAR-FAH BR.D11 TANJUNG SELAMAT")</f>
        <v>ACH PT3 DAR-FAH BR.D11 TANJUNG SELAMAT</v>
      </c>
      <c r="D683" s="222" t="str">
        <f>IFERROR(__xludf.DUMMYFUNCTION("""COMPUTED_VALUE"""),"REGIONAL I")</f>
        <v>REGIONAL I</v>
      </c>
      <c r="E683" s="222" t="str">
        <f>IFERROR(__xludf.DUMMYFUNCTION("""COMPUTED_VALUE"""),"ACEH")</f>
        <v>ACEH</v>
      </c>
      <c r="F683" s="222" t="str">
        <f>IFERROR(__xludf.DUMMYFUNCTION("""COMPUTED_VALUE"""),"DAR")</f>
        <v>DAR</v>
      </c>
      <c r="G683" s="222" t="str">
        <f>IFERROR(__xludf.DUMMYFUNCTION("""COMPUTED_VALUE"""),"SUMBAGUT")</f>
        <v>SUMBAGUT</v>
      </c>
      <c r="H683" s="222" t="str">
        <f>IFERROR(__xludf.DUMMYFUNCTION("""COMPUTED_VALUE"""),"BANDA ACEH")</f>
        <v>BANDA ACEH</v>
      </c>
      <c r="I683" s="222" t="str">
        <f>IFERROR(__xludf.DUMMYFUNCTION("""COMPUTED_VALUE"""),"Batch 2")</f>
        <v>Batch 2</v>
      </c>
      <c r="J683" s="225">
        <f>IFERROR(__xludf.DUMMYFUNCTION("""COMPUTED_VALUE"""),7.0)</f>
        <v>7</v>
      </c>
      <c r="K683" s="224">
        <f>IFERROR(__xludf.DUMMYFUNCTION("""COMPUTED_VALUE"""),56.0)</f>
        <v>56</v>
      </c>
      <c r="L683" s="226">
        <f>IFERROR(__xludf.DUMMYFUNCTION("""COMPUTED_VALUE"""),1142347.0)</f>
        <v>1142347</v>
      </c>
      <c r="M683" s="227">
        <f>IFERROR(__xludf.DUMMYFUNCTION("""COMPUTED_VALUE"""),6.3971381E7)</f>
        <v>63971381</v>
      </c>
      <c r="N683" s="222" t="str">
        <f>IFERROR(__xludf.DUMMYFUNCTION("""COMPUTED_VALUE"""),"PT NIAGA NUSANTARA DIVA")</f>
        <v>PT NIAGA NUSANTARA DIVA</v>
      </c>
      <c r="O683" s="222" t="str">
        <f>IFERROR(__xludf.DUMMYFUNCTION("""COMPUTED_VALUE"""),"7. GOLIVE")</f>
        <v>7. GOLIVE</v>
      </c>
      <c r="P683" s="222" t="str">
        <f>IFERROR(__xludf.DUMMYFUNCTION("""COMPUTED_VALUE"""),"7.2 Golive Full / OA / DONE OTB")</f>
        <v>7.2 Golive Full / OA / DONE OTB</v>
      </c>
      <c r="Q683" s="222" t="str">
        <f>IFERROR(__xludf.DUMMYFUNCTION("""COMPUTED_VALUE"""),"(09/04) Penarikan Kabel (05/04) Tanam Tiang (03/03) Sudah Request Material (09/02) PO Material dan Proses Negosiasi dgn Kepala Desa(29/01) PO Material dan Proses Negosiasi dgn Kepala Desa
(21/01) DelMat (07/01) Persiapan")</f>
        <v>(09/04) Penarikan Kabel (05/04) Tanam Tiang (03/03) Sudah Request Material (09/02) PO Material dan Proses Negosiasi dgn Kepala Desa(29/01) PO Material dan Proses Negosiasi dgn Kepala Desa
(21/01) DelMat (07/01) Persiapan</v>
      </c>
      <c r="R683" s="228">
        <f>IFERROR(__xludf.DUMMYFUNCTION("""COMPUTED_VALUE"""),46123.0)</f>
        <v>46123</v>
      </c>
      <c r="S683" s="11"/>
      <c r="T683" s="73"/>
      <c r="U683" s="11"/>
      <c r="V683" s="229"/>
      <c r="W683" s="229"/>
      <c r="X683" s="229" t="str">
        <f>IFERROR(__xludf.DUMMYFUNCTION("""COMPUTED_VALUE"""),"GOLIVE")</f>
        <v>GOLIVE</v>
      </c>
      <c r="Y683" s="229" t="str">
        <f>IFERROR(__xludf.DUMMYFUNCTION("""COMPUTED_VALUE"""),"DONE")</f>
        <v>DONE</v>
      </c>
      <c r="Z683" s="229" t="str">
        <f>IFERROR(__xludf.DUMMYFUNCTION("""COMPUTED_VALUE"""),"#N/A")</f>
        <v>#N/A</v>
      </c>
      <c r="AA683" s="229">
        <f>IFERROR(__xludf.DUMMYFUNCTION("""COMPUTED_VALUE"""),7.0)</f>
        <v>7</v>
      </c>
      <c r="AB683" s="229"/>
      <c r="AC683" s="229" t="str">
        <f>IFERROR(__xludf.DUMMYFUNCTION("""COMPUTED_VALUE"""),"9257373#9257378")</f>
        <v>9257373#9257378</v>
      </c>
      <c r="AD683" s="232">
        <f>IFERROR(__xludf.DUMMYFUNCTION("""COMPUTED_VALUE"""),56.0)</f>
        <v>56</v>
      </c>
      <c r="AE683" s="233">
        <f>IFERROR(__xludf.DUMMYFUNCTION("""COMPUTED_VALUE"""),46123.0)</f>
        <v>46123</v>
      </c>
      <c r="AF683" s="54"/>
      <c r="AG683" s="54"/>
      <c r="AH683" s="54">
        <v>46123.0</v>
      </c>
      <c r="AI683" s="55">
        <f t="shared" si="80"/>
        <v>0</v>
      </c>
      <c r="AW683" s="234"/>
      <c r="BP683" s="11"/>
      <c r="BQ683" s="11"/>
      <c r="BR683" s="235"/>
      <c r="BV683" s="158"/>
      <c r="BY683" s="158"/>
      <c r="CB683" s="158"/>
    </row>
    <row r="684" ht="18.0" customHeight="1">
      <c r="A684" s="222">
        <f>IFERROR(__xludf.DUMMYFUNCTION("""COMPUTED_VALUE"""),2026.0)</f>
        <v>2026</v>
      </c>
      <c r="B684" s="221">
        <f>IFERROR(__xludf.DUMMYFUNCTION("""COMPUTED_VALUE"""),1.1563311E7)</f>
        <v>11563311</v>
      </c>
      <c r="C684" s="222" t="str">
        <f>IFERROR(__xludf.DUMMYFUNCTION("""COMPUTED_VALUE"""),"SMB P3I1 SLK PT3-PT4 SEVENTINO - 7 LOP")</f>
        <v>SMB P3I1 SLK PT3-PT4 SEVENTINO - 7 LOP</v>
      </c>
      <c r="D684" s="222" t="str">
        <f>IFERROR(__xludf.DUMMYFUNCTION("""COMPUTED_VALUE"""),"REGIONAL I")</f>
        <v>REGIONAL I</v>
      </c>
      <c r="E684" s="222" t="str">
        <f>IFERROR(__xludf.DUMMYFUNCTION("""COMPUTED_VALUE"""),"SUMBAR")</f>
        <v>SUMBAR</v>
      </c>
      <c r="F684" s="222" t="str">
        <f>IFERROR(__xludf.DUMMYFUNCTION("""COMPUTED_VALUE"""),"SLK")</f>
        <v>SLK</v>
      </c>
      <c r="G684" s="222" t="str">
        <f>IFERROR(__xludf.DUMMYFUNCTION("""COMPUTED_VALUE"""),"SUMBAGTENG")</f>
        <v>SUMBAGTENG</v>
      </c>
      <c r="H684" s="222" t="str">
        <f>IFERROR(__xludf.DUMMYFUNCTION("""COMPUTED_VALUE"""),"PADANG")</f>
        <v>PADANG</v>
      </c>
      <c r="I684" s="222" t="str">
        <f>IFERROR(__xludf.DUMMYFUNCTION("""COMPUTED_VALUE"""),"Batch 2")</f>
        <v>Batch 2</v>
      </c>
      <c r="J684" s="225">
        <f>IFERROR(__xludf.DUMMYFUNCTION("""COMPUTED_VALUE"""),12.0)</f>
        <v>12</v>
      </c>
      <c r="K684" s="224">
        <f>IFERROR(__xludf.DUMMYFUNCTION("""COMPUTED_VALUE"""),96.0)</f>
        <v>96</v>
      </c>
      <c r="L684" s="226">
        <f>IFERROR(__xludf.DUMMYFUNCTION("""COMPUTED_VALUE"""),1142176.0)</f>
        <v>1142176</v>
      </c>
      <c r="M684" s="227">
        <f>IFERROR(__xludf.DUMMYFUNCTION("""COMPUTED_VALUE"""),1.09648876E8)</f>
        <v>109648876</v>
      </c>
      <c r="N684" s="222" t="str">
        <f>IFERROR(__xludf.DUMMYFUNCTION("""COMPUTED_VALUE"""),"PT TRI PENAMAS")</f>
        <v>PT TRI PENAMAS</v>
      </c>
      <c r="O684" s="222" t="str">
        <f>IFERROR(__xludf.DUMMYFUNCTION("""COMPUTED_VALUE"""),"0. DROP")</f>
        <v>0. DROP</v>
      </c>
      <c r="P684" s="222" t="str">
        <f>IFERROR(__xludf.DUMMYFUNCTION("""COMPUTED_VALUE"""),"0.3 Feeder Full")</f>
        <v>0.3 Feeder Full</v>
      </c>
      <c r="Q684" s="222" t="str">
        <f>IFERROR(__xludf.DUMMYFUNCTION("""COMPUTED_VALUE"""),"26/01 : Kendala feeder SLK-FN FULL")</f>
        <v>26/01 : Kendala feeder SLK-FN FULL</v>
      </c>
      <c r="R684" s="228"/>
      <c r="S684" s="11"/>
      <c r="T684" s="11"/>
      <c r="U684" s="11"/>
      <c r="V684" s="229"/>
      <c r="W684" s="229"/>
      <c r="X684" s="229" t="str">
        <f>IFERROR(__xludf.DUMMYFUNCTION("""COMPUTED_VALUE"""),"BELUM GOLIVE")</f>
        <v>BELUM GOLIVE</v>
      </c>
      <c r="Y684" s="229"/>
      <c r="Z684" s="229" t="str">
        <f>IFERROR(__xludf.DUMMYFUNCTION("""COMPUTED_VALUE"""),"#N/A")</f>
        <v>#N/A</v>
      </c>
      <c r="AA684" s="229"/>
      <c r="AB684" s="229"/>
      <c r="AC684" s="229"/>
      <c r="AD684" s="232"/>
      <c r="AE684" s="233"/>
      <c r="AF684" s="54" t="str">
        <f>IFERROR(__xludf.DUMMYFUNCTION("""COMPUTED_VALUE"""),"Draft BA DROP")</f>
        <v>Draft BA DROP</v>
      </c>
      <c r="AG684" s="54"/>
      <c r="AH684" s="54"/>
      <c r="AI684" s="55" t="str">
        <f t="shared" si="80"/>
        <v/>
      </c>
      <c r="AW684" s="234"/>
      <c r="BP684" s="11"/>
      <c r="BQ684" s="11"/>
      <c r="BR684" s="235"/>
      <c r="BV684" s="158"/>
      <c r="BY684" s="158"/>
      <c r="CB684" s="158"/>
    </row>
    <row r="685" ht="18.0" hidden="1" customHeight="1">
      <c r="A685" s="222">
        <f>IFERROR(__xludf.DUMMYFUNCTION("""COMPUTED_VALUE"""),2026.0)</f>
        <v>2026</v>
      </c>
      <c r="B685" s="221">
        <f>IFERROR(__xludf.DUMMYFUNCTION("""COMPUTED_VALUE"""),1.0764546E7)</f>
        <v>10764546</v>
      </c>
      <c r="C685" s="222" t="str">
        <f>IFERROR(__xludf.DUMMYFUNCTION("""COMPUTED_VALUE"""),"JBI-PT3 BRANCHING-MRO-FE-ANSORI")</f>
        <v>JBI-PT3 BRANCHING-MRO-FE-ANSORI</v>
      </c>
      <c r="D685" s="222" t="str">
        <f>IFERROR(__xludf.DUMMYFUNCTION("""COMPUTED_VALUE"""),"REGIONAL I")</f>
        <v>REGIONAL I</v>
      </c>
      <c r="E685" s="222" t="str">
        <f>IFERROR(__xludf.DUMMYFUNCTION("""COMPUTED_VALUE"""),"JAMBI")</f>
        <v>JAMBI</v>
      </c>
      <c r="F685" s="222" t="str">
        <f>IFERROR(__xludf.DUMMYFUNCTION("""COMPUTED_VALUE"""),"MRO")</f>
        <v>MRO</v>
      </c>
      <c r="G685" s="222" t="str">
        <f>IFERROR(__xludf.DUMMYFUNCTION("""COMPUTED_VALUE"""),"SUMBAGSEL")</f>
        <v>SUMBAGSEL</v>
      </c>
      <c r="H685" s="222" t="str">
        <f>IFERROR(__xludf.DUMMYFUNCTION("""COMPUTED_VALUE"""),"JAMBI")</f>
        <v>JAMBI</v>
      </c>
      <c r="I685" s="222" t="str">
        <f>IFERROR(__xludf.DUMMYFUNCTION("""COMPUTED_VALUE"""),"Batch 2")</f>
        <v>Batch 2</v>
      </c>
      <c r="J685" s="225">
        <f>IFERROR(__xludf.DUMMYFUNCTION("""COMPUTED_VALUE"""),1.0)</f>
        <v>1</v>
      </c>
      <c r="K685" s="224">
        <f>IFERROR(__xludf.DUMMYFUNCTION("""COMPUTED_VALUE"""),8.0)</f>
        <v>8</v>
      </c>
      <c r="L685" s="226">
        <f>IFERROR(__xludf.DUMMYFUNCTION("""COMPUTED_VALUE"""),1141530.0)</f>
        <v>1141530</v>
      </c>
      <c r="M685" s="227">
        <f>IFERROR(__xludf.DUMMYFUNCTION("""COMPUTED_VALUE"""),9132240.0)</f>
        <v>9132240</v>
      </c>
      <c r="N685" s="222" t="str">
        <f>IFERROR(__xludf.DUMMYFUNCTION("""COMPUTED_VALUE"""),"PT HAN SUNG INDONESIA")</f>
        <v>PT HAN SUNG INDONESIA</v>
      </c>
      <c r="O685" s="222" t="str">
        <f>IFERROR(__xludf.DUMMYFUNCTION("""COMPUTED_VALUE"""),"7. GOLIVE")</f>
        <v>7. GOLIVE</v>
      </c>
      <c r="P685" s="222" t="str">
        <f>IFERROR(__xludf.DUMMYFUNCTION("""COMPUTED_VALUE"""),"7.2 Golive Full / OA / DONE OTB")</f>
        <v>7.2 Golive Full / OA / DONE OTB</v>
      </c>
      <c r="Q685" s="222" t="str">
        <f>IFERROR(__xludf.DUMMYFUNCTION("""COMPUTED_VALUE""")," (13/2) golive sdi 13 feb (5/2) INSTAL ODP,   (29/1) MATERIAL BARU SAMPAI LOKASI (22/01)PID Done ogp Apv PM Area (12/1CHANGE MITRA HAN SUNG   (06/01)order JPP batch-2 2026 ((18/11) tidak masuk target optimis 2025 (17/11 kendala mitra ,redesign 10/11 matde"&amp;"l (05/11)Req Material (15/10) Mapping Mitra")</f>
        <v> (13/2) golive sdi 13 feb (5/2) INSTAL ODP,   (29/1) MATERIAL BARU SAMPAI LOKASI (22/01)PID Done ogp Apv PM Area (12/1CHANGE MITRA HAN SUNG   (06/01)order JPP batch-2 2026 ((18/11) tidak masuk target optimis 2025 (17/11 kendala mitra ,redesign 10/11 matdel (05/11)Req Material (15/10) Mapping Mitra</v>
      </c>
      <c r="R685" s="228">
        <f>IFERROR(__xludf.DUMMYFUNCTION("""COMPUTED_VALUE"""),46067.0)</f>
        <v>46067</v>
      </c>
      <c r="S685" s="11"/>
      <c r="T685" s="11"/>
      <c r="U685" s="11"/>
      <c r="V685" s="229"/>
      <c r="W685" s="229"/>
      <c r="X685" s="229" t="str">
        <f>IFERROR(__xludf.DUMMYFUNCTION("""COMPUTED_VALUE"""),"GOLIVE")</f>
        <v>GOLIVE</v>
      </c>
      <c r="Y685" s="229" t="str">
        <f>IFERROR(__xludf.DUMMYFUNCTION("""COMPUTED_VALUE"""),"DONE")</f>
        <v>DONE</v>
      </c>
      <c r="Z685" s="229" t="str">
        <f>IFERROR(__xludf.DUMMYFUNCTION("""COMPUTED_VALUE"""),"#N/A")</f>
        <v>#N/A</v>
      </c>
      <c r="AA685" s="229">
        <f>IFERROR(__xludf.DUMMYFUNCTION("""COMPUTED_VALUE"""),1.0)</f>
        <v>1</v>
      </c>
      <c r="AB685" s="229"/>
      <c r="AC685" s="229" t="str">
        <f>IFERROR(__xludf.DUMMYFUNCTION("""COMPUTED_VALUE"""),"8503372#8503377")</f>
        <v>8503372#8503377</v>
      </c>
      <c r="AD685" s="232">
        <f>IFERROR(__xludf.DUMMYFUNCTION("""COMPUTED_VALUE"""),8.0)</f>
        <v>8</v>
      </c>
      <c r="AE685" s="233">
        <f>IFERROR(__xludf.DUMMYFUNCTION("""COMPUTED_VALUE"""),46066.0)</f>
        <v>46066</v>
      </c>
      <c r="AF685" s="54"/>
      <c r="AG685" s="54"/>
      <c r="AH685" s="54">
        <v>46067.0</v>
      </c>
      <c r="AI685" s="55">
        <f t="shared" si="80"/>
        <v>1</v>
      </c>
      <c r="AW685" s="234"/>
      <c r="BP685" s="11"/>
      <c r="BQ685" s="11"/>
      <c r="BR685" s="235"/>
      <c r="BV685" s="158"/>
      <c r="BY685" s="158"/>
      <c r="CB685" s="158"/>
    </row>
    <row r="686" ht="18.0" hidden="1" customHeight="1">
      <c r="A686" s="222">
        <f>IFERROR(__xludf.DUMMYFUNCTION("""COMPUTED_VALUE"""),2026.0)</f>
        <v>2026</v>
      </c>
      <c r="B686" s="221">
        <f>IFERROR(__xludf.DUMMYFUNCTION("""COMPUTED_VALUE"""),1.1265925E7)</f>
        <v>11265925</v>
      </c>
      <c r="C686" s="222" t="str">
        <f>IFERROR(__xludf.DUMMYFUNCTION("""COMPUTED_VALUE"""),"MDN PT3 SPM-FBU JL.MAWAR GG.KELUARGA")</f>
        <v>MDN PT3 SPM-FBU JL.MAWAR GG.KELUARGA</v>
      </c>
      <c r="D686" s="222" t="str">
        <f>IFERROR(__xludf.DUMMYFUNCTION("""COMPUTED_VALUE"""),"REGIONAL I")</f>
        <v>REGIONAL I</v>
      </c>
      <c r="E686" s="222" t="str">
        <f>IFERROR(__xludf.DUMMYFUNCTION("""COMPUTED_VALUE"""),"MEDAN")</f>
        <v>MEDAN</v>
      </c>
      <c r="F686" s="222" t="str">
        <f>IFERROR(__xludf.DUMMYFUNCTION("""COMPUTED_VALUE"""),"SPM")</f>
        <v>SPM</v>
      </c>
      <c r="G686" s="222" t="str">
        <f>IFERROR(__xludf.DUMMYFUNCTION("""COMPUTED_VALUE"""),"SUMBAGUT")</f>
        <v>SUMBAGUT</v>
      </c>
      <c r="H686" s="222" t="str">
        <f>IFERROR(__xludf.DUMMYFUNCTION("""COMPUTED_VALUE"""),"MEDAN")</f>
        <v>MEDAN</v>
      </c>
      <c r="I686" s="222" t="str">
        <f>IFERROR(__xludf.DUMMYFUNCTION("""COMPUTED_VALUE"""),"Batch 2")</f>
        <v>Batch 2</v>
      </c>
      <c r="J686" s="225">
        <f>IFERROR(__xludf.DUMMYFUNCTION("""COMPUTED_VALUE"""),3.0)</f>
        <v>3</v>
      </c>
      <c r="K686" s="224">
        <f>IFERROR(__xludf.DUMMYFUNCTION("""COMPUTED_VALUE"""),24.0)</f>
        <v>24</v>
      </c>
      <c r="L686" s="226">
        <f>IFERROR(__xludf.DUMMYFUNCTION("""COMPUTED_VALUE"""),1140513.0)</f>
        <v>1140513</v>
      </c>
      <c r="M686" s="227">
        <f>IFERROR(__xludf.DUMMYFUNCTION("""COMPUTED_VALUE"""),2.7372307E7)</f>
        <v>27372307</v>
      </c>
      <c r="N686" s="222" t="str">
        <f>IFERROR(__xludf.DUMMYFUNCTION("""COMPUTED_VALUE"""),"PT CAHAYA PERMATA MANDIRI")</f>
        <v>PT CAHAYA PERMATA MANDIRI</v>
      </c>
      <c r="O686" s="222" t="str">
        <f>IFERROR(__xludf.DUMMYFUNCTION("""COMPUTED_VALUE"""),"0. DROP")</f>
        <v>0. DROP</v>
      </c>
      <c r="P686" s="222" t="str">
        <f>IFERROR(__xludf.DUMMYFUNCTION("""COMPUTED_VALUE"""),"0.3 Feeder Full")</f>
        <v>0.3 Feeder Full</v>
      </c>
      <c r="Q686" s="222" t="str">
        <f>IFERROR(__xludf.DUMMYFUNCTION("""COMPUTED_VALUE"""),"08/03 Feeder Penuh (22/03) Feeder Redti/ LOS SPM-FBU")</f>
        <v>08/03 Feeder Penuh (22/03) Feeder Redti/ LOS SPM-FBU</v>
      </c>
      <c r="R686" s="228"/>
      <c r="S686" s="11"/>
      <c r="T686" s="11"/>
      <c r="U686" s="11"/>
      <c r="V686" s="229"/>
      <c r="W686" s="229"/>
      <c r="X686" s="229" t="str">
        <f>IFERROR(__xludf.DUMMYFUNCTION("""COMPUTED_VALUE"""),"BELUM GOLIVE")</f>
        <v>BELUM GOLIVE</v>
      </c>
      <c r="Y686" s="229"/>
      <c r="Z686" s="229" t="str">
        <f>IFERROR(__xludf.DUMMYFUNCTION("""COMPUTED_VALUE"""),"#N/A")</f>
        <v>#N/A</v>
      </c>
      <c r="AA686" s="229"/>
      <c r="AB686" s="229"/>
      <c r="AC686" s="229"/>
      <c r="AD686" s="232"/>
      <c r="AE686" s="233"/>
      <c r="AF686" s="54"/>
      <c r="AG686" s="54"/>
      <c r="AH686" s="54"/>
      <c r="AI686" s="55" t="str">
        <f t="shared" si="80"/>
        <v/>
      </c>
      <c r="AW686" s="234"/>
      <c r="BP686" s="11"/>
      <c r="BQ686" s="11"/>
      <c r="BR686" s="235"/>
      <c r="BV686" s="158"/>
      <c r="BY686" s="158"/>
      <c r="CB686" s="158"/>
    </row>
    <row r="687" ht="18.0" hidden="1" customHeight="1">
      <c r="A687" s="222">
        <f>IFERROR(__xludf.DUMMYFUNCTION("""COMPUTED_VALUE"""),2026.0)</f>
        <v>2026</v>
      </c>
      <c r="B687" s="221">
        <f>IFERROR(__xludf.DUMMYFUNCTION("""COMPUTED_VALUE"""),1.2438416E7)</f>
        <v>12438416</v>
      </c>
      <c r="C687" s="222" t="str">
        <f>IFERROR(__xludf.DUMMYFUNCTION("""COMPUTED_VALUE"""),"SMS P4I4 PT3 BTA FAW D04 TUBAGUS ALFALAN")</f>
        <v>SMS P4I4 PT3 BTA FAW D04 TUBAGUS ALFALAN</v>
      </c>
      <c r="D687" s="222" t="str">
        <f>IFERROR(__xludf.DUMMYFUNCTION("""COMPUTED_VALUE"""),"REGIONAL I")</f>
        <v>REGIONAL I</v>
      </c>
      <c r="E687" s="222" t="str">
        <f>IFERROR(__xludf.DUMMYFUNCTION("""COMPUTED_VALUE"""),"SUMSEL")</f>
        <v>SUMSEL</v>
      </c>
      <c r="F687" s="222" t="str">
        <f>IFERROR(__xludf.DUMMYFUNCTION("""COMPUTED_VALUE"""),"BTA")</f>
        <v>BTA</v>
      </c>
      <c r="G687" s="222" t="str">
        <f>IFERROR(__xludf.DUMMYFUNCTION("""COMPUTED_VALUE"""),"SUMBAGSEL")</f>
        <v>SUMBAGSEL</v>
      </c>
      <c r="H687" s="222" t="str">
        <f>IFERROR(__xludf.DUMMYFUNCTION("""COMPUTED_VALUE"""),"PALEMBANG")</f>
        <v>PALEMBANG</v>
      </c>
      <c r="I687" s="222" t="str">
        <f>IFERROR(__xludf.DUMMYFUNCTION("""COMPUTED_VALUE"""),"Batch 2")</f>
        <v>Batch 2</v>
      </c>
      <c r="J687" s="225">
        <f>IFERROR(__xludf.DUMMYFUNCTION("""COMPUTED_VALUE"""),2.0)</f>
        <v>2</v>
      </c>
      <c r="K687" s="224">
        <f>IFERROR(__xludf.DUMMYFUNCTION("""COMPUTED_VALUE"""),16.0)</f>
        <v>16</v>
      </c>
      <c r="L687" s="226">
        <f>IFERROR(__xludf.DUMMYFUNCTION("""COMPUTED_VALUE"""),1140403.0)</f>
        <v>1140403</v>
      </c>
      <c r="M687" s="227">
        <f>IFERROR(__xludf.DUMMYFUNCTION("""COMPUTED_VALUE"""),1.8246436E7)</f>
        <v>18246436</v>
      </c>
      <c r="N687" s="222" t="str">
        <f>IFERROR(__xludf.DUMMYFUNCTION("""COMPUTED_VALUE"""),"PT GARINDO TECHNO MANDIRI")</f>
        <v>PT GARINDO TECHNO MANDIRI</v>
      </c>
      <c r="O687" s="222" t="str">
        <f>IFERROR(__xludf.DUMMYFUNCTION("""COMPUTED_VALUE"""),"7. GOLIVE")</f>
        <v>7. GOLIVE</v>
      </c>
      <c r="P687" s="222" t="str">
        <f>IFERROR(__xludf.DUMMYFUNCTION("""COMPUTED_VALUE"""),"7.2 Golive Full / OA / DONE OTB")</f>
        <v>7.2 Golive Full / OA / DONE OTB</v>
      </c>
      <c r="Q687" s="222" t="str">
        <f>IFERROR(__xludf.DUMMYFUNCTION("""COMPUTED_VALUE"""),"06/04 Pemasangan ODP Proses VALINS, 04/04 PROGRESS TANAM TIANG, 02/04 DONE PERIZINAN, 01/04 SDH DPT TTD 20 WARGA - DILANJUT PIHAK TSEL MENEMUI DEVELOPER TERKAIT PERIZINAN, 31/03 SDH DPT TTD 20 WARGA, 30/03 PROGRESS TTD 20 WARGA UTK SYARAT PEMBANGUNAN, 28/"&amp;"03 PLAN MEMINTA TTD DOOR TO DOOR KE RUMAH WARGA, 27/03 KENDALA IZIN DAN FEEDER RETI (pihak deplover perumahan minta tim sales atau tim dari telkom yang datang ke lokasi untuk perizinan pembangunan jaringan di lokasi tersebut), 25/03 PEKERJAAN DI STOP - MA"&amp;"SIH KENDALA PERIZINAN, 24/03 PEKERJAAN DI STOP - MASIH KENDALA PERIZINAN, 21/03 MASIH KENDALA PERIZINAN DEVELOPER, 16/03  PEKERJAAN DI STOP - MASIH KENDALA PERIZINAN 13/03 PEKERJJAAN DI STOP DEVELOPER KRNA PIHAK DEVELOPER TUBAGUS ALFALAND MEMINTA SURAT PE"&amp;"RSETUJUAN PENANAMAN TIANG DARI WARGA MINIMAL 20 RUMAH, DAN PIHAK DEVELOPER MEMINTA PENYERAHAN SURAT PERSETUJUAN HARUS DI DAMPINGI PIHAK TELKOM BATURAJA ,13/03 OGP TANAM TIANG 12/03 MENUNGGU ANTRIAN PEKERJAAN, 11/03 PLAN KAMIS PROGRESS, 09/03 MASIH MENUNGG"&amp;"U ANTRIAN PEKERJAAN, 06/03 MENUNGGU ANTRIAN PEKERJAAN, 04/03 MATERIAL ONSITE, 03/03 MATDEL, 02/03 HARI INI AMBIL TIANG, 27/02 DONE RFC,OGP AMBIL MATERIAL EST TGL 02/03, 26/02 MENUNGGU RFC UTK PENGAMBILAN MATERIAL, 25/02 MASIH MENUNGGU TIANG, 24/02 LANJUT "&amp;"PROGRESS SDH ADA RFC DAN MENUNGGU TIANG, 23/02 BELUM INPUT MATERIAL TIANG KRNA TIANG HABIS,  22/2 menunggu material TIANG  20/02 DONE INPUT MATERIAL, 18/02 BELUM BISA INPUT MATERIAL - MSH MENUNGGU PA, 11/2 menunggu PRPO  10/02 MASIH PROGRESS DRM, 4/2 Suda"&amp;"h evall, lanjut  Deploy 30/01 MENUNGGU EVAL - PLAN TGL 02 FEB, 25/01 DONE AANWIDJZING, (21/01) menunggu antrian aanwizjing, (15/1) ORDER DITERIMA MITRA 14/1,MENUNGGU PLAN AANWIJDZING (06/01)order JPP batch-2 2026 ((14/11)HOLD-  tidak masuk target Optimis "&amp;"2025 ((11/11) Penunjukkan MITRA  oleh Procurement ")</f>
        <v>06/04 Pemasangan ODP Proses VALINS, 04/04 PROGRESS TANAM TIANG, 02/04 DONE PERIZINAN, 01/04 SDH DPT TTD 20 WARGA - DILANJUT PIHAK TSEL MENEMUI DEVELOPER TERKAIT PERIZINAN, 31/03 SDH DPT TTD 20 WARGA, 30/03 PROGRESS TTD 20 WARGA UTK SYARAT PEMBANGUNAN, 28/03 PLAN MEMINTA TTD DOOR TO DOOR KE RUMAH WARGA, 27/03 KENDALA IZIN DAN FEEDER RETI (pihak deplover perumahan minta tim sales atau tim dari telkom yang datang ke lokasi untuk perizinan pembangunan jaringan di lokasi tersebut), 25/03 PEKERJAAN DI STOP - MASIH KENDALA PERIZINAN, 24/03 PEKERJAAN DI STOP - MASIH KENDALA PERIZINAN, 21/03 MASIH KENDALA PERIZINAN DEVELOPER, 16/03  PEKERJAAN DI STOP - MASIH KENDALA PERIZINAN 13/03 PEKERJJAAN DI STOP DEVELOPER KRNA PIHAK DEVELOPER TUBAGUS ALFALAND MEMINTA SURAT PERSETUJUAN PENANAMAN TIANG DARI WARGA MINIMAL 20 RUMAH, DAN PIHAK DEVELOPER MEMINTA PENYERAHAN SURAT PERSETUJUAN HARUS DI DAMPINGI PIHAK TELKOM BATURAJA ,13/03 OGP TANAM TIANG 12/03 MENUNGGU ANTRIAN PEKERJAAN, 11/03 PLAN KAMIS PROGRESS, 09/03 MASIH MENUNGGU ANTRIAN PEKERJAAN, 06/03 MENUNGGU ANTRIAN PEKERJAAN, 04/03 MATERIAL ONSITE, 03/03 MATDEL, 02/03 HARI INI AMBIL TIANG, 27/02 DONE RFC,OGP AMBIL MATERIAL EST TGL 02/03, 26/02 MENUNGGU RFC UTK PENGAMBILAN MATERIAL, 25/02 MASIH MENUNGGU TIANG, 24/02 LANJUT PROGRESS SDH ADA RFC DAN MENUNGGU TIANG, 23/02 BELUM INPUT MATERIAL TIANG KRNA TIANG HABIS,  22/2 menunggu material TIANG  20/02 DONE INPUT MATERIAL, 18/02 BELUM BISA INPUT MATERIAL - MSH MENUNGGU PA, 11/2 menunggu PRPO  10/02 MASIH PROGRESS DRM, 4/2 Sudah evall, lanjut  Deploy 30/01 MENUNGGU EVAL - PLAN TGL 02 FEB, 25/01 DONE AANWIDJZING, (21/01) menunggu antrian aanwizjing, (15/1) ORDER DITERIMA MITRA 14/1,MENUNGGU PLAN AANWIJDZING (06/01)order JPP batch-2 2026 ((14/11)HOLD-  tidak masuk target Optimis 2025 ((11/11) Penunjukkan MITRA  oleh Procurement </v>
      </c>
      <c r="R687" s="228">
        <f>IFERROR(__xludf.DUMMYFUNCTION("""COMPUTED_VALUE"""),46118.0)</f>
        <v>46118</v>
      </c>
      <c r="S687" s="11" t="str">
        <f>IFERROR(__xludf.DUMMYFUNCTION("""COMPUTED_VALUE"""),"APR")</f>
        <v>APR</v>
      </c>
      <c r="T687" s="73" t="str">
        <f>IFERROR(__xludf.DUMMYFUNCTION("""COMPUTED_VALUE"""),"P1")</f>
        <v>P1</v>
      </c>
      <c r="U687" s="11"/>
      <c r="V687" s="229" t="str">
        <f>IFERROR(__xludf.DUMMYFUNCTION("""COMPUTED_VALUE"""),"TANTOWI")</f>
        <v>TANTOWI</v>
      </c>
      <c r="W687" s="229"/>
      <c r="X687" s="229" t="str">
        <f>IFERROR(__xludf.DUMMYFUNCTION("""COMPUTED_VALUE"""),"GOLIVE")</f>
        <v>GOLIVE</v>
      </c>
      <c r="Y687" s="229" t="str">
        <f>IFERROR(__xludf.DUMMYFUNCTION("""COMPUTED_VALUE"""),"DONE")</f>
        <v>DONE</v>
      </c>
      <c r="Z687" s="229" t="str">
        <f>IFERROR(__xludf.DUMMYFUNCTION("""COMPUTED_VALUE"""),"#N/A")</f>
        <v>#N/A</v>
      </c>
      <c r="AA687" s="229">
        <f>IFERROR(__xludf.DUMMYFUNCTION("""COMPUTED_VALUE"""),2.0)</f>
        <v>2</v>
      </c>
      <c r="AB687" s="229"/>
      <c r="AC687" s="229" t="str">
        <f>IFERROR(__xludf.DUMMYFUNCTION("""COMPUTED_VALUE"""),"8940693#8940698")</f>
        <v>8940693#8940698</v>
      </c>
      <c r="AD687" s="232">
        <f>IFERROR(__xludf.DUMMYFUNCTION("""COMPUTED_VALUE"""),16.0)</f>
        <v>16</v>
      </c>
      <c r="AE687" s="233">
        <f>IFERROR(__xludf.DUMMYFUNCTION("""COMPUTED_VALUE"""),46118.0)</f>
        <v>46118</v>
      </c>
      <c r="AF687" s="54"/>
      <c r="AG687" s="54"/>
      <c r="AH687" s="54">
        <v>46137.0</v>
      </c>
      <c r="AI687" s="237">
        <f>AH687-NOW()</f>
        <v>-3.377989896</v>
      </c>
      <c r="AJ687" s="229" t="str">
        <f>if(AI687&gt;=0,"In Komitmen","Out Komitmen")</f>
        <v>Out Komitmen</v>
      </c>
      <c r="AK687" s="229" t="e">
        <v>#N/A</v>
      </c>
      <c r="AW687" s="234"/>
      <c r="BP687" s="11"/>
      <c r="BQ687" s="11"/>
      <c r="BR687" s="235"/>
      <c r="BV687" s="158"/>
      <c r="BY687" s="158"/>
      <c r="CB687" s="158"/>
    </row>
    <row r="688" ht="18.0" customHeight="1">
      <c r="A688" s="222">
        <f>IFERROR(__xludf.DUMMYFUNCTION("""COMPUTED_VALUE"""),2026.0)</f>
        <v>2026</v>
      </c>
      <c r="B688" s="221">
        <f>IFERROR(__xludf.DUMMYFUNCTION("""COMPUTED_VALUE"""),1.1365019E7)</f>
        <v>11365019</v>
      </c>
      <c r="C688" s="222" t="str">
        <f>IFERROR(__xludf.DUMMYFUNCTION("""COMPUTED_VALUE"""),"RKP PT3 TSEL DBS-FAE JL. GARUDA")</f>
        <v>RKP PT3 TSEL DBS-FAE JL. GARUDA</v>
      </c>
      <c r="D688" s="222" t="str">
        <f>IFERROR(__xludf.DUMMYFUNCTION("""COMPUTED_VALUE"""),"REGIONAL I")</f>
        <v>REGIONAL I</v>
      </c>
      <c r="E688" s="222" t="str">
        <f>IFERROR(__xludf.DUMMYFUNCTION("""COMPUTED_VALUE"""),"RIKEP")</f>
        <v>RIKEP</v>
      </c>
      <c r="F688" s="222" t="str">
        <f>IFERROR(__xludf.DUMMYFUNCTION("""COMPUTED_VALUE"""),"RAI")</f>
        <v>RAI</v>
      </c>
      <c r="G688" s="222" t="str">
        <f>IFERROR(__xludf.DUMMYFUNCTION("""COMPUTED_VALUE"""),"SUMBAGTENG")</f>
        <v>SUMBAGTENG</v>
      </c>
      <c r="H688" s="222" t="str">
        <f>IFERROR(__xludf.DUMMYFUNCTION("""COMPUTED_VALUE"""),"BATAM")</f>
        <v>BATAM</v>
      </c>
      <c r="I688" s="222" t="str">
        <f>IFERROR(__xludf.DUMMYFUNCTION("""COMPUTED_VALUE"""),"Batch 2")</f>
        <v>Batch 2</v>
      </c>
      <c r="J688" s="225">
        <f>IFERROR(__xludf.DUMMYFUNCTION("""COMPUTED_VALUE"""),1.0)</f>
        <v>1</v>
      </c>
      <c r="K688" s="224">
        <f>IFERROR(__xludf.DUMMYFUNCTION("""COMPUTED_VALUE"""),8.0)</f>
        <v>8</v>
      </c>
      <c r="L688" s="226">
        <f>IFERROR(__xludf.DUMMYFUNCTION("""COMPUTED_VALUE"""),1140312.0)</f>
        <v>1140312</v>
      </c>
      <c r="M688" s="227">
        <f>IFERROR(__xludf.DUMMYFUNCTION("""COMPUTED_VALUE"""),9122494.0)</f>
        <v>9122494</v>
      </c>
      <c r="N688" s="222" t="str">
        <f>IFERROR(__xludf.DUMMYFUNCTION("""COMPUTED_VALUE"""),"SWAKELOLA")</f>
        <v>SWAKELOLA</v>
      </c>
      <c r="O688" s="222" t="str">
        <f>IFERROR(__xludf.DUMMYFUNCTION("""COMPUTED_VALUE"""),"4. MATDEL")</f>
        <v>4. MATDEL</v>
      </c>
      <c r="P688" s="222" t="str">
        <f>IFERROR(__xludf.DUMMYFUNCTION("""COMPUTED_VALUE"""),"4.3 Proses Kirim Mateial Kelokasi")</f>
        <v>4.3 Proses Kirim Mateial Kelokasi</v>
      </c>
      <c r="Q688"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688" s="228"/>
      <c r="S688" s="11"/>
      <c r="T688" s="11"/>
      <c r="U688" s="11" t="str">
        <f>IFERROR(__xludf.DUMMYFUNCTION("""COMPUTED_VALUE"""),"W09-307/2026")</f>
        <v>W09-307/2026</v>
      </c>
      <c r="V688" s="229" t="str">
        <f>IFERROR(__xludf.DUMMYFUNCTION("""COMPUTED_VALUE"""),"DEDY IRAWAN")</f>
        <v>DEDY IRAWAN</v>
      </c>
      <c r="W688" s="229" t="str">
        <f>IFERROR(__xludf.DUMMYFUNCTION("""COMPUTED_VALUE"""),"LEVITA INDRIYANI")</f>
        <v>LEVITA INDRIYANI</v>
      </c>
      <c r="X688" s="229" t="str">
        <f>IFERROR(__xludf.DUMMYFUNCTION("""COMPUTED_VALUE"""),"BELUM GOLIVE")</f>
        <v>BELUM GOLIVE</v>
      </c>
      <c r="Y688" s="229"/>
      <c r="Z688" s="229" t="str">
        <f>IFERROR(__xludf.DUMMYFUNCTION("""COMPUTED_VALUE"""),"#N/A")</f>
        <v>#N/A</v>
      </c>
      <c r="AA688" s="229"/>
      <c r="AB688" s="229"/>
      <c r="AC688" s="229"/>
      <c r="AD688" s="232"/>
      <c r="AE688" s="233"/>
      <c r="AF688" s="54"/>
      <c r="AG688" s="54"/>
      <c r="AH688" s="54"/>
      <c r="AI688" s="55" t="str">
        <f t="shared" ref="AI688:AI705" si="81">IF(OR(R688="",AE688=""),"",R688-AE688)</f>
        <v/>
      </c>
      <c r="AW688" s="234"/>
      <c r="BP688" s="11"/>
      <c r="BQ688" s="11"/>
      <c r="BR688" s="235"/>
      <c r="BV688" s="158"/>
      <c r="BY688" s="158"/>
      <c r="CB688" s="158"/>
    </row>
    <row r="689" ht="18.0" hidden="1" customHeight="1">
      <c r="A689" s="222">
        <f>IFERROR(__xludf.DUMMYFUNCTION("""COMPUTED_VALUE"""),2026.0)</f>
        <v>2026</v>
      </c>
      <c r="B689" s="221">
        <f>IFERROR(__xludf.DUMMYFUNCTION("""COMPUTED_VALUE"""),1.1082106E7)</f>
        <v>11082106</v>
      </c>
      <c r="C689" s="222" t="str">
        <f>IFERROR(__xludf.DUMMYFUNCTION("""COMPUTED_VALUE"""),"MDN PT3 P7I1 TJR-FC PERUM ATTAYA RESIDENCE 2-")</f>
        <v>MDN PT3 P7I1 TJR-FC PERUM ATTAYA RESIDENCE 2-</v>
      </c>
      <c r="D689" s="222" t="str">
        <f>IFERROR(__xludf.DUMMYFUNCTION("""COMPUTED_VALUE"""),"REGIONAL I")</f>
        <v>REGIONAL I</v>
      </c>
      <c r="E689" s="222" t="str">
        <f>IFERROR(__xludf.DUMMYFUNCTION("""COMPUTED_VALUE"""),"MEDAN")</f>
        <v>MEDAN</v>
      </c>
      <c r="F689" s="222" t="str">
        <f>IFERROR(__xludf.DUMMYFUNCTION("""COMPUTED_VALUE"""),"TJR")</f>
        <v>TJR</v>
      </c>
      <c r="G689" s="222" t="str">
        <f>IFERROR(__xludf.DUMMYFUNCTION("""COMPUTED_VALUE"""),"SUMBAGUT")</f>
        <v>SUMBAGUT</v>
      </c>
      <c r="H689" s="222" t="str">
        <f>IFERROR(__xludf.DUMMYFUNCTION("""COMPUTED_VALUE"""),"MEDAN")</f>
        <v>MEDAN</v>
      </c>
      <c r="I689" s="222" t="str">
        <f>IFERROR(__xludf.DUMMYFUNCTION("""COMPUTED_VALUE"""),"Batch 2")</f>
        <v>Batch 2</v>
      </c>
      <c r="J689" s="225">
        <f>IFERROR(__xludf.DUMMYFUNCTION("""COMPUTED_VALUE"""),13.0)</f>
        <v>13</v>
      </c>
      <c r="K689" s="224">
        <f>IFERROR(__xludf.DUMMYFUNCTION("""COMPUTED_VALUE"""),104.0)</f>
        <v>104</v>
      </c>
      <c r="L689" s="226">
        <f>IFERROR(__xludf.DUMMYFUNCTION("""COMPUTED_VALUE"""),1138535.0)</f>
        <v>1138535</v>
      </c>
      <c r="M689" s="227">
        <f>IFERROR(__xludf.DUMMYFUNCTION("""COMPUTED_VALUE"""),1.18407539E8)</f>
        <v>118407539</v>
      </c>
      <c r="N689" s="222" t="str">
        <f>IFERROR(__xludf.DUMMYFUNCTION("""COMPUTED_VALUE"""),"PT UPAYA TEKNIK")</f>
        <v>PT UPAYA TEKNIK</v>
      </c>
      <c r="O689" s="222" t="str">
        <f>IFERROR(__xludf.DUMMYFUNCTION("""COMPUTED_VALUE"""),"2. DONE AANWIJZING")</f>
        <v>2. DONE AANWIJZING</v>
      </c>
      <c r="P689" s="222" t="str">
        <f>IFERROR(__xludf.DUMMYFUNCTION("""COMPUTED_VALUE"""),"2.10 Kendala - Feeder Rusak")</f>
        <v>2.10 Kendala - Feeder Rusak</v>
      </c>
      <c r="Q689" s="222" t="str">
        <f>IFERROR(__xludf.DUMMYFUNCTION("""COMPUTED_VALUE"""),"21/04 pengecekan tipus / butuh qe
02/02 Feeder bagus hanya 1 core, sisanya redti (07/01) Persiapan")</f>
        <v>21/04 pengecekan tipus / butuh qe
02/02 Feeder bagus hanya 1 core, sisanya redti (07/01) Persiapan</v>
      </c>
      <c r="R689" s="228"/>
      <c r="S689" s="11"/>
      <c r="T689" s="11"/>
      <c r="U689" s="11"/>
      <c r="V689" s="229"/>
      <c r="W689" s="229"/>
      <c r="X689" s="229" t="str">
        <f>IFERROR(__xludf.DUMMYFUNCTION("""COMPUTED_VALUE"""),"BELUM GOLIVE")</f>
        <v>BELUM GOLIVE</v>
      </c>
      <c r="Y689" s="229"/>
      <c r="Z689" s="229" t="str">
        <f>IFERROR(__xludf.DUMMYFUNCTION("""COMPUTED_VALUE"""),"#N/A")</f>
        <v>#N/A</v>
      </c>
      <c r="AA689" s="229"/>
      <c r="AB689" s="229"/>
      <c r="AC689" s="229"/>
      <c r="AD689" s="232"/>
      <c r="AE689" s="233"/>
      <c r="AF689" s="54"/>
      <c r="AG689" s="54"/>
      <c r="AH689" s="54"/>
      <c r="AI689" s="55" t="str">
        <f t="shared" si="81"/>
        <v/>
      </c>
      <c r="AW689" s="234"/>
      <c r="BP689" s="11"/>
      <c r="BQ689" s="11"/>
      <c r="BR689" s="235"/>
      <c r="BV689" s="158"/>
      <c r="BY689" s="158"/>
      <c r="CB689" s="158"/>
    </row>
    <row r="690" ht="18.0" hidden="1" customHeight="1">
      <c r="A690" s="222">
        <f>IFERROR(__xludf.DUMMYFUNCTION("""COMPUTED_VALUE"""),2026.0)</f>
        <v>2026</v>
      </c>
      <c r="B690" s="221">
        <f>IFERROR(__xludf.DUMMYFUNCTION("""COMPUTED_VALUE"""),1.1411117E7)</f>
        <v>11411117</v>
      </c>
      <c r="C690" s="222" t="str">
        <f>IFERROR(__xludf.DUMMYFUNCTION("""COMPUTED_VALUE"""),"MDN PT3 BJI-FFD PERUM GREEN SHAKI")</f>
        <v>MDN PT3 BJI-FFD PERUM GREEN SHAKI</v>
      </c>
      <c r="D690" s="222" t="str">
        <f>IFERROR(__xludf.DUMMYFUNCTION("""COMPUTED_VALUE"""),"REGIONAL I")</f>
        <v>REGIONAL I</v>
      </c>
      <c r="E690" s="222" t="str">
        <f>IFERROR(__xludf.DUMMYFUNCTION("""COMPUTED_VALUE"""),"MEDAN")</f>
        <v>MEDAN</v>
      </c>
      <c r="F690" s="222" t="str">
        <f>IFERROR(__xludf.DUMMYFUNCTION("""COMPUTED_VALUE"""),"BJI")</f>
        <v>BJI</v>
      </c>
      <c r="G690" s="222" t="str">
        <f>IFERROR(__xludf.DUMMYFUNCTION("""COMPUTED_VALUE"""),"SUMBAGUT")</f>
        <v>SUMBAGUT</v>
      </c>
      <c r="H690" s="222" t="str">
        <f>IFERROR(__xludf.DUMMYFUNCTION("""COMPUTED_VALUE"""),"BINJAI")</f>
        <v>BINJAI</v>
      </c>
      <c r="I690" s="222" t="str">
        <f>IFERROR(__xludf.DUMMYFUNCTION("""COMPUTED_VALUE"""),"Batch 2")</f>
        <v>Batch 2</v>
      </c>
      <c r="J690" s="225">
        <f>IFERROR(__xludf.DUMMYFUNCTION("""COMPUTED_VALUE"""),3.0)</f>
        <v>3</v>
      </c>
      <c r="K690" s="224">
        <f>IFERROR(__xludf.DUMMYFUNCTION("""COMPUTED_VALUE"""),24.0)</f>
        <v>24</v>
      </c>
      <c r="L690" s="226">
        <f>IFERROR(__xludf.DUMMYFUNCTION("""COMPUTED_VALUE"""),842768.0)</f>
        <v>842768</v>
      </c>
      <c r="M690" s="227">
        <f>IFERROR(__xludf.DUMMYFUNCTION("""COMPUTED_VALUE"""),2.0226416E7)</f>
        <v>20226416</v>
      </c>
      <c r="N690" s="222" t="str">
        <f>IFERROR(__xludf.DUMMYFUNCTION("""COMPUTED_VALUE"""),"PT KENCANA RAYA INDONESIA")</f>
        <v>PT KENCANA RAYA INDONESIA</v>
      </c>
      <c r="O690" s="222" t="str">
        <f>IFERROR(__xludf.DUMMYFUNCTION("""COMPUTED_VALUE"""),"3. PERIZINAN")</f>
        <v>3. PERIZINAN</v>
      </c>
      <c r="P690" s="222" t="str">
        <f>IFERROR(__xludf.DUMMYFUNCTION("""COMPUTED_VALUE"""),"3.10 Izin Developer / Private area")</f>
        <v>3.10 Izin Developer / Private area</v>
      </c>
      <c r="Q690" s="222" t="str">
        <f>IFERROR(__xludf.DUMMYFUNCTION("""COMPUTED_VALUE"""),"26/03 feeder dist ready di plan dari D12 di lapangan yang ada D11
26/09 BJI-FFD core idle feeder redting 1,20,25,31,32,44")</f>
        <v>26/03 feeder dist ready di plan dari D12 di lapangan yang ada D11
26/09 BJI-FFD core idle feeder redting 1,20,25,31,32,44</v>
      </c>
      <c r="R690" s="228"/>
      <c r="S690" s="11"/>
      <c r="T690" s="73"/>
      <c r="U690" s="11"/>
      <c r="V690" s="229" t="str">
        <f>IFERROR(__xludf.DUMMYFUNCTION("""COMPUTED_VALUE"""),"27/Apr/2026")</f>
        <v>27/Apr/2026</v>
      </c>
      <c r="W690" s="229"/>
      <c r="X690" s="229" t="str">
        <f>IFERROR(__xludf.DUMMYFUNCTION("""COMPUTED_VALUE"""),"BELUM GOLIVE")</f>
        <v>BELUM GOLIVE</v>
      </c>
      <c r="Y690" s="229"/>
      <c r="Z690" s="229" t="str">
        <f>IFERROR(__xludf.DUMMYFUNCTION("""COMPUTED_VALUE"""),"#N/A")</f>
        <v>#N/A</v>
      </c>
      <c r="AA690" s="229"/>
      <c r="AB690" s="229"/>
      <c r="AC690" s="229"/>
      <c r="AD690" s="232"/>
      <c r="AE690" s="233"/>
      <c r="AF690" s="54"/>
      <c r="AG690" s="54"/>
      <c r="AH690" s="54"/>
      <c r="AI690" s="55" t="str">
        <f t="shared" si="81"/>
        <v/>
      </c>
      <c r="AW690" s="234"/>
      <c r="BP690" s="11"/>
      <c r="BQ690" s="11"/>
      <c r="BR690" s="235"/>
      <c r="BV690" s="158"/>
      <c r="BY690" s="158"/>
      <c r="CB690" s="158"/>
    </row>
    <row r="691" ht="18.0" hidden="1" customHeight="1">
      <c r="A691" s="222">
        <f>IFERROR(__xludf.DUMMYFUNCTION("""COMPUTED_VALUE"""),2026.0)</f>
        <v>2026</v>
      </c>
      <c r="B691" s="221">
        <f>IFERROR(__xludf.DUMMYFUNCTION("""COMPUTED_VALUE"""),1.2099005E7)</f>
        <v>12099005</v>
      </c>
      <c r="C691" s="222" t="str">
        <f>IFERROR(__xludf.DUMMYFUNCTION("""COMPUTED_VALUE"""),"SMS PT3 ODC SGB FCD D01 PALEMBANG 159789")</f>
        <v>SMS PT3 ODC SGB FCD D01 PALEMBANG 159789</v>
      </c>
      <c r="D691" s="222" t="str">
        <f>IFERROR(__xludf.DUMMYFUNCTION("""COMPUTED_VALUE"""),"REGIONAL I")</f>
        <v>REGIONAL I</v>
      </c>
      <c r="E691" s="222" t="str">
        <f>IFERROR(__xludf.DUMMYFUNCTION("""COMPUTED_VALUE"""),"SUMSEL")</f>
        <v>SUMSEL</v>
      </c>
      <c r="F691" s="222" t="str">
        <f>IFERROR(__xludf.DUMMYFUNCTION("""COMPUTED_VALUE"""),"SGB")</f>
        <v>SGB</v>
      </c>
      <c r="G691" s="222" t="str">
        <f>IFERROR(__xludf.DUMMYFUNCTION("""COMPUTED_VALUE"""),"SUMBAGSEL")</f>
        <v>SUMBAGSEL</v>
      </c>
      <c r="H691" s="222" t="str">
        <f>IFERROR(__xludf.DUMMYFUNCTION("""COMPUTED_VALUE"""),"PALEMBANG")</f>
        <v>PALEMBANG</v>
      </c>
      <c r="I691" s="222" t="str">
        <f>IFERROR(__xludf.DUMMYFUNCTION("""COMPUTED_VALUE"""),"Batch 2")</f>
        <v>Batch 2</v>
      </c>
      <c r="J691" s="225">
        <f>IFERROR(__xludf.DUMMYFUNCTION("""COMPUTED_VALUE"""),2.0)</f>
        <v>2</v>
      </c>
      <c r="K691" s="224">
        <f>IFERROR(__xludf.DUMMYFUNCTION("""COMPUTED_VALUE"""),16.0)</f>
        <v>16</v>
      </c>
      <c r="L691" s="226">
        <f>IFERROR(__xludf.DUMMYFUNCTION("""COMPUTED_VALUE"""),1138126.0)</f>
        <v>1138126</v>
      </c>
      <c r="M691" s="227">
        <f>IFERROR(__xludf.DUMMYFUNCTION("""COMPUTED_VALUE"""),1.8210011E7)</f>
        <v>18210011</v>
      </c>
      <c r="N691" s="222" t="str">
        <f>IFERROR(__xludf.DUMMYFUNCTION("""COMPUTED_VALUE"""),"PT SARANA MITRA PERSADA")</f>
        <v>PT SARANA MITRA PERSADA</v>
      </c>
      <c r="O691" s="222" t="str">
        <f>IFERROR(__xludf.DUMMYFUNCTION("""COMPUTED_VALUE"""),"0. DROP")</f>
        <v>0. DROP</v>
      </c>
      <c r="P691" s="222" t="str">
        <f>IFERROR(__xludf.DUMMYFUNCTION("""COMPUTED_VALUE"""),"0.2 Tidak Dapat Izin Warga/Kades/Lurah/Developer")</f>
        <v>0.2 Tidak Dapat Izin Warga/Kades/Lurah/Developer</v>
      </c>
      <c r="Q691" s="222" t="str">
        <f>IFERROR(__xludf.DUMMYFUNCTION("""COMPUTED_VALUE"""),"06/03 DROP - TDK DPT IZIN DARI WARGA KRNA SDH BANYAK PROVIDER LAIN, 24/02 DROP - TDK DPT IZIN DARI WARGA KRNA SDH BANYAK PROVIDER LAIN, 07/01 DROP tidak dpt izin dari warga (29/1) tidak dapat izin rt 27/01 PERIZINAN (20/01) DONE AANWIDJZING, (15/1) ORDER "&amp;"DITERIMA 14/1, PLAN AANWIJDZING 19 JAN 26 (06/01)order JPP batch-2 2026 (18/11 warga tidak mengizinkan karena udah ada wifi provider lain yg masuk, 17/11 masih kendala perizinan, (14/11) KENDALA WARGA TIDAK MENGIZINKAN , KONFIRM TSEL (12/11) masih kendala"&amp;" perizinan, 11/11 masih kendala izin warga (08/11) KENDALA IZIN WARGA , KONFIRM TSEL (3/11) req matrial, menunggu Progres 15/ 10 Perizinan RT/Kades 13/10 aanwizjing done, proses update hasil aanwizjing untuk eval tif
 08/10 aanwizjing done, proses update "&amp;"hasil aanwizjing untuk eval tif
 (01/10) menunggu jadwal aanwizjing
 14/01 penunjukan mitra oleh procurement")</f>
        <v>06/03 DROP - TDK DPT IZIN DARI WARGA KRNA SDH BANYAK PROVIDER LAIN, 24/02 DROP - TDK DPT IZIN DARI WARGA KRNA SDH BANYAK PROVIDER LAIN, 07/01 DROP tidak dpt izin dari warga (29/1) tidak dapat izin rt 27/01 PERIZINAN (20/01) DONE AANWIDJZING, (15/1) ORDER DITERIMA 14/1, PLAN AANWIJDZING 19 JAN 26 (06/01)order JPP batch-2 2026 (18/11 warga tidak mengizinkan karena udah ada wifi provider lain yg masuk, 17/11 masih kendala perizinan, (14/11) KENDALA WARGA TIDAK MENGIZINKAN , KONFIRM TSEL (12/11) masih kendala perizinan, 11/11 masih kendala izin warga (08/11) KENDALA IZIN WARGA , KONFIRM TSEL (3/11) req matrial, menunggu Progres 15/ 10 Perizinan RT/Kades 13/10 aanwizjing done, proses update hasil aanwizjing untuk eval tif
 08/10 aanwizjing done, proses update hasil aanwizjing untuk eval tif
 (01/10) menunggu jadwal aanwizjing
 14/01 penunjukan mitra oleh procurement</v>
      </c>
      <c r="R691" s="228"/>
      <c r="S691" s="11"/>
      <c r="T691" s="11"/>
      <c r="U691" s="11"/>
      <c r="V691" s="229" t="str">
        <f>IFERROR(__xludf.DUMMYFUNCTION("""COMPUTED_VALUE"""),"TANTOWI")</f>
        <v>TANTOWI</v>
      </c>
      <c r="W691" s="229"/>
      <c r="X691" s="229" t="str">
        <f>IFERROR(__xludf.DUMMYFUNCTION("""COMPUTED_VALUE"""),"BELUM GOLIVE")</f>
        <v>BELUM GOLIVE</v>
      </c>
      <c r="Y691" s="229"/>
      <c r="Z691" s="229" t="str">
        <f>IFERROR(__xludf.DUMMYFUNCTION("""COMPUTED_VALUE"""),"#N/A")</f>
        <v>#N/A</v>
      </c>
      <c r="AA691" s="229"/>
      <c r="AB691" s="229"/>
      <c r="AC691" s="229"/>
      <c r="AD691" s="232"/>
      <c r="AE691" s="233"/>
      <c r="AF691" s="54" t="str">
        <f>IFERROR(__xludf.DUMMYFUNCTION("""COMPUTED_VALUE"""),"Draft BA DROP")</f>
        <v>Draft BA DROP</v>
      </c>
      <c r="AG691" s="54"/>
      <c r="AH691" s="54"/>
      <c r="AI691" s="55" t="str">
        <f t="shared" si="81"/>
        <v/>
      </c>
      <c r="AW691" s="234"/>
      <c r="BP691" s="11"/>
      <c r="BQ691" s="11"/>
      <c r="BR691" s="235"/>
      <c r="BV691" s="158"/>
      <c r="BY691" s="158"/>
      <c r="CB691" s="158"/>
    </row>
    <row r="692" ht="18.0" customHeight="1">
      <c r="A692" s="222">
        <f>IFERROR(__xludf.DUMMYFUNCTION("""COMPUTED_VALUE"""),2026.0)</f>
        <v>2026</v>
      </c>
      <c r="B692" s="221">
        <f>IFERROR(__xludf.DUMMYFUNCTION("""COMPUTED_VALUE"""),1.2437798E7)</f>
        <v>12437798</v>
      </c>
      <c r="C692" s="222" t="str">
        <f>IFERROR(__xludf.DUMMYFUNCTION("""COMPUTED_VALUE"""),"RDR JPP PT3 KOTA PEKANBARU_150944")</f>
        <v>RDR JPP PT3 KOTA PEKANBARU_150944</v>
      </c>
      <c r="D692" s="222" t="str">
        <f>IFERROR(__xludf.DUMMYFUNCTION("""COMPUTED_VALUE"""),"REGIONAL I")</f>
        <v>REGIONAL I</v>
      </c>
      <c r="E692" s="222" t="str">
        <f>IFERROR(__xludf.DUMMYFUNCTION("""COMPUTED_VALUE"""),"RIDAR")</f>
        <v>RIDAR</v>
      </c>
      <c r="F692" s="222" t="str">
        <f>IFERROR(__xludf.DUMMYFUNCTION("""COMPUTED_VALUE"""),"BKR")</f>
        <v>BKR</v>
      </c>
      <c r="G692" s="222" t="str">
        <f>IFERROR(__xludf.DUMMYFUNCTION("""COMPUTED_VALUE"""),"SUMBAGTENG")</f>
        <v>SUMBAGTENG</v>
      </c>
      <c r="H692" s="222" t="str">
        <f>IFERROR(__xludf.DUMMYFUNCTION("""COMPUTED_VALUE"""),"PEKANBARU")</f>
        <v>PEKANBARU</v>
      </c>
      <c r="I692" s="222" t="str">
        <f>IFERROR(__xludf.DUMMYFUNCTION("""COMPUTED_VALUE"""),"Batch 2")</f>
        <v>Batch 2</v>
      </c>
      <c r="J692" s="225">
        <f>IFERROR(__xludf.DUMMYFUNCTION("""COMPUTED_VALUE"""),12.0)</f>
        <v>12</v>
      </c>
      <c r="K692" s="224">
        <f>IFERROR(__xludf.DUMMYFUNCTION("""COMPUTED_VALUE"""),96.0)</f>
        <v>96</v>
      </c>
      <c r="L692" s="226">
        <f>IFERROR(__xludf.DUMMYFUNCTION("""COMPUTED_VALUE"""),1138044.0)</f>
        <v>1138044</v>
      </c>
      <c r="M692" s="227">
        <f>IFERROR(__xludf.DUMMYFUNCTION("""COMPUTED_VALUE"""),1.09252145E8)</f>
        <v>109252145</v>
      </c>
      <c r="N692" s="222" t="str">
        <f>IFERROR(__xludf.DUMMYFUNCTION("""COMPUTED_VALUE"""),"PT SAMUDERA PUTRA KENCANA")</f>
        <v>PT SAMUDERA PUTRA KENCANA</v>
      </c>
      <c r="O692" s="222" t="str">
        <f>IFERROR(__xludf.DUMMYFUNCTION("""COMPUTED_VALUE"""),"2. DONE AANWIJZING")</f>
        <v>2. DONE AANWIJZING</v>
      </c>
      <c r="P692" s="222" t="str">
        <f>IFERROR(__xludf.DUMMYFUNCTION("""COMPUTED_VALUE"""),"2.10 Kendala - Feeder Rusak")</f>
        <v>2.10 Kendala - Feeder Rusak</v>
      </c>
      <c r="Q692" s="222" t="str">
        <f>IFERROR(__xludf.DUMMYFUNCTION("""COMPUTED_VALUE"""),"20/04 Pengambilan ulang hasil ukur OTDR 13/04 Pengecekan ulang feeder untuk kebutuhan repair 29/01 Feeder eksisting rusak (07/01) Persiapan")</f>
        <v>20/04 Pengambilan ulang hasil ukur OTDR 13/04 Pengecekan ulang feeder untuk kebutuhan repair 29/01 Feeder eksisting rusak (07/01) Persiapan</v>
      </c>
      <c r="R692" s="228"/>
      <c r="S692" s="11"/>
      <c r="T692" s="11"/>
      <c r="U692" s="11" t="str">
        <f>IFERROR(__xludf.DUMMYFUNCTION("""COMPUTED_VALUE"""),"W08-2117/2025")</f>
        <v>W08-2117/2025</v>
      </c>
      <c r="V692" s="229" t="str">
        <f>IFERROR(__xludf.DUMMYFUNCTION("""COMPUTED_VALUE"""),"TEGUH IMAM PERDANA")</f>
        <v>TEGUH IMAM PERDANA</v>
      </c>
      <c r="W692" s="229" t="str">
        <f>IFERROR(__xludf.DUMMYFUNCTION("""COMPUTED_VALUE"""),"DESLITA RAHMADANI")</f>
        <v>DESLITA RAHMADANI</v>
      </c>
      <c r="X692" s="229" t="str">
        <f>IFERROR(__xludf.DUMMYFUNCTION("""COMPUTED_VALUE"""),"BELUM GOLIVE")</f>
        <v>BELUM GOLIVE</v>
      </c>
      <c r="Y692" s="229"/>
      <c r="Z692" s="229" t="str">
        <f>IFERROR(__xludf.DUMMYFUNCTION("""COMPUTED_VALUE"""),"#N/A")</f>
        <v>#N/A</v>
      </c>
      <c r="AA692" s="229"/>
      <c r="AB692" s="229"/>
      <c r="AC692" s="229"/>
      <c r="AD692" s="232"/>
      <c r="AE692" s="233"/>
      <c r="AF692" s="54"/>
      <c r="AG692" s="54"/>
      <c r="AH692" s="54"/>
      <c r="AI692" s="55" t="str">
        <f t="shared" si="81"/>
        <v/>
      </c>
      <c r="AW692" s="234"/>
      <c r="BP692" s="11"/>
      <c r="BQ692" s="11"/>
      <c r="BR692" s="235"/>
      <c r="BV692" s="158"/>
      <c r="BY692" s="158"/>
      <c r="CB692" s="158"/>
    </row>
    <row r="693" ht="18.0" hidden="1" customHeight="1">
      <c r="A693" s="222">
        <f>IFERROR(__xludf.DUMMYFUNCTION("""COMPUTED_VALUE"""),2026.0)</f>
        <v>2026</v>
      </c>
      <c r="B693" s="221">
        <f>IFERROR(__xludf.DUMMYFUNCTION("""COMPUTED_VALUE"""),1.1481629E7)</f>
        <v>11481629</v>
      </c>
      <c r="C693" s="222" t="str">
        <f>IFERROR(__xludf.DUMMYFUNCTION("""COMPUTED_VALUE"""),"ACH PT3 GEU-FF D07 SYAMTALIRA ARON")</f>
        <v>ACH PT3 GEU-FF D07 SYAMTALIRA ARON</v>
      </c>
      <c r="D693" s="222" t="str">
        <f>IFERROR(__xludf.DUMMYFUNCTION("""COMPUTED_VALUE"""),"REGIONAL I")</f>
        <v>REGIONAL I</v>
      </c>
      <c r="E693" s="222" t="str">
        <f>IFERROR(__xludf.DUMMYFUNCTION("""COMPUTED_VALUE"""),"ACEH")</f>
        <v>ACEH</v>
      </c>
      <c r="F693" s="222" t="str">
        <f>IFERROR(__xludf.DUMMYFUNCTION("""COMPUTED_VALUE"""),"GEU")</f>
        <v>GEU</v>
      </c>
      <c r="G693" s="222" t="str">
        <f>IFERROR(__xludf.DUMMYFUNCTION("""COMPUTED_VALUE"""),"SUMBAGUT")</f>
        <v>SUMBAGUT</v>
      </c>
      <c r="H693" s="222" t="str">
        <f>IFERROR(__xludf.DUMMYFUNCTION("""COMPUTED_VALUE"""),"BINJAI")</f>
        <v>BINJAI</v>
      </c>
      <c r="I693" s="222" t="str">
        <f>IFERROR(__xludf.DUMMYFUNCTION("""COMPUTED_VALUE"""),"Batch 2")</f>
        <v>Batch 2</v>
      </c>
      <c r="J693" s="225">
        <f>IFERROR(__xludf.DUMMYFUNCTION("""COMPUTED_VALUE"""),13.0)</f>
        <v>13</v>
      </c>
      <c r="K693" s="224">
        <f>IFERROR(__xludf.DUMMYFUNCTION("""COMPUTED_VALUE"""),104.0)</f>
        <v>104</v>
      </c>
      <c r="L693" s="226">
        <f>IFERROR(__xludf.DUMMYFUNCTION("""COMPUTED_VALUE"""),1137589.0)</f>
        <v>1137589</v>
      </c>
      <c r="M693" s="227">
        <f>IFERROR(__xludf.DUMMYFUNCTION("""COMPUTED_VALUE"""),1.18309165E8)</f>
        <v>118309165</v>
      </c>
      <c r="N693" s="222" t="str">
        <f>IFERROR(__xludf.DUMMYFUNCTION("""COMPUTED_VALUE"""),"PT ARA PAYA INTAN")</f>
        <v>PT ARA PAYA INTAN</v>
      </c>
      <c r="O693" s="222" t="str">
        <f>IFERROR(__xludf.DUMMYFUNCTION("""COMPUTED_VALUE"""),"4. MATDEL")</f>
        <v>4. MATDEL</v>
      </c>
      <c r="P693" s="222" t="str">
        <f>IFERROR(__xludf.DUMMYFUNCTION("""COMPUTED_VALUE"""),"4.2 Sudah Request Material (Alista)")</f>
        <v>4.2 Sudah Request Material (Alista)</v>
      </c>
      <c r="Q693" s="222" t="str">
        <f>IFERROR(__xludf.DUMMYFUNCTION("""COMPUTED_VALUE"""),"(20/04) Material masih blm ready, plan TAG dari Medan
(10/04) Menunggu Material Ready (03/03) PO Material (07/01) Persiapan")</f>
        <v>(20/04) Material masih blm ready, plan TAG dari Medan
(10/04) Menunggu Material Ready (03/03) PO Material (07/01) Persiapan</v>
      </c>
      <c r="R693" s="228"/>
      <c r="S693" s="11"/>
      <c r="T693" s="73"/>
      <c r="U693" s="11"/>
      <c r="V693" s="229"/>
      <c r="W693" s="229" t="str">
        <f>IFERROR(__xludf.DUMMYFUNCTION("""COMPUTED_VALUE"""),"#N/A")</f>
        <v>#N/A</v>
      </c>
      <c r="X693" s="229" t="str">
        <f>IFERROR(__xludf.DUMMYFUNCTION("""COMPUTED_VALUE"""),"BELUM GOLIVE")</f>
        <v>BELUM GOLIVE</v>
      </c>
      <c r="Y693" s="229"/>
      <c r="Z693" s="229" t="str">
        <f>IFERROR(__xludf.DUMMYFUNCTION("""COMPUTED_VALUE"""),"#N/A")</f>
        <v>#N/A</v>
      </c>
      <c r="AA693" s="229"/>
      <c r="AB693" s="229"/>
      <c r="AC693" s="229"/>
      <c r="AD693" s="232"/>
      <c r="AE693" s="233"/>
      <c r="AF693" s="54"/>
      <c r="AG693" s="54"/>
      <c r="AH693" s="54">
        <v>46131.0</v>
      </c>
      <c r="AI693" s="55" t="str">
        <f t="shared" si="81"/>
        <v/>
      </c>
      <c r="AW693" s="234"/>
      <c r="BP693" s="11"/>
      <c r="BQ693" s="11"/>
      <c r="BR693" s="235"/>
      <c r="BV693" s="158"/>
      <c r="BY693" s="158"/>
      <c r="CB693" s="158"/>
    </row>
    <row r="694" ht="18.0" hidden="1" customHeight="1">
      <c r="A694" s="222">
        <f>IFERROR(__xludf.DUMMYFUNCTION("""COMPUTED_VALUE"""),2026.0)</f>
        <v>2026</v>
      </c>
      <c r="B694" s="221">
        <f>IFERROR(__xludf.DUMMYFUNCTION("""COMPUTED_VALUE"""),1.151662E7)</f>
        <v>11516620</v>
      </c>
      <c r="C694" s="222" t="str">
        <f>IFERROR(__xludf.DUMMYFUNCTION("""COMPUTED_VALUE"""),"LPG PT4 JPP MET GNS034 CSF BDA")</f>
        <v>LPG PT4 JPP MET GNS034 CSF BDA</v>
      </c>
      <c r="D694" s="222" t="str">
        <f>IFERROR(__xludf.DUMMYFUNCTION("""COMPUTED_VALUE"""),"REGIONAL I")</f>
        <v>REGIONAL I</v>
      </c>
      <c r="E694" s="222" t="str">
        <f>IFERROR(__xludf.DUMMYFUNCTION("""COMPUTED_VALUE"""),"LAMPUNG")</f>
        <v>LAMPUNG</v>
      </c>
      <c r="F694" s="222" t="str">
        <f>IFERROR(__xludf.DUMMYFUNCTION("""COMPUTED_VALUE"""),"BDA")</f>
        <v>BDA</v>
      </c>
      <c r="G694" s="222" t="str">
        <f>IFERROR(__xludf.DUMMYFUNCTION("""COMPUTED_VALUE"""),"SUMBAGSEL")</f>
        <v>SUMBAGSEL</v>
      </c>
      <c r="H694" s="222" t="str">
        <f>IFERROR(__xludf.DUMMYFUNCTION("""COMPUTED_VALUE"""),"LAMPUNG")</f>
        <v>LAMPUNG</v>
      </c>
      <c r="I694" s="222" t="str">
        <f>IFERROR(__xludf.DUMMYFUNCTION("""COMPUTED_VALUE"""),"Batch 2")</f>
        <v>Batch 2</v>
      </c>
      <c r="J694" s="225">
        <f>IFERROR(__xludf.DUMMYFUNCTION("""COMPUTED_VALUE"""),45.0)</f>
        <v>45</v>
      </c>
      <c r="K694" s="224">
        <f>IFERROR(__xludf.DUMMYFUNCTION("""COMPUTED_VALUE"""),344.0)</f>
        <v>344</v>
      </c>
      <c r="L694" s="226">
        <f>IFERROR(__xludf.DUMMYFUNCTION("""COMPUTED_VALUE"""),1137050.0)</f>
        <v>1137050</v>
      </c>
      <c r="M694" s="227">
        <f>IFERROR(__xludf.DUMMYFUNCTION("""COMPUTED_VALUE"""),3.91145142E8)</f>
        <v>391145142</v>
      </c>
      <c r="N694" s="222" t="str">
        <f>IFERROR(__xludf.DUMMYFUNCTION("""COMPUTED_VALUE"""),"PT FAJAR MITRA KRIDA ABADI")</f>
        <v>PT FAJAR MITRA KRIDA ABADI</v>
      </c>
      <c r="O694" s="222" t="str">
        <f>IFERROR(__xludf.DUMMYFUNCTION("""COMPUTED_VALUE"""),"0. DROP")</f>
        <v>0. DROP</v>
      </c>
      <c r="P694" s="222" t="str">
        <f>IFERROR(__xludf.DUMMYFUNCTION("""COMPUTED_VALUE"""),"0.2 Tidak Dapat Izin Warga/Kades/Lurah/Developer")</f>
        <v>0.2 Tidak Dapat Izin Warga/Kades/Lurah/Developer</v>
      </c>
      <c r="Q694" s="222" t="str">
        <f>IFERROR(__xludf.DUMMYFUNCTION("""COMPUTED_VALUE"""),"14/4 red zone area,  13/04 Lokasi Butuh izin PERKIM , proses perizinan Kelurahan 06/04 Proses PR PO baru bergeser hari ini 2/4 menunggu konfirmasi dengan tsel terkait perizinan 
13/3 proses prizinan ulang ,dan di dampigin dengan sales tsel ( meminta progr"&amp;"es habis lebaran) 
2/3 proses prizinan ulang ,dan di dampigin dengan tsel 
27/2 Tidak dapat izin dari lurah")</f>
        <v>14/4 red zone area,  13/04 Lokasi Butuh izin PERKIM , proses perizinan Kelurahan 06/04 Proses PR PO baru bergeser hari ini 2/4 menunggu konfirmasi dengan tsel terkait perizinan 
13/3 proses prizinan ulang ,dan di dampigin dengan sales tsel ( meminta progres habis lebaran) 
2/3 proses prizinan ulang ,dan di dampigin dengan tsel 
27/2 Tidak dapat izin dari lurah</v>
      </c>
      <c r="R694" s="228"/>
      <c r="S694" s="11"/>
      <c r="T694" s="11" t="str">
        <f>IFERROR(__xludf.DUMMYFUNCTION("""COMPUTED_VALUE"""),"P1")</f>
        <v>P1</v>
      </c>
      <c r="U694" s="11"/>
      <c r="V694" s="229"/>
      <c r="W694" s="229"/>
      <c r="X694" s="229" t="str">
        <f>IFERROR(__xludf.DUMMYFUNCTION("""COMPUTED_VALUE"""),"BELUM GOLIVE")</f>
        <v>BELUM GOLIVE</v>
      </c>
      <c r="Y694" s="229"/>
      <c r="Z694" s="229"/>
      <c r="AA694" s="229"/>
      <c r="AB694" s="229"/>
      <c r="AC694" s="229"/>
      <c r="AD694" s="232"/>
      <c r="AE694" s="233"/>
      <c r="AF694" s="54"/>
      <c r="AG694" s="54"/>
      <c r="AH694" s="54"/>
      <c r="AI694" s="55" t="str">
        <f t="shared" si="81"/>
        <v/>
      </c>
      <c r="AW694" s="234"/>
      <c r="BP694" s="11"/>
      <c r="BQ694" s="11"/>
      <c r="BR694" s="235"/>
      <c r="BV694" s="158"/>
      <c r="BY694" s="158"/>
      <c r="CB694" s="158"/>
    </row>
    <row r="695" ht="18.0" hidden="1" customHeight="1">
      <c r="A695" s="222">
        <f>IFERROR(__xludf.DUMMYFUNCTION("""COMPUTED_VALUE"""),2026.0)</f>
        <v>2026</v>
      </c>
      <c r="B695" s="221">
        <f>IFERROR(__xludf.DUMMYFUNCTION("""COMPUTED_VALUE"""),1.1516158E7)</f>
        <v>11516158</v>
      </c>
      <c r="C695" s="222" t="str">
        <f>IFERROR(__xludf.DUMMYFUNCTION("""COMPUTED_VALUE"""),"ACH PT3 KTN-FB D06 DELENG MEGHAKE")</f>
        <v>ACH PT3 KTN-FB D06 DELENG MEGHAKE</v>
      </c>
      <c r="D695" s="222" t="str">
        <f>IFERROR(__xludf.DUMMYFUNCTION("""COMPUTED_VALUE"""),"REGIONAL I")</f>
        <v>REGIONAL I</v>
      </c>
      <c r="E695" s="222" t="str">
        <f>IFERROR(__xludf.DUMMYFUNCTION("""COMPUTED_VALUE"""),"ACEH")</f>
        <v>ACEH</v>
      </c>
      <c r="F695" s="222" t="str">
        <f>IFERROR(__xludf.DUMMYFUNCTION("""COMPUTED_VALUE"""),"KTN")</f>
        <v>KTN</v>
      </c>
      <c r="G695" s="222" t="str">
        <f>IFERROR(__xludf.DUMMYFUNCTION("""COMPUTED_VALUE"""),"SUMBAGUT")</f>
        <v>SUMBAGUT</v>
      </c>
      <c r="H695" s="222" t="str">
        <f>IFERROR(__xludf.DUMMYFUNCTION("""COMPUTED_VALUE"""),"BANDA ACEH")</f>
        <v>BANDA ACEH</v>
      </c>
      <c r="I695" s="222" t="str">
        <f>IFERROR(__xludf.DUMMYFUNCTION("""COMPUTED_VALUE"""),"Batch 2")</f>
        <v>Batch 2</v>
      </c>
      <c r="J695" s="225">
        <f>IFERROR(__xludf.DUMMYFUNCTION("""COMPUTED_VALUE"""),10.0)</f>
        <v>10</v>
      </c>
      <c r="K695" s="224">
        <f>IFERROR(__xludf.DUMMYFUNCTION("""COMPUTED_VALUE"""),80.0)</f>
        <v>80</v>
      </c>
      <c r="L695" s="226">
        <f>IFERROR(__xludf.DUMMYFUNCTION("""COMPUTED_VALUE"""),1136927.0)</f>
        <v>1136927</v>
      </c>
      <c r="M695" s="227">
        <f>IFERROR(__xludf.DUMMYFUNCTION("""COMPUTED_VALUE"""),9.0954137E7)</f>
        <v>90954137</v>
      </c>
      <c r="N695" s="222" t="str">
        <f>IFERROR(__xludf.DUMMYFUNCTION("""COMPUTED_VALUE"""),"PT NURISA JAYA PERKASA")</f>
        <v>PT NURISA JAYA PERKASA</v>
      </c>
      <c r="O695" s="222" t="str">
        <f>IFERROR(__xludf.DUMMYFUNCTION("""COMPUTED_VALUE"""),"7. GOLIVE")</f>
        <v>7. GOLIVE</v>
      </c>
      <c r="P695" s="222" t="str">
        <f>IFERROR(__xludf.DUMMYFUNCTION("""COMPUTED_VALUE"""),"7.2 Golive Full / OA / DONE OTB")</f>
        <v>7.2 Golive Full / OA / DONE OTB</v>
      </c>
      <c r="Q695" s="222" t="str">
        <f>IFERROR(__xludf.DUMMYFUNCTION("""COMPUTED_VALUE"""),"(02/02) ABD Mancore (30/01) proses ABD MANCORE  (21/01) Terminasi (18/01) Penarikan Kabel (12/01) Tanam Tiang (08/01) KENDALA DIST PPJ-FH D05 FULL DAN FEEDER FULL (07/01) Persiapan")</f>
        <v>(02/02) ABD Mancore (30/01) proses ABD MANCORE  (21/01) Terminasi (18/01) Penarikan Kabel (12/01) Tanam Tiang (08/01) KENDALA DIST PPJ-FH D05 FULL DAN FEEDER FULL (07/01) Persiapan</v>
      </c>
      <c r="R695" s="228">
        <f>IFERROR(__xludf.DUMMYFUNCTION("""COMPUTED_VALUE"""),46059.0)</f>
        <v>46059</v>
      </c>
      <c r="S695" s="11"/>
      <c r="T695" s="11"/>
      <c r="U695" s="11" t="str">
        <f>IFERROR(__xludf.DUMMYFUNCTION("""COMPUTED_VALUE"""),"W04-980/2025")</f>
        <v>W04-980/2025</v>
      </c>
      <c r="V695" s="229"/>
      <c r="W695" s="229"/>
      <c r="X695" s="229" t="str">
        <f>IFERROR(__xludf.DUMMYFUNCTION("""COMPUTED_VALUE"""),"GOLIVE")</f>
        <v>GOLIVE</v>
      </c>
      <c r="Y695" s="229" t="str">
        <f>IFERROR(__xludf.DUMMYFUNCTION("""COMPUTED_VALUE"""),"DONE")</f>
        <v>DONE</v>
      </c>
      <c r="Z695" s="229" t="str">
        <f>IFERROR(__xludf.DUMMYFUNCTION("""COMPUTED_VALUE"""),"#N/A")</f>
        <v>#N/A</v>
      </c>
      <c r="AA695" s="229">
        <f>IFERROR(__xludf.DUMMYFUNCTION("""COMPUTED_VALUE"""),10.0)</f>
        <v>10</v>
      </c>
      <c r="AB695" s="229"/>
      <c r="AC695" s="229" t="str">
        <f>IFERROR(__xludf.DUMMYFUNCTION("""COMPUTED_VALUE"""),"9060436#9060442")</f>
        <v>9060436#9060442</v>
      </c>
      <c r="AD695" s="232">
        <f>IFERROR(__xludf.DUMMYFUNCTION("""COMPUTED_VALUE"""),80.0)</f>
        <v>80</v>
      </c>
      <c r="AE695" s="233">
        <f>IFERROR(__xludf.DUMMYFUNCTION("""COMPUTED_VALUE"""),46059.0)</f>
        <v>46059</v>
      </c>
      <c r="AF695" s="54"/>
      <c r="AG695" s="54"/>
      <c r="AH695" s="54">
        <v>46059.0</v>
      </c>
      <c r="AI695" s="55">
        <f t="shared" si="81"/>
        <v>0</v>
      </c>
      <c r="AW695" s="234"/>
      <c r="BP695" s="11"/>
      <c r="BQ695" s="11"/>
      <c r="BR695" s="235"/>
      <c r="BV695" s="158"/>
      <c r="BY695" s="158"/>
      <c r="CB695" s="158"/>
    </row>
    <row r="696" ht="18.0" customHeight="1">
      <c r="A696" s="222">
        <f>IFERROR(__xludf.DUMMYFUNCTION("""COMPUTED_VALUE"""),2026.0)</f>
        <v>2026</v>
      </c>
      <c r="B696" s="221">
        <f>IFERROR(__xludf.DUMMYFUNCTION("""COMPUTED_VALUE"""),1.0540508E7)</f>
        <v>10540508</v>
      </c>
      <c r="C696" s="222" t="str">
        <f>IFERROR(__xludf.DUMMYFUNCTION("""COMPUTED_VALUE"""),"SMB JAHO")</f>
        <v>SMB JAHO</v>
      </c>
      <c r="D696" s="222" t="str">
        <f>IFERROR(__xludf.DUMMYFUNCTION("""COMPUTED_VALUE"""),"REGIONAL I")</f>
        <v>REGIONAL I</v>
      </c>
      <c r="E696" s="222" t="str">
        <f>IFERROR(__xludf.DUMMYFUNCTION("""COMPUTED_VALUE"""),"SUMBAR")</f>
        <v>SUMBAR</v>
      </c>
      <c r="F696" s="222" t="str">
        <f>IFERROR(__xludf.DUMMYFUNCTION("""COMPUTED_VALUE"""),"PPJ")</f>
        <v>PPJ</v>
      </c>
      <c r="G696" s="222" t="str">
        <f>IFERROR(__xludf.DUMMYFUNCTION("""COMPUTED_VALUE"""),"SUMBAGTENG")</f>
        <v>SUMBAGTENG</v>
      </c>
      <c r="H696" s="222" t="str">
        <f>IFERROR(__xludf.DUMMYFUNCTION("""COMPUTED_VALUE"""),"BUKIT TINGGI")</f>
        <v>BUKIT TINGGI</v>
      </c>
      <c r="I696" s="222" t="str">
        <f>IFERROR(__xludf.DUMMYFUNCTION("""COMPUTED_VALUE"""),"Batch 2")</f>
        <v>Batch 2</v>
      </c>
      <c r="J696" s="225">
        <f>IFERROR(__xludf.DUMMYFUNCTION("""COMPUTED_VALUE"""),1.0)</f>
        <v>1</v>
      </c>
      <c r="K696" s="224">
        <f>IFERROR(__xludf.DUMMYFUNCTION("""COMPUTED_VALUE"""),8.0)</f>
        <v>8</v>
      </c>
      <c r="L696" s="226">
        <f>IFERROR(__xludf.DUMMYFUNCTION("""COMPUTED_VALUE"""),1136516.0)</f>
        <v>1136516</v>
      </c>
      <c r="M696" s="227">
        <f>IFERROR(__xludf.DUMMYFUNCTION("""COMPUTED_VALUE"""),9092128.0)</f>
        <v>9092128</v>
      </c>
      <c r="N696" s="222" t="str">
        <f>IFERROR(__xludf.DUMMYFUNCTION("""COMPUTED_VALUE"""),"PT UPAYA TEKNIK")</f>
        <v>PT UPAYA TEKNIK</v>
      </c>
      <c r="O696" s="222" t="str">
        <f>IFERROR(__xludf.DUMMYFUNCTION("""COMPUTED_VALUE"""),"0. DROP")</f>
        <v>0. DROP</v>
      </c>
      <c r="P696" s="222" t="str">
        <f>IFERROR(__xludf.DUMMYFUNCTION("""COMPUTED_VALUE"""),"0.3 Feeder Full")</f>
        <v>0.3 Feeder Full</v>
      </c>
      <c r="Q696" s="222" t="str">
        <f>IFERROR(__xludf.DUMMYFUNCTION("""COMPUTED_VALUE"""),"(26/01) KENDALA DIST PPJ-FH D05 FULL DAN FEEDER FULL")</f>
        <v>(26/01) KENDALA DIST PPJ-FH D05 FULL DAN FEEDER FULL</v>
      </c>
      <c r="R696" s="228"/>
      <c r="S696" s="11"/>
      <c r="T696" s="11"/>
      <c r="U696" s="11"/>
      <c r="V696" s="229"/>
      <c r="W696" s="229"/>
      <c r="X696" s="229" t="str">
        <f>IFERROR(__xludf.DUMMYFUNCTION("""COMPUTED_VALUE"""),"BELUM GOLIVE")</f>
        <v>BELUM GOLIVE</v>
      </c>
      <c r="Y696" s="229"/>
      <c r="Z696" s="229" t="str">
        <f>IFERROR(__xludf.DUMMYFUNCTION("""COMPUTED_VALUE"""),"#N/A")</f>
        <v>#N/A</v>
      </c>
      <c r="AA696" s="229"/>
      <c r="AB696" s="229"/>
      <c r="AC696" s="229"/>
      <c r="AD696" s="232"/>
      <c r="AE696" s="233"/>
      <c r="AF696" s="54" t="str">
        <f>IFERROR(__xludf.DUMMYFUNCTION("""COMPUTED_VALUE"""),"Draft BA DROP")</f>
        <v>Draft BA DROP</v>
      </c>
      <c r="AG696" s="54"/>
      <c r="AH696" s="54"/>
      <c r="AI696" s="55" t="str">
        <f t="shared" si="81"/>
        <v/>
      </c>
      <c r="AW696" s="234"/>
      <c r="BP696" s="11"/>
      <c r="BQ696" s="11"/>
      <c r="BR696" s="235"/>
      <c r="BV696" s="158"/>
      <c r="BY696" s="158"/>
      <c r="CB696" s="158"/>
    </row>
    <row r="697" ht="18.0" hidden="1" customHeight="1">
      <c r="A697" s="222">
        <f>IFERROR(__xludf.DUMMYFUNCTION("""COMPUTED_VALUE"""),2026.0)</f>
        <v>2026</v>
      </c>
      <c r="B697" s="221">
        <f>IFERROR(__xludf.DUMMYFUNCTION("""COMPUTED_VALUE"""),1.2323005E7)</f>
        <v>12323005</v>
      </c>
      <c r="C697" s="222" t="str">
        <f>IFERROR(__xludf.DUMMYFUNCTION("""COMPUTED_VALUE"""),"LPG PT4 JPP PERUM DIANDRA HAJIMENA KDT")</f>
        <v>LPG PT4 JPP PERUM DIANDRA HAJIMENA KDT</v>
      </c>
      <c r="D697" s="222" t="str">
        <f>IFERROR(__xludf.DUMMYFUNCTION("""COMPUTED_VALUE"""),"REGIONAL I")</f>
        <v>REGIONAL I</v>
      </c>
      <c r="E697" s="222" t="str">
        <f>IFERROR(__xludf.DUMMYFUNCTION("""COMPUTED_VALUE"""),"LAMPUNG")</f>
        <v>LAMPUNG</v>
      </c>
      <c r="F697" s="222" t="str">
        <f>IFERROR(__xludf.DUMMYFUNCTION("""COMPUTED_VALUE"""),"KDT")</f>
        <v>KDT</v>
      </c>
      <c r="G697" s="222" t="str">
        <f>IFERROR(__xludf.DUMMYFUNCTION("""COMPUTED_VALUE"""),"SUMBAGSEL")</f>
        <v>SUMBAGSEL</v>
      </c>
      <c r="H697" s="222" t="str">
        <f>IFERROR(__xludf.DUMMYFUNCTION("""COMPUTED_VALUE"""),"LAMPUNG")</f>
        <v>LAMPUNG</v>
      </c>
      <c r="I697" s="222" t="str">
        <f>IFERROR(__xludf.DUMMYFUNCTION("""COMPUTED_VALUE"""),"Batch 2")</f>
        <v>Batch 2</v>
      </c>
      <c r="J697" s="225">
        <f>IFERROR(__xludf.DUMMYFUNCTION("""COMPUTED_VALUE"""),15.0)</f>
        <v>15</v>
      </c>
      <c r="K697" s="224">
        <f>IFERROR(__xludf.DUMMYFUNCTION("""COMPUTED_VALUE"""),120.0)</f>
        <v>120</v>
      </c>
      <c r="L697" s="226">
        <f>IFERROR(__xludf.DUMMYFUNCTION("""COMPUTED_VALUE"""),1135943.0)</f>
        <v>1135943</v>
      </c>
      <c r="M697" s="227">
        <f>IFERROR(__xludf.DUMMYFUNCTION("""COMPUTED_VALUE"""),1.36313126E8)</f>
        <v>136313126</v>
      </c>
      <c r="N697" s="222" t="str">
        <f>IFERROR(__xludf.DUMMYFUNCTION("""COMPUTED_VALUE"""),"PT BANGTELINDO")</f>
        <v>PT BANGTELINDO</v>
      </c>
      <c r="O697" s="222" t="str">
        <f>IFERROR(__xludf.DUMMYFUNCTION("""COMPUTED_VALUE"""),"0. DROP")</f>
        <v>0. DROP</v>
      </c>
      <c r="P697" s="222" t="str">
        <f>IFERROR(__xludf.DUMMYFUNCTION("""COMPUTED_VALUE"""),"0.2 Tidak Dapat Izin Warga/Kades/Lurah/Developer")</f>
        <v>0.2 Tidak Dapat Izin Warga/Kades/Lurah/Developer</v>
      </c>
      <c r="Q697" s="222" t="str">
        <f>IFERROR(__xludf.DUMMYFUNCTION("""COMPUTED_VALUE"""),"6/2 lurah tidak menjinkan pembangunan 
4/2 menunggu konfirmasi balik dari lurah terkiat perizinan, keputusan 10/2
28/1 kades belum bisa di temui21/ progres menemui kades 
19/1 proses pengacekan core dan perizinan")</f>
        <v>6/2 lurah tidak menjinkan pembangunan 
4/2 menunggu konfirmasi balik dari lurah terkiat perizinan, keputusan 10/2
28/1 kades belum bisa di temui21/ progres menemui kades 
19/1 proses pengacekan core dan perizinan</v>
      </c>
      <c r="R697" s="228"/>
      <c r="S697" s="11"/>
      <c r="T697" s="11"/>
      <c r="U697" s="11"/>
      <c r="V697" s="229"/>
      <c r="W697" s="229"/>
      <c r="X697" s="229" t="str">
        <f>IFERROR(__xludf.DUMMYFUNCTION("""COMPUTED_VALUE"""),"BELUM GOLIVE")</f>
        <v>BELUM GOLIVE</v>
      </c>
      <c r="Y697" s="229"/>
      <c r="Z697" s="229" t="str">
        <f>IFERROR(__xludf.DUMMYFUNCTION("""COMPUTED_VALUE"""),"#N/A")</f>
        <v>#N/A</v>
      </c>
      <c r="AA697" s="229"/>
      <c r="AB697" s="229"/>
      <c r="AC697" s="229"/>
      <c r="AD697" s="232"/>
      <c r="AE697" s="233"/>
      <c r="AF697" s="54" t="str">
        <f>IFERROR(__xludf.DUMMYFUNCTION("""COMPUTED_VALUE"""),"Draft BA DROP")</f>
        <v>Draft BA DROP</v>
      </c>
      <c r="AG697" s="54"/>
      <c r="AH697" s="54"/>
      <c r="AI697" s="55" t="str">
        <f t="shared" si="81"/>
        <v/>
      </c>
      <c r="AW697" s="234"/>
      <c r="BP697" s="11"/>
      <c r="BQ697" s="11"/>
      <c r="BR697" s="235"/>
      <c r="BV697" s="158"/>
      <c r="BY697" s="158"/>
      <c r="CB697" s="158"/>
    </row>
    <row r="698" ht="18.0" hidden="1" customHeight="1">
      <c r="A698" s="222">
        <f>IFERROR(__xludf.DUMMYFUNCTION("""COMPUTED_VALUE"""),2026.0)</f>
        <v>2026</v>
      </c>
      <c r="B698" s="221">
        <f>IFERROR(__xludf.DUMMYFUNCTION("""COMPUTED_VALUE"""),1.2395123E7)</f>
        <v>12395123</v>
      </c>
      <c r="C698" s="222" t="str">
        <f>IFERROR(__xludf.DUMMYFUNCTION("""COMPUTED_VALUE"""),"MDN PT3 STB-FT 250_1662_1568")</f>
        <v>MDN PT3 STB-FT 250_1662_1568</v>
      </c>
      <c r="D698" s="222" t="str">
        <f>IFERROR(__xludf.DUMMYFUNCTION("""COMPUTED_VALUE"""),"REGIONAL I")</f>
        <v>REGIONAL I</v>
      </c>
      <c r="E698" s="222" t="str">
        <f>IFERROR(__xludf.DUMMYFUNCTION("""COMPUTED_VALUE"""),"MEDAN")</f>
        <v>MEDAN</v>
      </c>
      <c r="F698" s="222" t="str">
        <f>IFERROR(__xludf.DUMMYFUNCTION("""COMPUTED_VALUE"""),"STB")</f>
        <v>STB</v>
      </c>
      <c r="G698" s="222" t="str">
        <f>IFERROR(__xludf.DUMMYFUNCTION("""COMPUTED_VALUE"""),"SUMBAGUT")</f>
        <v>SUMBAGUT</v>
      </c>
      <c r="H698" s="222" t="str">
        <f>IFERROR(__xludf.DUMMYFUNCTION("""COMPUTED_VALUE"""),"BINJAI")</f>
        <v>BINJAI</v>
      </c>
      <c r="I698" s="222" t="str">
        <f>IFERROR(__xludf.DUMMYFUNCTION("""COMPUTED_VALUE"""),"Batch 2")</f>
        <v>Batch 2</v>
      </c>
      <c r="J698" s="225">
        <f>IFERROR(__xludf.DUMMYFUNCTION("""COMPUTED_VALUE"""),4.0)</f>
        <v>4</v>
      </c>
      <c r="K698" s="224">
        <f>IFERROR(__xludf.DUMMYFUNCTION("""COMPUTED_VALUE"""),32.0)</f>
        <v>32</v>
      </c>
      <c r="L698" s="226">
        <f>IFERROR(__xludf.DUMMYFUNCTION("""COMPUTED_VALUE"""),1135405.0)</f>
        <v>1135405</v>
      </c>
      <c r="M698" s="227">
        <f>IFERROR(__xludf.DUMMYFUNCTION("""COMPUTED_VALUE"""),3.6332951E7)</f>
        <v>36332951</v>
      </c>
      <c r="N698" s="222" t="str">
        <f>IFERROR(__xludf.DUMMYFUNCTION("""COMPUTED_VALUE"""),"PT FIBERHOME TECHNOLOGIES INDONESIA")</f>
        <v>PT FIBERHOME TECHNOLOGIES INDONESIA</v>
      </c>
      <c r="O698" s="222" t="str">
        <f>IFERROR(__xludf.DUMMYFUNCTION("""COMPUTED_VALUE"""),"7. GOLIVE")</f>
        <v>7. GOLIVE</v>
      </c>
      <c r="P698" s="222" t="str">
        <f>IFERROR(__xludf.DUMMYFUNCTION("""COMPUTED_VALUE"""),"7.2 Golive Full / OA / DONE OTB")</f>
        <v>7.2 Golive Full / OA / DONE OTB</v>
      </c>
      <c r="Q698" s="222" t="str">
        <f>IFERROR(__xludf.DUMMYFUNCTION("""COMPUTED_VALUE"""),"13/03 submid abd 
02/03 proses penarikan KU 
19/02 input material 
18/02 feeder dist ready 
(07/01) Persiapan")</f>
        <v>13/03 submid abd 
02/03 proses penarikan KU 
19/02 input material 
18/02 feeder dist ready 
(07/01) Persiapan</v>
      </c>
      <c r="R698" s="228">
        <f>IFERROR(__xludf.DUMMYFUNCTION("""COMPUTED_VALUE"""),46098.0)</f>
        <v>46098</v>
      </c>
      <c r="S698" s="11" t="str">
        <f>IFERROR(__xludf.DUMMYFUNCTION("""COMPUTED_VALUE"""),"MAR")</f>
        <v>MAR</v>
      </c>
      <c r="T698" s="11"/>
      <c r="U698" s="11"/>
      <c r="V698" s="229"/>
      <c r="W698" s="229"/>
      <c r="X698" s="229" t="str">
        <f>IFERROR(__xludf.DUMMYFUNCTION("""COMPUTED_VALUE"""),"GOLIVE")</f>
        <v>GOLIVE</v>
      </c>
      <c r="Y698" s="229" t="str">
        <f>IFERROR(__xludf.DUMMYFUNCTION("""COMPUTED_VALUE"""),"DONE")</f>
        <v>DONE</v>
      </c>
      <c r="Z698" s="229" t="str">
        <f>IFERROR(__xludf.DUMMYFUNCTION("""COMPUTED_VALUE"""),"#N/A")</f>
        <v>#N/A</v>
      </c>
      <c r="AA698" s="229">
        <f>IFERROR(__xludf.DUMMYFUNCTION("""COMPUTED_VALUE"""),4.0)</f>
        <v>4</v>
      </c>
      <c r="AB698" s="229"/>
      <c r="AC698" s="229" t="str">
        <f>IFERROR(__xludf.DUMMYFUNCTION("""COMPUTED_VALUE"""),"9208172#9208177")</f>
        <v>9208172#9208177</v>
      </c>
      <c r="AD698" s="232">
        <f>IFERROR(__xludf.DUMMYFUNCTION("""COMPUTED_VALUE"""),32.0)</f>
        <v>32</v>
      </c>
      <c r="AE698" s="233">
        <f>IFERROR(__xludf.DUMMYFUNCTION("""COMPUTED_VALUE"""),46097.0)</f>
        <v>46097</v>
      </c>
      <c r="AF698" s="54"/>
      <c r="AG698" s="54"/>
      <c r="AH698" s="54">
        <v>46098.0</v>
      </c>
      <c r="AI698" s="55">
        <f t="shared" si="81"/>
        <v>1</v>
      </c>
      <c r="AW698" s="234"/>
      <c r="BP698" s="11"/>
      <c r="BQ698" s="11"/>
      <c r="BR698" s="235"/>
      <c r="BV698" s="158"/>
      <c r="BY698" s="158"/>
      <c r="CB698" s="158"/>
    </row>
    <row r="699" ht="18.0" hidden="1" customHeight="1">
      <c r="A699" s="222">
        <f>IFERROR(__xludf.DUMMYFUNCTION("""COMPUTED_VALUE"""),2026.0)</f>
        <v>2026</v>
      </c>
      <c r="B699" s="221">
        <f>IFERROR(__xludf.DUMMYFUNCTION("""COMPUTED_VALUE"""),1.1131347E7)</f>
        <v>11131347</v>
      </c>
      <c r="C699" s="222" t="str">
        <f>IFERROR(__xludf.DUMMYFUNCTION("""COMPUTED_VALUE"""),"MDN PT3 P7I6 TMU-FCB JL.ARRIDHO")</f>
        <v>MDN PT3 P7I6 TMU-FCB JL.ARRIDHO</v>
      </c>
      <c r="D699" s="222" t="str">
        <f>IFERROR(__xludf.DUMMYFUNCTION("""COMPUTED_VALUE"""),"REGIONAL I")</f>
        <v>REGIONAL I</v>
      </c>
      <c r="E699" s="222" t="str">
        <f>IFERROR(__xludf.DUMMYFUNCTION("""COMPUTED_VALUE"""),"MEDAN")</f>
        <v>MEDAN</v>
      </c>
      <c r="F699" s="222" t="str">
        <f>IFERROR(__xludf.DUMMYFUNCTION("""COMPUTED_VALUE"""),"TMU")</f>
        <v>TMU</v>
      </c>
      <c r="G699" s="222" t="str">
        <f>IFERROR(__xludf.DUMMYFUNCTION("""COMPUTED_VALUE"""),"SUMBAGUT")</f>
        <v>SUMBAGUT</v>
      </c>
      <c r="H699" s="222" t="str">
        <f>IFERROR(__xludf.DUMMYFUNCTION("""COMPUTED_VALUE"""),"MEDAN")</f>
        <v>MEDAN</v>
      </c>
      <c r="I699" s="222" t="str">
        <f>IFERROR(__xludf.DUMMYFUNCTION("""COMPUTED_VALUE"""),"Batch 2")</f>
        <v>Batch 2</v>
      </c>
      <c r="J699" s="225">
        <f>IFERROR(__xludf.DUMMYFUNCTION("""COMPUTED_VALUE"""),2.0)</f>
        <v>2</v>
      </c>
      <c r="K699" s="224">
        <f>IFERROR(__xludf.DUMMYFUNCTION("""COMPUTED_VALUE"""),16.0)</f>
        <v>16</v>
      </c>
      <c r="L699" s="226">
        <f>IFERROR(__xludf.DUMMYFUNCTION("""COMPUTED_VALUE"""),1135399.0)</f>
        <v>1135399</v>
      </c>
      <c r="M699" s="227">
        <f>IFERROR(__xludf.DUMMYFUNCTION("""COMPUTED_VALUE"""),1.8166377E7)</f>
        <v>18166377</v>
      </c>
      <c r="N699" s="222" t="str">
        <f>IFERROR(__xludf.DUMMYFUNCTION("""COMPUTED_VALUE"""),"PT GLOBAL KARYA WANDA")</f>
        <v>PT GLOBAL KARYA WANDA</v>
      </c>
      <c r="O699" s="222" t="str">
        <f>IFERROR(__xludf.DUMMYFUNCTION("""COMPUTED_VALUE"""),"0. DROP")</f>
        <v>0. DROP</v>
      </c>
      <c r="P699" s="222" t="str">
        <f>IFERROR(__xludf.DUMMYFUNCTION("""COMPUTED_VALUE"""),"0.3 Feeder Full")</f>
        <v>0.3 Feeder Full</v>
      </c>
      <c r="Q699" s="222" t="str">
        <f>IFERROR(__xludf.DUMMYFUNCTION("""COMPUTED_VALUE"""),"5/11 Feeder Habis
01/11proses aanwijzing")</f>
        <v>5/11 Feeder Habis
01/11proses aanwijzing</v>
      </c>
      <c r="R699" s="228"/>
      <c r="S699" s="11"/>
      <c r="T699" s="11"/>
      <c r="U699" s="11"/>
      <c r="V699" s="229"/>
      <c r="W699" s="229"/>
      <c r="X699" s="229" t="str">
        <f>IFERROR(__xludf.DUMMYFUNCTION("""COMPUTED_VALUE"""),"BELUM GOLIVE")</f>
        <v>BELUM GOLIVE</v>
      </c>
      <c r="Y699" s="229"/>
      <c r="Z699" s="229" t="str">
        <f>IFERROR(__xludf.DUMMYFUNCTION("""COMPUTED_VALUE"""),"#N/A")</f>
        <v>#N/A</v>
      </c>
      <c r="AA699" s="229"/>
      <c r="AB699" s="229"/>
      <c r="AC699" s="229"/>
      <c r="AD699" s="232"/>
      <c r="AE699" s="233"/>
      <c r="AF699" s="54"/>
      <c r="AG699" s="54"/>
      <c r="AH699" s="54"/>
      <c r="AI699" s="55" t="str">
        <f t="shared" si="81"/>
        <v/>
      </c>
      <c r="AW699" s="234"/>
      <c r="BP699" s="11"/>
      <c r="BQ699" s="11"/>
      <c r="BR699" s="235"/>
      <c r="BV699" s="158"/>
      <c r="BY699" s="158"/>
      <c r="CB699" s="158"/>
    </row>
    <row r="700" ht="18.0" hidden="1" customHeight="1">
      <c r="A700" s="222">
        <f>IFERROR(__xludf.DUMMYFUNCTION("""COMPUTED_VALUE"""),2026.0)</f>
        <v>2026</v>
      </c>
      <c r="B700" s="221">
        <f>IFERROR(__xludf.DUMMYFUNCTION("""COMPUTED_VALUE"""),1.2098455E7)</f>
        <v>12098455</v>
      </c>
      <c r="C700" s="222" t="str">
        <f>IFERROR(__xludf.DUMMYFUNCTION("""COMPUTED_VALUE"""),"ACH PT3 LSM-FF D07 BR ALUE AWE")</f>
        <v>ACH PT3 LSM-FF D07 BR ALUE AWE</v>
      </c>
      <c r="D700" s="222" t="str">
        <f>IFERROR(__xludf.DUMMYFUNCTION("""COMPUTED_VALUE"""),"REGIONAL I")</f>
        <v>REGIONAL I</v>
      </c>
      <c r="E700" s="222" t="str">
        <f>IFERROR(__xludf.DUMMYFUNCTION("""COMPUTED_VALUE"""),"ACEH")</f>
        <v>ACEH</v>
      </c>
      <c r="F700" s="222" t="str">
        <f>IFERROR(__xludf.DUMMYFUNCTION("""COMPUTED_VALUE"""),"LSM")</f>
        <v>LSM</v>
      </c>
      <c r="G700" s="222" t="str">
        <f>IFERROR(__xludf.DUMMYFUNCTION("""COMPUTED_VALUE"""),"SUMBAGUT")</f>
        <v>SUMBAGUT</v>
      </c>
      <c r="H700" s="222" t="str">
        <f>IFERROR(__xludf.DUMMYFUNCTION("""COMPUTED_VALUE"""),"BINJAI")</f>
        <v>BINJAI</v>
      </c>
      <c r="I700" s="222" t="str">
        <f>IFERROR(__xludf.DUMMYFUNCTION("""COMPUTED_VALUE"""),"Batch 2")</f>
        <v>Batch 2</v>
      </c>
      <c r="J700" s="225">
        <f>IFERROR(__xludf.DUMMYFUNCTION("""COMPUTED_VALUE"""),2.0)</f>
        <v>2</v>
      </c>
      <c r="K700" s="224">
        <f>IFERROR(__xludf.DUMMYFUNCTION("""COMPUTED_VALUE"""),16.0)</f>
        <v>16</v>
      </c>
      <c r="L700" s="226">
        <f>IFERROR(__xludf.DUMMYFUNCTION("""COMPUTED_VALUE"""),1186915.0)</f>
        <v>1186915</v>
      </c>
      <c r="M700" s="227">
        <f>IFERROR(__xludf.DUMMYFUNCTION("""COMPUTED_VALUE"""),1.8990628E7)</f>
        <v>18990628</v>
      </c>
      <c r="N700" s="222" t="str">
        <f>IFERROR(__xludf.DUMMYFUNCTION("""COMPUTED_VALUE"""),"PT MITRA USAHA UTAMA")</f>
        <v>PT MITRA USAHA UTAMA</v>
      </c>
      <c r="O700" s="222" t="str">
        <f>IFERROR(__xludf.DUMMYFUNCTION("""COMPUTED_VALUE"""),"7. GOLIVE")</f>
        <v>7. GOLIVE</v>
      </c>
      <c r="P700" s="222" t="str">
        <f>IFERROR(__xludf.DUMMYFUNCTION("""COMPUTED_VALUE"""),"7.2 Golive Full / OA / DONE OTB")</f>
        <v>7.2 Golive Full / OA / DONE OTB</v>
      </c>
      <c r="Q700" s="222" t="str">
        <f>IFERROR(__xludf.DUMMYFUNCTION("""COMPUTED_VALUE"""),"07/01/2026 GOLIVE")</f>
        <v>07/01/2026 GOLIVE</v>
      </c>
      <c r="R700" s="228">
        <f>IFERROR(__xludf.DUMMYFUNCTION("""COMPUTED_VALUE"""),46029.0)</f>
        <v>46029</v>
      </c>
      <c r="S700" s="11"/>
      <c r="T700" s="11"/>
      <c r="U700" s="11" t="str">
        <f>IFERROR(__xludf.DUMMYFUNCTION("""COMPUTED_VALUE"""),"W04-831/2025")</f>
        <v>W04-831/2025</v>
      </c>
      <c r="V700" s="229"/>
      <c r="W700" s="229"/>
      <c r="X700" s="229" t="str">
        <f>IFERROR(__xludf.DUMMYFUNCTION("""COMPUTED_VALUE"""),"GOLIVE")</f>
        <v>GOLIVE</v>
      </c>
      <c r="Y700" s="229" t="str">
        <f>IFERROR(__xludf.DUMMYFUNCTION("""COMPUTED_VALUE"""),"DONE")</f>
        <v>DONE</v>
      </c>
      <c r="Z700" s="229" t="str">
        <f>IFERROR(__xludf.DUMMYFUNCTION("""COMPUTED_VALUE"""),"#N/A")</f>
        <v>#N/A</v>
      </c>
      <c r="AA700" s="229">
        <f>IFERROR(__xludf.DUMMYFUNCTION("""COMPUTED_VALUE"""),2.0)</f>
        <v>2</v>
      </c>
      <c r="AB700" s="229"/>
      <c r="AC700" s="229" t="str">
        <f>IFERROR(__xludf.DUMMYFUNCTION("""COMPUTED_VALUE"""),"8909312#8909317")</f>
        <v>8909312#8909317</v>
      </c>
      <c r="AD700" s="232">
        <f>IFERROR(__xludf.DUMMYFUNCTION("""COMPUTED_VALUE"""),16.0)</f>
        <v>16</v>
      </c>
      <c r="AE700" s="233">
        <f>IFERROR(__xludf.DUMMYFUNCTION("""COMPUTED_VALUE"""),46029.0)</f>
        <v>46029</v>
      </c>
      <c r="AF700" s="54"/>
      <c r="AG700" s="54"/>
      <c r="AH700" s="54">
        <v>46029.0</v>
      </c>
      <c r="AI700" s="55">
        <f t="shared" si="81"/>
        <v>0</v>
      </c>
      <c r="AW700" s="234"/>
      <c r="BP700" s="11"/>
      <c r="BQ700" s="11"/>
      <c r="BR700" s="235"/>
      <c r="BV700" s="158"/>
      <c r="BY700" s="158"/>
      <c r="CB700" s="158"/>
    </row>
    <row r="701" ht="18.0" customHeight="1">
      <c r="A701" s="222">
        <f>IFERROR(__xludf.DUMMYFUNCTION("""COMPUTED_VALUE"""),2026.0)</f>
        <v>2026</v>
      </c>
      <c r="B701" s="221">
        <f>IFERROR(__xludf.DUMMYFUNCTION("""COMPUTED_VALUE"""),1.1702266E7)</f>
        <v>11702266</v>
      </c>
      <c r="C701" s="222" t="str">
        <f>IFERROR(__xludf.DUMMYFUNCTION("""COMPUTED_VALUE"""),"SMB MLH PT3-PT4 LONA DWI WAHYUNI - RIO M")</f>
        <v>SMB MLH PT3-PT4 LONA DWI WAHYUNI - RIO M</v>
      </c>
      <c r="D701" s="222" t="str">
        <f>IFERROR(__xludf.DUMMYFUNCTION("""COMPUTED_VALUE"""),"REGIONAL I")</f>
        <v>REGIONAL I</v>
      </c>
      <c r="E701" s="222" t="str">
        <f>IFERROR(__xludf.DUMMYFUNCTION("""COMPUTED_VALUE"""),"SUMBAR")</f>
        <v>SUMBAR</v>
      </c>
      <c r="F701" s="222" t="str">
        <f>IFERROR(__xludf.DUMMYFUNCTION("""COMPUTED_VALUE"""),"MLH")</f>
        <v>MLH</v>
      </c>
      <c r="G701" s="222" t="str">
        <f>IFERROR(__xludf.DUMMYFUNCTION("""COMPUTED_VALUE"""),"SUMBAGTENG")</f>
        <v>SUMBAGTENG</v>
      </c>
      <c r="H701" s="222" t="str">
        <f>IFERROR(__xludf.DUMMYFUNCTION("""COMPUTED_VALUE"""),"PADANG")</f>
        <v>PADANG</v>
      </c>
      <c r="I701" s="222" t="str">
        <f>IFERROR(__xludf.DUMMYFUNCTION("""COMPUTED_VALUE"""),"Batch 2")</f>
        <v>Batch 2</v>
      </c>
      <c r="J701" s="225">
        <f>IFERROR(__xludf.DUMMYFUNCTION("""COMPUTED_VALUE"""),6.0)</f>
        <v>6</v>
      </c>
      <c r="K701" s="224">
        <f>IFERROR(__xludf.DUMMYFUNCTION("""COMPUTED_VALUE"""),48.0)</f>
        <v>48</v>
      </c>
      <c r="L701" s="226">
        <f>IFERROR(__xludf.DUMMYFUNCTION("""COMPUTED_VALUE"""),1134150.0)</f>
        <v>1134150</v>
      </c>
      <c r="M701" s="227">
        <f>IFERROR(__xludf.DUMMYFUNCTION("""COMPUTED_VALUE"""),5.4439178E7)</f>
        <v>54439178</v>
      </c>
      <c r="N701" s="222" t="str">
        <f>IFERROR(__xludf.DUMMYFUNCTION("""COMPUTED_VALUE"""),"PT WIRA MUDA OPTIMA")</f>
        <v>PT WIRA MUDA OPTIMA</v>
      </c>
      <c r="O701" s="222" t="str">
        <f>IFERROR(__xludf.DUMMYFUNCTION("""COMPUTED_VALUE"""),"4. MATDEL")</f>
        <v>4. MATDEL</v>
      </c>
      <c r="P701" s="222" t="str">
        <f>IFERROR(__xludf.DUMMYFUNCTION("""COMPUTED_VALUE"""),"4.4 Proses Pengiriman Pabribak ke WH")</f>
        <v>4.4 Proses Pengiriman Pabribak ke WH</v>
      </c>
      <c r="Q701" s="222" t="str">
        <f>IFERROR(__xludf.DUMMYFUNCTION("""COMPUTED_VALUE"""),"(27/04) menunggu PO kabel 24 ADSS (20/04) proses create PID  (10/04) Proses aanwijziing , LOP HOLD FEEDER FULL ACC GO (26/01) Kendala feeder MLH-FA Full")</f>
        <v>(27/04) menunggu PO kabel 24 ADSS (20/04) proses create PID  (10/04) Proses aanwijziing , LOP HOLD FEEDER FULL ACC GO (26/01) Kendala feeder MLH-FA Full</v>
      </c>
      <c r="R701" s="228"/>
      <c r="S701" s="11"/>
      <c r="T701" s="11"/>
      <c r="U701" s="11"/>
      <c r="V701" s="229" t="str">
        <f>IFERROR(__xludf.DUMMYFUNCTION("""COMPUTED_VALUE"""),"FABIO RAHMAN")</f>
        <v>FABIO RAHMAN</v>
      </c>
      <c r="W701" s="229" t="str">
        <f>IFERROR(__xludf.DUMMYFUNCTION("""COMPUTED_VALUE"""),"MELKO NARWADI")</f>
        <v>MELKO NARWADI</v>
      </c>
      <c r="X701" s="229" t="str">
        <f>IFERROR(__xludf.DUMMYFUNCTION("""COMPUTED_VALUE"""),"BELUM GOLIVE")</f>
        <v>BELUM GOLIVE</v>
      </c>
      <c r="Y701" s="229"/>
      <c r="Z701" s="229" t="str">
        <f>IFERROR(__xludf.DUMMYFUNCTION("""COMPUTED_VALUE"""),"#N/A")</f>
        <v>#N/A</v>
      </c>
      <c r="AA701" s="229"/>
      <c r="AB701" s="229"/>
      <c r="AC701" s="229"/>
      <c r="AD701" s="232"/>
      <c r="AE701" s="233"/>
      <c r="AF701" s="54" t="str">
        <f>IFERROR(__xludf.DUMMYFUNCTION("""COMPUTED_VALUE"""),"Draft BA DROP")</f>
        <v>Draft BA DROP</v>
      </c>
      <c r="AG701" s="54"/>
      <c r="AH701" s="54"/>
      <c r="AI701" s="55" t="str">
        <f t="shared" si="81"/>
        <v/>
      </c>
      <c r="AW701" s="234"/>
      <c r="BP701" s="11"/>
      <c r="BQ701" s="11"/>
      <c r="BR701" s="235"/>
      <c r="BV701" s="158"/>
      <c r="BY701" s="158"/>
      <c r="CB701" s="158"/>
    </row>
    <row r="702" ht="18.0" hidden="1" customHeight="1">
      <c r="A702" s="222">
        <f>IFERROR(__xludf.DUMMYFUNCTION("""COMPUTED_VALUE"""),2026.0)</f>
        <v>2026</v>
      </c>
      <c r="B702" s="221">
        <f>IFERROR(__xludf.DUMMYFUNCTION("""COMPUTED_VALUE"""),1.1399267E7)</f>
        <v>11399267</v>
      </c>
      <c r="C702" s="222" t="str">
        <f>IFERROR(__xludf.DUMMYFUNCTION("""COMPUTED_VALUE"""),"BNK-PT3-MUA-FAJ-JPPTSEL-LEBONG_11994")</f>
        <v>BNK-PT3-MUA-FAJ-JPPTSEL-LEBONG_11994</v>
      </c>
      <c r="D702" s="222" t="str">
        <f>IFERROR(__xludf.DUMMYFUNCTION("""COMPUTED_VALUE"""),"REGIONAL I")</f>
        <v>REGIONAL I</v>
      </c>
      <c r="E702" s="222" t="str">
        <f>IFERROR(__xludf.DUMMYFUNCTION("""COMPUTED_VALUE"""),"BENGKULU")</f>
        <v>BENGKULU</v>
      </c>
      <c r="F702" s="222" t="str">
        <f>IFERROR(__xludf.DUMMYFUNCTION("""COMPUTED_VALUE"""),"MUA")</f>
        <v>MUA</v>
      </c>
      <c r="G702" s="222" t="str">
        <f>IFERROR(__xludf.DUMMYFUNCTION("""COMPUTED_VALUE"""),"SUMBAGSEL")</f>
        <v>SUMBAGSEL</v>
      </c>
      <c r="H702" s="222" t="str">
        <f>IFERROR(__xludf.DUMMYFUNCTION("""COMPUTED_VALUE"""),"BENGKULU")</f>
        <v>BENGKULU</v>
      </c>
      <c r="I702" s="222" t="str">
        <f>IFERROR(__xludf.DUMMYFUNCTION("""COMPUTED_VALUE"""),"Batch 2")</f>
        <v>Batch 2</v>
      </c>
      <c r="J702" s="225">
        <f>IFERROR(__xludf.DUMMYFUNCTION("""COMPUTED_VALUE"""),37.0)</f>
        <v>37</v>
      </c>
      <c r="K702" s="224">
        <f>IFERROR(__xludf.DUMMYFUNCTION("""COMPUTED_VALUE"""),296.0)</f>
        <v>296</v>
      </c>
      <c r="L702" s="226">
        <f>IFERROR(__xludf.DUMMYFUNCTION("""COMPUTED_VALUE"""),1035527.0)</f>
        <v>1035527</v>
      </c>
      <c r="M702" s="227">
        <f>IFERROR(__xludf.DUMMYFUNCTION("""COMPUTED_VALUE"""),3.06515809E8)</f>
        <v>306515809</v>
      </c>
      <c r="N702" s="222" t="str">
        <f>IFERROR(__xludf.DUMMYFUNCTION("""COMPUTED_VALUE"""),"PT GARINDO TECHNO MANDIRI")</f>
        <v>PT GARINDO TECHNO MANDIRI</v>
      </c>
      <c r="O702" s="222" t="str">
        <f>IFERROR(__xludf.DUMMYFUNCTION("""COMPUTED_VALUE"""),"7. GOLIVE")</f>
        <v>7. GOLIVE</v>
      </c>
      <c r="P702" s="222" t="str">
        <f>IFERROR(__xludf.DUMMYFUNCTION("""COMPUTED_VALUE"""),"7.2 Golive Full / OA / DONE OTB")</f>
        <v>7.2 Golive Full / OA / DONE OTB</v>
      </c>
      <c r="Q702" s="222" t="str">
        <f>IFERROR(__xludf.DUMMYFUNCTION("""COMPUTED_VALUE"""),"27/02 : Pembuatan ABD // 26/02: Proses instal ODP= 31pcs/37pcs // 25/02: Terminasi odp 25pcs/37pcs // 24/02: proses intal odp 20pcs/37pcs // 21/02: lanjut proses instal ODP // 20/02: finish penarikan kabel adss 24c, dan Instal ODP 10pcs/37pcs // 20/02: pe"&amp;"narikan kabel 12c= 1.516m/ 1660 // 19/02 : tarik kabel 12 c 1.121 m/ 1.660 m, tanam tiang 108 pcs/124 pcs, instal ODP 5 pcs/37 pcs // 18/02: lanjut penarikan kabel 24= 6.419m/7000m // 17/02: tarik kabel 24c dis 03,tanam tiang,instal bestray odc, jamper //"&amp;" 16/02 : tarik kabel 24c dis 03, Kabel 12 650 Meter, Kabel 24 4.500 Meter // 14/02: lanjut progres penanaman tiang, tiang yang sudah tertanam= 105btg/124btg, kendala: tanah berbatu // 13/02: penarikan kabel 24= 1.500m/7.000m, penarikan kabel 12= 650m/1660"&amp;"m, penanaman tiang 95btg/124btg // 12/02: penarikan kabel 24= 1,500/7000m // 11/02 : tanam tiang 95/124 btg // 10/02 : plan lanjut tanam tiang 30 btg // 09/02: lanjut proses penanaman tiang 7m = 50/124 batang // 08/02://07/02: proses tanam tiang // 06/02:"&amp;" proses pengecatan tiang dan gali lobang, plan besok tanam tiang // 05/02: bongkar material sampai di lokasi // 05/02: sedang dalam perjalanan delivery material ke lokasi // 03/02 : Proses PR PO // 22/01 : Done andwidjzing // 20/01 : OGP pemuatan anwidzji"&amp;"ng // 19/01 : Permit kurang 1 lurah lagi // 13/01 : Done Perizinan dan survey // (07/01) Persiapan"" dengan ""18/2 tarik kabel 6000/7000, tiang done (11/2) tarik kabel 0/7000, tiang 26/124 09/02: lanjut proses penanaman tiang // 08/02://07/02: proses tana"&amp;"m tiang // 06/02: proses pengecatan tiang dan gali lobang, plan besok tanam tiang // 05/02: bongkar material sampai di lokasi // 05/02: sedang dalam perjalanan delivery material ke lokasi // 03/02 : Proses PR PO // 22/01 : Done andwidjzing // 20/01 : OGP "&amp;"pemuatan anwidzjing // 19/01 : Permit kurang 1 lurah lagi // 13/01 : Done Perizinan dan survey // (07/01) Persiapan""
")</f>
        <v>27/02 : Pembuatan ABD // 26/02: Proses instal ODP= 31pcs/37pcs // 25/02: Terminasi odp 25pcs/37pcs // 24/02: proses intal odp 20pcs/37pcs // 21/02: lanjut proses instal ODP // 20/02: finish penarikan kabel adss 24c, dan Instal ODP 10pcs/37pcs // 20/02: penarikan kabel 12c= 1.516m/ 1660 // 19/02 : tarik kabel 12 c 1.121 m/ 1.660 m, tanam tiang 108 pcs/124 pcs, instal ODP 5 pcs/37 pcs // 18/02: lanjut penarikan kabel 24= 6.419m/7000m // 17/02: tarik kabel 24c dis 03,tanam tiang,instal bestray odc, jamper // 16/02 : tarik kabel 24c dis 03, Kabel 12 650 Meter, Kabel 24 4.500 Meter // 14/02: lanjut progres penanaman tiang, tiang yang sudah tertanam= 105btg/124btg, kendala: tanah berbatu // 13/02: penarikan kabel 24= 1.500m/7.000m, penarikan kabel 12= 650m/1660m, penanaman tiang 95btg/124btg // 12/02: penarikan kabel 24= 1,500/7000m // 11/02 : tanam tiang 95/124 btg // 10/02 : plan lanjut tanam tiang 30 btg // 09/02: lanjut proses penanaman tiang 7m = 50/124 batang // 08/02://07/02: proses tanam tiang // 06/02: proses pengecatan tiang dan gali lobang, plan besok tanam tiang // 05/02: bongkar material sampai di lokasi // 05/02: sedang dalam perjalanan delivery material ke lokasi // 03/02 : Proses PR PO // 22/01 : Done andwidjzing // 20/01 : OGP pemuatan anwidzjing // 19/01 : Permit kurang 1 lurah lagi // 13/01 : Done Perizinan dan survey // (07/01) Persiapan" dengan "18/2 tarik kabel 6000/7000, tiang done (11/2) tarik kabel 0/7000, tiang 26/124 09/02: lanjut proses penanaman tiang // 08/02://07/02: proses tanam tiang // 06/02: proses pengecatan tiang dan gali lobang, plan besok tanam tiang // 05/02: bongkar material sampai di lokasi // 05/02: sedang dalam perjalanan delivery material ke lokasi // 03/02 : Proses PR PO // 22/01 : Done andwidjzing // 20/01 : OGP pemuatan anwidzjing // 19/01 : Permit kurang 1 lurah lagi // 13/01 : Done Perizinan dan survey // (07/01) Persiapan"
</v>
      </c>
      <c r="R702" s="228">
        <f>IFERROR(__xludf.DUMMYFUNCTION("""COMPUTED_VALUE"""),46081.0)</f>
        <v>46081</v>
      </c>
      <c r="S702" s="11"/>
      <c r="T702" s="11"/>
      <c r="U702" s="11" t="str">
        <f>IFERROR(__xludf.DUMMYFUNCTION("""COMPUTED_VALUE"""),"TIF-2257/2026")</f>
        <v>TIF-2257/2026</v>
      </c>
      <c r="V702" s="229" t="str">
        <f>IFERROR(__xludf.DUMMYFUNCTION("""COMPUTED_VALUE"""),"Bobbi Jalu")</f>
        <v>Bobbi Jalu</v>
      </c>
      <c r="W702" s="229"/>
      <c r="X702" s="229" t="str">
        <f>IFERROR(__xludf.DUMMYFUNCTION("""COMPUTED_VALUE"""),"GOLIVE")</f>
        <v>GOLIVE</v>
      </c>
      <c r="Y702" s="229" t="str">
        <f>IFERROR(__xludf.DUMMYFUNCTION("""COMPUTED_VALUE"""),"DONE")</f>
        <v>DONE</v>
      </c>
      <c r="Z702" s="229" t="str">
        <f>IFERROR(__xludf.DUMMYFUNCTION("""COMPUTED_VALUE"""),"#N/A")</f>
        <v>#N/A</v>
      </c>
      <c r="AA702" s="229">
        <f>IFERROR(__xludf.DUMMYFUNCTION("""COMPUTED_VALUE"""),37.0)</f>
        <v>37</v>
      </c>
      <c r="AB702" s="229"/>
      <c r="AC702" s="229" t="str">
        <f>IFERROR(__xludf.DUMMYFUNCTION("""COMPUTED_VALUE"""),"9160460#9160466")</f>
        <v>9160460#9160466</v>
      </c>
      <c r="AD702" s="232">
        <f>IFERROR(__xludf.DUMMYFUNCTION("""COMPUTED_VALUE"""),296.0)</f>
        <v>296</v>
      </c>
      <c r="AE702" s="233">
        <f>IFERROR(__xludf.DUMMYFUNCTION("""COMPUTED_VALUE"""),46081.0)</f>
        <v>46081</v>
      </c>
      <c r="AF702" s="54"/>
      <c r="AG702" s="54"/>
      <c r="AH702" s="54">
        <v>46081.0</v>
      </c>
      <c r="AI702" s="55">
        <f t="shared" si="81"/>
        <v>0</v>
      </c>
      <c r="AW702" s="234"/>
      <c r="BP702" s="11"/>
      <c r="BQ702" s="11"/>
      <c r="BR702" s="235"/>
      <c r="BV702" s="158"/>
      <c r="BY702" s="158"/>
      <c r="CB702" s="158"/>
    </row>
    <row r="703" ht="18.0" customHeight="1">
      <c r="A703" s="222">
        <f>IFERROR(__xludf.DUMMYFUNCTION("""COMPUTED_VALUE"""),2026.0)</f>
        <v>2026</v>
      </c>
      <c r="B703" s="221">
        <f>IFERROR(__xludf.DUMMYFUNCTION("""COMPUTED_VALUE"""),1.1115204E7)</f>
        <v>11115204</v>
      </c>
      <c r="C703" s="222" t="str">
        <f>IFERROR(__xludf.DUMMYFUNCTION("""COMPUTED_VALUE"""),"SMB P1I1 CUBADAK AIR, PARIAMAN UTARA")</f>
        <v>SMB P1I1 CUBADAK AIR, PARIAMAN UTARA</v>
      </c>
      <c r="D703" s="222" t="str">
        <f>IFERROR(__xludf.DUMMYFUNCTION("""COMPUTED_VALUE"""),"REGIONAL I")</f>
        <v>REGIONAL I</v>
      </c>
      <c r="E703" s="222" t="str">
        <f>IFERROR(__xludf.DUMMYFUNCTION("""COMPUTED_VALUE"""),"SUMBAR")</f>
        <v>SUMBAR</v>
      </c>
      <c r="F703" s="222" t="str">
        <f>IFERROR(__xludf.DUMMYFUNCTION("""COMPUTED_VALUE"""),"NRS")</f>
        <v>NRS</v>
      </c>
      <c r="G703" s="222" t="str">
        <f>IFERROR(__xludf.DUMMYFUNCTION("""COMPUTED_VALUE"""),"SUMBAGTENG")</f>
        <v>SUMBAGTENG</v>
      </c>
      <c r="H703" s="222" t="str">
        <f>IFERROR(__xludf.DUMMYFUNCTION("""COMPUTED_VALUE"""),"BUKIT TINGGI")</f>
        <v>BUKIT TINGGI</v>
      </c>
      <c r="I703" s="222" t="str">
        <f>IFERROR(__xludf.DUMMYFUNCTION("""COMPUTED_VALUE"""),"Batch 2")</f>
        <v>Batch 2</v>
      </c>
      <c r="J703" s="225">
        <f>IFERROR(__xludf.DUMMYFUNCTION("""COMPUTED_VALUE"""),2.0)</f>
        <v>2</v>
      </c>
      <c r="K703" s="224">
        <f>IFERROR(__xludf.DUMMYFUNCTION("""COMPUTED_VALUE"""),16.0)</f>
        <v>16</v>
      </c>
      <c r="L703" s="226">
        <f>IFERROR(__xludf.DUMMYFUNCTION("""COMPUTED_VALUE"""),1133581.0)</f>
        <v>1133581</v>
      </c>
      <c r="M703" s="227">
        <f>IFERROR(__xludf.DUMMYFUNCTION("""COMPUTED_VALUE"""),1.8137281E7)</f>
        <v>18137281</v>
      </c>
      <c r="N703" s="222" t="str">
        <f>IFERROR(__xludf.DUMMYFUNCTION("""COMPUTED_VALUE"""),"PT PALIMO CAHAYA PERKASA")</f>
        <v>PT PALIMO CAHAYA PERKASA</v>
      </c>
      <c r="O703" s="222" t="str">
        <f>IFERROR(__xludf.DUMMYFUNCTION("""COMPUTED_VALUE"""),"8. UJI TERIMA")</f>
        <v>8. UJI TERIMA</v>
      </c>
      <c r="P703" s="222" t="str">
        <f>IFERROR(__xludf.DUMMYFUNCTION("""COMPUTED_VALUE"""),"8.1 Proses UT")</f>
        <v>8.1 Proses UT</v>
      </c>
      <c r="Q703" s="222" t="str">
        <f>IFERROR(__xludf.DUMMYFUNCTION("""COMPUTED_VALUE"""),"(21/01) ABD mancore (07/01) Persiapan")</f>
        <v>(21/01) ABD mancore (07/01) Persiapan</v>
      </c>
      <c r="R703" s="228"/>
      <c r="S703" s="11"/>
      <c r="T703" s="11"/>
      <c r="U703" s="11" t="str">
        <f>IFERROR(__xludf.DUMMYFUNCTION("""COMPUTED_VALUE"""),"W10-2006/2025 25KT08R158-0149")</f>
        <v>W10-2006/2025 25KT08R158-0149</v>
      </c>
      <c r="V703" s="229" t="str">
        <f>IFERROR(__xludf.DUMMYFUNCTION("""COMPUTED_VALUE"""),"JANUAR RIZAL")</f>
        <v>JANUAR RIZAL</v>
      </c>
      <c r="W703" s="229" t="str">
        <f>IFERROR(__xludf.DUMMYFUNCTION("""COMPUTED_VALUE"""),"MELKO NARWADI")</f>
        <v>MELKO NARWADI</v>
      </c>
      <c r="X703" s="229" t="str">
        <f>IFERROR(__xludf.DUMMYFUNCTION("""COMPUTED_VALUE"""),"GOLIVE")</f>
        <v>GOLIVE</v>
      </c>
      <c r="Y703" s="229" t="str">
        <f>IFERROR(__xludf.DUMMYFUNCTION("""COMPUTED_VALUE"""),"DONE")</f>
        <v>DONE</v>
      </c>
      <c r="Z703" s="229" t="str">
        <f>IFERROR(__xludf.DUMMYFUNCTION("""COMPUTED_VALUE"""),"#N/A")</f>
        <v>#N/A</v>
      </c>
      <c r="AA703" s="229">
        <f>IFERROR(__xludf.DUMMYFUNCTION("""COMPUTED_VALUE"""),2.0)</f>
        <v>2</v>
      </c>
      <c r="AB703" s="229"/>
      <c r="AC703" s="229" t="str">
        <f>IFERROR(__xludf.DUMMYFUNCTION("""COMPUTED_VALUE"""),"9001121#9001126")</f>
        <v>9001121#9001126</v>
      </c>
      <c r="AD703" s="232">
        <f>IFERROR(__xludf.DUMMYFUNCTION("""COMPUTED_VALUE"""),16.0)</f>
        <v>16</v>
      </c>
      <c r="AE703" s="233">
        <f>IFERROR(__xludf.DUMMYFUNCTION("""COMPUTED_VALUE"""),46047.0)</f>
        <v>46047</v>
      </c>
      <c r="AF703" s="54"/>
      <c r="AG703" s="54"/>
      <c r="AH703" s="54"/>
      <c r="AI703" s="55" t="str">
        <f t="shared" si="81"/>
        <v/>
      </c>
      <c r="AW703" s="234"/>
      <c r="BP703" s="11"/>
      <c r="BQ703" s="11"/>
      <c r="BR703" s="235"/>
      <c r="BV703" s="158"/>
      <c r="BY703" s="158"/>
      <c r="CB703" s="158"/>
    </row>
    <row r="704" ht="18.0" hidden="1" customHeight="1">
      <c r="A704" s="222">
        <f>IFERROR(__xludf.DUMMYFUNCTION("""COMPUTED_VALUE"""),2026.0)</f>
        <v>2026</v>
      </c>
      <c r="B704" s="221">
        <f>IFERROR(__xludf.DUMMYFUNCTION("""COMPUTED_VALUE"""),1.1129879E7)</f>
        <v>11129879</v>
      </c>
      <c r="C704" s="222" t="str">
        <f>IFERROR(__xludf.DUMMYFUNCTION("""COMPUTED_VALUE"""),"MDN PT3 P7I5 PUB-FE JL.KARYA DAME")</f>
        <v>MDN PT3 P7I5 PUB-FE JL.KARYA DAME</v>
      </c>
      <c r="D704" s="222" t="str">
        <f>IFERROR(__xludf.DUMMYFUNCTION("""COMPUTED_VALUE"""),"REGIONAL I")</f>
        <v>REGIONAL I</v>
      </c>
      <c r="E704" s="222" t="str">
        <f>IFERROR(__xludf.DUMMYFUNCTION("""COMPUTED_VALUE"""),"MEDAN")</f>
        <v>MEDAN</v>
      </c>
      <c r="F704" s="222" t="str">
        <f>IFERROR(__xludf.DUMMYFUNCTION("""COMPUTED_VALUE"""),"PUB")</f>
        <v>PUB</v>
      </c>
      <c r="G704" s="222" t="str">
        <f>IFERROR(__xludf.DUMMYFUNCTION("""COMPUTED_VALUE"""),"SUMBAGUT")</f>
        <v>SUMBAGUT</v>
      </c>
      <c r="H704" s="222" t="str">
        <f>IFERROR(__xludf.DUMMYFUNCTION("""COMPUTED_VALUE"""),"MEDAN")</f>
        <v>MEDAN</v>
      </c>
      <c r="I704" s="222" t="str">
        <f>IFERROR(__xludf.DUMMYFUNCTION("""COMPUTED_VALUE"""),"Batch 2")</f>
        <v>Batch 2</v>
      </c>
      <c r="J704" s="225">
        <f>IFERROR(__xludf.DUMMYFUNCTION("""COMPUTED_VALUE"""),1.0)</f>
        <v>1</v>
      </c>
      <c r="K704" s="224">
        <f>IFERROR(__xludf.DUMMYFUNCTION("""COMPUTED_VALUE"""),8.0)</f>
        <v>8</v>
      </c>
      <c r="L704" s="226">
        <f>IFERROR(__xludf.DUMMYFUNCTION("""COMPUTED_VALUE"""),1132532.0)</f>
        <v>1132532</v>
      </c>
      <c r="M704" s="227">
        <f>IFERROR(__xludf.DUMMYFUNCTION("""COMPUTED_VALUE"""),9060254.0)</f>
        <v>9060254</v>
      </c>
      <c r="N704" s="222" t="str">
        <f>IFERROR(__xludf.DUMMYFUNCTION("""COMPUTED_VALUE"""),"PT GLOBAL KARYA WANDA")</f>
        <v>PT GLOBAL KARYA WANDA</v>
      </c>
      <c r="O704" s="222" t="str">
        <f>IFERROR(__xludf.DUMMYFUNCTION("""COMPUTED_VALUE"""),"2. DONE AANWIJZING")</f>
        <v>2. DONE AANWIJZING</v>
      </c>
      <c r="P704" s="222" t="str">
        <f>IFERROR(__xludf.DUMMYFUNCTION("""COMPUTED_VALUE"""),"2.10 Kendala - Feeder Rusak")</f>
        <v>2.10 Kendala - Feeder Rusak</v>
      </c>
      <c r="Q704" s="222" t="str">
        <f>IFERROR(__xludf.DUMMYFUNCTION("""COMPUTED_VALUE"""),"03/03 feeder REDTI 02/03 done order")</f>
        <v>03/03 feeder REDTI 02/03 done order</v>
      </c>
      <c r="R704" s="228"/>
      <c r="S704" s="11"/>
      <c r="T704" s="11"/>
      <c r="U704" s="11"/>
      <c r="V704" s="229"/>
      <c r="W704" s="229"/>
      <c r="X704" s="229" t="str">
        <f>IFERROR(__xludf.DUMMYFUNCTION("""COMPUTED_VALUE"""),"BELUM GOLIVE")</f>
        <v>BELUM GOLIVE</v>
      </c>
      <c r="Y704" s="229"/>
      <c r="Z704" s="229" t="str">
        <f>IFERROR(__xludf.DUMMYFUNCTION("""COMPUTED_VALUE"""),"#N/A")</f>
        <v>#N/A</v>
      </c>
      <c r="AA704" s="229"/>
      <c r="AB704" s="229"/>
      <c r="AC704" s="229"/>
      <c r="AD704" s="232"/>
      <c r="AE704" s="233"/>
      <c r="AF704" s="54"/>
      <c r="AG704" s="54"/>
      <c r="AH704" s="54"/>
      <c r="AI704" s="55" t="str">
        <f t="shared" si="81"/>
        <v/>
      </c>
      <c r="AW704" s="234"/>
      <c r="BP704" s="11"/>
      <c r="BQ704" s="11"/>
      <c r="BR704" s="235"/>
      <c r="BV704" s="158"/>
      <c r="BY704" s="158"/>
      <c r="CB704" s="158"/>
    </row>
    <row r="705" ht="18.0" hidden="1" customHeight="1">
      <c r="A705" s="222">
        <f>IFERROR(__xludf.DUMMYFUNCTION("""COMPUTED_VALUE"""),2026.0)</f>
        <v>2026</v>
      </c>
      <c r="B705" s="221">
        <f>IFERROR(__xludf.DUMMYFUNCTION("""COMPUTED_VALUE"""),1.136863E7)</f>
        <v>11368630</v>
      </c>
      <c r="C705" s="222" t="str">
        <f>IFERROR(__xludf.DUMMYFUNCTION("""COMPUTED_VALUE"""),"MDN PT3 TMU-FM ODP PRIORITAS")</f>
        <v>MDN PT3 TMU-FM ODP PRIORITAS</v>
      </c>
      <c r="D705" s="222" t="str">
        <f>IFERROR(__xludf.DUMMYFUNCTION("""COMPUTED_VALUE"""),"REGIONAL I")</f>
        <v>REGIONAL I</v>
      </c>
      <c r="E705" s="222" t="str">
        <f>IFERROR(__xludf.DUMMYFUNCTION("""COMPUTED_VALUE"""),"MEDAN")</f>
        <v>MEDAN</v>
      </c>
      <c r="F705" s="222" t="str">
        <f>IFERROR(__xludf.DUMMYFUNCTION("""COMPUTED_VALUE"""),"TMU")</f>
        <v>TMU</v>
      </c>
      <c r="G705" s="222" t="str">
        <f>IFERROR(__xludf.DUMMYFUNCTION("""COMPUTED_VALUE"""),"SUMBAGUT")</f>
        <v>SUMBAGUT</v>
      </c>
      <c r="H705" s="222" t="str">
        <f>IFERROR(__xludf.DUMMYFUNCTION("""COMPUTED_VALUE"""),"MEDAN")</f>
        <v>MEDAN</v>
      </c>
      <c r="I705" s="222" t="str">
        <f>IFERROR(__xludf.DUMMYFUNCTION("""COMPUTED_VALUE"""),"Batch 2")</f>
        <v>Batch 2</v>
      </c>
      <c r="J705" s="225">
        <f>IFERROR(__xludf.DUMMYFUNCTION("""COMPUTED_VALUE"""),9.0)</f>
        <v>9</v>
      </c>
      <c r="K705" s="224">
        <f>IFERROR(__xludf.DUMMYFUNCTION("""COMPUTED_VALUE"""),72.0)</f>
        <v>72</v>
      </c>
      <c r="L705" s="226">
        <f>IFERROR(__xludf.DUMMYFUNCTION("""COMPUTED_VALUE"""),823575.0)</f>
        <v>823575</v>
      </c>
      <c r="M705" s="227">
        <f>IFERROR(__xludf.DUMMYFUNCTION("""COMPUTED_VALUE"""),5.9297343E7)</f>
        <v>59297343</v>
      </c>
      <c r="N705" s="222" t="str">
        <f>IFERROR(__xludf.DUMMYFUNCTION("""COMPUTED_VALUE"""),"PT DUL JAYA TAMA")</f>
        <v>PT DUL JAYA TAMA</v>
      </c>
      <c r="O705" s="222" t="str">
        <f>IFERROR(__xludf.DUMMYFUNCTION("""COMPUTED_VALUE"""),"0. DROP")</f>
        <v>0. DROP</v>
      </c>
      <c r="P705" s="222" t="str">
        <f>IFERROR(__xludf.DUMMYFUNCTION("""COMPUTED_VALUE"""),"0.3 Feeder Full")</f>
        <v>0.3 Feeder Full</v>
      </c>
      <c r="Q705" s="222" t="str">
        <f>IFERROR(__xludf.DUMMYFUNCTION("""COMPUTED_VALUE"""),"08/03 Feeder Penuh 12/02 FE01 Tidak Tembus, FE02 Penuh 29/01 Done Order, lnjut Aanwidzing")</f>
        <v>08/03 Feeder Penuh 12/02 FE01 Tidak Tembus, FE02 Penuh 29/01 Done Order, lnjut Aanwidzing</v>
      </c>
      <c r="R705" s="228"/>
      <c r="S705" s="11"/>
      <c r="T705" s="11"/>
      <c r="U705" s="11"/>
      <c r="V705" s="229"/>
      <c r="W705" s="229"/>
      <c r="X705" s="229" t="str">
        <f>IFERROR(__xludf.DUMMYFUNCTION("""COMPUTED_VALUE"""),"BELUM GOLIVE")</f>
        <v>BELUM GOLIVE</v>
      </c>
      <c r="Y705" s="229"/>
      <c r="Z705" s="229" t="str">
        <f>IFERROR(__xludf.DUMMYFUNCTION("""COMPUTED_VALUE"""),"#N/A")</f>
        <v>#N/A</v>
      </c>
      <c r="AA705" s="229"/>
      <c r="AB705" s="229"/>
      <c r="AC705" s="229"/>
      <c r="AD705" s="232"/>
      <c r="AE705" s="233"/>
      <c r="AF705" s="54"/>
      <c r="AG705" s="54"/>
      <c r="AH705" s="54"/>
      <c r="AI705" s="55" t="str">
        <f t="shared" si="81"/>
        <v/>
      </c>
      <c r="AW705" s="234"/>
      <c r="BP705" s="11"/>
      <c r="BQ705" s="11"/>
      <c r="BR705" s="235"/>
      <c r="BV705" s="158"/>
      <c r="BY705" s="158"/>
      <c r="CB705" s="158"/>
    </row>
    <row r="706" ht="18.0" hidden="1" customHeight="1">
      <c r="A706" s="222">
        <f>IFERROR(__xludf.DUMMYFUNCTION("""COMPUTED_VALUE"""),2026.0)</f>
        <v>2026</v>
      </c>
      <c r="B706" s="221">
        <f>IFERROR(__xludf.DUMMYFUNCTION("""COMPUTED_VALUE"""),1.2237378E7)</f>
        <v>12237378</v>
      </c>
      <c r="C706" s="222" t="str">
        <f>IFERROR(__xludf.DUMMYFUNCTION("""COMPUTED_VALUE"""),"BNK-PT3-JPPTSEL-MUKO MUKO_91243_H2_2025")</f>
        <v>BNK-PT3-JPPTSEL-MUKO MUKO_91243_H2_2025</v>
      </c>
      <c r="D706" s="222" t="str">
        <f>IFERROR(__xludf.DUMMYFUNCTION("""COMPUTED_VALUE"""),"REGIONAL I")</f>
        <v>REGIONAL I</v>
      </c>
      <c r="E706" s="222" t="str">
        <f>IFERROR(__xludf.DUMMYFUNCTION("""COMPUTED_VALUE"""),"BENGKULU")</f>
        <v>BENGKULU</v>
      </c>
      <c r="F706" s="222" t="str">
        <f>IFERROR(__xludf.DUMMYFUNCTION("""COMPUTED_VALUE"""),"MKO")</f>
        <v>MKO</v>
      </c>
      <c r="G706" s="222" t="str">
        <f>IFERROR(__xludf.DUMMYFUNCTION("""COMPUTED_VALUE"""),"SUMBAGSEL")</f>
        <v>SUMBAGSEL</v>
      </c>
      <c r="H706" s="222" t="str">
        <f>IFERROR(__xludf.DUMMYFUNCTION("""COMPUTED_VALUE"""),"BENGKULU")</f>
        <v>BENGKULU</v>
      </c>
      <c r="I706" s="222" t="str">
        <f>IFERROR(__xludf.DUMMYFUNCTION("""COMPUTED_VALUE"""),"Batch 2")</f>
        <v>Batch 2</v>
      </c>
      <c r="J706" s="225">
        <f>IFERROR(__xludf.DUMMYFUNCTION("""COMPUTED_VALUE"""),6.0)</f>
        <v>6</v>
      </c>
      <c r="K706" s="224">
        <f>IFERROR(__xludf.DUMMYFUNCTION("""COMPUTED_VALUE"""),48.0)</f>
        <v>48</v>
      </c>
      <c r="L706" s="226">
        <f>IFERROR(__xludf.DUMMYFUNCTION("""COMPUTED_VALUE"""),1153634.0)</f>
        <v>1153634</v>
      </c>
      <c r="M706" s="227">
        <f>IFERROR(__xludf.DUMMYFUNCTION("""COMPUTED_VALUE"""),5.5374395E7)</f>
        <v>55374395</v>
      </c>
      <c r="N706" s="222" t="str">
        <f>IFERROR(__xludf.DUMMYFUNCTION("""COMPUTED_VALUE"""),"PT GITA PRIMA TAMBA PERKASA")</f>
        <v>PT GITA PRIMA TAMBA PERKASA</v>
      </c>
      <c r="O706" s="222" t="str">
        <f>IFERROR(__xludf.DUMMYFUNCTION("""COMPUTED_VALUE"""),"7. GOLIVE")</f>
        <v>7. GOLIVE</v>
      </c>
      <c r="P706" s="222" t="str">
        <f>IFERROR(__xludf.DUMMYFUNCTION("""COMPUTED_VALUE"""),"7.2 Golive Full / OA / DONE OTB")</f>
        <v>7.2 Golive Full / OA / DONE OTB</v>
      </c>
      <c r="Q706" s="222" t="str">
        <f>IFERROR(__xludf.DUMMYFUNCTION("""COMPUTED_VALUE"""),"12/2 finish instal- plan 13 feb sumbit ABD  10/2 : progres penarikan kabel 2900, plan instal odp 13-14 / 09/02: penarikan kabel adss 24 // 08/02: penarikan kabel adss 12 // 07/02://06/02: gali lobang dan tanam tiang // 05/02: bongkar material sampai di lo"&amp;"kasi, plan pekerjaan besok pengecatan tiang dan gali lobang untuk tanam tiang // 05/02 : Material Sudah on site //  04/02: Tim progres sedang dalam perjalanan ke lokasi // 03/02: pengambilan material di gudang, dan delivery ke lokasi // 30/01 : Proses PR "&amp;"PO // 22/01 : done Andwijing // 14/01 : ( mintak wifi gratis ) menunggu jawaban dri kepala desa ( ganti plan selain wifi gratis) (07/01) Persiapan")</f>
        <v>12/2 finish instal- plan 13 feb sumbit ABD  10/2 : progres penarikan kabel 2900, plan instal odp 13-14 / 09/02: penarikan kabel adss 24 // 08/02: penarikan kabel adss 12 // 07/02://06/02: gali lobang dan tanam tiang // 05/02: bongkar material sampai di lokasi, plan pekerjaan besok pengecatan tiang dan gali lobang untuk tanam tiang // 05/02 : Material Sudah on site //  04/02: Tim progres sedang dalam perjalanan ke lokasi // 03/02: pengambilan material di gudang, dan delivery ke lokasi // 30/01 : Proses PR PO // 22/01 : done Andwijing // 14/01 : ( mintak wifi gratis ) menunggu jawaban dri kepala desa ( ganti plan selain wifi gratis) (07/01) Persiapan</v>
      </c>
      <c r="R706" s="228">
        <f>IFERROR(__xludf.DUMMYFUNCTION("""COMPUTED_VALUE"""),46076.0)</f>
        <v>46076</v>
      </c>
      <c r="S706" s="11"/>
      <c r="T706" s="11"/>
      <c r="U706" s="11" t="str">
        <f>IFERROR(__xludf.DUMMYFUNCTION("""COMPUTED_VALUE"""),"TIF-2119/2026")</f>
        <v>TIF-2119/2026</v>
      </c>
      <c r="V706" s="229"/>
      <c r="W706" s="229"/>
      <c r="X706" s="229" t="str">
        <f>IFERROR(__xludf.DUMMYFUNCTION("""COMPUTED_VALUE"""),"GOLIVE")</f>
        <v>GOLIVE</v>
      </c>
      <c r="Y706" s="229" t="str">
        <f>IFERROR(__xludf.DUMMYFUNCTION("""COMPUTED_VALUE"""),"DONE")</f>
        <v>DONE</v>
      </c>
      <c r="Z706" s="229" t="str">
        <f>IFERROR(__xludf.DUMMYFUNCTION("""COMPUTED_VALUE"""),"#N/A")</f>
        <v>#N/A</v>
      </c>
      <c r="AA706" s="229">
        <f>IFERROR(__xludf.DUMMYFUNCTION("""COMPUTED_VALUE"""),6.0)</f>
        <v>6</v>
      </c>
      <c r="AB706" s="229"/>
      <c r="AC706" s="229" t="str">
        <f>IFERROR(__xludf.DUMMYFUNCTION("""COMPUTED_VALUE"""),"9111411#9111416")</f>
        <v>9111411#9111416</v>
      </c>
      <c r="AD706" s="232">
        <f>IFERROR(__xludf.DUMMYFUNCTION("""COMPUTED_VALUE"""),48.0)</f>
        <v>48</v>
      </c>
      <c r="AE706" s="233">
        <f>IFERROR(__xludf.DUMMYFUNCTION("""COMPUTED_VALUE"""),46068.0)</f>
        <v>46068</v>
      </c>
      <c r="AF706" s="54"/>
      <c r="AG706" s="54"/>
      <c r="AH706" s="54">
        <v>46133.0</v>
      </c>
      <c r="AI706" s="237">
        <f>AH706-NOW()</f>
        <v>-7.377989907</v>
      </c>
      <c r="AJ706" s="229" t="str">
        <f>if(AI706&gt;=0,"Gl in Komitmen","Gl out Komitmen")</f>
        <v>Gl out Komitmen</v>
      </c>
      <c r="AK706" s="229" t="s">
        <v>199</v>
      </c>
      <c r="AW706" s="234"/>
      <c r="BP706" s="11"/>
      <c r="BQ706" s="11"/>
      <c r="BR706" s="235"/>
      <c r="BV706" s="158"/>
      <c r="BY706" s="158"/>
      <c r="CB706" s="158"/>
    </row>
    <row r="707" ht="18.0" customHeight="1">
      <c r="A707" s="222">
        <f>IFERROR(__xludf.DUMMYFUNCTION("""COMPUTED_VALUE"""),2026.0)</f>
        <v>2026</v>
      </c>
      <c r="B707" s="221">
        <f>IFERROR(__xludf.DUMMYFUNCTION("""COMPUTED_VALUE"""),1.1529136E7)</f>
        <v>11529136</v>
      </c>
      <c r="C707" s="222" t="str">
        <f>IFERROR(__xludf.DUMMYFUNCTION("""COMPUTED_VALUE"""),"RDR SOK PT3 P3I1 SOREK SATU EXPAND FB")</f>
        <v>RDR SOK PT3 P3I1 SOREK SATU EXPAND FB</v>
      </c>
      <c r="D707" s="222" t="str">
        <f>IFERROR(__xludf.DUMMYFUNCTION("""COMPUTED_VALUE"""),"REGIONAL I")</f>
        <v>REGIONAL I</v>
      </c>
      <c r="E707" s="222" t="str">
        <f>IFERROR(__xludf.DUMMYFUNCTION("""COMPUTED_VALUE"""),"RIDAR")</f>
        <v>RIDAR</v>
      </c>
      <c r="F707" s="222" t="str">
        <f>IFERROR(__xludf.DUMMYFUNCTION("""COMPUTED_VALUE"""),"SOK")</f>
        <v>SOK</v>
      </c>
      <c r="G707" s="222" t="str">
        <f>IFERROR(__xludf.DUMMYFUNCTION("""COMPUTED_VALUE"""),"SUMBAGTENG")</f>
        <v>SUMBAGTENG</v>
      </c>
      <c r="H707" s="222" t="str">
        <f>IFERROR(__xludf.DUMMYFUNCTION("""COMPUTED_VALUE"""),"PEKANBARU")</f>
        <v>PEKANBARU</v>
      </c>
      <c r="I707" s="222" t="str">
        <f>IFERROR(__xludf.DUMMYFUNCTION("""COMPUTED_VALUE"""),"Batch 2")</f>
        <v>Batch 2</v>
      </c>
      <c r="J707" s="225">
        <f>IFERROR(__xludf.DUMMYFUNCTION("""COMPUTED_VALUE"""),20.0)</f>
        <v>20</v>
      </c>
      <c r="K707" s="224">
        <f>IFERROR(__xludf.DUMMYFUNCTION("""COMPUTED_VALUE"""),160.0)</f>
        <v>160</v>
      </c>
      <c r="L707" s="226">
        <f>IFERROR(__xludf.DUMMYFUNCTION("""COMPUTED_VALUE"""),1189297.0)</f>
        <v>1189297</v>
      </c>
      <c r="M707" s="227">
        <f>IFERROR(__xludf.DUMMYFUNCTION("""COMPUTED_VALUE"""),1.90287373E8)</f>
        <v>190287373</v>
      </c>
      <c r="N707" s="222" t="str">
        <f>IFERROR(__xludf.DUMMYFUNCTION("""COMPUTED_VALUE"""),"PT SAMUDERA PUTRA KENCANA")</f>
        <v>PT SAMUDERA PUTRA KENCANA</v>
      </c>
      <c r="O707" s="222" t="str">
        <f>IFERROR(__xludf.DUMMYFUNCTION("""COMPUTED_VALUE"""),"5. INSTALASI")</f>
        <v>5. INSTALASI</v>
      </c>
      <c r="P707" s="222" t="str">
        <f>IFERROR(__xludf.DUMMYFUNCTION("""COMPUTED_VALUE"""),"5.4 Proses Penanaman Tiang")</f>
        <v>5.4 Proses Penanaman Tiang</v>
      </c>
      <c r="Q707" s="222" t="str">
        <f>IFERROR(__xludf.DUMMYFUNCTION("""COMPUTED_VALUE"""),"20/04 Penanaman tiang 13/04 Penanaman tiang 06/04 Pengiriman material ke Lokasi 27/03 Pekerjaan mulai progres senin 30 Mar 16/03 Antrian review dengan TIF 20/01 Drop kendala feeder tidak tembus (07/01) Persiapan")</f>
        <v>20/04 Penanaman tiang 13/04 Penanaman tiang 06/04 Pengiriman material ke Lokasi 27/03 Pekerjaan mulai progres senin 30 Mar 16/03 Antrian review dengan TIF 20/01 Drop kendala feeder tidak tembus (07/01) Persiapan</v>
      </c>
      <c r="R707" s="228">
        <f>IFERROR(__xludf.DUMMYFUNCTION("""COMPUTED_VALUE"""),46140.0)</f>
        <v>46140</v>
      </c>
      <c r="S707" s="11" t="str">
        <f>IFERROR(__xludf.DUMMYFUNCTION("""COMPUTED_VALUE"""),"APR")</f>
        <v>APR</v>
      </c>
      <c r="T707" s="73"/>
      <c r="U707" s="11"/>
      <c r="V707" s="229" t="str">
        <f>IFERROR(__xludf.DUMMYFUNCTION("""COMPUTED_VALUE"""),"TEGUH IMAM PERDANA")</f>
        <v>TEGUH IMAM PERDANA</v>
      </c>
      <c r="W707" s="229" t="str">
        <f>IFERROR(__xludf.DUMMYFUNCTION("""COMPUTED_VALUE"""),"ANZALA SAKINAH")</f>
        <v>ANZALA SAKINAH</v>
      </c>
      <c r="X707" s="229" t="str">
        <f>IFERROR(__xludf.DUMMYFUNCTION("""COMPUTED_VALUE"""),"BELUM GOLIVE")</f>
        <v>BELUM GOLIVE</v>
      </c>
      <c r="Y707" s="229"/>
      <c r="Z707" s="229" t="str">
        <f>IFERROR(__xludf.DUMMYFUNCTION("""COMPUTED_VALUE"""),"#N/A")</f>
        <v>#N/A</v>
      </c>
      <c r="AA707" s="229"/>
      <c r="AB707" s="229"/>
      <c r="AC707" s="229"/>
      <c r="AD707" s="232"/>
      <c r="AE707" s="233"/>
      <c r="AF707" s="54"/>
      <c r="AG707" s="54"/>
      <c r="AH707" s="54">
        <v>46133.0</v>
      </c>
      <c r="AI707" s="55">
        <f>AH707-TODAY()</f>
        <v>-7</v>
      </c>
      <c r="AJ707" s="229" t="str">
        <f>if(AI707&gt;=0,"In Komitmen","Out Komitmen")</f>
        <v>Out Komitmen</v>
      </c>
      <c r="AK707" s="231" t="s">
        <v>199</v>
      </c>
      <c r="AW707" s="234"/>
      <c r="BP707" s="11"/>
      <c r="BQ707" s="11"/>
      <c r="BR707" s="235"/>
      <c r="BV707" s="158"/>
      <c r="BY707" s="158"/>
      <c r="CB707" s="158"/>
    </row>
    <row r="708" ht="18.0" hidden="1" customHeight="1">
      <c r="A708" s="222">
        <f>IFERROR(__xludf.DUMMYFUNCTION("""COMPUTED_VALUE"""),2026.0)</f>
        <v>2026</v>
      </c>
      <c r="B708" s="221">
        <f>IFERROR(__xludf.DUMMYFUNCTION("""COMPUTED_VALUE"""),1.1346438E7)</f>
        <v>11346438</v>
      </c>
      <c r="C708" s="222" t="str">
        <f>IFERROR(__xludf.DUMMYFUNCTION("""COMPUTED_VALUE"""),"ACH PT3 LTM-FC EXP.D10 GRIYA MATA IE")</f>
        <v>ACH PT3 LTM-FC EXP.D10 GRIYA MATA IE</v>
      </c>
      <c r="D708" s="222" t="str">
        <f>IFERROR(__xludf.DUMMYFUNCTION("""COMPUTED_VALUE"""),"REGIONAL I")</f>
        <v>REGIONAL I</v>
      </c>
      <c r="E708" s="222" t="str">
        <f>IFERROR(__xludf.DUMMYFUNCTION("""COMPUTED_VALUE"""),"ACEH")</f>
        <v>ACEH</v>
      </c>
      <c r="F708" s="222" t="str">
        <f>IFERROR(__xludf.DUMMYFUNCTION("""COMPUTED_VALUE"""),"LTM")</f>
        <v>LTM</v>
      </c>
      <c r="G708" s="222" t="str">
        <f>IFERROR(__xludf.DUMMYFUNCTION("""COMPUTED_VALUE"""),"SUMBAGUT")</f>
        <v>SUMBAGUT</v>
      </c>
      <c r="H708" s="222" t="str">
        <f>IFERROR(__xludf.DUMMYFUNCTION("""COMPUTED_VALUE"""),"BANDA ACEH")</f>
        <v>BANDA ACEH</v>
      </c>
      <c r="I708" s="222" t="str">
        <f>IFERROR(__xludf.DUMMYFUNCTION("""COMPUTED_VALUE"""),"Batch 2")</f>
        <v>Batch 2</v>
      </c>
      <c r="J708" s="225">
        <f>IFERROR(__xludf.DUMMYFUNCTION("""COMPUTED_VALUE"""),10.0)</f>
        <v>10</v>
      </c>
      <c r="K708" s="224">
        <f>IFERROR(__xludf.DUMMYFUNCTION("""COMPUTED_VALUE"""),80.0)</f>
        <v>80</v>
      </c>
      <c r="L708" s="226">
        <f>IFERROR(__xludf.DUMMYFUNCTION("""COMPUTED_VALUE"""),1130597.0)</f>
        <v>1130597</v>
      </c>
      <c r="M708" s="227">
        <f>IFERROR(__xludf.DUMMYFUNCTION("""COMPUTED_VALUE"""),9.0447739E7)</f>
        <v>90447739</v>
      </c>
      <c r="N708" s="222" t="str">
        <f>IFERROR(__xludf.DUMMYFUNCTION("""COMPUTED_VALUE"""),"PT NURISA JAYA PERKASA")</f>
        <v>PT NURISA JAYA PERKASA</v>
      </c>
      <c r="O708" s="222" t="str">
        <f>IFERROR(__xludf.DUMMYFUNCTION("""COMPUTED_VALUE"""),"7. GOLIVE")</f>
        <v>7. GOLIVE</v>
      </c>
      <c r="P708" s="222" t="str">
        <f>IFERROR(__xludf.DUMMYFUNCTION("""COMPUTED_VALUE"""),"7.2 Golive Full / OA / DONE OTB")</f>
        <v>7.2 Golive Full / OA / DONE OTB</v>
      </c>
      <c r="Q708" s="222" t="str">
        <f>IFERROR(__xludf.DUMMYFUNCTION("""COMPUTED_VALUE""")," KENDALA FEEDER TIDAK TEMBUS ; Butuh QE , dan survey ulang
(07/01) Persiapan")</f>
        <v> KENDALA FEEDER TIDAK TEMBUS ; Butuh QE , dan survey ulang
(07/01) Persiapan</v>
      </c>
      <c r="R708" s="228">
        <f>IFERROR(__xludf.DUMMYFUNCTION("""COMPUTED_VALUE"""),46029.0)</f>
        <v>46029</v>
      </c>
      <c r="S708" s="11"/>
      <c r="T708" s="11"/>
      <c r="U708" s="11" t="str">
        <f>IFERROR(__xludf.DUMMYFUNCTION("""COMPUTED_VALUE"""),"W04-1038/2025")</f>
        <v>W04-1038/2025</v>
      </c>
      <c r="V708" s="229"/>
      <c r="W708" s="229"/>
      <c r="X708" s="229" t="str">
        <f>IFERROR(__xludf.DUMMYFUNCTION("""COMPUTED_VALUE"""),"GOLIVE")</f>
        <v>GOLIVE</v>
      </c>
      <c r="Y708" s="229" t="str">
        <f>IFERROR(__xludf.DUMMYFUNCTION("""COMPUTED_VALUE"""),"DONE")</f>
        <v>DONE</v>
      </c>
      <c r="Z708" s="229" t="str">
        <f>IFERROR(__xludf.DUMMYFUNCTION("""COMPUTED_VALUE"""),"#N/A")</f>
        <v>#N/A</v>
      </c>
      <c r="AA708" s="229">
        <f>IFERROR(__xludf.DUMMYFUNCTION("""COMPUTED_VALUE"""),10.0)</f>
        <v>10</v>
      </c>
      <c r="AB708" s="229"/>
      <c r="AC708" s="229" t="str">
        <f>IFERROR(__xludf.DUMMYFUNCTION("""COMPUTED_VALUE"""),"8915215#8915220")</f>
        <v>8915215#8915220</v>
      </c>
      <c r="AD708" s="232">
        <f>IFERROR(__xludf.DUMMYFUNCTION("""COMPUTED_VALUE"""),80.0)</f>
        <v>80</v>
      </c>
      <c r="AE708" s="233">
        <f>IFERROR(__xludf.DUMMYFUNCTION("""COMPUTED_VALUE"""),46029.0)</f>
        <v>46029</v>
      </c>
      <c r="AF708" s="54"/>
      <c r="AG708" s="54"/>
      <c r="AH708" s="54">
        <v>46029.0</v>
      </c>
      <c r="AI708" s="55">
        <f t="shared" ref="AI708:AI711" si="82">IF(OR(R708="",AE708=""),"",R708-AE708)</f>
        <v>0</v>
      </c>
      <c r="AW708" s="234"/>
      <c r="BP708" s="11"/>
      <c r="BQ708" s="11"/>
      <c r="BR708" s="235"/>
      <c r="BV708" s="158"/>
      <c r="BY708" s="158"/>
      <c r="CB708" s="158"/>
    </row>
    <row r="709" ht="18.0" hidden="1" customHeight="1">
      <c r="A709" s="222">
        <f>IFERROR(__xludf.DUMMYFUNCTION("""COMPUTED_VALUE"""),2026.0)</f>
        <v>2026</v>
      </c>
      <c r="B709" s="221">
        <f>IFERROR(__xludf.DUMMYFUNCTION("""COMPUTED_VALUE"""),1.2374023E7)</f>
        <v>12374023</v>
      </c>
      <c r="C709" s="222" t="str">
        <f>IFERROR(__xludf.DUMMYFUNCTION("""COMPUTED_VALUE"""),"BNK PT3 MNA FN JPPTSEL DESA PUDING")</f>
        <v>BNK PT3 MNA FN JPPTSEL DESA PUDING</v>
      </c>
      <c r="D709" s="222" t="str">
        <f>IFERROR(__xludf.DUMMYFUNCTION("""COMPUTED_VALUE"""),"REGIONAL I")</f>
        <v>REGIONAL I</v>
      </c>
      <c r="E709" s="222" t="str">
        <f>IFERROR(__xludf.DUMMYFUNCTION("""COMPUTED_VALUE"""),"BENGKULU")</f>
        <v>BENGKULU</v>
      </c>
      <c r="F709" s="222" t="str">
        <f>IFERROR(__xludf.DUMMYFUNCTION("""COMPUTED_VALUE"""),"MNA")</f>
        <v>MNA</v>
      </c>
      <c r="G709" s="222" t="str">
        <f>IFERROR(__xludf.DUMMYFUNCTION("""COMPUTED_VALUE"""),"SUMBAGSEL")</f>
        <v>SUMBAGSEL</v>
      </c>
      <c r="H709" s="222" t="str">
        <f>IFERROR(__xludf.DUMMYFUNCTION("""COMPUTED_VALUE"""),"BENGKULU")</f>
        <v>BENGKULU</v>
      </c>
      <c r="I709" s="222" t="str">
        <f>IFERROR(__xludf.DUMMYFUNCTION("""COMPUTED_VALUE"""),"Batch 2")</f>
        <v>Batch 2</v>
      </c>
      <c r="J709" s="225">
        <f>IFERROR(__xludf.DUMMYFUNCTION("""COMPUTED_VALUE"""),20.0)</f>
        <v>20</v>
      </c>
      <c r="K709" s="224">
        <f>IFERROR(__xludf.DUMMYFUNCTION("""COMPUTED_VALUE"""),160.0)</f>
        <v>160</v>
      </c>
      <c r="L709" s="226">
        <f>IFERROR(__xludf.DUMMYFUNCTION("""COMPUTED_VALUE"""),1129351.0)</f>
        <v>1129351</v>
      </c>
      <c r="M709" s="227">
        <f>IFERROR(__xludf.DUMMYFUNCTION("""COMPUTED_VALUE"""),1.80696119E8)</f>
        <v>180696119</v>
      </c>
      <c r="N709" s="222" t="str">
        <f>IFERROR(__xludf.DUMMYFUNCTION("""COMPUTED_VALUE"""),"PT GARINDO TECHNO MANDIRI")</f>
        <v>PT GARINDO TECHNO MANDIRI</v>
      </c>
      <c r="O709" s="222" t="str">
        <f>IFERROR(__xludf.DUMMYFUNCTION("""COMPUTED_VALUE"""),"0. DROP")</f>
        <v>0. DROP</v>
      </c>
      <c r="P709" s="222" t="str">
        <f>IFERROR(__xludf.DUMMYFUNCTION("""COMPUTED_VALUE"""),"0.3 Feeder Full")</f>
        <v>0.3 Feeder Full</v>
      </c>
      <c r="Q709" s="222" t="str">
        <f>IFERROR(__xludf.DUMMYFUNCTION("""COMPUTED_VALUE"""),"02/03 : Feeder  full // 22/01 : Kendala Catuan // (07/01) Persiapan")</f>
        <v>02/03 : Feeder  full // 22/01 : Kendala Catuan // (07/01) Persiapan</v>
      </c>
      <c r="R709" s="228"/>
      <c r="S709" s="11"/>
      <c r="T709" s="11"/>
      <c r="U709" s="11"/>
      <c r="V709" s="229"/>
      <c r="W709" s="229"/>
      <c r="X709" s="229" t="str">
        <f>IFERROR(__xludf.DUMMYFUNCTION("""COMPUTED_VALUE"""),"BELUM GOLIVE")</f>
        <v>BELUM GOLIVE</v>
      </c>
      <c r="Y709" s="229"/>
      <c r="Z709" s="229" t="str">
        <f>IFERROR(__xludf.DUMMYFUNCTION("""COMPUTED_VALUE"""),"#N/A")</f>
        <v>#N/A</v>
      </c>
      <c r="AA709" s="229"/>
      <c r="AB709" s="229"/>
      <c r="AC709" s="229"/>
      <c r="AD709" s="232"/>
      <c r="AE709" s="233"/>
      <c r="AF709" s="54" t="str">
        <f>IFERROR(__xludf.DUMMYFUNCTION("""COMPUTED_VALUE"""),"Draft BA DROP")</f>
        <v>Draft BA DROP</v>
      </c>
      <c r="AG709" s="54"/>
      <c r="AH709" s="54"/>
      <c r="AI709" s="55" t="str">
        <f t="shared" si="82"/>
        <v/>
      </c>
      <c r="AW709" s="234"/>
      <c r="BP709" s="11"/>
      <c r="BQ709" s="11"/>
      <c r="BR709" s="235"/>
      <c r="BV709" s="158"/>
      <c r="BY709" s="158"/>
      <c r="CB709" s="158"/>
    </row>
    <row r="710" ht="18.0" hidden="1" customHeight="1">
      <c r="A710" s="222">
        <f>IFERROR(__xludf.DUMMYFUNCTION("""COMPUTED_VALUE"""),2026.0)</f>
        <v>2026</v>
      </c>
      <c r="B710" s="221">
        <f>IFERROR(__xludf.DUMMYFUNCTION("""COMPUTED_VALUE"""),1.0882842E7)</f>
        <v>10882842</v>
      </c>
      <c r="C710" s="222" t="str">
        <f>IFERROR(__xludf.DUMMYFUNCTION("""COMPUTED_VALUE"""),"ACH PT3 KGH-FM DAYAH MADAT")</f>
        <v>ACH PT3 KGH-FM DAYAH MADAT</v>
      </c>
      <c r="D710" s="222" t="str">
        <f>IFERROR(__xludf.DUMMYFUNCTION("""COMPUTED_VALUE"""),"REGIONAL I")</f>
        <v>REGIONAL I</v>
      </c>
      <c r="E710" s="222" t="str">
        <f>IFERROR(__xludf.DUMMYFUNCTION("""COMPUTED_VALUE"""),"ACEH")</f>
        <v>ACEH</v>
      </c>
      <c r="F710" s="222" t="str">
        <f>IFERROR(__xludf.DUMMYFUNCTION("""COMPUTED_VALUE"""),"KGH")</f>
        <v>KGH</v>
      </c>
      <c r="G710" s="222" t="str">
        <f>IFERROR(__xludf.DUMMYFUNCTION("""COMPUTED_VALUE"""),"SUMBAGUT")</f>
        <v>SUMBAGUT</v>
      </c>
      <c r="H710" s="222" t="str">
        <f>IFERROR(__xludf.DUMMYFUNCTION("""COMPUTED_VALUE"""),"BINJAI")</f>
        <v>BINJAI</v>
      </c>
      <c r="I710" s="222" t="str">
        <f>IFERROR(__xludf.DUMMYFUNCTION("""COMPUTED_VALUE"""),"Batch 2")</f>
        <v>Batch 2</v>
      </c>
      <c r="J710" s="225">
        <f>IFERROR(__xludf.DUMMYFUNCTION("""COMPUTED_VALUE"""),14.0)</f>
        <v>14</v>
      </c>
      <c r="K710" s="224">
        <f>IFERROR(__xludf.DUMMYFUNCTION("""COMPUTED_VALUE"""),112.0)</f>
        <v>112</v>
      </c>
      <c r="L710" s="226">
        <f>IFERROR(__xludf.DUMMYFUNCTION("""COMPUTED_VALUE"""),1129234.0)</f>
        <v>1129234</v>
      </c>
      <c r="M710" s="227">
        <f>IFERROR(__xludf.DUMMYFUNCTION("""COMPUTED_VALUE"""),1.26474199E8)</f>
        <v>126474199</v>
      </c>
      <c r="N710" s="222" t="str">
        <f>IFERROR(__xludf.DUMMYFUNCTION("""COMPUTED_VALUE"""),"PT MITRA AKSES INSANI")</f>
        <v>PT MITRA AKSES INSANI</v>
      </c>
      <c r="O710" s="222" t="str">
        <f>IFERROR(__xludf.DUMMYFUNCTION("""COMPUTED_VALUE"""),"7. GOLIVE")</f>
        <v>7. GOLIVE</v>
      </c>
      <c r="P710" s="222" t="str">
        <f>IFERROR(__xludf.DUMMYFUNCTION("""COMPUTED_VALUE"""),"7.2 Golive Full / OA / DONE OTB")</f>
        <v>7.2 Golive Full / OA / DONE OTB</v>
      </c>
      <c r="Q710" s="222" t="str">
        <f>IFERROR(__xludf.DUMMYFUNCTION("""COMPUTED_VALUE"""),"(10/03) Tanam Tiang (03/03) Tanam Tiang (12/02) DelMat KU 12 dari Pabrik ke WH (08/01) KENDALA DIST 6 SPE-FD FULL (07/01) Persiapan")</f>
        <v>(10/03) Tanam Tiang (03/03) Tanam Tiang (12/02) DelMat KU 12 dari Pabrik ke WH (08/01) KENDALA DIST 6 SPE-FD FULL (07/01) Persiapan</v>
      </c>
      <c r="R710" s="228">
        <f>IFERROR(__xludf.DUMMYFUNCTION("""COMPUTED_VALUE"""),46111.0)</f>
        <v>46111</v>
      </c>
      <c r="S710" s="11" t="str">
        <f>IFERROR(__xludf.DUMMYFUNCTION("""COMPUTED_VALUE"""),"MAR")</f>
        <v>MAR</v>
      </c>
      <c r="T710" s="11"/>
      <c r="U710" s="11"/>
      <c r="V710" s="229"/>
      <c r="W710" s="229"/>
      <c r="X710" s="229" t="str">
        <f>IFERROR(__xludf.DUMMYFUNCTION("""COMPUTED_VALUE"""),"GOLIVE")</f>
        <v>GOLIVE</v>
      </c>
      <c r="Y710" s="229" t="str">
        <f>IFERROR(__xludf.DUMMYFUNCTION("""COMPUTED_VALUE"""),"DONE")</f>
        <v>DONE</v>
      </c>
      <c r="Z710" s="229" t="str">
        <f>IFERROR(__xludf.DUMMYFUNCTION("""COMPUTED_VALUE"""),"#N/A")</f>
        <v>#N/A</v>
      </c>
      <c r="AA710" s="229">
        <f>IFERROR(__xludf.DUMMYFUNCTION("""COMPUTED_VALUE"""),14.0)</f>
        <v>14</v>
      </c>
      <c r="AB710" s="229"/>
      <c r="AC710" s="229" t="str">
        <f>IFERROR(__xludf.DUMMYFUNCTION("""COMPUTED_VALUE"""),"9231846#9231851")</f>
        <v>9231846#9231851</v>
      </c>
      <c r="AD710" s="232">
        <f>IFERROR(__xludf.DUMMYFUNCTION("""COMPUTED_VALUE"""),112.0)</f>
        <v>112</v>
      </c>
      <c r="AE710" s="233">
        <f>IFERROR(__xludf.DUMMYFUNCTION("""COMPUTED_VALUE"""),46112.0)</f>
        <v>46112</v>
      </c>
      <c r="AF710" s="54"/>
      <c r="AG710" s="54"/>
      <c r="AH710" s="54">
        <v>46111.0</v>
      </c>
      <c r="AI710" s="55">
        <f t="shared" si="82"/>
        <v>-1</v>
      </c>
      <c r="AW710" s="234"/>
      <c r="BP710" s="11"/>
      <c r="BQ710" s="11"/>
      <c r="BR710" s="235"/>
      <c r="BV710" s="158"/>
      <c r="BY710" s="158"/>
      <c r="CB710" s="158"/>
    </row>
    <row r="711" ht="18.0" customHeight="1">
      <c r="A711" s="222">
        <f>IFERROR(__xludf.DUMMYFUNCTION("""COMPUTED_VALUE"""),2026.0)</f>
        <v>2026</v>
      </c>
      <c r="B711" s="221">
        <f>IFERROR(__xludf.DUMMYFUNCTION("""COMPUTED_VALUE"""),1.1358365E7)</f>
        <v>11358365</v>
      </c>
      <c r="C711" s="222" t="str">
        <f>IFERROR(__xludf.DUMMYFUNCTION("""COMPUTED_VALUE"""),"SMB P2I2 Tanam tiang lebih 250m")</f>
        <v>SMB P2I2 Tanam tiang lebih 250m</v>
      </c>
      <c r="D711" s="222" t="str">
        <f>IFERROR(__xludf.DUMMYFUNCTION("""COMPUTED_VALUE"""),"REGIONAL I")</f>
        <v>REGIONAL I</v>
      </c>
      <c r="E711" s="222" t="str">
        <f>IFERROR(__xludf.DUMMYFUNCTION("""COMPUTED_VALUE"""),"SUMBAR")</f>
        <v>SUMBAR</v>
      </c>
      <c r="F711" s="222" t="str">
        <f>IFERROR(__xludf.DUMMYFUNCTION("""COMPUTED_VALUE"""),"SPE")</f>
        <v>SPE</v>
      </c>
      <c r="G711" s="222" t="str">
        <f>IFERROR(__xludf.DUMMYFUNCTION("""COMPUTED_VALUE"""),"SUMBAGTENG")</f>
        <v>SUMBAGTENG</v>
      </c>
      <c r="H711" s="222" t="str">
        <f>IFERROR(__xludf.DUMMYFUNCTION("""COMPUTED_VALUE"""),"BUKIT TINGGI")</f>
        <v>BUKIT TINGGI</v>
      </c>
      <c r="I711" s="222" t="str">
        <f>IFERROR(__xludf.DUMMYFUNCTION("""COMPUTED_VALUE"""),"Batch 2")</f>
        <v>Batch 2</v>
      </c>
      <c r="J711" s="225">
        <f>IFERROR(__xludf.DUMMYFUNCTION("""COMPUTED_VALUE"""),1.0)</f>
        <v>1</v>
      </c>
      <c r="K711" s="224">
        <f>IFERROR(__xludf.DUMMYFUNCTION("""COMPUTED_VALUE"""),8.0)</f>
        <v>8</v>
      </c>
      <c r="L711" s="226">
        <f>IFERROR(__xludf.DUMMYFUNCTION("""COMPUTED_VALUE"""),1128899.0)</f>
        <v>1128899</v>
      </c>
      <c r="M711" s="227">
        <f>IFERROR(__xludf.DUMMYFUNCTION("""COMPUTED_VALUE"""),9031186.0)</f>
        <v>9031186</v>
      </c>
      <c r="N711" s="222" t="str">
        <f>IFERROR(__xludf.DUMMYFUNCTION("""COMPUTED_VALUE"""),"PT TIGA AKSES MANDIRI")</f>
        <v>PT TIGA AKSES MANDIRI</v>
      </c>
      <c r="O711" s="222" t="str">
        <f>IFERROR(__xludf.DUMMYFUNCTION("""COMPUTED_VALUE"""),"0. DROP")</f>
        <v>0. DROP</v>
      </c>
      <c r="P711" s="222" t="str">
        <f>IFERROR(__xludf.DUMMYFUNCTION("""COMPUTED_VALUE"""),"0.4 CPP Tinggi Acc ED TIF")</f>
        <v>0.4 CPP Tinggi Acc ED TIF</v>
      </c>
      <c r="Q711" s="222" t="str">
        <f>IFERROR(__xludf.DUMMYFUNCTION("""COMPUTED_VALUE"""),"(27/01) : KENDALA DIST 6 SPE-FD FULL 02/10 : proses aanwijziing 19/09 : proses mapping mitra dan penjadwalan aanwijziing (26/01) KENDALA DIST 6 SPE-FD FULL ")</f>
        <v>(27/01) : KENDALA DIST 6 SPE-FD FULL 02/10 : proses aanwijziing 19/09 : proses mapping mitra dan penjadwalan aanwijziing (26/01) KENDALA DIST 6 SPE-FD FULL </v>
      </c>
      <c r="R711" s="228"/>
      <c r="S711" s="11"/>
      <c r="T711" s="11"/>
      <c r="U711" s="11"/>
      <c r="V711" s="229"/>
      <c r="W711" s="229"/>
      <c r="X711" s="229" t="str">
        <f>IFERROR(__xludf.DUMMYFUNCTION("""COMPUTED_VALUE"""),"BELUM GOLIVE")</f>
        <v>BELUM GOLIVE</v>
      </c>
      <c r="Y711" s="229"/>
      <c r="Z711" s="229" t="str">
        <f>IFERROR(__xludf.DUMMYFUNCTION("""COMPUTED_VALUE"""),"#N/A")</f>
        <v>#N/A</v>
      </c>
      <c r="AA711" s="229"/>
      <c r="AB711" s="229"/>
      <c r="AC711" s="229"/>
      <c r="AD711" s="232"/>
      <c r="AE711" s="233"/>
      <c r="AF711" s="54"/>
      <c r="AG711" s="54"/>
      <c r="AH711" s="54"/>
      <c r="AI711" s="55" t="str">
        <f t="shared" si="82"/>
        <v/>
      </c>
      <c r="AW711" s="234"/>
      <c r="BP711" s="11"/>
      <c r="BQ711" s="11"/>
      <c r="BR711" s="235"/>
      <c r="BV711" s="158"/>
      <c r="BY711" s="158"/>
      <c r="CB711" s="158"/>
    </row>
    <row r="712" ht="18.0" hidden="1" customHeight="1">
      <c r="A712" s="222">
        <f>IFERROR(__xludf.DUMMYFUNCTION("""COMPUTED_VALUE"""),2026.0)</f>
        <v>2026</v>
      </c>
      <c r="B712" s="221">
        <f>IFERROR(__xludf.DUMMYFUNCTION("""COMPUTED_VALUE"""),1.1986751E7)</f>
        <v>11986751</v>
      </c>
      <c r="C712" s="222" t="str">
        <f>IFERROR(__xludf.DUMMYFUNCTION("""COMPUTED_VALUE"""),"ACH BNN PT3 BNN-FM KEMBANG TANJUNG")</f>
        <v>ACH BNN PT3 BNN-FM KEMBANG TANJUNG</v>
      </c>
      <c r="D712" s="222" t="str">
        <f>IFERROR(__xludf.DUMMYFUNCTION("""COMPUTED_VALUE"""),"REGIONAL I")</f>
        <v>REGIONAL I</v>
      </c>
      <c r="E712" s="222" t="str">
        <f>IFERROR(__xludf.DUMMYFUNCTION("""COMPUTED_VALUE"""),"ACEH")</f>
        <v>ACEH</v>
      </c>
      <c r="F712" s="222" t="str">
        <f>IFERROR(__xludf.DUMMYFUNCTION("""COMPUTED_VALUE"""),"BNN")</f>
        <v>BNN</v>
      </c>
      <c r="G712" s="222" t="str">
        <f>IFERROR(__xludf.DUMMYFUNCTION("""COMPUTED_VALUE"""),"SUMBAGUT")</f>
        <v>SUMBAGUT</v>
      </c>
      <c r="H712" s="222" t="str">
        <f>IFERROR(__xludf.DUMMYFUNCTION("""COMPUTED_VALUE"""),"BANDA ACEH")</f>
        <v>BANDA ACEH</v>
      </c>
      <c r="I712" s="222" t="str">
        <f>IFERROR(__xludf.DUMMYFUNCTION("""COMPUTED_VALUE"""),"Batch 2")</f>
        <v>Batch 2</v>
      </c>
      <c r="J712" s="225">
        <f>IFERROR(__xludf.DUMMYFUNCTION("""COMPUTED_VALUE"""),4.0)</f>
        <v>4</v>
      </c>
      <c r="K712" s="224">
        <f>IFERROR(__xludf.DUMMYFUNCTION("""COMPUTED_VALUE"""),32.0)</f>
        <v>32</v>
      </c>
      <c r="L712" s="226">
        <f>IFERROR(__xludf.DUMMYFUNCTION("""COMPUTED_VALUE"""),1127916.0)</f>
        <v>1127916</v>
      </c>
      <c r="M712" s="227">
        <f>IFERROR(__xludf.DUMMYFUNCTION("""COMPUTED_VALUE"""),3.6093283E7)</f>
        <v>36093283</v>
      </c>
      <c r="N712" s="222" t="str">
        <f>IFERROR(__xludf.DUMMYFUNCTION("""COMPUTED_VALUE"""),"PT TRIPOLA PANATA")</f>
        <v>PT TRIPOLA PANATA</v>
      </c>
      <c r="O712" s="222" t="str">
        <f>IFERROR(__xludf.DUMMYFUNCTION("""COMPUTED_VALUE"""),"7. GOLIVE")</f>
        <v>7. GOLIVE</v>
      </c>
      <c r="P712" s="222" t="str">
        <f>IFERROR(__xludf.DUMMYFUNCTION("""COMPUTED_VALUE"""),"7.2 Golive Full / OA / DONE OTB")</f>
        <v>7.2 Golive Full / OA / DONE OTB</v>
      </c>
      <c r="Q712" s="222" t="str">
        <f>IFERROR(__xludf.DUMMYFUNCTION("""COMPUTED_VALUE"""),"06/04 golive
(02/04) Validasi ABD (01/04) Tanam Tiang (03/03) PO Material (07/02) Proses Validasi Core Existing (07/01) Persiapan")</f>
        <v>06/04 golive
(02/04) Validasi ABD (01/04) Tanam Tiang (03/03) PO Material (07/02) Proses Validasi Core Existing (07/01) Persiapan</v>
      </c>
      <c r="R712" s="228">
        <f>IFERROR(__xludf.DUMMYFUNCTION("""COMPUTED_VALUE"""),46118.0)</f>
        <v>46118</v>
      </c>
      <c r="S712" s="11"/>
      <c r="T712" s="73"/>
      <c r="U712" s="11"/>
      <c r="V712" s="229"/>
      <c r="W712" s="229" t="str">
        <f>IFERROR(__xludf.DUMMYFUNCTION("""COMPUTED_VALUE"""),"#N/A")</f>
        <v>#N/A</v>
      </c>
      <c r="X712" s="229" t="str">
        <f>IFERROR(__xludf.DUMMYFUNCTION("""COMPUTED_VALUE"""),"GOLIVE")</f>
        <v>GOLIVE</v>
      </c>
      <c r="Y712" s="229" t="str">
        <f>IFERROR(__xludf.DUMMYFUNCTION("""COMPUTED_VALUE"""),"DONE")</f>
        <v>DONE</v>
      </c>
      <c r="Z712" s="229" t="str">
        <f>IFERROR(__xludf.DUMMYFUNCTION("""COMPUTED_VALUE"""),"#N/A")</f>
        <v>#N/A</v>
      </c>
      <c r="AA712" s="229">
        <f>IFERROR(__xludf.DUMMYFUNCTION("""COMPUTED_VALUE"""),4.0)</f>
        <v>4</v>
      </c>
      <c r="AB712" s="229"/>
      <c r="AC712" s="229" t="str">
        <f>IFERROR(__xludf.DUMMYFUNCTION("""COMPUTED_VALUE"""),"9233184#9233189")</f>
        <v>9233184#9233189</v>
      </c>
      <c r="AD712" s="232">
        <f>IFERROR(__xludf.DUMMYFUNCTION("""COMPUTED_VALUE"""),32.0)</f>
        <v>32</v>
      </c>
      <c r="AE712" s="233">
        <f>IFERROR(__xludf.DUMMYFUNCTION("""COMPUTED_VALUE"""),46118.0)</f>
        <v>46118</v>
      </c>
      <c r="AF712" s="54"/>
      <c r="AG712" s="54"/>
      <c r="AH712" s="54">
        <v>46137.0</v>
      </c>
      <c r="AI712" s="237">
        <f>AH712-NOW()</f>
        <v>-3.377989907</v>
      </c>
      <c r="AJ712" s="229" t="str">
        <f>if(AI712&gt;=0,"In Komitmen","Out Komitmen")</f>
        <v>Out Komitmen</v>
      </c>
      <c r="AK712" s="229" t="e">
        <v>#N/A</v>
      </c>
      <c r="AW712" s="234"/>
      <c r="BP712" s="11"/>
      <c r="BQ712" s="11"/>
      <c r="BR712" s="235"/>
      <c r="BV712" s="158"/>
      <c r="BY712" s="158"/>
      <c r="CB712" s="158"/>
    </row>
    <row r="713" ht="18.0" customHeight="1">
      <c r="A713" s="222">
        <f>IFERROR(__xludf.DUMMYFUNCTION("""COMPUTED_VALUE"""),2026.0)</f>
        <v>2026</v>
      </c>
      <c r="B713" s="221">
        <f>IFERROR(__xludf.DUMMYFUNCTION("""COMPUTED_VALUE"""),1.1368812E7)</f>
        <v>11368812</v>
      </c>
      <c r="C713" s="222" t="str">
        <f>IFERROR(__xludf.DUMMYFUNCTION("""COMPUTED_VALUE"""),"RKP PT3 TSEL RAI-FB JL. ADAMALIK")</f>
        <v>RKP PT3 TSEL RAI-FB JL. ADAMALIK</v>
      </c>
      <c r="D713" s="222" t="str">
        <f>IFERROR(__xludf.DUMMYFUNCTION("""COMPUTED_VALUE"""),"REGIONAL I")</f>
        <v>REGIONAL I</v>
      </c>
      <c r="E713" s="222" t="str">
        <f>IFERROR(__xludf.DUMMYFUNCTION("""COMPUTED_VALUE"""),"RIKEP")</f>
        <v>RIKEP</v>
      </c>
      <c r="F713" s="222" t="str">
        <f>IFERROR(__xludf.DUMMYFUNCTION("""COMPUTED_VALUE"""),"RAI")</f>
        <v>RAI</v>
      </c>
      <c r="G713" s="222" t="str">
        <f>IFERROR(__xludf.DUMMYFUNCTION("""COMPUTED_VALUE"""),"SUMBAGTENG")</f>
        <v>SUMBAGTENG</v>
      </c>
      <c r="H713" s="222" t="str">
        <f>IFERROR(__xludf.DUMMYFUNCTION("""COMPUTED_VALUE"""),"BATAM")</f>
        <v>BATAM</v>
      </c>
      <c r="I713" s="222" t="str">
        <f>IFERROR(__xludf.DUMMYFUNCTION("""COMPUTED_VALUE"""),"Batch 2")</f>
        <v>Batch 2</v>
      </c>
      <c r="J713" s="225">
        <f>IFERROR(__xludf.DUMMYFUNCTION("""COMPUTED_VALUE"""),3.0)</f>
        <v>3</v>
      </c>
      <c r="K713" s="224">
        <f>IFERROR(__xludf.DUMMYFUNCTION("""COMPUTED_VALUE"""),24.0)</f>
        <v>24</v>
      </c>
      <c r="L713" s="226">
        <f>IFERROR(__xludf.DUMMYFUNCTION("""COMPUTED_VALUE"""),1125362.0)</f>
        <v>1125362</v>
      </c>
      <c r="M713" s="227">
        <f>IFERROR(__xludf.DUMMYFUNCTION("""COMPUTED_VALUE"""),2.7008688E7)</f>
        <v>27008688</v>
      </c>
      <c r="N713" s="222" t="str">
        <f>IFERROR(__xludf.DUMMYFUNCTION("""COMPUTED_VALUE"""),"SWAKELOLA")</f>
        <v>SWAKELOLA</v>
      </c>
      <c r="O713" s="222" t="str">
        <f>IFERROR(__xludf.DUMMYFUNCTION("""COMPUTED_VALUE"""),"4. MATDEL")</f>
        <v>4. MATDEL</v>
      </c>
      <c r="P713" s="222" t="str">
        <f>IFERROR(__xludf.DUMMYFUNCTION("""COMPUTED_VALUE"""),"4.3 Proses Kirim Mateial Kelokasi")</f>
        <v>4.3 Proses Kirim Mateial Kelokasi</v>
      </c>
      <c r="Q713"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713" s="228"/>
      <c r="S713" s="11"/>
      <c r="T713" s="11"/>
      <c r="U713" s="11" t="str">
        <f>IFERROR(__xludf.DUMMYFUNCTION("""COMPUTED_VALUE"""),"W09-227/2026")</f>
        <v>W09-227/2026</v>
      </c>
      <c r="V713" s="229" t="str">
        <f>IFERROR(__xludf.DUMMYFUNCTION("""COMPUTED_VALUE"""),"DEDY IRAWAN")</f>
        <v>DEDY IRAWAN</v>
      </c>
      <c r="W713" s="229" t="str">
        <f>IFERROR(__xludf.DUMMYFUNCTION("""COMPUTED_VALUE"""),"LEVITA INDRIYANI")</f>
        <v>LEVITA INDRIYANI</v>
      </c>
      <c r="X713" s="229" t="str">
        <f>IFERROR(__xludf.DUMMYFUNCTION("""COMPUTED_VALUE"""),"BELUM GOLIVE")</f>
        <v>BELUM GOLIVE</v>
      </c>
      <c r="Y713" s="229"/>
      <c r="Z713" s="229" t="str">
        <f>IFERROR(__xludf.DUMMYFUNCTION("""COMPUTED_VALUE"""),"#N/A")</f>
        <v>#N/A</v>
      </c>
      <c r="AA713" s="229"/>
      <c r="AB713" s="229"/>
      <c r="AC713" s="229"/>
      <c r="AD713" s="232"/>
      <c r="AE713" s="233"/>
      <c r="AF713" s="54"/>
      <c r="AG713" s="54"/>
      <c r="AH713" s="54"/>
      <c r="AI713" s="55" t="str">
        <f t="shared" ref="AI713:AI723" si="83">IF(OR(R713="",AE713=""),"",R713-AE713)</f>
        <v/>
      </c>
      <c r="AW713" s="234"/>
      <c r="BP713" s="11"/>
      <c r="BQ713" s="11"/>
      <c r="BR713" s="235"/>
      <c r="BV713" s="158"/>
      <c r="BY713" s="158"/>
      <c r="CB713" s="158"/>
    </row>
    <row r="714" ht="18.0" customHeight="1">
      <c r="A714" s="222">
        <f>IFERROR(__xludf.DUMMYFUNCTION("""COMPUTED_VALUE"""),2026.0)</f>
        <v>2026</v>
      </c>
      <c r="B714" s="221">
        <f>IFERROR(__xludf.DUMMYFUNCTION("""COMPUTED_VALUE"""),1.2113457E7)</f>
        <v>12113457</v>
      </c>
      <c r="C714" s="222" t="str">
        <f>IFERROR(__xludf.DUMMYFUNCTION("""COMPUTED_VALUE"""),"SMB-PT3-ODC-KMN-FC-AGAM_86-3 Cluster")</f>
        <v>SMB-PT3-ODC-KMN-FC-AGAM_86-3 Cluster</v>
      </c>
      <c r="D714" s="222" t="str">
        <f>IFERROR(__xludf.DUMMYFUNCTION("""COMPUTED_VALUE"""),"REGIONAL I")</f>
        <v>REGIONAL I</v>
      </c>
      <c r="E714" s="222" t="str">
        <f>IFERROR(__xludf.DUMMYFUNCTION("""COMPUTED_VALUE"""),"SUMBAR")</f>
        <v>SUMBAR</v>
      </c>
      <c r="F714" s="222" t="str">
        <f>IFERROR(__xludf.DUMMYFUNCTION("""COMPUTED_VALUE"""),"KMN")</f>
        <v>KMN</v>
      </c>
      <c r="G714" s="222" t="str">
        <f>IFERROR(__xludf.DUMMYFUNCTION("""COMPUTED_VALUE"""),"SUMBAGTENG")</f>
        <v>SUMBAGTENG</v>
      </c>
      <c r="H714" s="222" t="str">
        <f>IFERROR(__xludf.DUMMYFUNCTION("""COMPUTED_VALUE"""),"BUKIT TINGGI")</f>
        <v>BUKIT TINGGI</v>
      </c>
      <c r="I714" s="222" t="str">
        <f>IFERROR(__xludf.DUMMYFUNCTION("""COMPUTED_VALUE"""),"Batch 2")</f>
        <v>Batch 2</v>
      </c>
      <c r="J714" s="225">
        <f>IFERROR(__xludf.DUMMYFUNCTION("""COMPUTED_VALUE"""),7.0)</f>
        <v>7</v>
      </c>
      <c r="K714" s="224">
        <f>IFERROR(__xludf.DUMMYFUNCTION("""COMPUTED_VALUE"""),56.0)</f>
        <v>56</v>
      </c>
      <c r="L714" s="226">
        <f>IFERROR(__xludf.DUMMYFUNCTION("""COMPUTED_VALUE"""),1124302.0)</f>
        <v>1124302</v>
      </c>
      <c r="M714" s="227">
        <f>IFERROR(__xludf.DUMMYFUNCTION("""COMPUTED_VALUE"""),6.2960901E7)</f>
        <v>62960901</v>
      </c>
      <c r="N714" s="222" t="str">
        <f>IFERROR(__xludf.DUMMYFUNCTION("""COMPUTED_VALUE"""),"PT GARINDO TECHNO MANDIRI")</f>
        <v>PT GARINDO TECHNO MANDIRI</v>
      </c>
      <c r="O714" s="222" t="str">
        <f>IFERROR(__xludf.DUMMYFUNCTION("""COMPUTED_VALUE"""),"0. DROP")</f>
        <v>0. DROP</v>
      </c>
      <c r="P714" s="222" t="str">
        <f>IFERROR(__xludf.DUMMYFUNCTION("""COMPUTED_VALUE"""),"0.3 Feeder Full")</f>
        <v>0.3 Feeder Full</v>
      </c>
      <c r="Q714" s="222" t="str">
        <f>IFERROR(__xludf.DUMMYFUNCTION("""COMPUTED_VALUE"""),"(26/01)  kendala feeder KMN-FC FULL")</f>
        <v>(26/01)  kendala feeder KMN-FC FULL</v>
      </c>
      <c r="R714" s="228"/>
      <c r="S714" s="11"/>
      <c r="T714" s="11"/>
      <c r="U714" s="11"/>
      <c r="V714" s="229"/>
      <c r="W714" s="229"/>
      <c r="X714" s="229" t="str">
        <f>IFERROR(__xludf.DUMMYFUNCTION("""COMPUTED_VALUE"""),"BELUM GOLIVE")</f>
        <v>BELUM GOLIVE</v>
      </c>
      <c r="Y714" s="229"/>
      <c r="Z714" s="229" t="str">
        <f>IFERROR(__xludf.DUMMYFUNCTION("""COMPUTED_VALUE"""),"#N/A")</f>
        <v>#N/A</v>
      </c>
      <c r="AA714" s="229"/>
      <c r="AB714" s="229"/>
      <c r="AC714" s="229"/>
      <c r="AD714" s="232"/>
      <c r="AE714" s="233"/>
      <c r="AF714" s="54" t="str">
        <f>IFERROR(__xludf.DUMMYFUNCTION("""COMPUTED_VALUE"""),"Draft BA DROP")</f>
        <v>Draft BA DROP</v>
      </c>
      <c r="AG714" s="54"/>
      <c r="AH714" s="54"/>
      <c r="AI714" s="55" t="str">
        <f t="shared" si="83"/>
        <v/>
      </c>
      <c r="AW714" s="234"/>
      <c r="BP714" s="11"/>
      <c r="BQ714" s="11"/>
      <c r="BR714" s="235"/>
      <c r="BV714" s="158"/>
      <c r="BY714" s="158"/>
      <c r="CB714" s="158"/>
    </row>
    <row r="715" ht="18.0" hidden="1" customHeight="1">
      <c r="A715" s="222">
        <f>IFERROR(__xludf.DUMMYFUNCTION("""COMPUTED_VALUE"""),2026.0)</f>
        <v>2026</v>
      </c>
      <c r="B715" s="221">
        <f>IFERROR(__xludf.DUMMYFUNCTION("""COMPUTED_VALUE"""),1.2488081E7)</f>
        <v>12488081</v>
      </c>
      <c r="C715" s="222" t="str">
        <f>IFERROR(__xludf.DUMMYFUNCTION("""COMPUTED_VALUE"""),"MDN PT3 TTG-FF COVER DS01 250_1557_1623")</f>
        <v>MDN PT3 TTG-FF COVER DS01 250_1557_1623</v>
      </c>
      <c r="D715" s="222" t="str">
        <f>IFERROR(__xludf.DUMMYFUNCTION("""COMPUTED_VALUE"""),"REGIONAL I")</f>
        <v>REGIONAL I</v>
      </c>
      <c r="E715" s="222" t="str">
        <f>IFERROR(__xludf.DUMMYFUNCTION("""COMPUTED_VALUE"""),"MEDAN")</f>
        <v>MEDAN</v>
      </c>
      <c r="F715" s="222" t="str">
        <f>IFERROR(__xludf.DUMMYFUNCTION("""COMPUTED_VALUE"""),"TTG")</f>
        <v>TTG</v>
      </c>
      <c r="G715" s="222" t="str">
        <f>IFERROR(__xludf.DUMMYFUNCTION("""COMPUTED_VALUE"""),"SUMBAGUT")</f>
        <v>SUMBAGUT</v>
      </c>
      <c r="H715" s="222" t="str">
        <f>IFERROR(__xludf.DUMMYFUNCTION("""COMPUTED_VALUE"""),"MEDAN")</f>
        <v>MEDAN</v>
      </c>
      <c r="I715" s="222" t="str">
        <f>IFERROR(__xludf.DUMMYFUNCTION("""COMPUTED_VALUE"""),"Batch 2")</f>
        <v>Batch 2</v>
      </c>
      <c r="J715" s="225">
        <f>IFERROR(__xludf.DUMMYFUNCTION("""COMPUTED_VALUE"""),7.0)</f>
        <v>7</v>
      </c>
      <c r="K715" s="224">
        <f>IFERROR(__xludf.DUMMYFUNCTION("""COMPUTED_VALUE"""),56.0)</f>
        <v>56</v>
      </c>
      <c r="L715" s="226">
        <f>IFERROR(__xludf.DUMMYFUNCTION("""COMPUTED_VALUE"""),1123812.0)</f>
        <v>1123812</v>
      </c>
      <c r="M715" s="227">
        <f>IFERROR(__xludf.DUMMYFUNCTION("""COMPUTED_VALUE"""),6.2933428E7)</f>
        <v>62933428</v>
      </c>
      <c r="N715" s="222" t="str">
        <f>IFERROR(__xludf.DUMMYFUNCTION("""COMPUTED_VALUE"""),"SWAKELOLA")</f>
        <v>SWAKELOLA</v>
      </c>
      <c r="O715" s="222" t="str">
        <f>IFERROR(__xludf.DUMMYFUNCTION("""COMPUTED_VALUE"""),"7. GOLIVE")</f>
        <v>7. GOLIVE</v>
      </c>
      <c r="P715" s="222" t="str">
        <f>IFERROR(__xludf.DUMMYFUNCTION("""COMPUTED_VALUE"""),"7.2 Golive Full / OA / DONE OTB")</f>
        <v>7.2 Golive Full / OA / DONE OTB</v>
      </c>
      <c r="Q715" s="222" t="str">
        <f>IFERROR(__xludf.DUMMYFUNCTION("""COMPUTED_VALUE"""),"30/03 submit abd 13/03 penarikan KU 11/03 MATDEL 11/02 Aanwidzing OK, lanjut perizinan TB")</f>
        <v>30/03 submit abd 13/03 penarikan KU 11/03 MATDEL 11/02 Aanwidzing OK, lanjut perizinan TB</v>
      </c>
      <c r="R715" s="228">
        <f>IFERROR(__xludf.DUMMYFUNCTION("""COMPUTED_VALUE"""),46108.0)</f>
        <v>46108</v>
      </c>
      <c r="S715" s="11" t="str">
        <f>IFERROR(__xludf.DUMMYFUNCTION("""COMPUTED_VALUE"""),"MAR")</f>
        <v>MAR</v>
      </c>
      <c r="T715" s="11"/>
      <c r="U715" s="11"/>
      <c r="V715" s="229"/>
      <c r="W715" s="229"/>
      <c r="X715" s="229" t="str">
        <f>IFERROR(__xludf.DUMMYFUNCTION("""COMPUTED_VALUE"""),"GOLIVE")</f>
        <v>GOLIVE</v>
      </c>
      <c r="Y715" s="229" t="str">
        <f>IFERROR(__xludf.DUMMYFUNCTION("""COMPUTED_VALUE"""),"DONE")</f>
        <v>DONE</v>
      </c>
      <c r="Z715" s="229" t="str">
        <f>IFERROR(__xludf.DUMMYFUNCTION("""COMPUTED_VALUE"""),"#N/A")</f>
        <v>#N/A</v>
      </c>
      <c r="AA715" s="229">
        <f>IFERROR(__xludf.DUMMYFUNCTION("""COMPUTED_VALUE"""),7.0)</f>
        <v>7</v>
      </c>
      <c r="AB715" s="229"/>
      <c r="AC715" s="229" t="str">
        <f>IFERROR(__xludf.DUMMYFUNCTION("""COMPUTED_VALUE"""),"9230875#9230880")</f>
        <v>9230875#9230880</v>
      </c>
      <c r="AD715" s="232">
        <f>IFERROR(__xludf.DUMMYFUNCTION("""COMPUTED_VALUE"""),56.0)</f>
        <v>56</v>
      </c>
      <c r="AE715" s="233">
        <f>IFERROR(__xludf.DUMMYFUNCTION("""COMPUTED_VALUE"""),46112.0)</f>
        <v>46112</v>
      </c>
      <c r="AF715" s="54"/>
      <c r="AG715" s="54"/>
      <c r="AH715" s="54">
        <v>46108.0</v>
      </c>
      <c r="AI715" s="55">
        <f t="shared" si="83"/>
        <v>-4</v>
      </c>
      <c r="AW715" s="234"/>
      <c r="BP715" s="11"/>
      <c r="BQ715" s="11"/>
      <c r="BR715" s="235"/>
      <c r="BV715" s="158"/>
      <c r="BY715" s="158"/>
      <c r="CB715" s="158"/>
    </row>
    <row r="716" ht="18.0" hidden="1" customHeight="1">
      <c r="A716" s="222">
        <f>IFERROR(__xludf.DUMMYFUNCTION("""COMPUTED_VALUE"""),2026.0)</f>
        <v>2026</v>
      </c>
      <c r="B716" s="221">
        <f>IFERROR(__xludf.DUMMYFUNCTION("""COMPUTED_VALUE"""),1.1393218E7)</f>
        <v>11393218</v>
      </c>
      <c r="C716" s="222" t="str">
        <f>IFERROR(__xludf.DUMMYFUNCTION("""COMPUTED_VALUE"""),"SMS P2I2 PT3 LLG FAB D08 ULAK LEBAR")</f>
        <v>SMS P2I2 PT3 LLG FAB D08 ULAK LEBAR</v>
      </c>
      <c r="D716" s="222" t="str">
        <f>IFERROR(__xludf.DUMMYFUNCTION("""COMPUTED_VALUE"""),"REGIONAL I")</f>
        <v>REGIONAL I</v>
      </c>
      <c r="E716" s="222" t="str">
        <f>IFERROR(__xludf.DUMMYFUNCTION("""COMPUTED_VALUE"""),"SUMSEL")</f>
        <v>SUMSEL</v>
      </c>
      <c r="F716" s="222" t="str">
        <f>IFERROR(__xludf.DUMMYFUNCTION("""COMPUTED_VALUE"""),"LLG")</f>
        <v>LLG</v>
      </c>
      <c r="G716" s="222" t="str">
        <f>IFERROR(__xludf.DUMMYFUNCTION("""COMPUTED_VALUE"""),"SUMBAGSEL")</f>
        <v>SUMBAGSEL</v>
      </c>
      <c r="H716" s="222" t="str">
        <f>IFERROR(__xludf.DUMMYFUNCTION("""COMPUTED_VALUE"""),"BENGKULU")</f>
        <v>BENGKULU</v>
      </c>
      <c r="I716" s="222" t="str">
        <f>IFERROR(__xludf.DUMMYFUNCTION("""COMPUTED_VALUE"""),"Batch 2")</f>
        <v>Batch 2</v>
      </c>
      <c r="J716" s="225">
        <f>IFERROR(__xludf.DUMMYFUNCTION("""COMPUTED_VALUE"""),7.0)</f>
        <v>7</v>
      </c>
      <c r="K716" s="224">
        <f>IFERROR(__xludf.DUMMYFUNCTION("""COMPUTED_VALUE"""),56.0)</f>
        <v>56</v>
      </c>
      <c r="L716" s="226">
        <f>IFERROR(__xludf.DUMMYFUNCTION("""COMPUTED_VALUE"""),1123744.0)</f>
        <v>1123744</v>
      </c>
      <c r="M716" s="227">
        <f>IFERROR(__xludf.DUMMYFUNCTION("""COMPUTED_VALUE"""),6.2929657E7)</f>
        <v>62929657</v>
      </c>
      <c r="N716" s="222" t="str">
        <f>IFERROR(__xludf.DUMMYFUNCTION("""COMPUTED_VALUE"""),"PT DIAN KARYA")</f>
        <v>PT DIAN KARYA</v>
      </c>
      <c r="O716" s="222" t="str">
        <f>IFERROR(__xludf.DUMMYFUNCTION("""COMPUTED_VALUE"""),"8. UJI TERIMA")</f>
        <v>8. UJI TERIMA</v>
      </c>
      <c r="P716" s="222" t="str">
        <f>IFERROR(__xludf.DUMMYFUNCTION("""COMPUTED_VALUE"""),"8.1 Proses UT")</f>
        <v>8.1 Proses UT</v>
      </c>
      <c r="Q716" s="222" t="str">
        <f>IFERROR(__xludf.DUMMYFUNCTION("""COMPUTED_VALUE"""),"(3/2) golive 3 feb (03/02 )DATA VALINS SDH KIRIM KE SDI, 31/1 2feb Plan Jumper dan GOLIVE (21/01) selesai fisik, kendala BIG OLT STO LLG belum ready, (18/01) KENDALA BIG OLT STO LLG, 01/12 menunggu redaman dari OLT, 25/11 terminasi ODP, 20/11 selesai tana"&amp;"m tiang, 19/11 OGP matdel, 17/11 masih matdel, 14/11 masih matdel, 13/11 MATDEL, (07/11) Matdel ditanggung TA ,BA ttd GM (04/11 Kendala pengiriman Matrial Mitra 3/11 Kendala pengiriman Matrial Mitra 08/10 kirim material ke lokasi
(01/10) proses pengiriman"&amp;" material
(25/09) dri pihak RT mau musyawarah dg warga terlbih dahulu
(19/09) proses izin dg pihak RT setempat
(15/09) Proses Redesign Permintaan Sales Tsel")</f>
        <v>(3/2) golive 3 feb (03/02 )DATA VALINS SDH KIRIM KE SDI, 31/1 2feb Plan Jumper dan GOLIVE (21/01) selesai fisik, kendala BIG OLT STO LLG belum ready, (18/01) KENDALA BIG OLT STO LLG, 01/12 menunggu redaman dari OLT, 25/11 terminasi ODP, 20/11 selesai tanam tiang, 19/11 OGP matdel, 17/11 masih matdel, 14/11 masih matdel, 13/11 MATDEL, (07/11) Matdel ditanggung TA ,BA ttd GM (04/11 Kendala pengiriman Matrial Mitra 3/11 Kendala pengiriman Matrial Mitra 08/10 kirim material ke lokasi
(01/10) proses pengiriman material
(25/09) dri pihak RT mau musyawarah dg warga terlbih dahulu
(19/09) proses izin dg pihak RT setempat
(15/09) Proses Redesign Permintaan Sales Tsel</v>
      </c>
      <c r="R716" s="228"/>
      <c r="S716" s="11"/>
      <c r="T716" s="11"/>
      <c r="U716" s="11"/>
      <c r="V716" s="229" t="str">
        <f>IFERROR(__xludf.DUMMYFUNCTION("""COMPUTED_VALUE"""),"PUTRA")</f>
        <v>PUTRA</v>
      </c>
      <c r="W716" s="229"/>
      <c r="X716" s="229" t="str">
        <f>IFERROR(__xludf.DUMMYFUNCTION("""COMPUTED_VALUE"""),"GOLIVE")</f>
        <v>GOLIVE</v>
      </c>
      <c r="Y716" s="229" t="str">
        <f>IFERROR(__xludf.DUMMYFUNCTION("""COMPUTED_VALUE"""),"DONE")</f>
        <v>DONE</v>
      </c>
      <c r="Z716" s="229" t="str">
        <f>IFERROR(__xludf.DUMMYFUNCTION("""COMPUTED_VALUE"""),"#N/A")</f>
        <v>#N/A</v>
      </c>
      <c r="AA716" s="229">
        <f>IFERROR(__xludf.DUMMYFUNCTION("""COMPUTED_VALUE"""),7.0)</f>
        <v>7</v>
      </c>
      <c r="AB716" s="229"/>
      <c r="AC716" s="229" t="str">
        <f>IFERROR(__xludf.DUMMYFUNCTION("""COMPUTED_VALUE"""),"8217222#8217227")</f>
        <v>8217222#8217227</v>
      </c>
      <c r="AD716" s="232">
        <f>IFERROR(__xludf.DUMMYFUNCTION("""COMPUTED_VALUE"""),56.0)</f>
        <v>56</v>
      </c>
      <c r="AE716" s="233">
        <f>IFERROR(__xludf.DUMMYFUNCTION("""COMPUTED_VALUE"""),46056.0)</f>
        <v>46056</v>
      </c>
      <c r="AF716" s="54"/>
      <c r="AG716" s="54"/>
      <c r="AH716" s="54"/>
      <c r="AI716" s="55" t="str">
        <f t="shared" si="83"/>
        <v/>
      </c>
      <c r="AW716" s="234"/>
      <c r="BP716" s="11"/>
      <c r="BQ716" s="11"/>
      <c r="BR716" s="235"/>
      <c r="BV716" s="158"/>
      <c r="BY716" s="158"/>
      <c r="CB716" s="158"/>
    </row>
    <row r="717" ht="18.0" hidden="1" customHeight="1">
      <c r="A717" s="222">
        <f>IFERROR(__xludf.DUMMYFUNCTION("""COMPUTED_VALUE"""),2026.0)</f>
        <v>2026</v>
      </c>
      <c r="B717" s="221">
        <f>IFERROR(__xludf.DUMMYFUNCTION("""COMPUTED_VALUE"""),1.1129902E7)</f>
        <v>11129902</v>
      </c>
      <c r="C717" s="222" t="str">
        <f>IFERROR(__xludf.DUMMYFUNCTION("""COMPUTED_VALUE"""),"MDN PT3 P7I4 LBP-FA SCATER DUSUN II")</f>
        <v>MDN PT3 P7I4 LBP-FA SCATER DUSUN II</v>
      </c>
      <c r="D717" s="222" t="str">
        <f>IFERROR(__xludf.DUMMYFUNCTION("""COMPUTED_VALUE"""),"REGIONAL I")</f>
        <v>REGIONAL I</v>
      </c>
      <c r="E717" s="222" t="str">
        <f>IFERROR(__xludf.DUMMYFUNCTION("""COMPUTED_VALUE"""),"MEDAN")</f>
        <v>MEDAN</v>
      </c>
      <c r="F717" s="222" t="str">
        <f>IFERROR(__xludf.DUMMYFUNCTION("""COMPUTED_VALUE"""),"LBP")</f>
        <v>LBP</v>
      </c>
      <c r="G717" s="222" t="str">
        <f>IFERROR(__xludf.DUMMYFUNCTION("""COMPUTED_VALUE"""),"SUMBAGUT")</f>
        <v>SUMBAGUT</v>
      </c>
      <c r="H717" s="222" t="str">
        <f>IFERROR(__xludf.DUMMYFUNCTION("""COMPUTED_VALUE"""),"MEDAN")</f>
        <v>MEDAN</v>
      </c>
      <c r="I717" s="222" t="str">
        <f>IFERROR(__xludf.DUMMYFUNCTION("""COMPUTED_VALUE"""),"Batch 2")</f>
        <v>Batch 2</v>
      </c>
      <c r="J717" s="225">
        <f>IFERROR(__xludf.DUMMYFUNCTION("""COMPUTED_VALUE"""),4.0)</f>
        <v>4</v>
      </c>
      <c r="K717" s="224">
        <f>IFERROR(__xludf.DUMMYFUNCTION("""COMPUTED_VALUE"""),32.0)</f>
        <v>32</v>
      </c>
      <c r="L717" s="226">
        <f>IFERROR(__xludf.DUMMYFUNCTION("""COMPUTED_VALUE"""),1123722.0)</f>
        <v>1123722</v>
      </c>
      <c r="M717" s="227">
        <f>IFERROR(__xludf.DUMMYFUNCTION("""COMPUTED_VALUE"""),3.5959079E7)</f>
        <v>35959079</v>
      </c>
      <c r="N717" s="222" t="str">
        <f>IFERROR(__xludf.DUMMYFUNCTION("""COMPUTED_VALUE"""),"PT NIAGA NUSANTARA DIVA")</f>
        <v>PT NIAGA NUSANTARA DIVA</v>
      </c>
      <c r="O717" s="222" t="str">
        <f>IFERROR(__xludf.DUMMYFUNCTION("""COMPUTED_VALUE"""),"0. DROP")</f>
        <v>0. DROP</v>
      </c>
      <c r="P717" s="222" t="str">
        <f>IFERROR(__xludf.DUMMYFUNCTION("""COMPUTED_VALUE"""),"0.1 Double Order")</f>
        <v>0.1 Double Order</v>
      </c>
      <c r="Q717" s="222" t="str">
        <f>IFERROR(__xludf.DUMMYFUNCTION("""COMPUTED_VALUE"""),"18/02 depedensi lop drop MDN PT3 P7I1 LBP-FA GRIYA TANJUNG ASRI 5
(07/01) Persiapan")</f>
        <v>18/02 depedensi lop drop MDN PT3 P7I1 LBP-FA GRIYA TANJUNG ASRI 5
(07/01) Persiapan</v>
      </c>
      <c r="R717" s="228"/>
      <c r="S717" s="11"/>
      <c r="T717" s="11"/>
      <c r="U717" s="11"/>
      <c r="V717" s="229"/>
      <c r="W717" s="229"/>
      <c r="X717" s="229" t="str">
        <f>IFERROR(__xludf.DUMMYFUNCTION("""COMPUTED_VALUE"""),"BELUM GOLIVE")</f>
        <v>BELUM GOLIVE</v>
      </c>
      <c r="Y717" s="229"/>
      <c r="Z717" s="229" t="str">
        <f>IFERROR(__xludf.DUMMYFUNCTION("""COMPUTED_VALUE"""),"#N/A")</f>
        <v>#N/A</v>
      </c>
      <c r="AA717" s="229"/>
      <c r="AB717" s="229"/>
      <c r="AC717" s="229"/>
      <c r="AD717" s="232"/>
      <c r="AE717" s="233"/>
      <c r="AF717" s="54"/>
      <c r="AG717" s="54"/>
      <c r="AH717" s="54"/>
      <c r="AI717" s="55" t="str">
        <f t="shared" si="83"/>
        <v/>
      </c>
      <c r="AW717" s="234"/>
      <c r="BP717" s="11"/>
      <c r="BQ717" s="11"/>
      <c r="BR717" s="235"/>
      <c r="BV717" s="158"/>
      <c r="BY717" s="158"/>
      <c r="CB717" s="158"/>
    </row>
    <row r="718" ht="18.0" hidden="1" customHeight="1">
      <c r="A718" s="222">
        <f>IFERROR(__xludf.DUMMYFUNCTION("""COMPUTED_VALUE"""),2026.0)</f>
        <v>2026</v>
      </c>
      <c r="B718" s="221">
        <f>IFERROR(__xludf.DUMMYFUNCTION("""COMPUTED_VALUE"""),1.1643156E7)</f>
        <v>11643156</v>
      </c>
      <c r="C718" s="222" t="str">
        <f>IFERROR(__xludf.DUMMYFUNCTION("""COMPUTED_VALUE"""),"SMU PSP-FBA D07 CLUST SINGALI")</f>
        <v>SMU PSP-FBA D07 CLUST SINGALI</v>
      </c>
      <c r="D718" s="222" t="str">
        <f>IFERROR(__xludf.DUMMYFUNCTION("""COMPUTED_VALUE"""),"REGIONAL I")</f>
        <v>REGIONAL I</v>
      </c>
      <c r="E718" s="222" t="str">
        <f>IFERROR(__xludf.DUMMYFUNCTION("""COMPUTED_VALUE"""),"SUMUT")</f>
        <v>SUMUT</v>
      </c>
      <c r="F718" s="222" t="str">
        <f>IFERROR(__xludf.DUMMYFUNCTION("""COMPUTED_VALUE"""),"PSP")</f>
        <v>PSP</v>
      </c>
      <c r="G718" s="222" t="str">
        <f>IFERROR(__xludf.DUMMYFUNCTION("""COMPUTED_VALUE"""),"SUMBAGUT")</f>
        <v>SUMBAGUT</v>
      </c>
      <c r="H718" s="222" t="str">
        <f>IFERROR(__xludf.DUMMYFUNCTION("""COMPUTED_VALUE"""),"PADANG SIDEMPUAN")</f>
        <v>PADANG SIDEMPUAN</v>
      </c>
      <c r="I718" s="222" t="str">
        <f>IFERROR(__xludf.DUMMYFUNCTION("""COMPUTED_VALUE"""),"Batch 2")</f>
        <v>Batch 2</v>
      </c>
      <c r="J718" s="225">
        <f>IFERROR(__xludf.DUMMYFUNCTION("""COMPUTED_VALUE"""),5.0)</f>
        <v>5</v>
      </c>
      <c r="K718" s="224">
        <f>IFERROR(__xludf.DUMMYFUNCTION("""COMPUTED_VALUE"""),40.0)</f>
        <v>40</v>
      </c>
      <c r="L718" s="226">
        <f>IFERROR(__xludf.DUMMYFUNCTION("""COMPUTED_VALUE"""),1193099.0)</f>
        <v>1193099</v>
      </c>
      <c r="M718" s="227">
        <f>IFERROR(__xludf.DUMMYFUNCTION("""COMPUTED_VALUE"""),4.7723949E7)</f>
        <v>47723949</v>
      </c>
      <c r="N718" s="222" t="str">
        <f>IFERROR(__xludf.DUMMYFUNCTION("""COMPUTED_VALUE"""),"PT SALTTEK DUMPANG JAYA")</f>
        <v>PT SALTTEK DUMPANG JAYA</v>
      </c>
      <c r="O718" s="222" t="str">
        <f>IFERROR(__xludf.DUMMYFUNCTION("""COMPUTED_VALUE"""),"7. GOLIVE")</f>
        <v>7. GOLIVE</v>
      </c>
      <c r="P718" s="222" t="str">
        <f>IFERROR(__xludf.DUMMYFUNCTION("""COMPUTED_VALUE"""),"7.2 Golive Full / OA / DONE OTB")</f>
        <v>7.2 Golive Full / OA / DONE OTB</v>
      </c>
      <c r="Q718" s="222" t="str">
        <f>IFERROR(__xludf.DUMMYFUNCTION("""COMPUTED_VALUE"""),"3/3 validasi sdi, 2/3 validasi sdi,  27/2 terminasi ulang dikarnakan team salah petik core, , 25/2 plan instal odp besok 26 feb, 24/2 sisa valins plan submit abd besok 25 feb, 22/3 sisa instal dan terminasi 2 odp, ku12 (1295 selesai ,  23 feb , sisa insta"&amp;"l dan terminasi 2 odp, ku12 (1295 selesai , 19/2 plan jointer turun kelokasi sabtu 21 feb untuk  instal dan terminasi 2 odp, ku12 (1295 selesai,  16/2 prepair team untuk pengambilan matrial ke gudang, 13/2 proses req paralle input alista, 11/2 menunggu bo"&amp;"q kml hasil redesign, 10/2 menunggu boq kml hasil redesign, 9/2 proses suvrey ulang terkait redesign ,6/2 proses suvrey ulang terkait redesign , 5/2 proses suvrey ulang terkait redesign ,  3/2 proses suvrey ulang terkait redesign , 2/2 proses suvrey ulang"&amp;" terkait redesign , 1/2 proses suvrey ulang terkait redesign , 30/1 proses suvrey ulang terkait redesign ,  28/1 proses suvrey ulang terkait redesign , 27/1 menunggu info tif terkait plan pengurangan odp kendala sisa core distribusi sisa 2 kebutuhan 5 odp"&amp;", 26/1 menunggu revisi boq kml survey (plan pengurangan odp sisa core 2 plan 5 odp), 23/1 menunggu boq kml survey (plan pengurangan odp sisa core 2 plan 5 odp),22/1 (plan pengajuan ke tif/tsel terkait pengurangan odp, sisa core distribusi 2, kebutuha 5 od"&amp;"p, 21/1 (plan pengajuan ke tif/tsel terkait pengurangan odp, sisa core distribusi 2, kebutuha 5 odp, 20/1 (plan pengajuan ke tif/tsel terkait pengurangan odp, sisa core distribusi 2, kebutuha 5 odp, 19/1 plan survey 21/1,  15/1 plan survey 21/1, 14/1 plan"&amp;" survey 20/1, 13/1 menunggu info kelanjutan mitra, (07/01) Persiapan")</f>
        <v>3/3 validasi sdi, 2/3 validasi sdi,  27/2 terminasi ulang dikarnakan team salah petik core, , 25/2 plan instal odp besok 26 feb, 24/2 sisa valins plan submit abd besok 25 feb, 22/3 sisa instal dan terminasi 2 odp, ku12 (1295 selesai ,  23 feb , sisa instal dan terminasi 2 odp, ku12 (1295 selesai , 19/2 plan jointer turun kelokasi sabtu 21 feb untuk  instal dan terminasi 2 odp, ku12 (1295 selesai,  16/2 prepair team untuk pengambilan matrial ke gudang, 13/2 proses req paralle input alista, 11/2 menunggu boq kml hasil redesign, 10/2 menunggu boq kml hasil redesign, 9/2 proses suvrey ulang terkait redesign ,6/2 proses suvrey ulang terkait redesign , 5/2 proses suvrey ulang terkait redesign ,  3/2 proses suvrey ulang terkait redesign , 2/2 proses suvrey ulang terkait redesign , 1/2 proses suvrey ulang terkait redesign , 30/1 proses suvrey ulang terkait redesign ,  28/1 proses suvrey ulang terkait redesign , 27/1 menunggu info tif terkait plan pengurangan odp kendala sisa core distribusi sisa 2 kebutuhan 5 odp, 26/1 menunggu revisi boq kml survey (plan pengurangan odp sisa core 2 plan 5 odp), 23/1 menunggu boq kml survey (plan pengurangan odp sisa core 2 plan 5 odp),22/1 (plan pengajuan ke tif/tsel terkait pengurangan odp, sisa core distribusi 2, kebutuha 5 odp, 21/1 (plan pengajuan ke tif/tsel terkait pengurangan odp, sisa core distribusi 2, kebutuha 5 odp, 20/1 (plan pengajuan ke tif/tsel terkait pengurangan odp, sisa core distribusi 2, kebutuha 5 odp, 19/1 plan survey 21/1,  15/1 plan survey 21/1, 14/1 plan survey 20/1, 13/1 menunggu info kelanjutan mitra, (07/01) Persiapan</v>
      </c>
      <c r="R718" s="228">
        <f>IFERROR(__xludf.DUMMYFUNCTION("""COMPUTED_VALUE"""),46084.0)</f>
        <v>46084</v>
      </c>
      <c r="S718" s="11" t="str">
        <f>IFERROR(__xludf.DUMMYFUNCTION("""COMPUTED_VALUE"""),"MAR")</f>
        <v>MAR</v>
      </c>
      <c r="T718" s="11"/>
      <c r="U718" s="11" t="str">
        <f>IFERROR(__xludf.DUMMYFUNCTION("""COMPUTED_VALUE"""),"W03-1468/2025")</f>
        <v>W03-1468/2025</v>
      </c>
      <c r="V718" s="229"/>
      <c r="W718" s="229"/>
      <c r="X718" s="229" t="str">
        <f>IFERROR(__xludf.DUMMYFUNCTION("""COMPUTED_VALUE"""),"GOLIVE")</f>
        <v>GOLIVE</v>
      </c>
      <c r="Y718" s="229" t="str">
        <f>IFERROR(__xludf.DUMMYFUNCTION("""COMPUTED_VALUE"""),"DONE")</f>
        <v>DONE</v>
      </c>
      <c r="Z718" s="229" t="str">
        <f>IFERROR(__xludf.DUMMYFUNCTION("""COMPUTED_VALUE"""),"#N/A")</f>
        <v>#N/A</v>
      </c>
      <c r="AA718" s="229">
        <f>IFERROR(__xludf.DUMMYFUNCTION("""COMPUTED_VALUE"""),2.0)</f>
        <v>2</v>
      </c>
      <c r="AB718" s="229"/>
      <c r="AC718" s="229" t="str">
        <f>IFERROR(__xludf.DUMMYFUNCTION("""COMPUTED_VALUE"""),"9168787#9168792")</f>
        <v>9168787#9168792</v>
      </c>
      <c r="AD718" s="232">
        <f>IFERROR(__xludf.DUMMYFUNCTION("""COMPUTED_VALUE"""),16.0)</f>
        <v>16</v>
      </c>
      <c r="AE718" s="233">
        <f>IFERROR(__xludf.DUMMYFUNCTION("""COMPUTED_VALUE"""),46084.0)</f>
        <v>46084</v>
      </c>
      <c r="AF718" s="54"/>
      <c r="AG718" s="54"/>
      <c r="AH718" s="54">
        <v>46084.0</v>
      </c>
      <c r="AI718" s="55">
        <f t="shared" si="83"/>
        <v>0</v>
      </c>
      <c r="AW718" s="234"/>
      <c r="BP718" s="11"/>
      <c r="BQ718" s="11"/>
      <c r="BR718" s="235"/>
      <c r="BV718" s="158"/>
      <c r="BY718" s="158"/>
      <c r="CB718" s="158"/>
    </row>
    <row r="719" ht="18.0" hidden="1" customHeight="1">
      <c r="A719" s="222">
        <f>IFERROR(__xludf.DUMMYFUNCTION("""COMPUTED_VALUE"""),2026.0)</f>
        <v>2026</v>
      </c>
      <c r="B719" s="221">
        <f>IFERROR(__xludf.DUMMYFUNCTION("""COMPUTED_VALUE"""),1.132537E7)</f>
        <v>11325370</v>
      </c>
      <c r="C719" s="222" t="str">
        <f>IFERROR(__xludf.DUMMYFUNCTION("""COMPUTED_VALUE"""),"MDN PT3 SPM-FCJ JL.ANGGARAN RAYA")</f>
        <v>MDN PT3 SPM-FCJ JL.ANGGARAN RAYA</v>
      </c>
      <c r="D719" s="222" t="str">
        <f>IFERROR(__xludf.DUMMYFUNCTION("""COMPUTED_VALUE"""),"REGIONAL I")</f>
        <v>REGIONAL I</v>
      </c>
      <c r="E719" s="222" t="str">
        <f>IFERROR(__xludf.DUMMYFUNCTION("""COMPUTED_VALUE"""),"MEDAN")</f>
        <v>MEDAN</v>
      </c>
      <c r="F719" s="222" t="str">
        <f>IFERROR(__xludf.DUMMYFUNCTION("""COMPUTED_VALUE"""),"SPM")</f>
        <v>SPM</v>
      </c>
      <c r="G719" s="222" t="str">
        <f>IFERROR(__xludf.DUMMYFUNCTION("""COMPUTED_VALUE"""),"SUMBAGUT")</f>
        <v>SUMBAGUT</v>
      </c>
      <c r="H719" s="222" t="str">
        <f>IFERROR(__xludf.DUMMYFUNCTION("""COMPUTED_VALUE"""),"MEDAN")</f>
        <v>MEDAN</v>
      </c>
      <c r="I719" s="222" t="str">
        <f>IFERROR(__xludf.DUMMYFUNCTION("""COMPUTED_VALUE"""),"Batch 2")</f>
        <v>Batch 2</v>
      </c>
      <c r="J719" s="225">
        <f>IFERROR(__xludf.DUMMYFUNCTION("""COMPUTED_VALUE"""),9.0)</f>
        <v>9</v>
      </c>
      <c r="K719" s="224">
        <f>IFERROR(__xludf.DUMMYFUNCTION("""COMPUTED_VALUE"""),72.0)</f>
        <v>72</v>
      </c>
      <c r="L719" s="226">
        <f>IFERROR(__xludf.DUMMYFUNCTION("""COMPUTED_VALUE"""),815243.0)</f>
        <v>815243</v>
      </c>
      <c r="M719" s="227">
        <f>IFERROR(__xludf.DUMMYFUNCTION("""COMPUTED_VALUE"""),5.8697445E7)</f>
        <v>58697445</v>
      </c>
      <c r="N719" s="222" t="str">
        <f>IFERROR(__xludf.DUMMYFUNCTION("""COMPUTED_VALUE"""),"PT WALET SOLUSINDO")</f>
        <v>PT WALET SOLUSINDO</v>
      </c>
      <c r="O719" s="222" t="str">
        <f>IFERROR(__xludf.DUMMYFUNCTION("""COMPUTED_VALUE"""),"2. DONE AANWIJZING")</f>
        <v>2. DONE AANWIJZING</v>
      </c>
      <c r="P719" s="222" t="str">
        <f>IFERROR(__xludf.DUMMYFUNCTION("""COMPUTED_VALUE"""),"2.10 Kendala - Feeder Rusak")</f>
        <v>2.10 Kendala - Feeder Rusak</v>
      </c>
      <c r="Q719" s="222" t="str">
        <f>IFERROR(__xludf.DUMMYFUNCTION("""COMPUTED_VALUE"""),"14/11 Feeder redeti
20/09 Feeder Redaman Tinggi
19/09 Kades belum bisa dijumpai
18/09 Perizinan kades
15/09 proses aanwijzing")</f>
        <v>14/11 Feeder redeti
20/09 Feeder Redaman Tinggi
19/09 Kades belum bisa dijumpai
18/09 Perizinan kades
15/09 proses aanwijzing</v>
      </c>
      <c r="R719" s="228"/>
      <c r="S719" s="11"/>
      <c r="T719" s="11"/>
      <c r="U719" s="11"/>
      <c r="V719" s="229"/>
      <c r="W719" s="229"/>
      <c r="X719" s="229" t="str">
        <f>IFERROR(__xludf.DUMMYFUNCTION("""COMPUTED_VALUE"""),"BELUM GOLIVE")</f>
        <v>BELUM GOLIVE</v>
      </c>
      <c r="Y719" s="229"/>
      <c r="Z719" s="229" t="str">
        <f>IFERROR(__xludf.DUMMYFUNCTION("""COMPUTED_VALUE"""),"#N/A")</f>
        <v>#N/A</v>
      </c>
      <c r="AA719" s="229"/>
      <c r="AB719" s="229"/>
      <c r="AC719" s="229"/>
      <c r="AD719" s="232"/>
      <c r="AE719" s="233"/>
      <c r="AF719" s="54"/>
      <c r="AG719" s="54"/>
      <c r="AH719" s="54"/>
      <c r="AI719" s="55" t="str">
        <f t="shared" si="83"/>
        <v/>
      </c>
      <c r="AW719" s="234"/>
      <c r="BP719" s="11"/>
      <c r="BQ719" s="11"/>
      <c r="BR719" s="235"/>
      <c r="BV719" s="158"/>
      <c r="BY719" s="158"/>
      <c r="CB719" s="158"/>
    </row>
    <row r="720" ht="18.0" customHeight="1">
      <c r="A720" s="222">
        <f>IFERROR(__xludf.DUMMYFUNCTION("""COMPUTED_VALUE"""),2026.0)</f>
        <v>2026</v>
      </c>
      <c r="B720" s="221">
        <f>IFERROR(__xludf.DUMMYFUNCTION("""COMPUTED_VALUE"""),1.2077982E7)</f>
        <v>12077982</v>
      </c>
      <c r="C720" s="222" t="str">
        <f>IFERROR(__xludf.DUMMYFUNCTION("""COMPUTED_VALUE"""),"RKP TSEL PT3 BUM-FJ KOTA BATAM_8545")</f>
        <v>RKP TSEL PT3 BUM-FJ KOTA BATAM_8545</v>
      </c>
      <c r="D720" s="222" t="str">
        <f>IFERROR(__xludf.DUMMYFUNCTION("""COMPUTED_VALUE"""),"REGIONAL I")</f>
        <v>REGIONAL I</v>
      </c>
      <c r="E720" s="222" t="str">
        <f>IFERROR(__xludf.DUMMYFUNCTION("""COMPUTED_VALUE"""),"RIKEP")</f>
        <v>RIKEP</v>
      </c>
      <c r="F720" s="222" t="str">
        <f>IFERROR(__xludf.DUMMYFUNCTION("""COMPUTED_VALUE"""),"LBJ")</f>
        <v>LBJ</v>
      </c>
      <c r="G720" s="222" t="str">
        <f>IFERROR(__xludf.DUMMYFUNCTION("""COMPUTED_VALUE"""),"SUMBAGTENG")</f>
        <v>SUMBAGTENG</v>
      </c>
      <c r="H720" s="222" t="str">
        <f>IFERROR(__xludf.DUMMYFUNCTION("""COMPUTED_VALUE"""),"BATAM")</f>
        <v>BATAM</v>
      </c>
      <c r="I720" s="222" t="str">
        <f>IFERROR(__xludf.DUMMYFUNCTION("""COMPUTED_VALUE"""),"Batch 2")</f>
        <v>Batch 2</v>
      </c>
      <c r="J720" s="225">
        <f>IFERROR(__xludf.DUMMYFUNCTION("""COMPUTED_VALUE"""),3.0)</f>
        <v>3</v>
      </c>
      <c r="K720" s="224">
        <f>IFERROR(__xludf.DUMMYFUNCTION("""COMPUTED_VALUE"""),24.0)</f>
        <v>24</v>
      </c>
      <c r="L720" s="226">
        <f>IFERROR(__xludf.DUMMYFUNCTION("""COMPUTED_VALUE"""),1121149.0)</f>
        <v>1121149</v>
      </c>
      <c r="M720" s="227">
        <f>IFERROR(__xludf.DUMMYFUNCTION("""COMPUTED_VALUE"""),2.690756E7)</f>
        <v>26907560</v>
      </c>
      <c r="N720" s="222" t="str">
        <f>IFERROR(__xludf.DUMMYFUNCTION("""COMPUTED_VALUE"""),"PT KOPEGTEL BATAM CEMERLANG")</f>
        <v>PT KOPEGTEL BATAM CEMERLANG</v>
      </c>
      <c r="O720" s="222" t="str">
        <f>IFERROR(__xludf.DUMMYFUNCTION("""COMPUTED_VALUE"""),"0. DROP")</f>
        <v>0. DROP</v>
      </c>
      <c r="P720" s="222" t="str">
        <f>IFERROR(__xludf.DUMMYFUNCTION("""COMPUTED_VALUE"""),"0.2 Tidak Dapat Izin Warga/Kades/Lurah/Developer")</f>
        <v>0.2 Tidak Dapat Izin Warga/Kades/Lurah/Developer</v>
      </c>
      <c r="Q720" s="222" t="str">
        <f>IFERROR(__xludf.DUMMYFUNCTION("""COMPUTED_VALUE"""),"12/02 RW sudah di datangi 3x tapi tidak bisa di jumpai.09/02 sudah anwijzing, menunggu balasan izin dan pembuatan BOQ dan KML survey .23/01 Plan anwijzing 27 Jan, pic mitra ada pertanggal 25 jan. 21/01 proses penunjukan mitra ")</f>
        <v>12/02 RW sudah di datangi 3x tapi tidak bisa di jumpai.09/02 sudah anwijzing, menunggu balasan izin dan pembuatan BOQ dan KML survey .23/01 Plan anwijzing 27 Jan, pic mitra ada pertanggal 25 jan. 21/01 proses penunjukan mitra </v>
      </c>
      <c r="R720" s="228"/>
      <c r="S720" s="11"/>
      <c r="T720" s="11"/>
      <c r="U720" s="11"/>
      <c r="V720" s="229" t="str">
        <f>IFERROR(__xludf.DUMMYFUNCTION("""COMPUTED_VALUE"""),"RONALDO LEO INFANTRI")</f>
        <v>RONALDO LEO INFANTRI</v>
      </c>
      <c r="W720" s="229" t="str">
        <f>IFERROR(__xludf.DUMMYFUNCTION("""COMPUTED_VALUE"""),"LEVITA INDRIYANI")</f>
        <v>LEVITA INDRIYANI</v>
      </c>
      <c r="X720" s="229" t="str">
        <f>IFERROR(__xludf.DUMMYFUNCTION("""COMPUTED_VALUE"""),"BELUM GOLIVE")</f>
        <v>BELUM GOLIVE</v>
      </c>
      <c r="Y720" s="229"/>
      <c r="Z720" s="229" t="str">
        <f>IFERROR(__xludf.DUMMYFUNCTION("""COMPUTED_VALUE"""),"#N/A")</f>
        <v>#N/A</v>
      </c>
      <c r="AA720" s="229"/>
      <c r="AB720" s="229"/>
      <c r="AC720" s="229"/>
      <c r="AD720" s="232"/>
      <c r="AE720" s="233"/>
      <c r="AF720" s="54" t="str">
        <f>IFERROR(__xludf.DUMMYFUNCTION("""COMPUTED_VALUE"""),"Draft BA DROP")</f>
        <v>Draft BA DROP</v>
      </c>
      <c r="AG720" s="54"/>
      <c r="AH720" s="54"/>
      <c r="AI720" s="55" t="str">
        <f t="shared" si="83"/>
        <v/>
      </c>
      <c r="AW720" s="234"/>
      <c r="BP720" s="11"/>
      <c r="BQ720" s="11"/>
      <c r="BR720" s="235"/>
      <c r="BV720" s="158"/>
      <c r="BY720" s="158"/>
      <c r="CB720" s="158"/>
    </row>
    <row r="721" ht="18.0" hidden="1" customHeight="1">
      <c r="A721" s="222">
        <f>IFERROR(__xludf.DUMMYFUNCTION("""COMPUTED_VALUE"""),2026.0)</f>
        <v>2026</v>
      </c>
      <c r="B721" s="221">
        <f>IFERROR(__xludf.DUMMYFUNCTION("""COMPUTED_VALUE"""),1.1271876E7)</f>
        <v>11271876</v>
      </c>
      <c r="C721" s="222" t="str">
        <f>IFERROR(__xludf.DUMMYFUNCTION("""COMPUTED_VALUE"""),"MDN PT3 P1I1 CTD-FCG JL.BERSAMA")</f>
        <v>MDN PT3 P1I1 CTD-FCG JL.BERSAMA</v>
      </c>
      <c r="D721" s="222" t="str">
        <f>IFERROR(__xludf.DUMMYFUNCTION("""COMPUTED_VALUE"""),"REGIONAL I")</f>
        <v>REGIONAL I</v>
      </c>
      <c r="E721" s="222" t="str">
        <f>IFERROR(__xludf.DUMMYFUNCTION("""COMPUTED_VALUE"""),"MEDAN")</f>
        <v>MEDAN</v>
      </c>
      <c r="F721" s="222" t="str">
        <f>IFERROR(__xludf.DUMMYFUNCTION("""COMPUTED_VALUE"""),"CTD")</f>
        <v>CTD</v>
      </c>
      <c r="G721" s="222" t="str">
        <f>IFERROR(__xludf.DUMMYFUNCTION("""COMPUTED_VALUE"""),"SUMBAGUT")</f>
        <v>SUMBAGUT</v>
      </c>
      <c r="H721" s="222" t="str">
        <f>IFERROR(__xludf.DUMMYFUNCTION("""COMPUTED_VALUE"""),"MEDAN")</f>
        <v>MEDAN</v>
      </c>
      <c r="I721" s="222" t="str">
        <f>IFERROR(__xludf.DUMMYFUNCTION("""COMPUTED_VALUE"""),"Batch 2")</f>
        <v>Batch 2</v>
      </c>
      <c r="J721" s="225">
        <f>IFERROR(__xludf.DUMMYFUNCTION("""COMPUTED_VALUE"""),4.0)</f>
        <v>4</v>
      </c>
      <c r="K721" s="224">
        <f>IFERROR(__xludf.DUMMYFUNCTION("""COMPUTED_VALUE"""),32.0)</f>
        <v>32</v>
      </c>
      <c r="L721" s="226">
        <f>IFERROR(__xludf.DUMMYFUNCTION("""COMPUTED_VALUE"""),951903.0)</f>
        <v>951903</v>
      </c>
      <c r="M721" s="227">
        <f>IFERROR(__xludf.DUMMYFUNCTION("""COMPUTED_VALUE"""),3.0460896E7)</f>
        <v>30460896</v>
      </c>
      <c r="N721" s="222" t="str">
        <f>IFERROR(__xludf.DUMMYFUNCTION("""COMPUTED_VALUE"""),"PT MILFHA MUTIARA PRIMA")</f>
        <v>PT MILFHA MUTIARA PRIMA</v>
      </c>
      <c r="O721" s="222" t="str">
        <f>IFERROR(__xludf.DUMMYFUNCTION("""COMPUTED_VALUE"""),"7. GOLIVE")</f>
        <v>7. GOLIVE</v>
      </c>
      <c r="P721" s="222" t="str">
        <f>IFERROR(__xludf.DUMMYFUNCTION("""COMPUTED_VALUE"""),"7.2 Golive Full / OA / DONE OTB")</f>
        <v>7.2 Golive Full / OA / DONE OTB</v>
      </c>
      <c r="Q721" s="222" t="str">
        <f>IFERROR(__xludf.DUMMYFUNCTION("""COMPUTED_VALUE"""),"26/02 pemasangan ODP dan terminasi JC 17/02 Penarikan kabel dan tanam tiang 11/02 Prelim Approved TIF 10/02 Pengurusan izin ke lurah 28/01 Done Order, lnjut Aanwidzing")</f>
        <v>26/02 pemasangan ODP dan terminasi JC 17/02 Penarikan kabel dan tanam tiang 11/02 Prelim Approved TIF 10/02 Pengurusan izin ke lurah 28/01 Done Order, lnjut Aanwidzing</v>
      </c>
      <c r="R721" s="228"/>
      <c r="S721" s="11"/>
      <c r="T721" s="11"/>
      <c r="U721" s="11" t="str">
        <f>IFERROR(__xludf.DUMMYFUNCTION("""COMPUTED_VALUE"""),"W01-1950/2025")</f>
        <v>W01-1950/2025</v>
      </c>
      <c r="V721" s="229"/>
      <c r="W721" s="229"/>
      <c r="X721" s="229" t="str">
        <f>IFERROR(__xludf.DUMMYFUNCTION("""COMPUTED_VALUE"""),"GOLIVE")</f>
        <v>GOLIVE</v>
      </c>
      <c r="Y721" s="229" t="str">
        <f>IFERROR(__xludf.DUMMYFUNCTION("""COMPUTED_VALUE"""),"DONE")</f>
        <v>DONE</v>
      </c>
      <c r="Z721" s="229" t="str">
        <f>IFERROR(__xludf.DUMMYFUNCTION("""COMPUTED_VALUE"""),"#N/A")</f>
        <v>#N/A</v>
      </c>
      <c r="AA721" s="229">
        <f>IFERROR(__xludf.DUMMYFUNCTION("""COMPUTED_VALUE"""),4.0)</f>
        <v>4</v>
      </c>
      <c r="AB721" s="229">
        <f>IFERROR(__xludf.DUMMYFUNCTION("""COMPUTED_VALUE"""),0.0)</f>
        <v>0</v>
      </c>
      <c r="AC721" s="229" t="str">
        <f>IFERROR(__xludf.DUMMYFUNCTION("""COMPUTED_VALUE"""),"9162379#9162384")</f>
        <v>9162379#9162384</v>
      </c>
      <c r="AD721" s="232">
        <f>IFERROR(__xludf.DUMMYFUNCTION("""COMPUTED_VALUE"""),32.0)</f>
        <v>32</v>
      </c>
      <c r="AE721" s="233">
        <f>IFERROR(__xludf.DUMMYFUNCTION("""COMPUTED_VALUE"""),46081.0)</f>
        <v>46081</v>
      </c>
      <c r="AF721" s="54"/>
      <c r="AG721" s="54"/>
      <c r="AH721" s="54"/>
      <c r="AI721" s="55" t="str">
        <f t="shared" si="83"/>
        <v/>
      </c>
      <c r="AW721" s="234"/>
      <c r="BP721" s="11"/>
      <c r="BQ721" s="11"/>
      <c r="BR721" s="235"/>
      <c r="BV721" s="158"/>
      <c r="BY721" s="158"/>
      <c r="CB721" s="158"/>
    </row>
    <row r="722" ht="18.0" hidden="1" customHeight="1">
      <c r="A722" s="222">
        <f>IFERROR(__xludf.DUMMYFUNCTION("""COMPUTED_VALUE"""),2026.0)</f>
        <v>2026</v>
      </c>
      <c r="B722" s="221">
        <f>IFERROR(__xludf.DUMMYFUNCTION("""COMPUTED_VALUE"""),1.1414302E7)</f>
        <v>11414302</v>
      </c>
      <c r="C722" s="222" t="str">
        <f>IFERROR(__xludf.DUMMYFUNCTION("""COMPUTED_VALUE"""),"MDN PT3 P2I1 BJI-FGC JL.PAYAROBA")</f>
        <v>MDN PT3 P2I1 BJI-FGC JL.PAYAROBA</v>
      </c>
      <c r="D722" s="222" t="str">
        <f>IFERROR(__xludf.DUMMYFUNCTION("""COMPUTED_VALUE"""),"REGIONAL I")</f>
        <v>REGIONAL I</v>
      </c>
      <c r="E722" s="222" t="str">
        <f>IFERROR(__xludf.DUMMYFUNCTION("""COMPUTED_VALUE"""),"MEDAN")</f>
        <v>MEDAN</v>
      </c>
      <c r="F722" s="222" t="str">
        <f>IFERROR(__xludf.DUMMYFUNCTION("""COMPUTED_VALUE"""),"BJI")</f>
        <v>BJI</v>
      </c>
      <c r="G722" s="222" t="str">
        <f>IFERROR(__xludf.DUMMYFUNCTION("""COMPUTED_VALUE"""),"SUMBAGUT")</f>
        <v>SUMBAGUT</v>
      </c>
      <c r="H722" s="222" t="str">
        <f>IFERROR(__xludf.DUMMYFUNCTION("""COMPUTED_VALUE"""),"BINJAI")</f>
        <v>BINJAI</v>
      </c>
      <c r="I722" s="222" t="str">
        <f>IFERROR(__xludf.DUMMYFUNCTION("""COMPUTED_VALUE"""),"Batch 2")</f>
        <v>Batch 2</v>
      </c>
      <c r="J722" s="225">
        <f>IFERROR(__xludf.DUMMYFUNCTION("""COMPUTED_VALUE"""),4.0)</f>
        <v>4</v>
      </c>
      <c r="K722" s="224">
        <f>IFERROR(__xludf.DUMMYFUNCTION("""COMPUTED_VALUE"""),32.0)</f>
        <v>32</v>
      </c>
      <c r="L722" s="226">
        <f>IFERROR(__xludf.DUMMYFUNCTION("""COMPUTED_VALUE"""),978196.0)</f>
        <v>978196</v>
      </c>
      <c r="M722" s="227">
        <f>IFERROR(__xludf.DUMMYFUNCTION("""COMPUTED_VALUE"""),3.1302246E7)</f>
        <v>31302246</v>
      </c>
      <c r="N722" s="222" t="str">
        <f>IFERROR(__xludf.DUMMYFUNCTION("""COMPUTED_VALUE"""),"PT FIBERHOME TECHNOLOGIES INDONESIA")</f>
        <v>PT FIBERHOME TECHNOLOGIES INDONESIA</v>
      </c>
      <c r="O722" s="222" t="str">
        <f>IFERROR(__xludf.DUMMYFUNCTION("""COMPUTED_VALUE"""),"0. DROP")</f>
        <v>0. DROP</v>
      </c>
      <c r="P722" s="222" t="str">
        <f>IFERROR(__xludf.DUMMYFUNCTION("""COMPUTED_VALUE"""),"0.3 Feeder Full")</f>
        <v>0.3 Feeder Full</v>
      </c>
      <c r="Q722" s="222" t="str">
        <f>IFERROR(__xludf.DUMMYFUNCTION("""COMPUTED_VALUE"""),"09/04 feeder penuh
29/01 poses perhitungan boq untuk solusi QE (07/01) Persiapan")</f>
        <v>09/04 feeder penuh
29/01 poses perhitungan boq untuk solusi QE (07/01) Persiapan</v>
      </c>
      <c r="R722" s="228"/>
      <c r="S722" s="11"/>
      <c r="T722" s="11"/>
      <c r="U722" s="11"/>
      <c r="V722" s="229"/>
      <c r="W722" s="229"/>
      <c r="X722" s="229" t="str">
        <f>IFERROR(__xludf.DUMMYFUNCTION("""COMPUTED_VALUE"""),"BELUM GOLIVE")</f>
        <v>BELUM GOLIVE</v>
      </c>
      <c r="Y722" s="229"/>
      <c r="Z722" s="229" t="str">
        <f>IFERROR(__xludf.DUMMYFUNCTION("""COMPUTED_VALUE"""),"#N/A")</f>
        <v>#N/A</v>
      </c>
      <c r="AA722" s="229"/>
      <c r="AB722" s="229"/>
      <c r="AC722" s="229"/>
      <c r="AD722" s="232"/>
      <c r="AE722" s="233"/>
      <c r="AF722" s="54"/>
      <c r="AG722" s="54"/>
      <c r="AH722" s="54"/>
      <c r="AI722" s="55" t="str">
        <f t="shared" si="83"/>
        <v/>
      </c>
      <c r="AW722" s="234"/>
      <c r="BP722" s="11"/>
      <c r="BQ722" s="11"/>
      <c r="BR722" s="235"/>
      <c r="BV722" s="158"/>
      <c r="BY722" s="158"/>
      <c r="CB722" s="158"/>
    </row>
    <row r="723" ht="18.0" customHeight="1">
      <c r="A723" s="222">
        <f>IFERROR(__xludf.DUMMYFUNCTION("""COMPUTED_VALUE"""),2026.0)</f>
        <v>2026</v>
      </c>
      <c r="B723" s="221">
        <f>IFERROR(__xludf.DUMMYFUNCTION("""COMPUTED_VALUE"""),1.1201236E7)</f>
        <v>11201236</v>
      </c>
      <c r="C723" s="222" t="str">
        <f>IFERROR(__xludf.DUMMYFUNCTION("""COMPUTED_VALUE"""),"RKP PT3 TSEL LBJ-FBE BENGKONG SEI NAYON")</f>
        <v>RKP PT3 TSEL LBJ-FBE BENGKONG SEI NAYON</v>
      </c>
      <c r="D723" s="222" t="str">
        <f>IFERROR(__xludf.DUMMYFUNCTION("""COMPUTED_VALUE"""),"REGIONAL I")</f>
        <v>REGIONAL I</v>
      </c>
      <c r="E723" s="222" t="str">
        <f>IFERROR(__xludf.DUMMYFUNCTION("""COMPUTED_VALUE"""),"RIKEP")</f>
        <v>RIKEP</v>
      </c>
      <c r="F723" s="222" t="str">
        <f>IFERROR(__xludf.DUMMYFUNCTION("""COMPUTED_VALUE"""),"LBJ")</f>
        <v>LBJ</v>
      </c>
      <c r="G723" s="222" t="str">
        <f>IFERROR(__xludf.DUMMYFUNCTION("""COMPUTED_VALUE"""),"SUMBAGTENG")</f>
        <v>SUMBAGTENG</v>
      </c>
      <c r="H723" s="222" t="str">
        <f>IFERROR(__xludf.DUMMYFUNCTION("""COMPUTED_VALUE"""),"BATAM")</f>
        <v>BATAM</v>
      </c>
      <c r="I723" s="222" t="str">
        <f>IFERROR(__xludf.DUMMYFUNCTION("""COMPUTED_VALUE"""),"Batch 2")</f>
        <v>Batch 2</v>
      </c>
      <c r="J723" s="225">
        <f>IFERROR(__xludf.DUMMYFUNCTION("""COMPUTED_VALUE"""),4.0)</f>
        <v>4</v>
      </c>
      <c r="K723" s="224">
        <f>IFERROR(__xludf.DUMMYFUNCTION("""COMPUTED_VALUE"""),32.0)</f>
        <v>32</v>
      </c>
      <c r="L723" s="226">
        <f>IFERROR(__xludf.DUMMYFUNCTION("""COMPUTED_VALUE"""),1118532.0)</f>
        <v>1118532</v>
      </c>
      <c r="M723" s="227">
        <f>IFERROR(__xludf.DUMMYFUNCTION("""COMPUTED_VALUE"""),3.5793007E7)</f>
        <v>35793007</v>
      </c>
      <c r="N723" s="222" t="str">
        <f>IFERROR(__xludf.DUMMYFUNCTION("""COMPUTED_VALUE"""),"PT HDUA PUTRA PRAJODA")</f>
        <v>PT HDUA PUTRA PRAJODA</v>
      </c>
      <c r="O723" s="222" t="str">
        <f>IFERROR(__xludf.DUMMYFUNCTION("""COMPUTED_VALUE"""),"0. DROP")</f>
        <v>0. DROP</v>
      </c>
      <c r="P723" s="222" t="str">
        <f>IFERROR(__xludf.DUMMYFUNCTION("""COMPUTED_VALUE"""),"0.2 Tidak Dapat Izin Warga/Kades/Lurah/Developer")</f>
        <v>0.2 Tidak Dapat Izin Warga/Kades/Lurah/Developer</v>
      </c>
      <c r="Q723" s="222" t="str">
        <f>IFERROR(__xludf.DUMMYFUNCTION("""COMPUTED_VALUE"""),"04/03 RW sudah di datangi 3x namun beliau sering ada urusan keluar kota, RT tidak berani acc. 
 d16/02 RW masih belum bisa di jumpai. 11/02 Peralihan mitra. 28/01 Plan survey 29 Jan. 28/01 Mitra tripola belum ada PIC untuk anwijzing. 23/01 Plan anwijzing "&amp;"26 Jan, pic mitra ada pertanggal 25 jan. 21/01 proses penunjukan mitra ")</f>
        <v>04/03 RW sudah di datangi 3x namun beliau sering ada urusan keluar kota, RT tidak berani acc. 
 d16/02 RW masih belum bisa di jumpai. 11/02 Peralihan mitra. 28/01 Plan survey 29 Jan. 28/01 Mitra tripola belum ada PIC untuk anwijzing. 23/01 Plan anwijzing 26 Jan, pic mitra ada pertanggal 25 jan. 21/01 proses penunjukan mitra </v>
      </c>
      <c r="R723" s="228"/>
      <c r="S723" s="11"/>
      <c r="T723" s="11"/>
      <c r="U723" s="11"/>
      <c r="V723" s="229" t="str">
        <f>IFERROR(__xludf.DUMMYFUNCTION("""COMPUTED_VALUE"""),"RONALDO LEO INFANTRI")</f>
        <v>RONALDO LEO INFANTRI</v>
      </c>
      <c r="W723" s="229" t="str">
        <f>IFERROR(__xludf.DUMMYFUNCTION("""COMPUTED_VALUE"""),"LEVITA INDRIYANI")</f>
        <v>LEVITA INDRIYANI</v>
      </c>
      <c r="X723" s="229" t="str">
        <f>IFERROR(__xludf.DUMMYFUNCTION("""COMPUTED_VALUE"""),"BELUM GOLIVE")</f>
        <v>BELUM GOLIVE</v>
      </c>
      <c r="Y723" s="229"/>
      <c r="Z723" s="229" t="str">
        <f>IFERROR(__xludf.DUMMYFUNCTION("""COMPUTED_VALUE"""),"#N/A")</f>
        <v>#N/A</v>
      </c>
      <c r="AA723" s="229"/>
      <c r="AB723" s="229"/>
      <c r="AC723" s="229"/>
      <c r="AD723" s="232"/>
      <c r="AE723" s="233"/>
      <c r="AF723" s="54"/>
      <c r="AG723" s="54"/>
      <c r="AH723" s="54"/>
      <c r="AI723" s="55" t="str">
        <f t="shared" si="83"/>
        <v/>
      </c>
      <c r="AW723" s="234"/>
      <c r="BP723" s="11"/>
      <c r="BQ723" s="11"/>
      <c r="BR723" s="235"/>
      <c r="BV723" s="158"/>
      <c r="BY723" s="158"/>
      <c r="CB723" s="158"/>
    </row>
    <row r="724" ht="18.0" customHeight="1">
      <c r="A724" s="222">
        <f>IFERROR(__xludf.DUMMYFUNCTION("""COMPUTED_VALUE"""),2026.0)</f>
        <v>2026</v>
      </c>
      <c r="B724" s="221">
        <f>IFERROR(__xludf.DUMMYFUNCTION("""COMPUTED_VALUE"""),1.2429731E7)</f>
        <v>12429731</v>
      </c>
      <c r="C724" s="222" t="str">
        <f>IFERROR(__xludf.DUMMYFUNCTION("""COMPUTED_VALUE"""),"RDR JPP PT3 TELUK BINJAI")</f>
        <v>RDR JPP PT3 TELUK BINJAI</v>
      </c>
      <c r="D724" s="222" t="str">
        <f>IFERROR(__xludf.DUMMYFUNCTION("""COMPUTED_VALUE"""),"REGIONAL I")</f>
        <v>REGIONAL I</v>
      </c>
      <c r="E724" s="222" t="str">
        <f>IFERROR(__xludf.DUMMYFUNCTION("""COMPUTED_VALUE"""),"RIDAR")</f>
        <v>RIDAR</v>
      </c>
      <c r="F724" s="222" t="str">
        <f>IFERROR(__xludf.DUMMYFUNCTION("""COMPUTED_VALUE"""),"DUM")</f>
        <v>DUM</v>
      </c>
      <c r="G724" s="222" t="str">
        <f>IFERROR(__xludf.DUMMYFUNCTION("""COMPUTED_VALUE"""),"SUMBAGTENG")</f>
        <v>SUMBAGTENG</v>
      </c>
      <c r="H724" s="222" t="str">
        <f>IFERROR(__xludf.DUMMYFUNCTION("""COMPUTED_VALUE"""),"DUMAI")</f>
        <v>DUMAI</v>
      </c>
      <c r="I724" s="222" t="str">
        <f>IFERROR(__xludf.DUMMYFUNCTION("""COMPUTED_VALUE"""),"Batch 2")</f>
        <v>Batch 2</v>
      </c>
      <c r="J724" s="225">
        <f>IFERROR(__xludf.DUMMYFUNCTION("""COMPUTED_VALUE"""),27.0)</f>
        <v>27</v>
      </c>
      <c r="K724" s="224">
        <f>IFERROR(__xludf.DUMMYFUNCTION("""COMPUTED_VALUE"""),216.0)</f>
        <v>216</v>
      </c>
      <c r="L724" s="226">
        <f>IFERROR(__xludf.DUMMYFUNCTION("""COMPUTED_VALUE"""),1116897.0)</f>
        <v>1116897</v>
      </c>
      <c r="M724" s="227">
        <f>IFERROR(__xludf.DUMMYFUNCTION("""COMPUTED_VALUE"""),2.41249577E8)</f>
        <v>241249577</v>
      </c>
      <c r="N724" s="222" t="str">
        <f>IFERROR(__xludf.DUMMYFUNCTION("""COMPUTED_VALUE"""),"PT TIGA AKSES MANDIRI")</f>
        <v>PT TIGA AKSES MANDIRI</v>
      </c>
      <c r="O724" s="222" t="str">
        <f>IFERROR(__xludf.DUMMYFUNCTION("""COMPUTED_VALUE"""),"7. GOLIVE")</f>
        <v>7. GOLIVE</v>
      </c>
      <c r="P724" s="222" t="str">
        <f>IFERROR(__xludf.DUMMYFUNCTION("""COMPUTED_VALUE"""),"7.2 Golive Full / OA / DONE OTB")</f>
        <v>7.2 Golive Full / OA / DONE OTB</v>
      </c>
      <c r="Q724" s="222" t="str">
        <f>IFERROR(__xludf.DUMMYFUNCTION("""COMPUTED_VALUE"""),"20/02 Plan submit ABD 23 Feb 10/02 Penanaman tiang Penarikan kabel 29/01 Pengiriman material ke Lokasi(07/01) Persiapan")</f>
        <v>20/02 Plan submit ABD 23 Feb 10/02 Penanaman tiang Penarikan kabel 29/01 Pengiriman material ke Lokasi(07/01) Persiapan</v>
      </c>
      <c r="R724" s="228">
        <f>IFERROR(__xludf.DUMMYFUNCTION("""COMPUTED_VALUE"""),46070.0)</f>
        <v>46070</v>
      </c>
      <c r="S724" s="11"/>
      <c r="T724" s="11"/>
      <c r="U724" s="11" t="str">
        <f>IFERROR(__xludf.DUMMYFUNCTION("""COMPUTED_VALUE"""),"W08-2131/2025")</f>
        <v>W08-2131/2025</v>
      </c>
      <c r="V724" s="229" t="str">
        <f>IFERROR(__xludf.DUMMYFUNCTION("""COMPUTED_VALUE"""),"PIKI NOFRI SAPUTRA")</f>
        <v>PIKI NOFRI SAPUTRA</v>
      </c>
      <c r="W724" s="229" t="str">
        <f>IFERROR(__xludf.DUMMYFUNCTION("""COMPUTED_VALUE"""),"ANZALA SAKINAH")</f>
        <v>ANZALA SAKINAH</v>
      </c>
      <c r="X724" s="229" t="str">
        <f>IFERROR(__xludf.DUMMYFUNCTION("""COMPUTED_VALUE"""),"GOLIVE")</f>
        <v>GOLIVE</v>
      </c>
      <c r="Y724" s="229" t="str">
        <f>IFERROR(__xludf.DUMMYFUNCTION("""COMPUTED_VALUE"""),"DONE")</f>
        <v>DONE</v>
      </c>
      <c r="Z724" s="229" t="str">
        <f>IFERROR(__xludf.DUMMYFUNCTION("""COMPUTED_VALUE"""),"#N/A")</f>
        <v>#N/A</v>
      </c>
      <c r="AA724" s="229">
        <f>IFERROR(__xludf.DUMMYFUNCTION("""COMPUTED_VALUE"""),27.0)</f>
        <v>27</v>
      </c>
      <c r="AB724" s="229"/>
      <c r="AC724" s="229" t="str">
        <f>IFERROR(__xludf.DUMMYFUNCTION("""COMPUTED_VALUE"""),"8835479#8835484")</f>
        <v>8835479#8835484</v>
      </c>
      <c r="AD724" s="232">
        <f>IFERROR(__xludf.DUMMYFUNCTION("""COMPUTED_VALUE"""),216.0)</f>
        <v>216</v>
      </c>
      <c r="AE724" s="233">
        <f>IFERROR(__xludf.DUMMYFUNCTION("""COMPUTED_VALUE"""),46080.0)</f>
        <v>46080</v>
      </c>
      <c r="AF724" s="54"/>
      <c r="AG724" s="54"/>
      <c r="AH724" s="54">
        <v>46070.0</v>
      </c>
      <c r="AI724" s="55">
        <f>IF(OR(AH724="",AE724=""),"",AH724-AE724)</f>
        <v>-10</v>
      </c>
      <c r="AW724" s="234"/>
      <c r="BP724" s="11"/>
      <c r="BQ724" s="11"/>
      <c r="BR724" s="235"/>
      <c r="BV724" s="158"/>
      <c r="BY724" s="158"/>
      <c r="CB724" s="158"/>
    </row>
    <row r="725" ht="18.0" hidden="1" customHeight="1">
      <c r="A725" s="222">
        <f>IFERROR(__xludf.DUMMYFUNCTION("""COMPUTED_VALUE"""),2026.0)</f>
        <v>2026</v>
      </c>
      <c r="B725" s="221">
        <f>IFERROR(__xludf.DUMMYFUNCTION("""COMPUTED_VALUE"""),1.1271777E7)</f>
        <v>11271777</v>
      </c>
      <c r="C725" s="222" t="str">
        <f>IFERROR(__xludf.DUMMYFUNCTION("""COMPUTED_VALUE"""),"MDN PT3 P1I1 BJI-FAD JL.MEGAWATI")</f>
        <v>MDN PT3 P1I1 BJI-FAD JL.MEGAWATI</v>
      </c>
      <c r="D725" s="222" t="str">
        <f>IFERROR(__xludf.DUMMYFUNCTION("""COMPUTED_VALUE"""),"REGIONAL I")</f>
        <v>REGIONAL I</v>
      </c>
      <c r="E725" s="222" t="str">
        <f>IFERROR(__xludf.DUMMYFUNCTION("""COMPUTED_VALUE"""),"MEDAN")</f>
        <v>MEDAN</v>
      </c>
      <c r="F725" s="222" t="str">
        <f>IFERROR(__xludf.DUMMYFUNCTION("""COMPUTED_VALUE"""),"BJI")</f>
        <v>BJI</v>
      </c>
      <c r="G725" s="222" t="str">
        <f>IFERROR(__xludf.DUMMYFUNCTION("""COMPUTED_VALUE"""),"SUMBAGUT")</f>
        <v>SUMBAGUT</v>
      </c>
      <c r="H725" s="222" t="str">
        <f>IFERROR(__xludf.DUMMYFUNCTION("""COMPUTED_VALUE"""),"BINJAI")</f>
        <v>BINJAI</v>
      </c>
      <c r="I725" s="222" t="str">
        <f>IFERROR(__xludf.DUMMYFUNCTION("""COMPUTED_VALUE"""),"Batch 2")</f>
        <v>Batch 2</v>
      </c>
      <c r="J725" s="225">
        <f>IFERROR(__xludf.DUMMYFUNCTION("""COMPUTED_VALUE"""),2.0)</f>
        <v>2</v>
      </c>
      <c r="K725" s="224">
        <f>IFERROR(__xludf.DUMMYFUNCTION("""COMPUTED_VALUE"""),16.0)</f>
        <v>16</v>
      </c>
      <c r="L725" s="226">
        <f>IFERROR(__xludf.DUMMYFUNCTION("""COMPUTED_VALUE"""),1012188.0)</f>
        <v>1012188</v>
      </c>
      <c r="M725" s="227">
        <f>IFERROR(__xludf.DUMMYFUNCTION("""COMPUTED_VALUE"""),1.6195004E7)</f>
        <v>16195004</v>
      </c>
      <c r="N725" s="222" t="str">
        <f>IFERROR(__xludf.DUMMYFUNCTION("""COMPUTED_VALUE"""),"PT KENCANA RAYA INDONESIA")</f>
        <v>PT KENCANA RAYA INDONESIA</v>
      </c>
      <c r="O725" s="222" t="str">
        <f>IFERROR(__xludf.DUMMYFUNCTION("""COMPUTED_VALUE"""),"7. GOLIVE")</f>
        <v>7. GOLIVE</v>
      </c>
      <c r="P725" s="222" t="str">
        <f>IFERROR(__xludf.DUMMYFUNCTION("""COMPUTED_VALUE"""),"7.2 Golive Full / OA / DONE OTB")</f>
        <v>7.2 Golive Full / OA / DONE OTB</v>
      </c>
      <c r="Q725" s="222" t="str">
        <f>IFERROR(__xludf.DUMMYFUNCTION("""COMPUTED_VALUE"""),"20/04 perbaikan tanam tiang hilang dan tarik ulang KU
17/04 gali rojok 25m
08/04 on going req material
14/02 feeder distribusi ready (07/01) Persiapan")</f>
        <v>20/04 perbaikan tanam tiang hilang dan tarik ulang KU
17/04 gali rojok 25m
08/04 on going req material
14/02 feeder distribusi ready (07/01) Persiapan</v>
      </c>
      <c r="R725" s="228">
        <f>IFERROR(__xludf.DUMMYFUNCTION("""COMPUTED_VALUE"""),46134.0)</f>
        <v>46134</v>
      </c>
      <c r="S725" s="11" t="str">
        <f>IFERROR(__xludf.DUMMYFUNCTION("""COMPUTED_VALUE"""),"APR")</f>
        <v>APR</v>
      </c>
      <c r="T725" s="73"/>
      <c r="U725" s="11"/>
      <c r="V725" s="229" t="str">
        <f>IFERROR(__xludf.DUMMYFUNCTION("""COMPUTED_VALUE"""),"28/Apr/2026")</f>
        <v>28/Apr/2026</v>
      </c>
      <c r="W725" s="229"/>
      <c r="X725" s="229" t="str">
        <f>IFERROR(__xludf.DUMMYFUNCTION("""COMPUTED_VALUE"""),"GOLIVE")</f>
        <v>GOLIVE</v>
      </c>
      <c r="Y725" s="229" t="str">
        <f>IFERROR(__xludf.DUMMYFUNCTION("""COMPUTED_VALUE"""),"DONE")</f>
        <v>DONE</v>
      </c>
      <c r="Z725" s="229" t="str">
        <f>IFERROR(__xludf.DUMMYFUNCTION("""COMPUTED_VALUE"""),"#N/A")</f>
        <v>#N/A</v>
      </c>
      <c r="AA725" s="229">
        <f>IFERROR(__xludf.DUMMYFUNCTION("""COMPUTED_VALUE"""),2.0)</f>
        <v>2</v>
      </c>
      <c r="AB725" s="229"/>
      <c r="AC725" s="229" t="str">
        <f>IFERROR(__xludf.DUMMYFUNCTION("""COMPUTED_VALUE"""),"9298966#9298971")</f>
        <v>9298966#9298971</v>
      </c>
      <c r="AD725" s="232">
        <f>IFERROR(__xludf.DUMMYFUNCTION("""COMPUTED_VALUE"""),16.0)</f>
        <v>16</v>
      </c>
      <c r="AE725" s="233">
        <f>IFERROR(__xludf.DUMMYFUNCTION("""COMPUTED_VALUE"""),46134.0)</f>
        <v>46134</v>
      </c>
      <c r="AF725" s="54"/>
      <c r="AG725" s="54"/>
      <c r="AH725" s="54"/>
      <c r="AI725" s="55">
        <f t="shared" ref="AI725:AI742" si="84">IF(OR(R725="",AE725=""),"",R725-AE725)</f>
        <v>0</v>
      </c>
      <c r="AW725" s="234"/>
      <c r="BP725" s="11"/>
      <c r="BQ725" s="11"/>
      <c r="BR725" s="235"/>
      <c r="BV725" s="158"/>
      <c r="BY725" s="158"/>
      <c r="CB725" s="158"/>
    </row>
    <row r="726" ht="18.0" hidden="1" customHeight="1">
      <c r="A726" s="222">
        <f>IFERROR(__xludf.DUMMYFUNCTION("""COMPUTED_VALUE"""),2026.0)</f>
        <v>2026</v>
      </c>
      <c r="B726" s="221">
        <f>IFERROR(__xludf.DUMMYFUNCTION("""COMPUTED_VALUE"""),1.1219445E7)</f>
        <v>11219445</v>
      </c>
      <c r="C726" s="222" t="str">
        <f>IFERROR(__xludf.DUMMYFUNCTION("""COMPUTED_VALUE"""),"MDN PT3 P7I12 TJR-FAF JL.HARAPAN")</f>
        <v>MDN PT3 P7I12 TJR-FAF JL.HARAPAN</v>
      </c>
      <c r="D726" s="222" t="str">
        <f>IFERROR(__xludf.DUMMYFUNCTION("""COMPUTED_VALUE"""),"REGIONAL I")</f>
        <v>REGIONAL I</v>
      </c>
      <c r="E726" s="222" t="str">
        <f>IFERROR(__xludf.DUMMYFUNCTION("""COMPUTED_VALUE"""),"MEDAN")</f>
        <v>MEDAN</v>
      </c>
      <c r="F726" s="222" t="str">
        <f>IFERROR(__xludf.DUMMYFUNCTION("""COMPUTED_VALUE"""),"TJR")</f>
        <v>TJR</v>
      </c>
      <c r="G726" s="222" t="str">
        <f>IFERROR(__xludf.DUMMYFUNCTION("""COMPUTED_VALUE"""),"SUMBAGUT")</f>
        <v>SUMBAGUT</v>
      </c>
      <c r="H726" s="222" t="str">
        <f>IFERROR(__xludf.DUMMYFUNCTION("""COMPUTED_VALUE"""),"MEDAN")</f>
        <v>MEDAN</v>
      </c>
      <c r="I726" s="222" t="str">
        <f>IFERROR(__xludf.DUMMYFUNCTION("""COMPUTED_VALUE"""),"Batch 2")</f>
        <v>Batch 2</v>
      </c>
      <c r="J726" s="225">
        <f>IFERROR(__xludf.DUMMYFUNCTION("""COMPUTED_VALUE"""),8.0)</f>
        <v>8</v>
      </c>
      <c r="K726" s="224">
        <f>IFERROR(__xludf.DUMMYFUNCTION("""COMPUTED_VALUE"""),64.0)</f>
        <v>64</v>
      </c>
      <c r="L726" s="226">
        <f>IFERROR(__xludf.DUMMYFUNCTION("""COMPUTED_VALUE"""),1336697.0)</f>
        <v>1336697</v>
      </c>
      <c r="M726" s="227">
        <f>IFERROR(__xludf.DUMMYFUNCTION("""COMPUTED_VALUE"""),8.5548585E7)</f>
        <v>85548585</v>
      </c>
      <c r="N726" s="222" t="str">
        <f>IFERROR(__xludf.DUMMYFUNCTION("""COMPUTED_VALUE"""),"PT BONGKAR SEJATI ANDALAN")</f>
        <v>PT BONGKAR SEJATI ANDALAN</v>
      </c>
      <c r="O726" s="222" t="str">
        <f>IFERROR(__xludf.DUMMYFUNCTION("""COMPUTED_VALUE"""),"0. DROP")</f>
        <v>0. DROP</v>
      </c>
      <c r="P726" s="222" t="str">
        <f>IFERROR(__xludf.DUMMYFUNCTION("""COMPUTED_VALUE"""),"0.4 CPP Tinggi Acc ED TIF")</f>
        <v>0.4 CPP Tinggi Acc ED TIF</v>
      </c>
      <c r="Q726" s="222" t="str">
        <f>IFERROR(__xludf.DUMMYFUNCTION("""COMPUTED_VALUE"""),"12/02 feeder ok, dist ok
22/09 Pengukuran OTDR 2 sisi
19/09 feeder 2 port ok, distribusi eksis sisa 8 core, 1 core feeder putus di 334m
15/09 proses aanwijzing")</f>
        <v>12/02 feeder ok, dist ok
22/09 Pengukuran OTDR 2 sisi
19/09 feeder 2 port ok, distribusi eksis sisa 8 core, 1 core feeder putus di 334m
15/09 proses aanwijzing</v>
      </c>
      <c r="R726" s="228"/>
      <c r="S726" s="11"/>
      <c r="T726" s="11"/>
      <c r="U726" s="11"/>
      <c r="V726" s="229"/>
      <c r="W726" s="229"/>
      <c r="X726" s="229" t="str">
        <f>IFERROR(__xludf.DUMMYFUNCTION("""COMPUTED_VALUE"""),"BELUM GOLIVE")</f>
        <v>BELUM GOLIVE</v>
      </c>
      <c r="Y726" s="229"/>
      <c r="Z726" s="229" t="str">
        <f>IFERROR(__xludf.DUMMYFUNCTION("""COMPUTED_VALUE"""),"#N/A")</f>
        <v>#N/A</v>
      </c>
      <c r="AA726" s="229"/>
      <c r="AB726" s="229"/>
      <c r="AC726" s="229"/>
      <c r="AD726" s="232"/>
      <c r="AE726" s="233"/>
      <c r="AF726" s="54" t="str">
        <f>IFERROR(__xludf.DUMMYFUNCTION("""COMPUTED_VALUE"""),"Draft BA DROP")</f>
        <v>Draft BA DROP</v>
      </c>
      <c r="AG726" s="54"/>
      <c r="AH726" s="54"/>
      <c r="AI726" s="55" t="str">
        <f t="shared" si="84"/>
        <v/>
      </c>
      <c r="AW726" s="234"/>
      <c r="BP726" s="11"/>
      <c r="BQ726" s="11"/>
      <c r="BR726" s="235"/>
      <c r="BV726" s="158"/>
      <c r="BY726" s="158"/>
      <c r="CB726" s="158"/>
    </row>
    <row r="727" ht="18.0" hidden="1" customHeight="1">
      <c r="A727" s="222">
        <f>IFERROR(__xludf.DUMMYFUNCTION("""COMPUTED_VALUE"""),2026.0)</f>
        <v>2026</v>
      </c>
      <c r="B727" s="221">
        <f>IFERROR(__xludf.DUMMYFUNCTION("""COMPUTED_VALUE"""),1.2416433E7)</f>
        <v>12416433</v>
      </c>
      <c r="C727" s="222" t="str">
        <f>IFERROR(__xludf.DUMMYFUNCTION("""COMPUTED_VALUE"""),"MDN PT3 BJI-FFC 250_1593_1570")</f>
        <v>MDN PT3 BJI-FFC 250_1593_1570</v>
      </c>
      <c r="D727" s="222" t="str">
        <f>IFERROR(__xludf.DUMMYFUNCTION("""COMPUTED_VALUE"""),"REGIONAL I")</f>
        <v>REGIONAL I</v>
      </c>
      <c r="E727" s="222" t="str">
        <f>IFERROR(__xludf.DUMMYFUNCTION("""COMPUTED_VALUE"""),"MEDAN")</f>
        <v>MEDAN</v>
      </c>
      <c r="F727" s="222" t="str">
        <f>IFERROR(__xludf.DUMMYFUNCTION("""COMPUTED_VALUE"""),"BJI")</f>
        <v>BJI</v>
      </c>
      <c r="G727" s="222" t="str">
        <f>IFERROR(__xludf.DUMMYFUNCTION("""COMPUTED_VALUE"""),"SUMBAGUT")</f>
        <v>SUMBAGUT</v>
      </c>
      <c r="H727" s="222" t="str">
        <f>IFERROR(__xludf.DUMMYFUNCTION("""COMPUTED_VALUE"""),"BINJAI")</f>
        <v>BINJAI</v>
      </c>
      <c r="I727" s="222" t="str">
        <f>IFERROR(__xludf.DUMMYFUNCTION("""COMPUTED_VALUE"""),"Batch 2")</f>
        <v>Batch 2</v>
      </c>
      <c r="J727" s="225">
        <f>IFERROR(__xludf.DUMMYFUNCTION("""COMPUTED_VALUE"""),6.0)</f>
        <v>6</v>
      </c>
      <c r="K727" s="224">
        <f>IFERROR(__xludf.DUMMYFUNCTION("""COMPUTED_VALUE"""),48.0)</f>
        <v>48</v>
      </c>
      <c r="L727" s="226">
        <f>IFERROR(__xludf.DUMMYFUNCTION("""COMPUTED_VALUE"""),1114767.0)</f>
        <v>1114767</v>
      </c>
      <c r="M727" s="227">
        <f>IFERROR(__xludf.DUMMYFUNCTION("""COMPUTED_VALUE"""),5.350878E7)</f>
        <v>53508780</v>
      </c>
      <c r="N727" s="222" t="str">
        <f>IFERROR(__xludf.DUMMYFUNCTION("""COMPUTED_VALUE"""),"PT FIBERHOME TECHNOLOGIES INDONESIA")</f>
        <v>PT FIBERHOME TECHNOLOGIES INDONESIA</v>
      </c>
      <c r="O727" s="222" t="str">
        <f>IFERROR(__xludf.DUMMYFUNCTION("""COMPUTED_VALUE"""),"0. DROP")</f>
        <v>0. DROP</v>
      </c>
      <c r="P727" s="222" t="str">
        <f>IFERROR(__xludf.DUMMYFUNCTION("""COMPUTED_VALUE"""),"0.3 Feeder Full")</f>
        <v>0.3 Feeder Full</v>
      </c>
      <c r="Q727" s="222" t="str">
        <f>IFERROR(__xludf.DUMMYFUNCTION("""COMPUTED_VALUE"""),"09/04 feeder penuh
(07/01) Persiapan")</f>
        <v>09/04 feeder penuh
(07/01) Persiapan</v>
      </c>
      <c r="R727" s="228"/>
      <c r="S727" s="11"/>
      <c r="T727" s="11"/>
      <c r="U727" s="11"/>
      <c r="V727" s="229"/>
      <c r="W727" s="229"/>
      <c r="X727" s="229" t="str">
        <f>IFERROR(__xludf.DUMMYFUNCTION("""COMPUTED_VALUE"""),"BELUM GOLIVE")</f>
        <v>BELUM GOLIVE</v>
      </c>
      <c r="Y727" s="229"/>
      <c r="Z727" s="229" t="str">
        <f>IFERROR(__xludf.DUMMYFUNCTION("""COMPUTED_VALUE"""),"#N/A")</f>
        <v>#N/A</v>
      </c>
      <c r="AA727" s="229"/>
      <c r="AB727" s="229"/>
      <c r="AC727" s="229"/>
      <c r="AD727" s="232"/>
      <c r="AE727" s="233"/>
      <c r="AF727" s="54"/>
      <c r="AG727" s="54"/>
      <c r="AH727" s="54"/>
      <c r="AI727" s="55" t="str">
        <f t="shared" si="84"/>
        <v/>
      </c>
      <c r="AW727" s="234"/>
      <c r="BP727" s="11"/>
      <c r="BQ727" s="11"/>
      <c r="BR727" s="235"/>
      <c r="BV727" s="158"/>
      <c r="BY727" s="158"/>
      <c r="CB727" s="158"/>
    </row>
    <row r="728" ht="18.0" hidden="1" customHeight="1">
      <c r="A728" s="222">
        <f>IFERROR(__xludf.DUMMYFUNCTION("""COMPUTED_VALUE"""),2026.0)</f>
        <v>2026</v>
      </c>
      <c r="B728" s="221">
        <f>IFERROR(__xludf.DUMMYFUNCTION("""COMPUTED_VALUE"""),1.1271951E7)</f>
        <v>11271951</v>
      </c>
      <c r="C728" s="222" t="str">
        <f>IFERROR(__xludf.DUMMYFUNCTION("""COMPUTED_VALUE"""),"MDN PT3 P1I1 TTG-FBQ JL.LUKU2 GG.SEPADAN")</f>
        <v>MDN PT3 P1I1 TTG-FBQ JL.LUKU2 GG.SEPADAN</v>
      </c>
      <c r="D728" s="222" t="str">
        <f>IFERROR(__xludf.DUMMYFUNCTION("""COMPUTED_VALUE"""),"REGIONAL I")</f>
        <v>REGIONAL I</v>
      </c>
      <c r="E728" s="222" t="str">
        <f>IFERROR(__xludf.DUMMYFUNCTION("""COMPUTED_VALUE"""),"MEDAN")</f>
        <v>MEDAN</v>
      </c>
      <c r="F728" s="222" t="str">
        <f>IFERROR(__xludf.DUMMYFUNCTION("""COMPUTED_VALUE"""),"TTG")</f>
        <v>TTG</v>
      </c>
      <c r="G728" s="222" t="str">
        <f>IFERROR(__xludf.DUMMYFUNCTION("""COMPUTED_VALUE"""),"SUMBAGUT")</f>
        <v>SUMBAGUT</v>
      </c>
      <c r="H728" s="222" t="str">
        <f>IFERROR(__xludf.DUMMYFUNCTION("""COMPUTED_VALUE"""),"MEDAN")</f>
        <v>MEDAN</v>
      </c>
      <c r="I728" s="222" t="str">
        <f>IFERROR(__xludf.DUMMYFUNCTION("""COMPUTED_VALUE"""),"Batch 2")</f>
        <v>Batch 2</v>
      </c>
      <c r="J728" s="225">
        <f>IFERROR(__xludf.DUMMYFUNCTION("""COMPUTED_VALUE"""),8.0)</f>
        <v>8</v>
      </c>
      <c r="K728" s="224">
        <f>IFERROR(__xludf.DUMMYFUNCTION("""COMPUTED_VALUE"""),64.0)</f>
        <v>64</v>
      </c>
      <c r="L728" s="226">
        <f>IFERROR(__xludf.DUMMYFUNCTION("""COMPUTED_VALUE"""),557474.0)</f>
        <v>557474</v>
      </c>
      <c r="M728" s="227">
        <f>IFERROR(__xludf.DUMMYFUNCTION("""COMPUTED_VALUE"""),3.5678325E7)</f>
        <v>35678325</v>
      </c>
      <c r="N728" s="222" t="str">
        <f>IFERROR(__xludf.DUMMYFUNCTION("""COMPUTED_VALUE"""),"PT WALET SOLUSINDO")</f>
        <v>PT WALET SOLUSINDO</v>
      </c>
      <c r="O728" s="222" t="str">
        <f>IFERROR(__xludf.DUMMYFUNCTION("""COMPUTED_VALUE"""),"1. AANWIJZING")</f>
        <v>1. AANWIJZING</v>
      </c>
      <c r="P728" s="222" t="str">
        <f>IFERROR(__xludf.DUMMYFUNCTION("""COMPUTED_VALUE"""),"1.6 Ongoing Aanwidjzing")</f>
        <v>1.6 Ongoing Aanwidjzing</v>
      </c>
      <c r="Q728" s="222" t="str">
        <f>IFERROR(__xludf.DUMMYFUNCTION("""COMPUTED_VALUE"""),"20/04 pengukuran ulang ke lokasi 14/11 Feeder redeti
16/10 Feeder Redaman Tinggi
(24/09) Perizinan Warga dan Kades / Lurah
(23/09) Perizinan Warga dan Kades / Lurah
15/09 proses aanwijzing")</f>
        <v>20/04 pengukuran ulang ke lokasi 14/11 Feeder redeti
16/10 Feeder Redaman Tinggi
(24/09) Perizinan Warga dan Kades / Lurah
(23/09) Perizinan Warga dan Kades / Lurah
15/09 proses aanwijzing</v>
      </c>
      <c r="R728" s="228"/>
      <c r="S728" s="11"/>
      <c r="T728" s="11"/>
      <c r="U728" s="11"/>
      <c r="V728" s="229"/>
      <c r="W728" s="229"/>
      <c r="X728" s="229" t="str">
        <f>IFERROR(__xludf.DUMMYFUNCTION("""COMPUTED_VALUE"""),"BELUM GOLIVE")</f>
        <v>BELUM GOLIVE</v>
      </c>
      <c r="Y728" s="229"/>
      <c r="Z728" s="229" t="str">
        <f>IFERROR(__xludf.DUMMYFUNCTION("""COMPUTED_VALUE"""),"#N/A")</f>
        <v>#N/A</v>
      </c>
      <c r="AA728" s="229"/>
      <c r="AB728" s="229"/>
      <c r="AC728" s="229"/>
      <c r="AD728" s="232"/>
      <c r="AE728" s="233"/>
      <c r="AF728" s="54"/>
      <c r="AG728" s="54"/>
      <c r="AH728" s="54"/>
      <c r="AI728" s="55" t="str">
        <f t="shared" si="84"/>
        <v/>
      </c>
      <c r="AW728" s="234"/>
      <c r="BP728" s="11"/>
      <c r="BQ728" s="11"/>
      <c r="BR728" s="235"/>
      <c r="BV728" s="158"/>
      <c r="BY728" s="158"/>
      <c r="CB728" s="158"/>
    </row>
    <row r="729" ht="18.0" hidden="1" customHeight="1">
      <c r="A729" s="222">
        <f>IFERROR(__xludf.DUMMYFUNCTION("""COMPUTED_VALUE"""),2026.0)</f>
        <v>2026</v>
      </c>
      <c r="B729" s="221">
        <f>IFERROR(__xludf.DUMMYFUNCTION("""COMPUTED_VALUE"""),1.209854E7)</f>
        <v>12098540</v>
      </c>
      <c r="C729" s="222" t="str">
        <f>IFERROR(__xludf.DUMMYFUNCTION("""COMPUTED_VALUE"""),"SMS PT3 ODC SGB FCC D03 PALEMBANG 117667")</f>
        <v>SMS PT3 ODC SGB FCC D03 PALEMBANG 117667</v>
      </c>
      <c r="D729" s="222" t="str">
        <f>IFERROR(__xludf.DUMMYFUNCTION("""COMPUTED_VALUE"""),"REGIONAL I")</f>
        <v>REGIONAL I</v>
      </c>
      <c r="E729" s="222" t="str">
        <f>IFERROR(__xludf.DUMMYFUNCTION("""COMPUTED_VALUE"""),"SUMSEL")</f>
        <v>SUMSEL</v>
      </c>
      <c r="F729" s="222" t="str">
        <f>IFERROR(__xludf.DUMMYFUNCTION("""COMPUTED_VALUE"""),"SGB")</f>
        <v>SGB</v>
      </c>
      <c r="G729" s="222" t="str">
        <f>IFERROR(__xludf.DUMMYFUNCTION("""COMPUTED_VALUE"""),"SUMBAGSEL")</f>
        <v>SUMBAGSEL</v>
      </c>
      <c r="H729" s="222" t="str">
        <f>IFERROR(__xludf.DUMMYFUNCTION("""COMPUTED_VALUE"""),"PALEMBANG")</f>
        <v>PALEMBANG</v>
      </c>
      <c r="I729" s="222" t="str">
        <f>IFERROR(__xludf.DUMMYFUNCTION("""COMPUTED_VALUE"""),"Batch 2")</f>
        <v>Batch 2</v>
      </c>
      <c r="J729" s="225">
        <f>IFERROR(__xludf.DUMMYFUNCTION("""COMPUTED_VALUE"""),2.0)</f>
        <v>2</v>
      </c>
      <c r="K729" s="224">
        <f>IFERROR(__xludf.DUMMYFUNCTION("""COMPUTED_VALUE"""),16.0)</f>
        <v>16</v>
      </c>
      <c r="L729" s="226">
        <f>IFERROR(__xludf.DUMMYFUNCTION("""COMPUTED_VALUE"""),1114714.0)</f>
        <v>1114714</v>
      </c>
      <c r="M729" s="227">
        <f>IFERROR(__xludf.DUMMYFUNCTION("""COMPUTED_VALUE"""),1.7835422E7)</f>
        <v>17835422</v>
      </c>
      <c r="N729" s="222" t="str">
        <f>IFERROR(__xludf.DUMMYFUNCTION("""COMPUTED_VALUE"""),"PT ACERO CETHA METALINDO")</f>
        <v>PT ACERO CETHA METALINDO</v>
      </c>
      <c r="O729" s="222" t="str">
        <f>IFERROR(__xludf.DUMMYFUNCTION("""COMPUTED_VALUE"""),"0. DROP")</f>
        <v>0. DROP</v>
      </c>
      <c r="P729" s="222" t="str">
        <f>IFERROR(__xludf.DUMMYFUNCTION("""COMPUTED_VALUE"""),"0.2 Tidak Dapat Izin Warga/Kades/Lurah/Developer")</f>
        <v>0.2 Tidak Dapat Izin Warga/Kades/Lurah/Developer</v>
      </c>
      <c r="Q729" s="222" t="str">
        <f>IFERROR(__xludf.DUMMYFUNCTION("""COMPUTED_VALUE"""),"06/03 Drop permintaan sales, 24/02 Drop permintaan sales 07/01 Drop permintaan sales (15/1) drop Permintaan sales (06/01)order JPP batch-2 2026 (23/10 Proposes DROP karena permintaan sales
 15/10 proses perizinan dg pihak RT RW dan proses DRM dan PR PO mi"&amp;"tra 13/10 warga minta suport bahan banguan 1 jt (09/10) Tidak dapat izin karena sudah banyak provider lain, Konfirmasi ke TSEL maksimal 7HK 08/10 aanwizjing done, tetapi tidak dpt izin dari RW setempat, 
 (01/10) menunggu jadwal aanwizjing")</f>
        <v>06/03 Drop permintaan sales, 24/02 Drop permintaan sales 07/01 Drop permintaan sales (15/1) drop Permintaan sales (06/01)order JPP batch-2 2026 (23/10 Proposes DROP karena permintaan sales
 15/10 proses perizinan dg pihak RT RW dan proses DRM dan PR PO mitra 13/10 warga minta suport bahan banguan 1 jt (09/10) Tidak dapat izin karena sudah banyak provider lain, Konfirmasi ke TSEL maksimal 7HK 08/10 aanwizjing done, tetapi tidak dpt izin dari RW setempat, 
 (01/10) menunggu jadwal aanwizjing</v>
      </c>
      <c r="R729" s="228"/>
      <c r="S729" s="11"/>
      <c r="T729" s="11"/>
      <c r="U729" s="11"/>
      <c r="V729" s="229" t="str">
        <f>IFERROR(__xludf.DUMMYFUNCTION("""COMPUTED_VALUE"""),"TANTOWI")</f>
        <v>TANTOWI</v>
      </c>
      <c r="W729" s="229"/>
      <c r="X729" s="229" t="str">
        <f>IFERROR(__xludf.DUMMYFUNCTION("""COMPUTED_VALUE"""),"BELUM GOLIVE")</f>
        <v>BELUM GOLIVE</v>
      </c>
      <c r="Y729" s="229"/>
      <c r="Z729" s="229" t="str">
        <f>IFERROR(__xludf.DUMMYFUNCTION("""COMPUTED_VALUE"""),"#N/A")</f>
        <v>#N/A</v>
      </c>
      <c r="AA729" s="229"/>
      <c r="AB729" s="229"/>
      <c r="AC729" s="229"/>
      <c r="AD729" s="232"/>
      <c r="AE729" s="233"/>
      <c r="AF729" s="54" t="str">
        <f>IFERROR(__xludf.DUMMYFUNCTION("""COMPUTED_VALUE"""),"Draft BA DROP")</f>
        <v>Draft BA DROP</v>
      </c>
      <c r="AG729" s="54"/>
      <c r="AH729" s="54"/>
      <c r="AI729" s="55" t="str">
        <f t="shared" si="84"/>
        <v/>
      </c>
      <c r="AW729" s="234"/>
      <c r="BP729" s="11"/>
      <c r="BQ729" s="11"/>
      <c r="BR729" s="235"/>
      <c r="BV729" s="158"/>
      <c r="BY729" s="158"/>
      <c r="CB729" s="158"/>
    </row>
    <row r="730" ht="18.0" customHeight="1">
      <c r="A730" s="222">
        <f>IFERROR(__xludf.DUMMYFUNCTION("""COMPUTED_VALUE"""),2026.0)</f>
        <v>2026</v>
      </c>
      <c r="B730" s="221">
        <f>IFERROR(__xludf.DUMMYFUNCTION("""COMPUTED_VALUE"""),1.2139907E7)</f>
        <v>12139907</v>
      </c>
      <c r="C730" s="222" t="str">
        <f>IFERROR(__xludf.DUMMYFUNCTION("""COMPUTED_VALUE"""),"RDR JPP PT3 PELALAWAN_1711 TAMBAHAN")</f>
        <v>RDR JPP PT3 PELALAWAN_1711 TAMBAHAN</v>
      </c>
      <c r="D730" s="222" t="str">
        <f>IFERROR(__xludf.DUMMYFUNCTION("""COMPUTED_VALUE"""),"REGIONAL I")</f>
        <v>REGIONAL I</v>
      </c>
      <c r="E730" s="222" t="str">
        <f>IFERROR(__xludf.DUMMYFUNCTION("""COMPUTED_VALUE"""),"RIDAR")</f>
        <v>RIDAR</v>
      </c>
      <c r="F730" s="222" t="str">
        <f>IFERROR(__xludf.DUMMYFUNCTION("""COMPUTED_VALUE"""),"SOK")</f>
        <v>SOK</v>
      </c>
      <c r="G730" s="222" t="str">
        <f>IFERROR(__xludf.DUMMYFUNCTION("""COMPUTED_VALUE"""),"SUMBAGTENG")</f>
        <v>SUMBAGTENG</v>
      </c>
      <c r="H730" s="222" t="str">
        <f>IFERROR(__xludf.DUMMYFUNCTION("""COMPUTED_VALUE"""),"PEKANBARU")</f>
        <v>PEKANBARU</v>
      </c>
      <c r="I730" s="222" t="str">
        <f>IFERROR(__xludf.DUMMYFUNCTION("""COMPUTED_VALUE"""),"Batch 2")</f>
        <v>Batch 2</v>
      </c>
      <c r="J730" s="225">
        <f>IFERROR(__xludf.DUMMYFUNCTION("""COMPUTED_VALUE"""),8.0)</f>
        <v>8</v>
      </c>
      <c r="K730" s="224">
        <f>IFERROR(__xludf.DUMMYFUNCTION("""COMPUTED_VALUE"""),64.0)</f>
        <v>64</v>
      </c>
      <c r="L730" s="226">
        <f>IFERROR(__xludf.DUMMYFUNCTION("""COMPUTED_VALUE"""),1114413.0)</f>
        <v>1114413</v>
      </c>
      <c r="M730" s="227">
        <f>IFERROR(__xludf.DUMMYFUNCTION("""COMPUTED_VALUE"""),7.132242E7)</f>
        <v>71322420</v>
      </c>
      <c r="N730" s="222" t="str">
        <f>IFERROR(__xludf.DUMMYFUNCTION("""COMPUTED_VALUE"""),"PT TRIPOLA PANATA")</f>
        <v>PT TRIPOLA PANATA</v>
      </c>
      <c r="O730" s="222" t="str">
        <f>IFERROR(__xludf.DUMMYFUNCTION("""COMPUTED_VALUE"""),"2. DONE AANWIJZING")</f>
        <v>2. DONE AANWIJZING</v>
      </c>
      <c r="P730" s="222" t="str">
        <f>IFERROR(__xludf.DUMMYFUNCTION("""COMPUTED_VALUE"""),"2.6 Tunggu Hasil DRM - ada Kenaikan CPP")</f>
        <v>2.6 Tunggu Hasil DRM - ada Kenaikan CPP</v>
      </c>
      <c r="Q730" s="222" t="str">
        <f>IFERROR(__xludf.DUMMYFUNCTION("""COMPUTED_VALUE"""),"20/04 Masih menunggu hasil evaluasi 13/04 Menunggu hasil evaluasi, karena ada perubahan design 20/01 Drop menunggu lop top (07/01) Persiapan")</f>
        <v>20/04 Masih menunggu hasil evaluasi 13/04 Menunggu hasil evaluasi, karena ada perubahan design 20/01 Drop menunggu lop top (07/01) Persiapan</v>
      </c>
      <c r="R730" s="228"/>
      <c r="S730" s="11"/>
      <c r="T730" s="11"/>
      <c r="U730" s="11"/>
      <c r="V730" s="229" t="str">
        <f>IFERROR(__xludf.DUMMYFUNCTION("""COMPUTED_VALUE"""),"GUSKAR DIYONAL")</f>
        <v>GUSKAR DIYONAL</v>
      </c>
      <c r="W730" s="229" t="str">
        <f>IFERROR(__xludf.DUMMYFUNCTION("""COMPUTED_VALUE"""),"ANZALA SAKINAH")</f>
        <v>ANZALA SAKINAH</v>
      </c>
      <c r="X730" s="229" t="str">
        <f>IFERROR(__xludf.DUMMYFUNCTION("""COMPUTED_VALUE"""),"BELUM GOLIVE")</f>
        <v>BELUM GOLIVE</v>
      </c>
      <c r="Y730" s="229"/>
      <c r="Z730" s="229" t="str">
        <f>IFERROR(__xludf.DUMMYFUNCTION("""COMPUTED_VALUE"""),"#N/A")</f>
        <v>#N/A</v>
      </c>
      <c r="AA730" s="229"/>
      <c r="AB730" s="229"/>
      <c r="AC730" s="229"/>
      <c r="AD730" s="232"/>
      <c r="AE730" s="233"/>
      <c r="AF730" s="54"/>
      <c r="AG730" s="54"/>
      <c r="AH730" s="54"/>
      <c r="AI730" s="55" t="str">
        <f t="shared" si="84"/>
        <v/>
      </c>
      <c r="AW730" s="234"/>
      <c r="BP730" s="11"/>
      <c r="BQ730" s="11"/>
      <c r="BR730" s="235"/>
      <c r="BV730" s="158"/>
      <c r="BY730" s="158"/>
      <c r="CB730" s="158"/>
    </row>
    <row r="731" ht="18.0" hidden="1" customHeight="1">
      <c r="A731" s="222">
        <f>IFERROR(__xludf.DUMMYFUNCTION("""COMPUTED_VALUE"""),2026.0)</f>
        <v>2026</v>
      </c>
      <c r="B731" s="221">
        <f>IFERROR(__xludf.DUMMYFUNCTION("""COMPUTED_VALUE"""),1.2174811E7)</f>
        <v>12174811</v>
      </c>
      <c r="C731" s="222" t="str">
        <f>IFERROR(__xludf.DUMMYFUNCTION("""COMPUTED_VALUE"""),"ACH PT3 GEU-FH BR D05 GAMPONG PIE")</f>
        <v>ACH PT3 GEU-FH BR D05 GAMPONG PIE</v>
      </c>
      <c r="D731" s="222" t="str">
        <f>IFERROR(__xludf.DUMMYFUNCTION("""COMPUTED_VALUE"""),"REGIONAL I")</f>
        <v>REGIONAL I</v>
      </c>
      <c r="E731" s="222" t="str">
        <f>IFERROR(__xludf.DUMMYFUNCTION("""COMPUTED_VALUE"""),"ACEH")</f>
        <v>ACEH</v>
      </c>
      <c r="F731" s="222" t="str">
        <f>IFERROR(__xludf.DUMMYFUNCTION("""COMPUTED_VALUE"""),"GEU")</f>
        <v>GEU</v>
      </c>
      <c r="G731" s="222" t="str">
        <f>IFERROR(__xludf.DUMMYFUNCTION("""COMPUTED_VALUE"""),"SUMBAGUT")</f>
        <v>SUMBAGUT</v>
      </c>
      <c r="H731" s="222" t="str">
        <f>IFERROR(__xludf.DUMMYFUNCTION("""COMPUTED_VALUE"""),"BINJAI")</f>
        <v>BINJAI</v>
      </c>
      <c r="I731" s="222" t="str">
        <f>IFERROR(__xludf.DUMMYFUNCTION("""COMPUTED_VALUE"""),"Batch 2")</f>
        <v>Batch 2</v>
      </c>
      <c r="J731" s="225">
        <f>IFERROR(__xludf.DUMMYFUNCTION("""COMPUTED_VALUE"""),7.0)</f>
        <v>7</v>
      </c>
      <c r="K731" s="224">
        <f>IFERROR(__xludf.DUMMYFUNCTION("""COMPUTED_VALUE"""),56.0)</f>
        <v>56</v>
      </c>
      <c r="L731" s="226">
        <f>IFERROR(__xludf.DUMMYFUNCTION("""COMPUTED_VALUE"""),1114268.0)</f>
        <v>1114268</v>
      </c>
      <c r="M731" s="227">
        <f>IFERROR(__xludf.DUMMYFUNCTION("""COMPUTED_VALUE"""),6.239898E7)</f>
        <v>62398980</v>
      </c>
      <c r="N731" s="222" t="str">
        <f>IFERROR(__xludf.DUMMYFUNCTION("""COMPUTED_VALUE"""),"PT ARA PAYA INTAN")</f>
        <v>PT ARA PAYA INTAN</v>
      </c>
      <c r="O731" s="222" t="str">
        <f>IFERROR(__xludf.DUMMYFUNCTION("""COMPUTED_VALUE"""),"4. MATDEL")</f>
        <v>4. MATDEL</v>
      </c>
      <c r="P731" s="222" t="str">
        <f>IFERROR(__xludf.DUMMYFUNCTION("""COMPUTED_VALUE"""),"4.2 Sudah Request Material (Alista)")</f>
        <v>4.2 Sudah Request Material (Alista)</v>
      </c>
      <c r="Q731" s="222" t="str">
        <f>IFERROR(__xludf.DUMMYFUNCTION("""COMPUTED_VALUE"""),"(10/03) Menunggu Material Ready (05/02) PO Material  (12/01) penunjukkan mitra, (07/01) Persiapan")</f>
        <v>(10/03) Menunggu Material Ready (05/02) PO Material  (12/01) penunjukkan mitra, (07/01) Persiapan</v>
      </c>
      <c r="R731" s="228"/>
      <c r="S731" s="11"/>
      <c r="T731" s="73"/>
      <c r="U731" s="11"/>
      <c r="V731" s="229"/>
      <c r="W731" s="229" t="str">
        <f>IFERROR(__xludf.DUMMYFUNCTION("""COMPUTED_VALUE"""),"#N/A")</f>
        <v>#N/A</v>
      </c>
      <c r="X731" s="229" t="str">
        <f>IFERROR(__xludf.DUMMYFUNCTION("""COMPUTED_VALUE"""),"BELUM GOLIVE")</f>
        <v>BELUM GOLIVE</v>
      </c>
      <c r="Y731" s="229"/>
      <c r="Z731" s="229" t="str">
        <f>IFERROR(__xludf.DUMMYFUNCTION("""COMPUTED_VALUE"""),"#N/A")</f>
        <v>#N/A</v>
      </c>
      <c r="AA731" s="229"/>
      <c r="AB731" s="229"/>
      <c r="AC731" s="229"/>
      <c r="AD731" s="232"/>
      <c r="AE731" s="233"/>
      <c r="AF731" s="54"/>
      <c r="AG731" s="54"/>
      <c r="AH731" s="54">
        <v>46134.0</v>
      </c>
      <c r="AI731" s="55" t="str">
        <f t="shared" si="84"/>
        <v/>
      </c>
      <c r="AW731" s="234"/>
      <c r="BP731" s="11"/>
      <c r="BQ731" s="11"/>
      <c r="BR731" s="235"/>
      <c r="BV731" s="158"/>
      <c r="BY731" s="158"/>
      <c r="CB731" s="158"/>
    </row>
    <row r="732" ht="18.0" hidden="1" customHeight="1">
      <c r="A732" s="222">
        <f>IFERROR(__xludf.DUMMYFUNCTION("""COMPUTED_VALUE"""),2026.0)</f>
        <v>2026</v>
      </c>
      <c r="B732" s="221">
        <f>IFERROR(__xludf.DUMMYFUNCTION("""COMPUTED_VALUE"""),1.2430018E7)</f>
        <v>12430018</v>
      </c>
      <c r="C732" s="222" t="str">
        <f>IFERROR(__xludf.DUMMYFUNCTION("""COMPUTED_VALUE"""),"SMS P4I4 PT3 OKI FA D03 MASJID AL IKHLAS")</f>
        <v>SMS P4I4 PT3 OKI FA D03 MASJID AL IKHLAS</v>
      </c>
      <c r="D732" s="222" t="str">
        <f>IFERROR(__xludf.DUMMYFUNCTION("""COMPUTED_VALUE"""),"REGIONAL I")</f>
        <v>REGIONAL I</v>
      </c>
      <c r="E732" s="222" t="str">
        <f>IFERROR(__xludf.DUMMYFUNCTION("""COMPUTED_VALUE"""),"SUMSEL")</f>
        <v>SUMSEL</v>
      </c>
      <c r="F732" s="222" t="str">
        <f>IFERROR(__xludf.DUMMYFUNCTION("""COMPUTED_VALUE"""),"OKI")</f>
        <v>OKI</v>
      </c>
      <c r="G732" s="222" t="str">
        <f>IFERROR(__xludf.DUMMYFUNCTION("""COMPUTED_VALUE"""),"SUMBAGSEL")</f>
        <v>SUMBAGSEL</v>
      </c>
      <c r="H732" s="222" t="str">
        <f>IFERROR(__xludf.DUMMYFUNCTION("""COMPUTED_VALUE"""),"PALEMBANG")</f>
        <v>PALEMBANG</v>
      </c>
      <c r="I732" s="222" t="str">
        <f>IFERROR(__xludf.DUMMYFUNCTION("""COMPUTED_VALUE"""),"Batch 2")</f>
        <v>Batch 2</v>
      </c>
      <c r="J732" s="225">
        <f>IFERROR(__xludf.DUMMYFUNCTION("""COMPUTED_VALUE"""),4.0)</f>
        <v>4</v>
      </c>
      <c r="K732" s="224">
        <f>IFERROR(__xludf.DUMMYFUNCTION("""COMPUTED_VALUE"""),32.0)</f>
        <v>32</v>
      </c>
      <c r="L732" s="226">
        <f>IFERROR(__xludf.DUMMYFUNCTION("""COMPUTED_VALUE"""),1114140.0)</f>
        <v>1114140</v>
      </c>
      <c r="M732" s="227">
        <f>IFERROR(__xludf.DUMMYFUNCTION("""COMPUTED_VALUE"""),3.5652467E7)</f>
        <v>35652467</v>
      </c>
      <c r="N732" s="222" t="str">
        <f>IFERROR(__xludf.DUMMYFUNCTION("""COMPUTED_VALUE"""),"PT SARANA MITRA PERSADA")</f>
        <v>PT SARANA MITRA PERSADA</v>
      </c>
      <c r="O732" s="222" t="str">
        <f>IFERROR(__xludf.DUMMYFUNCTION("""COMPUTED_VALUE"""),"4. MATDEL")</f>
        <v>4. MATDEL</v>
      </c>
      <c r="P732" s="222" t="str">
        <f>IFERROR(__xludf.DUMMYFUNCTION("""COMPUTED_VALUE"""),"4.1 Belum Request Material (Alista)")</f>
        <v>4.1 Belum Request Material (Alista)</v>
      </c>
      <c r="Q732" s="222" t="str">
        <f>IFERROR(__xludf.DUMMYFUNCTION("""COMPUTED_VALUE"""),"27/04 MASIH MENUNGGU PO KABEL KRNA MATERIAL KABEL ADSS-12 MASIH KOSONG DI GUDANG, 24/04 MENUNGGU PO KABEL KRNA MATERIAL KABEL ADSS-12 MASIH KOSONG DI GUDANG, 22/04 menunggu material kabel adsss-12 , stok gudang habis,  17/04 EST TGL 20 APRIL AMBIL MATERIA"&amp;"L, 13/04 Plan Kirim Material 14 Apr 09/04 proses input material plan matdel  10 APR 07/04 DONE INPUT MATERIAL 06/04 PLAN TGL 6 INPUT MATERIAL, 02/04 OGP INPUT MATERIAL, 31/03 EST KIRIM MATERIAL TGL 6 APRIL, 30/03 MASIH KOORDINASI DG MITRA TERKAIT PENGINPU"&amp;"TAN ULANG MATERIAL, 27/03 INPUT ULANG MATERIAL - MSIH KOORDINASI DG MITRA, 26/03 INPUT ULANG MATERIAL - MSIH KOORDINASI DG MITRA, 21/03 DONE PR PO - EST TGL 30 MAR AMBIL MATERIAL, 13/03 MITRA MENGAMBIL MATERIAL EST 30 MAR, 03/03 MITRA MENGAMBIL MATERIAL S"&amp;"ETELAH LEBARAN, 27/02 MITRA MENGAMBIL MATERIAL SETELAH LEBARAN, 26/02 MENUNGGU APPROVE RFC, 25/02 MSH MENUNGGU APPROVE, 24/02 MENUNGGU APPROVE MATERIAL, 22/2 menunggu material TIANG  20/02 DONE AMD TP BLM DI APPROVE KRNA MASIH MENUNGGU TIANG DIGUDANG YG K"&amp;"OSONG, 17/02 PROSES INPUT MATERIAL - KENDALA OVER BUDGET, 10/2 perubahan design menunggu confirm dari sales TSEL. , plan Matdel 13 FEB  09/02 DONE DRM, 6/2 proses create PID  31/01 menunggu DRM 30/01 DONE EVAL, LANJUT PROGRES, 23/01 DONE AANWIDJZING - PER"&amp;"IZINAN, (21/01) HI aanwjizng ke lokasi,  (15/1) ORDER DITERIMA 14/1, PLAN AANWIJDZING 23 JAN 26 (06/01)order JPP batch-2 2026 ((14/11)HOLD-  tidak masuk target Optimis 2025 (
14/01 penunjukan mitra oleh procurement")</f>
        <v>27/04 MASIH MENUNGGU PO KABEL KRNA MATERIAL KABEL ADSS-12 MASIH KOSONG DI GUDANG, 24/04 MENUNGGU PO KABEL KRNA MATERIAL KABEL ADSS-12 MASIH KOSONG DI GUDANG, 22/04 menunggu material kabel adsss-12 , stok gudang habis,  17/04 EST TGL 20 APRIL AMBIL MATERIAL, 13/04 Plan Kirim Material 14 Apr 09/04 proses input material plan matdel  10 APR 07/04 DONE INPUT MATERIAL 06/04 PLAN TGL 6 INPUT MATERIAL, 02/04 OGP INPUT MATERIAL, 31/03 EST KIRIM MATERIAL TGL 6 APRIL, 30/03 MASIH KOORDINASI DG MITRA TERKAIT PENGINPUTAN ULANG MATERIAL, 27/03 INPUT ULANG MATERIAL - MSIH KOORDINASI DG MITRA, 26/03 INPUT ULANG MATERIAL - MSIH KOORDINASI DG MITRA, 21/03 DONE PR PO - EST TGL 30 MAR AMBIL MATERIAL, 13/03 MITRA MENGAMBIL MATERIAL EST 30 MAR, 03/03 MITRA MENGAMBIL MATERIAL SETELAH LEBARAN, 27/02 MITRA MENGAMBIL MATERIAL SETELAH LEBARAN, 26/02 MENUNGGU APPROVE RFC, 25/02 MSH MENUNGGU APPROVE, 24/02 MENUNGGU APPROVE MATERIAL, 22/2 menunggu material TIANG  20/02 DONE AMD TP BLM DI APPROVE KRNA MASIH MENUNGGU TIANG DIGUDANG YG KOSONG, 17/02 PROSES INPUT MATERIAL - KENDALA OVER BUDGET, 10/2 perubahan design menunggu confirm dari sales TSEL. , plan Matdel 13 FEB  09/02 DONE DRM, 6/2 proses create PID  31/01 menunggu DRM 30/01 DONE EVAL, LANJUT PROGRES, 23/01 DONE AANWIDJZING - PERIZINAN, (21/01) HI aanwjizng ke lokasi,  (15/1) ORDER DITERIMA 14/1, PLAN AANWIJDZING 23 JAN 26 (06/01)order JPP batch-2 2026 ((14/11)HOLD-  tidak masuk target Optimis 2025 (
14/01 penunjukan mitra oleh procurement</v>
      </c>
      <c r="R732" s="228">
        <f>IFERROR(__xludf.DUMMYFUNCTION("""COMPUTED_VALUE"""),46170.0)</f>
        <v>46170</v>
      </c>
      <c r="S732" s="11"/>
      <c r="T732" s="73" t="str">
        <f>IFERROR(__xludf.DUMMYFUNCTION("""COMPUTED_VALUE"""),"P1")</f>
        <v>P1</v>
      </c>
      <c r="U732" s="11"/>
      <c r="V732" s="229" t="str">
        <f>IFERROR(__xludf.DUMMYFUNCTION("""COMPUTED_VALUE"""),"RENALDO")</f>
        <v>RENALDO</v>
      </c>
      <c r="W732" s="229"/>
      <c r="X732" s="229" t="str">
        <f>IFERROR(__xludf.DUMMYFUNCTION("""COMPUTED_VALUE"""),"BELUM GOLIVE")</f>
        <v>BELUM GOLIVE</v>
      </c>
      <c r="Y732" s="229"/>
      <c r="Z732" s="229" t="str">
        <f>IFERROR(__xludf.DUMMYFUNCTION("""COMPUTED_VALUE"""),"#N/A")</f>
        <v>#N/A</v>
      </c>
      <c r="AA732" s="229"/>
      <c r="AB732" s="229"/>
      <c r="AC732" s="229"/>
      <c r="AD732" s="232"/>
      <c r="AE732" s="233"/>
      <c r="AF732" s="54"/>
      <c r="AG732" s="54"/>
      <c r="AH732" s="54">
        <v>46140.0</v>
      </c>
      <c r="AI732" s="55" t="str">
        <f t="shared" si="84"/>
        <v/>
      </c>
      <c r="AW732" s="234"/>
      <c r="BP732" s="11"/>
      <c r="BQ732" s="11"/>
      <c r="BR732" s="235"/>
      <c r="BV732" s="158"/>
      <c r="BY732" s="158"/>
      <c r="CB732" s="158"/>
    </row>
    <row r="733" ht="18.0" hidden="1" customHeight="1">
      <c r="A733" s="222">
        <f>IFERROR(__xludf.DUMMYFUNCTION("""COMPUTED_VALUE"""),2026.0)</f>
        <v>2026</v>
      </c>
      <c r="B733" s="221">
        <f>IFERROR(__xludf.DUMMYFUNCTION("""COMPUTED_VALUE"""),1.2084863E7)</f>
        <v>12084863</v>
      </c>
      <c r="C733" s="222" t="str">
        <f>IFERROR(__xludf.DUMMYFUNCTION("""COMPUTED_VALUE"""),"MDN PT3 CTD-FU DELI SERDANG_142365_MD25")</f>
        <v>MDN PT3 CTD-FU DELI SERDANG_142365_MD25</v>
      </c>
      <c r="D733" s="222" t="str">
        <f>IFERROR(__xludf.DUMMYFUNCTION("""COMPUTED_VALUE"""),"REGIONAL I")</f>
        <v>REGIONAL I</v>
      </c>
      <c r="E733" s="222" t="str">
        <f>IFERROR(__xludf.DUMMYFUNCTION("""COMPUTED_VALUE"""),"MEDAN")</f>
        <v>MEDAN</v>
      </c>
      <c r="F733" s="222" t="str">
        <f>IFERROR(__xludf.DUMMYFUNCTION("""COMPUTED_VALUE"""),"CTD")</f>
        <v>CTD</v>
      </c>
      <c r="G733" s="222" t="str">
        <f>IFERROR(__xludf.DUMMYFUNCTION("""COMPUTED_VALUE"""),"SUMBAGUT")</f>
        <v>SUMBAGUT</v>
      </c>
      <c r="H733" s="222" t="str">
        <f>IFERROR(__xludf.DUMMYFUNCTION("""COMPUTED_VALUE"""),"MEDAN")</f>
        <v>MEDAN</v>
      </c>
      <c r="I733" s="222" t="str">
        <f>IFERROR(__xludf.DUMMYFUNCTION("""COMPUTED_VALUE"""),"Batch 2")</f>
        <v>Batch 2</v>
      </c>
      <c r="J733" s="225">
        <f>IFERROR(__xludf.DUMMYFUNCTION("""COMPUTED_VALUE"""),3.0)</f>
        <v>3</v>
      </c>
      <c r="K733" s="224">
        <f>IFERROR(__xludf.DUMMYFUNCTION("""COMPUTED_VALUE"""),24.0)</f>
        <v>24</v>
      </c>
      <c r="L733" s="226">
        <f>IFERROR(__xludf.DUMMYFUNCTION("""COMPUTED_VALUE"""),1113542.0)</f>
        <v>1113542</v>
      </c>
      <c r="M733" s="227">
        <f>IFERROR(__xludf.DUMMYFUNCTION("""COMPUTED_VALUE"""),2.6724993E7)</f>
        <v>26724993</v>
      </c>
      <c r="N733" s="222" t="str">
        <f>IFERROR(__xludf.DUMMYFUNCTION("""COMPUTED_VALUE"""),"PT GLOBAL KARYA WANDA")</f>
        <v>PT GLOBAL KARYA WANDA</v>
      </c>
      <c r="O733" s="222" t="str">
        <f>IFERROR(__xludf.DUMMYFUNCTION("""COMPUTED_VALUE"""),"0. DROP")</f>
        <v>0. DROP</v>
      </c>
      <c r="P733" s="222" t="str">
        <f>IFERROR(__xludf.DUMMYFUNCTION("""COMPUTED_VALUE"""),"0.3 Feeder Full")</f>
        <v>0.3 Feeder Full</v>
      </c>
      <c r="Q733" s="222" t="str">
        <f>IFERROR(__xludf.DUMMYFUNCTION("""COMPUTED_VALUE"""),"08/03 Feeder Penuh 02/02 Feeder Tidak Tembus")</f>
        <v>08/03 Feeder Penuh 02/02 Feeder Tidak Tembus</v>
      </c>
      <c r="R733" s="228"/>
      <c r="S733" s="11"/>
      <c r="T733" s="11"/>
      <c r="U733" s="11"/>
      <c r="V733" s="229"/>
      <c r="W733" s="229"/>
      <c r="X733" s="229" t="str">
        <f>IFERROR(__xludf.DUMMYFUNCTION("""COMPUTED_VALUE"""),"BELUM GOLIVE")</f>
        <v>BELUM GOLIVE</v>
      </c>
      <c r="Y733" s="229"/>
      <c r="Z733" s="229" t="str">
        <f>IFERROR(__xludf.DUMMYFUNCTION("""COMPUTED_VALUE"""),"#N/A")</f>
        <v>#N/A</v>
      </c>
      <c r="AA733" s="229"/>
      <c r="AB733" s="229"/>
      <c r="AC733" s="229"/>
      <c r="AD733" s="232"/>
      <c r="AE733" s="233"/>
      <c r="AF733" s="54"/>
      <c r="AG733" s="54"/>
      <c r="AH733" s="54"/>
      <c r="AI733" s="55" t="str">
        <f t="shared" si="84"/>
        <v/>
      </c>
      <c r="AW733" s="234"/>
      <c r="BP733" s="11"/>
      <c r="BQ733" s="11"/>
      <c r="BR733" s="235"/>
      <c r="BV733" s="158"/>
      <c r="BY733" s="158"/>
      <c r="CB733" s="158"/>
    </row>
    <row r="734" ht="18.0" hidden="1" customHeight="1">
      <c r="A734" s="222">
        <f>IFERROR(__xludf.DUMMYFUNCTION("""COMPUTED_VALUE"""),2026.0)</f>
        <v>2026</v>
      </c>
      <c r="B734" s="221">
        <f>IFERROR(__xludf.DUMMYFUNCTION("""COMPUTED_VALUE"""),1.189385E7)</f>
        <v>11893850</v>
      </c>
      <c r="C734" s="222" t="str">
        <f>IFERROR(__xludf.DUMMYFUNCTION("""COMPUTED_VALUE"""),"SMS P4I1 PT4 PDT FXX DESA BETUNG")</f>
        <v>SMS P4I1 PT4 PDT FXX DESA BETUNG</v>
      </c>
      <c r="D734" s="222" t="str">
        <f>IFERROR(__xludf.DUMMYFUNCTION("""COMPUTED_VALUE"""),"REGIONAL I")</f>
        <v>REGIONAL I</v>
      </c>
      <c r="E734" s="222" t="str">
        <f>IFERROR(__xludf.DUMMYFUNCTION("""COMPUTED_VALUE"""),"SUMSEL")</f>
        <v>SUMSEL</v>
      </c>
      <c r="F734" s="222" t="str">
        <f>IFERROR(__xludf.DUMMYFUNCTION("""COMPUTED_VALUE"""),"PDT")</f>
        <v>PDT</v>
      </c>
      <c r="G734" s="222" t="str">
        <f>IFERROR(__xludf.DUMMYFUNCTION("""COMPUTED_VALUE"""),"SUMBAGSEL")</f>
        <v>SUMBAGSEL</v>
      </c>
      <c r="H734" s="222" t="str">
        <f>IFERROR(__xludf.DUMMYFUNCTION("""COMPUTED_VALUE"""),"PALEMBANG")</f>
        <v>PALEMBANG</v>
      </c>
      <c r="I734" s="222" t="str">
        <f>IFERROR(__xludf.DUMMYFUNCTION("""COMPUTED_VALUE"""),"Batch 2")</f>
        <v>Batch 2</v>
      </c>
      <c r="J734" s="225">
        <f>IFERROR(__xludf.DUMMYFUNCTION("""COMPUTED_VALUE"""),36.0)</f>
        <v>36</v>
      </c>
      <c r="K734" s="224">
        <f>IFERROR(__xludf.DUMMYFUNCTION("""COMPUTED_VALUE"""),280.0)</f>
        <v>280</v>
      </c>
      <c r="L734" s="226">
        <f>IFERROR(__xludf.DUMMYFUNCTION("""COMPUTED_VALUE"""),1113298.0)</f>
        <v>1113298</v>
      </c>
      <c r="M734" s="227">
        <f>IFERROR(__xludf.DUMMYFUNCTION("""COMPUTED_VALUE"""),3.11723227E8)</f>
        <v>311723227</v>
      </c>
      <c r="N734" s="222" t="str">
        <f>IFERROR(__xludf.DUMMYFUNCTION("""COMPUTED_VALUE"""),"PT ACERO CETHA METALINDO")</f>
        <v>PT ACERO CETHA METALINDO</v>
      </c>
      <c r="O734" s="222" t="str">
        <f>IFERROR(__xludf.DUMMYFUNCTION("""COMPUTED_VALUE"""),"1. AANWIJZING")</f>
        <v>1. AANWIJZING</v>
      </c>
      <c r="P734" s="222" t="str">
        <f>IFERROR(__xludf.DUMMYFUNCTION("""COMPUTED_VALUE"""),"1.4 Change Mitra")</f>
        <v>1.4 Change Mitra</v>
      </c>
      <c r="Q734" s="222" t="str">
        <f>IFERROR(__xludf.DUMMYFUNCTION("""COMPUTED_VALUE"""),"27/04 PENUNJUKKAN MITRA ULANG, 23/04 HASIL KOORDINASI TIF, TA DAN MTEL SDH DI APPROVE TERKAIT TIANG MTEL, 22/04 menunggu koordinasi antara tif, ta dan mtel terkait penggunaan tiang mterl secara bersama-sama, 13/04 Perizinan Kepala desa, sdh di approve ter"&amp;"kait tiang mtel  09/04MASIH BLM ADA INFO LANJUT TERKAIT TIANG MTEL, 08/04 HOLD MASIH KOORDINASI TERKAIT PELURUSAN CORE DAN TIANG MTEL, 26/03 KOORDINASI DG TIM SQUAD TERKAIT PENGECEKAN DAN PELURUSAN CORE, 24/03 PELURUSAN CORE, 21/03 MASIH PELURUSAN MANCORE"&amp;", 13/03 PELURUSAN MANCORE, 12/03 MASIH MENUNGGU INFO MENGENAI TIANG MTEL, 10/03 BLM ADA INFO TERKAIT TIANG MTEL, 02/03 OGP REVIEW TIF, 28/2 Review Bersama ED 2 Mar 27/02 MSH BLM ADA INFO TERKAIT TIANG MTEL, 24/02 BLM ADA INFO TERKAIT TIANG MTEL, 10/02 BLM"&amp;" ADA INFO TERKAIT KENDALA DI LOKASI BYK TIANG MTEL, 06/02 HASIL REVIEW TSEL - NEED FU TIF PENGGUNAAN TIANG MTEL, 04/02 DONE EVAL, DI LOKASI BANYAK TIANG MTEL, SECARA AANWJIZNIG ADA PENURUNAN BOQ, DAN CPP 1,033 JT, MENUNGGU KONFIRM IZIN DAN PENCARIAN STUB "&amp;"CORE UNTUK UPLINK DAN IZIN KADES 04/02 DONE EVAL, DI LOKASI BANYAK TIANG MTEL, SECARA AANWJIZNIG ADA PENURUNAN BOQ, DAN CPP 1,033 JT, MENUNGGU KONFIRM IZIN DAN PENCARIAN STUB CORE UNTUK UPLINK DAN IZIN KADES, 04/02 OGP EVAL, 25/01 DONE AANWIDJZING, 23/01 "&amp;"OGP AANWIDJZING, (21/01) menunggu antrian aanwizjing, (15/1) ORDER DITERIMA MITRA 14/1, plan aanwijdzing 19 Jan(06/01)order JPP batch-2 2026 (25/11 HOLD, (14/11) MItra MJS blm ambil pekerjaan baru terkait close pekerjaan lama , LOP juga tidak masuk list o"&amp;"ptimis close 2025 (11/11) Penunjukkan MITRA oleh Procurement 04/11 belum ada jadwal aanwijzing dri mitra 23/10 belum ada jadwal aanwijzing dri mitra
 15/10 belum ada jadwal aanzijign dri mitra
 (08/10) menunggu jadwal aanwizjing 
 (01/10) menunggu jadwal "&amp;"aanwizjing")</f>
        <v>27/04 PENUNJUKKAN MITRA ULANG, 23/04 HASIL KOORDINASI TIF, TA DAN MTEL SDH DI APPROVE TERKAIT TIANG MTEL, 22/04 menunggu koordinasi antara tif, ta dan mtel terkait penggunaan tiang mterl secara bersama-sama, 13/04 Perizinan Kepala desa, sdh di approve terkait tiang mtel  09/04MASIH BLM ADA INFO LANJUT TERKAIT TIANG MTEL, 08/04 HOLD MASIH KOORDINASI TERKAIT PELURUSAN CORE DAN TIANG MTEL, 26/03 KOORDINASI DG TIM SQUAD TERKAIT PENGECEKAN DAN PELURUSAN CORE, 24/03 PELURUSAN CORE, 21/03 MASIH PELURUSAN MANCORE, 13/03 PELURUSAN MANCORE, 12/03 MASIH MENUNGGU INFO MENGENAI TIANG MTEL, 10/03 BLM ADA INFO TERKAIT TIANG MTEL, 02/03 OGP REVIEW TIF, 28/2 Review Bersama ED 2 Mar 27/02 MSH BLM ADA INFO TERKAIT TIANG MTEL, 24/02 BLM ADA INFO TERKAIT TIANG MTEL, 10/02 BLM ADA INFO TERKAIT KENDALA DI LOKASI BYK TIANG MTEL, 06/02 HASIL REVIEW TSEL - NEED FU TIF PENGGUNAAN TIANG MTEL, 04/02 DONE EVAL, DI LOKASI BANYAK TIANG MTEL, SECARA AANWJIZNIG ADA PENURUNAN BOQ, DAN CPP 1,033 JT, MENUNGGU KONFIRM IZIN DAN PENCARIAN STUB CORE UNTUK UPLINK DAN IZIN KADES 04/02 DONE EVAL, DI LOKASI BANYAK TIANG MTEL, SECARA AANWJIZNIG ADA PENURUNAN BOQ, DAN CPP 1,033 JT, MENUNGGU KONFIRM IZIN DAN PENCARIAN STUB CORE UNTUK UPLINK DAN IZIN KADES, 04/02 OGP EVAL, 25/01 DONE AANWIDJZING, 23/01 OGP AANWIDJZING, (21/01) menunggu antrian aanwizjing, (15/1) ORDER DITERIMA MITRA 14/1, plan aanwijdzing 19 Jan(06/01)order JPP batch-2 2026 (25/11 HOLD, (14/11) MItra MJS blm ambil pekerjaan baru terkait close pekerjaan lama , LOP juga tidak masuk list optimis close 2025 (11/11) Penunjukkan MITRA oleh Procurement 04/11 belum ada jadwal aanwijzing dri mitra 23/10 belum ada jadwal aanwijzing dri mitra
 15/10 belum ada jadwal aanzijign dri mitra
 (08/10) menunggu jadwal aanwizjing 
 (01/10) menunggu jadwal aanwizjing</v>
      </c>
      <c r="R734" s="228"/>
      <c r="S734" s="11"/>
      <c r="T734" s="11"/>
      <c r="U734" s="11"/>
      <c r="V734" s="229" t="str">
        <f>IFERROR(__xludf.DUMMYFUNCTION("""COMPUTED_VALUE"""),"ILHAM")</f>
        <v>ILHAM</v>
      </c>
      <c r="W734" s="229"/>
      <c r="X734" s="229" t="str">
        <f>IFERROR(__xludf.DUMMYFUNCTION("""COMPUTED_VALUE"""),"BELUM GOLIVE")</f>
        <v>BELUM GOLIVE</v>
      </c>
      <c r="Y734" s="229"/>
      <c r="Z734" s="229"/>
      <c r="AA734" s="229"/>
      <c r="AB734" s="229"/>
      <c r="AC734" s="229"/>
      <c r="AD734" s="232"/>
      <c r="AE734" s="233"/>
      <c r="AF734" s="54"/>
      <c r="AG734" s="54"/>
      <c r="AH734" s="54"/>
      <c r="AI734" s="55" t="str">
        <f t="shared" si="84"/>
        <v/>
      </c>
      <c r="AW734" s="234"/>
      <c r="BP734" s="11"/>
      <c r="BQ734" s="11"/>
      <c r="BR734" s="235"/>
      <c r="BV734" s="158"/>
      <c r="BY734" s="158"/>
      <c r="CB734" s="158"/>
    </row>
    <row r="735" ht="18.0" hidden="1" customHeight="1">
      <c r="A735" s="222">
        <f>IFERROR(__xludf.DUMMYFUNCTION("""COMPUTED_VALUE"""),2026.0)</f>
        <v>2026</v>
      </c>
      <c r="B735" s="221">
        <f>IFERROR(__xludf.DUMMYFUNCTION("""COMPUTED_VALUE"""),1.2082354E7)</f>
        <v>12082354</v>
      </c>
      <c r="C735" s="222" t="str">
        <f>IFERROR(__xludf.DUMMYFUNCTION("""COMPUTED_VALUE"""),"MDN PT3 DLT-FA GG.PATONAH_MD25.")</f>
        <v>MDN PT3 DLT-FA GG.PATONAH_MD25.</v>
      </c>
      <c r="D735" s="222" t="str">
        <f>IFERROR(__xludf.DUMMYFUNCTION("""COMPUTED_VALUE"""),"REGIONAL I")</f>
        <v>REGIONAL I</v>
      </c>
      <c r="E735" s="222" t="str">
        <f>IFERROR(__xludf.DUMMYFUNCTION("""COMPUTED_VALUE"""),"MEDAN")</f>
        <v>MEDAN</v>
      </c>
      <c r="F735" s="222" t="str">
        <f>IFERROR(__xludf.DUMMYFUNCTION("""COMPUTED_VALUE"""),"DLT")</f>
        <v>DLT</v>
      </c>
      <c r="G735" s="222" t="str">
        <f>IFERROR(__xludf.DUMMYFUNCTION("""COMPUTED_VALUE"""),"SUMBAGUT")</f>
        <v>SUMBAGUT</v>
      </c>
      <c r="H735" s="222" t="str">
        <f>IFERROR(__xludf.DUMMYFUNCTION("""COMPUTED_VALUE"""),"MEDAN")</f>
        <v>MEDAN</v>
      </c>
      <c r="I735" s="222" t="str">
        <f>IFERROR(__xludf.DUMMYFUNCTION("""COMPUTED_VALUE"""),"Batch 2")</f>
        <v>Batch 2</v>
      </c>
      <c r="J735" s="225">
        <f>IFERROR(__xludf.DUMMYFUNCTION("""COMPUTED_VALUE"""),3.0)</f>
        <v>3</v>
      </c>
      <c r="K735" s="224">
        <f>IFERROR(__xludf.DUMMYFUNCTION("""COMPUTED_VALUE"""),24.0)</f>
        <v>24</v>
      </c>
      <c r="L735" s="226">
        <f>IFERROR(__xludf.DUMMYFUNCTION("""COMPUTED_VALUE"""),1113035.0)</f>
        <v>1113035</v>
      </c>
      <c r="M735" s="227">
        <f>IFERROR(__xludf.DUMMYFUNCTION("""COMPUTED_VALUE"""),2.6712831E7)</f>
        <v>26712831</v>
      </c>
      <c r="N735" s="222" t="str">
        <f>IFERROR(__xludf.DUMMYFUNCTION("""COMPUTED_VALUE"""),"PT SALTTEK DUMPANG JAYA")</f>
        <v>PT SALTTEK DUMPANG JAYA</v>
      </c>
      <c r="O735" s="222" t="str">
        <f>IFERROR(__xludf.DUMMYFUNCTION("""COMPUTED_VALUE"""),"2. DONE AANWIJZING")</f>
        <v>2. DONE AANWIJZING</v>
      </c>
      <c r="P735" s="222" t="str">
        <f>IFERROR(__xludf.DUMMYFUNCTION("""COMPUTED_VALUE"""),"2.10 Kendala - Feeder Rusak")</f>
        <v>2.10 Kendala - Feeder Rusak</v>
      </c>
      <c r="Q735" s="222" t="str">
        <f>IFERROR(__xludf.DUMMYFUNCTION("""COMPUTED_VALUE"""),"05/02 Feeder Tidak Tembus (07/01) Persiapan")</f>
        <v>05/02 Feeder Tidak Tembus (07/01) Persiapan</v>
      </c>
      <c r="R735" s="228"/>
      <c r="S735" s="11"/>
      <c r="T735" s="11"/>
      <c r="U735" s="11"/>
      <c r="V735" s="229"/>
      <c r="W735" s="229"/>
      <c r="X735" s="229" t="str">
        <f>IFERROR(__xludf.DUMMYFUNCTION("""COMPUTED_VALUE"""),"BELUM GOLIVE")</f>
        <v>BELUM GOLIVE</v>
      </c>
      <c r="Y735" s="229"/>
      <c r="Z735" s="229" t="str">
        <f>IFERROR(__xludf.DUMMYFUNCTION("""COMPUTED_VALUE"""),"#N/A")</f>
        <v>#N/A</v>
      </c>
      <c r="AA735" s="229"/>
      <c r="AB735" s="229"/>
      <c r="AC735" s="229"/>
      <c r="AD735" s="232"/>
      <c r="AE735" s="233"/>
      <c r="AF735" s="54"/>
      <c r="AG735" s="54"/>
      <c r="AH735" s="54"/>
      <c r="AI735" s="55" t="str">
        <f t="shared" si="84"/>
        <v/>
      </c>
      <c r="AW735" s="234"/>
      <c r="BP735" s="11"/>
      <c r="BQ735" s="11"/>
      <c r="BR735" s="235"/>
      <c r="BV735" s="158"/>
      <c r="BY735" s="158"/>
      <c r="CB735" s="158"/>
    </row>
    <row r="736" ht="18.0" hidden="1" customHeight="1">
      <c r="A736" s="222">
        <f>IFERROR(__xludf.DUMMYFUNCTION("""COMPUTED_VALUE"""),2026.0)</f>
        <v>2026</v>
      </c>
      <c r="B736" s="221">
        <f>IFERROR(__xludf.DUMMYFUNCTION("""COMPUTED_VALUE"""),1.139925E7)</f>
        <v>11399250</v>
      </c>
      <c r="C736" s="222" t="str">
        <f>IFERROR(__xludf.DUMMYFUNCTION("""COMPUTED_VALUE"""),"MDN PT3 TTG-FBE JL.PARANG RAS")</f>
        <v>MDN PT3 TTG-FBE JL.PARANG RAS</v>
      </c>
      <c r="D736" s="222" t="str">
        <f>IFERROR(__xludf.DUMMYFUNCTION("""COMPUTED_VALUE"""),"REGIONAL I")</f>
        <v>REGIONAL I</v>
      </c>
      <c r="E736" s="222" t="str">
        <f>IFERROR(__xludf.DUMMYFUNCTION("""COMPUTED_VALUE"""),"MEDAN")</f>
        <v>MEDAN</v>
      </c>
      <c r="F736" s="222" t="str">
        <f>IFERROR(__xludf.DUMMYFUNCTION("""COMPUTED_VALUE"""),"TTG")</f>
        <v>TTG</v>
      </c>
      <c r="G736" s="222" t="str">
        <f>IFERROR(__xludf.DUMMYFUNCTION("""COMPUTED_VALUE"""),"SUMBAGUT")</f>
        <v>SUMBAGUT</v>
      </c>
      <c r="H736" s="222" t="str">
        <f>IFERROR(__xludf.DUMMYFUNCTION("""COMPUTED_VALUE"""),"MEDAN")</f>
        <v>MEDAN</v>
      </c>
      <c r="I736" s="222" t="str">
        <f>IFERROR(__xludf.DUMMYFUNCTION("""COMPUTED_VALUE"""),"Batch 2")</f>
        <v>Batch 2</v>
      </c>
      <c r="J736" s="225">
        <f>IFERROR(__xludf.DUMMYFUNCTION("""COMPUTED_VALUE"""),2.0)</f>
        <v>2</v>
      </c>
      <c r="K736" s="224">
        <f>IFERROR(__xludf.DUMMYFUNCTION("""COMPUTED_VALUE"""),16.0)</f>
        <v>16</v>
      </c>
      <c r="L736" s="226">
        <f>IFERROR(__xludf.DUMMYFUNCTION("""COMPUTED_VALUE"""),673549.0)</f>
        <v>673549</v>
      </c>
      <c r="M736" s="227">
        <f>IFERROR(__xludf.DUMMYFUNCTION("""COMPUTED_VALUE"""),1.0776771E7)</f>
        <v>10776771</v>
      </c>
      <c r="N736" s="222" t="str">
        <f>IFERROR(__xludf.DUMMYFUNCTION("""COMPUTED_VALUE"""),"PT FAJAR MITRA KRIDA ABADI")</f>
        <v>PT FAJAR MITRA KRIDA ABADI</v>
      </c>
      <c r="O736" s="222" t="str">
        <f>IFERROR(__xludf.DUMMYFUNCTION("""COMPUTED_VALUE"""),"0. DROP")</f>
        <v>0. DROP</v>
      </c>
      <c r="P736" s="222" t="str">
        <f>IFERROR(__xludf.DUMMYFUNCTION("""COMPUTED_VALUE"""),"0.3 Feeder Full")</f>
        <v>0.3 Feeder Full</v>
      </c>
      <c r="Q736" s="222" t="str">
        <f>IFERROR(__xludf.DUMMYFUNCTION("""COMPUTED_VALUE"""),"19/02 Feeder Habis")</f>
        <v>19/02 Feeder Habis</v>
      </c>
      <c r="R736" s="228"/>
      <c r="S736" s="11"/>
      <c r="T736" s="11"/>
      <c r="U736" s="11"/>
      <c r="V736" s="229"/>
      <c r="W736" s="229"/>
      <c r="X736" s="229" t="str">
        <f>IFERROR(__xludf.DUMMYFUNCTION("""COMPUTED_VALUE"""),"BELUM GOLIVE")</f>
        <v>BELUM GOLIVE</v>
      </c>
      <c r="Y736" s="229"/>
      <c r="Z736" s="229" t="str">
        <f>IFERROR(__xludf.DUMMYFUNCTION("""COMPUTED_VALUE"""),"#N/A")</f>
        <v>#N/A</v>
      </c>
      <c r="AA736" s="229"/>
      <c r="AB736" s="229"/>
      <c r="AC736" s="229"/>
      <c r="AD736" s="232"/>
      <c r="AE736" s="233"/>
      <c r="AF736" s="54"/>
      <c r="AG736" s="54"/>
      <c r="AH736" s="54"/>
      <c r="AI736" s="55" t="str">
        <f t="shared" si="84"/>
        <v/>
      </c>
      <c r="AW736" s="234"/>
      <c r="BP736" s="11"/>
      <c r="BQ736" s="11"/>
      <c r="BR736" s="235"/>
      <c r="BV736" s="158"/>
      <c r="BY736" s="158"/>
      <c r="CB736" s="158"/>
    </row>
    <row r="737" ht="18.0" hidden="1" customHeight="1">
      <c r="A737" s="222">
        <f>IFERROR(__xludf.DUMMYFUNCTION("""COMPUTED_VALUE"""),2026.0)</f>
        <v>2026</v>
      </c>
      <c r="B737" s="221">
        <f>IFERROR(__xludf.DUMMYFUNCTION("""COMPUTED_VALUE"""),1.1912038E7)</f>
        <v>11912038</v>
      </c>
      <c r="C737" s="222" t="str">
        <f>IFERROR(__xludf.DUMMYFUNCTION("""COMPUTED_VALUE"""),"MDN PT3 TTG-FN DELI SERDANG_27440")</f>
        <v>MDN PT3 TTG-FN DELI SERDANG_27440</v>
      </c>
      <c r="D737" s="222" t="str">
        <f>IFERROR(__xludf.DUMMYFUNCTION("""COMPUTED_VALUE"""),"REGIONAL I")</f>
        <v>REGIONAL I</v>
      </c>
      <c r="E737" s="222" t="str">
        <f>IFERROR(__xludf.DUMMYFUNCTION("""COMPUTED_VALUE"""),"MEDAN")</f>
        <v>MEDAN</v>
      </c>
      <c r="F737" s="222" t="str">
        <f>IFERROR(__xludf.DUMMYFUNCTION("""COMPUTED_VALUE"""),"TTG")</f>
        <v>TTG</v>
      </c>
      <c r="G737" s="222" t="str">
        <f>IFERROR(__xludf.DUMMYFUNCTION("""COMPUTED_VALUE"""),"SUMBAGUT")</f>
        <v>SUMBAGUT</v>
      </c>
      <c r="H737" s="222" t="str">
        <f>IFERROR(__xludf.DUMMYFUNCTION("""COMPUTED_VALUE"""),"MEDAN")</f>
        <v>MEDAN</v>
      </c>
      <c r="I737" s="222" t="str">
        <f>IFERROR(__xludf.DUMMYFUNCTION("""COMPUTED_VALUE"""),"Batch 2")</f>
        <v>Batch 2</v>
      </c>
      <c r="J737" s="225">
        <f>IFERROR(__xludf.DUMMYFUNCTION("""COMPUTED_VALUE"""),4.0)</f>
        <v>4</v>
      </c>
      <c r="K737" s="224">
        <f>IFERROR(__xludf.DUMMYFUNCTION("""COMPUTED_VALUE"""),32.0)</f>
        <v>32</v>
      </c>
      <c r="L737" s="226">
        <f>IFERROR(__xludf.DUMMYFUNCTION("""COMPUTED_VALUE"""),1111548.0)</f>
        <v>1111548</v>
      </c>
      <c r="M737" s="227">
        <f>IFERROR(__xludf.DUMMYFUNCTION("""COMPUTED_VALUE"""),3.5569513E7)</f>
        <v>35569513</v>
      </c>
      <c r="N737" s="222" t="str">
        <f>IFERROR(__xludf.DUMMYFUNCTION("""COMPUTED_VALUE"""),"SWAKELOLA")</f>
        <v>SWAKELOLA</v>
      </c>
      <c r="O737" s="222" t="str">
        <f>IFERROR(__xludf.DUMMYFUNCTION("""COMPUTED_VALUE"""),"3. PERIZINAN")</f>
        <v>3. PERIZINAN</v>
      </c>
      <c r="P737" s="222" t="str">
        <f>IFERROR(__xludf.DUMMYFUNCTION("""COMPUTED_VALUE"""),"3.10 Izin Developer / Private area")</f>
        <v>3.10 Izin Developer / Private area</v>
      </c>
      <c r="Q737" s="222" t="str">
        <f>IFERROR(__xludf.DUMMYFUNCTION("""COMPUTED_VALUE"""),"10/02 done order SWAKELOLA (07/01) Persiapan")</f>
        <v>10/02 done order SWAKELOLA (07/01) Persiapan</v>
      </c>
      <c r="R737" s="228"/>
      <c r="S737" s="11"/>
      <c r="T737" s="73"/>
      <c r="U737" s="11"/>
      <c r="V737" s="229" t="str">
        <f>IFERROR(__xludf.DUMMYFUNCTION("""COMPUTED_VALUE"""),"27/Apr/2026")</f>
        <v>27/Apr/2026</v>
      </c>
      <c r="W737" s="229"/>
      <c r="X737" s="229" t="str">
        <f>IFERROR(__xludf.DUMMYFUNCTION("""COMPUTED_VALUE"""),"BELUM GOLIVE")</f>
        <v>BELUM GOLIVE</v>
      </c>
      <c r="Y737" s="229"/>
      <c r="Z737" s="229" t="str">
        <f>IFERROR(__xludf.DUMMYFUNCTION("""COMPUTED_VALUE"""),"#N/A")</f>
        <v>#N/A</v>
      </c>
      <c r="AA737" s="229"/>
      <c r="AB737" s="229"/>
      <c r="AC737" s="229"/>
      <c r="AD737" s="232"/>
      <c r="AE737" s="233"/>
      <c r="AF737" s="54"/>
      <c r="AG737" s="54"/>
      <c r="AH737" s="54"/>
      <c r="AI737" s="55" t="str">
        <f t="shared" si="84"/>
        <v/>
      </c>
      <c r="AW737" s="234"/>
      <c r="BP737" s="11"/>
      <c r="BQ737" s="11"/>
      <c r="BR737" s="235"/>
      <c r="BV737" s="158"/>
      <c r="BY737" s="158"/>
      <c r="CB737" s="158"/>
    </row>
    <row r="738" ht="18.0" hidden="1" customHeight="1">
      <c r="A738" s="222">
        <f>IFERROR(__xludf.DUMMYFUNCTION("""COMPUTED_VALUE"""),2026.0)</f>
        <v>2026</v>
      </c>
      <c r="B738" s="221">
        <f>IFERROR(__xludf.DUMMYFUNCTION("""COMPUTED_VALUE"""),1.1131294E7)</f>
        <v>11131294</v>
      </c>
      <c r="C738" s="222" t="str">
        <f>IFERROR(__xludf.DUMMYFUNCTION("""COMPUTED_VALUE"""),"MDN PT3 P7I7 TMU-FR GG.SEROJA")</f>
        <v>MDN PT3 P7I7 TMU-FR GG.SEROJA</v>
      </c>
      <c r="D738" s="222" t="str">
        <f>IFERROR(__xludf.DUMMYFUNCTION("""COMPUTED_VALUE"""),"REGIONAL I")</f>
        <v>REGIONAL I</v>
      </c>
      <c r="E738" s="222" t="str">
        <f>IFERROR(__xludf.DUMMYFUNCTION("""COMPUTED_VALUE"""),"MEDAN")</f>
        <v>MEDAN</v>
      </c>
      <c r="F738" s="222" t="str">
        <f>IFERROR(__xludf.DUMMYFUNCTION("""COMPUTED_VALUE"""),"TMU")</f>
        <v>TMU</v>
      </c>
      <c r="G738" s="222" t="str">
        <f>IFERROR(__xludf.DUMMYFUNCTION("""COMPUTED_VALUE"""),"SUMBAGUT")</f>
        <v>SUMBAGUT</v>
      </c>
      <c r="H738" s="222" t="str">
        <f>IFERROR(__xludf.DUMMYFUNCTION("""COMPUTED_VALUE"""),"MEDAN")</f>
        <v>MEDAN</v>
      </c>
      <c r="I738" s="222" t="str">
        <f>IFERROR(__xludf.DUMMYFUNCTION("""COMPUTED_VALUE"""),"Batch 2")</f>
        <v>Batch 2</v>
      </c>
      <c r="J738" s="225">
        <f>IFERROR(__xludf.DUMMYFUNCTION("""COMPUTED_VALUE"""),2.0)</f>
        <v>2</v>
      </c>
      <c r="K738" s="224">
        <f>IFERROR(__xludf.DUMMYFUNCTION("""COMPUTED_VALUE"""),16.0)</f>
        <v>16</v>
      </c>
      <c r="L738" s="226">
        <f>IFERROR(__xludf.DUMMYFUNCTION("""COMPUTED_VALUE"""),1110904.0)</f>
        <v>1110904</v>
      </c>
      <c r="M738" s="227">
        <f>IFERROR(__xludf.DUMMYFUNCTION("""COMPUTED_VALUE"""),1.777446E7)</f>
        <v>17774460</v>
      </c>
      <c r="N738" s="222" t="str">
        <f>IFERROR(__xludf.DUMMYFUNCTION("""COMPUTED_VALUE"""),"PT MEDCOM SOLUTION")</f>
        <v>PT MEDCOM SOLUTION</v>
      </c>
      <c r="O738" s="222" t="str">
        <f>IFERROR(__xludf.DUMMYFUNCTION("""COMPUTED_VALUE"""),"0. DROP")</f>
        <v>0. DROP</v>
      </c>
      <c r="P738" s="222" t="str">
        <f>IFERROR(__xludf.DUMMYFUNCTION("""COMPUTED_VALUE"""),"0.2 Tidak Dapat Izin Warga/Kades/Lurah/Developer")</f>
        <v>0.2 Tidak Dapat Izin Warga/Kades/Lurah/Developer</v>
      </c>
      <c r="Q738" s="222" t="str">
        <f>IFERROR(__xludf.DUMMYFUNCTION("""COMPUTED_VALUE"""),"Tidak Ada Space Tanam Tiang (07/01) Persiapan")</f>
        <v>Tidak Ada Space Tanam Tiang (07/01) Persiapan</v>
      </c>
      <c r="R738" s="228"/>
      <c r="S738" s="11"/>
      <c r="T738" s="11"/>
      <c r="U738" s="11"/>
      <c r="V738" s="229"/>
      <c r="W738" s="229"/>
      <c r="X738" s="229" t="str">
        <f>IFERROR(__xludf.DUMMYFUNCTION("""COMPUTED_VALUE"""),"BELUM GOLIVE")</f>
        <v>BELUM GOLIVE</v>
      </c>
      <c r="Y738" s="229"/>
      <c r="Z738" s="229" t="str">
        <f>IFERROR(__xludf.DUMMYFUNCTION("""COMPUTED_VALUE"""),"#N/A")</f>
        <v>#N/A</v>
      </c>
      <c r="AA738" s="229"/>
      <c r="AB738" s="229"/>
      <c r="AC738" s="229"/>
      <c r="AD738" s="232"/>
      <c r="AE738" s="233"/>
      <c r="AF738" s="54" t="str">
        <f>IFERROR(__xludf.DUMMYFUNCTION("""COMPUTED_VALUE"""),"Draft BA DROP")</f>
        <v>Draft BA DROP</v>
      </c>
      <c r="AG738" s="54"/>
      <c r="AH738" s="54"/>
      <c r="AI738" s="55" t="str">
        <f t="shared" si="84"/>
        <v/>
      </c>
      <c r="AW738" s="234"/>
      <c r="BP738" s="11"/>
      <c r="BQ738" s="11"/>
      <c r="BR738" s="235"/>
      <c r="BV738" s="158"/>
      <c r="BY738" s="158"/>
      <c r="CB738" s="158"/>
    </row>
    <row r="739" ht="18.0" customHeight="1">
      <c r="A739" s="222">
        <f>IFERROR(__xludf.DUMMYFUNCTION("""COMPUTED_VALUE"""),2026.0)</f>
        <v>2026</v>
      </c>
      <c r="B739" s="221">
        <f>IFERROR(__xludf.DUMMYFUNCTION("""COMPUTED_VALUE"""),1.1346024E7)</f>
        <v>11346024</v>
      </c>
      <c r="C739" s="222" t="str">
        <f>IFERROR(__xludf.DUMMYFUNCTION("""COMPUTED_VALUE"""),"RDR JPP PT3 JL PINTAU PINGGIR")</f>
        <v>RDR JPP PT3 JL PINTAU PINGGIR</v>
      </c>
      <c r="D739" s="222" t="str">
        <f>IFERROR(__xludf.DUMMYFUNCTION("""COMPUTED_VALUE"""),"REGIONAL I")</f>
        <v>REGIONAL I</v>
      </c>
      <c r="E739" s="222" t="str">
        <f>IFERROR(__xludf.DUMMYFUNCTION("""COMPUTED_VALUE"""),"RIDAR")</f>
        <v>RIDAR</v>
      </c>
      <c r="F739" s="222" t="str">
        <f>IFERROR(__xludf.DUMMYFUNCTION("""COMPUTED_VALUE"""),"DRI")</f>
        <v>DRI</v>
      </c>
      <c r="G739" s="222" t="str">
        <f>IFERROR(__xludf.DUMMYFUNCTION("""COMPUTED_VALUE"""),"SUMBAGTENG")</f>
        <v>SUMBAGTENG</v>
      </c>
      <c r="H739" s="222" t="str">
        <f>IFERROR(__xludf.DUMMYFUNCTION("""COMPUTED_VALUE"""),"DUMAI")</f>
        <v>DUMAI</v>
      </c>
      <c r="I739" s="222" t="str">
        <f>IFERROR(__xludf.DUMMYFUNCTION("""COMPUTED_VALUE"""),"Batch 2")</f>
        <v>Batch 2</v>
      </c>
      <c r="J739" s="225">
        <f>IFERROR(__xludf.DUMMYFUNCTION("""COMPUTED_VALUE"""),7.0)</f>
        <v>7</v>
      </c>
      <c r="K739" s="224">
        <f>IFERROR(__xludf.DUMMYFUNCTION("""COMPUTED_VALUE"""),56.0)</f>
        <v>56</v>
      </c>
      <c r="L739" s="226">
        <f>IFERROR(__xludf.DUMMYFUNCTION("""COMPUTED_VALUE"""),1196544.0)</f>
        <v>1196544</v>
      </c>
      <c r="M739" s="227">
        <f>IFERROR(__xludf.DUMMYFUNCTION("""COMPUTED_VALUE"""),6.7006438E7)</f>
        <v>67006438</v>
      </c>
      <c r="N739" s="222" t="str">
        <f>IFERROR(__xludf.DUMMYFUNCTION("""COMPUTED_VALUE"""),"PT TRI LESMA INDONESIA")</f>
        <v>PT TRI LESMA INDONESIA</v>
      </c>
      <c r="O739" s="222" t="str">
        <f>IFERROR(__xludf.DUMMYFUNCTION("""COMPUTED_VALUE"""),"0. DROP")</f>
        <v>0. DROP</v>
      </c>
      <c r="P739" s="222" t="str">
        <f>IFERROR(__xludf.DUMMYFUNCTION("""COMPUTED_VALUE"""),"0.2 Tidak Dapat Izin Warga/Kades/Lurah/Developer")</f>
        <v>0.2 Tidak Dapat Izin Warga/Kades/Lurah/Developer</v>
      </c>
      <c r="Q739" s="222" t="str">
        <f>IFERROR(__xludf.DUMMYFUNCTION("""COMPUTED_VALUE"""),"20/01 Tidak dapat izin tanam tiang oleh PHR (08/01) Feeder TRS-FA Full (07/01) Persiapan")</f>
        <v>20/01 Tidak dapat izin tanam tiang oleh PHR (08/01) Feeder TRS-FA Full (07/01) Persiapan</v>
      </c>
      <c r="R739" s="228"/>
      <c r="S739" s="11"/>
      <c r="T739" s="11"/>
      <c r="U739" s="11"/>
      <c r="V739" s="229" t="str">
        <f>IFERROR(__xludf.DUMMYFUNCTION("""COMPUTED_VALUE"""),"ONDI EKA SAPUTRA")</f>
        <v>ONDI EKA SAPUTRA</v>
      </c>
      <c r="W739" s="229" t="str">
        <f>IFERROR(__xludf.DUMMYFUNCTION("""COMPUTED_VALUE"""),"DESLITA RAHMADANI")</f>
        <v>DESLITA RAHMADANI</v>
      </c>
      <c r="X739" s="229" t="str">
        <f>IFERROR(__xludf.DUMMYFUNCTION("""COMPUTED_VALUE"""),"BELUM GOLIVE")</f>
        <v>BELUM GOLIVE</v>
      </c>
      <c r="Y739" s="229"/>
      <c r="Z739" s="229" t="str">
        <f>IFERROR(__xludf.DUMMYFUNCTION("""COMPUTED_VALUE"""),"#N/A")</f>
        <v>#N/A</v>
      </c>
      <c r="AA739" s="229"/>
      <c r="AB739" s="229"/>
      <c r="AC739" s="229"/>
      <c r="AD739" s="232"/>
      <c r="AE739" s="233"/>
      <c r="AF739" s="54" t="str">
        <f>IFERROR(__xludf.DUMMYFUNCTION("""COMPUTED_VALUE"""),"Draft BA DROP")</f>
        <v>Draft BA DROP</v>
      </c>
      <c r="AG739" s="54"/>
      <c r="AH739" s="54"/>
      <c r="AI739" s="55" t="str">
        <f t="shared" si="84"/>
        <v/>
      </c>
      <c r="AW739" s="234"/>
      <c r="BP739" s="11"/>
      <c r="BQ739" s="11"/>
      <c r="BR739" s="235"/>
      <c r="BV739" s="158"/>
      <c r="BY739" s="158"/>
      <c r="CB739" s="158"/>
    </row>
    <row r="740" ht="18.0" customHeight="1">
      <c r="A740" s="222">
        <f>IFERROR(__xludf.DUMMYFUNCTION("""COMPUTED_VALUE"""),2026.0)</f>
        <v>2026</v>
      </c>
      <c r="B740" s="221">
        <f>IFERROR(__xludf.DUMMYFUNCTION("""COMPUTED_VALUE"""),1.1328E7)</f>
        <v>11328000</v>
      </c>
      <c r="C740" s="222" t="str">
        <f>IFERROR(__xludf.DUMMYFUNCTION("""COMPUTED_VALUE"""),"SMB P2I1 STTF ampang pulai 1")</f>
        <v>SMB P2I1 STTF ampang pulai 1</v>
      </c>
      <c r="D740" s="222" t="str">
        <f>IFERROR(__xludf.DUMMYFUNCTION("""COMPUTED_VALUE"""),"REGIONAL I")</f>
        <v>REGIONAL I</v>
      </c>
      <c r="E740" s="222" t="str">
        <f>IFERROR(__xludf.DUMMYFUNCTION("""COMPUTED_VALUE"""),"SUMBAR")</f>
        <v>SUMBAR</v>
      </c>
      <c r="F740" s="222" t="str">
        <f>IFERROR(__xludf.DUMMYFUNCTION("""COMPUTED_VALUE"""),"TRS")</f>
        <v>TRS</v>
      </c>
      <c r="G740" s="222" t="str">
        <f>IFERROR(__xludf.DUMMYFUNCTION("""COMPUTED_VALUE"""),"SUMBAGTENG")</f>
        <v>SUMBAGTENG</v>
      </c>
      <c r="H740" s="222" t="str">
        <f>IFERROR(__xludf.DUMMYFUNCTION("""COMPUTED_VALUE"""),"PADANG")</f>
        <v>PADANG</v>
      </c>
      <c r="I740" s="222" t="str">
        <f>IFERROR(__xludf.DUMMYFUNCTION("""COMPUTED_VALUE"""),"Batch 2")</f>
        <v>Batch 2</v>
      </c>
      <c r="J740" s="225">
        <f>IFERROR(__xludf.DUMMYFUNCTION("""COMPUTED_VALUE"""),11.0)</f>
        <v>11</v>
      </c>
      <c r="K740" s="224">
        <f>IFERROR(__xludf.DUMMYFUNCTION("""COMPUTED_VALUE"""),88.0)</f>
        <v>88</v>
      </c>
      <c r="L740" s="226">
        <f>IFERROR(__xludf.DUMMYFUNCTION("""COMPUTED_VALUE"""),1110468.0)</f>
        <v>1110468</v>
      </c>
      <c r="M740" s="227">
        <f>IFERROR(__xludf.DUMMYFUNCTION("""COMPUTED_VALUE"""),9.7721132E7)</f>
        <v>97721132</v>
      </c>
      <c r="N740" s="222" t="str">
        <f>IFERROR(__xludf.DUMMYFUNCTION("""COMPUTED_VALUE"""),"PT ACERO CETHA METALINDO")</f>
        <v>PT ACERO CETHA METALINDO</v>
      </c>
      <c r="O740" s="222" t="str">
        <f>IFERROR(__xludf.DUMMYFUNCTION("""COMPUTED_VALUE"""),"4. MATDEL")</f>
        <v>4. MATDEL</v>
      </c>
      <c r="P740" s="222" t="str">
        <f>IFERROR(__xludf.DUMMYFUNCTION("""COMPUTED_VALUE"""),"4.4 Proses Pengiriman Pabribak ke WH")</f>
        <v>4.4 Proses Pengiriman Pabribak ke WH</v>
      </c>
      <c r="Q740" s="222" t="str">
        <f>IFERROR(__xludf.DUMMYFUNCTION("""COMPUTED_VALUE"""),"(27/04)menunggu PO kabel 24 ADSS (20/04) sudah aanwijziing, proses eval  (10/04) Proses aanwijziing , LOP HOLD FEEDER FULL ACC GO (26/01)  Kendala feeder TRS-FA FULL")</f>
        <v>(27/04)menunggu PO kabel 24 ADSS (20/04) sudah aanwijziing, proses eval  (10/04) Proses aanwijziing , LOP HOLD FEEDER FULL ACC GO (26/01)  Kendala feeder TRS-FA FULL</v>
      </c>
      <c r="R740" s="228"/>
      <c r="S740" s="11"/>
      <c r="T740" s="11"/>
      <c r="U740" s="11"/>
      <c r="V740" s="229" t="str">
        <f>IFERROR(__xludf.DUMMYFUNCTION("""COMPUTED_VALUE"""),"PRAMADIO SEPWILMAN")</f>
        <v>PRAMADIO SEPWILMAN</v>
      </c>
      <c r="W740" s="229" t="str">
        <f>IFERROR(__xludf.DUMMYFUNCTION("""COMPUTED_VALUE"""),"MELKO NARWADI")</f>
        <v>MELKO NARWADI</v>
      </c>
      <c r="X740" s="229" t="str">
        <f>IFERROR(__xludf.DUMMYFUNCTION("""COMPUTED_VALUE"""),"BELUM GOLIVE")</f>
        <v>BELUM GOLIVE</v>
      </c>
      <c r="Y740" s="229"/>
      <c r="Z740" s="229" t="str">
        <f>IFERROR(__xludf.DUMMYFUNCTION("""COMPUTED_VALUE"""),"#N/A")</f>
        <v>#N/A</v>
      </c>
      <c r="AA740" s="229"/>
      <c r="AB740" s="229"/>
      <c r="AC740" s="229"/>
      <c r="AD740" s="232"/>
      <c r="AE740" s="233"/>
      <c r="AF740" s="54" t="str">
        <f>IFERROR(__xludf.DUMMYFUNCTION("""COMPUTED_VALUE"""),"Draft BA DROP")</f>
        <v>Draft BA DROP</v>
      </c>
      <c r="AG740" s="54"/>
      <c r="AH740" s="54"/>
      <c r="AI740" s="55" t="str">
        <f t="shared" si="84"/>
        <v/>
      </c>
      <c r="AW740" s="234"/>
      <c r="BP740" s="11"/>
      <c r="BQ740" s="11"/>
      <c r="BR740" s="235"/>
      <c r="BV740" s="158"/>
      <c r="BY740" s="158"/>
      <c r="CB740" s="158"/>
    </row>
    <row r="741" ht="18.0" hidden="1" customHeight="1">
      <c r="A741" s="222">
        <f>IFERROR(__xludf.DUMMYFUNCTION("""COMPUTED_VALUE"""),2026.0)</f>
        <v>2026</v>
      </c>
      <c r="B741" s="221">
        <f>IFERROR(__xludf.DUMMYFUNCTION("""COMPUTED_VALUE"""),1.2133049E7)</f>
        <v>12133049</v>
      </c>
      <c r="C741" s="222" t="str">
        <f>IFERROR(__xludf.DUMMYFUNCTION("""COMPUTED_VALUE"""),"LPG PT3 JPP SKIPI ULAK RENGAS BKM")</f>
        <v>LPG PT3 JPP SKIPI ULAK RENGAS BKM</v>
      </c>
      <c r="D741" s="222" t="str">
        <f>IFERROR(__xludf.DUMMYFUNCTION("""COMPUTED_VALUE"""),"REGIONAL I")</f>
        <v>REGIONAL I</v>
      </c>
      <c r="E741" s="222" t="str">
        <f>IFERROR(__xludf.DUMMYFUNCTION("""COMPUTED_VALUE"""),"LAMPUNG")</f>
        <v>LAMPUNG</v>
      </c>
      <c r="F741" s="222" t="str">
        <f>IFERROR(__xludf.DUMMYFUNCTION("""COMPUTED_VALUE"""),"BKM")</f>
        <v>BKM</v>
      </c>
      <c r="G741" s="222" t="str">
        <f>IFERROR(__xludf.DUMMYFUNCTION("""COMPUTED_VALUE"""),"SUMBAGSEL")</f>
        <v>SUMBAGSEL</v>
      </c>
      <c r="H741" s="222" t="str">
        <f>IFERROR(__xludf.DUMMYFUNCTION("""COMPUTED_VALUE"""),"LAMPUNG")</f>
        <v>LAMPUNG</v>
      </c>
      <c r="I741" s="222" t="str">
        <f>IFERROR(__xludf.DUMMYFUNCTION("""COMPUTED_VALUE"""),"Batch 2")</f>
        <v>Batch 2</v>
      </c>
      <c r="J741" s="225">
        <f>IFERROR(__xludf.DUMMYFUNCTION("""COMPUTED_VALUE"""),18.0)</f>
        <v>18</v>
      </c>
      <c r="K741" s="224">
        <f>IFERROR(__xludf.DUMMYFUNCTION("""COMPUTED_VALUE"""),144.0)</f>
        <v>144</v>
      </c>
      <c r="L741" s="226">
        <f>IFERROR(__xludf.DUMMYFUNCTION("""COMPUTED_VALUE"""),1109537.0)</f>
        <v>1109537</v>
      </c>
      <c r="M741" s="227">
        <f>IFERROR(__xludf.DUMMYFUNCTION("""COMPUTED_VALUE"""),1.59773201E8)</f>
        <v>159773201</v>
      </c>
      <c r="N741" s="222" t="str">
        <f>IFERROR(__xludf.DUMMYFUNCTION("""COMPUTED_VALUE"""),"PT KOPRASI PILAR UTAMA")</f>
        <v>PT KOPRASI PILAR UTAMA</v>
      </c>
      <c r="O741" s="222" t="str">
        <f>IFERROR(__xludf.DUMMYFUNCTION("""COMPUTED_VALUE"""),"4. MATDEL")</f>
        <v>4. MATDEL</v>
      </c>
      <c r="P741" s="222" t="str">
        <f>IFERROR(__xludf.DUMMYFUNCTION("""COMPUTED_VALUE"""),"4.3 Proses Kirim Mateial Kelokasi")</f>
        <v>4.3 Proses Kirim Mateial Kelokasi</v>
      </c>
      <c r="Q741" s="222" t="str">
        <f>IFERROR(__xludf.DUMMYFUNCTION("""COMPUTED_VALUE"""),"22/4 plan matdel 24/4, 20/4 terkendala operasional dari mitra, dari mitra plan matdel 24/4 , 17/4  plan matdel 18 Apr, 15/4 dengan BA Manual  8/4 plan matdel 15/4, 06/04 Proses PR PO baru selesai aandwizing pergantian mitra AUM 2/4 proses pengajuan PR/PO "&amp;"
31/3 proses pengajuan PR/PO 
25/3   Progres perizinan pararel   Proses peralihan MITRA karena Mitra overload  27/2 PROSES AMD BUGET 
23/2 proses amd budget 18/2 insert cut FLHP GPON 1 - proses matdel  6/2 butuh tambahan port olt sto bkm 
4/2 stok materia"&amp;"l kosong ,estimasi tiba 07/2 
30/1 pengajuan pid 05/2 
23/1 estimasi pengambilan material 26/01  ambil material di gudang 
19/1 proses pengacekan core dan perizinan")</f>
        <v>22/4 plan matdel 24/4, 20/4 terkendala operasional dari mitra, dari mitra plan matdel 24/4 , 17/4  plan matdel 18 Apr, 15/4 dengan BA Manual  8/4 plan matdel 15/4, 06/04 Proses PR PO baru selesai aandwizing pergantian mitra AUM 2/4 proses pengajuan PR/PO 
31/3 proses pengajuan PR/PO 
25/3   Progres perizinan pararel   Proses peralihan MITRA karena Mitra overload  27/2 PROSES AMD BUGET 
23/2 proses amd budget 18/2 insert cut FLHP GPON 1 - proses matdel  6/2 butuh tambahan port olt sto bkm 
4/2 stok material kosong ,estimasi tiba 07/2 
30/1 pengajuan pid 05/2 
23/1 estimasi pengambilan material 26/01  ambil material di gudang 
19/1 proses pengacekan core dan perizinan</v>
      </c>
      <c r="R741" s="228">
        <f>IFERROR(__xludf.DUMMYFUNCTION("""COMPUTED_VALUE"""),46142.0)</f>
        <v>46142</v>
      </c>
      <c r="S741" s="11" t="str">
        <f>IFERROR(__xludf.DUMMYFUNCTION("""COMPUTED_VALUE"""),"MEI")</f>
        <v>MEI</v>
      </c>
      <c r="T741" s="11" t="str">
        <f>IFERROR(__xludf.DUMMYFUNCTION("""COMPUTED_VALUE"""),"P1")</f>
        <v>P1</v>
      </c>
      <c r="U741" s="11" t="str">
        <f>IFERROR(__xludf.DUMMYFUNCTION("""COMPUTED_VALUE"""),"W02-642/2025")</f>
        <v>W02-642/2025</v>
      </c>
      <c r="V741" s="229"/>
      <c r="W741" s="229"/>
      <c r="X741" s="229" t="str">
        <f>IFERROR(__xludf.DUMMYFUNCTION("""COMPUTED_VALUE"""),"BELUM GOLIVE")</f>
        <v>BELUM GOLIVE</v>
      </c>
      <c r="Y741" s="229" t="str">
        <f>IFERROR(__xludf.DUMMYFUNCTION("""COMPUTED_VALUE"""),"PORT OLT Penuh")</f>
        <v>PORT OLT Penuh</v>
      </c>
      <c r="Z741" s="229" t="str">
        <f>IFERROR(__xludf.DUMMYFUNCTION("""COMPUTED_VALUE"""),"#N/A")</f>
        <v>#N/A</v>
      </c>
      <c r="AA741" s="229"/>
      <c r="AB741" s="229"/>
      <c r="AC741" s="229"/>
      <c r="AD741" s="232"/>
      <c r="AE741" s="233"/>
      <c r="AF741" s="54"/>
      <c r="AG741" s="54"/>
      <c r="AH741" s="54">
        <v>46142.0</v>
      </c>
      <c r="AI741" s="55" t="str">
        <f t="shared" si="84"/>
        <v/>
      </c>
      <c r="AW741" s="234"/>
      <c r="BP741" s="11"/>
      <c r="BQ741" s="11"/>
      <c r="BR741" s="235"/>
      <c r="BV741" s="158"/>
      <c r="BY741" s="158"/>
      <c r="CB741" s="158"/>
    </row>
    <row r="742" ht="18.0" customHeight="1">
      <c r="A742" s="222">
        <f>IFERROR(__xludf.DUMMYFUNCTION("""COMPUTED_VALUE"""),2026.0)</f>
        <v>2026</v>
      </c>
      <c r="B742" s="221">
        <f>IFERROR(__xludf.DUMMYFUNCTION("""COMPUTED_VALUE"""),1.1297927E7)</f>
        <v>11297927</v>
      </c>
      <c r="C742" s="222" t="str">
        <f>IFERROR(__xludf.DUMMYFUNCTION("""COMPUTED_VALUE"""),"RDR JPP PT3 PELALAWAN_1711")</f>
        <v>RDR JPP PT3 PELALAWAN_1711</v>
      </c>
      <c r="D742" s="222" t="str">
        <f>IFERROR(__xludf.DUMMYFUNCTION("""COMPUTED_VALUE"""),"REGIONAL I")</f>
        <v>REGIONAL I</v>
      </c>
      <c r="E742" s="222" t="str">
        <f>IFERROR(__xludf.DUMMYFUNCTION("""COMPUTED_VALUE"""),"RIDAR")</f>
        <v>RIDAR</v>
      </c>
      <c r="F742" s="222" t="str">
        <f>IFERROR(__xludf.DUMMYFUNCTION("""COMPUTED_VALUE"""),"SOK")</f>
        <v>SOK</v>
      </c>
      <c r="G742" s="222" t="str">
        <f>IFERROR(__xludf.DUMMYFUNCTION("""COMPUTED_VALUE"""),"SUMBAGTENG")</f>
        <v>SUMBAGTENG</v>
      </c>
      <c r="H742" s="222" t="str">
        <f>IFERROR(__xludf.DUMMYFUNCTION("""COMPUTED_VALUE"""),"PEKANBARU")</f>
        <v>PEKANBARU</v>
      </c>
      <c r="I742" s="222" t="str">
        <f>IFERROR(__xludf.DUMMYFUNCTION("""COMPUTED_VALUE"""),"Batch 2")</f>
        <v>Batch 2</v>
      </c>
      <c r="J742" s="225">
        <f>IFERROR(__xludf.DUMMYFUNCTION("""COMPUTED_VALUE"""),13.0)</f>
        <v>13</v>
      </c>
      <c r="K742" s="224">
        <f>IFERROR(__xludf.DUMMYFUNCTION("""COMPUTED_VALUE"""),104.0)</f>
        <v>104</v>
      </c>
      <c r="L742" s="226">
        <f>IFERROR(__xludf.DUMMYFUNCTION("""COMPUTED_VALUE"""),1197889.0)</f>
        <v>1197889</v>
      </c>
      <c r="M742" s="227">
        <f>IFERROR(__xludf.DUMMYFUNCTION("""COMPUTED_VALUE"""),1.24580379E8)</f>
        <v>124580379</v>
      </c>
      <c r="N742" s="222" t="str">
        <f>IFERROR(__xludf.DUMMYFUNCTION("""COMPUTED_VALUE"""),"PT TRIPOLA PANATA")</f>
        <v>PT TRIPOLA PANATA</v>
      </c>
      <c r="O742" s="222" t="str">
        <f>IFERROR(__xludf.DUMMYFUNCTION("""COMPUTED_VALUE"""),"2. DONE AANWIJZING")</f>
        <v>2. DONE AANWIJZING</v>
      </c>
      <c r="P742" s="222" t="str">
        <f>IFERROR(__xludf.DUMMYFUNCTION("""COMPUTED_VALUE"""),"2.6 Tunggu Hasil DRM - ada Kenaikan CPP")</f>
        <v>2.6 Tunggu Hasil DRM - ada Kenaikan CPP</v>
      </c>
      <c r="Q742" s="222" t="str">
        <f>IFERROR(__xludf.DUMMYFUNCTION("""COMPUTED_VALUE"""),"20/04 Masih menunggu hasil evaluasi 13/04 Menunggu hasil evaluasi, karena ada perubahan design 20/01 Drop cpp tinggi karena perubahan design (07/01) Persiapan")</f>
        <v>20/04 Masih menunggu hasil evaluasi 13/04 Menunggu hasil evaluasi, karena ada perubahan design 20/01 Drop cpp tinggi karena perubahan design (07/01) Persiapan</v>
      </c>
      <c r="R742" s="228"/>
      <c r="S742" s="11"/>
      <c r="T742" s="11"/>
      <c r="U742" s="11"/>
      <c r="V742" s="229" t="str">
        <f>IFERROR(__xludf.DUMMYFUNCTION("""COMPUTED_VALUE"""),"SYAFRIAL")</f>
        <v>SYAFRIAL</v>
      </c>
      <c r="W742" s="229" t="str">
        <f>IFERROR(__xludf.DUMMYFUNCTION("""COMPUTED_VALUE"""),"DESLITA RAHMADANI")</f>
        <v>DESLITA RAHMADANI</v>
      </c>
      <c r="X742" s="229" t="str">
        <f>IFERROR(__xludf.DUMMYFUNCTION("""COMPUTED_VALUE"""),"BELUM GOLIVE")</f>
        <v>BELUM GOLIVE</v>
      </c>
      <c r="Y742" s="229"/>
      <c r="Z742" s="229" t="str">
        <f>IFERROR(__xludf.DUMMYFUNCTION("""COMPUTED_VALUE"""),"#N/A")</f>
        <v>#N/A</v>
      </c>
      <c r="AA742" s="229"/>
      <c r="AB742" s="229"/>
      <c r="AC742" s="229"/>
      <c r="AD742" s="232"/>
      <c r="AE742" s="233"/>
      <c r="AF742" s="54"/>
      <c r="AG742" s="54"/>
      <c r="AH742" s="54"/>
      <c r="AI742" s="55" t="str">
        <f t="shared" si="84"/>
        <v/>
      </c>
      <c r="AW742" s="234"/>
      <c r="BP742" s="11"/>
      <c r="BQ742" s="11"/>
      <c r="BR742" s="235"/>
      <c r="BV742" s="158"/>
      <c r="BY742" s="158"/>
      <c r="CB742" s="158"/>
    </row>
    <row r="743" ht="18.0" customHeight="1">
      <c r="A743" s="222">
        <f>IFERROR(__xludf.DUMMYFUNCTION("""COMPUTED_VALUE"""),2026.0)</f>
        <v>2026</v>
      </c>
      <c r="B743" s="221">
        <f>IFERROR(__xludf.DUMMYFUNCTION("""COMPUTED_VALUE"""),1.1276156E7)</f>
        <v>11276156</v>
      </c>
      <c r="C743" s="222" t="str">
        <f>IFERROR(__xludf.DUMMYFUNCTION("""COMPUTED_VALUE"""),"RKP PT3 TSEL BUM-FG SEI TERING")</f>
        <v>RKP PT3 TSEL BUM-FG SEI TERING</v>
      </c>
      <c r="D743" s="222" t="str">
        <f>IFERROR(__xludf.DUMMYFUNCTION("""COMPUTED_VALUE"""),"REGIONAL I")</f>
        <v>REGIONAL I</v>
      </c>
      <c r="E743" s="222" t="str">
        <f>IFERROR(__xludf.DUMMYFUNCTION("""COMPUTED_VALUE"""),"RIKEP")</f>
        <v>RIKEP</v>
      </c>
      <c r="F743" s="222" t="str">
        <f>IFERROR(__xludf.DUMMYFUNCTION("""COMPUTED_VALUE"""),"BUM")</f>
        <v>BUM</v>
      </c>
      <c r="G743" s="222" t="str">
        <f>IFERROR(__xludf.DUMMYFUNCTION("""COMPUTED_VALUE"""),"SUMBAGTENG")</f>
        <v>SUMBAGTENG</v>
      </c>
      <c r="H743" s="222" t="str">
        <f>IFERROR(__xludf.DUMMYFUNCTION("""COMPUTED_VALUE"""),"BATAM")</f>
        <v>BATAM</v>
      </c>
      <c r="I743" s="222" t="str">
        <f>IFERROR(__xludf.DUMMYFUNCTION("""COMPUTED_VALUE"""),"Batch 2")</f>
        <v>Batch 2</v>
      </c>
      <c r="J743" s="225">
        <f>IFERROR(__xludf.DUMMYFUNCTION("""COMPUTED_VALUE"""),1.0)</f>
        <v>1</v>
      </c>
      <c r="K743" s="224">
        <f>IFERROR(__xludf.DUMMYFUNCTION("""COMPUTED_VALUE"""),8.0)</f>
        <v>8</v>
      </c>
      <c r="L743" s="226">
        <f>IFERROR(__xludf.DUMMYFUNCTION("""COMPUTED_VALUE"""),1109382.0)</f>
        <v>1109382</v>
      </c>
      <c r="M743" s="227">
        <f>IFERROR(__xludf.DUMMYFUNCTION("""COMPUTED_VALUE"""),8875051.0)</f>
        <v>8875051</v>
      </c>
      <c r="N743" s="222" t="str">
        <f>IFERROR(__xludf.DUMMYFUNCTION("""COMPUTED_VALUE"""),"PT KOPEGTEL BATAM CEMERLANG")</f>
        <v>PT KOPEGTEL BATAM CEMERLANG</v>
      </c>
      <c r="O743" s="222" t="str">
        <f>IFERROR(__xludf.DUMMYFUNCTION("""COMPUTED_VALUE"""),"7. GOLIVE")</f>
        <v>7. GOLIVE</v>
      </c>
      <c r="P743" s="222" t="str">
        <f>IFERROR(__xludf.DUMMYFUNCTION("""COMPUTED_VALUE"""),"7.2 Golive Full / OA / DONE OTB")</f>
        <v>7.2 Golive Full / OA / DONE OTB</v>
      </c>
      <c r="Q743" s="222" t="str">
        <f>IFERROR(__xludf.DUMMYFUNCTION("""COMPUTED_VALUE"""),"20/02 Proses ABD mitra. 16/02 Plan progres 18 Feb. 12/02 Proeses pengecekan core dist. 09/02 sudah anwijzing, izin masih menunggu balasan dari RT, BOQ KML survey sudah di berikan. 22/01 Plan survey 24 Jan ")</f>
        <v>20/02 Proses ABD mitra. 16/02 Plan progres 18 Feb. 12/02 Proeses pengecekan core dist. 09/02 sudah anwijzing, izin masih menunggu balasan dari RT, BOQ KML survey sudah di berikan. 22/01 Plan survey 24 Jan </v>
      </c>
      <c r="R743" s="228">
        <f>IFERROR(__xludf.DUMMYFUNCTION("""COMPUTED_VALUE"""),46073.0)</f>
        <v>46073</v>
      </c>
      <c r="S743" s="11"/>
      <c r="T743" s="11"/>
      <c r="U743" s="11" t="str">
        <f>IFERROR(__xludf.DUMMYFUNCTION("""COMPUTED_VALUE"""),"W09-148/2026")</f>
        <v>W09-148/2026</v>
      </c>
      <c r="V743" s="229" t="str">
        <f>IFERROR(__xludf.DUMMYFUNCTION("""COMPUTED_VALUE"""),"RONALDO LEO INFANTRI")</f>
        <v>RONALDO LEO INFANTRI</v>
      </c>
      <c r="W743" s="229" t="str">
        <f>IFERROR(__xludf.DUMMYFUNCTION("""COMPUTED_VALUE"""),"LEVITA INDRIYANI")</f>
        <v>LEVITA INDRIYANI</v>
      </c>
      <c r="X743" s="229" t="str">
        <f>IFERROR(__xludf.DUMMYFUNCTION("""COMPUTED_VALUE"""),"GOLIVE")</f>
        <v>GOLIVE</v>
      </c>
      <c r="Y743" s="229" t="str">
        <f>IFERROR(__xludf.DUMMYFUNCTION("""COMPUTED_VALUE"""),"DONE")</f>
        <v>DONE</v>
      </c>
      <c r="Z743" s="229" t="str">
        <f>IFERROR(__xludf.DUMMYFUNCTION("""COMPUTED_VALUE"""),"#N/A")</f>
        <v>#N/A</v>
      </c>
      <c r="AA743" s="229">
        <f>IFERROR(__xludf.DUMMYFUNCTION("""COMPUTED_VALUE"""),1.0)</f>
        <v>1</v>
      </c>
      <c r="AB743" s="229"/>
      <c r="AC743" s="229" t="str">
        <f>IFERROR(__xludf.DUMMYFUNCTION("""COMPUTED_VALUE"""),"9127772#9127777")</f>
        <v>9127772#9127777</v>
      </c>
      <c r="AD743" s="232">
        <f>IFERROR(__xludf.DUMMYFUNCTION("""COMPUTED_VALUE"""),8.0)</f>
        <v>8</v>
      </c>
      <c r="AE743" s="233">
        <f>IFERROR(__xludf.DUMMYFUNCTION("""COMPUTED_VALUE"""),46077.0)</f>
        <v>46077</v>
      </c>
      <c r="AF743" s="54"/>
      <c r="AG743" s="54"/>
      <c r="AH743" s="54">
        <v>46073.0</v>
      </c>
      <c r="AI743" s="55">
        <f>IF(OR(AH743="",AE743=""),"",AH743-AE743)</f>
        <v>-4</v>
      </c>
      <c r="AW743" s="234"/>
      <c r="BP743" s="11"/>
      <c r="BQ743" s="11"/>
      <c r="BR743" s="235"/>
      <c r="BV743" s="158"/>
      <c r="BY743" s="158"/>
      <c r="CB743" s="158"/>
    </row>
    <row r="744" ht="18.0" hidden="1" customHeight="1">
      <c r="A744" s="222">
        <f>IFERROR(__xludf.DUMMYFUNCTION("""COMPUTED_VALUE"""),2026.0)</f>
        <v>2026</v>
      </c>
      <c r="B744" s="221">
        <f>IFERROR(__xludf.DUMMYFUNCTION("""COMPUTED_VALUE"""),1.1346685E7)</f>
        <v>11346685</v>
      </c>
      <c r="C744" s="222" t="str">
        <f>IFERROR(__xludf.DUMMYFUNCTION("""COMPUTED_VALUE"""),"ACH PT3 BAK-FE D02 UJONG PULO CUT")</f>
        <v>ACH PT3 BAK-FE D02 UJONG PULO CUT</v>
      </c>
      <c r="D744" s="222" t="str">
        <f>IFERROR(__xludf.DUMMYFUNCTION("""COMPUTED_VALUE"""),"REGIONAL I")</f>
        <v>REGIONAL I</v>
      </c>
      <c r="E744" s="222" t="str">
        <f>IFERROR(__xludf.DUMMYFUNCTION("""COMPUTED_VALUE"""),"ACEH")</f>
        <v>ACEH</v>
      </c>
      <c r="F744" s="222" t="str">
        <f>IFERROR(__xludf.DUMMYFUNCTION("""COMPUTED_VALUE"""),"BAK")</f>
        <v>BAK</v>
      </c>
      <c r="G744" s="222" t="str">
        <f>IFERROR(__xludf.DUMMYFUNCTION("""COMPUTED_VALUE"""),"SUMBAGUT")</f>
        <v>SUMBAGUT</v>
      </c>
      <c r="H744" s="222" t="str">
        <f>IFERROR(__xludf.DUMMYFUNCTION("""COMPUTED_VALUE"""),"BANDA ACEH")</f>
        <v>BANDA ACEH</v>
      </c>
      <c r="I744" s="222" t="str">
        <f>IFERROR(__xludf.DUMMYFUNCTION("""COMPUTED_VALUE"""),"Batch 2")</f>
        <v>Batch 2</v>
      </c>
      <c r="J744" s="225">
        <f>IFERROR(__xludf.DUMMYFUNCTION("""COMPUTED_VALUE"""),9.0)</f>
        <v>9</v>
      </c>
      <c r="K744" s="224">
        <f>IFERROR(__xludf.DUMMYFUNCTION("""COMPUTED_VALUE"""),72.0)</f>
        <v>72</v>
      </c>
      <c r="L744" s="226">
        <f>IFERROR(__xludf.DUMMYFUNCTION("""COMPUTED_VALUE"""),1109149.0)</f>
        <v>1109149</v>
      </c>
      <c r="M744" s="227">
        <f>IFERROR(__xludf.DUMMYFUNCTION("""COMPUTED_VALUE"""),7.9858659E7)</f>
        <v>79858659</v>
      </c>
      <c r="N744" s="222" t="str">
        <f>IFERROR(__xludf.DUMMYFUNCTION("""COMPUTED_VALUE"""),"PT ARA PAYA INTAN")</f>
        <v>PT ARA PAYA INTAN</v>
      </c>
      <c r="O744" s="222" t="str">
        <f>IFERROR(__xludf.DUMMYFUNCTION("""COMPUTED_VALUE"""),"7. GOLIVE")</f>
        <v>7. GOLIVE</v>
      </c>
      <c r="P744" s="222" t="str">
        <f>IFERROR(__xludf.DUMMYFUNCTION("""COMPUTED_VALUE"""),"7.2 Golive Full / OA / DONE OTB")</f>
        <v>7.2 Golive Full / OA / DONE OTB</v>
      </c>
      <c r="Q744" s="222" t="str">
        <f>IFERROR(__xludf.DUMMYFUNCTION("""COMPUTED_VALUE"""),"(21/04) Proses Valins (10/03) Konfirmasi hasil negosiasi lahan SITAC (05/03) Proses Nego Perpanjangan SITAC (03/03)terminasi (23/02) Penarikan Kabel (12/02) Tanam Tiang (09/02) MOS, Tim progress Ujung Mangki terlebih dahulu (06/02) delmat (29/01) Done Aan"&amp;"wijzing (07/01) Persiapan")</f>
        <v>(21/04) Proses Valins (10/03) Konfirmasi hasil negosiasi lahan SITAC (05/03) Proses Nego Perpanjangan SITAC (03/03)terminasi (23/02) Penarikan Kabel (12/02) Tanam Tiang (09/02) MOS, Tim progress Ujung Mangki terlebih dahulu (06/02) delmat (29/01) Done Aanwijzing (07/01) Persiapan</v>
      </c>
      <c r="R744" s="228">
        <f>IFERROR(__xludf.DUMMYFUNCTION("""COMPUTED_VALUE"""),46133.0)</f>
        <v>46133</v>
      </c>
      <c r="S744" s="11" t="str">
        <f>IFERROR(__xludf.DUMMYFUNCTION("""COMPUTED_VALUE"""),"APR")</f>
        <v>APR</v>
      </c>
      <c r="T744" s="73"/>
      <c r="U744" s="11" t="str">
        <f>IFERROR(__xludf.DUMMYFUNCTION("""COMPUTED_VALUE"""),"W04-958/2025")</f>
        <v>W04-958/2025</v>
      </c>
      <c r="V744" s="229"/>
      <c r="W744" s="229" t="str">
        <f>IFERROR(__xludf.DUMMYFUNCTION("""COMPUTED_VALUE"""),"AZMI SYUKRAN")</f>
        <v>AZMI SYUKRAN</v>
      </c>
      <c r="X744" s="229" t="str">
        <f>IFERROR(__xludf.DUMMYFUNCTION("""COMPUTED_VALUE"""),"GOLIVE")</f>
        <v>GOLIVE</v>
      </c>
      <c r="Y744" s="229" t="str">
        <f>IFERROR(__xludf.DUMMYFUNCTION("""COMPUTED_VALUE"""),"DONE")</f>
        <v>DONE</v>
      </c>
      <c r="Z744" s="229" t="str">
        <f>IFERROR(__xludf.DUMMYFUNCTION("""COMPUTED_VALUE"""),"#N/A")</f>
        <v>#N/A</v>
      </c>
      <c r="AA744" s="229">
        <f>IFERROR(__xludf.DUMMYFUNCTION("""COMPUTED_VALUE"""),9.0)</f>
        <v>9</v>
      </c>
      <c r="AB744" s="229">
        <f>IFERROR(__xludf.DUMMYFUNCTION("""COMPUTED_VALUE"""),0.0)</f>
        <v>0</v>
      </c>
      <c r="AC744" s="229" t="str">
        <f>IFERROR(__xludf.DUMMYFUNCTION("""COMPUTED_VALUE"""),"9294320#9294325")</f>
        <v>9294320#9294325</v>
      </c>
      <c r="AD744" s="232">
        <f>IFERROR(__xludf.DUMMYFUNCTION("""COMPUTED_VALUE"""),72.0)</f>
        <v>72</v>
      </c>
      <c r="AE744" s="233">
        <f>IFERROR(__xludf.DUMMYFUNCTION("""COMPUTED_VALUE"""),46133.0)</f>
        <v>46133</v>
      </c>
      <c r="AF744" s="54" t="str">
        <f>IFERROR(__xludf.DUMMYFUNCTION("""COMPUTED_VALUE"""),"PERPANJANGAN SITAC Eksisint ( progress ED )")</f>
        <v>PERPANJANGAN SITAC Eksisint ( progress ED )</v>
      </c>
      <c r="AG744" s="54"/>
      <c r="AH744" s="54">
        <v>46134.0</v>
      </c>
      <c r="AI744" s="55">
        <f t="shared" ref="AI744:AI755" si="85">IF(OR(R744="",AE744=""),"",R744-AE744)</f>
        <v>0</v>
      </c>
      <c r="AW744" s="234"/>
      <c r="BP744" s="11"/>
      <c r="BQ744" s="11"/>
      <c r="BR744" s="235"/>
      <c r="BV744" s="158"/>
      <c r="BY744" s="158"/>
      <c r="CB744" s="158"/>
    </row>
    <row r="745" ht="18.0" hidden="1" customHeight="1">
      <c r="A745" s="222">
        <f>IFERROR(__xludf.DUMMYFUNCTION("""COMPUTED_VALUE"""),2026.0)</f>
        <v>2026</v>
      </c>
      <c r="B745" s="221">
        <f>IFERROR(__xludf.DUMMYFUNCTION("""COMPUTED_VALUE"""),1.2386423E7)</f>
        <v>12386423</v>
      </c>
      <c r="C745" s="222" t="str">
        <f>IFERROR(__xludf.DUMMYFUNCTION("""COMPUTED_VALUE"""),"BBL PT3 P4I3 AIR MESU 2")</f>
        <v>BBL PT3 P4I3 AIR MESU 2</v>
      </c>
      <c r="D745" s="222" t="str">
        <f>IFERROR(__xludf.DUMMYFUNCTION("""COMPUTED_VALUE"""),"REGIONAL I")</f>
        <v>REGIONAL I</v>
      </c>
      <c r="E745" s="222" t="str">
        <f>IFERROR(__xludf.DUMMYFUNCTION("""COMPUTED_VALUE"""),"BABEL")</f>
        <v>BABEL</v>
      </c>
      <c r="F745" s="222" t="str">
        <f>IFERROR(__xludf.DUMMYFUNCTION("""COMPUTED_VALUE"""),"PGP")</f>
        <v>PGP</v>
      </c>
      <c r="G745" s="222" t="str">
        <f>IFERROR(__xludf.DUMMYFUNCTION("""COMPUTED_VALUE"""),"SUMBAGSEL")</f>
        <v>SUMBAGSEL</v>
      </c>
      <c r="H745" s="222" t="str">
        <f>IFERROR(__xludf.DUMMYFUNCTION("""COMPUTED_VALUE"""),"PANGKAL PINANG")</f>
        <v>PANGKAL PINANG</v>
      </c>
      <c r="I745" s="222" t="str">
        <f>IFERROR(__xludf.DUMMYFUNCTION("""COMPUTED_VALUE"""),"Batch 2")</f>
        <v>Batch 2</v>
      </c>
      <c r="J745" s="225">
        <f>IFERROR(__xludf.DUMMYFUNCTION("""COMPUTED_VALUE"""),6.0)</f>
        <v>6</v>
      </c>
      <c r="K745" s="224">
        <f>IFERROR(__xludf.DUMMYFUNCTION("""COMPUTED_VALUE"""),72.0)</f>
        <v>72</v>
      </c>
      <c r="L745" s="226">
        <f>IFERROR(__xludf.DUMMYFUNCTION("""COMPUTED_VALUE"""),1109014.0)</f>
        <v>1109014</v>
      </c>
      <c r="M745" s="227">
        <f>IFERROR(__xludf.DUMMYFUNCTION("""COMPUTED_VALUE"""),7.9849008E7)</f>
        <v>79849008</v>
      </c>
      <c r="N745" s="222" t="str">
        <f>IFERROR(__xludf.DUMMYFUNCTION("""COMPUTED_VALUE"""),"PT SARANA MITRA PERSADA")</f>
        <v>PT SARANA MITRA PERSADA</v>
      </c>
      <c r="O745" s="222" t="str">
        <f>IFERROR(__xludf.DUMMYFUNCTION("""COMPUTED_VALUE"""),"7. GOLIVE")</f>
        <v>7. GOLIVE</v>
      </c>
      <c r="P745" s="222" t="str">
        <f>IFERROR(__xludf.DUMMYFUNCTION("""COMPUTED_VALUE"""),"7.2 Golive Full / OA / DONE OTB")</f>
        <v>7.2 Golive Full / OA / DONE OTB</v>
      </c>
      <c r="Q745" s="222" t="str">
        <f>IFERROR(__xludf.DUMMYFUNCTION("""COMPUTED_VALUE"""),"20/2 Golive 18/02 terminasi ODP (16/2) tarik kabel done , feeder existing perlu qe , progres mitra KAS karena masih garansi (13/02) tanam tiang 12/19 (09/02) penarikan kabel 12D 1200 done, tanam tiang 10/19 (06/02) Penarikan Kabel (28/1) penarikan 27/1 MA"&amp;"TDEL  (06/01)order JPP batch-2 2026 (02/01 matdel (16/12) hold 28/11 proses DRM mitra (21/11) created PID (17/11) sudah aawidzing (4/11) pengturan jadwal anwijzing (5/11) Penunjukan mitra")</f>
        <v>20/2 Golive 18/02 terminasi ODP (16/2) tarik kabel done , feeder existing perlu qe , progres mitra KAS karena masih garansi (13/02) tanam tiang 12/19 (09/02) penarikan kabel 12D 1200 done, tanam tiang 10/19 (06/02) Penarikan Kabel (28/1) penarikan 27/1 MATDEL  (06/01)order JPP batch-2 2026 (02/01 matdel (16/12) hold 28/11 proses DRM mitra (21/11) created PID (17/11) sudah aawidzing (4/11) pengturan jadwal anwijzing (5/11) Penunjukan mitra</v>
      </c>
      <c r="R745" s="228">
        <f>IFERROR(__xludf.DUMMYFUNCTION("""COMPUTED_VALUE"""),46073.0)</f>
        <v>46073</v>
      </c>
      <c r="S745" s="11"/>
      <c r="T745" s="11"/>
      <c r="U745" s="11"/>
      <c r="V745" s="229"/>
      <c r="W745" s="229"/>
      <c r="X745" s="229" t="str">
        <f>IFERROR(__xludf.DUMMYFUNCTION("""COMPUTED_VALUE"""),"GOLIVE")</f>
        <v>GOLIVE</v>
      </c>
      <c r="Y745" s="229" t="str">
        <f>IFERROR(__xludf.DUMMYFUNCTION("""COMPUTED_VALUE"""),"DONE")</f>
        <v>DONE</v>
      </c>
      <c r="Z745" s="229" t="str">
        <f>IFERROR(__xludf.DUMMYFUNCTION("""COMPUTED_VALUE"""),"#N/A")</f>
        <v>#N/A</v>
      </c>
      <c r="AA745" s="229">
        <f>IFERROR(__xludf.DUMMYFUNCTION("""COMPUTED_VALUE"""),3.0)</f>
        <v>3</v>
      </c>
      <c r="AB745" s="229">
        <f>IFERROR(__xludf.DUMMYFUNCTION("""COMPUTED_VALUE"""),3.0)</f>
        <v>3</v>
      </c>
      <c r="AC745" s="229" t="str">
        <f>IFERROR(__xludf.DUMMYFUNCTION("""COMPUTED_VALUE"""),"9127779#9127784")</f>
        <v>9127779#9127784</v>
      </c>
      <c r="AD745" s="232">
        <f>IFERROR(__xludf.DUMMYFUNCTION("""COMPUTED_VALUE"""),72.0)</f>
        <v>72</v>
      </c>
      <c r="AE745" s="233">
        <f>IFERROR(__xludf.DUMMYFUNCTION("""COMPUTED_VALUE"""),46073.0)</f>
        <v>46073</v>
      </c>
      <c r="AF745" s="54"/>
      <c r="AG745" s="54"/>
      <c r="AH745" s="54">
        <v>46073.0</v>
      </c>
      <c r="AI745" s="55">
        <f t="shared" si="85"/>
        <v>0</v>
      </c>
      <c r="AW745" s="234"/>
      <c r="BP745" s="11"/>
      <c r="BQ745" s="11"/>
      <c r="BR745" s="235"/>
      <c r="BV745" s="158"/>
      <c r="BY745" s="158"/>
      <c r="CB745" s="158"/>
    </row>
    <row r="746" ht="18.0" customHeight="1">
      <c r="A746" s="222">
        <f>IFERROR(__xludf.DUMMYFUNCTION("""COMPUTED_VALUE"""),2026.0)</f>
        <v>2026</v>
      </c>
      <c r="B746" s="221">
        <f>IFERROR(__xludf.DUMMYFUNCTION("""COMPUTED_VALUE"""),1.1521988E7)</f>
        <v>11521988</v>
      </c>
      <c r="C746" s="222" t="str">
        <f>IFERROR(__xludf.DUMMYFUNCTION("""COMPUTED_VALUE"""),"SMB P3I1 Jl. Raya Tj Ampalu SJJ")</f>
        <v>SMB P3I1 Jl. Raya Tj Ampalu SJJ</v>
      </c>
      <c r="D746" s="222" t="str">
        <f>IFERROR(__xludf.DUMMYFUNCTION("""COMPUTED_VALUE"""),"REGIONAL I")</f>
        <v>REGIONAL I</v>
      </c>
      <c r="E746" s="222" t="str">
        <f>IFERROR(__xludf.DUMMYFUNCTION("""COMPUTED_VALUE"""),"SUMBAR")</f>
        <v>SUMBAR</v>
      </c>
      <c r="F746" s="222" t="str">
        <f>IFERROR(__xludf.DUMMYFUNCTION("""COMPUTED_VALUE"""),"SJJ")</f>
        <v>SJJ</v>
      </c>
      <c r="G746" s="222" t="str">
        <f>IFERROR(__xludf.DUMMYFUNCTION("""COMPUTED_VALUE"""),"SUMBAGTENG")</f>
        <v>SUMBAGTENG</v>
      </c>
      <c r="H746" s="222" t="str">
        <f>IFERROR(__xludf.DUMMYFUNCTION("""COMPUTED_VALUE"""),"PADANG")</f>
        <v>PADANG</v>
      </c>
      <c r="I746" s="222" t="str">
        <f>IFERROR(__xludf.DUMMYFUNCTION("""COMPUTED_VALUE"""),"Batch 2")</f>
        <v>Batch 2</v>
      </c>
      <c r="J746" s="225">
        <f>IFERROR(__xludf.DUMMYFUNCTION("""COMPUTED_VALUE"""),3.0)</f>
        <v>3</v>
      </c>
      <c r="K746" s="224">
        <f>IFERROR(__xludf.DUMMYFUNCTION("""COMPUTED_VALUE"""),24.0)</f>
        <v>24</v>
      </c>
      <c r="L746" s="226">
        <f>IFERROR(__xludf.DUMMYFUNCTION("""COMPUTED_VALUE"""),1108647.0)</f>
        <v>1108647</v>
      </c>
      <c r="M746" s="227">
        <f>IFERROR(__xludf.DUMMYFUNCTION("""COMPUTED_VALUE"""),2.6607519E7)</f>
        <v>26607519</v>
      </c>
      <c r="N746" s="222" t="str">
        <f>IFERROR(__xludf.DUMMYFUNCTION("""COMPUTED_VALUE"""),"PT TANJUNG PUTRA PRIMA")</f>
        <v>PT TANJUNG PUTRA PRIMA</v>
      </c>
      <c r="O746" s="222" t="str">
        <f>IFERROR(__xludf.DUMMYFUNCTION("""COMPUTED_VALUE"""),"8. UJI TERIMA")</f>
        <v>8. UJI TERIMA</v>
      </c>
      <c r="P746" s="222" t="str">
        <f>IFERROR(__xludf.DUMMYFUNCTION("""COMPUTED_VALUE"""),"8.1 Proses UT")</f>
        <v>8.1 Proses UT</v>
      </c>
      <c r="Q746" s="222" t="str">
        <f>IFERROR(__xludf.DUMMYFUNCTION("""COMPUTED_VALUE"""),"(07/01) Persiapan")</f>
        <v>(07/01) Persiapan</v>
      </c>
      <c r="R746" s="228"/>
      <c r="S746" s="11"/>
      <c r="T746" s="11"/>
      <c r="U746" s="11" t="str">
        <f>IFERROR(__xludf.DUMMYFUNCTION("""COMPUTED_VALUE"""),"W10-1789/2025 25KT03R158-0573")</f>
        <v>W10-1789/2025 25KT03R158-0573</v>
      </c>
      <c r="V746" s="229" t="str">
        <f>IFERROR(__xludf.DUMMYFUNCTION("""COMPUTED_VALUE"""),"FAISAL NURHAMDI")</f>
        <v>FAISAL NURHAMDI</v>
      </c>
      <c r="W746" s="229" t="str">
        <f>IFERROR(__xludf.DUMMYFUNCTION("""COMPUTED_VALUE"""),"MELKO NARWADI")</f>
        <v>MELKO NARWADI</v>
      </c>
      <c r="X746" s="229" t="str">
        <f>IFERROR(__xludf.DUMMYFUNCTION("""COMPUTED_VALUE"""),"GOLIVE")</f>
        <v>GOLIVE</v>
      </c>
      <c r="Y746" s="229" t="str">
        <f>IFERROR(__xludf.DUMMYFUNCTION("""COMPUTED_VALUE"""),"DONE")</f>
        <v>DONE</v>
      </c>
      <c r="Z746" s="229" t="str">
        <f>IFERROR(__xludf.DUMMYFUNCTION("""COMPUTED_VALUE"""),"#N/A")</f>
        <v>#N/A</v>
      </c>
      <c r="AA746" s="229">
        <f>IFERROR(__xludf.DUMMYFUNCTION("""COMPUTED_VALUE"""),3.0)</f>
        <v>3</v>
      </c>
      <c r="AB746" s="229"/>
      <c r="AC746" s="229" t="str">
        <f>IFERROR(__xludf.DUMMYFUNCTION("""COMPUTED_VALUE"""),"8989533#8989538")</f>
        <v>8989533#8989538</v>
      </c>
      <c r="AD746" s="232">
        <f>IFERROR(__xludf.DUMMYFUNCTION("""COMPUTED_VALUE"""),24.0)</f>
        <v>24</v>
      </c>
      <c r="AE746" s="233">
        <f>IFERROR(__xludf.DUMMYFUNCTION("""COMPUTED_VALUE"""),46043.0)</f>
        <v>46043</v>
      </c>
      <c r="AF746" s="54"/>
      <c r="AG746" s="54"/>
      <c r="AH746" s="54"/>
      <c r="AI746" s="55" t="str">
        <f t="shared" si="85"/>
        <v/>
      </c>
      <c r="AW746" s="234"/>
      <c r="BP746" s="11"/>
      <c r="BQ746" s="11"/>
      <c r="BR746" s="235"/>
      <c r="BV746" s="158"/>
      <c r="BY746" s="158"/>
      <c r="CB746" s="158"/>
    </row>
    <row r="747" ht="18.0" customHeight="1">
      <c r="A747" s="222">
        <f>IFERROR(__xludf.DUMMYFUNCTION("""COMPUTED_VALUE"""),2026.0)</f>
        <v>2026</v>
      </c>
      <c r="B747" s="221">
        <f>IFERROR(__xludf.DUMMYFUNCTION("""COMPUTED_VALUE"""),1.1242141E7)</f>
        <v>11242141</v>
      </c>
      <c r="C747" s="222" t="str">
        <f>IFERROR(__xludf.DUMMYFUNCTION("""COMPUTED_VALUE"""),"RKP PT3 TSEL BTC-FEJ CLUSTER SAFRON")</f>
        <v>RKP PT3 TSEL BTC-FEJ CLUSTER SAFRON</v>
      </c>
      <c r="D747" s="222" t="str">
        <f>IFERROR(__xludf.DUMMYFUNCTION("""COMPUTED_VALUE"""),"REGIONAL I")</f>
        <v>REGIONAL I</v>
      </c>
      <c r="E747" s="222" t="str">
        <f>IFERROR(__xludf.DUMMYFUNCTION("""COMPUTED_VALUE"""),"RIKEP")</f>
        <v>RIKEP</v>
      </c>
      <c r="F747" s="222" t="str">
        <f>IFERROR(__xludf.DUMMYFUNCTION("""COMPUTED_VALUE"""),"BTC")</f>
        <v>BTC</v>
      </c>
      <c r="G747" s="222" t="str">
        <f>IFERROR(__xludf.DUMMYFUNCTION("""COMPUTED_VALUE"""),"SUMBAGTENG")</f>
        <v>SUMBAGTENG</v>
      </c>
      <c r="H747" s="222" t="str">
        <f>IFERROR(__xludf.DUMMYFUNCTION("""COMPUTED_VALUE"""),"BATAM")</f>
        <v>BATAM</v>
      </c>
      <c r="I747" s="222" t="str">
        <f>IFERROR(__xludf.DUMMYFUNCTION("""COMPUTED_VALUE"""),"Batch 2")</f>
        <v>Batch 2</v>
      </c>
      <c r="J747" s="225">
        <f>IFERROR(__xludf.DUMMYFUNCTION("""COMPUTED_VALUE"""),3.0)</f>
        <v>3</v>
      </c>
      <c r="K747" s="224">
        <f>IFERROR(__xludf.DUMMYFUNCTION("""COMPUTED_VALUE"""),24.0)</f>
        <v>24</v>
      </c>
      <c r="L747" s="226">
        <f>IFERROR(__xludf.DUMMYFUNCTION("""COMPUTED_VALUE"""),1108646.0)</f>
        <v>1108646</v>
      </c>
      <c r="M747" s="227">
        <f>IFERROR(__xludf.DUMMYFUNCTION("""COMPUTED_VALUE"""),2.6607501E7)</f>
        <v>26607501</v>
      </c>
      <c r="N747" s="222" t="str">
        <f>IFERROR(__xludf.DUMMYFUNCTION("""COMPUTED_VALUE"""),"PT ALTONG JAYA ABADI")</f>
        <v>PT ALTONG JAYA ABADI</v>
      </c>
      <c r="O747" s="222" t="str">
        <f>IFERROR(__xludf.DUMMYFUNCTION("""COMPUTED_VALUE"""),"0. DROP")</f>
        <v>0. DROP</v>
      </c>
      <c r="P747" s="222" t="str">
        <f>IFERROR(__xludf.DUMMYFUNCTION("""COMPUTED_VALUE"""),"0.2 Tidak Dapat Izin Warga/Kades/Lurah/Developer")</f>
        <v>0.2 Tidak Dapat Izin Warga/Kades/Lurah/Developer</v>
      </c>
      <c r="Q747" s="222" t="str">
        <f>IFERROR(__xludf.DUMMYFUNCTION("""COMPUTED_VALUE"""),"22/01 surat izin sudah masuk berbulan bulan namun blm ada balasan")</f>
        <v>22/01 surat izin sudah masuk berbulan bulan namun blm ada balasan</v>
      </c>
      <c r="R747" s="228"/>
      <c r="S747" s="11"/>
      <c r="T747" s="11"/>
      <c r="U747" s="11"/>
      <c r="V747" s="229" t="str">
        <f>IFERROR(__xludf.DUMMYFUNCTION("""COMPUTED_VALUE"""),"GANI PRASTYO")</f>
        <v>GANI PRASTYO</v>
      </c>
      <c r="W747" s="229" t="str">
        <f>IFERROR(__xludf.DUMMYFUNCTION("""COMPUTED_VALUE"""),"LEVITA INDRIYANI")</f>
        <v>LEVITA INDRIYANI</v>
      </c>
      <c r="X747" s="229" t="str">
        <f>IFERROR(__xludf.DUMMYFUNCTION("""COMPUTED_VALUE"""),"BELUM GOLIVE")</f>
        <v>BELUM GOLIVE</v>
      </c>
      <c r="Y747" s="229"/>
      <c r="Z747" s="229" t="str">
        <f>IFERROR(__xludf.DUMMYFUNCTION("""COMPUTED_VALUE"""),"#N/A")</f>
        <v>#N/A</v>
      </c>
      <c r="AA747" s="229"/>
      <c r="AB747" s="229"/>
      <c r="AC747" s="229"/>
      <c r="AD747" s="232"/>
      <c r="AE747" s="233"/>
      <c r="AF747" s="54" t="str">
        <f>IFERROR(__xludf.DUMMYFUNCTION("""COMPUTED_VALUE"""),"Draft BA DROP")</f>
        <v>Draft BA DROP</v>
      </c>
      <c r="AG747" s="54"/>
      <c r="AH747" s="54"/>
      <c r="AI747" s="55" t="str">
        <f t="shared" si="85"/>
        <v/>
      </c>
      <c r="AW747" s="234"/>
      <c r="BP747" s="11"/>
      <c r="BQ747" s="11"/>
      <c r="BR747" s="235"/>
      <c r="BV747" s="158"/>
      <c r="BY747" s="158"/>
      <c r="CB747" s="158"/>
    </row>
    <row r="748" ht="18.0" hidden="1" customHeight="1">
      <c r="A748" s="222">
        <f>IFERROR(__xludf.DUMMYFUNCTION("""COMPUTED_VALUE"""),2026.0)</f>
        <v>2026</v>
      </c>
      <c r="B748" s="221">
        <f>IFERROR(__xludf.DUMMYFUNCTION("""COMPUTED_VALUE"""),1.1271812E7)</f>
        <v>11271812</v>
      </c>
      <c r="C748" s="222" t="str">
        <f>IFERROR(__xludf.DUMMYFUNCTION("""COMPUTED_VALUE"""),"MDN PT3 P1I1 SPM-FBV JL.BILAL")</f>
        <v>MDN PT3 P1I1 SPM-FBV JL.BILAL</v>
      </c>
      <c r="D748" s="222" t="str">
        <f>IFERROR(__xludf.DUMMYFUNCTION("""COMPUTED_VALUE"""),"REGIONAL I")</f>
        <v>REGIONAL I</v>
      </c>
      <c r="E748" s="222" t="str">
        <f>IFERROR(__xludf.DUMMYFUNCTION("""COMPUTED_VALUE"""),"MEDAN")</f>
        <v>MEDAN</v>
      </c>
      <c r="F748" s="222" t="str">
        <f>IFERROR(__xludf.DUMMYFUNCTION("""COMPUTED_VALUE"""),"SPM")</f>
        <v>SPM</v>
      </c>
      <c r="G748" s="222" t="str">
        <f>IFERROR(__xludf.DUMMYFUNCTION("""COMPUTED_VALUE"""),"SUMBAGUT")</f>
        <v>SUMBAGUT</v>
      </c>
      <c r="H748" s="222" t="str">
        <f>IFERROR(__xludf.DUMMYFUNCTION("""COMPUTED_VALUE"""),"MEDAN")</f>
        <v>MEDAN</v>
      </c>
      <c r="I748" s="222" t="str">
        <f>IFERROR(__xludf.DUMMYFUNCTION("""COMPUTED_VALUE"""),"Batch 2")</f>
        <v>Batch 2</v>
      </c>
      <c r="J748" s="225">
        <f>IFERROR(__xludf.DUMMYFUNCTION("""COMPUTED_VALUE"""),3.0)</f>
        <v>3</v>
      </c>
      <c r="K748" s="224">
        <f>IFERROR(__xludf.DUMMYFUNCTION("""COMPUTED_VALUE"""),24.0)</f>
        <v>24</v>
      </c>
      <c r="L748" s="226">
        <f>IFERROR(__xludf.DUMMYFUNCTION("""COMPUTED_VALUE"""),978445.0)</f>
        <v>978445</v>
      </c>
      <c r="M748" s="227">
        <f>IFERROR(__xludf.DUMMYFUNCTION("""COMPUTED_VALUE"""),2.3482664E7)</f>
        <v>23482664</v>
      </c>
      <c r="N748" s="222" t="str">
        <f>IFERROR(__xludf.DUMMYFUNCTION("""COMPUTED_VALUE"""),"PT UPENTEL INTERNASIONAL")</f>
        <v>PT UPENTEL INTERNASIONAL</v>
      </c>
      <c r="O748" s="222" t="str">
        <f>IFERROR(__xludf.DUMMYFUNCTION("""COMPUTED_VALUE"""),"8. UJI TERIMA")</f>
        <v>8. UJI TERIMA</v>
      </c>
      <c r="P748" s="222" t="str">
        <f>IFERROR(__xludf.DUMMYFUNCTION("""COMPUTED_VALUE"""),"8.1 Proses UT")</f>
        <v>8.1 Proses UT</v>
      </c>
      <c r="Q748" s="222" t="str">
        <f>IFERROR(__xludf.DUMMYFUNCTION("""COMPUTED_VALUE"""),"20/02 penarikan KU 18/02 pengambilan material 06/02 Pengajuan biaya kompensasi kelurahan Sari Rejo
07/02 Done Order, Lnjut Aanwidzing")</f>
        <v>20/02 penarikan KU 18/02 pengambilan material 06/02 Pengajuan biaya kompensasi kelurahan Sari Rejo
07/02 Done Order, Lnjut Aanwidzing</v>
      </c>
      <c r="R748" s="228"/>
      <c r="S748" s="11"/>
      <c r="T748" s="11"/>
      <c r="U748" s="11" t="str">
        <f>IFERROR(__xludf.DUMMYFUNCTION("""COMPUTED_VALUE"""),"FALSE")</f>
        <v>FALSE</v>
      </c>
      <c r="V748" s="229"/>
      <c r="W748" s="229"/>
      <c r="X748" s="229" t="str">
        <f>IFERROR(__xludf.DUMMYFUNCTION("""COMPUTED_VALUE"""),"GOLIVE")</f>
        <v>GOLIVE</v>
      </c>
      <c r="Y748" s="229" t="str">
        <f>IFERROR(__xludf.DUMMYFUNCTION("""COMPUTED_VALUE"""),"DONE")</f>
        <v>DONE</v>
      </c>
      <c r="Z748" s="229" t="str">
        <f>IFERROR(__xludf.DUMMYFUNCTION("""COMPUTED_VALUE"""),"#N/A")</f>
        <v>#N/A</v>
      </c>
      <c r="AA748" s="229">
        <f>IFERROR(__xludf.DUMMYFUNCTION("""COMPUTED_VALUE"""),3.0)</f>
        <v>3</v>
      </c>
      <c r="AB748" s="229"/>
      <c r="AC748" s="229" t="str">
        <f>IFERROR(__xludf.DUMMYFUNCTION("""COMPUTED_VALUE"""),"9162854#9162859")</f>
        <v>9162854#9162859</v>
      </c>
      <c r="AD748" s="232">
        <f>IFERROR(__xludf.DUMMYFUNCTION("""COMPUTED_VALUE"""),24.0)</f>
        <v>24</v>
      </c>
      <c r="AE748" s="233">
        <f>IFERROR(__xludf.DUMMYFUNCTION("""COMPUTED_VALUE"""),46081.0)</f>
        <v>46081</v>
      </c>
      <c r="AF748" s="54"/>
      <c r="AG748" s="54"/>
      <c r="AH748" s="54"/>
      <c r="AI748" s="55" t="str">
        <f t="shared" si="85"/>
        <v/>
      </c>
      <c r="AW748" s="234"/>
      <c r="BP748" s="11"/>
      <c r="BQ748" s="11"/>
      <c r="BR748" s="235"/>
      <c r="BV748" s="158"/>
      <c r="BY748" s="158"/>
      <c r="CB748" s="158"/>
    </row>
    <row r="749" ht="18.0" hidden="1" customHeight="1">
      <c r="A749" s="222">
        <f>IFERROR(__xludf.DUMMYFUNCTION("""COMPUTED_VALUE"""),2026.0)</f>
        <v>2026</v>
      </c>
      <c r="B749" s="221">
        <f>IFERROR(__xludf.DUMMYFUNCTION("""COMPUTED_VALUE"""),1.1405299E7)</f>
        <v>11405299</v>
      </c>
      <c r="C749" s="222" t="str">
        <f>IFERROR(__xludf.DUMMYFUNCTION("""COMPUTED_VALUE"""),"ACH PT3 DAR-FBC KOMP.UIN COT YANG_MD")</f>
        <v>ACH PT3 DAR-FBC KOMP.UIN COT YANG_MD</v>
      </c>
      <c r="D749" s="222" t="str">
        <f>IFERROR(__xludf.DUMMYFUNCTION("""COMPUTED_VALUE"""),"REGIONAL I")</f>
        <v>REGIONAL I</v>
      </c>
      <c r="E749" s="222" t="str">
        <f>IFERROR(__xludf.DUMMYFUNCTION("""COMPUTED_VALUE"""),"ACEH")</f>
        <v>ACEH</v>
      </c>
      <c r="F749" s="222" t="str">
        <f>IFERROR(__xludf.DUMMYFUNCTION("""COMPUTED_VALUE"""),"DAR")</f>
        <v>DAR</v>
      </c>
      <c r="G749" s="222" t="str">
        <f>IFERROR(__xludf.DUMMYFUNCTION("""COMPUTED_VALUE"""),"SUMBAGUT")</f>
        <v>SUMBAGUT</v>
      </c>
      <c r="H749" s="222" t="str">
        <f>IFERROR(__xludf.DUMMYFUNCTION("""COMPUTED_VALUE"""),"BANDA ACEH")</f>
        <v>BANDA ACEH</v>
      </c>
      <c r="I749" s="222" t="str">
        <f>IFERROR(__xludf.DUMMYFUNCTION("""COMPUTED_VALUE"""),"Batch 2")</f>
        <v>Batch 2</v>
      </c>
      <c r="J749" s="225">
        <f>IFERROR(__xludf.DUMMYFUNCTION("""COMPUTED_VALUE"""),8.0)</f>
        <v>8</v>
      </c>
      <c r="K749" s="224">
        <f>IFERROR(__xludf.DUMMYFUNCTION("""COMPUTED_VALUE"""),64.0)</f>
        <v>64</v>
      </c>
      <c r="L749" s="226">
        <f>IFERROR(__xludf.DUMMYFUNCTION("""COMPUTED_VALUE"""),1201274.0)</f>
        <v>1201274</v>
      </c>
      <c r="M749" s="227">
        <f>IFERROR(__xludf.DUMMYFUNCTION("""COMPUTED_VALUE"""),7.6881495E7)</f>
        <v>76881495</v>
      </c>
      <c r="N749" s="222" t="str">
        <f>IFERROR(__xludf.DUMMYFUNCTION("""COMPUTED_VALUE"""),"PT NIAGA NUSANTARA DIVA")</f>
        <v>PT NIAGA NUSANTARA DIVA</v>
      </c>
      <c r="O749" s="222" t="str">
        <f>IFERROR(__xludf.DUMMYFUNCTION("""COMPUTED_VALUE"""),"7. GOLIVE")</f>
        <v>7. GOLIVE</v>
      </c>
      <c r="P749" s="222" t="str">
        <f>IFERROR(__xludf.DUMMYFUNCTION("""COMPUTED_VALUE"""),"7.2 Golive Full / OA / DONE OTB")</f>
        <v>7.2 Golive Full / OA / DONE OTB</v>
      </c>
      <c r="Q749" s="222" t="str">
        <f>IFERROR(__xludf.DUMMYFUNCTION("""COMPUTED_VALUE"""),"(07/01) Persiapan")</f>
        <v>(07/01) Persiapan</v>
      </c>
      <c r="R749" s="228">
        <f>IFERROR(__xludf.DUMMYFUNCTION("""COMPUTED_VALUE"""),46035.0)</f>
        <v>46035</v>
      </c>
      <c r="S749" s="11"/>
      <c r="T749" s="11"/>
      <c r="U749" s="11" t="str">
        <f>IFERROR(__xludf.DUMMYFUNCTION("""COMPUTED_VALUE"""),"W04-761/2025")</f>
        <v>W04-761/2025</v>
      </c>
      <c r="V749" s="229"/>
      <c r="W749" s="229"/>
      <c r="X749" s="229" t="str">
        <f>IFERROR(__xludf.DUMMYFUNCTION("""COMPUTED_VALUE"""),"GOLIVE")</f>
        <v>GOLIVE</v>
      </c>
      <c r="Y749" s="229" t="str">
        <f>IFERROR(__xludf.DUMMYFUNCTION("""COMPUTED_VALUE"""),"DONE")</f>
        <v>DONE</v>
      </c>
      <c r="Z749" s="229" t="str">
        <f>IFERROR(__xludf.DUMMYFUNCTION("""COMPUTED_VALUE"""),"#N/A")</f>
        <v>#N/A</v>
      </c>
      <c r="AA749" s="229">
        <f>IFERROR(__xludf.DUMMYFUNCTION("""COMPUTED_VALUE"""),8.0)</f>
        <v>8</v>
      </c>
      <c r="AB749" s="229"/>
      <c r="AC749" s="229" t="str">
        <f>IFERROR(__xludf.DUMMYFUNCTION("""COMPUTED_VALUE"""),"8948714#8948719")</f>
        <v>8948714#8948719</v>
      </c>
      <c r="AD749" s="232">
        <f>IFERROR(__xludf.DUMMYFUNCTION("""COMPUTED_VALUE"""),64.0)</f>
        <v>64</v>
      </c>
      <c r="AE749" s="233">
        <f>IFERROR(__xludf.DUMMYFUNCTION("""COMPUTED_VALUE"""),46035.0)</f>
        <v>46035</v>
      </c>
      <c r="AF749" s="54"/>
      <c r="AG749" s="54"/>
      <c r="AH749" s="54">
        <v>46035.0</v>
      </c>
      <c r="AI749" s="55">
        <f t="shared" si="85"/>
        <v>0</v>
      </c>
      <c r="AW749" s="234"/>
      <c r="BP749" s="11"/>
      <c r="BQ749" s="11"/>
      <c r="BR749" s="235"/>
      <c r="BV749" s="158"/>
      <c r="BY749" s="158"/>
      <c r="CB749" s="158"/>
    </row>
    <row r="750" ht="18.0" hidden="1" customHeight="1">
      <c r="A750" s="222">
        <f>IFERROR(__xludf.DUMMYFUNCTION("""COMPUTED_VALUE"""),2026.0)</f>
        <v>2026</v>
      </c>
      <c r="B750" s="221">
        <f>IFERROR(__xludf.DUMMYFUNCTION("""COMPUTED_VALUE"""),1.1398712E7)</f>
        <v>11398712</v>
      </c>
      <c r="C750" s="222" t="str">
        <f>IFERROR(__xludf.DUMMYFUNCTION("""COMPUTED_VALUE"""),"MDN PT4 TMU-FAB ODP PRIORITAS")</f>
        <v>MDN PT4 TMU-FAB ODP PRIORITAS</v>
      </c>
      <c r="D750" s="222" t="str">
        <f>IFERROR(__xludf.DUMMYFUNCTION("""COMPUTED_VALUE"""),"REGIONAL I")</f>
        <v>REGIONAL I</v>
      </c>
      <c r="E750" s="222" t="str">
        <f>IFERROR(__xludf.DUMMYFUNCTION("""COMPUTED_VALUE"""),"MEDAN")</f>
        <v>MEDAN</v>
      </c>
      <c r="F750" s="222" t="str">
        <f>IFERROR(__xludf.DUMMYFUNCTION("""COMPUTED_VALUE"""),"TMU")</f>
        <v>TMU</v>
      </c>
      <c r="G750" s="222" t="str">
        <f>IFERROR(__xludf.DUMMYFUNCTION("""COMPUTED_VALUE"""),"SUMBAGUT")</f>
        <v>SUMBAGUT</v>
      </c>
      <c r="H750" s="222" t="str">
        <f>IFERROR(__xludf.DUMMYFUNCTION("""COMPUTED_VALUE"""),"MEDAN")</f>
        <v>MEDAN</v>
      </c>
      <c r="I750" s="222" t="str">
        <f>IFERROR(__xludf.DUMMYFUNCTION("""COMPUTED_VALUE"""),"Batch 2")</f>
        <v>Batch 2</v>
      </c>
      <c r="J750" s="225">
        <f>IFERROR(__xludf.DUMMYFUNCTION("""COMPUTED_VALUE"""),34.0)</f>
        <v>34</v>
      </c>
      <c r="K750" s="224">
        <f>IFERROR(__xludf.DUMMYFUNCTION("""COMPUTED_VALUE"""),272.0)</f>
        <v>272</v>
      </c>
      <c r="L750" s="226">
        <f>IFERROR(__xludf.DUMMYFUNCTION("""COMPUTED_VALUE"""),1157765.0)</f>
        <v>1157765</v>
      </c>
      <c r="M750" s="227">
        <f>IFERROR(__xludf.DUMMYFUNCTION("""COMPUTED_VALUE"""),3.14912044E8)</f>
        <v>314912044</v>
      </c>
      <c r="N750" s="222" t="str">
        <f>IFERROR(__xludf.DUMMYFUNCTION("""COMPUTED_VALUE"""),"PT DUL JAYA TAMA")</f>
        <v>PT DUL JAYA TAMA</v>
      </c>
      <c r="O750" s="222" t="str">
        <f>IFERROR(__xludf.DUMMYFUNCTION("""COMPUTED_VALUE"""),"0. DROP")</f>
        <v>0. DROP</v>
      </c>
      <c r="P750" s="222" t="str">
        <f>IFERROR(__xludf.DUMMYFUNCTION("""COMPUTED_VALUE"""),"0.4 CPP Tinggi Acc ED TIF")</f>
        <v>0.4 CPP Tinggi Acc ED TIF</v>
      </c>
      <c r="Q750" s="222" t="str">
        <f>IFERROR(__xludf.DUMMYFUNCTION("""COMPUTED_VALUE"""),"23/02 Pengecekan ulang ODC 02/02 Feeder Tidak Tembus")</f>
        <v>23/02 Pengecekan ulang ODC 02/02 Feeder Tidak Tembus</v>
      </c>
      <c r="R750" s="228"/>
      <c r="S750" s="11"/>
      <c r="T750" s="11"/>
      <c r="U750" s="11"/>
      <c r="V750" s="229"/>
      <c r="W750" s="229"/>
      <c r="X750" s="229" t="str">
        <f>IFERROR(__xludf.DUMMYFUNCTION("""COMPUTED_VALUE"""),"BELUM GOLIVE")</f>
        <v>BELUM GOLIVE</v>
      </c>
      <c r="Y750" s="229"/>
      <c r="Z750" s="229" t="str">
        <f>IFERROR(__xludf.DUMMYFUNCTION("""COMPUTED_VALUE"""),"#N/A")</f>
        <v>#N/A</v>
      </c>
      <c r="AA750" s="229"/>
      <c r="AB750" s="229"/>
      <c r="AC750" s="229"/>
      <c r="AD750" s="232"/>
      <c r="AE750" s="233"/>
      <c r="AF750" s="54" t="str">
        <f>IFERROR(__xludf.DUMMYFUNCTION("""COMPUTED_VALUE"""),"Draft BA DROP")</f>
        <v>Draft BA DROP</v>
      </c>
      <c r="AG750" s="54"/>
      <c r="AH750" s="54"/>
      <c r="AI750" s="55" t="str">
        <f t="shared" si="85"/>
        <v/>
      </c>
      <c r="AW750" s="234"/>
      <c r="BP750" s="11"/>
      <c r="BQ750" s="11"/>
      <c r="BR750" s="235"/>
      <c r="BV750" s="158"/>
      <c r="BY750" s="158"/>
      <c r="CB750" s="158"/>
    </row>
    <row r="751" ht="18.0" hidden="1" customHeight="1">
      <c r="A751" s="222">
        <f>IFERROR(__xludf.DUMMYFUNCTION("""COMPUTED_VALUE"""),2026.0)</f>
        <v>2026</v>
      </c>
      <c r="B751" s="221">
        <f>IFERROR(__xludf.DUMMYFUNCTION("""COMPUTED_VALUE"""),1.1271905E7)</f>
        <v>11271905</v>
      </c>
      <c r="C751" s="222" t="str">
        <f>IFERROR(__xludf.DUMMYFUNCTION("""COMPUTED_VALUE"""),"MDN PT3 P1I1 DLT-FK JL.SUKA TENANG")</f>
        <v>MDN PT3 P1I1 DLT-FK JL.SUKA TENANG</v>
      </c>
      <c r="D751" s="222" t="str">
        <f>IFERROR(__xludf.DUMMYFUNCTION("""COMPUTED_VALUE"""),"REGIONAL I")</f>
        <v>REGIONAL I</v>
      </c>
      <c r="E751" s="222" t="str">
        <f>IFERROR(__xludf.DUMMYFUNCTION("""COMPUTED_VALUE"""),"MEDAN")</f>
        <v>MEDAN</v>
      </c>
      <c r="F751" s="222" t="str">
        <f>IFERROR(__xludf.DUMMYFUNCTION("""COMPUTED_VALUE"""),"DLT")</f>
        <v>DLT</v>
      </c>
      <c r="G751" s="222" t="str">
        <f>IFERROR(__xludf.DUMMYFUNCTION("""COMPUTED_VALUE"""),"SUMBAGUT")</f>
        <v>SUMBAGUT</v>
      </c>
      <c r="H751" s="222" t="str">
        <f>IFERROR(__xludf.DUMMYFUNCTION("""COMPUTED_VALUE"""),"MEDAN")</f>
        <v>MEDAN</v>
      </c>
      <c r="I751" s="222" t="str">
        <f>IFERROR(__xludf.DUMMYFUNCTION("""COMPUTED_VALUE"""),"Batch 2")</f>
        <v>Batch 2</v>
      </c>
      <c r="J751" s="225">
        <f>IFERROR(__xludf.DUMMYFUNCTION("""COMPUTED_VALUE"""),10.0)</f>
        <v>10</v>
      </c>
      <c r="K751" s="224">
        <f>IFERROR(__xludf.DUMMYFUNCTION("""COMPUTED_VALUE"""),80.0)</f>
        <v>80</v>
      </c>
      <c r="L751" s="226">
        <f>IFERROR(__xludf.DUMMYFUNCTION("""COMPUTED_VALUE"""),818788.0)</f>
        <v>818788</v>
      </c>
      <c r="M751" s="227">
        <f>IFERROR(__xludf.DUMMYFUNCTION("""COMPUTED_VALUE"""),6.5503039E7)</f>
        <v>65503039</v>
      </c>
      <c r="N751" s="222" t="str">
        <f>IFERROR(__xludf.DUMMYFUNCTION("""COMPUTED_VALUE"""),"SWAKELOLA")</f>
        <v>SWAKELOLA</v>
      </c>
      <c r="O751" s="222" t="str">
        <f>IFERROR(__xludf.DUMMYFUNCTION("""COMPUTED_VALUE"""),"2. DONE AANWIJZING")</f>
        <v>2. DONE AANWIJZING</v>
      </c>
      <c r="P751" s="222" t="str">
        <f>IFERROR(__xludf.DUMMYFUNCTION("""COMPUTED_VALUE"""),"2.10 Kendala - Feeder Rusak")</f>
        <v>2.10 Kendala - Feeder Rusak</v>
      </c>
      <c r="Q751" s="222" t="str">
        <f>IFERROR(__xludf.DUMMYFUNCTION("""COMPUTED_VALUE"""),"08/03 Feeder Redti 5/11 Feeder Habis
15/09 proses aanwijzing")</f>
        <v>08/03 Feeder Redti 5/11 Feeder Habis
15/09 proses aanwijzing</v>
      </c>
      <c r="R751" s="228"/>
      <c r="S751" s="11"/>
      <c r="T751" s="11"/>
      <c r="U751" s="11"/>
      <c r="V751" s="229"/>
      <c r="W751" s="229"/>
      <c r="X751" s="229" t="str">
        <f>IFERROR(__xludf.DUMMYFUNCTION("""COMPUTED_VALUE"""),"BELUM GOLIVE")</f>
        <v>BELUM GOLIVE</v>
      </c>
      <c r="Y751" s="229"/>
      <c r="Z751" s="229" t="str">
        <f>IFERROR(__xludf.DUMMYFUNCTION("""COMPUTED_VALUE"""),"#N/A")</f>
        <v>#N/A</v>
      </c>
      <c r="AA751" s="229"/>
      <c r="AB751" s="229"/>
      <c r="AC751" s="229"/>
      <c r="AD751" s="232"/>
      <c r="AE751" s="233"/>
      <c r="AF751" s="54"/>
      <c r="AG751" s="54"/>
      <c r="AH751" s="54"/>
      <c r="AI751" s="55" t="str">
        <f t="shared" si="85"/>
        <v/>
      </c>
      <c r="AW751" s="234"/>
      <c r="BP751" s="11"/>
      <c r="BQ751" s="11"/>
      <c r="BR751" s="235"/>
      <c r="BV751" s="158"/>
      <c r="BY751" s="158"/>
      <c r="CB751" s="158"/>
    </row>
    <row r="752" ht="18.0" hidden="1" customHeight="1">
      <c r="A752" s="222">
        <f>IFERROR(__xludf.DUMMYFUNCTION("""COMPUTED_VALUE"""),2026.0)</f>
        <v>2026</v>
      </c>
      <c r="B752" s="221">
        <f>IFERROR(__xludf.DUMMYFUNCTION("""COMPUTED_VALUE"""),1.2386372E7)</f>
        <v>12386372</v>
      </c>
      <c r="C752" s="222" t="str">
        <f>IFERROR(__xludf.DUMMYFUNCTION("""COMPUTED_VALUE"""),"BBL PT3 P4I3 Perumahan Kirana 5")</f>
        <v>BBL PT3 P4I3 Perumahan Kirana 5</v>
      </c>
      <c r="D752" s="222" t="str">
        <f>IFERROR(__xludf.DUMMYFUNCTION("""COMPUTED_VALUE"""),"REGIONAL I")</f>
        <v>REGIONAL I</v>
      </c>
      <c r="E752" s="222" t="str">
        <f>IFERROR(__xludf.DUMMYFUNCTION("""COMPUTED_VALUE"""),"BABEL")</f>
        <v>BABEL</v>
      </c>
      <c r="F752" s="222" t="str">
        <f>IFERROR(__xludf.DUMMYFUNCTION("""COMPUTED_VALUE"""),"TJN")</f>
        <v>TJN</v>
      </c>
      <c r="G752" s="222" t="str">
        <f>IFERROR(__xludf.DUMMYFUNCTION("""COMPUTED_VALUE"""),"SUMBAGSEL")</f>
        <v>SUMBAGSEL</v>
      </c>
      <c r="H752" s="222" t="str">
        <f>IFERROR(__xludf.DUMMYFUNCTION("""COMPUTED_VALUE"""),"PANGKAL PINANG")</f>
        <v>PANGKAL PINANG</v>
      </c>
      <c r="I752" s="222" t="str">
        <f>IFERROR(__xludf.DUMMYFUNCTION("""COMPUTED_VALUE"""),"Batch 2")</f>
        <v>Batch 2</v>
      </c>
      <c r="J752" s="225">
        <f>IFERROR(__xludf.DUMMYFUNCTION("""COMPUTED_VALUE"""),1.0)</f>
        <v>1</v>
      </c>
      <c r="K752" s="224">
        <f>IFERROR(__xludf.DUMMYFUNCTION("""COMPUTED_VALUE"""),16.0)</f>
        <v>16</v>
      </c>
      <c r="L752" s="226">
        <f>IFERROR(__xludf.DUMMYFUNCTION("""COMPUTED_VALUE"""),1105564.0)</f>
        <v>1105564</v>
      </c>
      <c r="M752" s="227">
        <f>IFERROR(__xludf.DUMMYFUNCTION("""COMPUTED_VALUE"""),1.768902E7)</f>
        <v>17689020</v>
      </c>
      <c r="N752" s="222" t="str">
        <f>IFERROR(__xludf.DUMMYFUNCTION("""COMPUTED_VALUE"""),"PT BAYUMI CAHAYA NUSANTARA")</f>
        <v>PT BAYUMI CAHAYA NUSANTARA</v>
      </c>
      <c r="O752" s="222" t="str">
        <f>IFERROR(__xludf.DUMMYFUNCTION("""COMPUTED_VALUE"""),"7. GOLIVE")</f>
        <v>7. GOLIVE</v>
      </c>
      <c r="P752" s="222" t="str">
        <f>IFERROR(__xludf.DUMMYFUNCTION("""COMPUTED_VALUE"""),"7.2 Golive Full / OA / DONE OTB")</f>
        <v>7.2 Golive Full / OA / DONE OTB</v>
      </c>
      <c r="Q752" s="222" t="str">
        <f>IFERROR(__xludf.DUMMYFUNCTION("""COMPUTED_VALUE"""),"15/01 golive (13/01)  Penarikan Kabel dan Rekap V4 (7/1) REKAP V4  31/12 finish instalasi (16/12) hold, finish instalasi28/11 proses instalasi ODP 18/11 fisik done (17/11) mitra masih mengerjakan pekerjaan lain 15/ 11 perapian tiang 4/4 done , KABEL 500/5"&amp;"00 (13/11) proses penanaman Tiang 4/4  (12/11) matdel (10/11) progres DRM mitra (29/10) done anwijzing (28/10) Penunjukan mitra")</f>
        <v>15/01 golive (13/01)  Penarikan Kabel dan Rekap V4 (7/1) REKAP V4  31/12 finish instalasi (16/12) hold, finish instalasi28/11 proses instalasi ODP 18/11 fisik done (17/11) mitra masih mengerjakan pekerjaan lain 15/ 11 perapian tiang 4/4 done , KABEL 500/500 (13/11) proses penanaman Tiang 4/4  (12/11) matdel (10/11) progres DRM mitra (29/10) done anwijzing (28/10) Penunjukan mitra</v>
      </c>
      <c r="R752" s="228"/>
      <c r="S752" s="11"/>
      <c r="T752" s="11"/>
      <c r="U752" s="11"/>
      <c r="V752" s="229"/>
      <c r="W752" s="229"/>
      <c r="X752" s="229" t="str">
        <f>IFERROR(__xludf.DUMMYFUNCTION("""COMPUTED_VALUE"""),"GOLIVE")</f>
        <v>GOLIVE</v>
      </c>
      <c r="Y752" s="229" t="str">
        <f>IFERROR(__xludf.DUMMYFUNCTION("""COMPUTED_VALUE"""),"DONE")</f>
        <v>DONE</v>
      </c>
      <c r="Z752" s="229" t="str">
        <f>IFERROR(__xludf.DUMMYFUNCTION("""COMPUTED_VALUE"""),"#N/A")</f>
        <v>#N/A</v>
      </c>
      <c r="AA752" s="229"/>
      <c r="AB752" s="229">
        <f>IFERROR(__xludf.DUMMYFUNCTION("""COMPUTED_VALUE"""),1.0)</f>
        <v>1</v>
      </c>
      <c r="AC752" s="229" t="str">
        <f>IFERROR(__xludf.DUMMYFUNCTION("""COMPUTED_VALUE"""),"8976255#8976260")</f>
        <v>8976255#8976260</v>
      </c>
      <c r="AD752" s="232">
        <f>IFERROR(__xludf.DUMMYFUNCTION("""COMPUTED_VALUE"""),16.0)</f>
        <v>16</v>
      </c>
      <c r="AE752" s="233">
        <f>IFERROR(__xludf.DUMMYFUNCTION("""COMPUTED_VALUE"""),46037.0)</f>
        <v>46037</v>
      </c>
      <c r="AF752" s="54" t="str">
        <f>IFERROR(__xludf.DUMMYFUNCTION("""COMPUTED_VALUE"""),"DONE")</f>
        <v>DONE</v>
      </c>
      <c r="AG752" s="54"/>
      <c r="AH752" s="54"/>
      <c r="AI752" s="55" t="str">
        <f t="shared" si="85"/>
        <v/>
      </c>
      <c r="AW752" s="234"/>
      <c r="BP752" s="11"/>
      <c r="BQ752" s="11"/>
      <c r="BR752" s="235"/>
      <c r="BV752" s="158"/>
      <c r="BY752" s="158"/>
      <c r="CB752" s="158"/>
    </row>
    <row r="753" ht="18.0" hidden="1" customHeight="1">
      <c r="A753" s="222">
        <f>IFERROR(__xludf.DUMMYFUNCTION("""COMPUTED_VALUE"""),2026.0)</f>
        <v>2026</v>
      </c>
      <c r="B753" s="221">
        <f>IFERROR(__xludf.DUMMYFUNCTION("""COMPUTED_VALUE"""),1.127188E7)</f>
        <v>11271880</v>
      </c>
      <c r="C753" s="222" t="str">
        <f>IFERROR(__xludf.DUMMYFUNCTION("""COMPUTED_VALUE"""),"MDN PT3 P1I1 BJI-FQA DUSUN VI SRIDADI")</f>
        <v>MDN PT3 P1I1 BJI-FQA DUSUN VI SRIDADI</v>
      </c>
      <c r="D753" s="222" t="str">
        <f>IFERROR(__xludf.DUMMYFUNCTION("""COMPUTED_VALUE"""),"REGIONAL I")</f>
        <v>REGIONAL I</v>
      </c>
      <c r="E753" s="222" t="str">
        <f>IFERROR(__xludf.DUMMYFUNCTION("""COMPUTED_VALUE"""),"MEDAN")</f>
        <v>MEDAN</v>
      </c>
      <c r="F753" s="222" t="str">
        <f>IFERROR(__xludf.DUMMYFUNCTION("""COMPUTED_VALUE"""),"BJI")</f>
        <v>BJI</v>
      </c>
      <c r="G753" s="222" t="str">
        <f>IFERROR(__xludf.DUMMYFUNCTION("""COMPUTED_VALUE"""),"SUMBAGUT")</f>
        <v>SUMBAGUT</v>
      </c>
      <c r="H753" s="222" t="str">
        <f>IFERROR(__xludf.DUMMYFUNCTION("""COMPUTED_VALUE"""),"BINJAI")</f>
        <v>BINJAI</v>
      </c>
      <c r="I753" s="222" t="str">
        <f>IFERROR(__xludf.DUMMYFUNCTION("""COMPUTED_VALUE"""),"Batch 2")</f>
        <v>Batch 2</v>
      </c>
      <c r="J753" s="225">
        <f>IFERROR(__xludf.DUMMYFUNCTION("""COMPUTED_VALUE"""),12.0)</f>
        <v>12</v>
      </c>
      <c r="K753" s="224">
        <f>IFERROR(__xludf.DUMMYFUNCTION("""COMPUTED_VALUE"""),96.0)</f>
        <v>96</v>
      </c>
      <c r="L753" s="226">
        <f>IFERROR(__xludf.DUMMYFUNCTION("""COMPUTED_VALUE"""),1105334.0)</f>
        <v>1105334</v>
      </c>
      <c r="M753" s="227">
        <f>IFERROR(__xludf.DUMMYFUNCTION("""COMPUTED_VALUE"""),1.06111998E8)</f>
        <v>106111998</v>
      </c>
      <c r="N753" s="222" t="str">
        <f>IFERROR(__xludf.DUMMYFUNCTION("""COMPUTED_VALUE"""),"PT KENCANA RAYA INDONESIA")</f>
        <v>PT KENCANA RAYA INDONESIA</v>
      </c>
      <c r="O753" s="222" t="str">
        <f>IFERROR(__xludf.DUMMYFUNCTION("""COMPUTED_VALUE"""),"8. UJI TERIMA")</f>
        <v>8. UJI TERIMA</v>
      </c>
      <c r="P753" s="222" t="str">
        <f>IFERROR(__xludf.DUMMYFUNCTION("""COMPUTED_VALUE"""),"8.1 Proses UT")</f>
        <v>8.1 Proses UT</v>
      </c>
      <c r="Q753" s="222" t="str">
        <f>IFERROR(__xludf.DUMMYFUNCTION("""COMPUTED_VALUE"""),"04/03 submit abd
26/02 penarikan KU
20/02 pengambilan material
14/02 feeder ready 17/09 BJI-FQA kendala sisa feeder redting")</f>
        <v>04/03 submit abd
26/02 penarikan KU
20/02 pengambilan material
14/02 feeder ready 17/09 BJI-FQA kendala sisa feeder redting</v>
      </c>
      <c r="R753" s="228">
        <f>IFERROR(__xludf.DUMMYFUNCTION("""COMPUTED_VALUE"""),46088.0)</f>
        <v>46088</v>
      </c>
      <c r="S753" s="11" t="str">
        <f>IFERROR(__xludf.DUMMYFUNCTION("""COMPUTED_VALUE"""),"MAR")</f>
        <v>MAR</v>
      </c>
      <c r="T753" s="11"/>
      <c r="U753" s="11" t="str">
        <f>IFERROR(__xludf.DUMMYFUNCTION("""COMPUTED_VALUE"""),"FALSE")</f>
        <v>FALSE</v>
      </c>
      <c r="V753" s="229"/>
      <c r="W753" s="229" t="str">
        <f>IFERROR(__xludf.DUMMYFUNCTION("""COMPUTED_VALUE"""),"#N/A")</f>
        <v>#N/A</v>
      </c>
      <c r="X753" s="229" t="str">
        <f>IFERROR(__xludf.DUMMYFUNCTION("""COMPUTED_VALUE"""),"GOLIVE")</f>
        <v>GOLIVE</v>
      </c>
      <c r="Y753" s="229" t="str">
        <f>IFERROR(__xludf.DUMMYFUNCTION("""COMPUTED_VALUE"""),"DONE")</f>
        <v>DONE</v>
      </c>
      <c r="Z753" s="229" t="str">
        <f>IFERROR(__xludf.DUMMYFUNCTION("""COMPUTED_VALUE"""),"#N/A")</f>
        <v>#N/A</v>
      </c>
      <c r="AA753" s="229">
        <f>IFERROR(__xludf.DUMMYFUNCTION("""COMPUTED_VALUE"""),12.0)</f>
        <v>12</v>
      </c>
      <c r="AB753" s="229"/>
      <c r="AC753" s="229" t="str">
        <f>IFERROR(__xludf.DUMMYFUNCTION("""COMPUTED_VALUE"""),"9176577#9176582")</f>
        <v>9176577#9176582</v>
      </c>
      <c r="AD753" s="232">
        <f>IFERROR(__xludf.DUMMYFUNCTION("""COMPUTED_VALUE"""),96.0)</f>
        <v>96</v>
      </c>
      <c r="AE753" s="233">
        <f>IFERROR(__xludf.DUMMYFUNCTION("""COMPUTED_VALUE"""),46086.0)</f>
        <v>46086</v>
      </c>
      <c r="AF753" s="54"/>
      <c r="AG753" s="54"/>
      <c r="AH753" s="54">
        <v>46088.0</v>
      </c>
      <c r="AI753" s="55">
        <f t="shared" si="85"/>
        <v>2</v>
      </c>
      <c r="AW753" s="234"/>
      <c r="BP753" s="11"/>
      <c r="BQ753" s="11"/>
      <c r="BR753" s="235"/>
      <c r="BV753" s="158"/>
      <c r="BY753" s="158"/>
      <c r="CB753" s="158"/>
    </row>
    <row r="754" ht="18.0" customHeight="1">
      <c r="A754" s="222">
        <f>IFERROR(__xludf.DUMMYFUNCTION("""COMPUTED_VALUE"""),2026.0)</f>
        <v>2026</v>
      </c>
      <c r="B754" s="221">
        <f>IFERROR(__xludf.DUMMYFUNCTION("""COMPUTED_VALUE"""),1.1746644E7)</f>
        <v>11746644</v>
      </c>
      <c r="C754" s="222" t="str">
        <f>IFERROR(__xludf.DUMMYFUNCTION("""COMPUTED_VALUE"""),"SMB P3I2 SCATTER CINDUA MATO")</f>
        <v>SMB P3I2 SCATTER CINDUA MATO</v>
      </c>
      <c r="D754" s="222" t="str">
        <f>IFERROR(__xludf.DUMMYFUNCTION("""COMPUTED_VALUE"""),"REGIONAL I")</f>
        <v>REGIONAL I</v>
      </c>
      <c r="E754" s="222" t="str">
        <f>IFERROR(__xludf.DUMMYFUNCTION("""COMPUTED_VALUE"""),"SUMBAR")</f>
        <v>SUMBAR</v>
      </c>
      <c r="F754" s="222" t="str">
        <f>IFERROR(__xludf.DUMMYFUNCTION("""COMPUTED_VALUE"""),"NRS")</f>
        <v>NRS</v>
      </c>
      <c r="G754" s="222" t="str">
        <f>IFERROR(__xludf.DUMMYFUNCTION("""COMPUTED_VALUE"""),"SUMBAGTENG")</f>
        <v>SUMBAGTENG</v>
      </c>
      <c r="H754" s="222" t="str">
        <f>IFERROR(__xludf.DUMMYFUNCTION("""COMPUTED_VALUE"""),"BUKIT TINGGI")</f>
        <v>BUKIT TINGGI</v>
      </c>
      <c r="I754" s="222" t="str">
        <f>IFERROR(__xludf.DUMMYFUNCTION("""COMPUTED_VALUE"""),"Batch 2")</f>
        <v>Batch 2</v>
      </c>
      <c r="J754" s="225">
        <f>IFERROR(__xludf.DUMMYFUNCTION("""COMPUTED_VALUE"""),14.0)</f>
        <v>14</v>
      </c>
      <c r="K754" s="224">
        <f>IFERROR(__xludf.DUMMYFUNCTION("""COMPUTED_VALUE"""),112.0)</f>
        <v>112</v>
      </c>
      <c r="L754" s="226">
        <f>IFERROR(__xludf.DUMMYFUNCTION("""COMPUTED_VALUE"""),1104582.0)</f>
        <v>1104582</v>
      </c>
      <c r="M754" s="227">
        <f>IFERROR(__xludf.DUMMYFUNCTION("""COMPUTED_VALUE"""),1.23713093E8)</f>
        <v>123713093</v>
      </c>
      <c r="N754" s="222" t="str">
        <f>IFERROR(__xludf.DUMMYFUNCTION("""COMPUTED_VALUE"""),"PT TRI LESMA INDONESIA")</f>
        <v>PT TRI LESMA INDONESIA</v>
      </c>
      <c r="O754" s="222" t="str">
        <f>IFERROR(__xludf.DUMMYFUNCTION("""COMPUTED_VALUE"""),"8. UJI TERIMA")</f>
        <v>8. UJI TERIMA</v>
      </c>
      <c r="P754" s="222" t="str">
        <f>IFERROR(__xludf.DUMMYFUNCTION("""COMPUTED_VALUE"""),"8.1 Proses UT")</f>
        <v>8.1 Proses UT</v>
      </c>
      <c r="Q754" s="222" t="str">
        <f>IFERROR(__xludf.DUMMYFUNCTION("""COMPUTED_VALUE"""),"(21/01) ABD mancore, HOLD GL karena ada ctt UT (07/01) Persiapan")</f>
        <v>(21/01) ABD mancore, HOLD GL karena ada ctt UT (07/01) Persiapan</v>
      </c>
      <c r="R754" s="228"/>
      <c r="S754" s="11"/>
      <c r="T754" s="11"/>
      <c r="U754" s="11" t="str">
        <f>IFERROR(__xludf.DUMMYFUNCTION("""COMPUTED_VALUE"""),"W10-1755/2025 25KT03R158-0489")</f>
        <v>W10-1755/2025 25KT03R158-0489</v>
      </c>
      <c r="V754" s="229" t="str">
        <f>IFERROR(__xludf.DUMMYFUNCTION("""COMPUTED_VALUE"""),"ALDI EFENDI")</f>
        <v>ALDI EFENDI</v>
      </c>
      <c r="W754" s="229" t="str">
        <f>IFERROR(__xludf.DUMMYFUNCTION("""COMPUTED_VALUE"""),"MELKO NARWADI")</f>
        <v>MELKO NARWADI</v>
      </c>
      <c r="X754" s="229" t="str">
        <f>IFERROR(__xludf.DUMMYFUNCTION("""COMPUTED_VALUE"""),"GOLIVE")</f>
        <v>GOLIVE</v>
      </c>
      <c r="Y754" s="229" t="str">
        <f>IFERROR(__xludf.DUMMYFUNCTION("""COMPUTED_VALUE"""),"DONE")</f>
        <v>DONE</v>
      </c>
      <c r="Z754" s="229" t="str">
        <f>IFERROR(__xludf.DUMMYFUNCTION("""COMPUTED_VALUE"""),"#N/A")</f>
        <v>#N/A</v>
      </c>
      <c r="AA754" s="229">
        <f>IFERROR(__xludf.DUMMYFUNCTION("""COMPUTED_VALUE"""),14.0)</f>
        <v>14</v>
      </c>
      <c r="AB754" s="229"/>
      <c r="AC754" s="229" t="str">
        <f>IFERROR(__xludf.DUMMYFUNCTION("""COMPUTED_VALUE"""),"9001121#9001126")</f>
        <v>9001121#9001126</v>
      </c>
      <c r="AD754" s="232">
        <f>IFERROR(__xludf.DUMMYFUNCTION("""COMPUTED_VALUE"""),112.0)</f>
        <v>112</v>
      </c>
      <c r="AE754" s="233">
        <f>IFERROR(__xludf.DUMMYFUNCTION("""COMPUTED_VALUE"""),46050.0)</f>
        <v>46050</v>
      </c>
      <c r="AF754" s="54"/>
      <c r="AG754" s="54"/>
      <c r="AH754" s="54"/>
      <c r="AI754" s="55" t="str">
        <f t="shared" si="85"/>
        <v/>
      </c>
      <c r="AW754" s="234"/>
      <c r="BP754" s="11"/>
      <c r="BQ754" s="11"/>
      <c r="BR754" s="235"/>
      <c r="BV754" s="158"/>
      <c r="BY754" s="158"/>
      <c r="CB754" s="158"/>
    </row>
    <row r="755" ht="18.0" hidden="1" customHeight="1">
      <c r="A755" s="222">
        <f>IFERROR(__xludf.DUMMYFUNCTION("""COMPUTED_VALUE"""),2026.0)</f>
        <v>2026</v>
      </c>
      <c r="B755" s="221">
        <f>IFERROR(__xludf.DUMMYFUNCTION("""COMPUTED_VALUE"""),1.1187468E7)</f>
        <v>11187468</v>
      </c>
      <c r="C755" s="222" t="str">
        <f>IFERROR(__xludf.DUMMYFUNCTION("""COMPUTED_VALUE"""),"MDN PT3 P7I11 CTD-FAJ JL.KESATRIA")</f>
        <v>MDN PT3 P7I11 CTD-FAJ JL.KESATRIA</v>
      </c>
      <c r="D755" s="222" t="str">
        <f>IFERROR(__xludf.DUMMYFUNCTION("""COMPUTED_VALUE"""),"REGIONAL I")</f>
        <v>REGIONAL I</v>
      </c>
      <c r="E755" s="222" t="str">
        <f>IFERROR(__xludf.DUMMYFUNCTION("""COMPUTED_VALUE"""),"MEDAN")</f>
        <v>MEDAN</v>
      </c>
      <c r="F755" s="222" t="str">
        <f>IFERROR(__xludf.DUMMYFUNCTION("""COMPUTED_VALUE"""),"CTD")</f>
        <v>CTD</v>
      </c>
      <c r="G755" s="222" t="str">
        <f>IFERROR(__xludf.DUMMYFUNCTION("""COMPUTED_VALUE"""),"SUMBAGUT")</f>
        <v>SUMBAGUT</v>
      </c>
      <c r="H755" s="222" t="str">
        <f>IFERROR(__xludf.DUMMYFUNCTION("""COMPUTED_VALUE"""),"MEDAN")</f>
        <v>MEDAN</v>
      </c>
      <c r="I755" s="222" t="str">
        <f>IFERROR(__xludf.DUMMYFUNCTION("""COMPUTED_VALUE"""),"Batch 2")</f>
        <v>Batch 2</v>
      </c>
      <c r="J755" s="225">
        <f>IFERROR(__xludf.DUMMYFUNCTION("""COMPUTED_VALUE"""),3.0)</f>
        <v>3</v>
      </c>
      <c r="K755" s="224">
        <f>IFERROR(__xludf.DUMMYFUNCTION("""COMPUTED_VALUE"""),24.0)</f>
        <v>24</v>
      </c>
      <c r="L755" s="226">
        <f>IFERROR(__xludf.DUMMYFUNCTION("""COMPUTED_VALUE"""),1104551.0)</f>
        <v>1104551</v>
      </c>
      <c r="M755" s="227">
        <f>IFERROR(__xludf.DUMMYFUNCTION("""COMPUTED_VALUE"""),2.6509212E7)</f>
        <v>26509212</v>
      </c>
      <c r="N755" s="222" t="str">
        <f>IFERROR(__xludf.DUMMYFUNCTION("""COMPUTED_VALUE"""),"PT MEDCOM SOLUTION")</f>
        <v>PT MEDCOM SOLUTION</v>
      </c>
      <c r="O755" s="222" t="str">
        <f>IFERROR(__xludf.DUMMYFUNCTION("""COMPUTED_VALUE"""),"0. DROP")</f>
        <v>0. DROP</v>
      </c>
      <c r="P755" s="222" t="str">
        <f>IFERROR(__xludf.DUMMYFUNCTION("""COMPUTED_VALUE"""),"0.2 Tidak Dapat Izin Warga/Kades/Lurah/Developer")</f>
        <v>0.2 Tidak Dapat Izin Warga/Kades/Lurah/Developer</v>
      </c>
      <c r="Q755" s="222" t="str">
        <f>IFERROR(__xludf.DUMMYFUNCTION("""COMPUTED_VALUE"""),"Tidak Ada Space Tanam Tiang (07/01) Persiapan")</f>
        <v>Tidak Ada Space Tanam Tiang (07/01) Persiapan</v>
      </c>
      <c r="R755" s="228"/>
      <c r="S755" s="11"/>
      <c r="T755" s="11"/>
      <c r="U755" s="11"/>
      <c r="V755" s="229"/>
      <c r="W755" s="229"/>
      <c r="X755" s="229" t="str">
        <f>IFERROR(__xludf.DUMMYFUNCTION("""COMPUTED_VALUE"""),"BELUM GOLIVE")</f>
        <v>BELUM GOLIVE</v>
      </c>
      <c r="Y755" s="229"/>
      <c r="Z755" s="229" t="str">
        <f>IFERROR(__xludf.DUMMYFUNCTION("""COMPUTED_VALUE"""),"#N/A")</f>
        <v>#N/A</v>
      </c>
      <c r="AA755" s="229"/>
      <c r="AB755" s="229"/>
      <c r="AC755" s="229"/>
      <c r="AD755" s="232"/>
      <c r="AE755" s="233"/>
      <c r="AF755" s="54" t="str">
        <f>IFERROR(__xludf.DUMMYFUNCTION("""COMPUTED_VALUE"""),"Draft BA DROP")</f>
        <v>Draft BA DROP</v>
      </c>
      <c r="AG755" s="54"/>
      <c r="AH755" s="54"/>
      <c r="AI755" s="55" t="str">
        <f t="shared" si="85"/>
        <v/>
      </c>
      <c r="AW755" s="234"/>
      <c r="BP755" s="11"/>
      <c r="BQ755" s="11"/>
      <c r="BR755" s="235"/>
      <c r="BV755" s="158"/>
      <c r="BY755" s="158"/>
      <c r="CB755" s="158"/>
    </row>
    <row r="756" ht="18.0" hidden="1" customHeight="1">
      <c r="A756" s="222">
        <f>IFERROR(__xludf.DUMMYFUNCTION("""COMPUTED_VALUE"""),2026.0)</f>
        <v>2026</v>
      </c>
      <c r="B756" s="221">
        <f>IFERROR(__xludf.DUMMYFUNCTION("""COMPUTED_VALUE"""),1.1325914E7)</f>
        <v>11325914</v>
      </c>
      <c r="C756" s="222" t="str">
        <f>IFERROR(__xludf.DUMMYFUNCTION("""COMPUTED_VALUE"""),"MDN PT3 LBP-FJ JL.DUSUN DAMAI")</f>
        <v>MDN PT3 LBP-FJ JL.DUSUN DAMAI</v>
      </c>
      <c r="D756" s="222" t="str">
        <f>IFERROR(__xludf.DUMMYFUNCTION("""COMPUTED_VALUE"""),"REGIONAL I")</f>
        <v>REGIONAL I</v>
      </c>
      <c r="E756" s="222" t="str">
        <f>IFERROR(__xludf.DUMMYFUNCTION("""COMPUTED_VALUE"""),"MEDAN")</f>
        <v>MEDAN</v>
      </c>
      <c r="F756" s="222" t="str">
        <f>IFERROR(__xludf.DUMMYFUNCTION("""COMPUTED_VALUE"""),"LBP")</f>
        <v>LBP</v>
      </c>
      <c r="G756" s="222" t="str">
        <f>IFERROR(__xludf.DUMMYFUNCTION("""COMPUTED_VALUE"""),"SUMBAGUT")</f>
        <v>SUMBAGUT</v>
      </c>
      <c r="H756" s="222" t="str">
        <f>IFERROR(__xludf.DUMMYFUNCTION("""COMPUTED_VALUE"""),"MEDAN")</f>
        <v>MEDAN</v>
      </c>
      <c r="I756" s="222" t="str">
        <f>IFERROR(__xludf.DUMMYFUNCTION("""COMPUTED_VALUE"""),"Batch 2")</f>
        <v>Batch 2</v>
      </c>
      <c r="J756" s="225">
        <f>IFERROR(__xludf.DUMMYFUNCTION("""COMPUTED_VALUE"""),3.0)</f>
        <v>3</v>
      </c>
      <c r="K756" s="224">
        <f>IFERROR(__xludf.DUMMYFUNCTION("""COMPUTED_VALUE"""),24.0)</f>
        <v>24</v>
      </c>
      <c r="L756" s="226">
        <f>IFERROR(__xludf.DUMMYFUNCTION("""COMPUTED_VALUE"""),833869.0)</f>
        <v>833869</v>
      </c>
      <c r="M756" s="227">
        <f>IFERROR(__xludf.DUMMYFUNCTION("""COMPUTED_VALUE"""),2.0012839E7)</f>
        <v>20012839</v>
      </c>
      <c r="N756" s="222" t="str">
        <f>IFERROR(__xludf.DUMMYFUNCTION("""COMPUTED_VALUE"""),"SWAKELOLA")</f>
        <v>SWAKELOLA</v>
      </c>
      <c r="O756" s="222" t="str">
        <f>IFERROR(__xludf.DUMMYFUNCTION("""COMPUTED_VALUE"""),"3. PERIZINAN")</f>
        <v>3. PERIZINAN</v>
      </c>
      <c r="P756" s="222" t="str">
        <f>IFERROR(__xludf.DUMMYFUNCTION("""COMPUTED_VALUE"""),"3.9 Izin Kades / Lurah / RTRW")</f>
        <v>3.9 Izin Kades / Lurah / RTRW</v>
      </c>
      <c r="Q756" s="222" t="str">
        <f>IFERROR(__xludf.DUMMYFUNCTION("""COMPUTED_VALUE"""),"20/04 OGP perizinan
10/04 take over ke swakelola dari mitra bsa
16/02 comcase 10JT desa tumpatan
(07/01) Persiapan
02/10 plan perizinan kades desa Tumpatan")</f>
        <v>20/04 OGP perizinan
10/04 take over ke swakelola dari mitra bsa
16/02 comcase 10JT desa tumpatan
(07/01) Persiapan
02/10 plan perizinan kades desa Tumpatan</v>
      </c>
      <c r="R756" s="228"/>
      <c r="S756" s="11"/>
      <c r="T756" s="73"/>
      <c r="U756" s="11"/>
      <c r="V756" s="229" t="str">
        <f>IFERROR(__xludf.DUMMYFUNCTION("""COMPUTED_VALUE"""),"27/Apr/2026")</f>
        <v>27/Apr/2026</v>
      </c>
      <c r="W756" s="229"/>
      <c r="X756" s="229" t="str">
        <f>IFERROR(__xludf.DUMMYFUNCTION("""COMPUTED_VALUE"""),"BELUM GOLIVE")</f>
        <v>BELUM GOLIVE</v>
      </c>
      <c r="Y756" s="229"/>
      <c r="Z756" s="229" t="str">
        <f>IFERROR(__xludf.DUMMYFUNCTION("""COMPUTED_VALUE"""),"#N/A")</f>
        <v>#N/A</v>
      </c>
      <c r="AA756" s="229"/>
      <c r="AB756" s="229"/>
      <c r="AC756" s="229"/>
      <c r="AD756" s="232"/>
      <c r="AE756" s="233"/>
      <c r="AF756" s="54"/>
      <c r="AG756" s="54"/>
      <c r="AH756" s="54">
        <v>46127.0</v>
      </c>
      <c r="AI756" s="237">
        <f>AH756-NOW()</f>
        <v>-13.37798991</v>
      </c>
      <c r="AJ756" s="229" t="str">
        <f t="shared" ref="AJ756:AJ757" si="86">if(AI756&gt;=0,"In Komitmen","Out Komitmen")</f>
        <v>Out Komitmen</v>
      </c>
      <c r="AK756" s="229" t="s">
        <v>199</v>
      </c>
      <c r="AW756" s="234"/>
      <c r="BP756" s="11"/>
      <c r="BQ756" s="11"/>
      <c r="BR756" s="235"/>
      <c r="BV756" s="158"/>
      <c r="BY756" s="158"/>
      <c r="CB756" s="158"/>
    </row>
    <row r="757" ht="18.0" customHeight="1">
      <c r="A757" s="222">
        <f>IFERROR(__xludf.DUMMYFUNCTION("""COMPUTED_VALUE"""),2026.0)</f>
        <v>2026</v>
      </c>
      <c r="B757" s="221">
        <f>IFERROR(__xludf.DUMMYFUNCTION("""COMPUTED_VALUE"""),1.134212E7)</f>
        <v>11342120</v>
      </c>
      <c r="C757" s="222" t="str">
        <f>IFERROR(__xludf.DUMMYFUNCTION("""COMPUTED_VALUE"""),"SMB AGAM_1810")</f>
        <v>SMB AGAM_1810</v>
      </c>
      <c r="D757" s="222" t="str">
        <f>IFERROR(__xludf.DUMMYFUNCTION("""COMPUTED_VALUE"""),"REGIONAL I")</f>
        <v>REGIONAL I</v>
      </c>
      <c r="E757" s="222" t="str">
        <f>IFERROR(__xludf.DUMMYFUNCTION("""COMPUTED_VALUE"""),"SUMBAR")</f>
        <v>SUMBAR</v>
      </c>
      <c r="F757" s="222" t="str">
        <f>IFERROR(__xludf.DUMMYFUNCTION("""COMPUTED_VALUE"""),"MIN")</f>
        <v>MIN</v>
      </c>
      <c r="G757" s="222" t="str">
        <f>IFERROR(__xludf.DUMMYFUNCTION("""COMPUTED_VALUE"""),"SUMBAGTENG")</f>
        <v>SUMBAGTENG</v>
      </c>
      <c r="H757" s="222" t="str">
        <f>IFERROR(__xludf.DUMMYFUNCTION("""COMPUTED_VALUE"""),"BUKIT TINGGI")</f>
        <v>BUKIT TINGGI</v>
      </c>
      <c r="I757" s="222" t="str">
        <f>IFERROR(__xludf.DUMMYFUNCTION("""COMPUTED_VALUE"""),"Batch 2")</f>
        <v>Batch 2</v>
      </c>
      <c r="J757" s="225">
        <f>IFERROR(__xludf.DUMMYFUNCTION("""COMPUTED_VALUE"""),11.0)</f>
        <v>11</v>
      </c>
      <c r="K757" s="224">
        <f>IFERROR(__xludf.DUMMYFUNCTION("""COMPUTED_VALUE"""),88.0)</f>
        <v>88</v>
      </c>
      <c r="L757" s="226">
        <f>IFERROR(__xludf.DUMMYFUNCTION("""COMPUTED_VALUE"""),1102058.0)</f>
        <v>1102058</v>
      </c>
      <c r="M757" s="227">
        <f>IFERROR(__xludf.DUMMYFUNCTION("""COMPUTED_VALUE"""),9.6981048E7)</f>
        <v>96981048</v>
      </c>
      <c r="N757" s="222" t="str">
        <f>IFERROR(__xludf.DUMMYFUNCTION("""COMPUTED_VALUE"""),"PT GARINDO TECHNO MANDIRI")</f>
        <v>PT GARINDO TECHNO MANDIRI</v>
      </c>
      <c r="O757" s="222" t="str">
        <f>IFERROR(__xludf.DUMMYFUNCTION("""COMPUTED_VALUE"""),"5. INSTALASI")</f>
        <v>5. INSTALASI</v>
      </c>
      <c r="P757" s="222" t="str">
        <f>IFERROR(__xludf.DUMMYFUNCTION("""COMPUTED_VALUE"""),"5.9 Proses Pemasangan/Terminasi ODP/OTB")</f>
        <v>5.9 Proses Pemasangan/Terminasi ODP/OTB</v>
      </c>
      <c r="Q757" s="222" t="str">
        <f>IFERROR(__xludf.DUMMYFUNCTION("""COMPUTED_VALUE"""),"(27/04) proses terminasi odp (20/04) proses terminasi odp (13/04) terminasi odp  (06/04) penarikan kabel (30/03) Penarikan kabel  (28/03) Progres tanam tiang (16/03) proses matdel KE SITE (09/03) Proses create PID butuh up ODC 48 Ke 144 (05/03) proses aan"&amp;"wijziing plan selesai 07/03 (02/03) proses aanwijziing (26/01) DROP, permintaan tsel (tidak potensial) ")</f>
        <v>(27/04) proses terminasi odp (20/04) proses terminasi odp (13/04) terminasi odp  (06/04) penarikan kabel (30/03) Penarikan kabel  (28/03) Progres tanam tiang (16/03) proses matdel KE SITE (09/03) Proses create PID butuh up ODC 48 Ke 144 (05/03) proses aanwijziing plan selesai 07/03 (02/03) proses aanwijziing (26/01) DROP, permintaan tsel (tidak potensial) </v>
      </c>
      <c r="R757" s="228">
        <f>IFERROR(__xludf.DUMMYFUNCTION("""COMPUTED_VALUE"""),46140.0)</f>
        <v>46140</v>
      </c>
      <c r="S757" s="11"/>
      <c r="T757" s="73"/>
      <c r="U757" s="11" t="str">
        <f>IFERROR(__xludf.DUMMYFUNCTION("""COMPUTED_VALUE"""),"TIF-5964/2026  26KT03R107-0027")</f>
        <v>TIF-5964/2026  26KT03R107-0027</v>
      </c>
      <c r="V757" s="229" t="str">
        <f>IFERROR(__xludf.DUMMYFUNCTION("""COMPUTED_VALUE"""),"DELPA YANDA")</f>
        <v>DELPA YANDA</v>
      </c>
      <c r="W757" s="229" t="str">
        <f>IFERROR(__xludf.DUMMYFUNCTION("""COMPUTED_VALUE"""),"MELKO NARWADI")</f>
        <v>MELKO NARWADI</v>
      </c>
      <c r="X757" s="229" t="str">
        <f>IFERROR(__xludf.DUMMYFUNCTION("""COMPUTED_VALUE"""),"BELUM GOLIVE")</f>
        <v>BELUM GOLIVE</v>
      </c>
      <c r="Y757" s="229"/>
      <c r="Z757" s="229" t="str">
        <f>IFERROR(__xludf.DUMMYFUNCTION("""COMPUTED_VALUE"""),"#N/A")</f>
        <v>#N/A</v>
      </c>
      <c r="AA757" s="229"/>
      <c r="AB757" s="229"/>
      <c r="AC757" s="229"/>
      <c r="AD757" s="232"/>
      <c r="AE757" s="233"/>
      <c r="AF757" s="54"/>
      <c r="AG757" s="54"/>
      <c r="AH757" s="54">
        <v>46127.0</v>
      </c>
      <c r="AI757" s="55">
        <f>AH757-TODAY()</f>
        <v>-13</v>
      </c>
      <c r="AJ757" s="229" t="str">
        <f t="shared" si="86"/>
        <v>Out Komitmen</v>
      </c>
      <c r="AK757" s="231" t="s">
        <v>199</v>
      </c>
      <c r="AW757" s="234"/>
      <c r="BP757" s="11"/>
      <c r="BQ757" s="11"/>
      <c r="BR757" s="235"/>
      <c r="BV757" s="158"/>
      <c r="BY757" s="158"/>
      <c r="CB757" s="158"/>
    </row>
    <row r="758" ht="18.0" hidden="1" customHeight="1">
      <c r="A758" s="222">
        <f>IFERROR(__xludf.DUMMYFUNCTION("""COMPUTED_VALUE"""),2026.0)</f>
        <v>2026</v>
      </c>
      <c r="B758" s="221">
        <f>IFERROR(__xludf.DUMMYFUNCTION("""COMPUTED_VALUE"""),1.1389654E7)</f>
        <v>11389654</v>
      </c>
      <c r="C758" s="222" t="str">
        <f>IFERROR(__xludf.DUMMYFUNCTION("""COMPUTED_VALUE"""),"MDN PT4 SKI-FAT JL.PELIKAN 14")</f>
        <v>MDN PT4 SKI-FAT JL.PELIKAN 14</v>
      </c>
      <c r="D758" s="222" t="str">
        <f>IFERROR(__xludf.DUMMYFUNCTION("""COMPUTED_VALUE"""),"REGIONAL I")</f>
        <v>REGIONAL I</v>
      </c>
      <c r="E758" s="222" t="str">
        <f>IFERROR(__xludf.DUMMYFUNCTION("""COMPUTED_VALUE"""),"MEDAN")</f>
        <v>MEDAN</v>
      </c>
      <c r="F758" s="222" t="str">
        <f>IFERROR(__xludf.DUMMYFUNCTION("""COMPUTED_VALUE"""),"SKI")</f>
        <v>SKI</v>
      </c>
      <c r="G758" s="222" t="str">
        <f>IFERROR(__xludf.DUMMYFUNCTION("""COMPUTED_VALUE"""),"SUMBAGUT")</f>
        <v>SUMBAGUT</v>
      </c>
      <c r="H758" s="222" t="str">
        <f>IFERROR(__xludf.DUMMYFUNCTION("""COMPUTED_VALUE"""),"MEDAN")</f>
        <v>MEDAN</v>
      </c>
      <c r="I758" s="222" t="str">
        <f>IFERROR(__xludf.DUMMYFUNCTION("""COMPUTED_VALUE"""),"Batch 2")</f>
        <v>Batch 2</v>
      </c>
      <c r="J758" s="225">
        <f>IFERROR(__xludf.DUMMYFUNCTION("""COMPUTED_VALUE"""),26.0)</f>
        <v>26</v>
      </c>
      <c r="K758" s="224">
        <f>IFERROR(__xludf.DUMMYFUNCTION("""COMPUTED_VALUE"""),208.0)</f>
        <v>208</v>
      </c>
      <c r="L758" s="226">
        <f>IFERROR(__xludf.DUMMYFUNCTION("""COMPUTED_VALUE"""),1348961.0)</f>
        <v>1348961</v>
      </c>
      <c r="M758" s="227">
        <f>IFERROR(__xludf.DUMMYFUNCTION("""COMPUTED_VALUE"""),2.80583729E8)</f>
        <v>280583729</v>
      </c>
      <c r="N758" s="222" t="str">
        <f>IFERROR(__xludf.DUMMYFUNCTION("""COMPUTED_VALUE"""),"PT UPENTEL INTERNASIONAL")</f>
        <v>PT UPENTEL INTERNASIONAL</v>
      </c>
      <c r="O758" s="222" t="str">
        <f>IFERROR(__xludf.DUMMYFUNCTION("""COMPUTED_VALUE"""),"0. DROP")</f>
        <v>0. DROP</v>
      </c>
      <c r="P758" s="222" t="str">
        <f>IFERROR(__xludf.DUMMYFUNCTION("""COMPUTED_VALUE"""),"0.4 CPP Tinggi Acc ED TIF")</f>
        <v>0.4 CPP Tinggi Acc ED TIF</v>
      </c>
      <c r="Q758" s="222" t="str">
        <f>IFERROR(__xludf.DUMMYFUNCTION("""COMPUTED_VALUE"""),"18/02 Pengurusan perizinan PU 13/02 Pengecekan ulang 12/02 Feeder Tidak Tembus 07/02 Done Order, Lnjut Aanwidzing")</f>
        <v>18/02 Pengurusan perizinan PU 13/02 Pengecekan ulang 12/02 Feeder Tidak Tembus 07/02 Done Order, Lnjut Aanwidzing</v>
      </c>
      <c r="R758" s="228"/>
      <c r="S758" s="11"/>
      <c r="T758" s="11"/>
      <c r="U758" s="11"/>
      <c r="V758" s="229"/>
      <c r="W758" s="229"/>
      <c r="X758" s="229" t="str">
        <f>IFERROR(__xludf.DUMMYFUNCTION("""COMPUTED_VALUE"""),"BELUM GOLIVE")</f>
        <v>BELUM GOLIVE</v>
      </c>
      <c r="Y758" s="229"/>
      <c r="Z758" s="229" t="str">
        <f>IFERROR(__xludf.DUMMYFUNCTION("""COMPUTED_VALUE"""),"#N/A")</f>
        <v>#N/A</v>
      </c>
      <c r="AA758" s="229"/>
      <c r="AB758" s="229"/>
      <c r="AC758" s="229"/>
      <c r="AD758" s="232"/>
      <c r="AE758" s="233"/>
      <c r="AF758" s="54" t="str">
        <f>IFERROR(__xludf.DUMMYFUNCTION("""COMPUTED_VALUE"""),"Draft BA DROP")</f>
        <v>Draft BA DROP</v>
      </c>
      <c r="AG758" s="54"/>
      <c r="AH758" s="54"/>
      <c r="AI758" s="55" t="str">
        <f t="shared" ref="AI758:AI783" si="87">IF(OR(R758="",AE758=""),"",R758-AE758)</f>
        <v/>
      </c>
      <c r="AW758" s="234"/>
      <c r="BP758" s="11"/>
      <c r="BQ758" s="11"/>
      <c r="BR758" s="235"/>
      <c r="BV758" s="158"/>
      <c r="BY758" s="158"/>
      <c r="CB758" s="158"/>
    </row>
    <row r="759" ht="18.0" customHeight="1">
      <c r="A759" s="222">
        <f>IFERROR(__xludf.DUMMYFUNCTION("""COMPUTED_VALUE"""),2026.0)</f>
        <v>2026</v>
      </c>
      <c r="B759" s="221">
        <f>IFERROR(__xludf.DUMMYFUNCTION("""COMPUTED_VALUE"""),1.2299178E7)</f>
        <v>12299178</v>
      </c>
      <c r="C759" s="222" t="str">
        <f>IFERROR(__xludf.DUMMYFUNCTION("""COMPUTED_VALUE"""),"SMB-PT3-ODC-SUP-FB-AGAM_117889 - 19096")</f>
        <v>SMB-PT3-ODC-SUP-FB-AGAM_117889 - 19096</v>
      </c>
      <c r="D759" s="222" t="str">
        <f>IFERROR(__xludf.DUMMYFUNCTION("""COMPUTED_VALUE"""),"REGIONAL I")</f>
        <v>REGIONAL I</v>
      </c>
      <c r="E759" s="222" t="str">
        <f>IFERROR(__xludf.DUMMYFUNCTION("""COMPUTED_VALUE"""),"SUMBAR")</f>
        <v>SUMBAR</v>
      </c>
      <c r="F759" s="222" t="str">
        <f>IFERROR(__xludf.DUMMYFUNCTION("""COMPUTED_VALUE"""),"SUP")</f>
        <v>SUP</v>
      </c>
      <c r="G759" s="222" t="str">
        <f>IFERROR(__xludf.DUMMYFUNCTION("""COMPUTED_VALUE"""),"SUMBAGTENG")</f>
        <v>SUMBAGTENG</v>
      </c>
      <c r="H759" s="222" t="str">
        <f>IFERROR(__xludf.DUMMYFUNCTION("""COMPUTED_VALUE"""),"BUKIT TINGGI")</f>
        <v>BUKIT TINGGI</v>
      </c>
      <c r="I759" s="222" t="str">
        <f>IFERROR(__xludf.DUMMYFUNCTION("""COMPUTED_VALUE"""),"Batch 2")</f>
        <v>Batch 2</v>
      </c>
      <c r="J759" s="225">
        <f>IFERROR(__xludf.DUMMYFUNCTION("""COMPUTED_VALUE"""),4.0)</f>
        <v>4</v>
      </c>
      <c r="K759" s="224">
        <f>IFERROR(__xludf.DUMMYFUNCTION("""COMPUTED_VALUE"""),32.0)</f>
        <v>32</v>
      </c>
      <c r="L759" s="226">
        <f>IFERROR(__xludf.DUMMYFUNCTION("""COMPUTED_VALUE"""),1202321.0)</f>
        <v>1202321</v>
      </c>
      <c r="M759" s="227">
        <f>IFERROR(__xludf.DUMMYFUNCTION("""COMPUTED_VALUE"""),3.8474261E7)</f>
        <v>38474261</v>
      </c>
      <c r="N759" s="222" t="str">
        <f>IFERROR(__xludf.DUMMYFUNCTION("""COMPUTED_VALUE"""),"PT GARINDO TECHNO MANDIRI")</f>
        <v>PT GARINDO TECHNO MANDIRI</v>
      </c>
      <c r="O759" s="222" t="str">
        <f>IFERROR(__xludf.DUMMYFUNCTION("""COMPUTED_VALUE"""),"0. DROP")</f>
        <v>0. DROP</v>
      </c>
      <c r="P759" s="222" t="str">
        <f>IFERROR(__xludf.DUMMYFUNCTION("""COMPUTED_VALUE"""),"0.5 DROP TSEL - Acc ED TIF")</f>
        <v>0.5 DROP TSEL - Acc ED TIF</v>
      </c>
      <c r="Q759"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759" s="228"/>
      <c r="S759" s="11"/>
      <c r="T759" s="11"/>
      <c r="U759" s="11" t="str">
        <f>IFERROR(__xludf.DUMMYFUNCTION("""COMPUTED_VALUE"""),"TIF-5948/2026  26KT03R107-0032")</f>
        <v>TIF-5948/2026  26KT03R107-0032</v>
      </c>
      <c r="V759" s="229" t="str">
        <f>IFERROR(__xludf.DUMMYFUNCTION("""COMPUTED_VALUE"""),"DELPA YANDA")</f>
        <v>DELPA YANDA</v>
      </c>
      <c r="W759" s="229" t="str">
        <f>IFERROR(__xludf.DUMMYFUNCTION("""COMPUTED_VALUE"""),"MELKO NARWADI")</f>
        <v>MELKO NARWADI</v>
      </c>
      <c r="X759" s="229" t="str">
        <f>IFERROR(__xludf.DUMMYFUNCTION("""COMPUTED_VALUE"""),"BELUM GOLIVE")</f>
        <v>BELUM GOLIVE</v>
      </c>
      <c r="Y759" s="229"/>
      <c r="Z759" s="229" t="str">
        <f>IFERROR(__xludf.DUMMYFUNCTION("""COMPUTED_VALUE"""),"#N/A")</f>
        <v>#N/A</v>
      </c>
      <c r="AA759" s="229"/>
      <c r="AB759" s="229"/>
      <c r="AC759" s="229"/>
      <c r="AD759" s="232"/>
      <c r="AE759" s="233"/>
      <c r="AF759" s="54"/>
      <c r="AG759" s="54"/>
      <c r="AH759" s="54"/>
      <c r="AI759" s="55" t="str">
        <f t="shared" si="87"/>
        <v/>
      </c>
      <c r="AW759" s="234"/>
      <c r="BP759" s="11"/>
      <c r="BQ759" s="11"/>
      <c r="BR759" s="235"/>
      <c r="BV759" s="158"/>
      <c r="BY759" s="158"/>
      <c r="CB759" s="158"/>
    </row>
    <row r="760" ht="18.0" customHeight="1">
      <c r="A760" s="222">
        <f>IFERROR(__xludf.DUMMYFUNCTION("""COMPUTED_VALUE"""),2026.0)</f>
        <v>2026</v>
      </c>
      <c r="B760" s="221">
        <f>IFERROR(__xludf.DUMMYFUNCTION("""COMPUTED_VALUE"""),1.1069804E7)</f>
        <v>11069804</v>
      </c>
      <c r="C760" s="222" t="str">
        <f>IFERROR(__xludf.DUMMYFUNCTION("""COMPUTED_VALUE"""),"SMB P3I7 MYID-1012407100172 ZAIFULI AMRI")</f>
        <v>SMB P3I7 MYID-1012407100172 ZAIFULI AMRI</v>
      </c>
      <c r="D760" s="222" t="str">
        <f>IFERROR(__xludf.DUMMYFUNCTION("""COMPUTED_VALUE"""),"REGIONAL I")</f>
        <v>REGIONAL I</v>
      </c>
      <c r="E760" s="222" t="str">
        <f>IFERROR(__xludf.DUMMYFUNCTION("""COMPUTED_VALUE"""),"SUMBAR")</f>
        <v>SUMBAR</v>
      </c>
      <c r="F760" s="222" t="str">
        <f>IFERROR(__xludf.DUMMYFUNCTION("""COMPUTED_VALUE"""),"BKT")</f>
        <v>BKT</v>
      </c>
      <c r="G760" s="222" t="str">
        <f>IFERROR(__xludf.DUMMYFUNCTION("""COMPUTED_VALUE"""),"SUMBAGTENG")</f>
        <v>SUMBAGTENG</v>
      </c>
      <c r="H760" s="222" t="str">
        <f>IFERROR(__xludf.DUMMYFUNCTION("""COMPUTED_VALUE"""),"BUKIT TINGGI")</f>
        <v>BUKIT TINGGI</v>
      </c>
      <c r="I760" s="222" t="str">
        <f>IFERROR(__xludf.DUMMYFUNCTION("""COMPUTED_VALUE"""),"Batch 2")</f>
        <v>Batch 2</v>
      </c>
      <c r="J760" s="225">
        <f>IFERROR(__xludf.DUMMYFUNCTION("""COMPUTED_VALUE"""),1.0)</f>
        <v>1</v>
      </c>
      <c r="K760" s="224">
        <f>IFERROR(__xludf.DUMMYFUNCTION("""COMPUTED_VALUE"""),8.0)</f>
        <v>8</v>
      </c>
      <c r="L760" s="226">
        <f>IFERROR(__xludf.DUMMYFUNCTION("""COMPUTED_VALUE"""),1101383.0)</f>
        <v>1101383</v>
      </c>
      <c r="M760" s="227">
        <f>IFERROR(__xludf.DUMMYFUNCTION("""COMPUTED_VALUE"""),8811059.0)</f>
        <v>8811059</v>
      </c>
      <c r="N760" s="222" t="str">
        <f>IFERROR(__xludf.DUMMYFUNCTION("""COMPUTED_VALUE"""),"PT GARINDO TECHNO MANDIRI")</f>
        <v>PT GARINDO TECHNO MANDIRI</v>
      </c>
      <c r="O760" s="222" t="str">
        <f>IFERROR(__xludf.DUMMYFUNCTION("""COMPUTED_VALUE"""),"0. DROP")</f>
        <v>0. DROP</v>
      </c>
      <c r="P760" s="222" t="str">
        <f>IFERROR(__xludf.DUMMYFUNCTION("""COMPUTED_VALUE"""),"0.3 Feeder Full")</f>
        <v>0.3 Feeder Full</v>
      </c>
      <c r="Q760" s="222" t="str">
        <f>IFERROR(__xludf.DUMMYFUNCTION("""COMPUTED_VALUE"""),"(26/01) kendala feeder Bkt-FA FULL")</f>
        <v>(26/01) kendala feeder Bkt-FA FULL</v>
      </c>
      <c r="R760" s="228"/>
      <c r="S760" s="11"/>
      <c r="T760" s="11"/>
      <c r="U760" s="11"/>
      <c r="V760" s="229"/>
      <c r="W760" s="229"/>
      <c r="X760" s="229" t="str">
        <f>IFERROR(__xludf.DUMMYFUNCTION("""COMPUTED_VALUE"""),"BELUM GOLIVE")</f>
        <v>BELUM GOLIVE</v>
      </c>
      <c r="Y760" s="229"/>
      <c r="Z760" s="229" t="str">
        <f>IFERROR(__xludf.DUMMYFUNCTION("""COMPUTED_VALUE"""),"#N/A")</f>
        <v>#N/A</v>
      </c>
      <c r="AA760" s="229"/>
      <c r="AB760" s="229"/>
      <c r="AC760" s="229"/>
      <c r="AD760" s="232"/>
      <c r="AE760" s="233"/>
      <c r="AF760" s="54" t="str">
        <f>IFERROR(__xludf.DUMMYFUNCTION("""COMPUTED_VALUE"""),"Draft BA DROP")</f>
        <v>Draft BA DROP</v>
      </c>
      <c r="AG760" s="54"/>
      <c r="AH760" s="54"/>
      <c r="AI760" s="55" t="str">
        <f t="shared" si="87"/>
        <v/>
      </c>
      <c r="AW760" s="234"/>
      <c r="BP760" s="11"/>
      <c r="BQ760" s="11"/>
      <c r="BR760" s="235"/>
      <c r="BV760" s="158"/>
      <c r="BY760" s="158"/>
      <c r="CB760" s="158"/>
    </row>
    <row r="761" ht="18.0" hidden="1" customHeight="1">
      <c r="A761" s="222">
        <f>IFERROR(__xludf.DUMMYFUNCTION("""COMPUTED_VALUE"""),2026.0)</f>
        <v>2026</v>
      </c>
      <c r="B761" s="221">
        <f>IFERROR(__xludf.DUMMYFUNCTION("""COMPUTED_VALUE"""),1.2213439E7)</f>
        <v>12213439</v>
      </c>
      <c r="C761" s="222" t="str">
        <f>IFERROR(__xludf.DUMMYFUNCTION("""COMPUTED_VALUE"""),"SMS P3I4 PT3 OKI FF D03 OKI 151658")</f>
        <v>SMS P3I4 PT3 OKI FF D03 OKI 151658</v>
      </c>
      <c r="D761" s="222" t="str">
        <f>IFERROR(__xludf.DUMMYFUNCTION("""COMPUTED_VALUE"""),"REGIONAL I")</f>
        <v>REGIONAL I</v>
      </c>
      <c r="E761" s="222" t="str">
        <f>IFERROR(__xludf.DUMMYFUNCTION("""COMPUTED_VALUE"""),"SUMSEL")</f>
        <v>SUMSEL</v>
      </c>
      <c r="F761" s="222" t="str">
        <f>IFERROR(__xludf.DUMMYFUNCTION("""COMPUTED_VALUE"""),"OKI")</f>
        <v>OKI</v>
      </c>
      <c r="G761" s="222" t="str">
        <f>IFERROR(__xludf.DUMMYFUNCTION("""COMPUTED_VALUE"""),"SUMBAGSEL")</f>
        <v>SUMBAGSEL</v>
      </c>
      <c r="H761" s="222" t="str">
        <f>IFERROR(__xludf.DUMMYFUNCTION("""COMPUTED_VALUE"""),"PALEMBANG")</f>
        <v>PALEMBANG</v>
      </c>
      <c r="I761" s="222" t="str">
        <f>IFERROR(__xludf.DUMMYFUNCTION("""COMPUTED_VALUE"""),"Batch 2")</f>
        <v>Batch 2</v>
      </c>
      <c r="J761" s="225">
        <f>IFERROR(__xludf.DUMMYFUNCTION("""COMPUTED_VALUE"""),3.0)</f>
        <v>3</v>
      </c>
      <c r="K761" s="224">
        <f>IFERROR(__xludf.DUMMYFUNCTION("""COMPUTED_VALUE"""),24.0)</f>
        <v>24</v>
      </c>
      <c r="L761" s="226">
        <f>IFERROR(__xludf.DUMMYFUNCTION("""COMPUTED_VALUE"""),1099586.0)</f>
        <v>1099586</v>
      </c>
      <c r="M761" s="227">
        <f>IFERROR(__xludf.DUMMYFUNCTION("""COMPUTED_VALUE"""),2.6390046E7)</f>
        <v>26390046</v>
      </c>
      <c r="N761" s="222" t="str">
        <f>IFERROR(__xludf.DUMMYFUNCTION("""COMPUTED_VALUE"""),"PT SARANA MITRA PERSADA")</f>
        <v>PT SARANA MITRA PERSADA</v>
      </c>
      <c r="O761" s="222" t="str">
        <f>IFERROR(__xludf.DUMMYFUNCTION("""COMPUTED_VALUE"""),"0. DROP")</f>
        <v>0. DROP</v>
      </c>
      <c r="P761" s="222" t="str">
        <f>IFERROR(__xludf.DUMMYFUNCTION("""COMPUTED_VALUE"""),"0.4 CPP Tinggi Acc ED TIF")</f>
        <v>0.4 CPP Tinggi Acc ED TIF</v>
      </c>
      <c r="Q761" s="222" t="str">
        <f>IFERROR(__xludf.DUMMYFUNCTION("""COMPUTED_VALUE"""),"04/03 DROP BOQ NAIK DARI PLAN SEBESAR 21%, 23/02 DROP BOQ NAIK DARI PLAN SEBESAR 21%, 06/02 DROP UNTKU DI REDESAIN ULANG, SDH KESEPEKATAN TSEL, 30/01 HASIL EVAL ADA KENAIKAN BOQ SEBESAR 21% DAN CPP 1,3 JT, KARENA ADA NILAI PRELIM UNTUK KADUS 31/0 drop kar"&amp;"ena defisiasi tinggi 30/01 HASIL EVAL ADA KENAIKAN BOQ SEBESAR 21% DAN CPP 1,3 JT, KARENA ADA NILAI PRELIM UNTUK KADES, (26/1) tim TIF belum bisa EVAL hasil anwijzing karena lagi diluar kota , estimasi 29 jan baru kembali ke Palembang25/01 MENUNGGU EVAL -"&amp;" KOMPENSASI KADES 5JT, 23/01 DONE AANWIDJZING, (21/01) HI aanwjizng ke lokasi, (15/1) ORDER DITERIMA 14/1, PLAN AANWIJDZING 23 JAN 26 (06/01)order JPP batch-2 2026 ((14/11)HOLD- tidak masuk target Optimis 2025 (13/11 masih menunggu aanwidjzing, 10/11 menu"&amp;"nggu jadwal aanwijdzing 5/11 menunggu jadwal aanwijdzing 04/11 penunjukan mitra23/10 penunjukan mitra
 15/10 proses penunjukan mitra
 (08/10) penunjukan mitra
 14/01 penunjukan mitra oleh procurement")</f>
        <v>04/03 DROP BOQ NAIK DARI PLAN SEBESAR 21%, 23/02 DROP BOQ NAIK DARI PLAN SEBESAR 21%, 06/02 DROP UNTKU DI REDESAIN ULANG, SDH KESEPEKATAN TSEL, 30/01 HASIL EVAL ADA KENAIKAN BOQ SEBESAR 21% DAN CPP 1,3 JT, KARENA ADA NILAI PRELIM UNTUK KADUS 31/0 drop karena defisiasi tinggi 30/01 HASIL EVAL ADA KENAIKAN BOQ SEBESAR 21% DAN CPP 1,3 JT, KARENA ADA NILAI PRELIM UNTUK KADES, (26/1) tim TIF belum bisa EVAL hasil anwijzing karena lagi diluar kota , estimasi 29 jan baru kembali ke Palembang25/01 MENUNGGU EVAL - KOMPENSASI KADES 5JT, 23/01 DONE AANWIDJZING, (21/01) HI aanwjizng ke lokasi, (15/1) ORDER DITERIMA 14/1, PLAN AANWIJDZING 23 JAN 26 (06/01)order JPP batch-2 2026 ((14/11)HOLD- tidak masuk target Optimis 2025 (13/11 masih menunggu aanwidjzing, 10/11 menunggu jadwal aanwijdzing 5/11 menunggu jadwal aanwijdzing 04/11 penunjukan mitra23/10 penunjukan mitra
 15/10 proses penunjukan mitra
 (08/10) penunjukan mitra
 14/01 penunjukan mitra oleh procurement</v>
      </c>
      <c r="R761" s="228"/>
      <c r="S761" s="11"/>
      <c r="T761" s="11"/>
      <c r="U761" s="11"/>
      <c r="V761" s="229" t="str">
        <f>IFERROR(__xludf.DUMMYFUNCTION("""COMPUTED_VALUE"""),"RENALDO")</f>
        <v>RENALDO</v>
      </c>
      <c r="W761" s="229"/>
      <c r="X761" s="229" t="str">
        <f>IFERROR(__xludf.DUMMYFUNCTION("""COMPUTED_VALUE"""),"BELUM GOLIVE")</f>
        <v>BELUM GOLIVE</v>
      </c>
      <c r="Y761" s="229"/>
      <c r="Z761" s="229" t="str">
        <f>IFERROR(__xludf.DUMMYFUNCTION("""COMPUTED_VALUE"""),"#N/A")</f>
        <v>#N/A</v>
      </c>
      <c r="AA761" s="229"/>
      <c r="AB761" s="229"/>
      <c r="AC761" s="229"/>
      <c r="AD761" s="232"/>
      <c r="AE761" s="233"/>
      <c r="AF761" s="54" t="str">
        <f>IFERROR(__xludf.DUMMYFUNCTION("""COMPUTED_VALUE"""),"Draft BA DROP")</f>
        <v>Draft BA DROP</v>
      </c>
      <c r="AG761" s="54"/>
      <c r="AH761" s="54"/>
      <c r="AI761" s="55" t="str">
        <f t="shared" si="87"/>
        <v/>
      </c>
      <c r="AW761" s="234"/>
      <c r="BP761" s="11"/>
      <c r="BQ761" s="11"/>
      <c r="BR761" s="235"/>
      <c r="BV761" s="158"/>
      <c r="BY761" s="158"/>
      <c r="CB761" s="158"/>
    </row>
    <row r="762" ht="18.0" hidden="1" customHeight="1">
      <c r="A762" s="222">
        <f>IFERROR(__xludf.DUMMYFUNCTION("""COMPUTED_VALUE"""),2026.0)</f>
        <v>2026</v>
      </c>
      <c r="B762" s="221">
        <f>IFERROR(__xludf.DUMMYFUNCTION("""COMPUTED_VALUE"""),1.1325951E7)</f>
        <v>11325951</v>
      </c>
      <c r="C762" s="222" t="str">
        <f>IFERROR(__xludf.DUMMYFUNCTION("""COMPUTED_VALUE"""),"MDN PT3 LBP-FX DSN TELADAN TAMBAHAN")</f>
        <v>MDN PT3 LBP-FX DSN TELADAN TAMBAHAN</v>
      </c>
      <c r="D762" s="222" t="str">
        <f>IFERROR(__xludf.DUMMYFUNCTION("""COMPUTED_VALUE"""),"REGIONAL I")</f>
        <v>REGIONAL I</v>
      </c>
      <c r="E762" s="222" t="str">
        <f>IFERROR(__xludf.DUMMYFUNCTION("""COMPUTED_VALUE"""),"MEDAN")</f>
        <v>MEDAN</v>
      </c>
      <c r="F762" s="222" t="str">
        <f>IFERROR(__xludf.DUMMYFUNCTION("""COMPUTED_VALUE"""),"LBP")</f>
        <v>LBP</v>
      </c>
      <c r="G762" s="222" t="str">
        <f>IFERROR(__xludf.DUMMYFUNCTION("""COMPUTED_VALUE"""),"SUMBAGUT")</f>
        <v>SUMBAGUT</v>
      </c>
      <c r="H762" s="222" t="str">
        <f>IFERROR(__xludf.DUMMYFUNCTION("""COMPUTED_VALUE"""),"MEDAN")</f>
        <v>MEDAN</v>
      </c>
      <c r="I762" s="222" t="str">
        <f>IFERROR(__xludf.DUMMYFUNCTION("""COMPUTED_VALUE"""),"Batch 2")</f>
        <v>Batch 2</v>
      </c>
      <c r="J762" s="225">
        <f>IFERROR(__xludf.DUMMYFUNCTION("""COMPUTED_VALUE"""),7.0)</f>
        <v>7</v>
      </c>
      <c r="K762" s="224">
        <f>IFERROR(__xludf.DUMMYFUNCTION("""COMPUTED_VALUE"""),56.0)</f>
        <v>56</v>
      </c>
      <c r="L762" s="226">
        <f>IFERROR(__xludf.DUMMYFUNCTION("""COMPUTED_VALUE"""),1150269.0)</f>
        <v>1150269</v>
      </c>
      <c r="M762" s="227">
        <f>IFERROR(__xludf.DUMMYFUNCTION("""COMPUTED_VALUE"""),6.4415059E7)</f>
        <v>64415059</v>
      </c>
      <c r="N762" s="222" t="str">
        <f>IFERROR(__xludf.DUMMYFUNCTION("""COMPUTED_VALUE"""),"PT BANGUN PRIMA SEMESTA")</f>
        <v>PT BANGUN PRIMA SEMESTA</v>
      </c>
      <c r="O762" s="222" t="str">
        <f>IFERROR(__xludf.DUMMYFUNCTION("""COMPUTED_VALUE"""),"3. PERIZINAN")</f>
        <v>3. PERIZINAN</v>
      </c>
      <c r="P762" s="222" t="str">
        <f>IFERROR(__xludf.DUMMYFUNCTION("""COMPUTED_VALUE"""),"3.9 Izin Kades / Lurah / RTRW")</f>
        <v>3.9 Izin Kades / Lurah / RTRW</v>
      </c>
      <c r="Q762" s="222" t="str">
        <f>IFERROR(__xludf.DUMMYFUNCTION("""COMPUTED_VALUE"""),"20/04 perizinan tanam tiang warga
(07/01) Persiapan")</f>
        <v>20/04 perizinan tanam tiang warga
(07/01) Persiapan</v>
      </c>
      <c r="R762" s="228"/>
      <c r="S762" s="11"/>
      <c r="T762" s="73"/>
      <c r="U762" s="11"/>
      <c r="V762" s="229" t="str">
        <f>IFERROR(__xludf.DUMMYFUNCTION("""COMPUTED_VALUE"""),"28/Apr/2026")</f>
        <v>28/Apr/2026</v>
      </c>
      <c r="W762" s="229"/>
      <c r="X762" s="229" t="str">
        <f>IFERROR(__xludf.DUMMYFUNCTION("""COMPUTED_VALUE"""),"BELUM GOLIVE")</f>
        <v>BELUM GOLIVE</v>
      </c>
      <c r="Y762" s="229"/>
      <c r="Z762" s="229" t="str">
        <f>IFERROR(__xludf.DUMMYFUNCTION("""COMPUTED_VALUE"""),"#N/A")</f>
        <v>#N/A</v>
      </c>
      <c r="AA762" s="229"/>
      <c r="AB762" s="229"/>
      <c r="AC762" s="229"/>
      <c r="AD762" s="232"/>
      <c r="AE762" s="233"/>
      <c r="AF762" s="54"/>
      <c r="AG762" s="54"/>
      <c r="AH762" s="54"/>
      <c r="AI762" s="55" t="str">
        <f t="shared" si="87"/>
        <v/>
      </c>
      <c r="AW762" s="234"/>
      <c r="BP762" s="11"/>
      <c r="BQ762" s="11"/>
      <c r="BR762" s="235"/>
      <c r="BV762" s="158"/>
      <c r="BY762" s="158"/>
      <c r="CB762" s="158"/>
    </row>
    <row r="763" ht="18.0" hidden="1" customHeight="1">
      <c r="A763" s="222">
        <f>IFERROR(__xludf.DUMMYFUNCTION("""COMPUTED_VALUE"""),2026.0)</f>
        <v>2026</v>
      </c>
      <c r="B763" s="221">
        <f>IFERROR(__xludf.DUMMYFUNCTION("""COMPUTED_VALUE"""),1.1272329E7)</f>
        <v>11272329</v>
      </c>
      <c r="C763" s="222" t="str">
        <f>IFERROR(__xludf.DUMMYFUNCTION("""COMPUTED_VALUE"""),"MDN PT3 P1I1 CTD-FK JL.PERSATUAN")</f>
        <v>MDN PT3 P1I1 CTD-FK JL.PERSATUAN</v>
      </c>
      <c r="D763" s="222" t="str">
        <f>IFERROR(__xludf.DUMMYFUNCTION("""COMPUTED_VALUE"""),"REGIONAL I")</f>
        <v>REGIONAL I</v>
      </c>
      <c r="E763" s="222" t="str">
        <f>IFERROR(__xludf.DUMMYFUNCTION("""COMPUTED_VALUE"""),"MEDAN")</f>
        <v>MEDAN</v>
      </c>
      <c r="F763" s="222" t="str">
        <f>IFERROR(__xludf.DUMMYFUNCTION("""COMPUTED_VALUE"""),"CTD")</f>
        <v>CTD</v>
      </c>
      <c r="G763" s="222" t="str">
        <f>IFERROR(__xludf.DUMMYFUNCTION("""COMPUTED_VALUE"""),"SUMBAGUT")</f>
        <v>SUMBAGUT</v>
      </c>
      <c r="H763" s="222" t="str">
        <f>IFERROR(__xludf.DUMMYFUNCTION("""COMPUTED_VALUE"""),"MEDAN")</f>
        <v>MEDAN</v>
      </c>
      <c r="I763" s="222" t="str">
        <f>IFERROR(__xludf.DUMMYFUNCTION("""COMPUTED_VALUE"""),"Batch 2")</f>
        <v>Batch 2</v>
      </c>
      <c r="J763" s="225">
        <f>IFERROR(__xludf.DUMMYFUNCTION("""COMPUTED_VALUE"""),6.0)</f>
        <v>6</v>
      </c>
      <c r="K763" s="224">
        <f>IFERROR(__xludf.DUMMYFUNCTION("""COMPUTED_VALUE"""),48.0)</f>
        <v>48</v>
      </c>
      <c r="L763" s="226">
        <f>IFERROR(__xludf.DUMMYFUNCTION("""COMPUTED_VALUE"""),719770.0)</f>
        <v>719770</v>
      </c>
      <c r="M763" s="227">
        <f>IFERROR(__xludf.DUMMYFUNCTION("""COMPUTED_VALUE"""),3.4548924E7)</f>
        <v>34548924</v>
      </c>
      <c r="N763" s="222" t="str">
        <f>IFERROR(__xludf.DUMMYFUNCTION("""COMPUTED_VALUE"""),"PT MILFHA MUTIARA PRIMA")</f>
        <v>PT MILFHA MUTIARA PRIMA</v>
      </c>
      <c r="O763" s="222" t="str">
        <f>IFERROR(__xludf.DUMMYFUNCTION("""COMPUTED_VALUE"""),"7. GOLIVE")</f>
        <v>7. GOLIVE</v>
      </c>
      <c r="P763" s="222" t="str">
        <f>IFERROR(__xludf.DUMMYFUNCTION("""COMPUTED_VALUE"""),"7.2 Golive Full / OA / DONE OTB")</f>
        <v>7.2 Golive Full / OA / DONE OTB</v>
      </c>
      <c r="Q763" s="222" t="str">
        <f>IFERROR(__xludf.DUMMYFUNCTION("""COMPUTED_VALUE"""),"11/02 ABD Submit 09/02 Pemasangan Aksesoris 04/02 Penarikan Kabel (07/01) Persiapan")</f>
        <v>11/02 ABD Submit 09/02 Pemasangan Aksesoris 04/02 Penarikan Kabel (07/01) Persiapan</v>
      </c>
      <c r="R763" s="228">
        <f>IFERROR(__xludf.DUMMYFUNCTION("""COMPUTED_VALUE"""),46064.0)</f>
        <v>46064</v>
      </c>
      <c r="S763" s="11"/>
      <c r="T763" s="11"/>
      <c r="U763" s="11" t="str">
        <f>IFERROR(__xludf.DUMMYFUNCTION("""COMPUTED_VALUE"""),"TIF-2595/2026")</f>
        <v>TIF-2595/2026</v>
      </c>
      <c r="V763" s="229"/>
      <c r="W763" s="229"/>
      <c r="X763" s="229" t="str">
        <f>IFERROR(__xludf.DUMMYFUNCTION("""COMPUTED_VALUE"""),"GOLIVE")</f>
        <v>GOLIVE</v>
      </c>
      <c r="Y763" s="229" t="str">
        <f>IFERROR(__xludf.DUMMYFUNCTION("""COMPUTED_VALUE"""),"DONE")</f>
        <v>DONE</v>
      </c>
      <c r="Z763" s="229" t="str">
        <f>IFERROR(__xludf.DUMMYFUNCTION("""COMPUTED_VALUE"""),"#N/A")</f>
        <v>#N/A</v>
      </c>
      <c r="AA763" s="229">
        <f>IFERROR(__xludf.DUMMYFUNCTION("""COMPUTED_VALUE"""),6.0)</f>
        <v>6</v>
      </c>
      <c r="AB763" s="229"/>
      <c r="AC763" s="229" t="str">
        <f>IFERROR(__xludf.DUMMYFUNCTION("""COMPUTED_VALUE"""),"9099991#9099996")</f>
        <v>9099991#9099996</v>
      </c>
      <c r="AD763" s="232">
        <f>IFERROR(__xludf.DUMMYFUNCTION("""COMPUTED_VALUE"""),48.0)</f>
        <v>48</v>
      </c>
      <c r="AE763" s="233">
        <f>IFERROR(__xludf.DUMMYFUNCTION("""COMPUTED_VALUE"""),46064.0)</f>
        <v>46064</v>
      </c>
      <c r="AF763" s="54"/>
      <c r="AG763" s="54"/>
      <c r="AH763" s="54">
        <v>46064.0</v>
      </c>
      <c r="AI763" s="55">
        <f t="shared" si="87"/>
        <v>0</v>
      </c>
      <c r="AW763" s="234"/>
      <c r="BP763" s="11"/>
      <c r="BQ763" s="11"/>
      <c r="BR763" s="235"/>
      <c r="BV763" s="158"/>
      <c r="BY763" s="158"/>
      <c r="CB763" s="158"/>
    </row>
    <row r="764" ht="18.0" hidden="1" customHeight="1">
      <c r="A764" s="222">
        <f>IFERROR(__xludf.DUMMYFUNCTION("""COMPUTED_VALUE"""),2026.0)</f>
        <v>2026</v>
      </c>
      <c r="B764" s="221">
        <f>IFERROR(__xludf.DUMMYFUNCTION("""COMPUTED_VALUE"""),1.1327244E7)</f>
        <v>11327244</v>
      </c>
      <c r="C764" s="222" t="str">
        <f>IFERROR(__xludf.DUMMYFUNCTION("""COMPUTED_VALUE"""),"MDN PT3 PUB-FF JL.SURYADI GG.JATI MAS")</f>
        <v>MDN PT3 PUB-FF JL.SURYADI GG.JATI MAS</v>
      </c>
      <c r="D764" s="222" t="str">
        <f>IFERROR(__xludf.DUMMYFUNCTION("""COMPUTED_VALUE"""),"REGIONAL I")</f>
        <v>REGIONAL I</v>
      </c>
      <c r="E764" s="222" t="str">
        <f>IFERROR(__xludf.DUMMYFUNCTION("""COMPUTED_VALUE"""),"MEDAN")</f>
        <v>MEDAN</v>
      </c>
      <c r="F764" s="222" t="str">
        <f>IFERROR(__xludf.DUMMYFUNCTION("""COMPUTED_VALUE"""),"PUB")</f>
        <v>PUB</v>
      </c>
      <c r="G764" s="222" t="str">
        <f>IFERROR(__xludf.DUMMYFUNCTION("""COMPUTED_VALUE"""),"SUMBAGUT")</f>
        <v>SUMBAGUT</v>
      </c>
      <c r="H764" s="222" t="str">
        <f>IFERROR(__xludf.DUMMYFUNCTION("""COMPUTED_VALUE"""),"MEDAN")</f>
        <v>MEDAN</v>
      </c>
      <c r="I764" s="222" t="str">
        <f>IFERROR(__xludf.DUMMYFUNCTION("""COMPUTED_VALUE"""),"Batch 2")</f>
        <v>Batch 2</v>
      </c>
      <c r="J764" s="225">
        <f>IFERROR(__xludf.DUMMYFUNCTION("""COMPUTED_VALUE"""),3.0)</f>
        <v>3</v>
      </c>
      <c r="K764" s="224">
        <f>IFERROR(__xludf.DUMMYFUNCTION("""COMPUTED_VALUE"""),24.0)</f>
        <v>24</v>
      </c>
      <c r="L764" s="226">
        <f>IFERROR(__xludf.DUMMYFUNCTION("""COMPUTED_VALUE"""),1179688.0)</f>
        <v>1179688</v>
      </c>
      <c r="M764" s="227">
        <f>IFERROR(__xludf.DUMMYFUNCTION("""COMPUTED_VALUE"""),2.8312491E7)</f>
        <v>28312491</v>
      </c>
      <c r="N764" s="222" t="str">
        <f>IFERROR(__xludf.DUMMYFUNCTION("""COMPUTED_VALUE"""),"PT BENWA  MITRA PRATAMA")</f>
        <v>PT BENWA  MITRA PRATAMA</v>
      </c>
      <c r="O764" s="222" t="str">
        <f>IFERROR(__xludf.DUMMYFUNCTION("""COMPUTED_VALUE"""),"0. DROP")</f>
        <v>0. DROP</v>
      </c>
      <c r="P764" s="222" t="str">
        <f>IFERROR(__xludf.DUMMYFUNCTION("""COMPUTED_VALUE"""),"0.4 CPP Tinggi Acc ED TIF")</f>
        <v>0.4 CPP Tinggi Acc ED TIF</v>
      </c>
      <c r="Q764" s="222" t="str">
        <f>IFERROR(__xludf.DUMMYFUNCTION("""COMPUTED_VALUE"""),"(25/09) Feeder Tidak Tembus PUB-FF")</f>
        <v>(25/09) Feeder Tidak Tembus PUB-FF</v>
      </c>
      <c r="R764" s="228"/>
      <c r="S764" s="11"/>
      <c r="T764" s="11"/>
      <c r="U764" s="11"/>
      <c r="V764" s="229"/>
      <c r="W764" s="229"/>
      <c r="X764" s="229" t="str">
        <f>IFERROR(__xludf.DUMMYFUNCTION("""COMPUTED_VALUE"""),"BELUM GOLIVE")</f>
        <v>BELUM GOLIVE</v>
      </c>
      <c r="Y764" s="229"/>
      <c r="Z764" s="229" t="str">
        <f>IFERROR(__xludf.DUMMYFUNCTION("""COMPUTED_VALUE"""),"#N/A")</f>
        <v>#N/A</v>
      </c>
      <c r="AA764" s="229"/>
      <c r="AB764" s="229"/>
      <c r="AC764" s="229"/>
      <c r="AD764" s="232"/>
      <c r="AE764" s="233"/>
      <c r="AF764" s="54" t="str">
        <f>IFERROR(__xludf.DUMMYFUNCTION("""COMPUTED_VALUE"""),"Draft BA DROP")</f>
        <v>Draft BA DROP</v>
      </c>
      <c r="AG764" s="54"/>
      <c r="AH764" s="54"/>
      <c r="AI764" s="55" t="str">
        <f t="shared" si="87"/>
        <v/>
      </c>
      <c r="AW764" s="234"/>
      <c r="BP764" s="11"/>
      <c r="BQ764" s="11"/>
      <c r="BR764" s="235"/>
      <c r="BV764" s="158"/>
      <c r="BY764" s="158"/>
      <c r="CB764" s="158"/>
    </row>
    <row r="765" ht="18.0" hidden="1" customHeight="1">
      <c r="A765" s="222">
        <f>IFERROR(__xludf.DUMMYFUNCTION("""COMPUTED_VALUE"""),2026.0)</f>
        <v>2026</v>
      </c>
      <c r="B765" s="221">
        <f>IFERROR(__xludf.DUMMYFUNCTION("""COMPUTED_VALUE"""),1.127248E7)</f>
        <v>11272480</v>
      </c>
      <c r="C765" s="222" t="str">
        <f>IFERROR(__xludf.DUMMYFUNCTION("""COMPUTED_VALUE"""),"MDN PT3 P1I1 LBP-FU JL.PINTU AIR")</f>
        <v>MDN PT3 P1I1 LBP-FU JL.PINTU AIR</v>
      </c>
      <c r="D765" s="222" t="str">
        <f>IFERROR(__xludf.DUMMYFUNCTION("""COMPUTED_VALUE"""),"REGIONAL I")</f>
        <v>REGIONAL I</v>
      </c>
      <c r="E765" s="222" t="str">
        <f>IFERROR(__xludf.DUMMYFUNCTION("""COMPUTED_VALUE"""),"MEDAN")</f>
        <v>MEDAN</v>
      </c>
      <c r="F765" s="222" t="str">
        <f>IFERROR(__xludf.DUMMYFUNCTION("""COMPUTED_VALUE"""),"LBP")</f>
        <v>LBP</v>
      </c>
      <c r="G765" s="222" t="str">
        <f>IFERROR(__xludf.DUMMYFUNCTION("""COMPUTED_VALUE"""),"SUMBAGUT")</f>
        <v>SUMBAGUT</v>
      </c>
      <c r="H765" s="222" t="str">
        <f>IFERROR(__xludf.DUMMYFUNCTION("""COMPUTED_VALUE"""),"MEDAN")</f>
        <v>MEDAN</v>
      </c>
      <c r="I765" s="222" t="str">
        <f>IFERROR(__xludf.DUMMYFUNCTION("""COMPUTED_VALUE"""),"Batch 2")</f>
        <v>Batch 2</v>
      </c>
      <c r="J765" s="225">
        <f>IFERROR(__xludf.DUMMYFUNCTION("""COMPUTED_VALUE"""),4.0)</f>
        <v>4</v>
      </c>
      <c r="K765" s="224">
        <f>IFERROR(__xludf.DUMMYFUNCTION("""COMPUTED_VALUE"""),32.0)</f>
        <v>32</v>
      </c>
      <c r="L765" s="226">
        <f>IFERROR(__xludf.DUMMYFUNCTION("""COMPUTED_VALUE"""),1427407.0)</f>
        <v>1427407</v>
      </c>
      <c r="M765" s="227">
        <f>IFERROR(__xludf.DUMMYFUNCTION("""COMPUTED_VALUE"""),4.5676999E7)</f>
        <v>45676999</v>
      </c>
      <c r="N765" s="222" t="str">
        <f>IFERROR(__xludf.DUMMYFUNCTION("""COMPUTED_VALUE"""),"PT BANGUN PRIMA SEMESTA")</f>
        <v>PT BANGUN PRIMA SEMESTA</v>
      </c>
      <c r="O765" s="222" t="str">
        <f>IFERROR(__xludf.DUMMYFUNCTION("""COMPUTED_VALUE"""),"7. GOLIVE")</f>
        <v>7. GOLIVE</v>
      </c>
      <c r="P765" s="222" t="str">
        <f>IFERROR(__xludf.DUMMYFUNCTION("""COMPUTED_VALUE"""),"7.2 Golive Full / OA / DONE OTB")</f>
        <v>7.2 Golive Full / OA / DONE OTB</v>
      </c>
      <c r="Q765" s="222" t="str">
        <f>IFERROR(__xludf.DUMMYFUNCTION("""COMPUTED_VALUE"""),"11/02 golive sdi
(29/01) proses perapihan &amp; teriminasi di ODP (07/01) Persiapan
10/01 instal odp")</f>
        <v>11/02 golive sdi
(29/01) proses perapihan &amp; teriminasi di ODP (07/01) Persiapan
10/01 instal odp</v>
      </c>
      <c r="R765" s="228">
        <f>IFERROR(__xludf.DUMMYFUNCTION("""COMPUTED_VALUE"""),46064.0)</f>
        <v>46064</v>
      </c>
      <c r="S765" s="11"/>
      <c r="T765" s="11"/>
      <c r="U765" s="11" t="str">
        <f>IFERROR(__xludf.DUMMYFUNCTION("""COMPUTED_VALUE"""),"W01-1967/2025")</f>
        <v>W01-1967/2025</v>
      </c>
      <c r="V765" s="229"/>
      <c r="W765" s="229"/>
      <c r="X765" s="229" t="str">
        <f>IFERROR(__xludf.DUMMYFUNCTION("""COMPUTED_VALUE"""),"GOLIVE")</f>
        <v>GOLIVE</v>
      </c>
      <c r="Y765" s="229" t="str">
        <f>IFERROR(__xludf.DUMMYFUNCTION("""COMPUTED_VALUE"""),"DONE")</f>
        <v>DONE</v>
      </c>
      <c r="Z765" s="229" t="str">
        <f>IFERROR(__xludf.DUMMYFUNCTION("""COMPUTED_VALUE"""),"#N/A")</f>
        <v>#N/A</v>
      </c>
      <c r="AA765" s="229">
        <f>IFERROR(__xludf.DUMMYFUNCTION("""COMPUTED_VALUE"""),3.0)</f>
        <v>3</v>
      </c>
      <c r="AB765" s="229"/>
      <c r="AC765" s="229" t="str">
        <f>IFERROR(__xludf.DUMMYFUNCTION("""COMPUTED_VALUE"""),"9097728#9097733")</f>
        <v>9097728#9097733</v>
      </c>
      <c r="AD765" s="232">
        <f>IFERROR(__xludf.DUMMYFUNCTION("""COMPUTED_VALUE"""),24.0)</f>
        <v>24</v>
      </c>
      <c r="AE765" s="233">
        <f>IFERROR(__xludf.DUMMYFUNCTION("""COMPUTED_VALUE"""),46064.0)</f>
        <v>46064</v>
      </c>
      <c r="AF765" s="54"/>
      <c r="AG765" s="54"/>
      <c r="AH765" s="54">
        <v>46064.0</v>
      </c>
      <c r="AI765" s="55">
        <f t="shared" si="87"/>
        <v>0</v>
      </c>
      <c r="AW765" s="234"/>
      <c r="BP765" s="11"/>
      <c r="BQ765" s="11"/>
      <c r="BR765" s="235"/>
      <c r="BV765" s="158"/>
      <c r="BY765" s="158"/>
      <c r="CB765" s="158"/>
    </row>
    <row r="766" ht="18.0" hidden="1" customHeight="1">
      <c r="A766" s="222">
        <f>IFERROR(__xludf.DUMMYFUNCTION("""COMPUTED_VALUE"""),2026.0)</f>
        <v>2026</v>
      </c>
      <c r="B766" s="221">
        <f>IFERROR(__xludf.DUMMYFUNCTION("""COMPUTED_VALUE"""),1.237469E7)</f>
        <v>12374690</v>
      </c>
      <c r="C766" s="222" t="str">
        <f>IFERROR(__xludf.DUMMYFUNCTION("""COMPUTED_VALUE"""),"LPG PT3 LAMPUNG TENGAH_143843 MET")</f>
        <v>LPG PT3 LAMPUNG TENGAH_143843 MET</v>
      </c>
      <c r="D766" s="222" t="str">
        <f>IFERROR(__xludf.DUMMYFUNCTION("""COMPUTED_VALUE"""),"REGIONAL I")</f>
        <v>REGIONAL I</v>
      </c>
      <c r="E766" s="222" t="str">
        <f>IFERROR(__xludf.DUMMYFUNCTION("""COMPUTED_VALUE"""),"LAMPUNG")</f>
        <v>LAMPUNG</v>
      </c>
      <c r="F766" s="222" t="str">
        <f>IFERROR(__xludf.DUMMYFUNCTION("""COMPUTED_VALUE"""),"MET")</f>
        <v>MET</v>
      </c>
      <c r="G766" s="222" t="str">
        <f>IFERROR(__xludf.DUMMYFUNCTION("""COMPUTED_VALUE"""),"SUMBAGSEL")</f>
        <v>SUMBAGSEL</v>
      </c>
      <c r="H766" s="222" t="str">
        <f>IFERROR(__xludf.DUMMYFUNCTION("""COMPUTED_VALUE"""),"LAMPUNG")</f>
        <v>LAMPUNG</v>
      </c>
      <c r="I766" s="222" t="str">
        <f>IFERROR(__xludf.DUMMYFUNCTION("""COMPUTED_VALUE"""),"Batch 2")</f>
        <v>Batch 2</v>
      </c>
      <c r="J766" s="225">
        <f>IFERROR(__xludf.DUMMYFUNCTION("""COMPUTED_VALUE"""),3.0)</f>
        <v>3</v>
      </c>
      <c r="K766" s="224">
        <f>IFERROR(__xludf.DUMMYFUNCTION("""COMPUTED_VALUE"""),24.0)</f>
        <v>24</v>
      </c>
      <c r="L766" s="226">
        <f>IFERROR(__xludf.DUMMYFUNCTION("""COMPUTED_VALUE"""),1098600.0)</f>
        <v>1098600</v>
      </c>
      <c r="M766" s="227">
        <f>IFERROR(__xludf.DUMMYFUNCTION("""COMPUTED_VALUE"""),2.63664E7)</f>
        <v>26366400</v>
      </c>
      <c r="N766" s="222" t="str">
        <f>IFERROR(__xludf.DUMMYFUNCTION("""COMPUTED_VALUE"""),"PT FAJAR MITRA KRIDA ABADI")</f>
        <v>PT FAJAR MITRA KRIDA ABADI</v>
      </c>
      <c r="O766" s="222" t="str">
        <f>IFERROR(__xludf.DUMMYFUNCTION("""COMPUTED_VALUE"""),"0. DROP")</f>
        <v>0. DROP</v>
      </c>
      <c r="P766" s="222" t="str">
        <f>IFERROR(__xludf.DUMMYFUNCTION("""COMPUTED_VALUE"""),"0.2 Tidak Dapat Izin Warga/Kades/Lurah/Developer")</f>
        <v>0.2 Tidak Dapat Izin Warga/Kades/Lurah/Developer</v>
      </c>
      <c r="Q766" s="222" t="str">
        <f>IFERROR(__xludf.DUMMYFUNCTION("""COMPUTED_VALUE"""),"6/2 lurah meminta surat diperkim ,kominfo dll 
4/2 perhitungan cpp redesain jalur 
28/1 re desain  jalur dan titik odp karna port odc tersedia 6 port  dari kebtuhan 
21/1 re desain  jalur dan titik odp karna port odc tersedia 6 port  dari kebtuhan 9 
19/1"&amp;" proses pengacekan core dan perizinan")</f>
        <v>6/2 lurah meminta surat diperkim ,kominfo dll 
4/2 perhitungan cpp redesain jalur 
28/1 re desain  jalur dan titik odp karna port odc tersedia 6 port  dari kebtuhan 
21/1 re desain  jalur dan titik odp karna port odc tersedia 6 port  dari kebtuhan 9 
19/1 proses pengacekan core dan perizinan</v>
      </c>
      <c r="R766" s="228"/>
      <c r="S766" s="11"/>
      <c r="T766" s="11"/>
      <c r="U766" s="11" t="str">
        <f>IFERROR(__xludf.DUMMYFUNCTION("""COMPUTED_VALUE"""),"TIF-1996/2026")</f>
        <v>TIF-1996/2026</v>
      </c>
      <c r="V766" s="229"/>
      <c r="W766" s="229"/>
      <c r="X766" s="229" t="str">
        <f>IFERROR(__xludf.DUMMYFUNCTION("""COMPUTED_VALUE"""),"BELUM GOLIVE")</f>
        <v>BELUM GOLIVE</v>
      </c>
      <c r="Y766" s="229" t="str">
        <f>IFERROR(__xludf.DUMMYFUNCTION("""COMPUTED_VALUE"""),"PORT OLT Penuh")</f>
        <v>PORT OLT Penuh</v>
      </c>
      <c r="Z766" s="229" t="str">
        <f>IFERROR(__xludf.DUMMYFUNCTION("""COMPUTED_VALUE"""),"#N/A")</f>
        <v>#N/A</v>
      </c>
      <c r="AA766" s="229"/>
      <c r="AB766" s="229"/>
      <c r="AC766" s="229"/>
      <c r="AD766" s="232"/>
      <c r="AE766" s="233"/>
      <c r="AF766" s="54" t="str">
        <f>IFERROR(__xludf.DUMMYFUNCTION("""COMPUTED_VALUE"""),"Draft BA DROP")</f>
        <v>Draft BA DROP</v>
      </c>
      <c r="AG766" s="54"/>
      <c r="AH766" s="54"/>
      <c r="AI766" s="55" t="str">
        <f t="shared" si="87"/>
        <v/>
      </c>
      <c r="AW766" s="234"/>
      <c r="BP766" s="11"/>
      <c r="BQ766" s="11"/>
      <c r="BR766" s="235"/>
      <c r="BV766" s="158"/>
      <c r="BY766" s="158"/>
      <c r="CB766" s="158"/>
    </row>
    <row r="767" ht="18.0" hidden="1" customHeight="1">
      <c r="A767" s="222">
        <f>IFERROR(__xludf.DUMMYFUNCTION("""COMPUTED_VALUE"""),2026.0)</f>
        <v>2026</v>
      </c>
      <c r="B767" s="221">
        <f>IFERROR(__xludf.DUMMYFUNCTION("""COMPUTED_VALUE"""),1.1549216E7)</f>
        <v>11549216</v>
      </c>
      <c r="C767" s="222" t="str">
        <f>IFERROR(__xludf.DUMMYFUNCTION("""COMPUTED_VALUE"""),"SMS P3I1 PT3 PBI FG LUBUK SAUNG 3")</f>
        <v>SMS P3I1 PT3 PBI FG LUBUK SAUNG 3</v>
      </c>
      <c r="D767" s="222" t="str">
        <f>IFERROR(__xludf.DUMMYFUNCTION("""COMPUTED_VALUE"""),"REGIONAL I")</f>
        <v>REGIONAL I</v>
      </c>
      <c r="E767" s="222" t="str">
        <f>IFERROR(__xludf.DUMMYFUNCTION("""COMPUTED_VALUE"""),"SUMSEL")</f>
        <v>SUMSEL</v>
      </c>
      <c r="F767" s="222" t="str">
        <f>IFERROR(__xludf.DUMMYFUNCTION("""COMPUTED_VALUE"""),"PBI")</f>
        <v>PBI</v>
      </c>
      <c r="G767" s="222" t="str">
        <f>IFERROR(__xludf.DUMMYFUNCTION("""COMPUTED_VALUE"""),"SUMBAGSEL")</f>
        <v>SUMBAGSEL</v>
      </c>
      <c r="H767" s="222" t="str">
        <f>IFERROR(__xludf.DUMMYFUNCTION("""COMPUTED_VALUE"""),"PALEMBANG")</f>
        <v>PALEMBANG</v>
      </c>
      <c r="I767" s="222" t="str">
        <f>IFERROR(__xludf.DUMMYFUNCTION("""COMPUTED_VALUE"""),"Batch 2")</f>
        <v>Batch 2</v>
      </c>
      <c r="J767" s="225">
        <f>IFERROR(__xludf.DUMMYFUNCTION("""COMPUTED_VALUE"""),18.0)</f>
        <v>18</v>
      </c>
      <c r="K767" s="224">
        <f>IFERROR(__xludf.DUMMYFUNCTION("""COMPUTED_VALUE"""),144.0)</f>
        <v>144</v>
      </c>
      <c r="L767" s="226">
        <f>IFERROR(__xludf.DUMMYFUNCTION("""COMPUTED_VALUE"""),1204179.0)</f>
        <v>1204179</v>
      </c>
      <c r="M767" s="227">
        <f>IFERROR(__xludf.DUMMYFUNCTION("""COMPUTED_VALUE"""),1.73401734E8)</f>
        <v>173401734</v>
      </c>
      <c r="N767" s="222" t="str">
        <f>IFERROR(__xludf.DUMMYFUNCTION("""COMPUTED_VALUE"""),"PT MAJU JAYA TEKNOLOGI")</f>
        <v>PT MAJU JAYA TEKNOLOGI</v>
      </c>
      <c r="O767" s="222" t="str">
        <f>IFERROR(__xludf.DUMMYFUNCTION("""COMPUTED_VALUE"""),"7. GOLIVE")</f>
        <v>7. GOLIVE</v>
      </c>
      <c r="P767" s="222" t="str">
        <f>IFERROR(__xludf.DUMMYFUNCTION("""COMPUTED_VALUE"""),"7.2 Golive Full / OA / DONE OTB")</f>
        <v>7.2 Golive Full / OA / DONE OTB</v>
      </c>
      <c r="Q767" s="222" t="str">
        <f>IFERROR(__xludf.DUMMYFUNCTION("""COMPUTED_VALUE"""),"30/03 GOLIVE, 27/03 MENUNGGU GOLIVE, 26/03 DONE REVISI ABD, 25/03 REVISI ABD,  20/03 DONE SUBMIT ABD KE SDI, 19/03 PROGRESS PEMASANGAN 11 ODP, 18/03 PROGRESS PENARIKAN KABEL 1000M/1550M, 17/03 DONE TANAM TIANG 42 BTG, 16/03 PROGRESS TANAM TIANG 19BTG/42BT"&amp;"G, 15/03 PROGRESS LOBANG TIANG 22BTG DARI 42 BTG, 14/03 AMBIL MATERIAL, 13/03 OGP AMBIL MATERIAL, 10/03 AMBIL MATERIAL SELESAI PROGRESS LOP BERLIAN MAKMUR &amp; SERASAN LINGGO, 06/03 BELUM AMBIL MATERIAL, 04/03 HARI INI AMBIL MATERIAL, 03/03 OGP AMBIL MATERIA"&amp;"L, 27/02 OGP AMBIL MATERIAL, 25/02 MASIH MENUNGGU TIANG,  22/2 menunggu material TIANG  18/02 LANJUT PROGRES, TPI DI LOKASI ADA PERNGURANGAN ODP DARI 18 KE 11 KARENA STUB CORE EXT SISA 11 CORE DAN ADA NILAI PRELIM 4 JT UNTUK KADES, JDI ADA PENGURANGAN NIL"&amp;"AI BOQ DRI PLAN, 12/02 DONE INPUT MATERIAL, 11/2 PID Done, PR-PO AMD on going    09/02 CREATE PID, 7/2 mitra  sudah mengirim kan DRM  06/02 lanjut progres tpi KONFIRM SALES TERAKIT PEMGURANGAN ODP, 03/02 DONE EVAL, LANJUT PROGRES , TPI DI LOKASI ADA PERNG"&amp;"URANGAN ODP DARI 18 KE 11 KARENA STUB CORE EXT SISA 11 CORE DAN ADA NILAI PRELIM 4 JT UNTUK KADES, JDI ADA PENGURANGAN NILAI BOQ DRI PLAN, 30/01 MENUNGGU EVAL, 27/01 DONE AANWIDJZING, 26/1 tim TIF belum bisa EVAL hasil anwijzing karena lagi diluar kota , "&amp;"estimasi 29 jan baru kembali ke Palembang(24/1) plan aawijdizng 26/1 (21/01) menunggu antrian untuk aanwizjing lapangan, (20/1) MJT setuju (15/1) ORDER DITERIMA 14/1 ,PLAN AANWIJDZING 21 JAN 26 (06/01)order JPP batch-2 2026 ((26/11) ORDER HOLD , FLAGGING "&amp;"""TIDAK LANJUT DARI PED"" (25/11 MJT setuju, 24/11 penunjukkan mitra MJT, 26/11 penunjukkan mitra MJT, 25/11 penunjukkan mitra, (14/11) MItra MJS blm ambil pekerjaan baru terkait close pekerjaan lama , LOP juga tidak masuk list optimis close 2025 ( ( 14/1"&amp;"1 masih menunggu acc mitra 13/11 comcase 4jt dan sudah aanwijizing, (11/11) Penunjukkan MITRA  oleh Procurement  23/10 mitra triputra menolak ambil lop ini, saat ini lagi penunjukan mitra baru 
10/10 est kirim material tgl 18//10 09/10 Redesign Done, Pros"&amp;"es Matdel 08/10 menunggu update dari ED karena nilai CPP naik 
(01/10) menunggu update dri ED karena nilai CPP naik
(19/09) pihak kades belum bisa d temuin untk izin
(15/09) proses perizina dg pihak kades setempat
14/01 Surat lanjut kerja oleh procurement")</f>
        <v>30/03 GOLIVE, 27/03 MENUNGGU GOLIVE, 26/03 DONE REVISI ABD, 25/03 REVISI ABD,  20/03 DONE SUBMIT ABD KE SDI, 19/03 PROGRESS PEMASANGAN 11 ODP, 18/03 PROGRESS PENARIKAN KABEL 1000M/1550M, 17/03 DONE TANAM TIANG 42 BTG, 16/03 PROGRESS TANAM TIANG 19BTG/42BTG, 15/03 PROGRESS LOBANG TIANG 22BTG DARI 42 BTG, 14/03 AMBIL MATERIAL, 13/03 OGP AMBIL MATERIAL, 10/03 AMBIL MATERIAL SELESAI PROGRESS LOP BERLIAN MAKMUR &amp; SERASAN LINGGO, 06/03 BELUM AMBIL MATERIAL, 04/03 HARI INI AMBIL MATERIAL, 03/03 OGP AMBIL MATERIAL, 27/02 OGP AMBIL MATERIAL, 25/02 MASIH MENUNGGU TIANG,  22/2 menunggu material TIANG  18/02 LANJUT PROGRES, TPI DI LOKASI ADA PERNGURANGAN ODP DARI 18 KE 11 KARENA STUB CORE EXT SISA 11 CORE DAN ADA NILAI PRELIM 4 JT UNTUK KADES, JDI ADA PENGURANGAN NILAI BOQ DRI PLAN, 12/02 DONE INPUT MATERIAL, 11/2 PID Done, PR-PO AMD on going    09/02 CREATE PID, 7/2 mitra  sudah mengirim kan DRM  06/02 lanjut progres tpi KONFIRM SALES TERAKIT PEMGURANGAN ODP, 03/02 DONE EVAL, LANJUT PROGRES , TPI DI LOKASI ADA PERNGURANGAN ODP DARI 18 KE 11 KARENA STUB CORE EXT SISA 11 CORE DAN ADA NILAI PRELIM 4 JT UNTUK KADES, JDI ADA PENGURANGAN NILAI BOQ DRI PLAN, 30/01 MENUNGGU EVAL, 27/01 DONE AANWIDJZING, 26/1 tim TIF belum bisa EVAL hasil anwijzing karena lagi diluar kota , estimasi 29 jan baru kembali ke Palembang(24/1) plan aawijdizng 26/1 (21/01) menunggu antrian untuk aanwizjing lapangan, (20/1) MJT setuju (15/1) ORDER DITERIMA 14/1 ,PLAN AANWIJDZING 21 JAN 26 (06/01)order JPP batch-2 2026 ((26/11) ORDER HOLD , FLAGGING "TIDAK LANJUT DARI PED" (25/11 MJT setuju, 24/11 penunjukkan mitra MJT, 26/11 penunjukkan mitra MJT, 25/11 penunjukkan mitra, (14/11) MItra MJS blm ambil pekerjaan baru terkait close pekerjaan lama , LOP juga tidak masuk list optimis close 2025 ( ( 14/11 masih menunggu acc mitra 13/11 comcase 4jt dan sudah aanwijizing, (11/11) Penunjukkan MITRA  oleh Procurement  23/10 mitra triputra menolak ambil lop ini, saat ini lagi penunjukan mitra baru 
10/10 est kirim material tgl 18//10 09/10 Redesign Done, Proses Matdel 08/10 menunggu update dari ED karena nilai CPP naik 
(01/10) menunggu update dri ED karena nilai CPP naik
(19/09) pihak kades belum bisa d temuin untk izin
(15/09) proses perizina dg pihak kades setempat
14/01 Surat lanjut kerja oleh procurement</v>
      </c>
      <c r="R767" s="228">
        <f>IFERROR(__xludf.DUMMYFUNCTION("""COMPUTED_VALUE"""),46107.0)</f>
        <v>46107</v>
      </c>
      <c r="S767" s="11" t="str">
        <f>IFERROR(__xludf.DUMMYFUNCTION("""COMPUTED_VALUE"""),"MAR")</f>
        <v>MAR</v>
      </c>
      <c r="T767" s="11" t="str">
        <f>IFERROR(__xludf.DUMMYFUNCTION("""COMPUTED_VALUE"""),"P1")</f>
        <v>P1</v>
      </c>
      <c r="U767" s="11"/>
      <c r="V767" s="229" t="str">
        <f>IFERROR(__xludf.DUMMYFUNCTION("""COMPUTED_VALUE"""),"TEGAR")</f>
        <v>TEGAR</v>
      </c>
      <c r="W767" s="229"/>
      <c r="X767" s="229" t="str">
        <f>IFERROR(__xludf.DUMMYFUNCTION("""COMPUTED_VALUE"""),"GOLIVE")</f>
        <v>GOLIVE</v>
      </c>
      <c r="Y767" s="229" t="str">
        <f>IFERROR(__xludf.DUMMYFUNCTION("""COMPUTED_VALUE"""),"DONE")</f>
        <v>DONE</v>
      </c>
      <c r="Z767" s="229" t="str">
        <f>IFERROR(__xludf.DUMMYFUNCTION("""COMPUTED_VALUE"""),"#N/A")</f>
        <v>#N/A</v>
      </c>
      <c r="AA767" s="229">
        <f>IFERROR(__xludf.DUMMYFUNCTION("""COMPUTED_VALUE"""),11.0)</f>
        <v>11</v>
      </c>
      <c r="AB767" s="229"/>
      <c r="AC767" s="229" t="str">
        <f>IFERROR(__xludf.DUMMYFUNCTION("""COMPUTED_VALUE"""),"8938100#8938105")</f>
        <v>8938100#8938105</v>
      </c>
      <c r="AD767" s="232">
        <f>IFERROR(__xludf.DUMMYFUNCTION("""COMPUTED_VALUE"""),88.0)</f>
        <v>88</v>
      </c>
      <c r="AE767" s="233">
        <f>IFERROR(__xludf.DUMMYFUNCTION("""COMPUTED_VALUE"""),46101.0)</f>
        <v>46101</v>
      </c>
      <c r="AF767" s="54"/>
      <c r="AG767" s="54"/>
      <c r="AH767" s="54">
        <v>46107.0</v>
      </c>
      <c r="AI767" s="55">
        <f t="shared" si="87"/>
        <v>6</v>
      </c>
      <c r="AW767" s="234"/>
      <c r="BP767" s="11"/>
      <c r="BQ767" s="11"/>
      <c r="BR767" s="235"/>
      <c r="BV767" s="158"/>
      <c r="BY767" s="158"/>
      <c r="CB767" s="158"/>
    </row>
    <row r="768" ht="18.0" customHeight="1">
      <c r="A768" s="222">
        <f>IFERROR(__xludf.DUMMYFUNCTION("""COMPUTED_VALUE"""),2026.0)</f>
        <v>2026</v>
      </c>
      <c r="B768" s="221">
        <f>IFERROR(__xludf.DUMMYFUNCTION("""COMPUTED_VALUE"""),1.2077498E7)</f>
        <v>12077498</v>
      </c>
      <c r="C768" s="222" t="str">
        <f>IFERROR(__xludf.DUMMYFUNCTION("""COMPUTED_VALUE"""),"RKP TSEL PT3 SLU-FY KOTA BATAM_117357")</f>
        <v>RKP TSEL PT3 SLU-FY KOTA BATAM_117357</v>
      </c>
      <c r="D768" s="222" t="str">
        <f>IFERROR(__xludf.DUMMYFUNCTION("""COMPUTED_VALUE"""),"REGIONAL I")</f>
        <v>REGIONAL I</v>
      </c>
      <c r="E768" s="222" t="str">
        <f>IFERROR(__xludf.DUMMYFUNCTION("""COMPUTED_VALUE"""),"RIKEP")</f>
        <v>RIKEP</v>
      </c>
      <c r="F768" s="222" t="str">
        <f>IFERROR(__xludf.DUMMYFUNCTION("""COMPUTED_VALUE"""),"SLU")</f>
        <v>SLU</v>
      </c>
      <c r="G768" s="222" t="str">
        <f>IFERROR(__xludf.DUMMYFUNCTION("""COMPUTED_VALUE"""),"SUMBAGTENG")</f>
        <v>SUMBAGTENG</v>
      </c>
      <c r="H768" s="222" t="str">
        <f>IFERROR(__xludf.DUMMYFUNCTION("""COMPUTED_VALUE"""),"BATAM")</f>
        <v>BATAM</v>
      </c>
      <c r="I768" s="222" t="str">
        <f>IFERROR(__xludf.DUMMYFUNCTION("""COMPUTED_VALUE"""),"Batch 2")</f>
        <v>Batch 2</v>
      </c>
      <c r="J768" s="225">
        <f>IFERROR(__xludf.DUMMYFUNCTION("""COMPUTED_VALUE"""),3.0)</f>
        <v>3</v>
      </c>
      <c r="K768" s="224">
        <f>IFERROR(__xludf.DUMMYFUNCTION("""COMPUTED_VALUE"""),24.0)</f>
        <v>24</v>
      </c>
      <c r="L768" s="226">
        <f>IFERROR(__xludf.DUMMYFUNCTION("""COMPUTED_VALUE"""),1097634.0)</f>
        <v>1097634</v>
      </c>
      <c r="M768" s="227">
        <f>IFERROR(__xludf.DUMMYFUNCTION("""COMPUTED_VALUE"""),2.6343197E7)</f>
        <v>26343197</v>
      </c>
      <c r="N768" s="222" t="str">
        <f>IFERROR(__xludf.DUMMYFUNCTION("""COMPUTED_VALUE"""),"PT MITRA HOSINDO SEJAHTERA")</f>
        <v>PT MITRA HOSINDO SEJAHTERA</v>
      </c>
      <c r="O768" s="222" t="str">
        <f>IFERROR(__xludf.DUMMYFUNCTION("""COMPUTED_VALUE"""),"0. DROP")</f>
        <v>0. DROP</v>
      </c>
      <c r="P768" s="222" t="str">
        <f>IFERROR(__xludf.DUMMYFUNCTION("""COMPUTED_VALUE"""),"0.2 Tidak Dapat Izin Warga/Kades/Lurah/Developer")</f>
        <v>0.2 Tidak Dapat Izin Warga/Kades/Lurah/Developer</v>
      </c>
      <c r="Q768" s="222" t="str">
        <f>IFERROR(__xludf.DUMMYFUNCTION("""COMPUTED_VALUE"""),"16/02 Izin Tidak di acc oleh RW dan perangkat perumahan. 16/02 Plan anwijzing dan perizinan tgl 16 Feb. 12/02 Plan anwijzing besok 13 Feb. 09/02 sudah anwijzing dan perizinan, plan pembuatan BOQ dan KML survey.  29/01 Plan survey 30 Jan. 28/01 Plan survey"&amp;" HI.. 21/01 plansurvey 28 Jan")</f>
        <v>16/02 Izin Tidak di acc oleh RW dan perangkat perumahan. 16/02 Plan anwijzing dan perizinan tgl 16 Feb. 12/02 Plan anwijzing besok 13 Feb. 09/02 sudah anwijzing dan perizinan, plan pembuatan BOQ dan KML survey.  29/01 Plan survey 30 Jan. 28/01 Plan survey HI.. 21/01 plansurvey 28 Jan</v>
      </c>
      <c r="R768" s="228"/>
      <c r="S768" s="11"/>
      <c r="T768" s="11"/>
      <c r="U768" s="11"/>
      <c r="V768" s="229" t="str">
        <f>IFERROR(__xludf.DUMMYFUNCTION("""COMPUTED_VALUE"""),"MUHAMMAD RIDHO FALFO")</f>
        <v>MUHAMMAD RIDHO FALFO</v>
      </c>
      <c r="W768" s="229" t="str">
        <f>IFERROR(__xludf.DUMMYFUNCTION("""COMPUTED_VALUE"""),"LEVITA INDRIYANI")</f>
        <v>LEVITA INDRIYANI</v>
      </c>
      <c r="X768" s="229" t="str">
        <f>IFERROR(__xludf.DUMMYFUNCTION("""COMPUTED_VALUE"""),"BELUM GOLIVE")</f>
        <v>BELUM GOLIVE</v>
      </c>
      <c r="Y768" s="229"/>
      <c r="Z768" s="229" t="str">
        <f>IFERROR(__xludf.DUMMYFUNCTION("""COMPUTED_VALUE"""),"#N/A")</f>
        <v>#N/A</v>
      </c>
      <c r="AA768" s="229"/>
      <c r="AB768" s="229"/>
      <c r="AC768" s="229"/>
      <c r="AD768" s="232"/>
      <c r="AE768" s="233"/>
      <c r="AF768" s="54" t="str">
        <f>IFERROR(__xludf.DUMMYFUNCTION("""COMPUTED_VALUE"""),"Draft BA DROP")</f>
        <v>Draft BA DROP</v>
      </c>
      <c r="AG768" s="54"/>
      <c r="AH768" s="54"/>
      <c r="AI768" s="55" t="str">
        <f t="shared" si="87"/>
        <v/>
      </c>
      <c r="AW768" s="234"/>
      <c r="BP768" s="11"/>
      <c r="BQ768" s="11"/>
      <c r="BR768" s="235"/>
      <c r="BV768" s="158"/>
      <c r="BY768" s="158"/>
      <c r="CB768" s="158"/>
    </row>
    <row r="769" ht="18.0" hidden="1" customHeight="1">
      <c r="A769" s="222">
        <f>IFERROR(__xludf.DUMMYFUNCTION("""COMPUTED_VALUE"""),2026.0)</f>
        <v>2026</v>
      </c>
      <c r="B769" s="221">
        <f>IFERROR(__xludf.DUMMYFUNCTION("""COMPUTED_VALUE"""),1.1325993E7)</f>
        <v>11325993</v>
      </c>
      <c r="C769" s="222" t="str">
        <f>IFERROR(__xludf.DUMMYFUNCTION("""COMPUTED_VALUE"""),"MDN PT3 TMU-FAC ODP PRIORITAS")</f>
        <v>MDN PT3 TMU-FAC ODP PRIORITAS</v>
      </c>
      <c r="D769" s="222" t="str">
        <f>IFERROR(__xludf.DUMMYFUNCTION("""COMPUTED_VALUE"""),"REGIONAL I")</f>
        <v>REGIONAL I</v>
      </c>
      <c r="E769" s="222" t="str">
        <f>IFERROR(__xludf.DUMMYFUNCTION("""COMPUTED_VALUE"""),"MEDAN")</f>
        <v>MEDAN</v>
      </c>
      <c r="F769" s="222" t="str">
        <f>IFERROR(__xludf.DUMMYFUNCTION("""COMPUTED_VALUE"""),"TMU")</f>
        <v>TMU</v>
      </c>
      <c r="G769" s="222" t="str">
        <f>IFERROR(__xludf.DUMMYFUNCTION("""COMPUTED_VALUE"""),"SUMBAGUT")</f>
        <v>SUMBAGUT</v>
      </c>
      <c r="H769" s="222" t="str">
        <f>IFERROR(__xludf.DUMMYFUNCTION("""COMPUTED_VALUE"""),"MEDAN")</f>
        <v>MEDAN</v>
      </c>
      <c r="I769" s="222" t="str">
        <f>IFERROR(__xludf.DUMMYFUNCTION("""COMPUTED_VALUE"""),"Batch 2")</f>
        <v>Batch 2</v>
      </c>
      <c r="J769" s="225">
        <f>IFERROR(__xludf.DUMMYFUNCTION("""COMPUTED_VALUE"""),10.0)</f>
        <v>10</v>
      </c>
      <c r="K769" s="224">
        <f>IFERROR(__xludf.DUMMYFUNCTION("""COMPUTED_VALUE"""),80.0)</f>
        <v>80</v>
      </c>
      <c r="L769" s="226">
        <f>IFERROR(__xludf.DUMMYFUNCTION("""COMPUTED_VALUE"""),651701.0)</f>
        <v>651701</v>
      </c>
      <c r="M769" s="227">
        <f>IFERROR(__xludf.DUMMYFUNCTION("""COMPUTED_VALUE"""),5.2136016E7)</f>
        <v>52136016</v>
      </c>
      <c r="N769" s="222" t="str">
        <f>IFERROR(__xludf.DUMMYFUNCTION("""COMPUTED_VALUE"""),"PT DUL JAYA TAMA")</f>
        <v>PT DUL JAYA TAMA</v>
      </c>
      <c r="O769" s="222" t="str">
        <f>IFERROR(__xludf.DUMMYFUNCTION("""COMPUTED_VALUE"""),"0. DROP")</f>
        <v>0. DROP</v>
      </c>
      <c r="P769" s="222" t="str">
        <f>IFERROR(__xludf.DUMMYFUNCTION("""COMPUTED_VALUE"""),"0.3 Feeder Full")</f>
        <v>0.3 Feeder Full</v>
      </c>
      <c r="Q769" s="222" t="str">
        <f>IFERROR(__xludf.DUMMYFUNCTION("""COMPUTED_VALUE"""),"08/03 Feeder Penuh 29/01 Done Order, lnjut Aanwidzing")</f>
        <v>08/03 Feeder Penuh 29/01 Done Order, lnjut Aanwidzing</v>
      </c>
      <c r="R769" s="228"/>
      <c r="S769" s="11"/>
      <c r="T769" s="11"/>
      <c r="U769" s="11"/>
      <c r="V769" s="229"/>
      <c r="W769" s="229"/>
      <c r="X769" s="229" t="str">
        <f>IFERROR(__xludf.DUMMYFUNCTION("""COMPUTED_VALUE"""),"BELUM GOLIVE")</f>
        <v>BELUM GOLIVE</v>
      </c>
      <c r="Y769" s="229"/>
      <c r="Z769" s="229" t="str">
        <f>IFERROR(__xludf.DUMMYFUNCTION("""COMPUTED_VALUE"""),"#N/A")</f>
        <v>#N/A</v>
      </c>
      <c r="AA769" s="229"/>
      <c r="AB769" s="229"/>
      <c r="AC769" s="229"/>
      <c r="AD769" s="232"/>
      <c r="AE769" s="233"/>
      <c r="AF769" s="54"/>
      <c r="AG769" s="54"/>
      <c r="AH769" s="54"/>
      <c r="AI769" s="55" t="str">
        <f t="shared" si="87"/>
        <v/>
      </c>
      <c r="AW769" s="234"/>
      <c r="BP769" s="11"/>
      <c r="BQ769" s="11"/>
      <c r="BR769" s="235"/>
      <c r="BV769" s="158"/>
      <c r="BY769" s="158"/>
      <c r="CB769" s="158"/>
    </row>
    <row r="770" ht="18.0" hidden="1" customHeight="1">
      <c r="A770" s="222">
        <f>IFERROR(__xludf.DUMMYFUNCTION("""COMPUTED_VALUE"""),2026.0)</f>
        <v>2026</v>
      </c>
      <c r="B770" s="221">
        <f>IFERROR(__xludf.DUMMYFUNCTION("""COMPUTED_VALUE"""),1.1271796E7)</f>
        <v>11271796</v>
      </c>
      <c r="C770" s="222" t="str">
        <f>IFERROR(__xludf.DUMMYFUNCTION("""COMPUTED_VALUE"""),"MDN PT3 P1I1 BJI-FP GRIYA BRAHRANG")</f>
        <v>MDN PT3 P1I1 BJI-FP GRIYA BRAHRANG</v>
      </c>
      <c r="D770" s="222" t="str">
        <f>IFERROR(__xludf.DUMMYFUNCTION("""COMPUTED_VALUE"""),"REGIONAL I")</f>
        <v>REGIONAL I</v>
      </c>
      <c r="E770" s="222" t="str">
        <f>IFERROR(__xludf.DUMMYFUNCTION("""COMPUTED_VALUE"""),"MEDAN")</f>
        <v>MEDAN</v>
      </c>
      <c r="F770" s="222" t="str">
        <f>IFERROR(__xludf.DUMMYFUNCTION("""COMPUTED_VALUE"""),"BJI")</f>
        <v>BJI</v>
      </c>
      <c r="G770" s="222" t="str">
        <f>IFERROR(__xludf.DUMMYFUNCTION("""COMPUTED_VALUE"""),"SUMBAGUT")</f>
        <v>SUMBAGUT</v>
      </c>
      <c r="H770" s="222" t="str">
        <f>IFERROR(__xludf.DUMMYFUNCTION("""COMPUTED_VALUE"""),"BINJAI")</f>
        <v>BINJAI</v>
      </c>
      <c r="I770" s="222" t="str">
        <f>IFERROR(__xludf.DUMMYFUNCTION("""COMPUTED_VALUE"""),"Batch 2")</f>
        <v>Batch 2</v>
      </c>
      <c r="J770" s="225">
        <f>IFERROR(__xludf.DUMMYFUNCTION("""COMPUTED_VALUE"""),2.0)</f>
        <v>2</v>
      </c>
      <c r="K770" s="224">
        <f>IFERROR(__xludf.DUMMYFUNCTION("""COMPUTED_VALUE"""),16.0)</f>
        <v>16</v>
      </c>
      <c r="L770" s="226">
        <f>IFERROR(__xludf.DUMMYFUNCTION("""COMPUTED_VALUE"""),1253942.0)</f>
        <v>1253942</v>
      </c>
      <c r="M770" s="227">
        <f>IFERROR(__xludf.DUMMYFUNCTION("""COMPUTED_VALUE"""),2.0063063E7)</f>
        <v>20063063</v>
      </c>
      <c r="N770" s="222" t="str">
        <f>IFERROR(__xludf.DUMMYFUNCTION("""COMPUTED_VALUE"""),"PT JAYA ANINDYA MUSTIKA")</f>
        <v>PT JAYA ANINDYA MUSTIKA</v>
      </c>
      <c r="O770" s="222" t="str">
        <f>IFERROR(__xludf.DUMMYFUNCTION("""COMPUTED_VALUE"""),"0. DROP")</f>
        <v>0. DROP</v>
      </c>
      <c r="P770" s="222" t="str">
        <f>IFERROR(__xludf.DUMMYFUNCTION("""COMPUTED_VALUE"""),"0.4 CPP Tinggi Acc ED TIF")</f>
        <v>0.4 CPP Tinggi Acc ED TIF</v>
      </c>
      <c r="Q770" s="222" t="str">
        <f>IFERROR(__xludf.DUMMYFUNCTION("""COMPUTED_VALUE"""),"29/01 poses perhitungan boq untuk solusi QE (07/01) Persiapan")</f>
        <v>29/01 poses perhitungan boq untuk solusi QE (07/01) Persiapan</v>
      </c>
      <c r="R770" s="228"/>
      <c r="S770" s="11"/>
      <c r="T770" s="11"/>
      <c r="U770" s="11"/>
      <c r="V770" s="229"/>
      <c r="W770" s="229"/>
      <c r="X770" s="229" t="str">
        <f>IFERROR(__xludf.DUMMYFUNCTION("""COMPUTED_VALUE"""),"BELUM GOLIVE")</f>
        <v>BELUM GOLIVE</v>
      </c>
      <c r="Y770" s="229"/>
      <c r="Z770" s="229" t="str">
        <f>IFERROR(__xludf.DUMMYFUNCTION("""COMPUTED_VALUE"""),"#N/A")</f>
        <v>#N/A</v>
      </c>
      <c r="AA770" s="229"/>
      <c r="AB770" s="229"/>
      <c r="AC770" s="229"/>
      <c r="AD770" s="232"/>
      <c r="AE770" s="233"/>
      <c r="AF770" s="54" t="str">
        <f>IFERROR(__xludf.DUMMYFUNCTION("""COMPUTED_VALUE"""),"Draft BA DROP")</f>
        <v>Draft BA DROP</v>
      </c>
      <c r="AG770" s="54"/>
      <c r="AH770" s="54"/>
      <c r="AI770" s="55" t="str">
        <f t="shared" si="87"/>
        <v/>
      </c>
      <c r="AW770" s="234"/>
      <c r="BP770" s="11"/>
      <c r="BQ770" s="11"/>
      <c r="BR770" s="235"/>
      <c r="BV770" s="158"/>
      <c r="BY770" s="158"/>
      <c r="CB770" s="158"/>
    </row>
    <row r="771" ht="18.0" hidden="1" customHeight="1">
      <c r="A771" s="222">
        <f>IFERROR(__xludf.DUMMYFUNCTION("""COMPUTED_VALUE"""),2026.0)</f>
        <v>2026</v>
      </c>
      <c r="B771" s="221">
        <f>IFERROR(__xludf.DUMMYFUNCTION("""COMPUTED_VALUE"""),1.180832E7)</f>
        <v>11808320</v>
      </c>
      <c r="C771" s="222" t="str">
        <f>IFERROR(__xludf.DUMMYFUNCTION("""COMPUTED_VALUE"""),"SMS P4I2 PT3 LHT FAN D03 KEBUR")</f>
        <v>SMS P4I2 PT3 LHT FAN D03 KEBUR</v>
      </c>
      <c r="D771" s="222" t="str">
        <f>IFERROR(__xludf.DUMMYFUNCTION("""COMPUTED_VALUE"""),"REGIONAL I")</f>
        <v>REGIONAL I</v>
      </c>
      <c r="E771" s="222" t="str">
        <f>IFERROR(__xludf.DUMMYFUNCTION("""COMPUTED_VALUE"""),"SUMSEL")</f>
        <v>SUMSEL</v>
      </c>
      <c r="F771" s="222" t="str">
        <f>IFERROR(__xludf.DUMMYFUNCTION("""COMPUTED_VALUE"""),"LHT")</f>
        <v>LHT</v>
      </c>
      <c r="G771" s="222" t="str">
        <f>IFERROR(__xludf.DUMMYFUNCTION("""COMPUTED_VALUE"""),"SUMBAGSEL")</f>
        <v>SUMBAGSEL</v>
      </c>
      <c r="H771" s="222" t="str">
        <f>IFERROR(__xludf.DUMMYFUNCTION("""COMPUTED_VALUE"""),"BENGKULU")</f>
        <v>BENGKULU</v>
      </c>
      <c r="I771" s="222" t="str">
        <f>IFERROR(__xludf.DUMMYFUNCTION("""COMPUTED_VALUE"""),"Batch 2")</f>
        <v>Batch 2</v>
      </c>
      <c r="J771" s="225">
        <f>IFERROR(__xludf.DUMMYFUNCTION("""COMPUTED_VALUE"""),8.0)</f>
        <v>8</v>
      </c>
      <c r="K771" s="224">
        <f>IFERROR(__xludf.DUMMYFUNCTION("""COMPUTED_VALUE"""),64.0)</f>
        <v>64</v>
      </c>
      <c r="L771" s="226">
        <f>IFERROR(__xludf.DUMMYFUNCTION("""COMPUTED_VALUE"""),1095830.0)</f>
        <v>1095830</v>
      </c>
      <c r="M771" s="227">
        <f>IFERROR(__xludf.DUMMYFUNCTION("""COMPUTED_VALUE"""),7.0133079E7)</f>
        <v>70133079</v>
      </c>
      <c r="N771" s="222" t="str">
        <f>IFERROR(__xludf.DUMMYFUNCTION("""COMPUTED_VALUE"""),"PT GITA PRIMA TAMBA PERKASA")</f>
        <v>PT GITA PRIMA TAMBA PERKASA</v>
      </c>
      <c r="O771" s="222" t="str">
        <f>IFERROR(__xludf.DUMMYFUNCTION("""COMPUTED_VALUE"""),"2. DONE AANWIJZING")</f>
        <v>2. DONE AANWIJZING</v>
      </c>
      <c r="P771" s="222" t="str">
        <f>IFERROR(__xludf.DUMMYFUNCTION("""COMPUTED_VALUE"""),"2.5 Proses Create PID")</f>
        <v>2.5 Proses Create PID</v>
      </c>
      <c r="Q771" s="222" t="str">
        <f>IFERROR(__xludf.DUMMYFUNCTION("""COMPUTED_VALUE"""),"27/04 : Proses PR/PO // 13/04 Izin dengan kepala desa &amp; pararel tiang mtel sdh di approve 09/04 jalur nya sejalur pake tiang mtel, 31/03 sejalur dengan tiang mtel, jdi HOLD oleh tif karena belum ada kesepkatan terkait penggunaan tiang MTEL, 26/03 proses p"&amp;"ergantian mitra dri raharja ke GPTP, 25/03 PROGRESS UPDATE BOQ DAN KML SETELAH AANWIDJZING - MASIH MENUNGGU INFO TSEL MENGENAI PENGURANGAN ODP,  16/03 HASIL AANWIDJZING TDK PERLU IZIN KARENA ADA TIANG MTEL DAN BISA DIKERJAKAN ASAL KABEL TEMPORER SDH DI PE"&amp;"RMANENKAN AGAR BISA PETIK CORE DI KABEL PLAN YG MAU DI BANGUN, 13/03 HASIL AANWIDJZING SDH ADA TIANG MTEL DAN KABEL PLAN MENGARAH KE PLTU KEBAN AGUNG, 12/03 DONE AANWIDJZING, 10/03 PROGRESS AANWIJDZING ULANG, 09/03 DIALIHKAN KE MITRA GPTP, 09/03 DATA UPDA"&amp;"TE BLM DI KIRIM MITRA, 06/03 SDH DI FU TERUS TP BELUM ADA INFO DARI MITRA, 02/03 SDH DI FU TERUS TP BELUM ADA INFO DARI MITRA, 27/02 masih menunggu hasil perhitungan QE dan review TIF, 22/2  menunggu hasil perhitungan QE dan review TIF  22/02 KABEL DISTRI"&amp;"BUSI EXISTING SUDAH BANYAK YG CACAT DAN HARUS DI GANTI SEKITAR JARAK 400M DAN ADA KABEL TEMPORER DI LOKASI, 15/02 HASIL AANWIDJZING BELUM BISA DIBANGUN KRNA PORT DISTRIBUSI TIDAK SAMPAI, 11/02 Hasil Aanwidjing dikirim hari ini ||  10/02 DONE AANWIDJZING -"&amp;" MITRA BELUM KIRIM HASIL AANWIDJZING, 04/02 PROSES AANWIDJZING, 30/01 PROSES AANWIDJZING - MITRA BELUM KIRIM HASIL AANWIDJZING, (23/1) Proses Aanwijdzing - Est 27 Setor ke Pak wijaya  (21/01) menunggu antrian untuk aanwizjing, (15/1) ORDER DITERIMA MITRA "&amp;"14/1, masih menunngu confirm- kepastian 19 jan (06/01)order JPP batch-2 2026 ((06/01)order JPP batch-2 2026 ((14/11)HOLD-  tidak masuk target Optimis 2025 (
14/01 sudah penunjukan mitra oleh procurement")</f>
        <v>27/04 : Proses PR/PO // 13/04 Izin dengan kepala desa &amp; pararel tiang mtel sdh di approve 09/04 jalur nya sejalur pake tiang mtel, 31/03 sejalur dengan tiang mtel, jdi HOLD oleh tif karena belum ada kesepkatan terkait penggunaan tiang MTEL, 26/03 proses pergantian mitra dri raharja ke GPTP, 25/03 PROGRESS UPDATE BOQ DAN KML SETELAH AANWIDJZING - MASIH MENUNGGU INFO TSEL MENGENAI PENGURANGAN ODP,  16/03 HASIL AANWIDJZING TDK PERLU IZIN KARENA ADA TIANG MTEL DAN BISA DIKERJAKAN ASAL KABEL TEMPORER SDH DI PERMANENKAN AGAR BISA PETIK CORE DI KABEL PLAN YG MAU DI BANGUN, 13/03 HASIL AANWIDJZING SDH ADA TIANG MTEL DAN KABEL PLAN MENGARAH KE PLTU KEBAN AGUNG, 12/03 DONE AANWIDJZING, 10/03 PROGRESS AANWIJDZING ULANG, 09/03 DIALIHKAN KE MITRA GPTP, 09/03 DATA UPDATE BLM DI KIRIM MITRA, 06/03 SDH DI FU TERUS TP BELUM ADA INFO DARI MITRA, 02/03 SDH DI FU TERUS TP BELUM ADA INFO DARI MITRA, 27/02 masih menunggu hasil perhitungan QE dan review TIF, 22/2  menunggu hasil perhitungan QE dan review TIF  22/02 KABEL DISTRIBUSI EXISTING SUDAH BANYAK YG CACAT DAN HARUS DI GANTI SEKITAR JARAK 400M DAN ADA KABEL TEMPORER DI LOKASI, 15/02 HASIL AANWIDJZING BELUM BISA DIBANGUN KRNA PORT DISTRIBUSI TIDAK SAMPAI, 11/02 Hasil Aanwidjing dikirim hari ini ||  10/02 DONE AANWIDJZING - MITRA BELUM KIRIM HASIL AANWIDJZING, 04/02 PROSES AANWIDJZING, 30/01 PROSES AANWIDJZING - MITRA BELUM KIRIM HASIL AANWIDJZING, (23/1) Proses Aanwijdzing - Est 27 Setor ke Pak wijaya  (21/01) menunggu antrian untuk aanwizjing, (15/1) ORDER DITERIMA MITRA 14/1, masih menunngu confirm- kepastian 19 jan (06/01)order JPP batch-2 2026 ((06/01)order JPP batch-2 2026 ((14/11)HOLD-  tidak masuk target Optimis 2025 (
14/01 sudah penunjukan mitra oleh procurement</v>
      </c>
      <c r="R771" s="228"/>
      <c r="S771" s="11"/>
      <c r="T771" s="11"/>
      <c r="U771" s="11"/>
      <c r="V771" s="229" t="str">
        <f>IFERROR(__xludf.DUMMYFUNCTION("""COMPUTED_VALUE"""),"PUTRA")</f>
        <v>PUTRA</v>
      </c>
      <c r="W771" s="229"/>
      <c r="X771" s="229" t="str">
        <f>IFERROR(__xludf.DUMMYFUNCTION("""COMPUTED_VALUE"""),"BELUM GOLIVE")</f>
        <v>BELUM GOLIVE</v>
      </c>
      <c r="Y771" s="229"/>
      <c r="Z771" s="229" t="str">
        <f>IFERROR(__xludf.DUMMYFUNCTION("""COMPUTED_VALUE"""),"#N/A")</f>
        <v>#N/A</v>
      </c>
      <c r="AA771" s="229"/>
      <c r="AB771" s="229"/>
      <c r="AC771" s="229"/>
      <c r="AD771" s="232"/>
      <c r="AE771" s="233"/>
      <c r="AF771" s="54"/>
      <c r="AG771" s="54"/>
      <c r="AH771" s="54"/>
      <c r="AI771" s="55" t="str">
        <f t="shared" si="87"/>
        <v/>
      </c>
      <c r="AW771" s="234"/>
      <c r="BP771" s="11"/>
      <c r="BQ771" s="11"/>
      <c r="BR771" s="235"/>
      <c r="BV771" s="158"/>
      <c r="BY771" s="158"/>
      <c r="CB771" s="158"/>
    </row>
    <row r="772" ht="18.0" hidden="1" customHeight="1">
      <c r="A772" s="222">
        <f>IFERROR(__xludf.DUMMYFUNCTION("""COMPUTED_VALUE"""),2026.0)</f>
        <v>2026</v>
      </c>
      <c r="B772" s="221">
        <f>IFERROR(__xludf.DUMMYFUNCTION("""COMPUTED_VALUE"""),1.1571405E7)</f>
        <v>11571405</v>
      </c>
      <c r="C772" s="222" t="str">
        <f>IFERROR(__xludf.DUMMYFUNCTION("""COMPUTED_VALUE"""),"SMS P3I1 PT3 KAG FB D08 AGUS MARKUS")</f>
        <v>SMS P3I1 PT3 KAG FB D08 AGUS MARKUS</v>
      </c>
      <c r="D772" s="222" t="str">
        <f>IFERROR(__xludf.DUMMYFUNCTION("""COMPUTED_VALUE"""),"REGIONAL I")</f>
        <v>REGIONAL I</v>
      </c>
      <c r="E772" s="222" t="str">
        <f>IFERROR(__xludf.DUMMYFUNCTION("""COMPUTED_VALUE"""),"SUMSEL")</f>
        <v>SUMSEL</v>
      </c>
      <c r="F772" s="222" t="str">
        <f>IFERROR(__xludf.DUMMYFUNCTION("""COMPUTED_VALUE"""),"KAG")</f>
        <v>KAG</v>
      </c>
      <c r="G772" s="222" t="str">
        <f>IFERROR(__xludf.DUMMYFUNCTION("""COMPUTED_VALUE"""),"SUMBAGSEL")</f>
        <v>SUMBAGSEL</v>
      </c>
      <c r="H772" s="222" t="str">
        <f>IFERROR(__xludf.DUMMYFUNCTION("""COMPUTED_VALUE"""),"PALEMBANG")</f>
        <v>PALEMBANG</v>
      </c>
      <c r="I772" s="222" t="str">
        <f>IFERROR(__xludf.DUMMYFUNCTION("""COMPUTED_VALUE"""),"Batch 2")</f>
        <v>Batch 2</v>
      </c>
      <c r="J772" s="225">
        <f>IFERROR(__xludf.DUMMYFUNCTION("""COMPUTED_VALUE"""),3.0)</f>
        <v>3</v>
      </c>
      <c r="K772" s="224">
        <f>IFERROR(__xludf.DUMMYFUNCTION("""COMPUTED_VALUE"""),24.0)</f>
        <v>24</v>
      </c>
      <c r="L772" s="226">
        <f>IFERROR(__xludf.DUMMYFUNCTION("""COMPUTED_VALUE"""),1095579.0)</f>
        <v>1095579</v>
      </c>
      <c r="M772" s="227">
        <f>IFERROR(__xludf.DUMMYFUNCTION("""COMPUTED_VALUE"""),2.6293889E7)</f>
        <v>26293889</v>
      </c>
      <c r="N772" s="222" t="str">
        <f>IFERROR(__xludf.DUMMYFUNCTION("""COMPUTED_VALUE"""),"PT SARANA MITRA PERSADA")</f>
        <v>PT SARANA MITRA PERSADA</v>
      </c>
      <c r="O772" s="222" t="str">
        <f>IFERROR(__xludf.DUMMYFUNCTION("""COMPUTED_VALUE"""),"7. GOLIVE")</f>
        <v>7. GOLIVE</v>
      </c>
      <c r="P772" s="222" t="str">
        <f>IFERROR(__xludf.DUMMYFUNCTION("""COMPUTED_VALUE"""),"7.2 Golive Full / OA / DONE OTB")</f>
        <v>7.2 Golive Full / OA / DONE OTB</v>
      </c>
      <c r="Q772" s="222" t="str">
        <f>IFERROR(__xludf.DUMMYFUNCTION("""COMPUTED_VALUE"""),"17/04 MASIH PROSES PENARIKAN KABEL DAN PERIZINAN DG KADES &amp; WARGA, 16/04 PROSES PENARIKAN KABEL DAN PERAPIAN (PARALEL PERIZINAN DG KADES DAN WARGA), 13/04 di stop oleh kades dan warga &amp; meminta TSEL untuk sosialisasi 09/04  proses instalasi  08/4 MATDEL  "&amp;"07/04 DONE INPUT MATERIAL, PLAN 08 APR AMBIL MATERIAL, 06/04 PLAN TGL 6 INPUT MATERIAL, 02/04 OGP INPUT MATERIAL, 31/03 EST KIRIM MATERIAL TGL 6 APRIL, 30/03 MASIH KOORDINASI DG MITRA TERKAIT PENGINPUTAN ULANG MATERIAL, 27/03 INPUT ULANG MATERIAL - MSIH K"&amp;"OORDINASI DG MITRA, 26/03 INPUT ULANG MATERIAL - MSIH KOORDINASI DG MITRA, 21/03 DONE PR PO - EST TGL 30 MAR AMBIL MATERIAL, 13/03 MITRA MENGAMBIL MATERIAL EST 30 MAR, 27/02 MITRA MENGAMBIL MATERIAL SETELAH LEBARAN, 26/02 MENUNGGU APPROVE RFC, 25/02 BLM K"&amp;"ELUAR RFC, 24/02 MENUNGGU APPROVE MATERIAL , 22/2 menunggu material TIANG  20/02 OGP MATDEL - MENUNGGU TIANG KRNA DI GUDANG KOSONG 15/02 DONE INPUT MATERIAL, 10/2 perubahan design menunggu confirm dari sales TSEL. , plan Matdel 13 FEB  09/02 DONE DRM, 06/"&amp;"02 HASIL REVIEW TSEL, LANJUT PROGRESS, 30/01 PASTIKAN CORE DIST 8 DI LAPANGAN, KRENA D SISTEM MASIH ADA STUB , 27/01 done aanwizjing, di lokasi stub core habis 25/01 DROP STUB DISTRIBUSI HABIS, 22/01 AANWIDJZING, (15/1) ORDER DITERIMA 14/1, PLAN AANWIJDZI"&amp;"NG 22 JAN 26 (06/01)order JPP batch-2 2026 ((14/11)HOLD- tidak masuk target Optimis 2025 (23/10 penunjukan mitra
 14/01 penunjukan mitra oleh procurement")</f>
        <v>17/04 MASIH PROSES PENARIKAN KABEL DAN PERIZINAN DG KADES &amp; WARGA, 16/04 PROSES PENARIKAN KABEL DAN PERAPIAN (PARALEL PERIZINAN DG KADES DAN WARGA), 13/04 di stop oleh kades dan warga &amp; meminta TSEL untuk sosialisasi 09/04  proses instalasi  08/4 MATDEL  07/04 DONE INPUT MATERIAL, PLAN 08 APR AMBIL MATERIAL, 06/04 PLAN TGL 6 INPUT MATERIAL, 02/04 OGP INPUT MATERIAL, 31/03 EST KIRIM MATERIAL TGL 6 APRIL, 30/03 MASIH KOORDINASI DG MITRA TERKAIT PENGINPUTAN ULANG MATERIAL, 27/03 INPUT ULANG MATERIAL - MSIH KOORDINASI DG MITRA, 26/03 INPUT ULANG MATERIAL - MSIH KOORDINASI DG MITRA, 21/03 DONE PR PO - EST TGL 30 MAR AMBIL MATERIAL, 13/03 MITRA MENGAMBIL MATERIAL EST 30 MAR, 27/02 MITRA MENGAMBIL MATERIAL SETELAH LEBARAN, 26/02 MENUNGGU APPROVE RFC, 25/02 BLM KELUAR RFC, 24/02 MENUNGGU APPROVE MATERIAL , 22/2 menunggu material TIANG  20/02 OGP MATDEL - MENUNGGU TIANG KRNA DI GUDANG KOSONG 15/02 DONE INPUT MATERIAL, 10/2 perubahan design menunggu confirm dari sales TSEL. , plan Matdel 13 FEB  09/02 DONE DRM, 06/02 HASIL REVIEW TSEL, LANJUT PROGRESS, 30/01 PASTIKAN CORE DIST 8 DI LAPANGAN, KRENA D SISTEM MASIH ADA STUB , 27/01 done aanwizjing, di lokasi stub core habis 25/01 DROP STUB DISTRIBUSI HABIS, 22/01 AANWIDJZING, (15/1) ORDER DITERIMA 14/1, PLAN AANWIJDZING 22 JAN 26 (06/01)order JPP batch-2 2026 ((14/11)HOLD- tidak masuk target Optimis 2025 (23/10 penunjukan mitra
 14/01 penunjukan mitra oleh procurement</v>
      </c>
      <c r="R772" s="228">
        <f>IFERROR(__xludf.DUMMYFUNCTION("""COMPUTED_VALUE"""),46132.0)</f>
        <v>46132</v>
      </c>
      <c r="S772" s="11" t="str">
        <f>IFERROR(__xludf.DUMMYFUNCTION("""COMPUTED_VALUE"""),"APR")</f>
        <v>APR</v>
      </c>
      <c r="T772" s="73" t="str">
        <f>IFERROR(__xludf.DUMMYFUNCTION("""COMPUTED_VALUE"""),"P1")</f>
        <v>P1</v>
      </c>
      <c r="U772" s="11"/>
      <c r="V772" s="229" t="str">
        <f>IFERROR(__xludf.DUMMYFUNCTION("""COMPUTED_VALUE"""),"RENALDO")</f>
        <v>RENALDO</v>
      </c>
      <c r="W772" s="229"/>
      <c r="X772" s="229" t="str">
        <f>IFERROR(__xludf.DUMMYFUNCTION("""COMPUTED_VALUE"""),"GOLIVE")</f>
        <v>GOLIVE</v>
      </c>
      <c r="Y772" s="229" t="str">
        <f>IFERROR(__xludf.DUMMYFUNCTION("""COMPUTED_VALUE"""),"DONE")</f>
        <v>DONE</v>
      </c>
      <c r="Z772" s="229" t="str">
        <f>IFERROR(__xludf.DUMMYFUNCTION("""COMPUTED_VALUE"""),"#N/A")</f>
        <v>#N/A</v>
      </c>
      <c r="AA772" s="229">
        <f>IFERROR(__xludf.DUMMYFUNCTION("""COMPUTED_VALUE"""),3.0)</f>
        <v>3</v>
      </c>
      <c r="AB772" s="229"/>
      <c r="AC772" s="229" t="str">
        <f>IFERROR(__xludf.DUMMYFUNCTION("""COMPUTED_VALUE"""),"8937466#8937471")</f>
        <v>8937466#8937471</v>
      </c>
      <c r="AD772" s="232">
        <f>IFERROR(__xludf.DUMMYFUNCTION("""COMPUTED_VALUE"""),24.0)</f>
        <v>24</v>
      </c>
      <c r="AE772" s="233">
        <f>IFERROR(__xludf.DUMMYFUNCTION("""COMPUTED_VALUE"""),46132.0)</f>
        <v>46132</v>
      </c>
      <c r="AF772" s="54"/>
      <c r="AG772" s="54"/>
      <c r="AH772" s="54">
        <v>46135.0</v>
      </c>
      <c r="AI772" s="55">
        <f t="shared" si="87"/>
        <v>0</v>
      </c>
      <c r="AW772" s="234"/>
      <c r="BP772" s="11"/>
      <c r="BQ772" s="11"/>
      <c r="BR772" s="235"/>
      <c r="BV772" s="158"/>
      <c r="BY772" s="158"/>
      <c r="CB772" s="158"/>
    </row>
    <row r="773" ht="18.0" hidden="1" customHeight="1">
      <c r="A773" s="222">
        <f>IFERROR(__xludf.DUMMYFUNCTION("""COMPUTED_VALUE"""),2026.0)</f>
        <v>2026</v>
      </c>
      <c r="B773" s="221">
        <f>IFERROR(__xludf.DUMMYFUNCTION("""COMPUTED_VALUE"""),1.1271885E7)</f>
        <v>11271885</v>
      </c>
      <c r="C773" s="222" t="str">
        <f>IFERROR(__xludf.DUMMYFUNCTION("""COMPUTED_VALUE"""),"MDN PT3 P1I1 STB-FF JL.AMPERA")</f>
        <v>MDN PT3 P1I1 STB-FF JL.AMPERA</v>
      </c>
      <c r="D773" s="222" t="str">
        <f>IFERROR(__xludf.DUMMYFUNCTION("""COMPUTED_VALUE"""),"REGIONAL I")</f>
        <v>REGIONAL I</v>
      </c>
      <c r="E773" s="222" t="str">
        <f>IFERROR(__xludf.DUMMYFUNCTION("""COMPUTED_VALUE"""),"MEDAN")</f>
        <v>MEDAN</v>
      </c>
      <c r="F773" s="222" t="str">
        <f>IFERROR(__xludf.DUMMYFUNCTION("""COMPUTED_VALUE"""),"STB")</f>
        <v>STB</v>
      </c>
      <c r="G773" s="222" t="str">
        <f>IFERROR(__xludf.DUMMYFUNCTION("""COMPUTED_VALUE"""),"SUMBAGUT")</f>
        <v>SUMBAGUT</v>
      </c>
      <c r="H773" s="222" t="str">
        <f>IFERROR(__xludf.DUMMYFUNCTION("""COMPUTED_VALUE"""),"BINJAI")</f>
        <v>BINJAI</v>
      </c>
      <c r="I773" s="222" t="str">
        <f>IFERROR(__xludf.DUMMYFUNCTION("""COMPUTED_VALUE"""),"Batch 2")</f>
        <v>Batch 2</v>
      </c>
      <c r="J773" s="225">
        <f>IFERROR(__xludf.DUMMYFUNCTION("""COMPUTED_VALUE"""),11.0)</f>
        <v>11</v>
      </c>
      <c r="K773" s="224">
        <f>IFERROR(__xludf.DUMMYFUNCTION("""COMPUTED_VALUE"""),88.0)</f>
        <v>88</v>
      </c>
      <c r="L773" s="226">
        <f>IFERROR(__xludf.DUMMYFUNCTION("""COMPUTED_VALUE"""),1330587.0)</f>
        <v>1330587</v>
      </c>
      <c r="M773" s="227">
        <f>IFERROR(__xludf.DUMMYFUNCTION("""COMPUTED_VALUE"""),1.17091591E8)</f>
        <v>117091591</v>
      </c>
      <c r="N773" s="222" t="str">
        <f>IFERROR(__xludf.DUMMYFUNCTION("""COMPUTED_VALUE"""),"PT M JUSUF AND SONS")</f>
        <v>PT M JUSUF AND SONS</v>
      </c>
      <c r="O773" s="222" t="str">
        <f>IFERROR(__xludf.DUMMYFUNCTION("""COMPUTED_VALUE"""),"0. DROP")</f>
        <v>0. DROP</v>
      </c>
      <c r="P773" s="222" t="str">
        <f>IFERROR(__xludf.DUMMYFUNCTION("""COMPUTED_VALUE"""),"0.4 CPP Tinggi Acc ED TIF")</f>
        <v>0.4 CPP Tinggi Acc ED TIF</v>
      </c>
      <c r="Q773" s="222" t="str">
        <f>IFERROR(__xludf.DUMMYFUNCTION("""COMPUTED_VALUE"""),"29/01 poses perhitungan boq untuk solusi QE (07/01) Persiapan")</f>
        <v>29/01 poses perhitungan boq untuk solusi QE (07/01) Persiapan</v>
      </c>
      <c r="R773" s="228"/>
      <c r="S773" s="11"/>
      <c r="T773" s="11"/>
      <c r="U773" s="11"/>
      <c r="V773" s="229"/>
      <c r="W773" s="229"/>
      <c r="X773" s="229" t="str">
        <f>IFERROR(__xludf.DUMMYFUNCTION("""COMPUTED_VALUE"""),"BELUM GOLIVE")</f>
        <v>BELUM GOLIVE</v>
      </c>
      <c r="Y773" s="229"/>
      <c r="Z773" s="229" t="str">
        <f>IFERROR(__xludf.DUMMYFUNCTION("""COMPUTED_VALUE"""),"#N/A")</f>
        <v>#N/A</v>
      </c>
      <c r="AA773" s="229"/>
      <c r="AB773" s="229"/>
      <c r="AC773" s="229"/>
      <c r="AD773" s="232"/>
      <c r="AE773" s="233"/>
      <c r="AF773" s="54" t="str">
        <f>IFERROR(__xludf.DUMMYFUNCTION("""COMPUTED_VALUE"""),"Draft BA DROP")</f>
        <v>Draft BA DROP</v>
      </c>
      <c r="AG773" s="54"/>
      <c r="AH773" s="54"/>
      <c r="AI773" s="55" t="str">
        <f t="shared" si="87"/>
        <v/>
      </c>
      <c r="AW773" s="234"/>
      <c r="BP773" s="11"/>
      <c r="BQ773" s="11"/>
      <c r="BR773" s="235"/>
      <c r="BV773" s="158"/>
      <c r="BY773" s="158"/>
      <c r="CB773" s="158"/>
    </row>
    <row r="774" ht="18.0" customHeight="1">
      <c r="A774" s="222">
        <f>IFERROR(__xludf.DUMMYFUNCTION("""COMPUTED_VALUE"""),2026.0)</f>
        <v>2026</v>
      </c>
      <c r="B774" s="221">
        <f>IFERROR(__xludf.DUMMYFUNCTION("""COMPUTED_VALUE"""),1.1549495E7)</f>
        <v>11549495</v>
      </c>
      <c r="C774" s="222" t="str">
        <f>IFERROR(__xludf.DUMMYFUNCTION("""COMPUTED_VALUE"""),"RKP TSEL PT3 TBK-FI TELUK SENANG")</f>
        <v>RKP TSEL PT3 TBK-FI TELUK SENANG</v>
      </c>
      <c r="D774" s="222" t="str">
        <f>IFERROR(__xludf.DUMMYFUNCTION("""COMPUTED_VALUE"""),"REGIONAL I")</f>
        <v>REGIONAL I</v>
      </c>
      <c r="E774" s="222" t="str">
        <f>IFERROR(__xludf.DUMMYFUNCTION("""COMPUTED_VALUE"""),"RIKEP")</f>
        <v>RIKEP</v>
      </c>
      <c r="F774" s="222" t="str">
        <f>IFERROR(__xludf.DUMMYFUNCTION("""COMPUTED_VALUE"""),"SYA")</f>
        <v>SYA</v>
      </c>
      <c r="G774" s="222" t="str">
        <f>IFERROR(__xludf.DUMMYFUNCTION("""COMPUTED_VALUE"""),"SUMBAGTENG")</f>
        <v>SUMBAGTENG</v>
      </c>
      <c r="H774" s="222" t="str">
        <f>IFERROR(__xludf.DUMMYFUNCTION("""COMPUTED_VALUE"""),"BATAM")</f>
        <v>BATAM</v>
      </c>
      <c r="I774" s="222" t="str">
        <f>IFERROR(__xludf.DUMMYFUNCTION("""COMPUTED_VALUE"""),"Batch 2")</f>
        <v>Batch 2</v>
      </c>
      <c r="J774" s="225">
        <f>IFERROR(__xludf.DUMMYFUNCTION("""COMPUTED_VALUE"""),2.0)</f>
        <v>2</v>
      </c>
      <c r="K774" s="224">
        <f>IFERROR(__xludf.DUMMYFUNCTION("""COMPUTED_VALUE"""),16.0)</f>
        <v>16</v>
      </c>
      <c r="L774" s="226">
        <f>IFERROR(__xludf.DUMMYFUNCTION("""COMPUTED_VALUE"""),1095229.0)</f>
        <v>1095229</v>
      </c>
      <c r="M774" s="227">
        <f>IFERROR(__xludf.DUMMYFUNCTION("""COMPUTED_VALUE"""),1.7523649E7)</f>
        <v>17523649</v>
      </c>
      <c r="N774" s="222" t="str">
        <f>IFERROR(__xludf.DUMMYFUNCTION("""COMPUTED_VALUE"""),"PT DWI MITRA JAYA UTAMA")</f>
        <v>PT DWI MITRA JAYA UTAMA</v>
      </c>
      <c r="O774" s="222" t="str">
        <f>IFERROR(__xludf.DUMMYFUNCTION("""COMPUTED_VALUE"""),"2. DONE AANWIJZING")</f>
        <v>2. DONE AANWIJZING</v>
      </c>
      <c r="P774" s="222" t="str">
        <f>IFERROR(__xludf.DUMMYFUNCTION("""COMPUTED_VALUE"""),"2.10 Kendala - Feeder Rusak")</f>
        <v>2.10 Kendala - Feeder Rusak</v>
      </c>
      <c r="Q774" s="222" t="str">
        <f>IFERROR(__xludf.DUMMYFUNCTION("""COMPUTED_VALUE"""),"09/03 pengambilan ulang eviden feeder full hari ini. 
05/03 Feeder Habis, pengambilan ulang eviden. 28/01 Feeder Habis, pengambilan ulang eviden. 28/01 Plan survey lanjut hari ini. 21/01 plan anwijzing 26 jan, peralihan mitra")</f>
        <v>09/03 pengambilan ulang eviden feeder full hari ini. 
05/03 Feeder Habis, pengambilan ulang eviden. 28/01 Feeder Habis, pengambilan ulang eviden. 28/01 Plan survey lanjut hari ini. 21/01 plan anwijzing 26 jan, peralihan mitra</v>
      </c>
      <c r="R774" s="228"/>
      <c r="S774" s="11"/>
      <c r="T774" s="11"/>
      <c r="U774" s="11"/>
      <c r="V774" s="229" t="str">
        <f>IFERROR(__xludf.DUMMYFUNCTION("""COMPUTED_VALUE"""),"MOHAMMAD FAUZY")</f>
        <v>MOHAMMAD FAUZY</v>
      </c>
      <c r="W774" s="229" t="str">
        <f>IFERROR(__xludf.DUMMYFUNCTION("""COMPUTED_VALUE"""),"LEVITA INDRIYANI")</f>
        <v>LEVITA INDRIYANI</v>
      </c>
      <c r="X774" s="229" t="str">
        <f>IFERROR(__xludf.DUMMYFUNCTION("""COMPUTED_VALUE"""),"BELUM GOLIVE")</f>
        <v>BELUM GOLIVE</v>
      </c>
      <c r="Y774" s="229"/>
      <c r="Z774" s="229" t="str">
        <f>IFERROR(__xludf.DUMMYFUNCTION("""COMPUTED_VALUE"""),"#N/A")</f>
        <v>#N/A</v>
      </c>
      <c r="AA774" s="229"/>
      <c r="AB774" s="229"/>
      <c r="AC774" s="229"/>
      <c r="AD774" s="232"/>
      <c r="AE774" s="233"/>
      <c r="AF774" s="54"/>
      <c r="AG774" s="54"/>
      <c r="AH774" s="54"/>
      <c r="AI774" s="55" t="str">
        <f t="shared" si="87"/>
        <v/>
      </c>
      <c r="AW774" s="234"/>
      <c r="BP774" s="11"/>
      <c r="BQ774" s="11"/>
      <c r="BR774" s="235"/>
      <c r="BV774" s="158"/>
      <c r="BY774" s="158"/>
      <c r="CB774" s="158"/>
    </row>
    <row r="775" ht="18.0" customHeight="1">
      <c r="A775" s="222">
        <f>IFERROR(__xludf.DUMMYFUNCTION("""COMPUTED_VALUE"""),2026.0)</f>
        <v>2026</v>
      </c>
      <c r="B775" s="221">
        <f>IFERROR(__xludf.DUMMYFUNCTION("""COMPUTED_VALUE"""),1.1513875E7)</f>
        <v>11513875</v>
      </c>
      <c r="C775" s="222" t="str">
        <f>IFERROR(__xludf.DUMMYFUNCTION("""COMPUTED_VALUE"""),"SMB P3I1 Jl. Anyelir Dadok Tunggu Hitam")</f>
        <v>SMB P3I1 Jl. Anyelir Dadok Tunggu Hitam</v>
      </c>
      <c r="D775" s="222" t="str">
        <f>IFERROR(__xludf.DUMMYFUNCTION("""COMPUTED_VALUE"""),"REGIONAL I")</f>
        <v>REGIONAL I</v>
      </c>
      <c r="E775" s="222" t="str">
        <f>IFERROR(__xludf.DUMMYFUNCTION("""COMPUTED_VALUE"""),"SUMBAR")</f>
        <v>SUMBAR</v>
      </c>
      <c r="F775" s="222" t="str">
        <f>IFERROR(__xludf.DUMMYFUNCTION("""COMPUTED_VALUE"""),"SIE")</f>
        <v>SIE</v>
      </c>
      <c r="G775" s="222" t="str">
        <f>IFERROR(__xludf.DUMMYFUNCTION("""COMPUTED_VALUE"""),"SUMBAGTENG")</f>
        <v>SUMBAGTENG</v>
      </c>
      <c r="H775" s="222" t="str">
        <f>IFERROR(__xludf.DUMMYFUNCTION("""COMPUTED_VALUE"""),"PADANG")</f>
        <v>PADANG</v>
      </c>
      <c r="I775" s="222" t="str">
        <f>IFERROR(__xludf.DUMMYFUNCTION("""COMPUTED_VALUE"""),"Batch 2")</f>
        <v>Batch 2</v>
      </c>
      <c r="J775" s="225">
        <f>IFERROR(__xludf.DUMMYFUNCTION("""COMPUTED_VALUE"""),3.0)</f>
        <v>3</v>
      </c>
      <c r="K775" s="224">
        <f>IFERROR(__xludf.DUMMYFUNCTION("""COMPUTED_VALUE"""),24.0)</f>
        <v>24</v>
      </c>
      <c r="L775" s="226">
        <f>IFERROR(__xludf.DUMMYFUNCTION("""COMPUTED_VALUE"""),1095199.0)</f>
        <v>1095199</v>
      </c>
      <c r="M775" s="227">
        <f>IFERROR(__xludf.DUMMYFUNCTION("""COMPUTED_VALUE"""),2.6284755E7)</f>
        <v>26284755</v>
      </c>
      <c r="N775" s="222" t="str">
        <f>IFERROR(__xludf.DUMMYFUNCTION("""COMPUTED_VALUE"""),"PT TRI LESMA INDONESIA")</f>
        <v>PT TRI LESMA INDONESIA</v>
      </c>
      <c r="O775" s="222" t="str">
        <f>IFERROR(__xludf.DUMMYFUNCTION("""COMPUTED_VALUE"""),"8. UJI TERIMA")</f>
        <v>8. UJI TERIMA</v>
      </c>
      <c r="P775" s="222" t="str">
        <f>IFERROR(__xludf.DUMMYFUNCTION("""COMPUTED_VALUE"""),"8.1 Proses UT")</f>
        <v>8.1 Proses UT</v>
      </c>
      <c r="Q775" s="222" t="str">
        <f>IFERROR(__xludf.DUMMYFUNCTION("""COMPUTED_VALUE"""),"(07/01) Persiapan")</f>
        <v>(07/01) Persiapan</v>
      </c>
      <c r="R775" s="228"/>
      <c r="S775" s="11"/>
      <c r="T775" s="11"/>
      <c r="U775" s="11" t="str">
        <f>IFERROR(__xludf.DUMMYFUNCTION("""COMPUTED_VALUE"""),"W10-1749/2025 25KT03R158-0497")</f>
        <v>W10-1749/2025 25KT03R158-0497</v>
      </c>
      <c r="V775" s="229" t="str">
        <f>IFERROR(__xludf.DUMMYFUNCTION("""COMPUTED_VALUE"""),"ALDI EFENDI")</f>
        <v>ALDI EFENDI</v>
      </c>
      <c r="W775" s="229" t="str">
        <f>IFERROR(__xludf.DUMMYFUNCTION("""COMPUTED_VALUE"""),"MELKO NARWADI")</f>
        <v>MELKO NARWADI</v>
      </c>
      <c r="X775" s="229" t="str">
        <f>IFERROR(__xludf.DUMMYFUNCTION("""COMPUTED_VALUE"""),"GOLIVE")</f>
        <v>GOLIVE</v>
      </c>
      <c r="Y775" s="229" t="str">
        <f>IFERROR(__xludf.DUMMYFUNCTION("""COMPUTED_VALUE"""),"DONE")</f>
        <v>DONE</v>
      </c>
      <c r="Z775" s="229" t="str">
        <f>IFERROR(__xludf.DUMMYFUNCTION("""COMPUTED_VALUE"""),"#N/A")</f>
        <v>#N/A</v>
      </c>
      <c r="AA775" s="229">
        <f>IFERROR(__xludf.DUMMYFUNCTION("""COMPUTED_VALUE"""),3.0)</f>
        <v>3</v>
      </c>
      <c r="AB775" s="229"/>
      <c r="AC775" s="229" t="str">
        <f>IFERROR(__xludf.DUMMYFUNCTION("""COMPUTED_VALUE"""),"8954168#8954173")</f>
        <v>8954168#8954173</v>
      </c>
      <c r="AD775" s="232">
        <f>IFERROR(__xludf.DUMMYFUNCTION("""COMPUTED_VALUE"""),24.0)</f>
        <v>24</v>
      </c>
      <c r="AE775" s="233">
        <f>IFERROR(__xludf.DUMMYFUNCTION("""COMPUTED_VALUE"""),46035.0)</f>
        <v>46035</v>
      </c>
      <c r="AF775" s="54"/>
      <c r="AG775" s="54"/>
      <c r="AH775" s="54"/>
      <c r="AI775" s="55" t="str">
        <f t="shared" si="87"/>
        <v/>
      </c>
      <c r="AW775" s="234"/>
      <c r="BP775" s="11"/>
      <c r="BQ775" s="11"/>
      <c r="BR775" s="235"/>
      <c r="BV775" s="158"/>
      <c r="BY775" s="158"/>
      <c r="CB775" s="158"/>
    </row>
    <row r="776" ht="18.0" customHeight="1">
      <c r="A776" s="222">
        <f>IFERROR(__xludf.DUMMYFUNCTION("""COMPUTED_VALUE"""),2026.0)</f>
        <v>2026</v>
      </c>
      <c r="B776" s="221">
        <f>IFERROR(__xludf.DUMMYFUNCTION("""COMPUTED_VALUE"""),1.1346011E7)</f>
        <v>11346011</v>
      </c>
      <c r="C776" s="222" t="str">
        <f>IFERROR(__xludf.DUMMYFUNCTION("""COMPUTED_VALUE"""),"RDR DUM PT3 P2I2 RIAU_786 1")</f>
        <v>RDR DUM PT3 P2I2 RIAU_786 1</v>
      </c>
      <c r="D776" s="222" t="str">
        <f>IFERROR(__xludf.DUMMYFUNCTION("""COMPUTED_VALUE"""),"REGIONAL I")</f>
        <v>REGIONAL I</v>
      </c>
      <c r="E776" s="222" t="str">
        <f>IFERROR(__xludf.DUMMYFUNCTION("""COMPUTED_VALUE"""),"RIDAR")</f>
        <v>RIDAR</v>
      </c>
      <c r="F776" s="222" t="str">
        <f>IFERROR(__xludf.DUMMYFUNCTION("""COMPUTED_VALUE"""),"DUM")</f>
        <v>DUM</v>
      </c>
      <c r="G776" s="222" t="str">
        <f>IFERROR(__xludf.DUMMYFUNCTION("""COMPUTED_VALUE"""),"SUMBAGTENG")</f>
        <v>SUMBAGTENG</v>
      </c>
      <c r="H776" s="222" t="str">
        <f>IFERROR(__xludf.DUMMYFUNCTION("""COMPUTED_VALUE"""),"DUMAI")</f>
        <v>DUMAI</v>
      </c>
      <c r="I776" s="222" t="str">
        <f>IFERROR(__xludf.DUMMYFUNCTION("""COMPUTED_VALUE"""),"Batch 2")</f>
        <v>Batch 2</v>
      </c>
      <c r="J776" s="225">
        <f>IFERROR(__xludf.DUMMYFUNCTION("""COMPUTED_VALUE"""),4.0)</f>
        <v>4</v>
      </c>
      <c r="K776" s="224">
        <f>IFERROR(__xludf.DUMMYFUNCTION("""COMPUTED_VALUE"""),32.0)</f>
        <v>32</v>
      </c>
      <c r="L776" s="226">
        <f>IFERROR(__xludf.DUMMYFUNCTION("""COMPUTED_VALUE"""),1206068.0)</f>
        <v>1206068</v>
      </c>
      <c r="M776" s="227">
        <f>IFERROR(__xludf.DUMMYFUNCTION("""COMPUTED_VALUE"""),3.8594152E7)</f>
        <v>38594152</v>
      </c>
      <c r="N776" s="222" t="str">
        <f>IFERROR(__xludf.DUMMYFUNCTION("""COMPUTED_VALUE"""),"PT TRI LESMA INDONESIA")</f>
        <v>PT TRI LESMA INDONESIA</v>
      </c>
      <c r="O776" s="222" t="str">
        <f>IFERROR(__xludf.DUMMYFUNCTION("""COMPUTED_VALUE"""),"0. DROP")</f>
        <v>0. DROP</v>
      </c>
      <c r="P776" s="222" t="str">
        <f>IFERROR(__xludf.DUMMYFUNCTION("""COMPUTED_VALUE"""),"0.2 Tidak Dapat Izin Warga/Kades/Lurah/Developer")</f>
        <v>0.2 Tidak Dapat Izin Warga/Kades/Lurah/Developer</v>
      </c>
      <c r="Q776" s="222" t="str">
        <f>IFERROR(__xludf.DUMMYFUNCTION("""COMPUTED_VALUE"""),"20/01 Comcase tidak dapat izin tanam tiang (07/01) Persiapan")</f>
        <v>20/01 Comcase tidak dapat izin tanam tiang (07/01) Persiapan</v>
      </c>
      <c r="R776" s="228"/>
      <c r="S776" s="11"/>
      <c r="T776" s="11"/>
      <c r="U776" s="11"/>
      <c r="V776" s="229" t="str">
        <f>IFERROR(__xludf.DUMMYFUNCTION("""COMPUTED_VALUE"""),"FIRDAUS ZULKARNAIEN")</f>
        <v>FIRDAUS ZULKARNAIEN</v>
      </c>
      <c r="W776" s="229" t="str">
        <f>IFERROR(__xludf.DUMMYFUNCTION("""COMPUTED_VALUE"""),"ANZALA SAKINAH")</f>
        <v>ANZALA SAKINAH</v>
      </c>
      <c r="X776" s="229" t="str">
        <f>IFERROR(__xludf.DUMMYFUNCTION("""COMPUTED_VALUE"""),"BELUM GOLIVE")</f>
        <v>BELUM GOLIVE</v>
      </c>
      <c r="Y776" s="229"/>
      <c r="Z776" s="229" t="str">
        <f>IFERROR(__xludf.DUMMYFUNCTION("""COMPUTED_VALUE"""),"#N/A")</f>
        <v>#N/A</v>
      </c>
      <c r="AA776" s="229"/>
      <c r="AB776" s="229"/>
      <c r="AC776" s="229"/>
      <c r="AD776" s="232"/>
      <c r="AE776" s="233"/>
      <c r="AF776" s="54" t="str">
        <f>IFERROR(__xludf.DUMMYFUNCTION("""COMPUTED_VALUE"""),"Draft BA DROP")</f>
        <v>Draft BA DROP</v>
      </c>
      <c r="AG776" s="54"/>
      <c r="AH776" s="54"/>
      <c r="AI776" s="55" t="str">
        <f t="shared" si="87"/>
        <v/>
      </c>
      <c r="AW776" s="234"/>
      <c r="BP776" s="11"/>
      <c r="BQ776" s="11"/>
      <c r="BR776" s="235"/>
      <c r="BV776" s="158"/>
      <c r="BY776" s="158"/>
      <c r="CB776" s="158"/>
    </row>
    <row r="777" ht="18.0" hidden="1" customHeight="1">
      <c r="A777" s="222">
        <f>IFERROR(__xludf.DUMMYFUNCTION("""COMPUTED_VALUE"""),2026.0)</f>
        <v>2026</v>
      </c>
      <c r="B777" s="221">
        <f>IFERROR(__xludf.DUMMYFUNCTION("""COMPUTED_VALUE"""),1.1265993E7)</f>
        <v>11265993</v>
      </c>
      <c r="C777" s="222" t="str">
        <f>IFERROR(__xludf.DUMMYFUNCTION("""COMPUTED_VALUE"""),"ACH PT3 DAR-FBA TRIPUTRA RESIDENCE KAJHU")</f>
        <v>ACH PT3 DAR-FBA TRIPUTRA RESIDENCE KAJHU</v>
      </c>
      <c r="D777" s="222" t="str">
        <f>IFERROR(__xludf.DUMMYFUNCTION("""COMPUTED_VALUE"""),"REGIONAL I")</f>
        <v>REGIONAL I</v>
      </c>
      <c r="E777" s="222" t="str">
        <f>IFERROR(__xludf.DUMMYFUNCTION("""COMPUTED_VALUE"""),"ACEH")</f>
        <v>ACEH</v>
      </c>
      <c r="F777" s="222" t="str">
        <f>IFERROR(__xludf.DUMMYFUNCTION("""COMPUTED_VALUE"""),"DAR")</f>
        <v>DAR</v>
      </c>
      <c r="G777" s="222" t="str">
        <f>IFERROR(__xludf.DUMMYFUNCTION("""COMPUTED_VALUE"""),"SUMBAGUT")</f>
        <v>SUMBAGUT</v>
      </c>
      <c r="H777" s="222" t="str">
        <f>IFERROR(__xludf.DUMMYFUNCTION("""COMPUTED_VALUE"""),"BANDA ACEH")</f>
        <v>BANDA ACEH</v>
      </c>
      <c r="I777" s="222" t="str">
        <f>IFERROR(__xludf.DUMMYFUNCTION("""COMPUTED_VALUE"""),"Batch 2")</f>
        <v>Batch 2</v>
      </c>
      <c r="J777" s="225">
        <f>IFERROR(__xludf.DUMMYFUNCTION("""COMPUTED_VALUE"""),7.0)</f>
        <v>7</v>
      </c>
      <c r="K777" s="224">
        <f>IFERROR(__xludf.DUMMYFUNCTION("""COMPUTED_VALUE"""),56.0)</f>
        <v>56</v>
      </c>
      <c r="L777" s="226">
        <f>IFERROR(__xludf.DUMMYFUNCTION("""COMPUTED_VALUE"""),863560.0)</f>
        <v>863560</v>
      </c>
      <c r="M777" s="227">
        <f>IFERROR(__xludf.DUMMYFUNCTION("""COMPUTED_VALUE"""),4.8359346E7)</f>
        <v>48359346</v>
      </c>
      <c r="N777" s="222" t="str">
        <f>IFERROR(__xludf.DUMMYFUNCTION("""COMPUTED_VALUE"""),"PT NIAGA NUSANTARA DIVA")</f>
        <v>PT NIAGA NUSANTARA DIVA</v>
      </c>
      <c r="O777" s="222" t="str">
        <f>IFERROR(__xludf.DUMMYFUNCTION("""COMPUTED_VALUE"""),"0. DROP")</f>
        <v>0. DROP</v>
      </c>
      <c r="P777" s="222" t="str">
        <f>IFERROR(__xludf.DUMMYFUNCTION("""COMPUTED_VALUE"""),"0.2 Tidak Dapat Izin Warga/Kades/Lurah/Developer")</f>
        <v>0.2 Tidak Dapat Izin Warga/Kades/Lurah/Developer</v>
      </c>
      <c r="Q777" s="222" t="str">
        <f>IFERROR(__xludf.DUMMYFUNCTION("""COMPUTED_VALUE"""),"(22/01) Comcase Warga, tidak dapat permit (07/01) Persiapan")</f>
        <v>(22/01) Comcase Warga, tidak dapat permit (07/01) Persiapan</v>
      </c>
      <c r="R777" s="228"/>
      <c r="S777" s="11"/>
      <c r="T777" s="11"/>
      <c r="U777" s="11"/>
      <c r="V777" s="229"/>
      <c r="W777" s="229"/>
      <c r="X777" s="229" t="str">
        <f>IFERROR(__xludf.DUMMYFUNCTION("""COMPUTED_VALUE"""),"BELUM GOLIVE")</f>
        <v>BELUM GOLIVE</v>
      </c>
      <c r="Y777" s="229"/>
      <c r="Z777" s="229" t="str">
        <f>IFERROR(__xludf.DUMMYFUNCTION("""COMPUTED_VALUE"""),"#N/A")</f>
        <v>#N/A</v>
      </c>
      <c r="AA777" s="229"/>
      <c r="AB777" s="229"/>
      <c r="AC777" s="229"/>
      <c r="AD777" s="232"/>
      <c r="AE777" s="233"/>
      <c r="AF777" s="54" t="str">
        <f>IFERROR(__xludf.DUMMYFUNCTION("""COMPUTED_VALUE"""),"Draft BA DROP")</f>
        <v>Draft BA DROP</v>
      </c>
      <c r="AG777" s="54"/>
      <c r="AH777" s="54"/>
      <c r="AI777" s="55" t="str">
        <f t="shared" si="87"/>
        <v/>
      </c>
      <c r="AW777" s="234"/>
      <c r="BP777" s="11"/>
      <c r="BQ777" s="11"/>
      <c r="BR777" s="235"/>
      <c r="BV777" s="158"/>
      <c r="BY777" s="158"/>
      <c r="CB777" s="158"/>
    </row>
    <row r="778" ht="18.0" hidden="1" customHeight="1">
      <c r="A778" s="222">
        <f>IFERROR(__xludf.DUMMYFUNCTION("""COMPUTED_VALUE"""),2026.0)</f>
        <v>2026</v>
      </c>
      <c r="B778" s="221">
        <f>IFERROR(__xludf.DUMMYFUNCTION("""COMPUTED_VALUE"""),1.123717E7)</f>
        <v>11237170</v>
      </c>
      <c r="C778" s="222" t="str">
        <f>IFERROR(__xludf.DUMMYFUNCTION("""COMPUTED_VALUE"""),"MDN PT3 CTD-FXX ASRI INDAH SUKAMAJU")</f>
        <v>MDN PT3 CTD-FXX ASRI INDAH SUKAMAJU</v>
      </c>
      <c r="D778" s="222" t="str">
        <f>IFERROR(__xludf.DUMMYFUNCTION("""COMPUTED_VALUE"""),"REGIONAL I")</f>
        <v>REGIONAL I</v>
      </c>
      <c r="E778" s="222" t="str">
        <f>IFERROR(__xludf.DUMMYFUNCTION("""COMPUTED_VALUE"""),"MEDAN")</f>
        <v>MEDAN</v>
      </c>
      <c r="F778" s="222" t="str">
        <f>IFERROR(__xludf.DUMMYFUNCTION("""COMPUTED_VALUE"""),"CTD")</f>
        <v>CTD</v>
      </c>
      <c r="G778" s="222" t="str">
        <f>IFERROR(__xludf.DUMMYFUNCTION("""COMPUTED_VALUE"""),"SUMBAGUT")</f>
        <v>SUMBAGUT</v>
      </c>
      <c r="H778" s="222" t="str">
        <f>IFERROR(__xludf.DUMMYFUNCTION("""COMPUTED_VALUE"""),"MEDAN")</f>
        <v>MEDAN</v>
      </c>
      <c r="I778" s="222" t="str">
        <f>IFERROR(__xludf.DUMMYFUNCTION("""COMPUTED_VALUE"""),"Batch 2")</f>
        <v>Batch 2</v>
      </c>
      <c r="J778" s="225">
        <f>IFERROR(__xludf.DUMMYFUNCTION("""COMPUTED_VALUE"""),8.0)</f>
        <v>8</v>
      </c>
      <c r="K778" s="224">
        <f>IFERROR(__xludf.DUMMYFUNCTION("""COMPUTED_VALUE"""),64.0)</f>
        <v>64</v>
      </c>
      <c r="L778" s="226">
        <f>IFERROR(__xludf.DUMMYFUNCTION("""COMPUTED_VALUE"""),1330060.0)</f>
        <v>1330060</v>
      </c>
      <c r="M778" s="227">
        <f>IFERROR(__xludf.DUMMYFUNCTION("""COMPUTED_VALUE"""),8.512382E7)</f>
        <v>85123820</v>
      </c>
      <c r="N778" s="222" t="str">
        <f>IFERROR(__xludf.DUMMYFUNCTION("""COMPUTED_VALUE"""),"PT MILFHA MUTIARA PRIMA")</f>
        <v>PT MILFHA MUTIARA PRIMA</v>
      </c>
      <c r="O778" s="222" t="str">
        <f>IFERROR(__xludf.DUMMYFUNCTION("""COMPUTED_VALUE"""),"0. DROP")</f>
        <v>0. DROP</v>
      </c>
      <c r="P778" s="222" t="str">
        <f>IFERROR(__xludf.DUMMYFUNCTION("""COMPUTED_VALUE"""),"0.4 CPP Tinggi Acc ED TIF")</f>
        <v>0.4 CPP Tinggi Acc ED TIF</v>
      </c>
      <c r="Q778" s="222" t="str">
        <f>IFERROR(__xludf.DUMMYFUNCTION("""COMPUTED_VALUE"""),"03/03 FU Pengurusan izin by CHAM (Dody)  01/02 Hasil Anwidzing, Perlu perizinan Sitac ODC dan Galian")</f>
        <v>03/03 FU Pengurusan izin by CHAM (Dody)  01/02 Hasil Anwidzing, Perlu perizinan Sitac ODC dan Galian</v>
      </c>
      <c r="R778" s="228"/>
      <c r="S778" s="11"/>
      <c r="T778" s="11"/>
      <c r="U778" s="11"/>
      <c r="V778" s="229"/>
      <c r="W778" s="229"/>
      <c r="X778" s="229" t="str">
        <f>IFERROR(__xludf.DUMMYFUNCTION("""COMPUTED_VALUE"""),"BELUM GOLIVE")</f>
        <v>BELUM GOLIVE</v>
      </c>
      <c r="Y778" s="229"/>
      <c r="Z778" s="229" t="str">
        <f>IFERROR(__xludf.DUMMYFUNCTION("""COMPUTED_VALUE"""),"#N/A")</f>
        <v>#N/A</v>
      </c>
      <c r="AA778" s="229"/>
      <c r="AB778" s="229"/>
      <c r="AC778" s="229"/>
      <c r="AD778" s="232"/>
      <c r="AE778" s="233"/>
      <c r="AF778" s="54" t="str">
        <f>IFERROR(__xludf.DUMMYFUNCTION("""COMPUTED_VALUE"""),"Draft BA DROP")</f>
        <v>Draft BA DROP</v>
      </c>
      <c r="AG778" s="54"/>
      <c r="AH778" s="54"/>
      <c r="AI778" s="55" t="str">
        <f t="shared" si="87"/>
        <v/>
      </c>
      <c r="AW778" s="234"/>
      <c r="BP778" s="11"/>
      <c r="BQ778" s="11"/>
      <c r="BR778" s="235"/>
      <c r="BV778" s="158"/>
      <c r="BY778" s="158"/>
      <c r="CB778" s="158"/>
    </row>
    <row r="779" ht="18.0" hidden="1" customHeight="1">
      <c r="A779" s="222">
        <f>IFERROR(__xludf.DUMMYFUNCTION("""COMPUTED_VALUE"""),2026.0)</f>
        <v>2026</v>
      </c>
      <c r="B779" s="221">
        <f>IFERROR(__xludf.DUMMYFUNCTION("""COMPUTED_VALUE"""),1.2438911E7)</f>
        <v>12438911</v>
      </c>
      <c r="C779" s="222" t="str">
        <f>IFERROR(__xludf.DUMMYFUNCTION("""COMPUTED_VALUE"""),"SMS P4I4 PT3 BTA FAW D05 BATUKUNING ADIT")</f>
        <v>SMS P4I4 PT3 BTA FAW D05 BATUKUNING ADIT</v>
      </c>
      <c r="D779" s="222" t="str">
        <f>IFERROR(__xludf.DUMMYFUNCTION("""COMPUTED_VALUE"""),"REGIONAL I")</f>
        <v>REGIONAL I</v>
      </c>
      <c r="E779" s="222" t="str">
        <f>IFERROR(__xludf.DUMMYFUNCTION("""COMPUTED_VALUE"""),"SUMSEL")</f>
        <v>SUMSEL</v>
      </c>
      <c r="F779" s="222" t="str">
        <f>IFERROR(__xludf.DUMMYFUNCTION("""COMPUTED_VALUE"""),"BTA")</f>
        <v>BTA</v>
      </c>
      <c r="G779" s="222" t="str">
        <f>IFERROR(__xludf.DUMMYFUNCTION("""COMPUTED_VALUE"""),"SUMBAGSEL")</f>
        <v>SUMBAGSEL</v>
      </c>
      <c r="H779" s="222" t="str">
        <f>IFERROR(__xludf.DUMMYFUNCTION("""COMPUTED_VALUE"""),"PALEMBANG")</f>
        <v>PALEMBANG</v>
      </c>
      <c r="I779" s="222" t="str">
        <f>IFERROR(__xludf.DUMMYFUNCTION("""COMPUTED_VALUE"""),"Batch 2")</f>
        <v>Batch 2</v>
      </c>
      <c r="J779" s="225">
        <f>IFERROR(__xludf.DUMMYFUNCTION("""COMPUTED_VALUE"""),2.0)</f>
        <v>2</v>
      </c>
      <c r="K779" s="224">
        <f>IFERROR(__xludf.DUMMYFUNCTION("""COMPUTED_VALUE"""),16.0)</f>
        <v>16</v>
      </c>
      <c r="L779" s="226">
        <f>IFERROR(__xludf.DUMMYFUNCTION("""COMPUTED_VALUE"""),1093525.0)</f>
        <v>1093525</v>
      </c>
      <c r="M779" s="227">
        <f>IFERROR(__xludf.DUMMYFUNCTION("""COMPUTED_VALUE"""),1.7496391E7)</f>
        <v>17496391</v>
      </c>
      <c r="N779" s="222" t="str">
        <f>IFERROR(__xludf.DUMMYFUNCTION("""COMPUTED_VALUE"""),"PT GARINDO TECHNO MANDIRI")</f>
        <v>PT GARINDO TECHNO MANDIRI</v>
      </c>
      <c r="O779" s="222" t="str">
        <f>IFERROR(__xludf.DUMMYFUNCTION("""COMPUTED_VALUE"""),"0. DROP")</f>
        <v>0. DROP</v>
      </c>
      <c r="P779" s="222" t="str">
        <f>IFERROR(__xludf.DUMMYFUNCTION("""COMPUTED_VALUE"""),"0.4 CPP Tinggi Acc ED TIF")</f>
        <v>0.4 CPP Tinggi Acc ED TIF</v>
      </c>
      <c r="Q779" s="222" t="str">
        <f>IFERROR(__xludf.DUMMYFUNCTION("""COMPUTED_VALUE"""),"06/03 DROP BOQ NAIK 23% - SDH ADA BA DROP, 24/02 DROP BOQ NAIK 23% - SDH ADA BA DROP, (10/02) DROP, krena pas pengecekan core butuh redesain maka ada kenaiakn boq sebesear 23% dari plan dan cpp 1,3 jt, 10/02 HOLD - setelah ada perubahan design KML dan pen"&amp;"ambahan Kabel nilai CPP Plan Rp 1.093.524 dan nilai CPP AANWIJZING Rp 1.345.145 dengan nilai deviasi menjadi 23%, 10/02 MASIH PROGRESS DRM, 06/02 HASIL REVIEW TSEL LANJUT PROGRESS LAPANGAN, 03/02 DONE EVAL, HOLD ADA KENAIKAN BOQ SEBESAR 1% DAN CPP 1,1 JT "&amp;"30/01 FEEDER habis 25/01 DONE AANWIDJZING, (21/01) menunggu antrian aanwizjing, (15/1) ORDER DITERIMA MITRA 14/1,MENUNGGU PLAN AANWIJDZING (06/01)order JPP batch-2 2026 ((14/11)HOLD- tidak masuk target Optimis 2025 (14/11 menunggu jadwal aanwidjzing, (11/"&amp;"11) Penunjukkan MITRA oleh Procurement")</f>
        <v>06/03 DROP BOQ NAIK 23% - SDH ADA BA DROP, 24/02 DROP BOQ NAIK 23% - SDH ADA BA DROP, (10/02) DROP, krena pas pengecekan core butuh redesain maka ada kenaiakn boq sebesear 23% dari plan dan cpp 1,3 jt, 10/02 HOLD - setelah ada perubahan design KML dan penambahan Kabel nilai CPP Plan Rp 1.093.524 dan nilai CPP AANWIJZING Rp 1.345.145 dengan nilai deviasi menjadi 23%, 10/02 MASIH PROGRESS DRM, 06/02 HASIL REVIEW TSEL LANJUT PROGRESS LAPANGAN, 03/02 DONE EVAL, HOLD ADA KENAIKAN BOQ SEBESAR 1% DAN CPP 1,1 JT 30/01 FEEDER habis 25/01 DONE AANWIDJZING, (21/01) menunggu antrian aanwizjing, (15/1) ORDER DITERIMA MITRA 14/1,MENUNGGU PLAN AANWIJDZING (06/01)order JPP batch-2 2026 ((14/11)HOLD- tidak masuk target Optimis 2025 (14/11 menunggu jadwal aanwidjzing, (11/11) Penunjukkan MITRA oleh Procurement</v>
      </c>
      <c r="R779" s="228"/>
      <c r="S779" s="11"/>
      <c r="T779" s="11"/>
      <c r="U779" s="11"/>
      <c r="V779" s="229" t="str">
        <f>IFERROR(__xludf.DUMMYFUNCTION("""COMPUTED_VALUE"""),"TANTOWI")</f>
        <v>TANTOWI</v>
      </c>
      <c r="W779" s="229"/>
      <c r="X779" s="229" t="str">
        <f>IFERROR(__xludf.DUMMYFUNCTION("""COMPUTED_VALUE"""),"BELUM GOLIVE")</f>
        <v>BELUM GOLIVE</v>
      </c>
      <c r="Y779" s="229"/>
      <c r="Z779" s="229" t="str">
        <f>IFERROR(__xludf.DUMMYFUNCTION("""COMPUTED_VALUE"""),"#N/A")</f>
        <v>#N/A</v>
      </c>
      <c r="AA779" s="229"/>
      <c r="AB779" s="229"/>
      <c r="AC779" s="229"/>
      <c r="AD779" s="232"/>
      <c r="AE779" s="233"/>
      <c r="AF779" s="54" t="str">
        <f>IFERROR(__xludf.DUMMYFUNCTION("""COMPUTED_VALUE"""),"Draft BA DROP")</f>
        <v>Draft BA DROP</v>
      </c>
      <c r="AG779" s="54"/>
      <c r="AH779" s="54"/>
      <c r="AI779" s="55" t="str">
        <f t="shared" si="87"/>
        <v/>
      </c>
      <c r="AW779" s="234"/>
      <c r="BP779" s="11"/>
      <c r="BQ779" s="11"/>
      <c r="BR779" s="235"/>
      <c r="BV779" s="158"/>
      <c r="BY779" s="158"/>
      <c r="CB779" s="158"/>
    </row>
    <row r="780" ht="18.0" hidden="1" customHeight="1">
      <c r="A780" s="222">
        <f>IFERROR(__xludf.DUMMYFUNCTION("""COMPUTED_VALUE"""),2026.0)</f>
        <v>2026</v>
      </c>
      <c r="B780" s="221">
        <f>IFERROR(__xludf.DUMMYFUNCTION("""COMPUTED_VALUE"""),1.127263E7)</f>
        <v>11272630</v>
      </c>
      <c r="C780" s="222" t="str">
        <f>IFERROR(__xludf.DUMMYFUNCTION("""COMPUTED_VALUE"""),"MDN PT3 STB-FF JL.KEDONDONG")</f>
        <v>MDN PT3 STB-FF JL.KEDONDONG</v>
      </c>
      <c r="D780" s="222" t="str">
        <f>IFERROR(__xludf.DUMMYFUNCTION("""COMPUTED_VALUE"""),"REGIONAL I")</f>
        <v>REGIONAL I</v>
      </c>
      <c r="E780" s="222" t="str">
        <f>IFERROR(__xludf.DUMMYFUNCTION("""COMPUTED_VALUE"""),"MEDAN")</f>
        <v>MEDAN</v>
      </c>
      <c r="F780" s="222" t="str">
        <f>IFERROR(__xludf.DUMMYFUNCTION("""COMPUTED_VALUE"""),"STB")</f>
        <v>STB</v>
      </c>
      <c r="G780" s="222" t="str">
        <f>IFERROR(__xludf.DUMMYFUNCTION("""COMPUTED_VALUE"""),"SUMBAGUT")</f>
        <v>SUMBAGUT</v>
      </c>
      <c r="H780" s="222" t="str">
        <f>IFERROR(__xludf.DUMMYFUNCTION("""COMPUTED_VALUE"""),"BINJAI")</f>
        <v>BINJAI</v>
      </c>
      <c r="I780" s="222" t="str">
        <f>IFERROR(__xludf.DUMMYFUNCTION("""COMPUTED_VALUE"""),"Batch 2")</f>
        <v>Batch 2</v>
      </c>
      <c r="J780" s="225">
        <f>IFERROR(__xludf.DUMMYFUNCTION("""COMPUTED_VALUE"""),23.0)</f>
        <v>23</v>
      </c>
      <c r="K780" s="224">
        <f>IFERROR(__xludf.DUMMYFUNCTION("""COMPUTED_VALUE"""),184.0)</f>
        <v>184</v>
      </c>
      <c r="L780" s="226">
        <f>IFERROR(__xludf.DUMMYFUNCTION("""COMPUTED_VALUE"""),1161053.0)</f>
        <v>1161053</v>
      </c>
      <c r="M780" s="227">
        <f>IFERROR(__xludf.DUMMYFUNCTION("""COMPUTED_VALUE"""),2.1363365E8)</f>
        <v>213633650</v>
      </c>
      <c r="N780" s="222" t="str">
        <f>IFERROR(__xludf.DUMMYFUNCTION("""COMPUTED_VALUE"""),"PT M JUSUF AND SONS")</f>
        <v>PT M JUSUF AND SONS</v>
      </c>
      <c r="O780" s="222" t="str">
        <f>IFERROR(__xludf.DUMMYFUNCTION("""COMPUTED_VALUE"""),"0. DROP")</f>
        <v>0. DROP</v>
      </c>
      <c r="P780" s="222" t="str">
        <f>IFERROR(__xludf.DUMMYFUNCTION("""COMPUTED_VALUE"""),"0.4 CPP Tinggi Acc ED TIF")</f>
        <v>0.4 CPP Tinggi Acc ED TIF</v>
      </c>
      <c r="Q780" s="222" t="str">
        <f>IFERROR(__xludf.DUMMYFUNCTION("""COMPUTED_VALUE"""),"29/01 poses perhitungan boq untuk solusi QE (07/01) Persiapan")</f>
        <v>29/01 poses perhitungan boq untuk solusi QE (07/01) Persiapan</v>
      </c>
      <c r="R780" s="228"/>
      <c r="S780" s="11"/>
      <c r="T780" s="11"/>
      <c r="U780" s="11"/>
      <c r="V780" s="229"/>
      <c r="W780" s="229"/>
      <c r="X780" s="229" t="str">
        <f>IFERROR(__xludf.DUMMYFUNCTION("""COMPUTED_VALUE"""),"BELUM GOLIVE")</f>
        <v>BELUM GOLIVE</v>
      </c>
      <c r="Y780" s="229"/>
      <c r="Z780" s="229" t="str">
        <f>IFERROR(__xludf.DUMMYFUNCTION("""COMPUTED_VALUE"""),"#N/A")</f>
        <v>#N/A</v>
      </c>
      <c r="AA780" s="229"/>
      <c r="AB780" s="229"/>
      <c r="AC780" s="229"/>
      <c r="AD780" s="232"/>
      <c r="AE780" s="233"/>
      <c r="AF780" s="54" t="str">
        <f>IFERROR(__xludf.DUMMYFUNCTION("""COMPUTED_VALUE"""),"Draft BA DROP")</f>
        <v>Draft BA DROP</v>
      </c>
      <c r="AG780" s="54"/>
      <c r="AH780" s="54"/>
      <c r="AI780" s="55" t="str">
        <f t="shared" si="87"/>
        <v/>
      </c>
      <c r="AW780" s="234"/>
      <c r="BP780" s="11"/>
      <c r="BQ780" s="11"/>
      <c r="BR780" s="235"/>
      <c r="BV780" s="158"/>
      <c r="BY780" s="158"/>
      <c r="CB780" s="158"/>
    </row>
    <row r="781" ht="18.0" customHeight="1">
      <c r="A781" s="222">
        <f>IFERROR(__xludf.DUMMYFUNCTION("""COMPUTED_VALUE"""),2026.0)</f>
        <v>2026</v>
      </c>
      <c r="B781" s="221">
        <f>IFERROR(__xludf.DUMMYFUNCTION("""COMPUTED_VALUE"""),1.1363546E7)</f>
        <v>11363546</v>
      </c>
      <c r="C781" s="222" t="str">
        <f>IFERROR(__xludf.DUMMYFUNCTION("""COMPUTED_VALUE"""),"SMB P2I2 Belakang SD 18 Koto Luar")</f>
        <v>SMB P2I2 Belakang SD 18 Koto Luar</v>
      </c>
      <c r="D781" s="222" t="str">
        <f>IFERROR(__xludf.DUMMYFUNCTION("""COMPUTED_VALUE"""),"REGIONAL I")</f>
        <v>REGIONAL I</v>
      </c>
      <c r="E781" s="222" t="str">
        <f>IFERROR(__xludf.DUMMYFUNCTION("""COMPUTED_VALUE"""),"SUMBAR")</f>
        <v>SUMBAR</v>
      </c>
      <c r="F781" s="222" t="str">
        <f>IFERROR(__xludf.DUMMYFUNCTION("""COMPUTED_VALUE"""),"LIM")</f>
        <v>LIM</v>
      </c>
      <c r="G781" s="222" t="str">
        <f>IFERROR(__xludf.DUMMYFUNCTION("""COMPUTED_VALUE"""),"SUMBAGTENG")</f>
        <v>SUMBAGTENG</v>
      </c>
      <c r="H781" s="222" t="str">
        <f>IFERROR(__xludf.DUMMYFUNCTION("""COMPUTED_VALUE"""),"PADANG")</f>
        <v>PADANG</v>
      </c>
      <c r="I781" s="222" t="str">
        <f>IFERROR(__xludf.DUMMYFUNCTION("""COMPUTED_VALUE"""),"Batch 2")</f>
        <v>Batch 2</v>
      </c>
      <c r="J781" s="225">
        <f>IFERROR(__xludf.DUMMYFUNCTION("""COMPUTED_VALUE"""),5.0)</f>
        <v>5</v>
      </c>
      <c r="K781" s="224">
        <f>IFERROR(__xludf.DUMMYFUNCTION("""COMPUTED_VALUE"""),40.0)</f>
        <v>40</v>
      </c>
      <c r="L781" s="226">
        <f>IFERROR(__xludf.DUMMYFUNCTION("""COMPUTED_VALUE"""),1091797.0)</f>
        <v>1091797</v>
      </c>
      <c r="M781" s="227">
        <f>IFERROR(__xludf.DUMMYFUNCTION("""COMPUTED_VALUE"""),4.3671861E7)</f>
        <v>43671861</v>
      </c>
      <c r="N781" s="222" t="str">
        <f>IFERROR(__xludf.DUMMYFUNCTION("""COMPUTED_VALUE"""),"PT ACERO CETHA METALINDO")</f>
        <v>PT ACERO CETHA METALINDO</v>
      </c>
      <c r="O781" s="222" t="str">
        <f>IFERROR(__xludf.DUMMYFUNCTION("""COMPUTED_VALUE"""),"0. DROP")</f>
        <v>0. DROP</v>
      </c>
      <c r="P781" s="222" t="str">
        <f>IFERROR(__xludf.DUMMYFUNCTION("""COMPUTED_VALUE"""),"0.2 Tidak Dapat Izin Warga/Kades/Lurah/Developer")</f>
        <v>0.2 Tidak Dapat Izin Warga/Kades/Lurah/Developer</v>
      </c>
      <c r="Q781" s="222" t="str">
        <f>IFERROR(__xludf.DUMMYFUNCTION("""COMPUTED_VALUE"""),"(26/01) kendala Tidak dapat izin tanam tiang sama pemilik lahan")</f>
        <v>(26/01) kendala Tidak dapat izin tanam tiang sama pemilik lahan</v>
      </c>
      <c r="R781" s="228"/>
      <c r="S781" s="11"/>
      <c r="T781" s="11"/>
      <c r="U781" s="11"/>
      <c r="V781" s="229"/>
      <c r="W781" s="229"/>
      <c r="X781" s="229" t="str">
        <f>IFERROR(__xludf.DUMMYFUNCTION("""COMPUTED_VALUE"""),"BELUM GOLIVE")</f>
        <v>BELUM GOLIVE</v>
      </c>
      <c r="Y781" s="229"/>
      <c r="Z781" s="229" t="str">
        <f>IFERROR(__xludf.DUMMYFUNCTION("""COMPUTED_VALUE"""),"#N/A")</f>
        <v>#N/A</v>
      </c>
      <c r="AA781" s="229"/>
      <c r="AB781" s="229"/>
      <c r="AC781" s="229"/>
      <c r="AD781" s="232"/>
      <c r="AE781" s="233"/>
      <c r="AF781" s="54" t="str">
        <f>IFERROR(__xludf.DUMMYFUNCTION("""COMPUTED_VALUE"""),"Draft BA DROP")</f>
        <v>Draft BA DROP</v>
      </c>
      <c r="AG781" s="54"/>
      <c r="AH781" s="54"/>
      <c r="AI781" s="55" t="str">
        <f t="shared" si="87"/>
        <v/>
      </c>
      <c r="AW781" s="234"/>
      <c r="BP781" s="11"/>
      <c r="BQ781" s="11"/>
      <c r="BR781" s="235"/>
      <c r="BV781" s="158"/>
      <c r="BY781" s="158"/>
      <c r="CB781" s="158"/>
    </row>
    <row r="782" ht="18.0" hidden="1" customHeight="1">
      <c r="A782" s="222">
        <f>IFERROR(__xludf.DUMMYFUNCTION("""COMPUTED_VALUE"""),2026.0)</f>
        <v>2026</v>
      </c>
      <c r="B782" s="221">
        <f>IFERROR(__xludf.DUMMYFUNCTION("""COMPUTED_VALUE"""),1.1754775E7)</f>
        <v>11754775</v>
      </c>
      <c r="C782" s="222" t="str">
        <f>IFERROR(__xludf.DUMMYFUNCTION("""COMPUTED_VALUE"""),"SMS P4I2 PT3 TMO FR D03 LUBUK TUA MK1")</f>
        <v>SMS P4I2 PT3 TMO FR D03 LUBUK TUA MK1</v>
      </c>
      <c r="D782" s="222" t="str">
        <f>IFERROR(__xludf.DUMMYFUNCTION("""COMPUTED_VALUE"""),"REGIONAL I")</f>
        <v>REGIONAL I</v>
      </c>
      <c r="E782" s="222" t="str">
        <f>IFERROR(__xludf.DUMMYFUNCTION("""COMPUTED_VALUE"""),"SUMSEL")</f>
        <v>SUMSEL</v>
      </c>
      <c r="F782" s="222" t="str">
        <f>IFERROR(__xludf.DUMMYFUNCTION("""COMPUTED_VALUE"""),"TMO")</f>
        <v>TMO</v>
      </c>
      <c r="G782" s="222" t="str">
        <f>IFERROR(__xludf.DUMMYFUNCTION("""COMPUTED_VALUE"""),"SUMBAGSEL")</f>
        <v>SUMBAGSEL</v>
      </c>
      <c r="H782" s="222" t="str">
        <f>IFERROR(__xludf.DUMMYFUNCTION("""COMPUTED_VALUE"""),"BENGKULU")</f>
        <v>BENGKULU</v>
      </c>
      <c r="I782" s="222" t="str">
        <f>IFERROR(__xludf.DUMMYFUNCTION("""COMPUTED_VALUE"""),"Batch 2")</f>
        <v>Batch 2</v>
      </c>
      <c r="J782" s="225">
        <f>IFERROR(__xludf.DUMMYFUNCTION("""COMPUTED_VALUE"""),7.0)</f>
        <v>7</v>
      </c>
      <c r="K782" s="224">
        <f>IFERROR(__xludf.DUMMYFUNCTION("""COMPUTED_VALUE"""),56.0)</f>
        <v>56</v>
      </c>
      <c r="L782" s="226">
        <f>IFERROR(__xludf.DUMMYFUNCTION("""COMPUTED_VALUE"""),1091258.0)</f>
        <v>1091258</v>
      </c>
      <c r="M782" s="227">
        <f>IFERROR(__xludf.DUMMYFUNCTION("""COMPUTED_VALUE"""),6.1110444E7)</f>
        <v>61110444</v>
      </c>
      <c r="N782" s="222" t="str">
        <f>IFERROR(__xludf.DUMMYFUNCTION("""COMPUTED_VALUE"""),"PT HAN SUNG INDONESIA")</f>
        <v>PT HAN SUNG INDONESIA</v>
      </c>
      <c r="O782" s="222" t="str">
        <f>IFERROR(__xludf.DUMMYFUNCTION("""COMPUTED_VALUE"""),"0. DROP")</f>
        <v>0. DROP</v>
      </c>
      <c r="P782" s="222" t="str">
        <f>IFERROR(__xludf.DUMMYFUNCTION("""COMPUTED_VALUE"""),"0.2 Tidak Dapat Izin Warga/Kades/Lurah/Developer")</f>
        <v>0.2 Tidak Dapat Izin Warga/Kades/Lurah/Developer</v>
      </c>
      <c r="Q782" s="222" t="str">
        <f>IFERROR(__xludf.DUMMYFUNCTION("""COMPUTED_VALUE"""),"24/02 DROP - SDH ACC MBA SARTIKA, 10/02 PROPOSE DROP KENAIKKAN BOQ 33% + CPP 1,5 (30/01) DONE EVAL, NILAI CPP 1,5 JT, KARENA ADA KENAIKAN DRI PLAN SEBESAR 33%, KOORDINASI DG SALES UNTUK TAMBAH ODP UNTUK CPP MASUK, 15/01 done aanwizjing 2025, proses pembua"&amp;"tan hasil aanwizjing 04/02 DONE EVAL - HOLD KRNA CPP TINGGI, (30/01) DONE EVAL, NILAI CPP 1,5 JT, KARENA ADA KENAIKAN DRI PLAN SEBESAR 33%, KOORDINASI DG SALES UNTUK TAMBAH ODP UNTUK CPP MASUK, (26/1) tim TIF belum bisa EVAL hasil anwijzing karena lagi di"&amp;"luar kota , estimasi 29 jan baru kembali ke Palembang(24/1) menunggu hasil eval ke tif plan 26 jan (21/01) done aanwizjing, proses pembuatan update anawjizng untuk eval dg tif, (06/01)order JPP batch-2 2026 ((14/11)HOLD- tidak masuk target Optimis 2025 (("&amp;"11/11) Penunjukkan MITRA oleh Procurement 
 14/01 sudah penunjukan mitra oleh procurement")</f>
        <v>24/02 DROP - SDH ACC MBA SARTIKA, 10/02 PROPOSE DROP KENAIKKAN BOQ 33% + CPP 1,5 (30/01) DONE EVAL, NILAI CPP 1,5 JT, KARENA ADA KENAIKAN DRI PLAN SEBESAR 33%, KOORDINASI DG SALES UNTUK TAMBAH ODP UNTUK CPP MASUK, 15/01 done aanwizjing 2025, proses pembuatan hasil aanwizjing 04/02 DONE EVAL - HOLD KRNA CPP TINGGI, (30/01) DONE EVAL, NILAI CPP 1,5 JT, KARENA ADA KENAIKAN DRI PLAN SEBESAR 33%, KOORDINASI DG SALES UNTUK TAMBAH ODP UNTUK CPP MASUK, (26/1) tim TIF belum bisa EVAL hasil anwijzing karena lagi diluar kota , estimasi 29 jan baru kembali ke Palembang(24/1) menunggu hasil eval ke tif plan 26 jan (21/01) done aanwizjing, proses pembuatan update anawjizng untuk eval dg tif, (06/01)order JPP batch-2 2026 ((14/11)HOLD- tidak masuk target Optimis 2025 ((11/11) Penunjukkan MITRA oleh Procurement 
 14/01 sudah penunjukan mitra oleh procurement</v>
      </c>
      <c r="R782" s="228"/>
      <c r="S782" s="11"/>
      <c r="T782" s="11"/>
      <c r="U782" s="11"/>
      <c r="V782" s="229" t="str">
        <f>IFERROR(__xludf.DUMMYFUNCTION("""COMPUTED_VALUE"""),"PUTRA")</f>
        <v>PUTRA</v>
      </c>
      <c r="W782" s="229"/>
      <c r="X782" s="229" t="str">
        <f>IFERROR(__xludf.DUMMYFUNCTION("""COMPUTED_VALUE"""),"BELUM GOLIVE")</f>
        <v>BELUM GOLIVE</v>
      </c>
      <c r="Y782" s="229"/>
      <c r="Z782" s="229" t="str">
        <f>IFERROR(__xludf.DUMMYFUNCTION("""COMPUTED_VALUE"""),"#N/A")</f>
        <v>#N/A</v>
      </c>
      <c r="AA782" s="229"/>
      <c r="AB782" s="229"/>
      <c r="AC782" s="229"/>
      <c r="AD782" s="232"/>
      <c r="AE782" s="233"/>
      <c r="AF782" s="54" t="str">
        <f>IFERROR(__xludf.DUMMYFUNCTION("""COMPUTED_VALUE"""),"Draft BA DROP")</f>
        <v>Draft BA DROP</v>
      </c>
      <c r="AG782" s="54"/>
      <c r="AH782" s="54"/>
      <c r="AI782" s="55" t="str">
        <f t="shared" si="87"/>
        <v/>
      </c>
      <c r="AW782" s="234"/>
      <c r="BP782" s="11"/>
      <c r="BQ782" s="11"/>
      <c r="BR782" s="235"/>
      <c r="BV782" s="158"/>
      <c r="BY782" s="158"/>
      <c r="CB782" s="158"/>
    </row>
    <row r="783" ht="18.0" hidden="1" customHeight="1">
      <c r="A783" s="222">
        <f>IFERROR(__xludf.DUMMYFUNCTION("""COMPUTED_VALUE"""),2026.0)</f>
        <v>2026</v>
      </c>
      <c r="B783" s="221">
        <f>IFERROR(__xludf.DUMMYFUNCTION("""COMPUTED_VALUE"""),1.1368803E7)</f>
        <v>11368803</v>
      </c>
      <c r="C783" s="222" t="str">
        <f>IFERROR(__xludf.DUMMYFUNCTION("""COMPUTED_VALUE"""),"MDN PT3 LBP-FAC JL.GARUDA PSR MELINTANG")</f>
        <v>MDN PT3 LBP-FAC JL.GARUDA PSR MELINTANG</v>
      </c>
      <c r="D783" s="222" t="str">
        <f>IFERROR(__xludf.DUMMYFUNCTION("""COMPUTED_VALUE"""),"REGIONAL I")</f>
        <v>REGIONAL I</v>
      </c>
      <c r="E783" s="222" t="str">
        <f>IFERROR(__xludf.DUMMYFUNCTION("""COMPUTED_VALUE"""),"MEDAN")</f>
        <v>MEDAN</v>
      </c>
      <c r="F783" s="222" t="str">
        <f>IFERROR(__xludf.DUMMYFUNCTION("""COMPUTED_VALUE"""),"LBP")</f>
        <v>LBP</v>
      </c>
      <c r="G783" s="222" t="str">
        <f>IFERROR(__xludf.DUMMYFUNCTION("""COMPUTED_VALUE"""),"SUMBAGUT")</f>
        <v>SUMBAGUT</v>
      </c>
      <c r="H783" s="222" t="str">
        <f>IFERROR(__xludf.DUMMYFUNCTION("""COMPUTED_VALUE"""),"MEDAN")</f>
        <v>MEDAN</v>
      </c>
      <c r="I783" s="222" t="str">
        <f>IFERROR(__xludf.DUMMYFUNCTION("""COMPUTED_VALUE"""),"Batch 2")</f>
        <v>Batch 2</v>
      </c>
      <c r="J783" s="225">
        <f>IFERROR(__xludf.DUMMYFUNCTION("""COMPUTED_VALUE"""),8.0)</f>
        <v>8</v>
      </c>
      <c r="K783" s="224">
        <f>IFERROR(__xludf.DUMMYFUNCTION("""COMPUTED_VALUE"""),64.0)</f>
        <v>64</v>
      </c>
      <c r="L783" s="226">
        <f>IFERROR(__xludf.DUMMYFUNCTION("""COMPUTED_VALUE"""),925111.0)</f>
        <v>925111</v>
      </c>
      <c r="M783" s="227">
        <f>IFERROR(__xludf.DUMMYFUNCTION("""COMPUTED_VALUE"""),5.9207067E7)</f>
        <v>59207067</v>
      </c>
      <c r="N783" s="222" t="str">
        <f>IFERROR(__xludf.DUMMYFUNCTION("""COMPUTED_VALUE"""),"PT BONGKAR SEJATI ANDALAN")</f>
        <v>PT BONGKAR SEJATI ANDALAN</v>
      </c>
      <c r="O783" s="222" t="str">
        <f>IFERROR(__xludf.DUMMYFUNCTION("""COMPUTED_VALUE"""),"8. UJI TERIMA")</f>
        <v>8. UJI TERIMA</v>
      </c>
      <c r="P783" s="222" t="str">
        <f>IFERROR(__xludf.DUMMYFUNCTION("""COMPUTED_VALUE"""),"8.1 Proses UT")</f>
        <v>8.1 Proses UT</v>
      </c>
      <c r="Q783" s="222" t="str">
        <f>IFERROR(__xludf.DUMMYFUNCTION("""COMPUTED_VALUE"""),"12/01 golive sdi
(07/01) Persiapan")</f>
        <v>12/01 golive sdi
(07/01) Persiapan</v>
      </c>
      <c r="R783" s="228">
        <f>IFERROR(__xludf.DUMMYFUNCTION("""COMPUTED_VALUE"""),46031.0)</f>
        <v>46031</v>
      </c>
      <c r="S783" s="11"/>
      <c r="T783" s="11"/>
      <c r="U783" s="11" t="str">
        <f>IFERROR(__xludf.DUMMYFUNCTION("""COMPUTED_VALUE"""),"FALSE")</f>
        <v>FALSE</v>
      </c>
      <c r="V783" s="229"/>
      <c r="W783" s="229"/>
      <c r="X783" s="229" t="str">
        <f>IFERROR(__xludf.DUMMYFUNCTION("""COMPUTED_VALUE"""),"GOLIVE")</f>
        <v>GOLIVE</v>
      </c>
      <c r="Y783" s="229" t="str">
        <f>IFERROR(__xludf.DUMMYFUNCTION("""COMPUTED_VALUE"""),"DONE")</f>
        <v>DONE</v>
      </c>
      <c r="Z783" s="229" t="str">
        <f>IFERROR(__xludf.DUMMYFUNCTION("""COMPUTED_VALUE"""),"#N/A")</f>
        <v>#N/A</v>
      </c>
      <c r="AA783" s="229">
        <f>IFERROR(__xludf.DUMMYFUNCTION("""COMPUTED_VALUE"""),8.0)</f>
        <v>8</v>
      </c>
      <c r="AB783" s="229"/>
      <c r="AC783" s="229" t="str">
        <f>IFERROR(__xludf.DUMMYFUNCTION("""COMPUTED_VALUE"""),"8944042#8944054")</f>
        <v>8944042#8944054</v>
      </c>
      <c r="AD783" s="232">
        <f>IFERROR(__xludf.DUMMYFUNCTION("""COMPUTED_VALUE"""),64.0)</f>
        <v>64</v>
      </c>
      <c r="AE783" s="233">
        <f>IFERROR(__xludf.DUMMYFUNCTION("""COMPUTED_VALUE"""),46031.0)</f>
        <v>46031</v>
      </c>
      <c r="AF783" s="54"/>
      <c r="AG783" s="54"/>
      <c r="AH783" s="54">
        <v>46031.0</v>
      </c>
      <c r="AI783" s="55">
        <f t="shared" si="87"/>
        <v>0</v>
      </c>
      <c r="AW783" s="234"/>
      <c r="BP783" s="11"/>
      <c r="BQ783" s="11"/>
      <c r="BR783" s="235"/>
      <c r="BV783" s="158"/>
      <c r="BY783" s="158"/>
      <c r="CB783" s="158"/>
    </row>
    <row r="784" ht="18.0" hidden="1" customHeight="1">
      <c r="A784" s="222">
        <f>IFERROR(__xludf.DUMMYFUNCTION("""COMPUTED_VALUE"""),2026.0)</f>
        <v>2026</v>
      </c>
      <c r="B784" s="221">
        <f>IFERROR(__xludf.DUMMYFUNCTION("""COMPUTED_VALUE"""),1.1389462E7)</f>
        <v>11389462</v>
      </c>
      <c r="C784" s="222" t="str">
        <f>IFERROR(__xludf.DUMMYFUNCTION("""COMPUTED_VALUE"""),"MDN PT3 TMU-FD ODP PRIORITAS")</f>
        <v>MDN PT3 TMU-FD ODP PRIORITAS</v>
      </c>
      <c r="D784" s="222" t="str">
        <f>IFERROR(__xludf.DUMMYFUNCTION("""COMPUTED_VALUE"""),"REGIONAL I")</f>
        <v>REGIONAL I</v>
      </c>
      <c r="E784" s="222" t="str">
        <f>IFERROR(__xludf.DUMMYFUNCTION("""COMPUTED_VALUE"""),"MEDAN")</f>
        <v>MEDAN</v>
      </c>
      <c r="F784" s="222" t="str">
        <f>IFERROR(__xludf.DUMMYFUNCTION("""COMPUTED_VALUE"""),"TMU")</f>
        <v>TMU</v>
      </c>
      <c r="G784" s="222" t="str">
        <f>IFERROR(__xludf.DUMMYFUNCTION("""COMPUTED_VALUE"""),"SUMBAGUT")</f>
        <v>SUMBAGUT</v>
      </c>
      <c r="H784" s="222" t="str">
        <f>IFERROR(__xludf.DUMMYFUNCTION("""COMPUTED_VALUE"""),"MEDAN")</f>
        <v>MEDAN</v>
      </c>
      <c r="I784" s="222" t="str">
        <f>IFERROR(__xludf.DUMMYFUNCTION("""COMPUTED_VALUE"""),"Batch 2")</f>
        <v>Batch 2</v>
      </c>
      <c r="J784" s="225">
        <f>IFERROR(__xludf.DUMMYFUNCTION("""COMPUTED_VALUE"""),10.0)</f>
        <v>10</v>
      </c>
      <c r="K784" s="224">
        <f>IFERROR(__xludf.DUMMYFUNCTION("""COMPUTED_VALUE"""),80.0)</f>
        <v>80</v>
      </c>
      <c r="L784" s="226">
        <f>IFERROR(__xludf.DUMMYFUNCTION("""COMPUTED_VALUE"""),809094.0)</f>
        <v>809094</v>
      </c>
      <c r="M784" s="227">
        <f>IFERROR(__xludf.DUMMYFUNCTION("""COMPUTED_VALUE"""),6.4727485E7)</f>
        <v>64727485</v>
      </c>
      <c r="N784" s="222" t="str">
        <f>IFERROR(__xludf.DUMMYFUNCTION("""COMPUTED_VALUE"""),"PT GLOBAL KARYA WANDA")</f>
        <v>PT GLOBAL KARYA WANDA</v>
      </c>
      <c r="O784" s="222" t="str">
        <f>IFERROR(__xludf.DUMMYFUNCTION("""COMPUTED_VALUE"""),"0. DROP")</f>
        <v>0. DROP</v>
      </c>
      <c r="P784" s="222" t="str">
        <f>IFERROR(__xludf.DUMMYFUNCTION("""COMPUTED_VALUE"""),"0.3 Feeder Full")</f>
        <v>0.3 Feeder Full</v>
      </c>
      <c r="Q784" s="222" t="str">
        <f>IFERROR(__xludf.DUMMYFUNCTION("""COMPUTED_VALUE"""),"21/04 feeder full / butuh upgrade odc
14/11 Feeder redeti
20/09 Feeder Redaman Tinggi
19/09 Kades belum bisa dijumpai
18/09 Perizinan kades
15/09 proses aanwijzing")</f>
        <v>21/04 feeder full / butuh upgrade odc
14/11 Feeder redeti
20/09 Feeder Redaman Tinggi
19/09 Kades belum bisa dijumpai
18/09 Perizinan kades
15/09 proses aanwijzing</v>
      </c>
      <c r="R784" s="228"/>
      <c r="S784" s="11"/>
      <c r="T784" s="11"/>
      <c r="U784" s="11"/>
      <c r="V784" s="229"/>
      <c r="W784" s="229"/>
      <c r="X784" s="229" t="str">
        <f>IFERROR(__xludf.DUMMYFUNCTION("""COMPUTED_VALUE"""),"BELUM GOLIVE")</f>
        <v>BELUM GOLIVE</v>
      </c>
      <c r="Y784" s="229"/>
      <c r="Z784" s="229" t="str">
        <f>IFERROR(__xludf.DUMMYFUNCTION("""COMPUTED_VALUE"""),"#N/A")</f>
        <v>#N/A</v>
      </c>
      <c r="AA784" s="229"/>
      <c r="AB784" s="229"/>
      <c r="AC784" s="229"/>
      <c r="AD784" s="232"/>
      <c r="AE784" s="233"/>
      <c r="AF784" s="54"/>
      <c r="AG784" s="54"/>
      <c r="AH784" s="54">
        <v>46133.0</v>
      </c>
      <c r="AI784" s="237">
        <f>AH784-NOW()</f>
        <v>-7.377989907</v>
      </c>
      <c r="AJ784" s="229" t="str">
        <f>if(AI784&gt;=0,"in Komitmen","Out komitmen")</f>
        <v>Out komitmen</v>
      </c>
      <c r="AK784" s="229" t="s">
        <v>199</v>
      </c>
      <c r="AW784" s="234"/>
      <c r="BP784" s="11"/>
      <c r="BQ784" s="11"/>
      <c r="BR784" s="235"/>
      <c r="BV784" s="158"/>
      <c r="BY784" s="158"/>
      <c r="CB784" s="158"/>
    </row>
    <row r="785" ht="18.0" customHeight="1">
      <c r="A785" s="222">
        <f>IFERROR(__xludf.DUMMYFUNCTION("""COMPUTED_VALUE"""),2026.0)</f>
        <v>2026</v>
      </c>
      <c r="B785" s="221">
        <f>IFERROR(__xludf.DUMMYFUNCTION("""COMPUTED_VALUE"""),1.1198092E7)</f>
        <v>11198092</v>
      </c>
      <c r="C785" s="222" t="str">
        <f>IFERROR(__xludf.DUMMYFUNCTION("""COMPUTED_VALUE"""),"RKP PT3 TSEL TJT-FH JALAN PARIT SERATUS")</f>
        <v>RKP PT3 TSEL TJT-FH JALAN PARIT SERATUS</v>
      </c>
      <c r="D785" s="222" t="str">
        <f>IFERROR(__xludf.DUMMYFUNCTION("""COMPUTED_VALUE"""),"REGIONAL I")</f>
        <v>REGIONAL I</v>
      </c>
      <c r="E785" s="222" t="str">
        <f>IFERROR(__xludf.DUMMYFUNCTION("""COMPUTED_VALUE"""),"RIKEP")</f>
        <v>RIKEP</v>
      </c>
      <c r="F785" s="222" t="str">
        <f>IFERROR(__xludf.DUMMYFUNCTION("""COMPUTED_VALUE"""),"TJT")</f>
        <v>TJT</v>
      </c>
      <c r="G785" s="222" t="str">
        <f>IFERROR(__xludf.DUMMYFUNCTION("""COMPUTED_VALUE"""),"SUMBAGTENG")</f>
        <v>SUMBAGTENG</v>
      </c>
      <c r="H785" s="222" t="str">
        <f>IFERROR(__xludf.DUMMYFUNCTION("""COMPUTED_VALUE"""),"BATAM")</f>
        <v>BATAM</v>
      </c>
      <c r="I785" s="222" t="str">
        <f>IFERROR(__xludf.DUMMYFUNCTION("""COMPUTED_VALUE"""),"Batch 2")</f>
        <v>Batch 2</v>
      </c>
      <c r="J785" s="225">
        <f>IFERROR(__xludf.DUMMYFUNCTION("""COMPUTED_VALUE"""),3.0)</f>
        <v>3</v>
      </c>
      <c r="K785" s="224">
        <f>IFERROR(__xludf.DUMMYFUNCTION("""COMPUTED_VALUE"""),24.0)</f>
        <v>24</v>
      </c>
      <c r="L785" s="226">
        <f>IFERROR(__xludf.DUMMYFUNCTION("""COMPUTED_VALUE"""),1089178.0)</f>
        <v>1089178</v>
      </c>
      <c r="M785" s="227">
        <f>IFERROR(__xludf.DUMMYFUNCTION("""COMPUTED_VALUE"""),2.6140256E7)</f>
        <v>26140256</v>
      </c>
      <c r="N785" s="222" t="str">
        <f>IFERROR(__xludf.DUMMYFUNCTION("""COMPUTED_VALUE"""),"PT MITRA AKSES INSANI")</f>
        <v>PT MITRA AKSES INSANI</v>
      </c>
      <c r="O785" s="222" t="str">
        <f>IFERROR(__xludf.DUMMYFUNCTION("""COMPUTED_VALUE"""),"7. GOLIVE")</f>
        <v>7. GOLIVE</v>
      </c>
      <c r="P785" s="222" t="str">
        <f>IFERROR(__xludf.DUMMYFUNCTION("""COMPUTED_VALUE"""),"7.2 Golive Full / OA / DONE OTB")</f>
        <v>7.2 Golive Full / OA / DONE OTB</v>
      </c>
      <c r="Q785" s="222" t="str">
        <f>IFERROR(__xludf.DUMMYFUNCTION("""COMPUTED_VALUE"""),"17/04 plan submit ABD hari ini. 13/04 Plan FI tanggal 15 golive 16 apr.  07/04 penarikan DONE, plan terminasi di pulau tanjung batu serial, target golive sesuai komitmen golive
31/03 Tim terminasi berangkat dari pulau batam ke pualau tanjung batu tanggal "&amp;"04 april, plan GL 10 apr.27/03 Tim terminasi belum berangkat dari batam ke Pulau tanjung batu. 16/03 Tim terminasi berangkat ke pulau tanjung batu dari batam setelah lebaran. 09/03 Terminasi ODP. 
05/ 03 proses Penanaman tiang
26/02 Tanam tiang DONE, pros"&amp;"es tarik kabel tim serial. 13/02 Jadwal kapal ke pulau tanjung batu di hari rabu, karena kapal hari minggu sudah penuh. 09/02 LOP belum di survey oleh mitra, komitmen terakhi hari minggu tgl 8 feb tim berangkat ke pulau tanjung batu. 29/01 mitra MAI sudah"&amp;" acc dan plan survey senin 2 Februari. 21/01 Plan anwijzing Lokasi di pulau outer Tanjung batu")</f>
        <v>17/04 plan submit ABD hari ini. 13/04 Plan FI tanggal 15 golive 16 apr.  07/04 penarikan DONE, plan terminasi di pulau tanjung batu serial, target golive sesuai komitmen golive
31/03 Tim terminasi berangkat dari pulau batam ke pualau tanjung batu tanggal 04 april, plan GL 10 apr.27/03 Tim terminasi belum berangkat dari batam ke Pulau tanjung batu. 16/03 Tim terminasi berangkat ke pulau tanjung batu dari batam setelah lebaran. 09/03 Terminasi ODP. 
05/ 03 proses Penanaman tiang
26/02 Tanam tiang DONE, proses tarik kabel tim serial.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785" s="228">
        <f>IFERROR(__xludf.DUMMYFUNCTION("""COMPUTED_VALUE"""),46133.0)</f>
        <v>46133</v>
      </c>
      <c r="S785" s="11" t="str">
        <f>IFERROR(__xludf.DUMMYFUNCTION("""COMPUTED_VALUE"""),"APR")</f>
        <v>APR</v>
      </c>
      <c r="T785" s="73"/>
      <c r="U785" s="11" t="str">
        <f>IFERROR(__xludf.DUMMYFUNCTION("""COMPUTED_VALUE"""),"W09-157/2026
")</f>
        <v>W09-157/2026
</v>
      </c>
      <c r="V785" s="229" t="str">
        <f>IFERROR(__xludf.DUMMYFUNCTION("""COMPUTED_VALUE"""),"MOHAMMAD FAUZY")</f>
        <v>MOHAMMAD FAUZY</v>
      </c>
      <c r="W785" s="229" t="str">
        <f>IFERROR(__xludf.DUMMYFUNCTION("""COMPUTED_VALUE"""),"LEVITA INDRIYANI")</f>
        <v>LEVITA INDRIYANI</v>
      </c>
      <c r="X785" s="229" t="str">
        <f>IFERROR(__xludf.DUMMYFUNCTION("""COMPUTED_VALUE"""),"GOLIVE")</f>
        <v>GOLIVE</v>
      </c>
      <c r="Y785" s="229" t="str">
        <f>IFERROR(__xludf.DUMMYFUNCTION("""COMPUTED_VALUE"""),"DONE")</f>
        <v>DONE</v>
      </c>
      <c r="Z785" s="229" t="str">
        <f>IFERROR(__xludf.DUMMYFUNCTION("""COMPUTED_VALUE"""),"#N/A")</f>
        <v>#N/A</v>
      </c>
      <c r="AA785" s="229">
        <f>IFERROR(__xludf.DUMMYFUNCTION("""COMPUTED_VALUE"""),3.0)</f>
        <v>3</v>
      </c>
      <c r="AB785" s="229"/>
      <c r="AC785" s="229" t="str">
        <f>IFERROR(__xludf.DUMMYFUNCTION("""COMPUTED_VALUE"""),"9129586#9129591")</f>
        <v>9129586#9129591</v>
      </c>
      <c r="AD785" s="232">
        <f>IFERROR(__xludf.DUMMYFUNCTION("""COMPUTED_VALUE"""),24.0)</f>
        <v>24</v>
      </c>
      <c r="AE785" s="233">
        <f>IFERROR(__xludf.DUMMYFUNCTION("""COMPUTED_VALUE"""),46133.0)</f>
        <v>46133</v>
      </c>
      <c r="AF785" s="54"/>
      <c r="AG785" s="54"/>
      <c r="AH785" s="54">
        <v>46126.0</v>
      </c>
      <c r="AI785" s="55">
        <f>IF(OR(AH785="",AE785=""),"",AH785-AE785)</f>
        <v>-7</v>
      </c>
      <c r="AJ785" s="229" t="str">
        <f>if(AI785&gt;=0,"Gl in Komitmen","Gl out komitmen")</f>
        <v>Gl out komitmen</v>
      </c>
      <c r="AK785" s="231" t="s">
        <v>199</v>
      </c>
      <c r="AW785" s="234"/>
      <c r="BP785" s="11"/>
      <c r="BQ785" s="11"/>
      <c r="BR785" s="235"/>
      <c r="BV785" s="158"/>
      <c r="BY785" s="158"/>
      <c r="CB785" s="158"/>
    </row>
    <row r="786" ht="18.0" hidden="1" customHeight="1">
      <c r="A786" s="222">
        <f>IFERROR(__xludf.DUMMYFUNCTION("""COMPUTED_VALUE"""),2026.0)</f>
        <v>2026</v>
      </c>
      <c r="B786" s="221">
        <f>IFERROR(__xludf.DUMMYFUNCTION("""COMPUTED_VALUE"""),1.2378355E7)</f>
        <v>12378355</v>
      </c>
      <c r="C786" s="222" t="str">
        <f>IFERROR(__xludf.DUMMYFUNCTION("""COMPUTED_VALUE"""),"LPG PT3 PRINGSEWU_160774_H2_2025 PRW")</f>
        <v>LPG PT3 PRINGSEWU_160774_H2_2025 PRW</v>
      </c>
      <c r="D786" s="222" t="str">
        <f>IFERROR(__xludf.DUMMYFUNCTION("""COMPUTED_VALUE"""),"REGIONAL I")</f>
        <v>REGIONAL I</v>
      </c>
      <c r="E786" s="222" t="str">
        <f>IFERROR(__xludf.DUMMYFUNCTION("""COMPUTED_VALUE"""),"LAMPUNG")</f>
        <v>LAMPUNG</v>
      </c>
      <c r="F786" s="222" t="str">
        <f>IFERROR(__xludf.DUMMYFUNCTION("""COMPUTED_VALUE"""),"PRW")</f>
        <v>PRW</v>
      </c>
      <c r="G786" s="222" t="str">
        <f>IFERROR(__xludf.DUMMYFUNCTION("""COMPUTED_VALUE"""),"SUMBAGSEL")</f>
        <v>SUMBAGSEL</v>
      </c>
      <c r="H786" s="222" t="str">
        <f>IFERROR(__xludf.DUMMYFUNCTION("""COMPUTED_VALUE"""),"LAMPUNG")</f>
        <v>LAMPUNG</v>
      </c>
      <c r="I786" s="222" t="str">
        <f>IFERROR(__xludf.DUMMYFUNCTION("""COMPUTED_VALUE"""),"Batch 2")</f>
        <v>Batch 2</v>
      </c>
      <c r="J786" s="225">
        <f>IFERROR(__xludf.DUMMYFUNCTION("""COMPUTED_VALUE"""),3.0)</f>
        <v>3</v>
      </c>
      <c r="K786" s="224">
        <f>IFERROR(__xludf.DUMMYFUNCTION("""COMPUTED_VALUE"""),24.0)</f>
        <v>24</v>
      </c>
      <c r="L786" s="226">
        <f>IFERROR(__xludf.DUMMYFUNCTION("""COMPUTED_VALUE"""),1087574.0)</f>
        <v>1087574</v>
      </c>
      <c r="M786" s="227">
        <f>IFERROR(__xludf.DUMMYFUNCTION("""COMPUTED_VALUE"""),2.6101767E7)</f>
        <v>26101767</v>
      </c>
      <c r="N786" s="222" t="str">
        <f>IFERROR(__xludf.DUMMYFUNCTION("""COMPUTED_VALUE"""),"PT CINA COMSERVICE INDONESIA")</f>
        <v>PT CINA COMSERVICE INDONESIA</v>
      </c>
      <c r="O786" s="222" t="str">
        <f>IFERROR(__xludf.DUMMYFUNCTION("""COMPUTED_VALUE"""),"4. MATDEL")</f>
        <v>4. MATDEL</v>
      </c>
      <c r="P786" s="222" t="str">
        <f>IFERROR(__xludf.DUMMYFUNCTION("""COMPUTED_VALUE"""),"4.1 Belum Request Material (Alista)")</f>
        <v>4.1 Belum Request Material (Alista)</v>
      </c>
      <c r="Q786" s="222" t="str">
        <f>IFERROR(__xludf.DUMMYFUNCTION("""COMPUTED_VALUE"""),"24/4 plan matdel 25/4, 22/4 plan matdel 24/4,, 4 proses pengajuan pr/po bisa (ba manual), 13/04 belum ada feedback dari lurah dan perkim, sudah kelokasi 8 Apr.  8/4 proses perizinan pihak lurah 06/04 Proses Perizinan piha Kelurahan &amp; perkim 2/4  progres p"&amp;"erizinan dan pengecekan core
31/3  progres perizinan dan pengecekan core")</f>
        <v>24/4 plan matdel 25/4, 22/4 plan matdel 24/4,, 4 proses pengajuan pr/po bisa (ba manual), 13/04 belum ada feedback dari lurah dan perkim, sudah kelokasi 8 Apr.  8/4 proses perizinan pihak lurah 06/04 Proses Perizinan piha Kelurahan &amp; perkim 2/4  progres perizinan dan pengecekan core
31/3  progres perizinan dan pengecekan core</v>
      </c>
      <c r="R786" s="228"/>
      <c r="S786" s="11"/>
      <c r="T786" s="11"/>
      <c r="U786" s="11"/>
      <c r="V786" s="229"/>
      <c r="W786" s="229"/>
      <c r="X786" s="229" t="str">
        <f>IFERROR(__xludf.DUMMYFUNCTION("""COMPUTED_VALUE"""),"BELUM GOLIVE")</f>
        <v>BELUM GOLIVE</v>
      </c>
      <c r="Y786" s="229"/>
      <c r="Z786" s="229" t="str">
        <f>IFERROR(__xludf.DUMMYFUNCTION("""COMPUTED_VALUE"""),"#N/A")</f>
        <v>#N/A</v>
      </c>
      <c r="AA786" s="229"/>
      <c r="AB786" s="229"/>
      <c r="AC786" s="229"/>
      <c r="AD786" s="232"/>
      <c r="AE786" s="233"/>
      <c r="AF786" s="54"/>
      <c r="AG786" s="54"/>
      <c r="AH786" s="54"/>
      <c r="AI786" s="55" t="str">
        <f t="shared" ref="AI786:AI821" si="88">IF(OR(R786="",AE786=""),"",R786-AE786)</f>
        <v/>
      </c>
      <c r="AW786" s="234"/>
      <c r="BP786" s="11"/>
      <c r="BQ786" s="11"/>
      <c r="BR786" s="235"/>
      <c r="BV786" s="158"/>
      <c r="BY786" s="158"/>
      <c r="CB786" s="158"/>
    </row>
    <row r="787" ht="18.0" hidden="1" customHeight="1">
      <c r="A787" s="222">
        <f>IFERROR(__xludf.DUMMYFUNCTION("""COMPUTED_VALUE"""),2026.0)</f>
        <v>2026</v>
      </c>
      <c r="B787" s="221">
        <f>IFERROR(__xludf.DUMMYFUNCTION("""COMPUTED_VALUE"""),1.1187457E7)</f>
        <v>11187457</v>
      </c>
      <c r="C787" s="222" t="str">
        <f>IFERROR(__xludf.DUMMYFUNCTION("""COMPUTED_VALUE"""),"MDN PT3 P7I11 TTG-FGD JL.PINTU AIR IV")</f>
        <v>MDN PT3 P7I11 TTG-FGD JL.PINTU AIR IV</v>
      </c>
      <c r="D787" s="222" t="str">
        <f>IFERROR(__xludf.DUMMYFUNCTION("""COMPUTED_VALUE"""),"REGIONAL I")</f>
        <v>REGIONAL I</v>
      </c>
      <c r="E787" s="222" t="str">
        <f>IFERROR(__xludf.DUMMYFUNCTION("""COMPUTED_VALUE"""),"MEDAN")</f>
        <v>MEDAN</v>
      </c>
      <c r="F787" s="222" t="str">
        <f>IFERROR(__xludf.DUMMYFUNCTION("""COMPUTED_VALUE"""),"TTG")</f>
        <v>TTG</v>
      </c>
      <c r="G787" s="222" t="str">
        <f>IFERROR(__xludf.DUMMYFUNCTION("""COMPUTED_VALUE"""),"SUMBAGUT")</f>
        <v>SUMBAGUT</v>
      </c>
      <c r="H787" s="222" t="str">
        <f>IFERROR(__xludf.DUMMYFUNCTION("""COMPUTED_VALUE"""),"MEDAN")</f>
        <v>MEDAN</v>
      </c>
      <c r="I787" s="222" t="str">
        <f>IFERROR(__xludf.DUMMYFUNCTION("""COMPUTED_VALUE"""),"Batch 2")</f>
        <v>Batch 2</v>
      </c>
      <c r="J787" s="225">
        <f>IFERROR(__xludf.DUMMYFUNCTION("""COMPUTED_VALUE"""),2.0)</f>
        <v>2</v>
      </c>
      <c r="K787" s="224">
        <f>IFERROR(__xludf.DUMMYFUNCTION("""COMPUTED_VALUE"""),16.0)</f>
        <v>16</v>
      </c>
      <c r="L787" s="226">
        <f>IFERROR(__xludf.DUMMYFUNCTION("""COMPUTED_VALUE"""),1086915.0)</f>
        <v>1086915</v>
      </c>
      <c r="M787" s="227">
        <f>IFERROR(__xludf.DUMMYFUNCTION("""COMPUTED_VALUE"""),1.7390629E7)</f>
        <v>17390629</v>
      </c>
      <c r="N787" s="222" t="str">
        <f>IFERROR(__xludf.DUMMYFUNCTION("""COMPUTED_VALUE"""),"PT MEDCOM SOLUTION")</f>
        <v>PT MEDCOM SOLUTION</v>
      </c>
      <c r="O787" s="222" t="str">
        <f>IFERROR(__xludf.DUMMYFUNCTION("""COMPUTED_VALUE"""),"0. DROP")</f>
        <v>0. DROP</v>
      </c>
      <c r="P787" s="222" t="str">
        <f>IFERROR(__xludf.DUMMYFUNCTION("""COMPUTED_VALUE"""),"0.3 Feeder Full")</f>
        <v>0.3 Feeder Full</v>
      </c>
      <c r="Q787" s="222" t="str">
        <f>IFERROR(__xludf.DUMMYFUNCTION("""COMPUTED_VALUE"""),"08/03 Feeder Penuh ")</f>
        <v>08/03 Feeder Penuh </v>
      </c>
      <c r="R787" s="228"/>
      <c r="S787" s="11"/>
      <c r="T787" s="11"/>
      <c r="U787" s="11"/>
      <c r="V787" s="229"/>
      <c r="W787" s="229"/>
      <c r="X787" s="229" t="str">
        <f>IFERROR(__xludf.DUMMYFUNCTION("""COMPUTED_VALUE"""),"BELUM GOLIVE")</f>
        <v>BELUM GOLIVE</v>
      </c>
      <c r="Y787" s="229"/>
      <c r="Z787" s="229" t="str">
        <f>IFERROR(__xludf.DUMMYFUNCTION("""COMPUTED_VALUE"""),"#N/A")</f>
        <v>#N/A</v>
      </c>
      <c r="AA787" s="229"/>
      <c r="AB787" s="229"/>
      <c r="AC787" s="229"/>
      <c r="AD787" s="232"/>
      <c r="AE787" s="233"/>
      <c r="AF787" s="54"/>
      <c r="AG787" s="54"/>
      <c r="AH787" s="54"/>
      <c r="AI787" s="55" t="str">
        <f t="shared" si="88"/>
        <v/>
      </c>
      <c r="AW787" s="234"/>
      <c r="BP787" s="11"/>
      <c r="BQ787" s="11"/>
      <c r="BR787" s="235"/>
      <c r="BV787" s="158"/>
      <c r="BY787" s="158"/>
      <c r="CB787" s="158"/>
    </row>
    <row r="788" ht="18.0" customHeight="1">
      <c r="A788" s="222">
        <f>IFERROR(__xludf.DUMMYFUNCTION("""COMPUTED_VALUE"""),2026.0)</f>
        <v>2026</v>
      </c>
      <c r="B788" s="221">
        <f>IFERROR(__xludf.DUMMYFUNCTION("""COMPUTED_VALUE"""),1.1396951E7)</f>
        <v>11396951</v>
      </c>
      <c r="C788" s="222" t="str">
        <f>IFERROR(__xludf.DUMMYFUNCTION("""COMPUTED_VALUE"""),"RKP PT3 TSEL SLU-FCZ SP LAND MARINA")</f>
        <v>RKP PT3 TSEL SLU-FCZ SP LAND MARINA</v>
      </c>
      <c r="D788" s="222" t="str">
        <f>IFERROR(__xludf.DUMMYFUNCTION("""COMPUTED_VALUE"""),"REGIONAL I")</f>
        <v>REGIONAL I</v>
      </c>
      <c r="E788" s="222" t="str">
        <f>IFERROR(__xludf.DUMMYFUNCTION("""COMPUTED_VALUE"""),"RIKEP")</f>
        <v>RIKEP</v>
      </c>
      <c r="F788" s="222" t="str">
        <f>IFERROR(__xludf.DUMMYFUNCTION("""COMPUTED_VALUE"""),"SLU")</f>
        <v>SLU</v>
      </c>
      <c r="G788" s="222" t="str">
        <f>IFERROR(__xludf.DUMMYFUNCTION("""COMPUTED_VALUE"""),"SUMBAGTENG")</f>
        <v>SUMBAGTENG</v>
      </c>
      <c r="H788" s="222" t="str">
        <f>IFERROR(__xludf.DUMMYFUNCTION("""COMPUTED_VALUE"""),"BATAM")</f>
        <v>BATAM</v>
      </c>
      <c r="I788" s="222" t="str">
        <f>IFERROR(__xludf.DUMMYFUNCTION("""COMPUTED_VALUE"""),"Batch 2")</f>
        <v>Batch 2</v>
      </c>
      <c r="J788" s="225">
        <f>IFERROR(__xludf.DUMMYFUNCTION("""COMPUTED_VALUE"""),10.0)</f>
        <v>10</v>
      </c>
      <c r="K788" s="224">
        <f>IFERROR(__xludf.DUMMYFUNCTION("""COMPUTED_VALUE"""),80.0)</f>
        <v>80</v>
      </c>
      <c r="L788" s="226">
        <f>IFERROR(__xludf.DUMMYFUNCTION("""COMPUTED_VALUE"""),1086649.0)</f>
        <v>1086649</v>
      </c>
      <c r="M788" s="227">
        <f>IFERROR(__xludf.DUMMYFUNCTION("""COMPUTED_VALUE"""),8.693188E7)</f>
        <v>86931880</v>
      </c>
      <c r="N788" s="222" t="str">
        <f>IFERROR(__xludf.DUMMYFUNCTION("""COMPUTED_VALUE"""),"PT MITRA HOSINDO SEJAHTERA")</f>
        <v>PT MITRA HOSINDO SEJAHTERA</v>
      </c>
      <c r="O788" s="222" t="str">
        <f>IFERROR(__xludf.DUMMYFUNCTION("""COMPUTED_VALUE"""),"0. DROP")</f>
        <v>0. DROP</v>
      </c>
      <c r="P788" s="222" t="str">
        <f>IFERROR(__xludf.DUMMYFUNCTION("""COMPUTED_VALUE"""),"0.2 Tidak Dapat Izin Warga/Kades/Lurah/Developer")</f>
        <v>0.2 Tidak Dapat Izin Warga/Kades/Lurah/Developer</v>
      </c>
      <c r="Q788" s="222" t="str">
        <f>IFERROR(__xludf.DUMMYFUNCTION("""COMPUTED_VALUE"""),"03/03 izin tidak di acc developer. 13/02 Peralihan mitra ke MHS. 28/01 RT belum bisa di jumpai, di lokasi sudah ada kompetitor Link Net. 21/03 plan survey minggu ini 25 Jan")</f>
        <v>03/03 izin tidak di acc developer. 13/02 Peralihan mitra ke MHS. 28/01 RT belum bisa di jumpai, di lokasi sudah ada kompetitor Link Net. 21/03 plan survey minggu ini 25 Jan</v>
      </c>
      <c r="R788" s="228"/>
      <c r="S788" s="11"/>
      <c r="T788" s="11"/>
      <c r="U788" s="11"/>
      <c r="V788" s="229" t="str">
        <f>IFERROR(__xludf.DUMMYFUNCTION("""COMPUTED_VALUE"""),"MUHAMMAD RIDHO FALFO")</f>
        <v>MUHAMMAD RIDHO FALFO</v>
      </c>
      <c r="W788" s="229" t="str">
        <f>IFERROR(__xludf.DUMMYFUNCTION("""COMPUTED_VALUE"""),"LEVITA INDRIYANI")</f>
        <v>LEVITA INDRIYANI</v>
      </c>
      <c r="X788" s="229" t="str">
        <f>IFERROR(__xludf.DUMMYFUNCTION("""COMPUTED_VALUE"""),"BELUM GOLIVE")</f>
        <v>BELUM GOLIVE</v>
      </c>
      <c r="Y788" s="229"/>
      <c r="Z788" s="229" t="str">
        <f>IFERROR(__xludf.DUMMYFUNCTION("""COMPUTED_VALUE"""),"#N/A")</f>
        <v>#N/A</v>
      </c>
      <c r="AA788" s="229"/>
      <c r="AB788" s="229"/>
      <c r="AC788" s="229"/>
      <c r="AD788" s="232"/>
      <c r="AE788" s="233"/>
      <c r="AF788" s="54" t="str">
        <f>IFERROR(__xludf.DUMMYFUNCTION("""COMPUTED_VALUE"""),"Draft BA DROP")</f>
        <v>Draft BA DROP</v>
      </c>
      <c r="AG788" s="54"/>
      <c r="AH788" s="54"/>
      <c r="AI788" s="55" t="str">
        <f t="shared" si="88"/>
        <v/>
      </c>
      <c r="AW788" s="234"/>
      <c r="BP788" s="11"/>
      <c r="BQ788" s="11"/>
      <c r="BR788" s="235"/>
      <c r="BV788" s="158"/>
      <c r="BY788" s="158"/>
      <c r="CB788" s="158"/>
    </row>
    <row r="789" ht="18.0" hidden="1" customHeight="1">
      <c r="A789" s="222">
        <f>IFERROR(__xludf.DUMMYFUNCTION("""COMPUTED_VALUE"""),2026.0)</f>
        <v>2026</v>
      </c>
      <c r="B789" s="221">
        <f>IFERROR(__xludf.DUMMYFUNCTION("""COMPUTED_VALUE"""),1.136853E7)</f>
        <v>11368530</v>
      </c>
      <c r="C789" s="222" t="str">
        <f>IFERROR(__xludf.DUMMYFUNCTION("""COMPUTED_VALUE"""),"MDN PT3 DLT-FAD JL.PERTAHANAN-T.KENAS")</f>
        <v>MDN PT3 DLT-FAD JL.PERTAHANAN-T.KENAS</v>
      </c>
      <c r="D789" s="222" t="str">
        <f>IFERROR(__xludf.DUMMYFUNCTION("""COMPUTED_VALUE"""),"REGIONAL I")</f>
        <v>REGIONAL I</v>
      </c>
      <c r="E789" s="222" t="str">
        <f>IFERROR(__xludf.DUMMYFUNCTION("""COMPUTED_VALUE"""),"MEDAN")</f>
        <v>MEDAN</v>
      </c>
      <c r="F789" s="222" t="str">
        <f>IFERROR(__xludf.DUMMYFUNCTION("""COMPUTED_VALUE"""),"DLT")</f>
        <v>DLT</v>
      </c>
      <c r="G789" s="222" t="str">
        <f>IFERROR(__xludf.DUMMYFUNCTION("""COMPUTED_VALUE"""),"SUMBAGUT")</f>
        <v>SUMBAGUT</v>
      </c>
      <c r="H789" s="222" t="str">
        <f>IFERROR(__xludf.DUMMYFUNCTION("""COMPUTED_VALUE"""),"MEDAN")</f>
        <v>MEDAN</v>
      </c>
      <c r="I789" s="222" t="str">
        <f>IFERROR(__xludf.DUMMYFUNCTION("""COMPUTED_VALUE"""),"Batch 2")</f>
        <v>Batch 2</v>
      </c>
      <c r="J789" s="225">
        <f>IFERROR(__xludf.DUMMYFUNCTION("""COMPUTED_VALUE"""),5.0)</f>
        <v>5</v>
      </c>
      <c r="K789" s="224">
        <f>IFERROR(__xludf.DUMMYFUNCTION("""COMPUTED_VALUE"""),40.0)</f>
        <v>40</v>
      </c>
      <c r="L789" s="226">
        <f>IFERROR(__xludf.DUMMYFUNCTION("""COMPUTED_VALUE"""),816164.0)</f>
        <v>816164</v>
      </c>
      <c r="M789" s="227">
        <f>IFERROR(__xludf.DUMMYFUNCTION("""COMPUTED_VALUE"""),3.2646554E7)</f>
        <v>32646554</v>
      </c>
      <c r="N789" s="222" t="str">
        <f>IFERROR(__xludf.DUMMYFUNCTION("""COMPUTED_VALUE"""),"PT UPENTEL INTERNASIONAL")</f>
        <v>PT UPENTEL INTERNASIONAL</v>
      </c>
      <c r="O789" s="222" t="str">
        <f>IFERROR(__xludf.DUMMYFUNCTION("""COMPUTED_VALUE"""),"0. DROP")</f>
        <v>0. DROP</v>
      </c>
      <c r="P789" s="222" t="str">
        <f>IFERROR(__xludf.DUMMYFUNCTION("""COMPUTED_VALUE"""),"0.3 Feeder Full")</f>
        <v>0.3 Feeder Full</v>
      </c>
      <c r="Q789" s="222" t="str">
        <f>IFERROR(__xludf.DUMMYFUNCTION("""COMPUTED_VALUE"""),"08/03 Feeder Penuh 14/11 Feeder redeti
16/10 Feeder Redaman Tinggi
(24/09) Perizinan Warga dan Kades / Lurah
(23/09) Perizinan Warga dan Kades / Lurah
15/09 proses aanwijzing")</f>
        <v>08/03 Feeder Penuh 14/11 Feeder redeti
16/10 Feeder Redaman Tinggi
(24/09) Perizinan Warga dan Kades / Lurah
(23/09) Perizinan Warga dan Kades / Lurah
15/09 proses aanwijzing</v>
      </c>
      <c r="R789" s="228"/>
      <c r="S789" s="11"/>
      <c r="T789" s="11"/>
      <c r="U789" s="11"/>
      <c r="V789" s="229"/>
      <c r="W789" s="229"/>
      <c r="X789" s="229" t="str">
        <f>IFERROR(__xludf.DUMMYFUNCTION("""COMPUTED_VALUE"""),"BELUM GOLIVE")</f>
        <v>BELUM GOLIVE</v>
      </c>
      <c r="Y789" s="229"/>
      <c r="Z789" s="229" t="str">
        <f>IFERROR(__xludf.DUMMYFUNCTION("""COMPUTED_VALUE"""),"#N/A")</f>
        <v>#N/A</v>
      </c>
      <c r="AA789" s="229"/>
      <c r="AB789" s="229"/>
      <c r="AC789" s="229"/>
      <c r="AD789" s="232"/>
      <c r="AE789" s="233"/>
      <c r="AF789" s="54"/>
      <c r="AG789" s="54"/>
      <c r="AH789" s="54"/>
      <c r="AI789" s="55" t="str">
        <f t="shared" si="88"/>
        <v/>
      </c>
      <c r="AW789" s="234"/>
      <c r="BP789" s="11"/>
      <c r="BQ789" s="11"/>
      <c r="BR789" s="235"/>
      <c r="BV789" s="158"/>
      <c r="BY789" s="158"/>
      <c r="CB789" s="158"/>
    </row>
    <row r="790" ht="18.0" hidden="1" customHeight="1">
      <c r="A790" s="222">
        <f>IFERROR(__xludf.DUMMYFUNCTION("""COMPUTED_VALUE"""),2026.0)</f>
        <v>2026</v>
      </c>
      <c r="B790" s="221">
        <f>IFERROR(__xludf.DUMMYFUNCTION("""COMPUTED_VALUE"""),1.2082964E7)</f>
        <v>12082964</v>
      </c>
      <c r="C790" s="222" t="str">
        <f>IFERROR(__xludf.DUMMYFUNCTION("""COMPUTED_VALUE"""),"MDN PT3 SKI-FAT DELI SERDANG_159218")</f>
        <v>MDN PT3 SKI-FAT DELI SERDANG_159218</v>
      </c>
      <c r="D790" s="222" t="str">
        <f>IFERROR(__xludf.DUMMYFUNCTION("""COMPUTED_VALUE"""),"REGIONAL I")</f>
        <v>REGIONAL I</v>
      </c>
      <c r="E790" s="222" t="str">
        <f>IFERROR(__xludf.DUMMYFUNCTION("""COMPUTED_VALUE"""),"MEDAN")</f>
        <v>MEDAN</v>
      </c>
      <c r="F790" s="222" t="str">
        <f>IFERROR(__xludf.DUMMYFUNCTION("""COMPUTED_VALUE"""),"SKI")</f>
        <v>SKI</v>
      </c>
      <c r="G790" s="222" t="str">
        <f>IFERROR(__xludf.DUMMYFUNCTION("""COMPUTED_VALUE"""),"SUMBAGUT")</f>
        <v>SUMBAGUT</v>
      </c>
      <c r="H790" s="222" t="str">
        <f>IFERROR(__xludf.DUMMYFUNCTION("""COMPUTED_VALUE"""),"MEDAN")</f>
        <v>MEDAN</v>
      </c>
      <c r="I790" s="222" t="str">
        <f>IFERROR(__xludf.DUMMYFUNCTION("""COMPUTED_VALUE"""),"Batch 2")</f>
        <v>Batch 2</v>
      </c>
      <c r="J790" s="225">
        <f>IFERROR(__xludf.DUMMYFUNCTION("""COMPUTED_VALUE"""),2.0)</f>
        <v>2</v>
      </c>
      <c r="K790" s="224">
        <f>IFERROR(__xludf.DUMMYFUNCTION("""COMPUTED_VALUE"""),16.0)</f>
        <v>16</v>
      </c>
      <c r="L790" s="226">
        <f>IFERROR(__xludf.DUMMYFUNCTION("""COMPUTED_VALUE"""),1083612.0)</f>
        <v>1083612</v>
      </c>
      <c r="M790" s="227">
        <f>IFERROR(__xludf.DUMMYFUNCTION("""COMPUTED_VALUE"""),1.7337777E7)</f>
        <v>17337777</v>
      </c>
      <c r="N790" s="222" t="str">
        <f>IFERROR(__xludf.DUMMYFUNCTION("""COMPUTED_VALUE"""),"PT UPENTEL INTERNASIONAL")</f>
        <v>PT UPENTEL INTERNASIONAL</v>
      </c>
      <c r="O790" s="222" t="str">
        <f>IFERROR(__xludf.DUMMYFUNCTION("""COMPUTED_VALUE"""),"2. DONE AANWIJZING")</f>
        <v>2. DONE AANWIJZING</v>
      </c>
      <c r="P790" s="222" t="str">
        <f>IFERROR(__xludf.DUMMYFUNCTION("""COMPUTED_VALUE"""),"2.10 Kendala - Feeder Rusak")</f>
        <v>2.10 Kendala - Feeder Rusak</v>
      </c>
      <c r="Q790" s="222" t="str">
        <f>IFERROR(__xludf.DUMMYFUNCTION("""COMPUTED_VALUE"""),"21/04 pengecekan tipus / butuh qe
12/02 Feeder Tidak Tembus 07/02 Done Order, Lnjut Aanwidzing")</f>
        <v>21/04 pengecekan tipus / butuh qe
12/02 Feeder Tidak Tembus 07/02 Done Order, Lnjut Aanwidzing</v>
      </c>
      <c r="R790" s="228"/>
      <c r="S790" s="11"/>
      <c r="T790" s="11"/>
      <c r="U790" s="11"/>
      <c r="V790" s="229"/>
      <c r="W790" s="229"/>
      <c r="X790" s="229" t="str">
        <f>IFERROR(__xludf.DUMMYFUNCTION("""COMPUTED_VALUE"""),"BELUM GOLIVE")</f>
        <v>BELUM GOLIVE</v>
      </c>
      <c r="Y790" s="229"/>
      <c r="Z790" s="229" t="str">
        <f>IFERROR(__xludf.DUMMYFUNCTION("""COMPUTED_VALUE"""),"#N/A")</f>
        <v>#N/A</v>
      </c>
      <c r="AA790" s="229"/>
      <c r="AB790" s="229"/>
      <c r="AC790" s="229"/>
      <c r="AD790" s="232"/>
      <c r="AE790" s="233"/>
      <c r="AF790" s="54"/>
      <c r="AG790" s="54"/>
      <c r="AH790" s="54"/>
      <c r="AI790" s="55" t="str">
        <f t="shared" si="88"/>
        <v/>
      </c>
      <c r="AW790" s="234"/>
      <c r="BP790" s="11"/>
      <c r="BQ790" s="11"/>
      <c r="BR790" s="235"/>
      <c r="BV790" s="158"/>
      <c r="BY790" s="158"/>
      <c r="CB790" s="158"/>
    </row>
    <row r="791" ht="18.0" hidden="1" customHeight="1">
      <c r="A791" s="222">
        <f>IFERROR(__xludf.DUMMYFUNCTION("""COMPUTED_VALUE"""),2026.0)</f>
        <v>2026</v>
      </c>
      <c r="B791" s="221">
        <f>IFERROR(__xludf.DUMMYFUNCTION("""COMPUTED_VALUE"""),1.1187405E7)</f>
        <v>11187405</v>
      </c>
      <c r="C791" s="222" t="str">
        <f>IFERROR(__xludf.DUMMYFUNCTION("""COMPUTED_VALUE"""),"MDN PT3 P7I11 TMU-FR GG.SEROJA 9")</f>
        <v>MDN PT3 P7I11 TMU-FR GG.SEROJA 9</v>
      </c>
      <c r="D791" s="222" t="str">
        <f>IFERROR(__xludf.DUMMYFUNCTION("""COMPUTED_VALUE"""),"REGIONAL I")</f>
        <v>REGIONAL I</v>
      </c>
      <c r="E791" s="222" t="str">
        <f>IFERROR(__xludf.DUMMYFUNCTION("""COMPUTED_VALUE"""),"MEDAN")</f>
        <v>MEDAN</v>
      </c>
      <c r="F791" s="222" t="str">
        <f>IFERROR(__xludf.DUMMYFUNCTION("""COMPUTED_VALUE"""),"TMU")</f>
        <v>TMU</v>
      </c>
      <c r="G791" s="222" t="str">
        <f>IFERROR(__xludf.DUMMYFUNCTION("""COMPUTED_VALUE"""),"SUMBAGUT")</f>
        <v>SUMBAGUT</v>
      </c>
      <c r="H791" s="222" t="str">
        <f>IFERROR(__xludf.DUMMYFUNCTION("""COMPUTED_VALUE"""),"MEDAN")</f>
        <v>MEDAN</v>
      </c>
      <c r="I791" s="222" t="str">
        <f>IFERROR(__xludf.DUMMYFUNCTION("""COMPUTED_VALUE"""),"Batch 2")</f>
        <v>Batch 2</v>
      </c>
      <c r="J791" s="225">
        <f>IFERROR(__xludf.DUMMYFUNCTION("""COMPUTED_VALUE"""),7.0)</f>
        <v>7</v>
      </c>
      <c r="K791" s="224">
        <f>IFERROR(__xludf.DUMMYFUNCTION("""COMPUTED_VALUE"""),56.0)</f>
        <v>56</v>
      </c>
      <c r="L791" s="226">
        <f>IFERROR(__xludf.DUMMYFUNCTION("""COMPUTED_VALUE"""),986168.0)</f>
        <v>986168</v>
      </c>
      <c r="M791" s="227">
        <f>IFERROR(__xludf.DUMMYFUNCTION("""COMPUTED_VALUE"""),5.5225355E7)</f>
        <v>55225355</v>
      </c>
      <c r="N791" s="222" t="str">
        <f>IFERROR(__xludf.DUMMYFUNCTION("""COMPUTED_VALUE"""),"PT SALTTEK DUMPANG JAYA")</f>
        <v>PT SALTTEK DUMPANG JAYA</v>
      </c>
      <c r="O791" s="222" t="str">
        <f>IFERROR(__xludf.DUMMYFUNCTION("""COMPUTED_VALUE"""),"0. DROP")</f>
        <v>0. DROP</v>
      </c>
      <c r="P791" s="222" t="str">
        <f>IFERROR(__xludf.DUMMYFUNCTION("""COMPUTED_VALUE"""),"0.4 CPP Tinggi Acc ED TIF")</f>
        <v>0.4 CPP Tinggi Acc ED TIF</v>
      </c>
      <c r="Q791" s="222" t="str">
        <f>IFERROR(__xludf.DUMMYFUNCTION("""COMPUTED_VALUE"""),"21/04 high cpp
14/11 Feeder redeti
16/10 Feeder Redaman Tinggi
(24/09) Perizinan Warga dan Kades / Lurah
(23/09) Perizinan Warga dan Kades / Lurah
15/09 proses aanwijzing")</f>
        <v>21/04 high cpp
14/11 Feeder redeti
16/10 Feeder Redaman Tinggi
(24/09) Perizinan Warga dan Kades / Lurah
(23/09) Perizinan Warga dan Kades / Lurah
15/09 proses aanwijzing</v>
      </c>
      <c r="R791" s="228"/>
      <c r="S791" s="11"/>
      <c r="T791" s="11"/>
      <c r="U791" s="11"/>
      <c r="V791" s="229"/>
      <c r="W791" s="229"/>
      <c r="X791" s="229" t="str">
        <f>IFERROR(__xludf.DUMMYFUNCTION("""COMPUTED_VALUE"""),"BELUM GOLIVE")</f>
        <v>BELUM GOLIVE</v>
      </c>
      <c r="Y791" s="229"/>
      <c r="Z791" s="229" t="str">
        <f>IFERROR(__xludf.DUMMYFUNCTION("""COMPUTED_VALUE"""),"#N/A")</f>
        <v>#N/A</v>
      </c>
      <c r="AA791" s="229"/>
      <c r="AB791" s="229"/>
      <c r="AC791" s="229"/>
      <c r="AD791" s="232"/>
      <c r="AE791" s="233"/>
      <c r="AF791" s="54"/>
      <c r="AG791" s="54"/>
      <c r="AH791" s="54"/>
      <c r="AI791" s="55" t="str">
        <f t="shared" si="88"/>
        <v/>
      </c>
      <c r="AW791" s="234"/>
      <c r="BP791" s="11"/>
      <c r="BQ791" s="11"/>
      <c r="BR791" s="235"/>
      <c r="BV791" s="158"/>
      <c r="BY791" s="158"/>
      <c r="CB791" s="158"/>
    </row>
    <row r="792" ht="18.0" hidden="1" customHeight="1">
      <c r="A792" s="222">
        <f>IFERROR(__xludf.DUMMYFUNCTION("""COMPUTED_VALUE"""),2026.0)</f>
        <v>2026</v>
      </c>
      <c r="B792" s="221">
        <f>IFERROR(__xludf.DUMMYFUNCTION("""COMPUTED_VALUE"""),1.2084497E7)</f>
        <v>12084497</v>
      </c>
      <c r="C792" s="222" t="str">
        <f>IFERROR(__xludf.DUMMYFUNCTION("""COMPUTED_VALUE"""),"MDN PT3 TMU-FAE DELI SERDANG_117076_MD25")</f>
        <v>MDN PT3 TMU-FAE DELI SERDANG_117076_MD25</v>
      </c>
      <c r="D792" s="222" t="str">
        <f>IFERROR(__xludf.DUMMYFUNCTION("""COMPUTED_VALUE"""),"REGIONAL I")</f>
        <v>REGIONAL I</v>
      </c>
      <c r="E792" s="222" t="str">
        <f>IFERROR(__xludf.DUMMYFUNCTION("""COMPUTED_VALUE"""),"MEDAN")</f>
        <v>MEDAN</v>
      </c>
      <c r="F792" s="222" t="str">
        <f>IFERROR(__xludf.DUMMYFUNCTION("""COMPUTED_VALUE"""),"TMU")</f>
        <v>TMU</v>
      </c>
      <c r="G792" s="222" t="str">
        <f>IFERROR(__xludf.DUMMYFUNCTION("""COMPUTED_VALUE"""),"SUMBAGUT")</f>
        <v>SUMBAGUT</v>
      </c>
      <c r="H792" s="222" t="str">
        <f>IFERROR(__xludf.DUMMYFUNCTION("""COMPUTED_VALUE"""),"MEDAN")</f>
        <v>MEDAN</v>
      </c>
      <c r="I792" s="222" t="str">
        <f>IFERROR(__xludf.DUMMYFUNCTION("""COMPUTED_VALUE"""),"Batch 2")</f>
        <v>Batch 2</v>
      </c>
      <c r="J792" s="225">
        <f>IFERROR(__xludf.DUMMYFUNCTION("""COMPUTED_VALUE"""),2.0)</f>
        <v>2</v>
      </c>
      <c r="K792" s="224">
        <f>IFERROR(__xludf.DUMMYFUNCTION("""COMPUTED_VALUE"""),16.0)</f>
        <v>16</v>
      </c>
      <c r="L792" s="226">
        <f>IFERROR(__xludf.DUMMYFUNCTION("""COMPUTED_VALUE"""),1083374.0)</f>
        <v>1083374</v>
      </c>
      <c r="M792" s="227">
        <f>IFERROR(__xludf.DUMMYFUNCTION("""COMPUTED_VALUE"""),1.7333983E7)</f>
        <v>17333983</v>
      </c>
      <c r="N792" s="222" t="str">
        <f>IFERROR(__xludf.DUMMYFUNCTION("""COMPUTED_VALUE"""),"PT PRIMA INDO SENTOSA")</f>
        <v>PT PRIMA INDO SENTOSA</v>
      </c>
      <c r="O792" s="222" t="str">
        <f>IFERROR(__xludf.DUMMYFUNCTION("""COMPUTED_VALUE"""),"2. DONE AANWIJZING")</f>
        <v>2. DONE AANWIJZING</v>
      </c>
      <c r="P792" s="222" t="str">
        <f>IFERROR(__xludf.DUMMYFUNCTION("""COMPUTED_VALUE"""),"2.9 Kendala - Distribusi Penuh / Rusak")</f>
        <v>2.9 Kendala - Distribusi Penuh / Rusak</v>
      </c>
      <c r="Q792" s="222" t="str">
        <f>IFERROR(__xludf.DUMMYFUNCTION("""COMPUTED_VALUE"""),"21/04 pengajuan redisgn
08/04 distribusi penuh/full
27/02 done order")</f>
        <v>21/04 pengajuan redisgn
08/04 distribusi penuh/full
27/02 done order</v>
      </c>
      <c r="R792" s="228"/>
      <c r="S792" s="11"/>
      <c r="T792" s="73"/>
      <c r="U792" s="11"/>
      <c r="V792" s="229" t="str">
        <f>IFERROR(__xludf.DUMMYFUNCTION("""COMPUTED_VALUE"""),"29/Apr/2026")</f>
        <v>29/Apr/2026</v>
      </c>
      <c r="W792" s="229"/>
      <c r="X792" s="229" t="str">
        <f>IFERROR(__xludf.DUMMYFUNCTION("""COMPUTED_VALUE"""),"BELUM GOLIVE")</f>
        <v>BELUM GOLIVE</v>
      </c>
      <c r="Y792" s="229"/>
      <c r="Z792" s="229" t="str">
        <f>IFERROR(__xludf.DUMMYFUNCTION("""COMPUTED_VALUE"""),"#N/A")</f>
        <v>#N/A</v>
      </c>
      <c r="AA792" s="229"/>
      <c r="AB792" s="229"/>
      <c r="AC792" s="229"/>
      <c r="AD792" s="232"/>
      <c r="AE792" s="233"/>
      <c r="AF792" s="54"/>
      <c r="AG792" s="54"/>
      <c r="AH792" s="54"/>
      <c r="AI792" s="55" t="str">
        <f t="shared" si="88"/>
        <v/>
      </c>
      <c r="AW792" s="234"/>
      <c r="BP792" s="11"/>
      <c r="BQ792" s="11"/>
      <c r="BR792" s="235"/>
      <c r="BV792" s="158"/>
      <c r="BY792" s="158"/>
      <c r="CB792" s="158"/>
    </row>
    <row r="793" ht="18.0" hidden="1" customHeight="1">
      <c r="A793" s="222">
        <f>IFERROR(__xludf.DUMMYFUNCTION("""COMPUTED_VALUE"""),2026.0)</f>
        <v>2026</v>
      </c>
      <c r="B793" s="221">
        <f>IFERROR(__xludf.DUMMYFUNCTION("""COMPUTED_VALUE"""),1.1966079E7)</f>
        <v>11966079</v>
      </c>
      <c r="C793" s="222" t="str">
        <f>IFERROR(__xludf.DUMMYFUNCTION("""COMPUTED_VALUE"""),"LPG JPP MD PT3 LAMPUNG TIMUR_1125 WJA")</f>
        <v>LPG JPP MD PT3 LAMPUNG TIMUR_1125 WJA</v>
      </c>
      <c r="D793" s="222" t="str">
        <f>IFERROR(__xludf.DUMMYFUNCTION("""COMPUTED_VALUE"""),"REGIONAL I")</f>
        <v>REGIONAL I</v>
      </c>
      <c r="E793" s="222" t="str">
        <f>IFERROR(__xludf.DUMMYFUNCTION("""COMPUTED_VALUE"""),"LAMPUNG")</f>
        <v>LAMPUNG</v>
      </c>
      <c r="F793" s="222" t="str">
        <f>IFERROR(__xludf.DUMMYFUNCTION("""COMPUTED_VALUE"""),"WJA")</f>
        <v>WJA</v>
      </c>
      <c r="G793" s="222" t="str">
        <f>IFERROR(__xludf.DUMMYFUNCTION("""COMPUTED_VALUE"""),"SUMBAGSEL")</f>
        <v>SUMBAGSEL</v>
      </c>
      <c r="H793" s="222" t="str">
        <f>IFERROR(__xludf.DUMMYFUNCTION("""COMPUTED_VALUE"""),"LAMPUNG")</f>
        <v>LAMPUNG</v>
      </c>
      <c r="I793" s="222" t="str">
        <f>IFERROR(__xludf.DUMMYFUNCTION("""COMPUTED_VALUE"""),"Batch 2")</f>
        <v>Batch 2</v>
      </c>
      <c r="J793" s="225">
        <f>IFERROR(__xludf.DUMMYFUNCTION("""COMPUTED_VALUE"""),4.0)</f>
        <v>4</v>
      </c>
      <c r="K793" s="224">
        <f>IFERROR(__xludf.DUMMYFUNCTION("""COMPUTED_VALUE"""),32.0)</f>
        <v>32</v>
      </c>
      <c r="L793" s="226">
        <f>IFERROR(__xludf.DUMMYFUNCTION("""COMPUTED_VALUE"""),1083273.0)</f>
        <v>1083273</v>
      </c>
      <c r="M793" s="227">
        <f>IFERROR(__xludf.DUMMYFUNCTION("""COMPUTED_VALUE"""),3.4664734E7)</f>
        <v>34664734</v>
      </c>
      <c r="N793" s="222" t="str">
        <f>IFERROR(__xludf.DUMMYFUNCTION("""COMPUTED_VALUE"""),"PT FAJAR MITRA KRIDA ABADI")</f>
        <v>PT FAJAR MITRA KRIDA ABADI</v>
      </c>
      <c r="O793" s="222" t="str">
        <f>IFERROR(__xludf.DUMMYFUNCTION("""COMPUTED_VALUE"""),"7. GOLIVE")</f>
        <v>7. GOLIVE</v>
      </c>
      <c r="P793" s="222" t="str">
        <f>IFERROR(__xludf.DUMMYFUNCTION("""COMPUTED_VALUE"""),"7.2 Golive Full / OA / DONE OTB")</f>
        <v>7.2 Golive Full / OA / DONE OTB</v>
      </c>
      <c r="Q793" s="222" t="str">
        <f>IFERROR(__xludf.DUMMYFUNCTION("""COMPUTED_VALUE"""),"26/2 proses GOLIVE 25/2  PROSES VALIN 4 
23/2 plan golive 24/2 20/2 Repair distribusi
18/2 tanam tiang /12, kabel 500( 11/2) truk sudah sampai di WH lampung, namun ada kendala budget kurang 6/2 plan matdel ,ambil material 11 /2 plan fi 16/2
4/2 stok mater"&amp;"ial kosong ,estimasi tiba 07/2 
02/02 plan matdel 09/02
23/1 plan. matdel senin 26/1
19/1 PLAN MATDEL SABTU TGL 24/1")</f>
        <v>26/2 proses GOLIVE 25/2  PROSES VALIN 4 
23/2 plan golive 24/2 20/2 Repair distribusi
18/2 tanam tiang /12, kabel 500( 11/2) truk sudah sampai di WH lampung, namun ada kendala budget kurang 6/2 plan matdel ,ambil material 11 /2 plan fi 16/2
4/2 stok material kosong ,estimasi tiba 07/2 
02/02 plan matdel 09/02
23/1 plan. matdel senin 26/1
19/1 PLAN MATDEL SABTU TGL 24/1</v>
      </c>
      <c r="R793" s="228">
        <f>IFERROR(__xludf.DUMMYFUNCTION("""COMPUTED_VALUE"""),46079.0)</f>
        <v>46079</v>
      </c>
      <c r="S793" s="11"/>
      <c r="T793" s="11"/>
      <c r="U793" s="11" t="str">
        <f>IFERROR(__xludf.DUMMYFUNCTION("""COMPUTED_VALUE"""),"W02-690/2025")</f>
        <v>W02-690/2025</v>
      </c>
      <c r="V793" s="229"/>
      <c r="W793" s="229"/>
      <c r="X793" s="229" t="str">
        <f>IFERROR(__xludf.DUMMYFUNCTION("""COMPUTED_VALUE"""),"GOLIVE")</f>
        <v>GOLIVE</v>
      </c>
      <c r="Y793" s="229" t="str">
        <f>IFERROR(__xludf.DUMMYFUNCTION("""COMPUTED_VALUE"""),"DONE")</f>
        <v>DONE</v>
      </c>
      <c r="Z793" s="229" t="str">
        <f>IFERROR(__xludf.DUMMYFUNCTION("""COMPUTED_VALUE"""),"#N/A")</f>
        <v>#N/A</v>
      </c>
      <c r="AA793" s="229">
        <f>IFERROR(__xludf.DUMMYFUNCTION("""COMPUTED_VALUE"""),4.0)</f>
        <v>4</v>
      </c>
      <c r="AB793" s="229"/>
      <c r="AC793" s="229" t="str">
        <f>IFERROR(__xludf.DUMMYFUNCTION("""COMPUTED_VALUE"""),"8752782#8752787")</f>
        <v>8752782#8752787</v>
      </c>
      <c r="AD793" s="232">
        <f>IFERROR(__xludf.DUMMYFUNCTION("""COMPUTED_VALUE"""),32.0)</f>
        <v>32</v>
      </c>
      <c r="AE793" s="233">
        <f>IFERROR(__xludf.DUMMYFUNCTION("""COMPUTED_VALUE"""),46079.0)</f>
        <v>46079</v>
      </c>
      <c r="AF793" s="54"/>
      <c r="AG793" s="54"/>
      <c r="AH793" s="54">
        <v>46079.0</v>
      </c>
      <c r="AI793" s="55">
        <f t="shared" si="88"/>
        <v>0</v>
      </c>
      <c r="AW793" s="234"/>
      <c r="BP793" s="11"/>
      <c r="BQ793" s="11"/>
      <c r="BR793" s="235"/>
      <c r="BV793" s="158"/>
      <c r="BY793" s="158"/>
      <c r="CB793" s="158"/>
    </row>
    <row r="794" ht="18.0" customHeight="1">
      <c r="A794" s="222">
        <f>IFERROR(__xludf.DUMMYFUNCTION("""COMPUTED_VALUE"""),2026.0)</f>
        <v>2026</v>
      </c>
      <c r="B794" s="221">
        <f>IFERROR(__xludf.DUMMYFUNCTION("""COMPUTED_VALUE"""),1.1276238E7)</f>
        <v>11276238</v>
      </c>
      <c r="C794" s="222" t="str">
        <f>IFERROR(__xludf.DUMMYFUNCTION("""COMPUTED_VALUE"""),"RKP PT3 TSEL BUM-FG SEI TERING SENGKUANG")</f>
        <v>RKP PT3 TSEL BUM-FG SEI TERING SENGKUANG</v>
      </c>
      <c r="D794" s="222" t="str">
        <f>IFERROR(__xludf.DUMMYFUNCTION("""COMPUTED_VALUE"""),"REGIONAL I")</f>
        <v>REGIONAL I</v>
      </c>
      <c r="E794" s="222" t="str">
        <f>IFERROR(__xludf.DUMMYFUNCTION("""COMPUTED_VALUE"""),"RIKEP")</f>
        <v>RIKEP</v>
      </c>
      <c r="F794" s="222" t="str">
        <f>IFERROR(__xludf.DUMMYFUNCTION("""COMPUTED_VALUE"""),"BUM")</f>
        <v>BUM</v>
      </c>
      <c r="G794" s="222" t="str">
        <f>IFERROR(__xludf.DUMMYFUNCTION("""COMPUTED_VALUE"""),"SUMBAGTENG")</f>
        <v>SUMBAGTENG</v>
      </c>
      <c r="H794" s="222" t="str">
        <f>IFERROR(__xludf.DUMMYFUNCTION("""COMPUTED_VALUE"""),"BATAM")</f>
        <v>BATAM</v>
      </c>
      <c r="I794" s="222" t="str">
        <f>IFERROR(__xludf.DUMMYFUNCTION("""COMPUTED_VALUE"""),"Batch 2")</f>
        <v>Batch 2</v>
      </c>
      <c r="J794" s="225">
        <f>IFERROR(__xludf.DUMMYFUNCTION("""COMPUTED_VALUE"""),5.0)</f>
        <v>5</v>
      </c>
      <c r="K794" s="224">
        <f>IFERROR(__xludf.DUMMYFUNCTION("""COMPUTED_VALUE"""),40.0)</f>
        <v>40</v>
      </c>
      <c r="L794" s="226">
        <f>IFERROR(__xludf.DUMMYFUNCTION("""COMPUTED_VALUE"""),1082642.0)</f>
        <v>1082642</v>
      </c>
      <c r="M794" s="227">
        <f>IFERROR(__xludf.DUMMYFUNCTION("""COMPUTED_VALUE"""),4.330567E7)</f>
        <v>43305670</v>
      </c>
      <c r="N794" s="222" t="str">
        <f>IFERROR(__xludf.DUMMYFUNCTION("""COMPUTED_VALUE"""),"PT KOPEGTEL BATAM CEMERLANG")</f>
        <v>PT KOPEGTEL BATAM CEMERLANG</v>
      </c>
      <c r="O794" s="222" t="str">
        <f>IFERROR(__xludf.DUMMYFUNCTION("""COMPUTED_VALUE"""),"0. DROP")</f>
        <v>0. DROP</v>
      </c>
      <c r="P794" s="222" t="str">
        <f>IFERROR(__xludf.DUMMYFUNCTION("""COMPUTED_VALUE"""),"0.2 Tidak Dapat Izin Warga/Kades/Lurah/Developer")</f>
        <v>0.2 Tidak Dapat Izin Warga/Kades/Lurah/Developer</v>
      </c>
      <c r="Q794" s="222" t="str">
        <f>IFERROR(__xludf.DUMMYFUNCTION("""COMPUTED_VALUE"""),"12/02 RT sudah di datangi 3x tapi tidak bisa di jumpai. 09/02 sudah anwijzing, izin masih menunggu balasan dari RT, BOQ KML survey sudah di berikan. 06/02 Anwijzing OK, proses periznan. 22/01 Plan survey 24 Jan ")</f>
        <v>12/02 RT sudah di datangi 3x tapi tidak bisa di jumpai. 09/02 sudah anwijzing, izin masih menunggu balasan dari RT, BOQ KML survey sudah di berikan. 06/02 Anwijzing OK, proses periznan. 22/01 Plan survey 24 Jan </v>
      </c>
      <c r="R794" s="228"/>
      <c r="S794" s="11"/>
      <c r="T794" s="11"/>
      <c r="U794" s="11"/>
      <c r="V794" s="229" t="str">
        <f>IFERROR(__xludf.DUMMYFUNCTION("""COMPUTED_VALUE"""),"RONALDO LEO INFANTRI")</f>
        <v>RONALDO LEO INFANTRI</v>
      </c>
      <c r="W794" s="229" t="str">
        <f>IFERROR(__xludf.DUMMYFUNCTION("""COMPUTED_VALUE"""),"LEVITA INDRIYANI")</f>
        <v>LEVITA INDRIYANI</v>
      </c>
      <c r="X794" s="229" t="str">
        <f>IFERROR(__xludf.DUMMYFUNCTION("""COMPUTED_VALUE"""),"BELUM GOLIVE")</f>
        <v>BELUM GOLIVE</v>
      </c>
      <c r="Y794" s="229"/>
      <c r="Z794" s="229" t="str">
        <f>IFERROR(__xludf.DUMMYFUNCTION("""COMPUTED_VALUE"""),"#N/A")</f>
        <v>#N/A</v>
      </c>
      <c r="AA794" s="229"/>
      <c r="AB794" s="229"/>
      <c r="AC794" s="229"/>
      <c r="AD794" s="232"/>
      <c r="AE794" s="233"/>
      <c r="AF794" s="54" t="str">
        <f>IFERROR(__xludf.DUMMYFUNCTION("""COMPUTED_VALUE"""),"Draft BA DROP")</f>
        <v>Draft BA DROP</v>
      </c>
      <c r="AG794" s="54"/>
      <c r="AH794" s="54"/>
      <c r="AI794" s="55" t="str">
        <f t="shared" si="88"/>
        <v/>
      </c>
      <c r="AW794" s="234"/>
      <c r="BP794" s="11"/>
      <c r="BQ794" s="11"/>
      <c r="BR794" s="235"/>
      <c r="BV794" s="158"/>
      <c r="BY794" s="158"/>
      <c r="CB794" s="158"/>
    </row>
    <row r="795" ht="18.0" hidden="1" customHeight="1">
      <c r="A795" s="222">
        <f>IFERROR(__xludf.DUMMYFUNCTION("""COMPUTED_VALUE"""),2026.0)</f>
        <v>2026</v>
      </c>
      <c r="B795" s="221">
        <f>IFERROR(__xludf.DUMMYFUNCTION("""COMPUTED_VALUE"""),1.1398832E7)</f>
        <v>11398832</v>
      </c>
      <c r="C795" s="222" t="str">
        <f>IFERROR(__xludf.DUMMYFUNCTION("""COMPUTED_VALUE"""),"MDN PT3 SPM-FCH JL.MEKATANI")</f>
        <v>MDN PT3 SPM-FCH JL.MEKATANI</v>
      </c>
      <c r="D795" s="222" t="str">
        <f>IFERROR(__xludf.DUMMYFUNCTION("""COMPUTED_VALUE"""),"REGIONAL I")</f>
        <v>REGIONAL I</v>
      </c>
      <c r="E795" s="222" t="str">
        <f>IFERROR(__xludf.DUMMYFUNCTION("""COMPUTED_VALUE"""),"MEDAN")</f>
        <v>MEDAN</v>
      </c>
      <c r="F795" s="222" t="str">
        <f>IFERROR(__xludf.DUMMYFUNCTION("""COMPUTED_VALUE"""),"SPM")</f>
        <v>SPM</v>
      </c>
      <c r="G795" s="222" t="str">
        <f>IFERROR(__xludf.DUMMYFUNCTION("""COMPUTED_VALUE"""),"SUMBAGUT")</f>
        <v>SUMBAGUT</v>
      </c>
      <c r="H795" s="222" t="str">
        <f>IFERROR(__xludf.DUMMYFUNCTION("""COMPUTED_VALUE"""),"MEDAN")</f>
        <v>MEDAN</v>
      </c>
      <c r="I795" s="222" t="str">
        <f>IFERROR(__xludf.DUMMYFUNCTION("""COMPUTED_VALUE"""),"Batch 2")</f>
        <v>Batch 2</v>
      </c>
      <c r="J795" s="225">
        <f>IFERROR(__xludf.DUMMYFUNCTION("""COMPUTED_VALUE"""),3.0)</f>
        <v>3</v>
      </c>
      <c r="K795" s="224">
        <f>IFERROR(__xludf.DUMMYFUNCTION("""COMPUTED_VALUE"""),24.0)</f>
        <v>24</v>
      </c>
      <c r="L795" s="226">
        <f>IFERROR(__xludf.DUMMYFUNCTION("""COMPUTED_VALUE"""),1306165.0)</f>
        <v>1306165</v>
      </c>
      <c r="M795" s="227">
        <f>IFERROR(__xludf.DUMMYFUNCTION("""COMPUTED_VALUE"""),3.1347939E7)</f>
        <v>31347939</v>
      </c>
      <c r="N795" s="222" t="str">
        <f>IFERROR(__xludf.DUMMYFUNCTION("""COMPUTED_VALUE"""),"PT UPENTEL INTERNASIONAL")</f>
        <v>PT UPENTEL INTERNASIONAL</v>
      </c>
      <c r="O795" s="222" t="str">
        <f>IFERROR(__xludf.DUMMYFUNCTION("""COMPUTED_VALUE"""),"0. DROP")</f>
        <v>0. DROP</v>
      </c>
      <c r="P795" s="222" t="str">
        <f>IFERROR(__xludf.DUMMYFUNCTION("""COMPUTED_VALUE"""),"0.4 CPP Tinggi Acc ED TIF")</f>
        <v>0.4 CPP Tinggi Acc ED TIF</v>
      </c>
      <c r="Q795" s="222" t="str">
        <f>IFERROR(__xludf.DUMMYFUNCTION("""COMPUTED_VALUE"""),"05/11 Distribusi Habis
(24/09) Perizinan Warga dan Kades / Lurah
(23/09) Perizinan Warga dan Kades / Lurah
15/09 proses aanwijzing")</f>
        <v>05/11 Distribusi Habis
(24/09) Perizinan Warga dan Kades / Lurah
(23/09) Perizinan Warga dan Kades / Lurah
15/09 proses aanwijzing</v>
      </c>
      <c r="R795" s="228"/>
      <c r="S795" s="11"/>
      <c r="T795" s="11"/>
      <c r="U795" s="11"/>
      <c r="V795" s="229"/>
      <c r="W795" s="229"/>
      <c r="X795" s="229" t="str">
        <f>IFERROR(__xludf.DUMMYFUNCTION("""COMPUTED_VALUE"""),"BELUM GOLIVE")</f>
        <v>BELUM GOLIVE</v>
      </c>
      <c r="Y795" s="229"/>
      <c r="Z795" s="229" t="str">
        <f>IFERROR(__xludf.DUMMYFUNCTION("""COMPUTED_VALUE"""),"#N/A")</f>
        <v>#N/A</v>
      </c>
      <c r="AA795" s="229"/>
      <c r="AB795" s="229"/>
      <c r="AC795" s="229"/>
      <c r="AD795" s="232"/>
      <c r="AE795" s="233"/>
      <c r="AF795" s="54" t="str">
        <f>IFERROR(__xludf.DUMMYFUNCTION("""COMPUTED_VALUE"""),"Draft BA DROP")</f>
        <v>Draft BA DROP</v>
      </c>
      <c r="AG795" s="54"/>
      <c r="AH795" s="54"/>
      <c r="AI795" s="55" t="str">
        <f t="shared" si="88"/>
        <v/>
      </c>
      <c r="AW795" s="234"/>
      <c r="BP795" s="11"/>
      <c r="BQ795" s="11"/>
      <c r="BR795" s="235"/>
      <c r="BV795" s="158"/>
      <c r="BY795" s="158"/>
      <c r="CB795" s="158"/>
    </row>
    <row r="796" ht="18.0" hidden="1" customHeight="1">
      <c r="A796" s="222">
        <f>IFERROR(__xludf.DUMMYFUNCTION("""COMPUTED_VALUE"""),2026.0)</f>
        <v>2026</v>
      </c>
      <c r="B796" s="221">
        <f>IFERROR(__xludf.DUMMYFUNCTION("""COMPUTED_VALUE"""),1.2092566E7)</f>
        <v>12092566</v>
      </c>
      <c r="C796" s="222" t="str">
        <f>IFERROR(__xludf.DUMMYFUNCTION("""COMPUTED_VALUE"""),"SMS PT3 BLT FL D03 OKU TIMUR_28597")</f>
        <v>SMS PT3 BLT FL D03 OKU TIMUR_28597</v>
      </c>
      <c r="D796" s="222" t="str">
        <f>IFERROR(__xludf.DUMMYFUNCTION("""COMPUTED_VALUE"""),"REGIONAL I")</f>
        <v>REGIONAL I</v>
      </c>
      <c r="E796" s="222" t="str">
        <f>IFERROR(__xludf.DUMMYFUNCTION("""COMPUTED_VALUE"""),"SUMSEL")</f>
        <v>SUMSEL</v>
      </c>
      <c r="F796" s="222" t="str">
        <f>IFERROR(__xludf.DUMMYFUNCTION("""COMPUTED_VALUE"""),"BLT")</f>
        <v>BLT</v>
      </c>
      <c r="G796" s="222" t="str">
        <f>IFERROR(__xludf.DUMMYFUNCTION("""COMPUTED_VALUE"""),"SUMBAGSEL")</f>
        <v>SUMBAGSEL</v>
      </c>
      <c r="H796" s="222" t="str">
        <f>IFERROR(__xludf.DUMMYFUNCTION("""COMPUTED_VALUE"""),"PALEMBANG")</f>
        <v>PALEMBANG</v>
      </c>
      <c r="I796" s="222" t="str">
        <f>IFERROR(__xludf.DUMMYFUNCTION("""COMPUTED_VALUE"""),"Batch 2")</f>
        <v>Batch 2</v>
      </c>
      <c r="J796" s="225">
        <f>IFERROR(__xludf.DUMMYFUNCTION("""COMPUTED_VALUE"""),4.0)</f>
        <v>4</v>
      </c>
      <c r="K796" s="224">
        <f>IFERROR(__xludf.DUMMYFUNCTION("""COMPUTED_VALUE"""),32.0)</f>
        <v>32</v>
      </c>
      <c r="L796" s="226">
        <f>IFERROR(__xludf.DUMMYFUNCTION("""COMPUTED_VALUE"""),1081976.0)</f>
        <v>1081976</v>
      </c>
      <c r="M796" s="227">
        <f>IFERROR(__xludf.DUMMYFUNCTION("""COMPUTED_VALUE"""),3.4623216E7)</f>
        <v>34623216</v>
      </c>
      <c r="N796" s="222" t="str">
        <f>IFERROR(__xludf.DUMMYFUNCTION("""COMPUTED_VALUE"""),"PT GARINDO TECHNO MANDIRI")</f>
        <v>PT GARINDO TECHNO MANDIRI</v>
      </c>
      <c r="O796" s="222" t="str">
        <f>IFERROR(__xludf.DUMMYFUNCTION("""COMPUTED_VALUE"""),"0. DROP")</f>
        <v>0. DROP</v>
      </c>
      <c r="P796" s="222" t="str">
        <f>IFERROR(__xludf.DUMMYFUNCTION("""COMPUTED_VALUE"""),"0.2 Tidak Dapat Izin Warga/Kades/Lurah/Developer")</f>
        <v>0.2 Tidak Dapat Izin Warga/Kades/Lurah/Developer</v>
      </c>
      <c r="Q796" s="222" t="str">
        <f>IFERROR(__xludf.DUMMYFUNCTION("""COMPUTED_VALUE"""),"06/03 DROP - PERMINTAAN SALES, 24/02 DROP - PERMINTAAN SALES, 06/02 HASIL REVIEW TSEL DROP 03/02 DROP PERMINTAAN SALES, 07/01 Drop permintaan sales (21/01) DROP, permintaan dari sales (15/1) ORDER DITERIMA MITRA 14/1, (06/01)order JPP batch-2 2026 ((14/11"&amp;")HOLD- tidak masuk target Optimis 2025 ((08/11) drop permintaan sales pic MEGI (04/11) req matrial 3/11 req matrial 13/10 SUDAH ANJIWZING, TUNGGU EVAL PED 08/10 progres aanwizjing
 (01/10) menunggu jadwal aanwizjing
 25/09/menunggu jadwal survey")</f>
        <v>06/03 DROP - PERMINTAAN SALES, 24/02 DROP - PERMINTAAN SALES, 06/02 HASIL REVIEW TSEL DROP 03/02 DROP PERMINTAAN SALES, 07/01 Drop permintaan sales (21/01) DROP, permintaan dari sales (15/1) ORDER DITERIMA MITRA 14/1, (06/01)order JPP batch-2 2026 ((14/11)HOLD- tidak masuk target Optimis 2025 ((08/11) drop permintaan sales pic MEGI (04/11) req matrial 3/11 req matrial 13/10 SUDAH ANJIWZING, TUNGGU EVAL PED 08/10 progres aanwizjing
 (01/10) menunggu jadwal aanwizjing
 25/09/menunggu jadwal survey</v>
      </c>
      <c r="R796" s="228"/>
      <c r="S796" s="11"/>
      <c r="T796" s="11"/>
      <c r="U796" s="11"/>
      <c r="V796" s="229" t="str">
        <f>IFERROR(__xludf.DUMMYFUNCTION("""COMPUTED_VALUE"""),"TANTOWI")</f>
        <v>TANTOWI</v>
      </c>
      <c r="W796" s="229"/>
      <c r="X796" s="229" t="str">
        <f>IFERROR(__xludf.DUMMYFUNCTION("""COMPUTED_VALUE"""),"BELUM GOLIVE")</f>
        <v>BELUM GOLIVE</v>
      </c>
      <c r="Y796" s="229"/>
      <c r="Z796" s="229" t="str">
        <f>IFERROR(__xludf.DUMMYFUNCTION("""COMPUTED_VALUE"""),"#N/A")</f>
        <v>#N/A</v>
      </c>
      <c r="AA796" s="229"/>
      <c r="AB796" s="229"/>
      <c r="AC796" s="229"/>
      <c r="AD796" s="232"/>
      <c r="AE796" s="233"/>
      <c r="AF796" s="54" t="str">
        <f>IFERROR(__xludf.DUMMYFUNCTION("""COMPUTED_VALUE"""),"Draft BA DROP")</f>
        <v>Draft BA DROP</v>
      </c>
      <c r="AG796" s="54"/>
      <c r="AH796" s="54"/>
      <c r="AI796" s="55" t="str">
        <f t="shared" si="88"/>
        <v/>
      </c>
      <c r="AW796" s="234"/>
      <c r="BP796" s="11"/>
      <c r="BQ796" s="11"/>
      <c r="BR796" s="235"/>
      <c r="BV796" s="158"/>
      <c r="BY796" s="158"/>
      <c r="CB796" s="158"/>
    </row>
    <row r="797" ht="18.0" hidden="1" customHeight="1">
      <c r="A797" s="222">
        <f>IFERROR(__xludf.DUMMYFUNCTION("""COMPUTED_VALUE"""),2026.0)</f>
        <v>2026</v>
      </c>
      <c r="B797" s="221">
        <f>IFERROR(__xludf.DUMMYFUNCTION("""COMPUTED_VALUE"""),1.1237175E7)</f>
        <v>11237175</v>
      </c>
      <c r="C797" s="222" t="str">
        <f>IFERROR(__xludf.DUMMYFUNCTION("""COMPUTED_VALUE"""),"MDN PT3 DLT-FAC JL.SEMBAHE NAMORAMBE")</f>
        <v>MDN PT3 DLT-FAC JL.SEMBAHE NAMORAMBE</v>
      </c>
      <c r="D797" s="222" t="str">
        <f>IFERROR(__xludf.DUMMYFUNCTION("""COMPUTED_VALUE"""),"REGIONAL I")</f>
        <v>REGIONAL I</v>
      </c>
      <c r="E797" s="222" t="str">
        <f>IFERROR(__xludf.DUMMYFUNCTION("""COMPUTED_VALUE"""),"MEDAN")</f>
        <v>MEDAN</v>
      </c>
      <c r="F797" s="222" t="str">
        <f>IFERROR(__xludf.DUMMYFUNCTION("""COMPUTED_VALUE"""),"DLT")</f>
        <v>DLT</v>
      </c>
      <c r="G797" s="222" t="str">
        <f>IFERROR(__xludf.DUMMYFUNCTION("""COMPUTED_VALUE"""),"SUMBAGUT")</f>
        <v>SUMBAGUT</v>
      </c>
      <c r="H797" s="222" t="str">
        <f>IFERROR(__xludf.DUMMYFUNCTION("""COMPUTED_VALUE"""),"MEDAN")</f>
        <v>MEDAN</v>
      </c>
      <c r="I797" s="222" t="str">
        <f>IFERROR(__xludf.DUMMYFUNCTION("""COMPUTED_VALUE"""),"Batch 2")</f>
        <v>Batch 2</v>
      </c>
      <c r="J797" s="225">
        <f>IFERROR(__xludf.DUMMYFUNCTION("""COMPUTED_VALUE"""),11.0)</f>
        <v>11</v>
      </c>
      <c r="K797" s="224">
        <f>IFERROR(__xludf.DUMMYFUNCTION("""COMPUTED_VALUE"""),88.0)</f>
        <v>88</v>
      </c>
      <c r="L797" s="226">
        <f>IFERROR(__xludf.DUMMYFUNCTION("""COMPUTED_VALUE"""),938421.0)</f>
        <v>938421</v>
      </c>
      <c r="M797" s="227">
        <f>IFERROR(__xludf.DUMMYFUNCTION("""COMPUTED_VALUE"""),8.2581045E7)</f>
        <v>82581045</v>
      </c>
      <c r="N797" s="222" t="str">
        <f>IFERROR(__xludf.DUMMYFUNCTION("""COMPUTED_VALUE"""),"PT BENWA  MITRA PRATAMA")</f>
        <v>PT BENWA  MITRA PRATAMA</v>
      </c>
      <c r="O797" s="222" t="str">
        <f>IFERROR(__xludf.DUMMYFUNCTION("""COMPUTED_VALUE"""),"4. MATDEL")</f>
        <v>4. MATDEL</v>
      </c>
      <c r="P797" s="222" t="str">
        <f>IFERROR(__xludf.DUMMYFUNCTION("""COMPUTED_VALUE"""),"4.2 Sudah Request Material (Alista)")</f>
        <v>4.2 Sudah Request Material (Alista)</v>
      </c>
      <c r="Q797" s="222" t="str">
        <f>IFERROR(__xludf.DUMMYFUNCTION("""COMPUTED_VALUE"""),"21/04 sudah req alista 20/04 Input material, pengurusan PID 16/04 masih pengurusan izin ke KADUS 09/04 lurah masih keluar kota nomor hp sudah ditinggalkan estimasi 13/04 lurah pulang 07/04 perizinan, anwidzing ok 06/04 take over mitra BENWA 31/03 komitmen"&amp;" perizinan (02/04), 25/02 hasil CO 2025")</f>
        <v>21/04 sudah req alista 20/04 Input material, pengurusan PID 16/04 masih pengurusan izin ke KADUS 09/04 lurah masih keluar kota nomor hp sudah ditinggalkan estimasi 13/04 lurah pulang 07/04 perizinan, anwidzing ok 06/04 take over mitra BENWA 31/03 komitmen perizinan (02/04), 25/02 hasil CO 2025</v>
      </c>
      <c r="R797" s="228"/>
      <c r="S797" s="11"/>
      <c r="T797" s="73"/>
      <c r="U797" s="11"/>
      <c r="V797" s="229" t="str">
        <f>IFERROR(__xludf.DUMMYFUNCTION("""COMPUTED_VALUE"""),"29/Apr/2026")</f>
        <v>29/Apr/2026</v>
      </c>
      <c r="W797" s="229"/>
      <c r="X797" s="229" t="str">
        <f>IFERROR(__xludf.DUMMYFUNCTION("""COMPUTED_VALUE"""),"BELUM GOLIVE")</f>
        <v>BELUM GOLIVE</v>
      </c>
      <c r="Y797" s="229"/>
      <c r="Z797" s="229" t="str">
        <f>IFERROR(__xludf.DUMMYFUNCTION("""COMPUTED_VALUE"""),"#N/A")</f>
        <v>#N/A</v>
      </c>
      <c r="AA797" s="229"/>
      <c r="AB797" s="229"/>
      <c r="AC797" s="229"/>
      <c r="AD797" s="232"/>
      <c r="AE797" s="233"/>
      <c r="AF797" s="54"/>
      <c r="AG797" s="54"/>
      <c r="AH797" s="54"/>
      <c r="AI797" s="55" t="str">
        <f t="shared" si="88"/>
        <v/>
      </c>
      <c r="AW797" s="234"/>
      <c r="BP797" s="11"/>
      <c r="BQ797" s="11"/>
      <c r="BR797" s="235"/>
      <c r="BV797" s="158"/>
      <c r="BY797" s="158"/>
      <c r="CB797" s="158"/>
    </row>
    <row r="798" ht="18.0" customHeight="1">
      <c r="A798" s="222">
        <f>IFERROR(__xludf.DUMMYFUNCTION("""COMPUTED_VALUE"""),2026.0)</f>
        <v>2026</v>
      </c>
      <c r="B798" s="221">
        <f>IFERROR(__xludf.DUMMYFUNCTION("""COMPUTED_VALUE"""),1.1483647E7)</f>
        <v>11483647</v>
      </c>
      <c r="C798" s="222" t="str">
        <f>IFERROR(__xludf.DUMMYFUNCTION("""COMPUTED_VALUE"""),"SMB LIMA PULUH KOTA_9474")</f>
        <v>SMB LIMA PULUH KOTA_9474</v>
      </c>
      <c r="D798" s="222" t="str">
        <f>IFERROR(__xludf.DUMMYFUNCTION("""COMPUTED_VALUE"""),"REGIONAL I")</f>
        <v>REGIONAL I</v>
      </c>
      <c r="E798" s="222" t="str">
        <f>IFERROR(__xludf.DUMMYFUNCTION("""COMPUTED_VALUE"""),"SUMBAR")</f>
        <v>SUMBAR</v>
      </c>
      <c r="F798" s="222" t="str">
        <f>IFERROR(__xludf.DUMMYFUNCTION("""COMPUTED_VALUE"""),"PYK")</f>
        <v>PYK</v>
      </c>
      <c r="G798" s="222" t="str">
        <f>IFERROR(__xludf.DUMMYFUNCTION("""COMPUTED_VALUE"""),"SUMBAGTENG")</f>
        <v>SUMBAGTENG</v>
      </c>
      <c r="H798" s="222" t="str">
        <f>IFERROR(__xludf.DUMMYFUNCTION("""COMPUTED_VALUE"""),"BUKIT TINGGI")</f>
        <v>BUKIT TINGGI</v>
      </c>
      <c r="I798" s="222" t="str">
        <f>IFERROR(__xludf.DUMMYFUNCTION("""COMPUTED_VALUE"""),"Batch 2")</f>
        <v>Batch 2</v>
      </c>
      <c r="J798" s="225">
        <f>IFERROR(__xludf.DUMMYFUNCTION("""COMPUTED_VALUE"""),4.0)</f>
        <v>4</v>
      </c>
      <c r="K798" s="224">
        <f>IFERROR(__xludf.DUMMYFUNCTION("""COMPUTED_VALUE"""),32.0)</f>
        <v>32</v>
      </c>
      <c r="L798" s="226">
        <f>IFERROR(__xludf.DUMMYFUNCTION("""COMPUTED_VALUE"""),1080280.0)</f>
        <v>1080280</v>
      </c>
      <c r="M798" s="227">
        <f>IFERROR(__xludf.DUMMYFUNCTION("""COMPUTED_VALUE"""),3.4568955E7)</f>
        <v>34568955</v>
      </c>
      <c r="N798" s="222" t="str">
        <f>IFERROR(__xludf.DUMMYFUNCTION("""COMPUTED_VALUE"""),"PT RATRI PRIMA MANDIRI")</f>
        <v>PT RATRI PRIMA MANDIRI</v>
      </c>
      <c r="O798" s="222" t="str">
        <f>IFERROR(__xludf.DUMMYFUNCTION("""COMPUTED_VALUE"""),"0. DROP")</f>
        <v>0. DROP</v>
      </c>
      <c r="P798" s="222" t="str">
        <f>IFERROR(__xludf.DUMMYFUNCTION("""COMPUTED_VALUE"""),"0.5 DROP TSEL - Acc ED TIF")</f>
        <v>0.5 DROP TSEL - Acc ED TIF</v>
      </c>
      <c r="Q798" s="222" t="str">
        <f>IFERROR(__xludf.DUMMYFUNCTION("""COMPUTED_VALUE"""),"(05/03) Doubel order dengan LOP BALAI RUPIH SIS  10/03   (02/03) proses aanwijziing (26/01) DROP, permintaan tsel (tidak potensial) ")</f>
        <v>(05/03) Doubel order dengan LOP BALAI RUPIH SIS  10/03   (02/03) proses aanwijziing (26/01) DROP, permintaan tsel (tidak potensial) </v>
      </c>
      <c r="R798" s="228"/>
      <c r="S798" s="11"/>
      <c r="T798" s="11"/>
      <c r="U798" s="11"/>
      <c r="V798" s="229" t="str">
        <f>IFERROR(__xludf.DUMMYFUNCTION("""COMPUTED_VALUE"""),"M. ARIF HAMADI")</f>
        <v>M. ARIF HAMADI</v>
      </c>
      <c r="W798" s="229" t="str">
        <f>IFERROR(__xludf.DUMMYFUNCTION("""COMPUTED_VALUE"""),"MELKO NARWADI")</f>
        <v>MELKO NARWADI</v>
      </c>
      <c r="X798" s="229" t="str">
        <f>IFERROR(__xludf.DUMMYFUNCTION("""COMPUTED_VALUE"""),"BELUM GOLIVE")</f>
        <v>BELUM GOLIVE</v>
      </c>
      <c r="Y798" s="229"/>
      <c r="Z798" s="229" t="str">
        <f>IFERROR(__xludf.DUMMYFUNCTION("""COMPUTED_VALUE"""),"#N/A")</f>
        <v>#N/A</v>
      </c>
      <c r="AA798" s="229"/>
      <c r="AB798" s="229"/>
      <c r="AC798" s="229"/>
      <c r="AD798" s="232"/>
      <c r="AE798" s="233"/>
      <c r="AF798" s="54"/>
      <c r="AG798" s="54"/>
      <c r="AH798" s="54"/>
      <c r="AI798" s="55" t="str">
        <f t="shared" si="88"/>
        <v/>
      </c>
      <c r="AW798" s="234"/>
      <c r="BP798" s="11"/>
      <c r="BQ798" s="11"/>
      <c r="BR798" s="235"/>
      <c r="BV798" s="158"/>
      <c r="BY798" s="158"/>
      <c r="CB798" s="158"/>
    </row>
    <row r="799" ht="18.0" hidden="1" customHeight="1">
      <c r="A799" s="222">
        <f>IFERROR(__xludf.DUMMYFUNCTION("""COMPUTED_VALUE"""),2026.0)</f>
        <v>2026</v>
      </c>
      <c r="B799" s="221">
        <f>IFERROR(__xludf.DUMMYFUNCTION("""COMPUTED_VALUE"""),1.1976966E7)</f>
        <v>11976966</v>
      </c>
      <c r="C799" s="222" t="str">
        <f>IFERROR(__xludf.DUMMYFUNCTION("""COMPUTED_VALUE"""),"SMS P4I1 PT3 TAB FA D01 JLN BARU TAB")</f>
        <v>SMS P4I1 PT3 TAB FA D01 JLN BARU TAB</v>
      </c>
      <c r="D799" s="222" t="str">
        <f>IFERROR(__xludf.DUMMYFUNCTION("""COMPUTED_VALUE"""),"REGIONAL I")</f>
        <v>REGIONAL I</v>
      </c>
      <c r="E799" s="222" t="str">
        <f>IFERROR(__xludf.DUMMYFUNCTION("""COMPUTED_VALUE"""),"SUMSEL")</f>
        <v>SUMSEL</v>
      </c>
      <c r="F799" s="222" t="str">
        <f>IFERROR(__xludf.DUMMYFUNCTION("""COMPUTED_VALUE"""),"TAB")</f>
        <v>TAB</v>
      </c>
      <c r="G799" s="222" t="str">
        <f>IFERROR(__xludf.DUMMYFUNCTION("""COMPUTED_VALUE"""),"SUMBAGSEL")</f>
        <v>SUMBAGSEL</v>
      </c>
      <c r="H799" s="222" t="str">
        <f>IFERROR(__xludf.DUMMYFUNCTION("""COMPUTED_VALUE"""),"PALEMBANG")</f>
        <v>PALEMBANG</v>
      </c>
      <c r="I799" s="222" t="str">
        <f>IFERROR(__xludf.DUMMYFUNCTION("""COMPUTED_VALUE"""),"Batch 2")</f>
        <v>Batch 2</v>
      </c>
      <c r="J799" s="225">
        <f>IFERROR(__xludf.DUMMYFUNCTION("""COMPUTED_VALUE"""),2.0)</f>
        <v>2</v>
      </c>
      <c r="K799" s="224">
        <f>IFERROR(__xludf.DUMMYFUNCTION("""COMPUTED_VALUE"""),16.0)</f>
        <v>16</v>
      </c>
      <c r="L799" s="226">
        <f>IFERROR(__xludf.DUMMYFUNCTION("""COMPUTED_VALUE"""),1079785.0)</f>
        <v>1079785</v>
      </c>
      <c r="M799" s="227">
        <f>IFERROR(__xludf.DUMMYFUNCTION("""COMPUTED_VALUE"""),1.7276554E7)</f>
        <v>17276554</v>
      </c>
      <c r="N799" s="222" t="str">
        <f>IFERROR(__xludf.DUMMYFUNCTION("""COMPUTED_VALUE"""),"PT SARANA MITRA PERSADA")</f>
        <v>PT SARANA MITRA PERSADA</v>
      </c>
      <c r="O799" s="222" t="str">
        <f>IFERROR(__xludf.DUMMYFUNCTION("""COMPUTED_VALUE"""),"7. GOLIVE")</f>
        <v>7. GOLIVE</v>
      </c>
      <c r="P799" s="222" t="str">
        <f>IFERROR(__xludf.DUMMYFUNCTION("""COMPUTED_VALUE"""),"7.2 Golive Full / OA / DONE OTB")</f>
        <v>7.2 Golive Full / OA / DONE OTB</v>
      </c>
      <c r="Q799" s="222" t="str">
        <f>IFERROR(__xludf.DUMMYFUNCTION("""COMPUTED_VALUE"""),"11/03 GOLIVE, 10/03 MENUNGGU GOLIVE, 07/03 DONE SUBMIT ABD KE SDI, 06/03 OGP TERMINASI ODP, 05/03 OGP PEMASANGAN ODP, 04/03 OGP PEMASANGAN ODP, 03/03 PROGRESS PENANAMAN 8 TIANG, PENARIKAN KABEL 360M, PEMASANGAN AKSESORIS DAN PENGECATAN TIANG, 02/03 HARI I"&amp;"NI PROGRESS LAPANGAN, 27/02 MATERIAL ONSITE, 26/02 OGP AMBIL MATERIAL, 25/02 AMBIL MATERIAL TGL 26/2, 24/02 DONE RFC, OGP PENGAMBILAN MATERIAL, 23/02 MATERIAL DELIVERY, 22/2 menunggu material TIANG  20/02 DONE AMD TP BLM DI APPROVE KRNA MASIH MENUNGGU TIA"&amp;"NG DIGUDANG YG KOSONG, 16/02 PROSES AMD BUDGET KRNA OVER BUDGET, 15/02 DONE INPUT MATERIAL, 10/2 perubahan design menunggu confirm dari sales TSEL. , plan Matdel 13 FEB  09/02 DONE DRM, 6/2 proses create PID  31/01 menunggu DRM 30/01 DONE AANWIJZING, LANJ"&amp;"UT PROGRES, 25/01 DONE AANWIDJZING - PERIZINAN OK, (21/01) HI aanwjizng ke lokasi, (12/01) Penunjukkan mitra, (15/1) ORDER DITERIMA 14/1, PLAN AANWIJDZING 21 JAN 26 (06/01)order JPP batch-2 2026 ((14/11)HOLD-  tidak masuk target Optimis 2025 (23/10 penunj"&amp;"ukan mitra
14/01 penunjukan mitra oleh procurement")</f>
        <v>11/03 GOLIVE, 10/03 MENUNGGU GOLIVE, 07/03 DONE SUBMIT ABD KE SDI, 06/03 OGP TERMINASI ODP, 05/03 OGP PEMASANGAN ODP, 04/03 OGP PEMASANGAN ODP, 03/03 PROGRESS PENANAMAN 8 TIANG, PENARIKAN KABEL 360M, PEMASANGAN AKSESORIS DAN PENGECATAN TIANG, 02/03 HARI INI PROGRESS LAPANGAN, 27/02 MATERIAL ONSITE, 26/02 OGP AMBIL MATERIAL, 25/02 AMBIL MATERIAL TGL 26/2, 24/02 DONE RFC, OGP PENGAMBILAN MATERIAL, 23/02 MATERIAL DELIVERY, 22/2 menunggu material TIANG  20/02 DONE AMD TP BLM DI APPROVE KRNA MASIH MENUNGGU TIANG DIGUDANG YG KOSONG, 16/02 PROSES AMD BUDGET KRNA OVER BUDGET, 15/02 DONE INPUT MATERIAL, 10/2 perubahan design menunggu confirm dari sales TSEL. , plan Matdel 13 FEB  09/02 DONE DRM, 6/2 proses create PID  31/01 menunggu DRM 30/01 DONE AANWIJZING, LANJUT PROGRES, 25/01 DONE AANWIDJZING - PERIZINAN OK, (21/01) HI aanwjizng ke lokasi, (12/01) Penunjukkan mitra, (15/1) ORDER DITERIMA 14/1, PLAN AANWIJDZING 21 JAN 26 (06/01)order JPP batch-2 2026 ((14/11)HOLD-  tidak masuk target Optimis 2025 (23/10 penunjukan mitra
14/01 penunjukan mitra oleh procurement</v>
      </c>
      <c r="R799" s="228">
        <f>IFERROR(__xludf.DUMMYFUNCTION("""COMPUTED_VALUE"""),46089.0)</f>
        <v>46089</v>
      </c>
      <c r="S799" s="11" t="str">
        <f>IFERROR(__xludf.DUMMYFUNCTION("""COMPUTED_VALUE"""),"MAR")</f>
        <v>MAR</v>
      </c>
      <c r="T799" s="11"/>
      <c r="U799" s="11"/>
      <c r="V799" s="229" t="str">
        <f>IFERROR(__xludf.DUMMYFUNCTION("""COMPUTED_VALUE"""),"RENALDO")</f>
        <v>RENALDO</v>
      </c>
      <c r="W799" s="229"/>
      <c r="X799" s="229" t="str">
        <f>IFERROR(__xludf.DUMMYFUNCTION("""COMPUTED_VALUE"""),"GOLIVE")</f>
        <v>GOLIVE</v>
      </c>
      <c r="Y799" s="229" t="str">
        <f>IFERROR(__xludf.DUMMYFUNCTION("""COMPUTED_VALUE"""),"DONE")</f>
        <v>DONE</v>
      </c>
      <c r="Z799" s="229" t="str">
        <f>IFERROR(__xludf.DUMMYFUNCTION("""COMPUTED_VALUE"""),"#N/A")</f>
        <v>#N/A</v>
      </c>
      <c r="AA799" s="229">
        <f>IFERROR(__xludf.DUMMYFUNCTION("""COMPUTED_VALUE"""),2.0)</f>
        <v>2</v>
      </c>
      <c r="AB799" s="229"/>
      <c r="AC799" s="229" t="str">
        <f>IFERROR(__xludf.DUMMYFUNCTION("""COMPUTED_VALUE"""),"8939098#8939103")</f>
        <v>8939098#8939103</v>
      </c>
      <c r="AD799" s="232">
        <f>IFERROR(__xludf.DUMMYFUNCTION("""COMPUTED_VALUE"""),16.0)</f>
        <v>16</v>
      </c>
      <c r="AE799" s="233">
        <f>IFERROR(__xludf.DUMMYFUNCTION("""COMPUTED_VALUE"""),46089.0)</f>
        <v>46089</v>
      </c>
      <c r="AF799" s="54"/>
      <c r="AG799" s="54"/>
      <c r="AH799" s="54">
        <v>46089.0</v>
      </c>
      <c r="AI799" s="55">
        <f t="shared" si="88"/>
        <v>0</v>
      </c>
      <c r="AW799" s="234"/>
      <c r="BP799" s="11"/>
      <c r="BQ799" s="11"/>
      <c r="BR799" s="235"/>
      <c r="BV799" s="158"/>
      <c r="BY799" s="158"/>
      <c r="CB799" s="158"/>
    </row>
    <row r="800" ht="18.0" hidden="1" customHeight="1">
      <c r="A800" s="222">
        <f>IFERROR(__xludf.DUMMYFUNCTION("""COMPUTED_VALUE"""),2026.0)</f>
        <v>2026</v>
      </c>
      <c r="B800" s="221">
        <f>IFERROR(__xludf.DUMMYFUNCTION("""COMPUTED_VALUE"""),1.2245195E7)</f>
        <v>12245195</v>
      </c>
      <c r="C800" s="222" t="str">
        <f>IFERROR(__xludf.DUMMYFUNCTION("""COMPUTED_VALUE"""),"SMS P4I2 PT3 PGA FA D04 SUKAJADI DALAM")</f>
        <v>SMS P4I2 PT3 PGA FA D04 SUKAJADI DALAM</v>
      </c>
      <c r="D800" s="222" t="str">
        <f>IFERROR(__xludf.DUMMYFUNCTION("""COMPUTED_VALUE"""),"REGIONAL I")</f>
        <v>REGIONAL I</v>
      </c>
      <c r="E800" s="222" t="str">
        <f>IFERROR(__xludf.DUMMYFUNCTION("""COMPUTED_VALUE"""),"SUMSEL")</f>
        <v>SUMSEL</v>
      </c>
      <c r="F800" s="222" t="str">
        <f>IFERROR(__xludf.DUMMYFUNCTION("""COMPUTED_VALUE"""),"PGA")</f>
        <v>PGA</v>
      </c>
      <c r="G800" s="222" t="str">
        <f>IFERROR(__xludf.DUMMYFUNCTION("""COMPUTED_VALUE"""),"SUMBAGSEL")</f>
        <v>SUMBAGSEL</v>
      </c>
      <c r="H800" s="222" t="str">
        <f>IFERROR(__xludf.DUMMYFUNCTION("""COMPUTED_VALUE"""),"BENGKULU")</f>
        <v>BENGKULU</v>
      </c>
      <c r="I800" s="222" t="str">
        <f>IFERROR(__xludf.DUMMYFUNCTION("""COMPUTED_VALUE"""),"Batch 2")</f>
        <v>Batch 2</v>
      </c>
      <c r="J800" s="225">
        <f>IFERROR(__xludf.DUMMYFUNCTION("""COMPUTED_VALUE"""),5.0)</f>
        <v>5</v>
      </c>
      <c r="K800" s="224">
        <f>IFERROR(__xludf.DUMMYFUNCTION("""COMPUTED_VALUE"""),40.0)</f>
        <v>40</v>
      </c>
      <c r="L800" s="226">
        <f>IFERROR(__xludf.DUMMYFUNCTION("""COMPUTED_VALUE"""),1079626.0)</f>
        <v>1079626</v>
      </c>
      <c r="M800" s="227">
        <f>IFERROR(__xludf.DUMMYFUNCTION("""COMPUTED_VALUE"""),4.3185031E7)</f>
        <v>43185031</v>
      </c>
      <c r="N800" s="222" t="str">
        <f>IFERROR(__xludf.DUMMYFUNCTION("""COMPUTED_VALUE"""),"PT GITA PRIMA TAMBA PERKASA")</f>
        <v>PT GITA PRIMA TAMBA PERKASA</v>
      </c>
      <c r="O800" s="222" t="str">
        <f>IFERROR(__xludf.DUMMYFUNCTION("""COMPUTED_VALUE"""),"2. DONE AANWIJZING")</f>
        <v>2. DONE AANWIJZING</v>
      </c>
      <c r="P800" s="222" t="str">
        <f>IFERROR(__xludf.DUMMYFUNCTION("""COMPUTED_VALUE"""),"2.10 Kendala - Feeder Rusak")</f>
        <v>2.10 Kendala - Feeder Rusak</v>
      </c>
      <c r="Q800" s="222" t="str">
        <f>IFERROR(__xludf.DUMMYFUNCTION("""COMPUTED_VALUE"""),"16/04 : Konfimasih ke TIF terkait QE Feeder // 13/04 Masih Perhitungan QE nya dan redesain 09/04 butuh QE terkait feeder nya butuh QE, butuh hitung ulang nilai QE nya, 08/04 Done Aanwidzing Menunggu evaluasi 31/03 PERGANTIAN MITRA DARI HANSUNG KE GPTP, 25"&amp;"/03 masih mencari core UPlink - belum ada info, 09/03 masih mencari core UPlink - belum ada info, 08/03 KOORDINASI DG MITRA TERKAIT LOP INI YG MASUK KE BENGKULU, 03/03 masih mencari core UPlink - belum ada info, 27/02masih mencari core UPlink, 24/02masih "&amp;"mencari core UPlink 22/2 masih mencari core UPlink 06/02 HASIL REVIEW TSEL BLM ADA KEPUTUSAN, 15/01 done aanwizjing 2025, mau berkoordinasi dg tif untuk lanjut tidak nya lokasi ini 31/1 update dikirim mitra 2 FEB, tim OGP cek ke lokasi 29/01 Mini OLT Not "&amp;"Ready perlu dipastikan ketersediaan uplink untuk request mini OLT, (24/1) menungggu kepastian core untuk UPlink , plan 26 Jan (21/01) done aanwizjing, menunggu kelanjutan dri TIF untuk lanjut pekerjaan ini, karena CSF dan masuk ke ruas pu nasional(12/01) "&amp;"menunggu kelanjutan dri TIF untuk lanjut pekerjaan ini, karena CSF dan masuk ke ruas pu nasional, (07/01) Persiapan (06/01)order JPP batch-2 2026 (04/11 hold (butuh mini olt) 5/10 aanwizjing done, pembuatan data update lapangan
 08/10 menunggu jadwal aanw"&amp;"izjing
 (01/10) menunggu jadwal aanwijzing
 14/01 sudah penunjukan mitra oleh procurement\")</f>
        <v>16/04 : Konfimasih ke TIF terkait QE Feeder // 13/04 Masih Perhitungan QE nya dan redesain 09/04 butuh QE terkait feeder nya butuh QE, butuh hitung ulang nilai QE nya, 08/04 Done Aanwidzing Menunggu evaluasi 31/03 PERGANTIAN MITRA DARI HANSUNG KE GPTP, 25/03 masih mencari core UPlink - belum ada info, 09/03 masih mencari core UPlink - belum ada info, 08/03 KOORDINASI DG MITRA TERKAIT LOP INI YG MASUK KE BENGKULU, 03/03 masih mencari core UPlink - belum ada info, 27/02masih mencari core UPlink, 24/02masih mencari core UPlink 22/2 masih mencari core UPlink 06/02 HASIL REVIEW TSEL BLM ADA KEPUTUSAN, 15/01 done aanwizjing 2025, mau berkoordinasi dg tif untuk lanjut tidak nya lokasi ini 31/1 update dikirim mitra 2 FEB, tim OGP cek ke lokasi 29/01 Mini OLT Not Ready perlu dipastikan ketersediaan uplink untuk request mini OLT, (24/1) menungggu kepastian core untuk UPlink , plan 26 Jan (21/01) done aanwizjing, menunggu kelanjutan dri TIF untuk lanjut pekerjaan ini, karena CSF dan masuk ke ruas pu nasional(12/01) menunggu kelanjutan dri TIF untuk lanjut pekerjaan ini, karena CSF dan masuk ke ruas pu nasional, (07/01) Persiapan (06/01)order JPP batch-2 2026 (04/11 hold (butuh mini olt) 5/10 aanwizjing done, pembuatan data update lapangan
 08/10 menunggu jadwal aanwizjing
 (01/10) menunggu jadwal aanwijzing
 14/01 sudah penunjukan mitra oleh procurement\</v>
      </c>
      <c r="R800" s="228"/>
      <c r="S800" s="11"/>
      <c r="T800" s="11"/>
      <c r="U800" s="11"/>
      <c r="V800" s="229" t="str">
        <f>IFERROR(__xludf.DUMMYFUNCTION("""COMPUTED_VALUE"""),"PUTRA")</f>
        <v>PUTRA</v>
      </c>
      <c r="W800" s="229"/>
      <c r="X800" s="229" t="str">
        <f>IFERROR(__xludf.DUMMYFUNCTION("""COMPUTED_VALUE"""),"BELUM GOLIVE")</f>
        <v>BELUM GOLIVE</v>
      </c>
      <c r="Y800" s="229"/>
      <c r="Z800" s="229" t="str">
        <f>IFERROR(__xludf.DUMMYFUNCTION("""COMPUTED_VALUE"""),"#N/A")</f>
        <v>#N/A</v>
      </c>
      <c r="AA800" s="229"/>
      <c r="AB800" s="229"/>
      <c r="AC800" s="229"/>
      <c r="AD800" s="232"/>
      <c r="AE800" s="233"/>
      <c r="AF800" s="54"/>
      <c r="AG800" s="54"/>
      <c r="AH800" s="54"/>
      <c r="AI800" s="55" t="str">
        <f t="shared" si="88"/>
        <v/>
      </c>
      <c r="AW800" s="234"/>
      <c r="BP800" s="11"/>
      <c r="BQ800" s="11"/>
      <c r="BR800" s="235"/>
      <c r="BV800" s="158"/>
      <c r="BY800" s="158"/>
      <c r="CB800" s="158"/>
    </row>
    <row r="801" ht="18.0" hidden="1" customHeight="1">
      <c r="A801" s="222">
        <f>IFERROR(__xludf.DUMMYFUNCTION("""COMPUTED_VALUE"""),2026.0)</f>
        <v>2026</v>
      </c>
      <c r="B801" s="221">
        <f>IFERROR(__xludf.DUMMYFUNCTION("""COMPUTED_VALUE"""),1.113142E7)</f>
        <v>11131420</v>
      </c>
      <c r="C801" s="222" t="str">
        <f>IFERROR(__xludf.DUMMYFUNCTION("""COMPUTED_VALUE"""),"MDN PT3 TMU-FR JL.USMAN SIDIK GG.MAKMUR_")</f>
        <v>MDN PT3 TMU-FR JL.USMAN SIDIK GG.MAKMUR_</v>
      </c>
      <c r="D801" s="222" t="str">
        <f>IFERROR(__xludf.DUMMYFUNCTION("""COMPUTED_VALUE"""),"REGIONAL I")</f>
        <v>REGIONAL I</v>
      </c>
      <c r="E801" s="222" t="str">
        <f>IFERROR(__xludf.DUMMYFUNCTION("""COMPUTED_VALUE"""),"MEDAN")</f>
        <v>MEDAN</v>
      </c>
      <c r="F801" s="222" t="str">
        <f>IFERROR(__xludf.DUMMYFUNCTION("""COMPUTED_VALUE"""),"TMU")</f>
        <v>TMU</v>
      </c>
      <c r="G801" s="222" t="str">
        <f>IFERROR(__xludf.DUMMYFUNCTION("""COMPUTED_VALUE"""),"SUMBAGUT")</f>
        <v>SUMBAGUT</v>
      </c>
      <c r="H801" s="222" t="str">
        <f>IFERROR(__xludf.DUMMYFUNCTION("""COMPUTED_VALUE"""),"MEDAN")</f>
        <v>MEDAN</v>
      </c>
      <c r="I801" s="222" t="str">
        <f>IFERROR(__xludf.DUMMYFUNCTION("""COMPUTED_VALUE"""),"Batch 2")</f>
        <v>Batch 2</v>
      </c>
      <c r="J801" s="225">
        <f>IFERROR(__xludf.DUMMYFUNCTION("""COMPUTED_VALUE"""),2.0)</f>
        <v>2</v>
      </c>
      <c r="K801" s="224">
        <f>IFERROR(__xludf.DUMMYFUNCTION("""COMPUTED_VALUE"""),16.0)</f>
        <v>16</v>
      </c>
      <c r="L801" s="226">
        <f>IFERROR(__xludf.DUMMYFUNCTION("""COMPUTED_VALUE"""),1079164.0)</f>
        <v>1079164</v>
      </c>
      <c r="M801" s="227">
        <f>IFERROR(__xludf.DUMMYFUNCTION("""COMPUTED_VALUE"""),1.7266614E7)</f>
        <v>17266614</v>
      </c>
      <c r="N801" s="222" t="str">
        <f>IFERROR(__xludf.DUMMYFUNCTION("""COMPUTED_VALUE"""),"PT SALTTEK DUMPANG JAYA")</f>
        <v>PT SALTTEK DUMPANG JAYA</v>
      </c>
      <c r="O801" s="222" t="str">
        <f>IFERROR(__xludf.DUMMYFUNCTION("""COMPUTED_VALUE"""),"0. DROP")</f>
        <v>0. DROP</v>
      </c>
      <c r="P801" s="222" t="str">
        <f>IFERROR(__xludf.DUMMYFUNCTION("""COMPUTED_VALUE"""),"0.2 Tidak Dapat Izin Warga/Kades/Lurah/Developer")</f>
        <v>0.2 Tidak Dapat Izin Warga/Kades/Lurah/Developer</v>
      </c>
      <c r="Q801" s="222" t="str">
        <f>IFERROR(__xludf.DUMMYFUNCTION("""COMPUTED_VALUE"""),"21/04 high cpp comcase 10 JT
11/03 pengurusan izin ke kades 27/02 done order")</f>
        <v>21/04 high cpp comcase 10 JT
11/03 pengurusan izin ke kades 27/02 done order</v>
      </c>
      <c r="R801" s="228"/>
      <c r="S801" s="11"/>
      <c r="T801" s="73"/>
      <c r="U801" s="11"/>
      <c r="V801" s="229" t="str">
        <f>IFERROR(__xludf.DUMMYFUNCTION("""COMPUTED_VALUE"""),"28/Apr/2026")</f>
        <v>28/Apr/2026</v>
      </c>
      <c r="W801" s="229"/>
      <c r="X801" s="229" t="str">
        <f>IFERROR(__xludf.DUMMYFUNCTION("""COMPUTED_VALUE"""),"BELUM GOLIVE")</f>
        <v>BELUM GOLIVE</v>
      </c>
      <c r="Y801" s="229"/>
      <c r="Z801" s="229" t="str">
        <f>IFERROR(__xludf.DUMMYFUNCTION("""COMPUTED_VALUE"""),"#N/A")</f>
        <v>#N/A</v>
      </c>
      <c r="AA801" s="229"/>
      <c r="AB801" s="229"/>
      <c r="AC801" s="229"/>
      <c r="AD801" s="232"/>
      <c r="AE801" s="233"/>
      <c r="AF801" s="54"/>
      <c r="AG801" s="54"/>
      <c r="AH801" s="54"/>
      <c r="AI801" s="55" t="str">
        <f t="shared" si="88"/>
        <v/>
      </c>
      <c r="AW801" s="234"/>
      <c r="BP801" s="11"/>
      <c r="BQ801" s="11"/>
      <c r="BR801" s="235"/>
      <c r="BV801" s="158"/>
      <c r="BY801" s="158"/>
      <c r="CB801" s="158"/>
    </row>
    <row r="802" ht="18.0" hidden="1" customHeight="1">
      <c r="A802" s="222">
        <f>IFERROR(__xludf.DUMMYFUNCTION("""COMPUTED_VALUE"""),2026.0)</f>
        <v>2026</v>
      </c>
      <c r="B802" s="221">
        <f>IFERROR(__xludf.DUMMYFUNCTION("""COMPUTED_VALUE"""),1.1498633E7)</f>
        <v>11498633</v>
      </c>
      <c r="C802" s="222" t="str">
        <f>IFERROR(__xludf.DUMMYFUNCTION("""COMPUTED_VALUE"""),"SMS P3I1 PT3 TAM FM D04 TERUSAN MANDALA")</f>
        <v>SMS P3I1 PT3 TAM FM D04 TERUSAN MANDALA</v>
      </c>
      <c r="D802" s="222" t="str">
        <f>IFERROR(__xludf.DUMMYFUNCTION("""COMPUTED_VALUE"""),"REGIONAL I")</f>
        <v>REGIONAL I</v>
      </c>
      <c r="E802" s="222" t="str">
        <f>IFERROR(__xludf.DUMMYFUNCTION("""COMPUTED_VALUE"""),"SUMSEL")</f>
        <v>SUMSEL</v>
      </c>
      <c r="F802" s="222" t="str">
        <f>IFERROR(__xludf.DUMMYFUNCTION("""COMPUTED_VALUE"""),"TAM")</f>
        <v>TAM</v>
      </c>
      <c r="G802" s="222" t="str">
        <f>IFERROR(__xludf.DUMMYFUNCTION("""COMPUTED_VALUE"""),"SUMBAGSEL")</f>
        <v>SUMBAGSEL</v>
      </c>
      <c r="H802" s="222" t="str">
        <f>IFERROR(__xludf.DUMMYFUNCTION("""COMPUTED_VALUE"""),"PALEMBANG")</f>
        <v>PALEMBANG</v>
      </c>
      <c r="I802" s="222" t="str">
        <f>IFERROR(__xludf.DUMMYFUNCTION("""COMPUTED_VALUE"""),"Batch 2")</f>
        <v>Batch 2</v>
      </c>
      <c r="J802" s="225">
        <f>IFERROR(__xludf.DUMMYFUNCTION("""COMPUTED_VALUE"""),6.0)</f>
        <v>6</v>
      </c>
      <c r="K802" s="224">
        <f>IFERROR(__xludf.DUMMYFUNCTION("""COMPUTED_VALUE"""),48.0)</f>
        <v>48</v>
      </c>
      <c r="L802" s="226">
        <f>IFERROR(__xludf.DUMMYFUNCTION("""COMPUTED_VALUE"""),1078877.0)</f>
        <v>1078877</v>
      </c>
      <c r="M802" s="227">
        <f>IFERROR(__xludf.DUMMYFUNCTION("""COMPUTED_VALUE"""),5.1786091E7)</f>
        <v>51786091</v>
      </c>
      <c r="N802" s="222" t="str">
        <f>IFERROR(__xludf.DUMMYFUNCTION("""COMPUTED_VALUE"""),"PT GARINDO TECHNO MANDIRI")</f>
        <v>PT GARINDO TECHNO MANDIRI</v>
      </c>
      <c r="O802" s="222" t="str">
        <f>IFERROR(__xludf.DUMMYFUNCTION("""COMPUTED_VALUE"""),"0. DROP")</f>
        <v>0. DROP</v>
      </c>
      <c r="P802" s="222" t="str">
        <f>IFERROR(__xludf.DUMMYFUNCTION("""COMPUTED_VALUE"""),"0.2 Tidak Dapat Izin Warga/Kades/Lurah/Developer")</f>
        <v>0.2 Tidak Dapat Izin Warga/Kades/Lurah/Developer</v>
      </c>
      <c r="Q802" s="222" t="str">
        <f>IFERROR(__xludf.DUMMYFUNCTION("""COMPUTED_VALUE"""),"10/03 DROP, stub feeder habis (21/01) DROP, karena stub core habis, 24/02 DROP, stub feeder habis (21/01) DROP, karena stub core habis (20/01) Stub Feeder Habis (15/1) MITRA GTM OVERLOAD (15/1) ORDER DITERIMA 14/1 , SUDAH ANWIJZING , SISA 5 CORE FEEDER RU"&amp;"SAK 1,2 KM DAN 1,5 KM DARI ODC , (06/01)order JPP batch-2 2026 ((14/11)HOLD- tidak masuk target Optimis 2025 ((08/11) SUDAH ANWIJZING , FEEDER 24 FULL , IDLE RUSAK . PERLU QE (5/11) menunggu jadwal aanwidzjing 23/10 penunjukan mitra")</f>
        <v>10/03 DROP, stub feeder habis (21/01) DROP, karena stub core habis, 24/02 DROP, stub feeder habis (21/01) DROP, karena stub core habis (20/01) Stub Feeder Habis (15/1) MITRA GTM OVERLOAD (15/1) ORDER DITERIMA 14/1 , SUDAH ANWIJZING , SISA 5 CORE FEEDER RUSAK 1,2 KM DAN 1,5 KM DARI ODC , (06/01)order JPP batch-2 2026 ((14/11)HOLD- tidak masuk target Optimis 2025 ((08/11) SUDAH ANWIJZING , FEEDER 24 FULL , IDLE RUSAK . PERLU QE (5/11) menunggu jadwal aanwidzjing 23/10 penunjukan mitra</v>
      </c>
      <c r="R802" s="228"/>
      <c r="S802" s="11"/>
      <c r="T802" s="11"/>
      <c r="U802" s="11"/>
      <c r="V802" s="229" t="str">
        <f>IFERROR(__xludf.DUMMYFUNCTION("""COMPUTED_VALUE"""),"ILHAM")</f>
        <v>ILHAM</v>
      </c>
      <c r="W802" s="229"/>
      <c r="X802" s="229" t="str">
        <f>IFERROR(__xludf.DUMMYFUNCTION("""COMPUTED_VALUE"""),"BELUM GOLIVE")</f>
        <v>BELUM GOLIVE</v>
      </c>
      <c r="Y802" s="229"/>
      <c r="Z802" s="229" t="str">
        <f>IFERROR(__xludf.DUMMYFUNCTION("""COMPUTED_VALUE"""),"#N/A")</f>
        <v>#N/A</v>
      </c>
      <c r="AA802" s="229"/>
      <c r="AB802" s="229"/>
      <c r="AC802" s="229"/>
      <c r="AD802" s="232"/>
      <c r="AE802" s="233"/>
      <c r="AF802" s="54" t="str">
        <f>IFERROR(__xludf.DUMMYFUNCTION("""COMPUTED_VALUE"""),"Draft BA DROP")</f>
        <v>Draft BA DROP</v>
      </c>
      <c r="AG802" s="54"/>
      <c r="AH802" s="54"/>
      <c r="AI802" s="55" t="str">
        <f t="shared" si="88"/>
        <v/>
      </c>
      <c r="AW802" s="234"/>
      <c r="BP802" s="11"/>
      <c r="BQ802" s="11"/>
      <c r="BR802" s="235"/>
      <c r="BV802" s="158"/>
      <c r="BY802" s="158"/>
      <c r="CB802" s="158"/>
    </row>
    <row r="803" ht="18.0" hidden="1" customHeight="1">
      <c r="A803" s="222">
        <f>IFERROR(__xludf.DUMMYFUNCTION("""COMPUTED_VALUE"""),2026.0)</f>
        <v>2026</v>
      </c>
      <c r="B803" s="221">
        <f>IFERROR(__xludf.DUMMYFUNCTION("""COMPUTED_VALUE"""),1.1861415E7)</f>
        <v>11861415</v>
      </c>
      <c r="C803" s="222" t="str">
        <f>IFERROR(__xludf.DUMMYFUNCTION("""COMPUTED_VALUE"""),"LPG PT3 JPP SIMPANG BATU NANGKOP KBI")</f>
        <v>LPG PT3 JPP SIMPANG BATU NANGKOP KBI</v>
      </c>
      <c r="D803" s="222" t="str">
        <f>IFERROR(__xludf.DUMMYFUNCTION("""COMPUTED_VALUE"""),"REGIONAL I")</f>
        <v>REGIONAL I</v>
      </c>
      <c r="E803" s="222" t="str">
        <f>IFERROR(__xludf.DUMMYFUNCTION("""COMPUTED_VALUE"""),"LAMPUNG")</f>
        <v>LAMPUNG</v>
      </c>
      <c r="F803" s="222" t="str">
        <f>IFERROR(__xludf.DUMMYFUNCTION("""COMPUTED_VALUE"""),"KBI")</f>
        <v>KBI</v>
      </c>
      <c r="G803" s="222" t="str">
        <f>IFERROR(__xludf.DUMMYFUNCTION("""COMPUTED_VALUE"""),"SUMBAGSEL")</f>
        <v>SUMBAGSEL</v>
      </c>
      <c r="H803" s="222" t="str">
        <f>IFERROR(__xludf.DUMMYFUNCTION("""COMPUTED_VALUE"""),"LAMPUNG")</f>
        <v>LAMPUNG</v>
      </c>
      <c r="I803" s="222" t="str">
        <f>IFERROR(__xludf.DUMMYFUNCTION("""COMPUTED_VALUE"""),"Batch 2")</f>
        <v>Batch 2</v>
      </c>
      <c r="J803" s="225">
        <f>IFERROR(__xludf.DUMMYFUNCTION("""COMPUTED_VALUE"""),8.0)</f>
        <v>8</v>
      </c>
      <c r="K803" s="224">
        <f>IFERROR(__xludf.DUMMYFUNCTION("""COMPUTED_VALUE"""),64.0)</f>
        <v>64</v>
      </c>
      <c r="L803" s="226">
        <f>IFERROR(__xludf.DUMMYFUNCTION("""COMPUTED_VALUE"""),1078783.0)</f>
        <v>1078783</v>
      </c>
      <c r="M803" s="227">
        <f>IFERROR(__xludf.DUMMYFUNCTION("""COMPUTED_VALUE"""),6.9042059E7)</f>
        <v>69042059</v>
      </c>
      <c r="N803" s="222" t="str">
        <f>IFERROR(__xludf.DUMMYFUNCTION("""COMPUTED_VALUE"""),"PT SARANA MITRA PERSADA")</f>
        <v>PT SARANA MITRA PERSADA</v>
      </c>
      <c r="O803" s="222" t="str">
        <f>IFERROR(__xludf.DUMMYFUNCTION("""COMPUTED_VALUE"""),"0. DROP")</f>
        <v>0. DROP</v>
      </c>
      <c r="P803" s="222" t="str">
        <f>IFERROR(__xludf.DUMMYFUNCTION("""COMPUTED_VALUE"""),"0.2 Tidak Dapat Izin Warga/Kades/Lurah/Developer")</f>
        <v>0.2 Tidak Dapat Izin Warga/Kades/Lurah/Developer</v>
      </c>
      <c r="Q803" s="222" t="str">
        <f>IFERROR(__xludf.DUMMYFUNCTION("""COMPUTED_VALUE"""),"14/1 Tidak Dapat Izin Dari Lurah")</f>
        <v>14/1 Tidak Dapat Izin Dari Lurah</v>
      </c>
      <c r="R803" s="228"/>
      <c r="S803" s="11"/>
      <c r="T803" s="11"/>
      <c r="U803" s="11" t="str">
        <f>IFERROR(__xludf.DUMMYFUNCTION("""COMPUTED_VALUE"""),"W02-546/2025")</f>
        <v>W02-546/2025</v>
      </c>
      <c r="V803" s="229"/>
      <c r="W803" s="229"/>
      <c r="X803" s="229" t="str">
        <f>IFERROR(__xludf.DUMMYFUNCTION("""COMPUTED_VALUE"""),"BELUM GOLIVE")</f>
        <v>BELUM GOLIVE</v>
      </c>
      <c r="Y803" s="229"/>
      <c r="Z803" s="229" t="str">
        <f>IFERROR(__xludf.DUMMYFUNCTION("""COMPUTED_VALUE"""),"#N/A")</f>
        <v>#N/A</v>
      </c>
      <c r="AA803" s="229"/>
      <c r="AB803" s="229"/>
      <c r="AC803" s="229"/>
      <c r="AD803" s="232"/>
      <c r="AE803" s="233"/>
      <c r="AF803" s="54" t="str">
        <f>IFERROR(__xludf.DUMMYFUNCTION("""COMPUTED_VALUE"""),"Draft BA DROP")</f>
        <v>Draft BA DROP</v>
      </c>
      <c r="AG803" s="54"/>
      <c r="AH803" s="54"/>
      <c r="AI803" s="55" t="str">
        <f t="shared" si="88"/>
        <v/>
      </c>
      <c r="AW803" s="234"/>
      <c r="BP803" s="11"/>
      <c r="BQ803" s="11"/>
      <c r="BR803" s="235"/>
      <c r="BV803" s="158"/>
      <c r="BY803" s="158"/>
      <c r="CB803" s="158"/>
    </row>
    <row r="804" ht="18.0" hidden="1" customHeight="1">
      <c r="A804" s="222">
        <f>IFERROR(__xludf.DUMMYFUNCTION("""COMPUTED_VALUE"""),2026.0)</f>
        <v>2026</v>
      </c>
      <c r="B804" s="221">
        <f>IFERROR(__xludf.DUMMYFUNCTION("""COMPUTED_VALUE"""),1.1187819E7)</f>
        <v>11187819</v>
      </c>
      <c r="C804" s="222" t="str">
        <f>IFERROR(__xludf.DUMMYFUNCTION("""COMPUTED_VALUE"""),"MDN PT3 P7I11 TTG-FCA KOM NEW CASTLE")</f>
        <v>MDN PT3 P7I11 TTG-FCA KOM NEW CASTLE</v>
      </c>
      <c r="D804" s="222" t="str">
        <f>IFERROR(__xludf.DUMMYFUNCTION("""COMPUTED_VALUE"""),"REGIONAL I")</f>
        <v>REGIONAL I</v>
      </c>
      <c r="E804" s="222" t="str">
        <f>IFERROR(__xludf.DUMMYFUNCTION("""COMPUTED_VALUE"""),"MEDAN")</f>
        <v>MEDAN</v>
      </c>
      <c r="F804" s="222" t="str">
        <f>IFERROR(__xludf.DUMMYFUNCTION("""COMPUTED_VALUE"""),"TTG")</f>
        <v>TTG</v>
      </c>
      <c r="G804" s="222" t="str">
        <f>IFERROR(__xludf.DUMMYFUNCTION("""COMPUTED_VALUE"""),"SUMBAGUT")</f>
        <v>SUMBAGUT</v>
      </c>
      <c r="H804" s="222" t="str">
        <f>IFERROR(__xludf.DUMMYFUNCTION("""COMPUTED_VALUE"""),"MEDAN")</f>
        <v>MEDAN</v>
      </c>
      <c r="I804" s="222" t="str">
        <f>IFERROR(__xludf.DUMMYFUNCTION("""COMPUTED_VALUE"""),"Batch 2")</f>
        <v>Batch 2</v>
      </c>
      <c r="J804" s="225">
        <f>IFERROR(__xludf.DUMMYFUNCTION("""COMPUTED_VALUE"""),2.0)</f>
        <v>2</v>
      </c>
      <c r="K804" s="224">
        <f>IFERROR(__xludf.DUMMYFUNCTION("""COMPUTED_VALUE"""),16.0)</f>
        <v>16</v>
      </c>
      <c r="L804" s="226">
        <f>IFERROR(__xludf.DUMMYFUNCTION("""COMPUTED_VALUE"""),778918.0)</f>
        <v>778918</v>
      </c>
      <c r="M804" s="227">
        <f>IFERROR(__xludf.DUMMYFUNCTION("""COMPUTED_VALUE"""),1.2462682E7)</f>
        <v>12462682</v>
      </c>
      <c r="N804" s="222" t="str">
        <f>IFERROR(__xludf.DUMMYFUNCTION("""COMPUTED_VALUE"""),"PT FAJAR MITRA KRIDA ABADI")</f>
        <v>PT FAJAR MITRA KRIDA ABADI</v>
      </c>
      <c r="O804" s="222" t="str">
        <f>IFERROR(__xludf.DUMMYFUNCTION("""COMPUTED_VALUE"""),"0. DROP")</f>
        <v>0. DROP</v>
      </c>
      <c r="P804" s="222" t="str">
        <f>IFERROR(__xludf.DUMMYFUNCTION("""COMPUTED_VALUE"""),"0.3 Feeder Full")</f>
        <v>0.3 Feeder Full</v>
      </c>
      <c r="Q804" s="222" t="str">
        <f>IFERROR(__xludf.DUMMYFUNCTION("""COMPUTED_VALUE"""),"08/03 Feeder Penuh 13/02 menunggu lop MDN PT4 TTG-FCA GRAND PAVILION_MD25 31/07 done BA drop
04/02 hasil evaluasi ada 3 core yg butuh sambung ulang namun pastikan dulu perizinannya| proses confirm ke cam 15/01 feeder tidak tembus 18/12 proses perizinan")</f>
        <v>08/03 Feeder Penuh 13/02 menunggu lop MDN PT4 TTG-FCA GRAND PAVILION_MD25 31/07 done BA drop
04/02 hasil evaluasi ada 3 core yg butuh sambung ulang namun pastikan dulu perizinannya| proses confirm ke cam 15/01 feeder tidak tembus 18/12 proses perizinan</v>
      </c>
      <c r="R804" s="228"/>
      <c r="S804" s="11"/>
      <c r="T804" s="11"/>
      <c r="U804" s="11"/>
      <c r="V804" s="229"/>
      <c r="W804" s="229"/>
      <c r="X804" s="229" t="str">
        <f>IFERROR(__xludf.DUMMYFUNCTION("""COMPUTED_VALUE"""),"BELUM GOLIVE")</f>
        <v>BELUM GOLIVE</v>
      </c>
      <c r="Y804" s="229"/>
      <c r="Z804" s="229" t="str">
        <f>IFERROR(__xludf.DUMMYFUNCTION("""COMPUTED_VALUE"""),"#N/A")</f>
        <v>#N/A</v>
      </c>
      <c r="AA804" s="229"/>
      <c r="AB804" s="229"/>
      <c r="AC804" s="229"/>
      <c r="AD804" s="232"/>
      <c r="AE804" s="233"/>
      <c r="AF804" s="54"/>
      <c r="AG804" s="54"/>
      <c r="AH804" s="54"/>
      <c r="AI804" s="55" t="str">
        <f t="shared" si="88"/>
        <v/>
      </c>
      <c r="AW804" s="234"/>
      <c r="BP804" s="11"/>
      <c r="BQ804" s="11"/>
      <c r="BR804" s="235"/>
      <c r="BV804" s="158"/>
      <c r="BY804" s="158"/>
      <c r="CB804" s="158"/>
    </row>
    <row r="805" ht="18.0" hidden="1" customHeight="1">
      <c r="A805" s="222">
        <f>IFERROR(__xludf.DUMMYFUNCTION("""COMPUTED_VALUE"""),2026.0)</f>
        <v>2026</v>
      </c>
      <c r="B805" s="221">
        <f>IFERROR(__xludf.DUMMYFUNCTION("""COMPUTED_VALUE"""),1.1188877E7)</f>
        <v>11188877</v>
      </c>
      <c r="C805" s="222" t="str">
        <f>IFERROR(__xludf.DUMMYFUNCTION("""COMPUTED_VALUE"""),"MDN PT3 P7I10 TJR-FT GG.ANUGERAH")</f>
        <v>MDN PT3 P7I10 TJR-FT GG.ANUGERAH</v>
      </c>
      <c r="D805" s="222" t="str">
        <f>IFERROR(__xludf.DUMMYFUNCTION("""COMPUTED_VALUE"""),"REGIONAL I")</f>
        <v>REGIONAL I</v>
      </c>
      <c r="E805" s="222" t="str">
        <f>IFERROR(__xludf.DUMMYFUNCTION("""COMPUTED_VALUE"""),"MEDAN")</f>
        <v>MEDAN</v>
      </c>
      <c r="F805" s="222" t="str">
        <f>IFERROR(__xludf.DUMMYFUNCTION("""COMPUTED_VALUE"""),"TJR")</f>
        <v>TJR</v>
      </c>
      <c r="G805" s="222" t="str">
        <f>IFERROR(__xludf.DUMMYFUNCTION("""COMPUTED_VALUE"""),"SUMBAGUT")</f>
        <v>SUMBAGUT</v>
      </c>
      <c r="H805" s="222" t="str">
        <f>IFERROR(__xludf.DUMMYFUNCTION("""COMPUTED_VALUE"""),"MEDAN")</f>
        <v>MEDAN</v>
      </c>
      <c r="I805" s="222" t="str">
        <f>IFERROR(__xludf.DUMMYFUNCTION("""COMPUTED_VALUE"""),"Batch 2")</f>
        <v>Batch 2</v>
      </c>
      <c r="J805" s="225">
        <f>IFERROR(__xludf.DUMMYFUNCTION("""COMPUTED_VALUE"""),1.0)</f>
        <v>1</v>
      </c>
      <c r="K805" s="224">
        <f>IFERROR(__xludf.DUMMYFUNCTION("""COMPUTED_VALUE"""),8.0)</f>
        <v>8</v>
      </c>
      <c r="L805" s="226">
        <f>IFERROR(__xludf.DUMMYFUNCTION("""COMPUTED_VALUE"""),1439081.0)</f>
        <v>1439081</v>
      </c>
      <c r="M805" s="227">
        <f>IFERROR(__xludf.DUMMYFUNCTION("""COMPUTED_VALUE"""),1.1512644E7)</f>
        <v>11512644</v>
      </c>
      <c r="N805" s="222" t="str">
        <f>IFERROR(__xludf.DUMMYFUNCTION("""COMPUTED_VALUE"""),"PT TEKNOLOGI KARYA MANDIRI")</f>
        <v>PT TEKNOLOGI KARYA MANDIRI</v>
      </c>
      <c r="O805" s="222" t="str">
        <f>IFERROR(__xludf.DUMMYFUNCTION("""COMPUTED_VALUE"""),"0. DROP")</f>
        <v>0. DROP</v>
      </c>
      <c r="P805" s="222" t="str">
        <f>IFERROR(__xludf.DUMMYFUNCTION("""COMPUTED_VALUE"""),"0.2 Tidak Dapat Izin Warga/Kades/Lurah/Developer")</f>
        <v>0.2 Tidak Dapat Izin Warga/Kades/Lurah/Developer</v>
      </c>
      <c r="Q805" s="222" t="str">
        <f>IFERROR(__xludf.DUMMYFUNCTION("""COMPUTED_VALUE"""),"10/02 tanam tiang tdk dapat izin warga
(07/01) Persiapan
24/11 proses perizinan")</f>
        <v>10/02 tanam tiang tdk dapat izin warga
(07/01) Persiapan
24/11 proses perizinan</v>
      </c>
      <c r="R805" s="228"/>
      <c r="S805" s="11"/>
      <c r="T805" s="11"/>
      <c r="U805" s="11"/>
      <c r="V805" s="229"/>
      <c r="W805" s="229"/>
      <c r="X805" s="229" t="str">
        <f>IFERROR(__xludf.DUMMYFUNCTION("""COMPUTED_VALUE"""),"BELUM GOLIVE")</f>
        <v>BELUM GOLIVE</v>
      </c>
      <c r="Y805" s="229"/>
      <c r="Z805" s="229" t="str">
        <f>IFERROR(__xludf.DUMMYFUNCTION("""COMPUTED_VALUE"""),"#N/A")</f>
        <v>#N/A</v>
      </c>
      <c r="AA805" s="229"/>
      <c r="AB805" s="229"/>
      <c r="AC805" s="229"/>
      <c r="AD805" s="232"/>
      <c r="AE805" s="233"/>
      <c r="AF805" s="54" t="str">
        <f>IFERROR(__xludf.DUMMYFUNCTION("""COMPUTED_VALUE"""),"Draft BA DROP")</f>
        <v>Draft BA DROP</v>
      </c>
      <c r="AG805" s="54"/>
      <c r="AH805" s="54"/>
      <c r="AI805" s="55" t="str">
        <f t="shared" si="88"/>
        <v/>
      </c>
      <c r="AW805" s="234"/>
      <c r="BP805" s="11"/>
      <c r="BQ805" s="11"/>
      <c r="BR805" s="235"/>
      <c r="BV805" s="158"/>
      <c r="BY805" s="158"/>
      <c r="CB805" s="158"/>
    </row>
    <row r="806" ht="18.0" hidden="1" customHeight="1">
      <c r="A806" s="222">
        <f>IFERROR(__xludf.DUMMYFUNCTION("""COMPUTED_VALUE"""),2026.0)</f>
        <v>2026</v>
      </c>
      <c r="B806" s="221">
        <f>IFERROR(__xludf.DUMMYFUNCTION("""COMPUTED_VALUE"""),1.1966321E7)</f>
        <v>11966321</v>
      </c>
      <c r="C806" s="222" t="str">
        <f>IFERROR(__xludf.DUMMYFUNCTION("""COMPUTED_VALUE"""),"LPG JPP MD PT3 LAMPUNG TIMUR_109652 WJA")</f>
        <v>LPG JPP MD PT3 LAMPUNG TIMUR_109652 WJA</v>
      </c>
      <c r="D806" s="222" t="str">
        <f>IFERROR(__xludf.DUMMYFUNCTION("""COMPUTED_VALUE"""),"REGIONAL I")</f>
        <v>REGIONAL I</v>
      </c>
      <c r="E806" s="222" t="str">
        <f>IFERROR(__xludf.DUMMYFUNCTION("""COMPUTED_VALUE"""),"LAMPUNG")</f>
        <v>LAMPUNG</v>
      </c>
      <c r="F806" s="222" t="str">
        <f>IFERROR(__xludf.DUMMYFUNCTION("""COMPUTED_VALUE"""),"WJA")</f>
        <v>WJA</v>
      </c>
      <c r="G806" s="222" t="str">
        <f>IFERROR(__xludf.DUMMYFUNCTION("""COMPUTED_VALUE"""),"SUMBAGSEL")</f>
        <v>SUMBAGSEL</v>
      </c>
      <c r="H806" s="222" t="str">
        <f>IFERROR(__xludf.DUMMYFUNCTION("""COMPUTED_VALUE"""),"LAMPUNG")</f>
        <v>LAMPUNG</v>
      </c>
      <c r="I806" s="222" t="str">
        <f>IFERROR(__xludf.DUMMYFUNCTION("""COMPUTED_VALUE"""),"Batch 2")</f>
        <v>Batch 2</v>
      </c>
      <c r="J806" s="225">
        <f>IFERROR(__xludf.DUMMYFUNCTION("""COMPUTED_VALUE"""),4.0)</f>
        <v>4</v>
      </c>
      <c r="K806" s="224">
        <f>IFERROR(__xludf.DUMMYFUNCTION("""COMPUTED_VALUE"""),32.0)</f>
        <v>32</v>
      </c>
      <c r="L806" s="226">
        <f>IFERROR(__xludf.DUMMYFUNCTION("""COMPUTED_VALUE"""),1076597.0)</f>
        <v>1076597</v>
      </c>
      <c r="M806" s="227">
        <f>IFERROR(__xludf.DUMMYFUNCTION("""COMPUTED_VALUE"""),3.4451095E7)</f>
        <v>34451095</v>
      </c>
      <c r="N806" s="222" t="str">
        <f>IFERROR(__xludf.DUMMYFUNCTION("""COMPUTED_VALUE"""),"PT FAJAR MITRA KRIDA ABADI")</f>
        <v>PT FAJAR MITRA KRIDA ABADI</v>
      </c>
      <c r="O806" s="222" t="str">
        <f>IFERROR(__xludf.DUMMYFUNCTION("""COMPUTED_VALUE"""),"7. GOLIVE")</f>
        <v>7. GOLIVE</v>
      </c>
      <c r="P806" s="222" t="str">
        <f>IFERROR(__xludf.DUMMYFUNCTION("""COMPUTED_VALUE"""),"7.2 Golive Full / OA / DONE OTB")</f>
        <v>7.2 Golive Full / OA / DONE OTB</v>
      </c>
      <c r="Q806" s="222" t="str">
        <f>IFERROR(__xludf.DUMMYFUNCTION("""COMPUTED_VALUE"""),"26/2 proses GOLIVE  25/2 VALID 4 26/2 
23/2 plan golive 24/2 20/2 finishing tarik kabel 
18/2 tarik kabell 100/1000, plan instalasi ODP 4 19 feb  (11/2) truk sudah sampai di WH lampung, namun ada kendala budget kurang 6/2 plan matdel ,ambil material 11 /2"&amp;" plan fi 18/2
4/2 stok material kosong ,estimasi tiba 07/2 
02/02 plan matdel 09/02, 
23/1 plan. matdel senin 26/1 
19/1 PLAN MATDEL SABTU TGL 24/1")</f>
        <v>26/2 proses GOLIVE  25/2 VALID 4 26/2 
23/2 plan golive 24/2 20/2 finishing tarik kabel 
18/2 tarik kabell 100/1000, plan instalasi ODP 4 19 feb  (11/2) truk sudah sampai di WH lampung, namun ada kendala budget kurang 6/2 plan matdel ,ambil material 11 /2 plan fi 18/2
4/2 stok material kosong ,estimasi tiba 07/2 
02/02 plan matdel 09/02, 
23/1 plan. matdel senin 26/1 
19/1 PLAN MATDEL SABTU TGL 24/1</v>
      </c>
      <c r="R806" s="228">
        <f>IFERROR(__xludf.DUMMYFUNCTION("""COMPUTED_VALUE"""),46080.0)</f>
        <v>46080</v>
      </c>
      <c r="S806" s="11"/>
      <c r="T806" s="11"/>
      <c r="U806" s="11" t="str">
        <f>IFERROR(__xludf.DUMMYFUNCTION("""COMPUTED_VALUE"""),"W02-688/2025")</f>
        <v>W02-688/2025</v>
      </c>
      <c r="V806" s="229"/>
      <c r="W806" s="229"/>
      <c r="X806" s="229" t="str">
        <f>IFERROR(__xludf.DUMMYFUNCTION("""COMPUTED_VALUE"""),"GOLIVE")</f>
        <v>GOLIVE</v>
      </c>
      <c r="Y806" s="229" t="str">
        <f>IFERROR(__xludf.DUMMYFUNCTION("""COMPUTED_VALUE"""),"DONE")</f>
        <v>DONE</v>
      </c>
      <c r="Z806" s="229" t="str">
        <f>IFERROR(__xludf.DUMMYFUNCTION("""COMPUTED_VALUE"""),"#N/A")</f>
        <v>#N/A</v>
      </c>
      <c r="AA806" s="229">
        <f>IFERROR(__xludf.DUMMYFUNCTION("""COMPUTED_VALUE"""),4.0)</f>
        <v>4</v>
      </c>
      <c r="AB806" s="229"/>
      <c r="AC806" s="229" t="str">
        <f>IFERROR(__xludf.DUMMYFUNCTION("""COMPUTED_VALUE"""),"8752782#8752787")</f>
        <v>8752782#8752787</v>
      </c>
      <c r="AD806" s="232">
        <f>IFERROR(__xludf.DUMMYFUNCTION("""COMPUTED_VALUE"""),32.0)</f>
        <v>32</v>
      </c>
      <c r="AE806" s="233">
        <f>IFERROR(__xludf.DUMMYFUNCTION("""COMPUTED_VALUE"""),46080.0)</f>
        <v>46080</v>
      </c>
      <c r="AF806" s="54"/>
      <c r="AG806" s="54"/>
      <c r="AH806" s="54">
        <v>46080.0</v>
      </c>
      <c r="AI806" s="55">
        <f t="shared" si="88"/>
        <v>0</v>
      </c>
      <c r="AW806" s="234"/>
      <c r="BP806" s="11"/>
      <c r="BQ806" s="11"/>
      <c r="BR806" s="235"/>
      <c r="BV806" s="158"/>
      <c r="BY806" s="158"/>
      <c r="CB806" s="158"/>
    </row>
    <row r="807" ht="18.0" hidden="1" customHeight="1">
      <c r="A807" s="222">
        <f>IFERROR(__xludf.DUMMYFUNCTION("""COMPUTED_VALUE"""),2026.0)</f>
        <v>2026</v>
      </c>
      <c r="B807" s="221">
        <f>IFERROR(__xludf.DUMMYFUNCTION("""COMPUTED_VALUE"""),1.1077206E7)</f>
        <v>11077206</v>
      </c>
      <c r="C807" s="222" t="str">
        <f>IFERROR(__xludf.DUMMYFUNCTION("""COMPUTED_VALUE"""),"MDN PT3 STB-FH JL.UTAMA HINAI")</f>
        <v>MDN PT3 STB-FH JL.UTAMA HINAI</v>
      </c>
      <c r="D807" s="222" t="str">
        <f>IFERROR(__xludf.DUMMYFUNCTION("""COMPUTED_VALUE"""),"REGIONAL I")</f>
        <v>REGIONAL I</v>
      </c>
      <c r="E807" s="222" t="str">
        <f>IFERROR(__xludf.DUMMYFUNCTION("""COMPUTED_VALUE"""),"MEDAN")</f>
        <v>MEDAN</v>
      </c>
      <c r="F807" s="222" t="str">
        <f>IFERROR(__xludf.DUMMYFUNCTION("""COMPUTED_VALUE"""),"STB")</f>
        <v>STB</v>
      </c>
      <c r="G807" s="222" t="str">
        <f>IFERROR(__xludf.DUMMYFUNCTION("""COMPUTED_VALUE"""),"SUMBAGUT")</f>
        <v>SUMBAGUT</v>
      </c>
      <c r="H807" s="222" t="str">
        <f>IFERROR(__xludf.DUMMYFUNCTION("""COMPUTED_VALUE"""),"BINJAI")</f>
        <v>BINJAI</v>
      </c>
      <c r="I807" s="222" t="str">
        <f>IFERROR(__xludf.DUMMYFUNCTION("""COMPUTED_VALUE"""),"Batch 2")</f>
        <v>Batch 2</v>
      </c>
      <c r="J807" s="225">
        <f>IFERROR(__xludf.DUMMYFUNCTION("""COMPUTED_VALUE"""),15.0)</f>
        <v>15</v>
      </c>
      <c r="K807" s="224">
        <f>IFERROR(__xludf.DUMMYFUNCTION("""COMPUTED_VALUE"""),120.0)</f>
        <v>120</v>
      </c>
      <c r="L807" s="226">
        <f>IFERROR(__xludf.DUMMYFUNCTION("""COMPUTED_VALUE"""),1074757.0)</f>
        <v>1074757</v>
      </c>
      <c r="M807" s="227">
        <f>IFERROR(__xludf.DUMMYFUNCTION("""COMPUTED_VALUE"""),1.28970729E8)</f>
        <v>128970729</v>
      </c>
      <c r="N807" s="222" t="str">
        <f>IFERROR(__xludf.DUMMYFUNCTION("""COMPUTED_VALUE"""),"PT KENCANA RAYA INDONESIA")</f>
        <v>PT KENCANA RAYA INDONESIA</v>
      </c>
      <c r="O807" s="222" t="str">
        <f>IFERROR(__xludf.DUMMYFUNCTION("""COMPUTED_VALUE"""),"2. DONE AANWIJZING")</f>
        <v>2. DONE AANWIJZING</v>
      </c>
      <c r="P807" s="222" t="str">
        <f>IFERROR(__xludf.DUMMYFUNCTION("""COMPUTED_VALUE"""),"2.10 Kendala - Feeder Rusak")</f>
        <v>2.10 Kendala - Feeder Rusak</v>
      </c>
      <c r="Q807" s="222" t="str">
        <f>IFERROR(__xludf.DUMMYFUNCTION("""COMPUTED_VALUE"""),"(13/02) feeder tidak tembus (07/01) Persiapan")</f>
        <v>(13/02) feeder tidak tembus (07/01) Persiapan</v>
      </c>
      <c r="R807" s="228"/>
      <c r="S807" s="11"/>
      <c r="T807" s="11"/>
      <c r="U807" s="11"/>
      <c r="V807" s="229"/>
      <c r="W807" s="229"/>
      <c r="X807" s="229" t="str">
        <f>IFERROR(__xludf.DUMMYFUNCTION("""COMPUTED_VALUE"""),"BELUM GOLIVE")</f>
        <v>BELUM GOLIVE</v>
      </c>
      <c r="Y807" s="229"/>
      <c r="Z807" s="229" t="str">
        <f>IFERROR(__xludf.DUMMYFUNCTION("""COMPUTED_VALUE"""),"#N/A")</f>
        <v>#N/A</v>
      </c>
      <c r="AA807" s="229"/>
      <c r="AB807" s="229"/>
      <c r="AC807" s="229"/>
      <c r="AD807" s="232"/>
      <c r="AE807" s="233"/>
      <c r="AF807" s="54"/>
      <c r="AG807" s="54"/>
      <c r="AH807" s="54"/>
      <c r="AI807" s="55" t="str">
        <f t="shared" si="88"/>
        <v/>
      </c>
      <c r="AW807" s="234"/>
      <c r="BP807" s="11"/>
      <c r="BQ807" s="11"/>
      <c r="BR807" s="235"/>
      <c r="BV807" s="158"/>
      <c r="BY807" s="158"/>
      <c r="CB807" s="158"/>
    </row>
    <row r="808" ht="18.0" hidden="1" customHeight="1">
      <c r="A808" s="222">
        <f>IFERROR(__xludf.DUMMYFUNCTION("""COMPUTED_VALUE"""),2026.0)</f>
        <v>2026</v>
      </c>
      <c r="B808" s="221">
        <f>IFERROR(__xludf.DUMMYFUNCTION("""COMPUTED_VALUE"""),1.1325942E7)</f>
        <v>11325942</v>
      </c>
      <c r="C808" s="222" t="str">
        <f>IFERROR(__xludf.DUMMYFUNCTION("""COMPUTED_VALUE"""),"MDN PT3 LBP-FU JL.PANTAI LABU KOTA")</f>
        <v>MDN PT3 LBP-FU JL.PANTAI LABU KOTA</v>
      </c>
      <c r="D808" s="222" t="str">
        <f>IFERROR(__xludf.DUMMYFUNCTION("""COMPUTED_VALUE"""),"REGIONAL I")</f>
        <v>REGIONAL I</v>
      </c>
      <c r="E808" s="222" t="str">
        <f>IFERROR(__xludf.DUMMYFUNCTION("""COMPUTED_VALUE"""),"MEDAN")</f>
        <v>MEDAN</v>
      </c>
      <c r="F808" s="222" t="str">
        <f>IFERROR(__xludf.DUMMYFUNCTION("""COMPUTED_VALUE"""),"LBP")</f>
        <v>LBP</v>
      </c>
      <c r="G808" s="222" t="str">
        <f>IFERROR(__xludf.DUMMYFUNCTION("""COMPUTED_VALUE"""),"SUMBAGUT")</f>
        <v>SUMBAGUT</v>
      </c>
      <c r="H808" s="222" t="str">
        <f>IFERROR(__xludf.DUMMYFUNCTION("""COMPUTED_VALUE"""),"MEDAN")</f>
        <v>MEDAN</v>
      </c>
      <c r="I808" s="222" t="str">
        <f>IFERROR(__xludf.DUMMYFUNCTION("""COMPUTED_VALUE"""),"Batch 2")</f>
        <v>Batch 2</v>
      </c>
      <c r="J808" s="225">
        <f>IFERROR(__xludf.DUMMYFUNCTION("""COMPUTED_VALUE"""),7.0)</f>
        <v>7</v>
      </c>
      <c r="K808" s="224">
        <f>IFERROR(__xludf.DUMMYFUNCTION("""COMPUTED_VALUE"""),56.0)</f>
        <v>56</v>
      </c>
      <c r="L808" s="226">
        <f>IFERROR(__xludf.DUMMYFUNCTION("""COMPUTED_VALUE"""),1245906.0)</f>
        <v>1245906</v>
      </c>
      <c r="M808" s="227">
        <f>IFERROR(__xludf.DUMMYFUNCTION("""COMPUTED_VALUE"""),6.9770697E7)</f>
        <v>69770697</v>
      </c>
      <c r="N808" s="222" t="str">
        <f>IFERROR(__xludf.DUMMYFUNCTION("""COMPUTED_VALUE"""),"PT BANGUN PRIMA SEMESTA")</f>
        <v>PT BANGUN PRIMA SEMESTA</v>
      </c>
      <c r="O808" s="222" t="str">
        <f>IFERROR(__xludf.DUMMYFUNCTION("""COMPUTED_VALUE"""),"7. GOLIVE")</f>
        <v>7. GOLIVE</v>
      </c>
      <c r="P808" s="222" t="str">
        <f>IFERROR(__xludf.DUMMYFUNCTION("""COMPUTED_VALUE"""),"7.2 Golive Full / OA / DONE OTB")</f>
        <v>7.2 Golive Full / OA / DONE OTB</v>
      </c>
      <c r="Q808" s="222" t="str">
        <f>IFERROR(__xludf.DUMMYFUNCTION("""COMPUTED_VALUE"""),"03/02 pengecekan abd mancore
(07/01) Persiapan")</f>
        <v>03/02 pengecekan abd mancore
(07/01) Persiapan</v>
      </c>
      <c r="R808" s="228">
        <f>IFERROR(__xludf.DUMMYFUNCTION("""COMPUTED_VALUE"""),46057.0)</f>
        <v>46057</v>
      </c>
      <c r="S808" s="11"/>
      <c r="T808" s="11"/>
      <c r="U808" s="11" t="str">
        <f>IFERROR(__xludf.DUMMYFUNCTION("""COMPUTED_VALUE"""),"W01-2239/2025")</f>
        <v>W01-2239/2025</v>
      </c>
      <c r="V808" s="229"/>
      <c r="W808" s="229"/>
      <c r="X808" s="229" t="str">
        <f>IFERROR(__xludf.DUMMYFUNCTION("""COMPUTED_VALUE"""),"GOLIVE")</f>
        <v>GOLIVE</v>
      </c>
      <c r="Y808" s="229" t="str">
        <f>IFERROR(__xludf.DUMMYFUNCTION("""COMPUTED_VALUE"""),"DONE")</f>
        <v>DONE</v>
      </c>
      <c r="Z808" s="229" t="str">
        <f>IFERROR(__xludf.DUMMYFUNCTION("""COMPUTED_VALUE"""),"#N/A")</f>
        <v>#N/A</v>
      </c>
      <c r="AA808" s="229">
        <f>IFERROR(__xludf.DUMMYFUNCTION("""COMPUTED_VALUE"""),7.0)</f>
        <v>7</v>
      </c>
      <c r="AB808" s="229">
        <f>IFERROR(__xludf.DUMMYFUNCTION("""COMPUTED_VALUE"""),0.0)</f>
        <v>0</v>
      </c>
      <c r="AC808" s="229" t="str">
        <f>IFERROR(__xludf.DUMMYFUNCTION("""COMPUTED_VALUE"""),"9060524#9060530")</f>
        <v>9060524#9060530</v>
      </c>
      <c r="AD808" s="232">
        <f>IFERROR(__xludf.DUMMYFUNCTION("""COMPUTED_VALUE"""),56.0)</f>
        <v>56</v>
      </c>
      <c r="AE808" s="233">
        <f>IFERROR(__xludf.DUMMYFUNCTION("""COMPUTED_VALUE"""),46057.0)</f>
        <v>46057</v>
      </c>
      <c r="AF808" s="54"/>
      <c r="AG808" s="54"/>
      <c r="AH808" s="54">
        <v>46057.0</v>
      </c>
      <c r="AI808" s="55">
        <f t="shared" si="88"/>
        <v>0</v>
      </c>
      <c r="AW808" s="234"/>
      <c r="BP808" s="11"/>
      <c r="BQ808" s="11"/>
      <c r="BR808" s="235"/>
      <c r="BV808" s="158"/>
      <c r="BY808" s="158"/>
      <c r="CB808" s="158"/>
    </row>
    <row r="809" ht="18.0" hidden="1" customHeight="1">
      <c r="A809" s="222">
        <f>IFERROR(__xludf.DUMMYFUNCTION("""COMPUTED_VALUE"""),2026.0)</f>
        <v>2026</v>
      </c>
      <c r="B809" s="221">
        <f>IFERROR(__xludf.DUMMYFUNCTION("""COMPUTED_VALUE"""),1.2128061E7)</f>
        <v>12128061</v>
      </c>
      <c r="C809" s="222" t="str">
        <f>IFERROR(__xludf.DUMMYFUNCTION("""COMPUTED_VALUE"""),"LPG PT3 JPP Villa Sumber Agung LKP")</f>
        <v>LPG PT3 JPP Villa Sumber Agung LKP</v>
      </c>
      <c r="D809" s="222" t="str">
        <f>IFERROR(__xludf.DUMMYFUNCTION("""COMPUTED_VALUE"""),"REGIONAL I")</f>
        <v>REGIONAL I</v>
      </c>
      <c r="E809" s="222" t="str">
        <f>IFERROR(__xludf.DUMMYFUNCTION("""COMPUTED_VALUE"""),"LAMPUNG")</f>
        <v>LAMPUNG</v>
      </c>
      <c r="F809" s="222" t="str">
        <f>IFERROR(__xludf.DUMMYFUNCTION("""COMPUTED_VALUE"""),"LKP")</f>
        <v>LKP</v>
      </c>
      <c r="G809" s="222" t="str">
        <f>IFERROR(__xludf.DUMMYFUNCTION("""COMPUTED_VALUE"""),"SUMBAGSEL")</f>
        <v>SUMBAGSEL</v>
      </c>
      <c r="H809" s="222" t="str">
        <f>IFERROR(__xludf.DUMMYFUNCTION("""COMPUTED_VALUE"""),"LAMPUNG")</f>
        <v>LAMPUNG</v>
      </c>
      <c r="I809" s="222" t="str">
        <f>IFERROR(__xludf.DUMMYFUNCTION("""COMPUTED_VALUE"""),"Batch 2")</f>
        <v>Batch 2</v>
      </c>
      <c r="J809" s="225">
        <f>IFERROR(__xludf.DUMMYFUNCTION("""COMPUTED_VALUE"""),8.0)</f>
        <v>8</v>
      </c>
      <c r="K809" s="224">
        <f>IFERROR(__xludf.DUMMYFUNCTION("""COMPUTED_VALUE"""),64.0)</f>
        <v>64</v>
      </c>
      <c r="L809" s="226">
        <f>IFERROR(__xludf.DUMMYFUNCTION("""COMPUTED_VALUE"""),1073923.0)</f>
        <v>1073923</v>
      </c>
      <c r="M809" s="227">
        <f>IFERROR(__xludf.DUMMYFUNCTION("""COMPUTED_VALUE"""),6.8731031E7)</f>
        <v>68731031</v>
      </c>
      <c r="N809" s="222" t="str">
        <f>IFERROR(__xludf.DUMMYFUNCTION("""COMPUTED_VALUE"""),"SWAKELOLA")</f>
        <v>SWAKELOLA</v>
      </c>
      <c r="O809" s="222" t="str">
        <f>IFERROR(__xludf.DUMMYFUNCTION("""COMPUTED_VALUE"""),"0. DROP")</f>
        <v>0. DROP</v>
      </c>
      <c r="P809" s="222" t="str">
        <f>IFERROR(__xludf.DUMMYFUNCTION("""COMPUTED_VALUE"""),"0.2 Tidak Dapat Izin Warga/Kades/Lurah/Developer")</f>
        <v>0.2 Tidak Dapat Izin Warga/Kades/Lurah/Developer</v>
      </c>
      <c r="Q809" s="222" t="str">
        <f>IFERROR(__xludf.DUMMYFUNCTION("""COMPUTED_VALUE"""),"23/2 TIDAK DAPAT IZIN DARI LURAH 11/2 tidak di ijinkan ,lurah meminta surat izin disperkim, diskominfo dan tata kota, 4/2 plan matdel 9/2
3/2 proses pengacekan core dan perizinan")</f>
        <v>23/2 TIDAK DAPAT IZIN DARI LURAH 11/2 tidak di ijinkan ,lurah meminta surat izin disperkim, diskominfo dan tata kota, 4/2 plan matdel 9/2
3/2 proses pengacekan core dan perizinan</v>
      </c>
      <c r="R809" s="228"/>
      <c r="S809" s="11"/>
      <c r="T809" s="11"/>
      <c r="U809" s="11"/>
      <c r="V809" s="229"/>
      <c r="W809" s="229"/>
      <c r="X809" s="229" t="str">
        <f>IFERROR(__xludf.DUMMYFUNCTION("""COMPUTED_VALUE"""),"BELUM GOLIVE")</f>
        <v>BELUM GOLIVE</v>
      </c>
      <c r="Y809" s="229"/>
      <c r="Z809" s="229" t="str">
        <f>IFERROR(__xludf.DUMMYFUNCTION("""COMPUTED_VALUE"""),"#N/A")</f>
        <v>#N/A</v>
      </c>
      <c r="AA809" s="229"/>
      <c r="AB809" s="229"/>
      <c r="AC809" s="229"/>
      <c r="AD809" s="232"/>
      <c r="AE809" s="233"/>
      <c r="AF809" s="54" t="str">
        <f>IFERROR(__xludf.DUMMYFUNCTION("""COMPUTED_VALUE"""),"Draft BA DROP")</f>
        <v>Draft BA DROP</v>
      </c>
      <c r="AG809" s="54"/>
      <c r="AH809" s="54"/>
      <c r="AI809" s="55" t="str">
        <f t="shared" si="88"/>
        <v/>
      </c>
      <c r="AW809" s="234"/>
      <c r="BP809" s="11"/>
      <c r="BQ809" s="11"/>
      <c r="BR809" s="235"/>
      <c r="BV809" s="158"/>
      <c r="BY809" s="158"/>
      <c r="CB809" s="158"/>
    </row>
    <row r="810" ht="18.0" hidden="1" customHeight="1">
      <c r="A810" s="222">
        <f>IFERROR(__xludf.DUMMYFUNCTION("""COMPUTED_VALUE"""),2026.0)</f>
        <v>2026</v>
      </c>
      <c r="B810" s="221">
        <f>IFERROR(__xludf.DUMMYFUNCTION("""COMPUTED_VALUE"""),1.242919E7)</f>
        <v>12429190</v>
      </c>
      <c r="C810" s="222" t="str">
        <f>IFERROR(__xludf.DUMMYFUNCTION("""COMPUTED_VALUE"""),"SMS P4I4 PT3 PDT FN D01 PELAMBOYAN GOLF")</f>
        <v>SMS P4I4 PT3 PDT FN D01 PELAMBOYAN GOLF</v>
      </c>
      <c r="D810" s="222" t="str">
        <f>IFERROR(__xludf.DUMMYFUNCTION("""COMPUTED_VALUE"""),"REGIONAL I")</f>
        <v>REGIONAL I</v>
      </c>
      <c r="E810" s="222" t="str">
        <f>IFERROR(__xludf.DUMMYFUNCTION("""COMPUTED_VALUE"""),"SUMSEL")</f>
        <v>SUMSEL</v>
      </c>
      <c r="F810" s="222" t="str">
        <f>IFERROR(__xludf.DUMMYFUNCTION("""COMPUTED_VALUE"""),"PDT")</f>
        <v>PDT</v>
      </c>
      <c r="G810" s="222" t="str">
        <f>IFERROR(__xludf.DUMMYFUNCTION("""COMPUTED_VALUE"""),"SUMBAGSEL")</f>
        <v>SUMBAGSEL</v>
      </c>
      <c r="H810" s="222" t="str">
        <f>IFERROR(__xludf.DUMMYFUNCTION("""COMPUTED_VALUE"""),"PALEMBANG")</f>
        <v>PALEMBANG</v>
      </c>
      <c r="I810" s="222" t="str">
        <f>IFERROR(__xludf.DUMMYFUNCTION("""COMPUTED_VALUE"""),"Batch 2")</f>
        <v>Batch 2</v>
      </c>
      <c r="J810" s="225">
        <f>IFERROR(__xludf.DUMMYFUNCTION("""COMPUTED_VALUE"""),4.0)</f>
        <v>4</v>
      </c>
      <c r="K810" s="224">
        <f>IFERROR(__xludf.DUMMYFUNCTION("""COMPUTED_VALUE"""),32.0)</f>
        <v>32</v>
      </c>
      <c r="L810" s="226">
        <f>IFERROR(__xludf.DUMMYFUNCTION("""COMPUTED_VALUE"""),1073057.0)</f>
        <v>1073057</v>
      </c>
      <c r="M810" s="227">
        <f>IFERROR(__xludf.DUMMYFUNCTION("""COMPUTED_VALUE"""),3.4337795E7)</f>
        <v>34337795</v>
      </c>
      <c r="N810" s="222" t="str">
        <f>IFERROR(__xludf.DUMMYFUNCTION("""COMPUTED_VALUE"""),"PT ACERO CETHA METALINDO")</f>
        <v>PT ACERO CETHA METALINDO</v>
      </c>
      <c r="O810" s="222" t="str">
        <f>IFERROR(__xludf.DUMMYFUNCTION("""COMPUTED_VALUE"""),"0. DROP")</f>
        <v>0. DROP</v>
      </c>
      <c r="P810" s="222" t="str">
        <f>IFERROR(__xludf.DUMMYFUNCTION("""COMPUTED_VALUE"""),"0.1 Double Order")</f>
        <v>0.1 Double Order</v>
      </c>
      <c r="Q810" s="222" t="str">
        <f>IFERROR(__xludf.DUMMYFUNCTION("""COMPUTED_VALUE"""),"10/03 DROP TERMASUK DG PEMBANGUNAN RISTA OKTAVIA,  23/02 DROP TERMASUK DG PEMBANGUNAN RISTA OKTAVIA,  06/02 HASIL REVIEW TSEL DROP, REDESAIN UNTK D ORDER KE BATCH SELANJUTNYA, 03/02 DONE EVAL, HOLD KARENA MENUNGGU PEMBANGUNAN DARI LOKASI SMS P3I1 PT3 PDT "&amp;"FN D02 RISTA OKTAVIA 03/02 DONE EVAL, HOLD KARENA MENUNGGU PEMBANGUNAN DARI LOKASI SMS P3I1 PT3 PDT FN D02 RISTA OKTAVIA, 25/01 DONE AANWIDJZING, 23/01 OGP AANWIDJZING, (21/01) menunggu antrian aanwizjing, (15/1) ORDER DITERIMA MITRA 14/1, plan Aanwijdzin"&amp;"g 19 Jan (06/01)order JPP batch-2 2026 ((14/11)HOLD- tidak masuk target Optimis 2025 (14/11 Penunjukkan MITRA oleh Procurement, (11/11) Penunjukkan MITRA oleh Procurement 
 14/01 penunjukan mitra oleh procurement")</f>
        <v>10/03 DROP TERMASUK DG PEMBANGUNAN RISTA OKTAVIA,  23/02 DROP TERMASUK DG PEMBANGUNAN RISTA OKTAVIA,  06/02 HASIL REVIEW TSEL DROP, REDESAIN UNTK D ORDER KE BATCH SELANJUTNYA, 03/02 DONE EVAL, HOLD KARENA MENUNGGU PEMBANGUNAN DARI LOKASI SMS P3I1 PT3 PDT FN D02 RISTA OKTAVIA 03/02 DONE EVAL, HOLD KARENA MENUNGGU PEMBANGUNAN DARI LOKASI SMS P3I1 PT3 PDT FN D02 RISTA OKTAVIA, 25/01 DONE AANWIDJZING, 23/01 OGP AANWIDJZING, (21/01) menunggu antrian aanwizjing, (15/1) ORDER DITERIMA MITRA 14/1, plan Aanwijdzing 19 Jan (06/01)order JPP batch-2 2026 ((14/11)HOLD- tidak masuk target Optimis 2025 (14/11 Penunjukkan MITRA oleh Procurement, (11/11) Penunjukkan MITRA oleh Procurement 
 14/01 penunjukan mitra oleh procurement</v>
      </c>
      <c r="R810" s="228"/>
      <c r="S810" s="11"/>
      <c r="T810" s="11"/>
      <c r="U810" s="11"/>
      <c r="V810" s="229" t="str">
        <f>IFERROR(__xludf.DUMMYFUNCTION("""COMPUTED_VALUE"""),"ILHAM")</f>
        <v>ILHAM</v>
      </c>
      <c r="W810" s="229"/>
      <c r="X810" s="229" t="str">
        <f>IFERROR(__xludf.DUMMYFUNCTION("""COMPUTED_VALUE"""),"BELUM GOLIVE")</f>
        <v>BELUM GOLIVE</v>
      </c>
      <c r="Y810" s="229"/>
      <c r="Z810" s="229" t="str">
        <f>IFERROR(__xludf.DUMMYFUNCTION("""COMPUTED_VALUE"""),"#N/A")</f>
        <v>#N/A</v>
      </c>
      <c r="AA810" s="229"/>
      <c r="AB810" s="229"/>
      <c r="AC810" s="229"/>
      <c r="AD810" s="232"/>
      <c r="AE810" s="233"/>
      <c r="AF810" s="54" t="str">
        <f>IFERROR(__xludf.DUMMYFUNCTION("""COMPUTED_VALUE"""),"Draft BA DROP")</f>
        <v>Draft BA DROP</v>
      </c>
      <c r="AG810" s="54"/>
      <c r="AH810" s="54"/>
      <c r="AI810" s="55" t="str">
        <f t="shared" si="88"/>
        <v/>
      </c>
      <c r="AW810" s="234"/>
      <c r="BP810" s="11"/>
      <c r="BQ810" s="11"/>
      <c r="BR810" s="235"/>
      <c r="BV810" s="158"/>
      <c r="BY810" s="158"/>
      <c r="CB810" s="158"/>
    </row>
    <row r="811" ht="18.0" hidden="1" customHeight="1">
      <c r="A811" s="222">
        <f>IFERROR(__xludf.DUMMYFUNCTION("""COMPUTED_VALUE"""),2026.0)</f>
        <v>2026</v>
      </c>
      <c r="B811" s="221">
        <f>IFERROR(__xludf.DUMMYFUNCTION("""COMPUTED_VALUE"""),1.2297329E7)</f>
        <v>12297329</v>
      </c>
      <c r="C811" s="222" t="str">
        <f>IFERROR(__xludf.DUMMYFUNCTION("""COMPUTED_VALUE"""),"BNK PT3 CRP FF JPPTSEL 46908_H2_2025")</f>
        <v>BNK PT3 CRP FF JPPTSEL 46908_H2_2025</v>
      </c>
      <c r="D811" s="222" t="str">
        <f>IFERROR(__xludf.DUMMYFUNCTION("""COMPUTED_VALUE"""),"REGIONAL I")</f>
        <v>REGIONAL I</v>
      </c>
      <c r="E811" s="222" t="str">
        <f>IFERROR(__xludf.DUMMYFUNCTION("""COMPUTED_VALUE"""),"BENGKULU")</f>
        <v>BENGKULU</v>
      </c>
      <c r="F811" s="222" t="str">
        <f>IFERROR(__xludf.DUMMYFUNCTION("""COMPUTED_VALUE"""),"CRP")</f>
        <v>CRP</v>
      </c>
      <c r="G811" s="222" t="str">
        <f>IFERROR(__xludf.DUMMYFUNCTION("""COMPUTED_VALUE"""),"SUMBAGSEL")</f>
        <v>SUMBAGSEL</v>
      </c>
      <c r="H811" s="222" t="str">
        <f>IFERROR(__xludf.DUMMYFUNCTION("""COMPUTED_VALUE"""),"BENGKULU")</f>
        <v>BENGKULU</v>
      </c>
      <c r="I811" s="222" t="str">
        <f>IFERROR(__xludf.DUMMYFUNCTION("""COMPUTED_VALUE"""),"Batch 2")</f>
        <v>Batch 2</v>
      </c>
      <c r="J811" s="225">
        <f>IFERROR(__xludf.DUMMYFUNCTION("""COMPUTED_VALUE"""),8.0)</f>
        <v>8</v>
      </c>
      <c r="K811" s="224">
        <f>IFERROR(__xludf.DUMMYFUNCTION("""COMPUTED_VALUE"""),64.0)</f>
        <v>64</v>
      </c>
      <c r="L811" s="226">
        <f>IFERROR(__xludf.DUMMYFUNCTION("""COMPUTED_VALUE"""),1070862.0)</f>
        <v>1070862</v>
      </c>
      <c r="M811" s="227">
        <f>IFERROR(__xludf.DUMMYFUNCTION("""COMPUTED_VALUE"""),6.8535158E7)</f>
        <v>68535158</v>
      </c>
      <c r="N811" s="222" t="str">
        <f>IFERROR(__xludf.DUMMYFUNCTION("""COMPUTED_VALUE"""),"PT TELAGA RESTU ABADI")</f>
        <v>PT TELAGA RESTU ABADI</v>
      </c>
      <c r="O811" s="222" t="str">
        <f>IFERROR(__xludf.DUMMYFUNCTION("""COMPUTED_VALUE"""),"0. DROP")</f>
        <v>0. DROP</v>
      </c>
      <c r="P811" s="222" t="str">
        <f>IFERROR(__xludf.DUMMYFUNCTION("""COMPUTED_VALUE"""),"0.3 Feeder Full")</f>
        <v>0.3 Feeder Full</v>
      </c>
      <c r="Q811" s="222" t="str">
        <f>IFERROR(__xludf.DUMMYFUNCTION("""COMPUTED_VALUE"""),"02/03 : Feeder  full ")</f>
        <v>02/03 : Feeder  full </v>
      </c>
      <c r="R811" s="228"/>
      <c r="S811" s="11"/>
      <c r="T811" s="11"/>
      <c r="U811" s="11"/>
      <c r="V811" s="229"/>
      <c r="W811" s="229"/>
      <c r="X811" s="229" t="str">
        <f>IFERROR(__xludf.DUMMYFUNCTION("""COMPUTED_VALUE"""),"BELUM GOLIVE")</f>
        <v>BELUM GOLIVE</v>
      </c>
      <c r="Y811" s="229"/>
      <c r="Z811" s="229" t="str">
        <f>IFERROR(__xludf.DUMMYFUNCTION("""COMPUTED_VALUE"""),"#N/A")</f>
        <v>#N/A</v>
      </c>
      <c r="AA811" s="229"/>
      <c r="AB811" s="229"/>
      <c r="AC811" s="229"/>
      <c r="AD811" s="232"/>
      <c r="AE811" s="233"/>
      <c r="AF811" s="54" t="str">
        <f>IFERROR(__xludf.DUMMYFUNCTION("""COMPUTED_VALUE"""),"Draft BA DROP")</f>
        <v>Draft BA DROP</v>
      </c>
      <c r="AG811" s="54"/>
      <c r="AH811" s="54"/>
      <c r="AI811" s="55" t="str">
        <f t="shared" si="88"/>
        <v/>
      </c>
      <c r="AW811" s="234"/>
      <c r="BP811" s="11"/>
      <c r="BQ811" s="11"/>
      <c r="BR811" s="235"/>
      <c r="BV811" s="158"/>
      <c r="BY811" s="158"/>
      <c r="CB811" s="158"/>
    </row>
    <row r="812" ht="18.0" hidden="1" customHeight="1">
      <c r="A812" s="222">
        <f>IFERROR(__xludf.DUMMYFUNCTION("""COMPUTED_VALUE"""),2026.0)</f>
        <v>2026</v>
      </c>
      <c r="B812" s="221">
        <f>IFERROR(__xludf.DUMMYFUNCTION("""COMPUTED_VALUE"""),1.1390801E7)</f>
        <v>11390801</v>
      </c>
      <c r="C812" s="222" t="str">
        <f>IFERROR(__xludf.DUMMYFUNCTION("""COMPUTED_VALUE"""),"ACH PT3 SUS-FF D03 SIKELONDANG")</f>
        <v>ACH PT3 SUS-FF D03 SIKELONDANG</v>
      </c>
      <c r="D812" s="222" t="str">
        <f>IFERROR(__xludf.DUMMYFUNCTION("""COMPUTED_VALUE"""),"REGIONAL I")</f>
        <v>REGIONAL I</v>
      </c>
      <c r="E812" s="222" t="str">
        <f>IFERROR(__xludf.DUMMYFUNCTION("""COMPUTED_VALUE"""),"ACEH")</f>
        <v>ACEH</v>
      </c>
      <c r="F812" s="222" t="str">
        <f>IFERROR(__xludf.DUMMYFUNCTION("""COMPUTED_VALUE"""),"SUS")</f>
        <v>SUS</v>
      </c>
      <c r="G812" s="222" t="str">
        <f>IFERROR(__xludf.DUMMYFUNCTION("""COMPUTED_VALUE"""),"SUMBAGUT")</f>
        <v>SUMBAGUT</v>
      </c>
      <c r="H812" s="222" t="str">
        <f>IFERROR(__xludf.DUMMYFUNCTION("""COMPUTED_VALUE"""),"BANDA ACEH")</f>
        <v>BANDA ACEH</v>
      </c>
      <c r="I812" s="222" t="str">
        <f>IFERROR(__xludf.DUMMYFUNCTION("""COMPUTED_VALUE"""),"Batch 2")</f>
        <v>Batch 2</v>
      </c>
      <c r="J812" s="225">
        <f>IFERROR(__xludf.DUMMYFUNCTION("""COMPUTED_VALUE"""),19.0)</f>
        <v>19</v>
      </c>
      <c r="K812" s="224">
        <f>IFERROR(__xludf.DUMMYFUNCTION("""COMPUTED_VALUE"""),152.0)</f>
        <v>152</v>
      </c>
      <c r="L812" s="226">
        <f>IFERROR(__xludf.DUMMYFUNCTION("""COMPUTED_VALUE"""),1070188.0)</f>
        <v>1070188</v>
      </c>
      <c r="M812" s="227">
        <f>IFERROR(__xludf.DUMMYFUNCTION("""COMPUTED_VALUE"""),1.62668478E8)</f>
        <v>162668478</v>
      </c>
      <c r="N812" s="222" t="str">
        <f>IFERROR(__xludf.DUMMYFUNCTION("""COMPUTED_VALUE"""),"PT ARA PAYA INTAN")</f>
        <v>PT ARA PAYA INTAN</v>
      </c>
      <c r="O812" s="222" t="str">
        <f>IFERROR(__xludf.DUMMYFUNCTION("""COMPUTED_VALUE"""),"7. GOLIVE")</f>
        <v>7. GOLIVE</v>
      </c>
      <c r="P812" s="222" t="str">
        <f>IFERROR(__xludf.DUMMYFUNCTION("""COMPUTED_VALUE"""),"7.2 Golive Full / OA / DONE OTB")</f>
        <v>7.2 Golive Full / OA / DONE OTB</v>
      </c>
      <c r="Q812" s="222" t="str">
        <f>IFERROR(__xludf.DUMMYFUNCTION("""COMPUTED_VALUE"""),"(16/03) Penarikan Kabel (10/03) Tanam Tiang (02/03)  Tanam TIang (24/02) DelMat (06/02) delmat (29/01) Done Aanwijzing (07/01) Persiapan")</f>
        <v>(16/03) Penarikan Kabel (10/03) Tanam Tiang (02/03)  Tanam TIang (24/02) DelMat (06/02) delmat (29/01) Done Aanwijzing (07/01) Persiapan</v>
      </c>
      <c r="R812" s="228">
        <f>IFERROR(__xludf.DUMMYFUNCTION("""COMPUTED_VALUE"""),46117.0)</f>
        <v>46117</v>
      </c>
      <c r="S812" s="11" t="str">
        <f>IFERROR(__xludf.DUMMYFUNCTION("""COMPUTED_VALUE"""),"MAR")</f>
        <v>MAR</v>
      </c>
      <c r="T812" s="11"/>
      <c r="U812" s="11" t="str">
        <f>IFERROR(__xludf.DUMMYFUNCTION("""COMPUTED_VALUE"""),"W04-940/2025")</f>
        <v>W04-940/2025</v>
      </c>
      <c r="V812" s="229"/>
      <c r="W812" s="229" t="str">
        <f>IFERROR(__xludf.DUMMYFUNCTION("""COMPUTED_VALUE"""),"#N/A")</f>
        <v>#N/A</v>
      </c>
      <c r="X812" s="229" t="str">
        <f>IFERROR(__xludf.DUMMYFUNCTION("""COMPUTED_VALUE"""),"GOLIVE")</f>
        <v>GOLIVE</v>
      </c>
      <c r="Y812" s="229" t="str">
        <f>IFERROR(__xludf.DUMMYFUNCTION("""COMPUTED_VALUE"""),"DONE")</f>
        <v>DONE</v>
      </c>
      <c r="Z812" s="229" t="str">
        <f>IFERROR(__xludf.DUMMYFUNCTION("""COMPUTED_VALUE"""),"#N/A")</f>
        <v>#N/A</v>
      </c>
      <c r="AA812" s="229">
        <f>IFERROR(__xludf.DUMMYFUNCTION("""COMPUTED_VALUE"""),19.0)</f>
        <v>19</v>
      </c>
      <c r="AB812" s="229"/>
      <c r="AC812" s="229" t="str">
        <f>IFERROR(__xludf.DUMMYFUNCTION("""COMPUTED_VALUE"""),"9231047#9231052")</f>
        <v>9231047#9231052</v>
      </c>
      <c r="AD812" s="232">
        <f>IFERROR(__xludf.DUMMYFUNCTION("""COMPUTED_VALUE"""),152.0)</f>
        <v>152</v>
      </c>
      <c r="AE812" s="233">
        <f>IFERROR(__xludf.DUMMYFUNCTION("""COMPUTED_VALUE"""),46117.0)</f>
        <v>46117</v>
      </c>
      <c r="AF812" s="54"/>
      <c r="AG812" s="54"/>
      <c r="AH812" s="54">
        <v>46117.0</v>
      </c>
      <c r="AI812" s="55">
        <f t="shared" si="88"/>
        <v>0</v>
      </c>
      <c r="AW812" s="234"/>
      <c r="BP812" s="11"/>
      <c r="BQ812" s="11"/>
      <c r="BR812" s="235"/>
      <c r="BV812" s="158"/>
      <c r="BY812" s="158"/>
      <c r="CB812" s="158"/>
    </row>
    <row r="813" ht="18.0" customHeight="1">
      <c r="A813" s="222">
        <f>IFERROR(__xludf.DUMMYFUNCTION("""COMPUTED_VALUE"""),2026.0)</f>
        <v>2026</v>
      </c>
      <c r="B813" s="221">
        <f>IFERROR(__xludf.DUMMYFUNCTION("""COMPUTED_VALUE"""),1.1578802E7)</f>
        <v>11578802</v>
      </c>
      <c r="C813" s="222" t="str">
        <f>IFERROR(__xludf.DUMMYFUNCTION("""COMPUTED_VALUE"""),"SMB STTF SCATTER TUNGKAL SELATAN (ZALDI)")</f>
        <v>SMB STTF SCATTER TUNGKAL SELATAN (ZALDI)</v>
      </c>
      <c r="D813" s="222" t="str">
        <f>IFERROR(__xludf.DUMMYFUNCTION("""COMPUTED_VALUE"""),"REGIONAL I")</f>
        <v>REGIONAL I</v>
      </c>
      <c r="E813" s="222" t="str">
        <f>IFERROR(__xludf.DUMMYFUNCTION("""COMPUTED_VALUE"""),"SUMBAR")</f>
        <v>SUMBAR</v>
      </c>
      <c r="F813" s="222" t="str">
        <f>IFERROR(__xludf.DUMMYFUNCTION("""COMPUTED_VALUE"""),"NRS")</f>
        <v>NRS</v>
      </c>
      <c r="G813" s="222" t="str">
        <f>IFERROR(__xludf.DUMMYFUNCTION("""COMPUTED_VALUE"""),"SUMBAGTENG")</f>
        <v>SUMBAGTENG</v>
      </c>
      <c r="H813" s="222" t="str">
        <f>IFERROR(__xludf.DUMMYFUNCTION("""COMPUTED_VALUE"""),"BUKIT TINGGI")</f>
        <v>BUKIT TINGGI</v>
      </c>
      <c r="I813" s="222" t="str">
        <f>IFERROR(__xludf.DUMMYFUNCTION("""COMPUTED_VALUE"""),"Batch 2")</f>
        <v>Batch 2</v>
      </c>
      <c r="J813" s="225">
        <f>IFERROR(__xludf.DUMMYFUNCTION("""COMPUTED_VALUE"""),4.0)</f>
        <v>4</v>
      </c>
      <c r="K813" s="224">
        <f>IFERROR(__xludf.DUMMYFUNCTION("""COMPUTED_VALUE"""),32.0)</f>
        <v>32</v>
      </c>
      <c r="L813" s="226">
        <f>IFERROR(__xludf.DUMMYFUNCTION("""COMPUTED_VALUE"""),1213763.0)</f>
        <v>1213763</v>
      </c>
      <c r="M813" s="227">
        <f>IFERROR(__xludf.DUMMYFUNCTION("""COMPUTED_VALUE"""),3.8840401E7)</f>
        <v>38840401</v>
      </c>
      <c r="N813" s="222" t="str">
        <f>IFERROR(__xludf.DUMMYFUNCTION("""COMPUTED_VALUE"""),"PT TRI LESMA INDONESIA")</f>
        <v>PT TRI LESMA INDONESIA</v>
      </c>
      <c r="O813" s="222" t="str">
        <f>IFERROR(__xludf.DUMMYFUNCTION("""COMPUTED_VALUE"""),"0. DROP")</f>
        <v>0. DROP</v>
      </c>
      <c r="P813" s="222" t="str">
        <f>IFERROR(__xludf.DUMMYFUNCTION("""COMPUTED_VALUE"""),"0.4 CPP Tinggi Acc ED TIF")</f>
        <v>0.4 CPP Tinggi Acc ED TIF</v>
      </c>
      <c r="Q813" s="222" t="str">
        <f>IFERROR(__xludf.DUMMYFUNCTION("""COMPUTED_VALUE"""),"3/3 Meeting ED1 - TAREGION - TA AREA DROP CPP Tinggi  (27/01) 25/09 cpp tinggi, menunggu review Tsel. 15/09 : Cpp tinggi butuh tambah 3 odp (07/01) CPP tinggi")</f>
        <v>3/3 Meeting ED1 - TAREGION - TA AREA DROP CPP Tinggi  (27/01) 25/09 cpp tinggi, menunggu review Tsel. 15/09 : Cpp tinggi butuh tambah 3 odp (07/01) CPP tinggi</v>
      </c>
      <c r="R813" s="228"/>
      <c r="S813" s="11"/>
      <c r="T813" s="11"/>
      <c r="U813" s="11"/>
      <c r="V813" s="229"/>
      <c r="W813" s="229"/>
      <c r="X813" s="229" t="str">
        <f>IFERROR(__xludf.DUMMYFUNCTION("""COMPUTED_VALUE"""),"BELUM GOLIVE")</f>
        <v>BELUM GOLIVE</v>
      </c>
      <c r="Y813" s="229"/>
      <c r="Z813" s="229" t="str">
        <f>IFERROR(__xludf.DUMMYFUNCTION("""COMPUTED_VALUE"""),"#N/A")</f>
        <v>#N/A</v>
      </c>
      <c r="AA813" s="229"/>
      <c r="AB813" s="229"/>
      <c r="AC813" s="229"/>
      <c r="AD813" s="232"/>
      <c r="AE813" s="233"/>
      <c r="AF813" s="54" t="str">
        <f>IFERROR(__xludf.DUMMYFUNCTION("""COMPUTED_VALUE"""),"Draft BA DROP")</f>
        <v>Draft BA DROP</v>
      </c>
      <c r="AG813" s="54"/>
      <c r="AH813" s="54"/>
      <c r="AI813" s="55" t="str">
        <f t="shared" si="88"/>
        <v/>
      </c>
      <c r="AW813" s="234"/>
      <c r="BP813" s="11"/>
      <c r="BQ813" s="11"/>
      <c r="BR813" s="235"/>
      <c r="BV813" s="158"/>
      <c r="BY813" s="158"/>
      <c r="CB813" s="158"/>
    </row>
    <row r="814" ht="18.0" hidden="1" customHeight="1">
      <c r="A814" s="222">
        <f>IFERROR(__xludf.DUMMYFUNCTION("""COMPUTED_VALUE"""),2026.0)</f>
        <v>2026</v>
      </c>
      <c r="B814" s="221">
        <f>IFERROR(__xludf.DUMMYFUNCTION("""COMPUTED_VALUE"""),1.1966071E7)</f>
        <v>11966071</v>
      </c>
      <c r="C814" s="222" t="str">
        <f>IFERROR(__xludf.DUMMYFUNCTION("""COMPUTED_VALUE"""),"LPG JPP MD PT3 LAMPUNG TENGAH_10724 KLR")</f>
        <v>LPG JPP MD PT3 LAMPUNG TENGAH_10724 KLR</v>
      </c>
      <c r="D814" s="222" t="str">
        <f>IFERROR(__xludf.DUMMYFUNCTION("""COMPUTED_VALUE"""),"REGIONAL I")</f>
        <v>REGIONAL I</v>
      </c>
      <c r="E814" s="222" t="str">
        <f>IFERROR(__xludf.DUMMYFUNCTION("""COMPUTED_VALUE"""),"LAMPUNG")</f>
        <v>LAMPUNG</v>
      </c>
      <c r="F814" s="222" t="str">
        <f>IFERROR(__xludf.DUMMYFUNCTION("""COMPUTED_VALUE"""),"KLR")</f>
        <v>KLR</v>
      </c>
      <c r="G814" s="222" t="str">
        <f>IFERROR(__xludf.DUMMYFUNCTION("""COMPUTED_VALUE"""),"SUMBAGSEL")</f>
        <v>SUMBAGSEL</v>
      </c>
      <c r="H814" s="222" t="str">
        <f>IFERROR(__xludf.DUMMYFUNCTION("""COMPUTED_VALUE"""),"LAMPUNG")</f>
        <v>LAMPUNG</v>
      </c>
      <c r="I814" s="222" t="str">
        <f>IFERROR(__xludf.DUMMYFUNCTION("""COMPUTED_VALUE"""),"Batch 2")</f>
        <v>Batch 2</v>
      </c>
      <c r="J814" s="225">
        <f>IFERROR(__xludf.DUMMYFUNCTION("""COMPUTED_VALUE"""),3.0)</f>
        <v>3</v>
      </c>
      <c r="K814" s="224">
        <f>IFERROR(__xludf.DUMMYFUNCTION("""COMPUTED_VALUE"""),24.0)</f>
        <v>24</v>
      </c>
      <c r="L814" s="226">
        <f>IFERROR(__xludf.DUMMYFUNCTION("""COMPUTED_VALUE"""),1069568.0)</f>
        <v>1069568</v>
      </c>
      <c r="M814" s="227">
        <f>IFERROR(__xludf.DUMMYFUNCTION("""COMPUTED_VALUE"""),2.5669612E7)</f>
        <v>25669612</v>
      </c>
      <c r="N814" s="222" t="str">
        <f>IFERROR(__xludf.DUMMYFUNCTION("""COMPUTED_VALUE"""),"SWAKELOLA")</f>
        <v>SWAKELOLA</v>
      </c>
      <c r="O814" s="222" t="str">
        <f>IFERROR(__xludf.DUMMYFUNCTION("""COMPUTED_VALUE"""),"0. DROP")</f>
        <v>0. DROP</v>
      </c>
      <c r="P814" s="222" t="str">
        <f>IFERROR(__xludf.DUMMYFUNCTION("""COMPUTED_VALUE"""),"0.2 Tidak Dapat Izin Warga/Kades/Lurah/Developer")</f>
        <v>0.2 Tidak Dapat Izin Warga/Kades/Lurah/Developer</v>
      </c>
      <c r="Q814" s="222" t="str">
        <f>IFERROR(__xludf.DUMMYFUNCTION("""COMPUTED_VALUE"""),"14/1 Tidak Dapat Izin Dari Lurah")</f>
        <v>14/1 Tidak Dapat Izin Dari Lurah</v>
      </c>
      <c r="R814" s="228"/>
      <c r="S814" s="11"/>
      <c r="T814" s="11"/>
      <c r="U814" s="11"/>
      <c r="V814" s="229"/>
      <c r="W814" s="229"/>
      <c r="X814" s="229" t="str">
        <f>IFERROR(__xludf.DUMMYFUNCTION("""COMPUTED_VALUE"""),"BELUM GOLIVE")</f>
        <v>BELUM GOLIVE</v>
      </c>
      <c r="Y814" s="229"/>
      <c r="Z814" s="229" t="str">
        <f>IFERROR(__xludf.DUMMYFUNCTION("""COMPUTED_VALUE"""),"#N/A")</f>
        <v>#N/A</v>
      </c>
      <c r="AA814" s="229"/>
      <c r="AB814" s="229"/>
      <c r="AC814" s="229"/>
      <c r="AD814" s="232"/>
      <c r="AE814" s="233"/>
      <c r="AF814" s="54" t="str">
        <f>IFERROR(__xludf.DUMMYFUNCTION("""COMPUTED_VALUE"""),"Draft BA DROP")</f>
        <v>Draft BA DROP</v>
      </c>
      <c r="AG814" s="54"/>
      <c r="AH814" s="54"/>
      <c r="AI814" s="55" t="str">
        <f t="shared" si="88"/>
        <v/>
      </c>
      <c r="AW814" s="234"/>
      <c r="BP814" s="11"/>
      <c r="BQ814" s="11"/>
      <c r="BR814" s="235"/>
      <c r="BV814" s="158"/>
      <c r="BY814" s="158"/>
      <c r="CB814" s="158"/>
    </row>
    <row r="815" ht="18.0" customHeight="1">
      <c r="A815" s="222">
        <f>IFERROR(__xludf.DUMMYFUNCTION("""COMPUTED_VALUE"""),2026.0)</f>
        <v>2026</v>
      </c>
      <c r="B815" s="221">
        <f>IFERROR(__xludf.DUMMYFUNCTION("""COMPUTED_VALUE"""),1.1242269E7)</f>
        <v>11242269</v>
      </c>
      <c r="C815" s="222" t="str">
        <f>IFERROR(__xludf.DUMMYFUNCTION("""COMPUTED_VALUE"""),"SMB P1I2 Karya Mandiri Residence")</f>
        <v>SMB P1I2 Karya Mandiri Residence</v>
      </c>
      <c r="D815" s="222" t="str">
        <f>IFERROR(__xludf.DUMMYFUNCTION("""COMPUTED_VALUE"""),"REGIONAL I")</f>
        <v>REGIONAL I</v>
      </c>
      <c r="E815" s="222" t="str">
        <f>IFERROR(__xludf.DUMMYFUNCTION("""COMPUTED_VALUE"""),"SUMBAR")</f>
        <v>SUMBAR</v>
      </c>
      <c r="F815" s="222" t="str">
        <f>IFERROR(__xludf.DUMMYFUNCTION("""COMPUTED_VALUE"""),"KJI")</f>
        <v>KJI</v>
      </c>
      <c r="G815" s="222" t="str">
        <f>IFERROR(__xludf.DUMMYFUNCTION("""COMPUTED_VALUE"""),"SUMBAGTENG")</f>
        <v>SUMBAGTENG</v>
      </c>
      <c r="H815" s="222" t="str">
        <f>IFERROR(__xludf.DUMMYFUNCTION("""COMPUTED_VALUE"""),"PADANG")</f>
        <v>PADANG</v>
      </c>
      <c r="I815" s="222" t="str">
        <f>IFERROR(__xludf.DUMMYFUNCTION("""COMPUTED_VALUE"""),"Batch 2")</f>
        <v>Batch 2</v>
      </c>
      <c r="J815" s="225">
        <f>IFERROR(__xludf.DUMMYFUNCTION("""COMPUTED_VALUE"""),4.0)</f>
        <v>4</v>
      </c>
      <c r="K815" s="224">
        <f>IFERROR(__xludf.DUMMYFUNCTION("""COMPUTED_VALUE"""),32.0)</f>
        <v>32</v>
      </c>
      <c r="L815" s="226">
        <f>IFERROR(__xludf.DUMMYFUNCTION("""COMPUTED_VALUE"""),1069563.0)</f>
        <v>1069563</v>
      </c>
      <c r="M815" s="227">
        <f>IFERROR(__xludf.DUMMYFUNCTION("""COMPUTED_VALUE"""),3.4226005E7)</f>
        <v>34226005</v>
      </c>
      <c r="N815" s="222" t="str">
        <f>IFERROR(__xludf.DUMMYFUNCTION("""COMPUTED_VALUE"""),"PT TRI PENAMAS")</f>
        <v>PT TRI PENAMAS</v>
      </c>
      <c r="O815" s="222" t="str">
        <f>IFERROR(__xludf.DUMMYFUNCTION("""COMPUTED_VALUE"""),"4. MATDEL")</f>
        <v>4. MATDEL</v>
      </c>
      <c r="P815" s="222" t="str">
        <f>IFERROR(__xludf.DUMMYFUNCTION("""COMPUTED_VALUE"""),"4.4 Proses Pengiriman Pabribak ke WH")</f>
        <v>4.4 Proses Pengiriman Pabribak ke WH</v>
      </c>
      <c r="Q815" s="222" t="str">
        <f>IFERROR(__xludf.DUMMYFUNCTION("""COMPUTED_VALUE"""),"(27/04) menunggu PO kabel 24 ADSS (20/04) sudah aanwijziing, proses eval  (10/04) Proses aanwijziing , LOP HOLD FEEDER FULL ACC GO (26/01) FEEDER KJI-FN FULL, BUTUH PENAMBAHAN FEEDER")</f>
        <v>(27/04) menunggu PO kabel 24 ADSS (20/04) sudah aanwijziing, proses eval  (10/04) Proses aanwijziing , LOP HOLD FEEDER FULL ACC GO (26/01) FEEDER KJI-FN FULL, BUTUH PENAMBAHAN FEEDER</v>
      </c>
      <c r="R815" s="228"/>
      <c r="S815" s="11"/>
      <c r="T815" s="11"/>
      <c r="U815" s="11"/>
      <c r="V815" s="229" t="str">
        <f>IFERROR(__xludf.DUMMYFUNCTION("""COMPUTED_VALUE"""),"FABIO RAHMAN")</f>
        <v>FABIO RAHMAN</v>
      </c>
      <c r="W815" s="229" t="str">
        <f>IFERROR(__xludf.DUMMYFUNCTION("""COMPUTED_VALUE"""),"MELKO NARWADI")</f>
        <v>MELKO NARWADI</v>
      </c>
      <c r="X815" s="229" t="str">
        <f>IFERROR(__xludf.DUMMYFUNCTION("""COMPUTED_VALUE"""),"BELUM GOLIVE")</f>
        <v>BELUM GOLIVE</v>
      </c>
      <c r="Y815" s="229"/>
      <c r="Z815" s="229" t="str">
        <f>IFERROR(__xludf.DUMMYFUNCTION("""COMPUTED_VALUE"""),"#N/A")</f>
        <v>#N/A</v>
      </c>
      <c r="AA815" s="229"/>
      <c r="AB815" s="229"/>
      <c r="AC815" s="229"/>
      <c r="AD815" s="232"/>
      <c r="AE815" s="233"/>
      <c r="AF815" s="54"/>
      <c r="AG815" s="54"/>
      <c r="AH815" s="54"/>
      <c r="AI815" s="55" t="str">
        <f t="shared" si="88"/>
        <v/>
      </c>
      <c r="AW815" s="234"/>
      <c r="BP815" s="11"/>
      <c r="BQ815" s="11"/>
      <c r="BR815" s="235"/>
      <c r="BV815" s="158"/>
      <c r="BY815" s="158"/>
      <c r="CB815" s="158"/>
    </row>
    <row r="816" ht="18.0" hidden="1" customHeight="1">
      <c r="A816" s="222">
        <f>IFERROR(__xludf.DUMMYFUNCTION("""COMPUTED_VALUE"""),2026.0)</f>
        <v>2026</v>
      </c>
      <c r="B816" s="221">
        <f>IFERROR(__xludf.DUMMYFUNCTION("""COMPUTED_VALUE"""),1.1332826E7)</f>
        <v>11332826</v>
      </c>
      <c r="C816" s="222" t="str">
        <f>IFERROR(__xludf.DUMMYFUNCTION("""COMPUTED_VALUE"""),"SMS P2I2 PT3 BKS FAG D04 PERUM B RESIDEN")</f>
        <v>SMS P2I2 PT3 BKS FAG D04 PERUM B RESIDEN</v>
      </c>
      <c r="D816" s="222" t="str">
        <f>IFERROR(__xludf.DUMMYFUNCTION("""COMPUTED_VALUE"""),"REGIONAL I")</f>
        <v>REGIONAL I</v>
      </c>
      <c r="E816" s="222" t="str">
        <f>IFERROR(__xludf.DUMMYFUNCTION("""COMPUTED_VALUE"""),"SUMSEL")</f>
        <v>SUMSEL</v>
      </c>
      <c r="F816" s="222" t="str">
        <f>IFERROR(__xludf.DUMMYFUNCTION("""COMPUTED_VALUE"""),"BKS")</f>
        <v>BKS</v>
      </c>
      <c r="G816" s="222" t="str">
        <f>IFERROR(__xludf.DUMMYFUNCTION("""COMPUTED_VALUE"""),"SUMBAGSEL")</f>
        <v>SUMBAGSEL</v>
      </c>
      <c r="H816" s="222" t="str">
        <f>IFERROR(__xludf.DUMMYFUNCTION("""COMPUTED_VALUE"""),"PALEMBANG")</f>
        <v>PALEMBANG</v>
      </c>
      <c r="I816" s="222" t="str">
        <f>IFERROR(__xludf.DUMMYFUNCTION("""COMPUTED_VALUE"""),"Batch 2")</f>
        <v>Batch 2</v>
      </c>
      <c r="J816" s="225">
        <f>IFERROR(__xludf.DUMMYFUNCTION("""COMPUTED_VALUE"""),2.0)</f>
        <v>2</v>
      </c>
      <c r="K816" s="224">
        <f>IFERROR(__xludf.DUMMYFUNCTION("""COMPUTED_VALUE"""),16.0)</f>
        <v>16</v>
      </c>
      <c r="L816" s="226">
        <f>IFERROR(__xludf.DUMMYFUNCTION("""COMPUTED_VALUE"""),1069550.0)</f>
        <v>1069550</v>
      </c>
      <c r="M816" s="227">
        <f>IFERROR(__xludf.DUMMYFUNCTION("""COMPUTED_VALUE"""),1.711279E7)</f>
        <v>17112790</v>
      </c>
      <c r="N816" s="222" t="str">
        <f>IFERROR(__xludf.DUMMYFUNCTION("""COMPUTED_VALUE"""),"PT GARINDO TECHNO MANDIRI")</f>
        <v>PT GARINDO TECHNO MANDIRI</v>
      </c>
      <c r="O816" s="222" t="str">
        <f>IFERROR(__xludf.DUMMYFUNCTION("""COMPUTED_VALUE"""),"8. UJI TERIMA")</f>
        <v>8. UJI TERIMA</v>
      </c>
      <c r="P816" s="222" t="str">
        <f>IFERROR(__xludf.DUMMYFUNCTION("""COMPUTED_VALUE"""),"8.1 Proses UT")</f>
        <v>8.1 Proses UT</v>
      </c>
      <c r="Q816" s="222" t="str">
        <f>IFERROR(__xludf.DUMMYFUNCTION("""COMPUTED_VALUE"""),"(21/01) GOLIVE, tgl 19/01/026, 14/01 GOLIVE, (08/12) submit abd ke sdi (24/11) tanam tiang dan tarik kabel selesai  , pemasangan kendala pihak RT (18/11) tanam tiang dan tarik kabel 350M,  13/11 sudah aanwidjzing, (08/11) SUDAH ANWIJZING (5/11) menunggu j"&amp;"adwal aanwidzjing 3/11 penunjukan mitra alexa")</f>
        <v>(21/01) GOLIVE, tgl 19/01/026, 14/01 GOLIVE, (08/12) submit abd ke sdi (24/11) tanam tiang dan tarik kabel selesai  , pemasangan kendala pihak RT (18/11) tanam tiang dan tarik kabel 350M,  13/11 sudah aanwidjzing, (08/11) SUDAH ANWIJZING (5/11) menunggu jadwal aanwidzjing 3/11 penunjukan mitra alexa</v>
      </c>
      <c r="R816" s="228"/>
      <c r="S816" s="11"/>
      <c r="T816" s="11"/>
      <c r="U816" s="11"/>
      <c r="V816" s="229" t="str">
        <f>IFERROR(__xludf.DUMMYFUNCTION("""COMPUTED_VALUE"""),"PRIGUS")</f>
        <v>PRIGUS</v>
      </c>
      <c r="W816" s="229"/>
      <c r="X816" s="229" t="str">
        <f>IFERROR(__xludf.DUMMYFUNCTION("""COMPUTED_VALUE"""),"GOLIVE")</f>
        <v>GOLIVE</v>
      </c>
      <c r="Y816" s="229" t="str">
        <f>IFERROR(__xludf.DUMMYFUNCTION("""COMPUTED_VALUE"""),"DONE")</f>
        <v>DONE</v>
      </c>
      <c r="Z816" s="229" t="str">
        <f>IFERROR(__xludf.DUMMYFUNCTION("""COMPUTED_VALUE"""),"#N/A")</f>
        <v>#N/A</v>
      </c>
      <c r="AA816" s="229">
        <f>IFERROR(__xludf.DUMMYFUNCTION("""COMPUTED_VALUE"""),2.0)</f>
        <v>2</v>
      </c>
      <c r="AB816" s="229"/>
      <c r="AC816" s="229" t="str">
        <f>IFERROR(__xludf.DUMMYFUNCTION("""COMPUTED_VALUE"""),"8538524#8538529")</f>
        <v>8538524#8538529</v>
      </c>
      <c r="AD816" s="232">
        <f>IFERROR(__xludf.DUMMYFUNCTION("""COMPUTED_VALUE"""),16.0)</f>
        <v>16</v>
      </c>
      <c r="AE816" s="233">
        <f>IFERROR(__xludf.DUMMYFUNCTION("""COMPUTED_VALUE"""),46036.0)</f>
        <v>46036</v>
      </c>
      <c r="AF816" s="54"/>
      <c r="AG816" s="54"/>
      <c r="AH816" s="54"/>
      <c r="AI816" s="55" t="str">
        <f t="shared" si="88"/>
        <v/>
      </c>
      <c r="AW816" s="234"/>
      <c r="BP816" s="11"/>
      <c r="BQ816" s="11"/>
      <c r="BR816" s="235"/>
      <c r="BV816" s="158"/>
      <c r="BY816" s="158"/>
      <c r="CB816" s="158"/>
    </row>
    <row r="817" ht="18.0" customHeight="1">
      <c r="A817" s="222">
        <f>IFERROR(__xludf.DUMMYFUNCTION("""COMPUTED_VALUE"""),2026.0)</f>
        <v>2026</v>
      </c>
      <c r="B817" s="221">
        <f>IFERROR(__xludf.DUMMYFUNCTION("""COMPUTED_VALUE"""),1.1167718E7)</f>
        <v>11167718</v>
      </c>
      <c r="C817" s="222" t="str">
        <f>IFERROR(__xludf.DUMMYFUNCTION("""COMPUTED_VALUE"""),"RKP PT3 JPP LBJ-FBE BENGKONG KOLAM")</f>
        <v>RKP PT3 JPP LBJ-FBE BENGKONG KOLAM</v>
      </c>
      <c r="D817" s="222" t="str">
        <f>IFERROR(__xludf.DUMMYFUNCTION("""COMPUTED_VALUE"""),"REGIONAL I")</f>
        <v>REGIONAL I</v>
      </c>
      <c r="E817" s="222" t="str">
        <f>IFERROR(__xludf.DUMMYFUNCTION("""COMPUTED_VALUE"""),"RIKEP")</f>
        <v>RIKEP</v>
      </c>
      <c r="F817" s="222" t="str">
        <f>IFERROR(__xludf.DUMMYFUNCTION("""COMPUTED_VALUE"""),"LBJ")</f>
        <v>LBJ</v>
      </c>
      <c r="G817" s="222" t="str">
        <f>IFERROR(__xludf.DUMMYFUNCTION("""COMPUTED_VALUE"""),"SUMBAGTENG")</f>
        <v>SUMBAGTENG</v>
      </c>
      <c r="H817" s="222" t="str">
        <f>IFERROR(__xludf.DUMMYFUNCTION("""COMPUTED_VALUE"""),"BATAM")</f>
        <v>BATAM</v>
      </c>
      <c r="I817" s="222" t="str">
        <f>IFERROR(__xludf.DUMMYFUNCTION("""COMPUTED_VALUE"""),"Batch 2")</f>
        <v>Batch 2</v>
      </c>
      <c r="J817" s="225">
        <f>IFERROR(__xludf.DUMMYFUNCTION("""COMPUTED_VALUE"""),3.0)</f>
        <v>3</v>
      </c>
      <c r="K817" s="224">
        <f>IFERROR(__xludf.DUMMYFUNCTION("""COMPUTED_VALUE"""),24.0)</f>
        <v>24</v>
      </c>
      <c r="L817" s="226">
        <f>IFERROR(__xludf.DUMMYFUNCTION("""COMPUTED_VALUE"""),1068870.0)</f>
        <v>1068870</v>
      </c>
      <c r="M817" s="227">
        <f>IFERROR(__xludf.DUMMYFUNCTION("""COMPUTED_VALUE"""),2.565287E7)</f>
        <v>25652870</v>
      </c>
      <c r="N817" s="222" t="str">
        <f>IFERROR(__xludf.DUMMYFUNCTION("""COMPUTED_VALUE"""),"PT TRIPOLA PANATA")</f>
        <v>PT TRIPOLA PANATA</v>
      </c>
      <c r="O817" s="222" t="str">
        <f>IFERROR(__xludf.DUMMYFUNCTION("""COMPUTED_VALUE"""),"0. DROP")</f>
        <v>0. DROP</v>
      </c>
      <c r="P817" s="222" t="str">
        <f>IFERROR(__xludf.DUMMYFUNCTION("""COMPUTED_VALUE"""),"0.2 Tidak Dapat Izin Warga/Kades/Lurah/Developer")</f>
        <v>0.2 Tidak Dapat Izin Warga/Kades/Lurah/Developer</v>
      </c>
      <c r="Q817" s="222" t="str">
        <f>IFERROR(__xludf.DUMMYFUNCTION("""COMPUTED_VALUE"""),"21/01 Drop tidak di berikan izin RT RW")</f>
        <v>21/01 Drop tidak di berikan izin RT RW</v>
      </c>
      <c r="R817" s="228"/>
      <c r="S817" s="11"/>
      <c r="T817" s="11"/>
      <c r="U817" s="11"/>
      <c r="V817" s="229" t="str">
        <f>IFERROR(__xludf.DUMMYFUNCTION("""COMPUTED_VALUE"""),"RONALDO LEO INFANTRI")</f>
        <v>RONALDO LEO INFANTRI</v>
      </c>
      <c r="W817" s="229" t="str">
        <f>IFERROR(__xludf.DUMMYFUNCTION("""COMPUTED_VALUE"""),"LEVITA INDRIYANI")</f>
        <v>LEVITA INDRIYANI</v>
      </c>
      <c r="X817" s="229" t="str">
        <f>IFERROR(__xludf.DUMMYFUNCTION("""COMPUTED_VALUE"""),"BELUM GOLIVE")</f>
        <v>BELUM GOLIVE</v>
      </c>
      <c r="Y817" s="229"/>
      <c r="Z817" s="229" t="str">
        <f>IFERROR(__xludf.DUMMYFUNCTION("""COMPUTED_VALUE"""),"#N/A")</f>
        <v>#N/A</v>
      </c>
      <c r="AA817" s="229"/>
      <c r="AB817" s="229"/>
      <c r="AC817" s="229"/>
      <c r="AD817" s="232"/>
      <c r="AE817" s="233"/>
      <c r="AF817" s="54" t="str">
        <f>IFERROR(__xludf.DUMMYFUNCTION("""COMPUTED_VALUE"""),"Draft BA DROP")</f>
        <v>Draft BA DROP</v>
      </c>
      <c r="AG817" s="54"/>
      <c r="AH817" s="54"/>
      <c r="AI817" s="55" t="str">
        <f t="shared" si="88"/>
        <v/>
      </c>
      <c r="AW817" s="234"/>
      <c r="BP817" s="11"/>
      <c r="BQ817" s="11"/>
      <c r="BR817" s="235"/>
      <c r="BV817" s="158"/>
      <c r="BY817" s="158"/>
      <c r="CB817" s="158"/>
    </row>
    <row r="818" ht="18.0" customHeight="1">
      <c r="A818" s="222">
        <f>IFERROR(__xludf.DUMMYFUNCTION("""COMPUTED_VALUE"""),2026.0)</f>
        <v>2026</v>
      </c>
      <c r="B818" s="221">
        <f>IFERROR(__xludf.DUMMYFUNCTION("""COMPUTED_VALUE"""),1.1276352E7)</f>
        <v>11276352</v>
      </c>
      <c r="C818" s="222" t="str">
        <f>IFERROR(__xludf.DUMMYFUNCTION("""COMPUTED_VALUE"""),"RKP PT3 TSEL LBJ-FBZ BALOI HARAPAN")</f>
        <v>RKP PT3 TSEL LBJ-FBZ BALOI HARAPAN</v>
      </c>
      <c r="D818" s="222" t="str">
        <f>IFERROR(__xludf.DUMMYFUNCTION("""COMPUTED_VALUE"""),"REGIONAL I")</f>
        <v>REGIONAL I</v>
      </c>
      <c r="E818" s="222" t="str">
        <f>IFERROR(__xludf.DUMMYFUNCTION("""COMPUTED_VALUE"""),"RIKEP")</f>
        <v>RIKEP</v>
      </c>
      <c r="F818" s="222" t="str">
        <f>IFERROR(__xludf.DUMMYFUNCTION("""COMPUTED_VALUE"""),"LBJ")</f>
        <v>LBJ</v>
      </c>
      <c r="G818" s="222" t="str">
        <f>IFERROR(__xludf.DUMMYFUNCTION("""COMPUTED_VALUE"""),"SUMBAGTENG")</f>
        <v>SUMBAGTENG</v>
      </c>
      <c r="H818" s="222" t="str">
        <f>IFERROR(__xludf.DUMMYFUNCTION("""COMPUTED_VALUE"""),"BATAM")</f>
        <v>BATAM</v>
      </c>
      <c r="I818" s="222" t="str">
        <f>IFERROR(__xludf.DUMMYFUNCTION("""COMPUTED_VALUE"""),"Batch 2")</f>
        <v>Batch 2</v>
      </c>
      <c r="J818" s="225">
        <f>IFERROR(__xludf.DUMMYFUNCTION("""COMPUTED_VALUE"""),3.0)</f>
        <v>3</v>
      </c>
      <c r="K818" s="224">
        <f>IFERROR(__xludf.DUMMYFUNCTION("""COMPUTED_VALUE"""),24.0)</f>
        <v>24</v>
      </c>
      <c r="L818" s="226">
        <f>IFERROR(__xludf.DUMMYFUNCTION("""COMPUTED_VALUE"""),1068779.0)</f>
        <v>1068779</v>
      </c>
      <c r="M818" s="227">
        <f>IFERROR(__xludf.DUMMYFUNCTION("""COMPUTED_VALUE"""),2.5650692E7)</f>
        <v>25650692</v>
      </c>
      <c r="N818" s="222" t="str">
        <f>IFERROR(__xludf.DUMMYFUNCTION("""COMPUTED_VALUE"""),"PT HDUA PUTRA PRAJODA")</f>
        <v>PT HDUA PUTRA PRAJODA</v>
      </c>
      <c r="O818" s="222" t="str">
        <f>IFERROR(__xludf.DUMMYFUNCTION("""COMPUTED_VALUE"""),"0. DROP")</f>
        <v>0. DROP</v>
      </c>
      <c r="P818" s="222" t="str">
        <f>IFERROR(__xludf.DUMMYFUNCTION("""COMPUTED_VALUE"""),"0.2 Tidak Dapat Izin Warga/Kades/Lurah/Developer")</f>
        <v>0.2 Tidak Dapat Izin Warga/Kades/Lurah/Developer</v>
      </c>
      <c r="Q818" s="222" t="str">
        <f>IFERROR(__xludf.DUMMYFUNCTION("""COMPUTED_VALUE"""),"04/03 Pak RW tidak mau di ajak bicara, dan tidak mau ada penanaman tiang baru dan tiang lama di minta cabut. 
26/02 PIC perizinan fokus di daerah bengkong dan sekitar . 16/02 Plan Survey 17 Feb.11/02 Peralihan mitra. 28/01 Plan survey 29 Jan. 28/01 Mitra "&amp;"tripola belum ada PIC untuk anwijzing. 23/01 Plan anwijzing 26 Jan, pic mitra ada pertanggal 25 jan. 21/01 proses penunjukan mitra ")</f>
        <v>04/03 Pak RW tidak mau di ajak bicara, dan tidak mau ada penanaman tiang baru dan tiang lama di minta cabut. 
26/02 PIC perizinan fokus di daerah bengkong dan sekitar . 16/02 Plan Survey 17 Feb.11/02 Peralihan mitra. 28/01 Plan survey 29 Jan. 28/01 Mitra tripola belum ada PIC untuk anwijzing. 23/01 Plan anwijzing 26 Jan, pic mitra ada pertanggal 25 jan. 21/01 proses penunjukan mitra </v>
      </c>
      <c r="R818" s="228"/>
      <c r="S818" s="11"/>
      <c r="T818" s="11"/>
      <c r="U818" s="11"/>
      <c r="V818" s="229" t="str">
        <f>IFERROR(__xludf.DUMMYFUNCTION("""COMPUTED_VALUE"""),"RONALDO LEO INFANTRI")</f>
        <v>RONALDO LEO INFANTRI</v>
      </c>
      <c r="W818" s="229" t="str">
        <f>IFERROR(__xludf.DUMMYFUNCTION("""COMPUTED_VALUE"""),"LEVITA INDRIYANI")</f>
        <v>LEVITA INDRIYANI</v>
      </c>
      <c r="X818" s="229" t="str">
        <f>IFERROR(__xludf.DUMMYFUNCTION("""COMPUTED_VALUE"""),"BELUM GOLIVE")</f>
        <v>BELUM GOLIVE</v>
      </c>
      <c r="Y818" s="229"/>
      <c r="Z818" s="229" t="str">
        <f>IFERROR(__xludf.DUMMYFUNCTION("""COMPUTED_VALUE"""),"#N/A")</f>
        <v>#N/A</v>
      </c>
      <c r="AA818" s="229"/>
      <c r="AB818" s="229"/>
      <c r="AC818" s="229"/>
      <c r="AD818" s="232"/>
      <c r="AE818" s="233"/>
      <c r="AF818" s="54"/>
      <c r="AG818" s="54"/>
      <c r="AH818" s="54"/>
      <c r="AI818" s="55" t="str">
        <f t="shared" si="88"/>
        <v/>
      </c>
      <c r="AW818" s="234"/>
      <c r="BP818" s="11"/>
      <c r="BQ818" s="11"/>
      <c r="BR818" s="235"/>
      <c r="BV818" s="158"/>
      <c r="BY818" s="158"/>
      <c r="CB818" s="158"/>
    </row>
    <row r="819" ht="18.0" hidden="1" customHeight="1">
      <c r="A819" s="222">
        <f>IFERROR(__xludf.DUMMYFUNCTION("""COMPUTED_VALUE"""),2026.0)</f>
        <v>2026</v>
      </c>
      <c r="B819" s="221">
        <f>IFERROR(__xludf.DUMMYFUNCTION("""COMPUTED_VALUE"""),1.2084785E7)</f>
        <v>12084785</v>
      </c>
      <c r="C819" s="222" t="str">
        <f>IFERROR(__xludf.DUMMYFUNCTION("""COMPUTED_VALUE"""),"MDN PT3 DLT-FAA DELI SERDANG_99391_MD25")</f>
        <v>MDN PT3 DLT-FAA DELI SERDANG_99391_MD25</v>
      </c>
      <c r="D819" s="222" t="str">
        <f>IFERROR(__xludf.DUMMYFUNCTION("""COMPUTED_VALUE"""),"REGIONAL I")</f>
        <v>REGIONAL I</v>
      </c>
      <c r="E819" s="222" t="str">
        <f>IFERROR(__xludf.DUMMYFUNCTION("""COMPUTED_VALUE"""),"MEDAN")</f>
        <v>MEDAN</v>
      </c>
      <c r="F819" s="222" t="str">
        <f>IFERROR(__xludf.DUMMYFUNCTION("""COMPUTED_VALUE"""),"DLT")</f>
        <v>DLT</v>
      </c>
      <c r="G819" s="222" t="str">
        <f>IFERROR(__xludf.DUMMYFUNCTION("""COMPUTED_VALUE"""),"SUMBAGUT")</f>
        <v>SUMBAGUT</v>
      </c>
      <c r="H819" s="222" t="str">
        <f>IFERROR(__xludf.DUMMYFUNCTION("""COMPUTED_VALUE"""),"MEDAN")</f>
        <v>MEDAN</v>
      </c>
      <c r="I819" s="222" t="str">
        <f>IFERROR(__xludf.DUMMYFUNCTION("""COMPUTED_VALUE"""),"Batch 2")</f>
        <v>Batch 2</v>
      </c>
      <c r="J819" s="225">
        <f>IFERROR(__xludf.DUMMYFUNCTION("""COMPUTED_VALUE"""),3.0)</f>
        <v>3</v>
      </c>
      <c r="K819" s="224">
        <f>IFERROR(__xludf.DUMMYFUNCTION("""COMPUTED_VALUE"""),24.0)</f>
        <v>24</v>
      </c>
      <c r="L819" s="226">
        <f>IFERROR(__xludf.DUMMYFUNCTION("""COMPUTED_VALUE"""),1068779.0)</f>
        <v>1068779</v>
      </c>
      <c r="M819" s="227">
        <f>IFERROR(__xludf.DUMMYFUNCTION("""COMPUTED_VALUE"""),2.5650678E7)</f>
        <v>25650678</v>
      </c>
      <c r="N819" s="222" t="str">
        <f>IFERROR(__xludf.DUMMYFUNCTION("""COMPUTED_VALUE"""),"PT SALTTEK DUMPANG JAYA")</f>
        <v>PT SALTTEK DUMPANG JAYA</v>
      </c>
      <c r="O819" s="222" t="str">
        <f>IFERROR(__xludf.DUMMYFUNCTION("""COMPUTED_VALUE"""),"7. GOLIVE")</f>
        <v>7. GOLIVE</v>
      </c>
      <c r="P819" s="222" t="str">
        <f>IFERROR(__xludf.DUMMYFUNCTION("""COMPUTED_VALUE"""),"7.2 Golive Full / OA / DONE OTB")</f>
        <v>7.2 Golive Full / OA / DONE OTB</v>
      </c>
      <c r="Q819" s="222" t="str">
        <f>IFERROR(__xludf.DUMMYFUNCTION("""COMPUTED_VALUE"""),"04/03 valins 03/03 terminasi ODC dan ODP 02/03 menunggu Approve Redesign 27/02 perundingan rute plan, terkendala izin di 1 gang 19/02 Req Material 05/02 Kades minta comcase 8.5 jt")</f>
        <v>04/03 valins 03/03 terminasi ODC dan ODP 02/03 menunggu Approve Redesign 27/02 perundingan rute plan, terkendala izin di 1 gang 19/02 Req Material 05/02 Kades minta comcase 8.5 jt</v>
      </c>
      <c r="R819" s="228">
        <f>IFERROR(__xludf.DUMMYFUNCTION("""COMPUTED_VALUE"""),46091.0)</f>
        <v>46091</v>
      </c>
      <c r="S819" s="11" t="str">
        <f>IFERROR(__xludf.DUMMYFUNCTION("""COMPUTED_VALUE"""),"MAR")</f>
        <v>MAR</v>
      </c>
      <c r="T819" s="11"/>
      <c r="U819" s="11"/>
      <c r="V819" s="229"/>
      <c r="W819" s="229"/>
      <c r="X819" s="229" t="str">
        <f>IFERROR(__xludf.DUMMYFUNCTION("""COMPUTED_VALUE"""),"GOLIVE")</f>
        <v>GOLIVE</v>
      </c>
      <c r="Y819" s="229" t="str">
        <f>IFERROR(__xludf.DUMMYFUNCTION("""COMPUTED_VALUE"""),"DONE")</f>
        <v>DONE</v>
      </c>
      <c r="Z819" s="229" t="str">
        <f>IFERROR(__xludf.DUMMYFUNCTION("""COMPUTED_VALUE"""),"#N/A")</f>
        <v>#N/A</v>
      </c>
      <c r="AA819" s="229">
        <f>IFERROR(__xludf.DUMMYFUNCTION("""COMPUTED_VALUE"""),3.0)</f>
        <v>3</v>
      </c>
      <c r="AB819" s="229"/>
      <c r="AC819" s="229" t="str">
        <f>IFERROR(__xludf.DUMMYFUNCTION("""COMPUTED_VALUE"""),"9192690#9192695")</f>
        <v>9192690#9192695</v>
      </c>
      <c r="AD819" s="232">
        <f>IFERROR(__xludf.DUMMYFUNCTION("""COMPUTED_VALUE"""),24.0)</f>
        <v>24</v>
      </c>
      <c r="AE819" s="233">
        <f>IFERROR(__xludf.DUMMYFUNCTION("""COMPUTED_VALUE"""),46091.0)</f>
        <v>46091</v>
      </c>
      <c r="AF819" s="54"/>
      <c r="AG819" s="54"/>
      <c r="AH819" s="54">
        <v>46091.0</v>
      </c>
      <c r="AI819" s="55">
        <f t="shared" si="88"/>
        <v>0</v>
      </c>
      <c r="AW819" s="234"/>
      <c r="BP819" s="11"/>
      <c r="BQ819" s="11"/>
      <c r="BR819" s="235"/>
      <c r="BV819" s="158"/>
      <c r="BY819" s="158"/>
      <c r="CB819" s="158"/>
    </row>
    <row r="820" ht="18.0" hidden="1" customHeight="1">
      <c r="A820" s="222">
        <f>IFERROR(__xludf.DUMMYFUNCTION("""COMPUTED_VALUE"""),2026.0)</f>
        <v>2026</v>
      </c>
      <c r="B820" s="221">
        <f>IFERROR(__xludf.DUMMYFUNCTION("""COMPUTED_VALUE"""),1.1187412E7)</f>
        <v>11187412</v>
      </c>
      <c r="C820" s="222" t="str">
        <f>IFERROR(__xludf.DUMMYFUNCTION("""COMPUTED_VALUE"""),"MDN PT3 TTG-FK JL.PENGADAIAN NAMO RIAM")</f>
        <v>MDN PT3 TTG-FK JL.PENGADAIAN NAMO RIAM</v>
      </c>
      <c r="D820" s="222" t="str">
        <f>IFERROR(__xludf.DUMMYFUNCTION("""COMPUTED_VALUE"""),"REGIONAL I")</f>
        <v>REGIONAL I</v>
      </c>
      <c r="E820" s="222" t="str">
        <f>IFERROR(__xludf.DUMMYFUNCTION("""COMPUTED_VALUE"""),"MEDAN")</f>
        <v>MEDAN</v>
      </c>
      <c r="F820" s="222" t="str">
        <f>IFERROR(__xludf.DUMMYFUNCTION("""COMPUTED_VALUE"""),"TTG")</f>
        <v>TTG</v>
      </c>
      <c r="G820" s="222" t="str">
        <f>IFERROR(__xludf.DUMMYFUNCTION("""COMPUTED_VALUE"""),"SUMBAGUT")</f>
        <v>SUMBAGUT</v>
      </c>
      <c r="H820" s="222" t="str">
        <f>IFERROR(__xludf.DUMMYFUNCTION("""COMPUTED_VALUE"""),"MEDAN")</f>
        <v>MEDAN</v>
      </c>
      <c r="I820" s="222" t="str">
        <f>IFERROR(__xludf.DUMMYFUNCTION("""COMPUTED_VALUE"""),"Batch 2")</f>
        <v>Batch 2</v>
      </c>
      <c r="J820" s="225">
        <f>IFERROR(__xludf.DUMMYFUNCTION("""COMPUTED_VALUE"""),2.0)</f>
        <v>2</v>
      </c>
      <c r="K820" s="224">
        <f>IFERROR(__xludf.DUMMYFUNCTION("""COMPUTED_VALUE"""),16.0)</f>
        <v>16</v>
      </c>
      <c r="L820" s="226">
        <f>IFERROR(__xludf.DUMMYFUNCTION("""COMPUTED_VALUE"""),1068449.0)</f>
        <v>1068449</v>
      </c>
      <c r="M820" s="227">
        <f>IFERROR(__xludf.DUMMYFUNCTION("""COMPUTED_VALUE"""),1.7095171E7)</f>
        <v>17095171</v>
      </c>
      <c r="N820" s="222" t="str">
        <f>IFERROR(__xludf.DUMMYFUNCTION("""COMPUTED_VALUE"""),"SWAKELOLA")</f>
        <v>SWAKELOLA</v>
      </c>
      <c r="O820" s="222" t="str">
        <f>IFERROR(__xludf.DUMMYFUNCTION("""COMPUTED_VALUE"""),"1. AANWIJZING")</f>
        <v>1. AANWIJZING</v>
      </c>
      <c r="P820" s="222" t="str">
        <f>IFERROR(__xludf.DUMMYFUNCTION("""COMPUTED_VALUE"""),"1.6 Ongoing Aanwidjzing")</f>
        <v>1.6 Ongoing Aanwidjzing</v>
      </c>
      <c r="Q820" s="222" t="str">
        <f>IFERROR(__xludf.DUMMYFUNCTION("""COMPUTED_VALUE"""),"20/04 pengecekan ulang core terkendala (16/04) Feeder Redti/ LOS TTG-FK")</f>
        <v>20/04 pengecekan ulang core terkendala (16/04) Feeder Redti/ LOS TTG-FK</v>
      </c>
      <c r="R820" s="228"/>
      <c r="S820" s="11"/>
      <c r="T820" s="11"/>
      <c r="U820" s="11"/>
      <c r="V820" s="229"/>
      <c r="W820" s="229"/>
      <c r="X820" s="229" t="str">
        <f>IFERROR(__xludf.DUMMYFUNCTION("""COMPUTED_VALUE"""),"BELUM GOLIVE")</f>
        <v>BELUM GOLIVE</v>
      </c>
      <c r="Y820" s="229"/>
      <c r="Z820" s="229" t="str">
        <f>IFERROR(__xludf.DUMMYFUNCTION("""COMPUTED_VALUE"""),"#N/A")</f>
        <v>#N/A</v>
      </c>
      <c r="AA820" s="229"/>
      <c r="AB820" s="229"/>
      <c r="AC820" s="229"/>
      <c r="AD820" s="232"/>
      <c r="AE820" s="233"/>
      <c r="AF820" s="54"/>
      <c r="AG820" s="54"/>
      <c r="AH820" s="54"/>
      <c r="AI820" s="55" t="str">
        <f t="shared" si="88"/>
        <v/>
      </c>
      <c r="AW820" s="234"/>
      <c r="BP820" s="11"/>
      <c r="BQ820" s="11"/>
      <c r="BR820" s="235"/>
      <c r="BV820" s="158"/>
      <c r="BY820" s="158"/>
      <c r="CB820" s="158"/>
    </row>
    <row r="821" ht="18.0" hidden="1" customHeight="1">
      <c r="A821" s="222">
        <f>IFERROR(__xludf.DUMMYFUNCTION("""COMPUTED_VALUE"""),2026.0)</f>
        <v>2026</v>
      </c>
      <c r="B821" s="221">
        <f>IFERROR(__xludf.DUMMYFUNCTION("""COMPUTED_VALUE"""),1.1192677E7)</f>
        <v>11192677</v>
      </c>
      <c r="C821" s="222" t="str">
        <f>IFERROR(__xludf.DUMMYFUNCTION("""COMPUTED_VALUE"""),"MDN PT3 P7I8 GLG-FB SUNGEI PUTIH")</f>
        <v>MDN PT3 P7I8 GLG-FB SUNGEI PUTIH</v>
      </c>
      <c r="D821" s="222" t="str">
        <f>IFERROR(__xludf.DUMMYFUNCTION("""COMPUTED_VALUE"""),"REGIONAL I")</f>
        <v>REGIONAL I</v>
      </c>
      <c r="E821" s="222" t="str">
        <f>IFERROR(__xludf.DUMMYFUNCTION("""COMPUTED_VALUE"""),"MEDAN")</f>
        <v>MEDAN</v>
      </c>
      <c r="F821" s="222" t="str">
        <f>IFERROR(__xludf.DUMMYFUNCTION("""COMPUTED_VALUE"""),"GLG")</f>
        <v>GLG</v>
      </c>
      <c r="G821" s="222" t="str">
        <f>IFERROR(__xludf.DUMMYFUNCTION("""COMPUTED_VALUE"""),"SUMBAGUT")</f>
        <v>SUMBAGUT</v>
      </c>
      <c r="H821" s="222" t="str">
        <f>IFERROR(__xludf.DUMMYFUNCTION("""COMPUTED_VALUE"""),"MEDAN")</f>
        <v>MEDAN</v>
      </c>
      <c r="I821" s="222" t="str">
        <f>IFERROR(__xludf.DUMMYFUNCTION("""COMPUTED_VALUE"""),"Batch 2")</f>
        <v>Batch 2</v>
      </c>
      <c r="J821" s="225">
        <f>IFERROR(__xludf.DUMMYFUNCTION("""COMPUTED_VALUE"""),2.0)</f>
        <v>2</v>
      </c>
      <c r="K821" s="224">
        <f>IFERROR(__xludf.DUMMYFUNCTION("""COMPUTED_VALUE"""),16.0)</f>
        <v>16</v>
      </c>
      <c r="L821" s="226">
        <f>IFERROR(__xludf.DUMMYFUNCTION("""COMPUTED_VALUE"""),1067252.0)</f>
        <v>1067252</v>
      </c>
      <c r="M821" s="227">
        <f>IFERROR(__xludf.DUMMYFUNCTION("""COMPUTED_VALUE"""),1.7076017E7)</f>
        <v>17076017</v>
      </c>
      <c r="N821" s="222" t="str">
        <f>IFERROR(__xludf.DUMMYFUNCTION("""COMPUTED_VALUE"""),"PT NIAGA NUSANTARA DIVA")</f>
        <v>PT NIAGA NUSANTARA DIVA</v>
      </c>
      <c r="O821" s="222" t="str">
        <f>IFERROR(__xludf.DUMMYFUNCTION("""COMPUTED_VALUE"""),"0. DROP")</f>
        <v>0. DROP</v>
      </c>
      <c r="P821" s="222" t="str">
        <f>IFERROR(__xludf.DUMMYFUNCTION("""COMPUTED_VALUE"""),"0.2 Tidak Dapat Izin Warga/Kades/Lurah/Developer")</f>
        <v>0.2 Tidak Dapat Izin Warga/Kades/Lurah/Developer</v>
      </c>
      <c r="Q821" s="222" t="str">
        <f>IFERROR(__xludf.DUMMYFUNCTION("""COMPUTED_VALUE"""),"22/04 comcase 2,5jt kenaikan high cpp
20/04 pengecekan ulang hasil redisgn
29/01 Pengecekkan kabel distribusi di titik putus sekitar 1200 
(07/01) Persiapan
29/09 Pengecekkan kabel distribusi di titik putus sekitar 1200 ")</f>
        <v>22/04 comcase 2,5jt kenaikan high cpp
20/04 pengecekan ulang hasil redisgn
29/01 Pengecekkan kabel distribusi di titik putus sekitar 1200 
(07/01) Persiapan
29/09 Pengecekkan kabel distribusi di titik putus sekitar 1200 </v>
      </c>
      <c r="R821" s="228"/>
      <c r="S821" s="11"/>
      <c r="T821" s="11"/>
      <c r="U821" s="11"/>
      <c r="V821" s="229"/>
      <c r="W821" s="229"/>
      <c r="X821" s="229" t="str">
        <f>IFERROR(__xludf.DUMMYFUNCTION("""COMPUTED_VALUE"""),"BELUM GOLIVE")</f>
        <v>BELUM GOLIVE</v>
      </c>
      <c r="Y821" s="229"/>
      <c r="Z821" s="229" t="str">
        <f>IFERROR(__xludf.DUMMYFUNCTION("""COMPUTED_VALUE"""),"#N/A")</f>
        <v>#N/A</v>
      </c>
      <c r="AA821" s="229"/>
      <c r="AB821" s="229"/>
      <c r="AC821" s="229"/>
      <c r="AD821" s="232"/>
      <c r="AE821" s="233"/>
      <c r="AF821" s="54"/>
      <c r="AG821" s="54"/>
      <c r="AH821" s="54"/>
      <c r="AI821" s="55" t="str">
        <f t="shared" si="88"/>
        <v/>
      </c>
      <c r="AW821" s="234"/>
      <c r="BP821" s="11"/>
      <c r="BQ821" s="11"/>
      <c r="BR821" s="235"/>
      <c r="BV821" s="158"/>
      <c r="BY821" s="158"/>
      <c r="CB821" s="158"/>
    </row>
    <row r="822" ht="18.0" customHeight="1">
      <c r="A822" s="222">
        <f>IFERROR(__xludf.DUMMYFUNCTION("""COMPUTED_VALUE"""),2026.0)</f>
        <v>2026</v>
      </c>
      <c r="B822" s="221">
        <f>IFERROR(__xludf.DUMMYFUNCTION("""COMPUTED_VALUE"""),1.1516393E7)</f>
        <v>11516393</v>
      </c>
      <c r="C822" s="222" t="str">
        <f>IFERROR(__xludf.DUMMYFUNCTION("""COMPUTED_VALUE"""),"RKP PT3 TSEL NGS-FA JL. HANG LEKIU")</f>
        <v>RKP PT3 TSEL NGS-FA JL. HANG LEKIU</v>
      </c>
      <c r="D822" s="222" t="str">
        <f>IFERROR(__xludf.DUMMYFUNCTION("""COMPUTED_VALUE"""),"REGIONAL I")</f>
        <v>REGIONAL I</v>
      </c>
      <c r="E822" s="222" t="str">
        <f>IFERROR(__xludf.DUMMYFUNCTION("""COMPUTED_VALUE"""),"RIKEP")</f>
        <v>RIKEP</v>
      </c>
      <c r="F822" s="222" t="str">
        <f>IFERROR(__xludf.DUMMYFUNCTION("""COMPUTED_VALUE"""),"NGS")</f>
        <v>NGS</v>
      </c>
      <c r="G822" s="222" t="str">
        <f>IFERROR(__xludf.DUMMYFUNCTION("""COMPUTED_VALUE"""),"SUMBAGTENG")</f>
        <v>SUMBAGTENG</v>
      </c>
      <c r="H822" s="222" t="str">
        <f>IFERROR(__xludf.DUMMYFUNCTION("""COMPUTED_VALUE"""),"BATAM")</f>
        <v>BATAM</v>
      </c>
      <c r="I822" s="222" t="str">
        <f>IFERROR(__xludf.DUMMYFUNCTION("""COMPUTED_VALUE"""),"Batch 2")</f>
        <v>Batch 2</v>
      </c>
      <c r="J822" s="225">
        <f>IFERROR(__xludf.DUMMYFUNCTION("""COMPUTED_VALUE"""),1.0)</f>
        <v>1</v>
      </c>
      <c r="K822" s="224">
        <f>IFERROR(__xludf.DUMMYFUNCTION("""COMPUTED_VALUE"""),8.0)</f>
        <v>8</v>
      </c>
      <c r="L822" s="226">
        <f>IFERROR(__xludf.DUMMYFUNCTION("""COMPUTED_VALUE"""),1066737.0)</f>
        <v>1066737</v>
      </c>
      <c r="M822" s="227">
        <f>IFERROR(__xludf.DUMMYFUNCTION("""COMPUTED_VALUE"""),8533890.0)</f>
        <v>8533890</v>
      </c>
      <c r="N822" s="222" t="str">
        <f>IFERROR(__xludf.DUMMYFUNCTION("""COMPUTED_VALUE"""),"PT HDUA PUTRA PRAJODA")</f>
        <v>PT HDUA PUTRA PRAJODA</v>
      </c>
      <c r="O822" s="222" t="str">
        <f>IFERROR(__xludf.DUMMYFUNCTION("""COMPUTED_VALUE"""),"8. UJI TERIMA")</f>
        <v>8. UJI TERIMA</v>
      </c>
      <c r="P822" s="222" t="str">
        <f>IFERROR(__xludf.DUMMYFUNCTION("""COMPUTED_VALUE"""),"8.3 Penyusunan Foto/ Hasil Ukur menjadi Dokument UT")</f>
        <v>8.3 Penyusunan Foto/ Hasil Ukur menjadi Dokument UT</v>
      </c>
      <c r="Q822" s="222" t="str">
        <f>IFERROR(__xludf.DUMMYFUNCTION("""COMPUTED_VALUE"""),"30/01 Penarikan KU. 28/01 Plan installasi tanggal 30 Jan. 28/01 Izin OK, Core OK. 27/01 Plan cek core hari ini, izin OK. 22/01 Plan survey 24 Jan ")</f>
        <v>30/01 Penarikan KU. 28/01 Plan installasi tanggal 30 Jan. 28/01 Izin OK, Core OK. 27/01 Plan cek core hari ini, izin OK. 22/01 Plan survey 24 Jan </v>
      </c>
      <c r="R822" s="228">
        <f>IFERROR(__xludf.DUMMYFUNCTION("""COMPUTED_VALUE"""),46071.0)</f>
        <v>46071</v>
      </c>
      <c r="S822" s="11"/>
      <c r="T822" s="11"/>
      <c r="U822" s="11" t="str">
        <f>IFERROR(__xludf.DUMMYFUNCTION("""COMPUTED_VALUE"""),"W09-112/2026")</f>
        <v>W09-112/2026</v>
      </c>
      <c r="V822" s="229" t="str">
        <f>IFERROR(__xludf.DUMMYFUNCTION("""COMPUTED_VALUE"""),"GANI PRASTYO")</f>
        <v>GANI PRASTYO</v>
      </c>
      <c r="W822" s="229" t="str">
        <f>IFERROR(__xludf.DUMMYFUNCTION("""COMPUTED_VALUE"""),"LEVITA INDRIYANI")</f>
        <v>LEVITA INDRIYANI</v>
      </c>
      <c r="X822" s="229" t="str">
        <f>IFERROR(__xludf.DUMMYFUNCTION("""COMPUTED_VALUE"""),"GOLIVE")</f>
        <v>GOLIVE</v>
      </c>
      <c r="Y822" s="229" t="str">
        <f>IFERROR(__xludf.DUMMYFUNCTION("""COMPUTED_VALUE"""),"DONE")</f>
        <v>DONE</v>
      </c>
      <c r="Z822" s="229" t="str">
        <f>IFERROR(__xludf.DUMMYFUNCTION("""COMPUTED_VALUE"""),"#N/A")</f>
        <v>#N/A</v>
      </c>
      <c r="AA822" s="229">
        <f>IFERROR(__xludf.DUMMYFUNCTION("""COMPUTED_VALUE"""),1.0)</f>
        <v>1</v>
      </c>
      <c r="AB822" s="229"/>
      <c r="AC822" s="229" t="str">
        <f>IFERROR(__xludf.DUMMYFUNCTION("""COMPUTED_VALUE"""),"9039191#9039196")</f>
        <v>9039191#9039196</v>
      </c>
      <c r="AD822" s="232">
        <f>IFERROR(__xludf.DUMMYFUNCTION("""COMPUTED_VALUE"""),8.0)</f>
        <v>8</v>
      </c>
      <c r="AE822" s="233">
        <f>IFERROR(__xludf.DUMMYFUNCTION("""COMPUTED_VALUE"""),46059.0)</f>
        <v>46059</v>
      </c>
      <c r="AF822" s="54"/>
      <c r="AG822" s="54"/>
      <c r="AH822" s="54">
        <v>46071.0</v>
      </c>
      <c r="AI822" s="55">
        <f>IF(OR(AH822="",AE822=""),"",AH822-AE822)</f>
        <v>12</v>
      </c>
      <c r="AW822" s="234"/>
      <c r="BP822" s="11"/>
      <c r="BQ822" s="11"/>
      <c r="BR822" s="235"/>
      <c r="BV822" s="158"/>
      <c r="BY822" s="158"/>
      <c r="CB822" s="158"/>
    </row>
    <row r="823" ht="18.0" customHeight="1">
      <c r="A823" s="222">
        <f>IFERROR(__xludf.DUMMYFUNCTION("""COMPUTED_VALUE"""),2026.0)</f>
        <v>2026</v>
      </c>
      <c r="B823" s="221">
        <f>IFERROR(__xludf.DUMMYFUNCTION("""COMPUTED_VALUE"""),1.1257172E7)</f>
        <v>11257172</v>
      </c>
      <c r="C823" s="222" t="str">
        <f>IFERROR(__xludf.DUMMYFUNCTION("""COMPUTED_VALUE"""),"RKP PT3 TSEL NGS-FR TELUK MATA IKAN")</f>
        <v>RKP PT3 TSEL NGS-FR TELUK MATA IKAN</v>
      </c>
      <c r="D823" s="222" t="str">
        <f>IFERROR(__xludf.DUMMYFUNCTION("""COMPUTED_VALUE"""),"REGIONAL I")</f>
        <v>REGIONAL I</v>
      </c>
      <c r="E823" s="222" t="str">
        <f>IFERROR(__xludf.DUMMYFUNCTION("""COMPUTED_VALUE"""),"RIKEP")</f>
        <v>RIKEP</v>
      </c>
      <c r="F823" s="222" t="str">
        <f>IFERROR(__xludf.DUMMYFUNCTION("""COMPUTED_VALUE"""),"NGS")</f>
        <v>NGS</v>
      </c>
      <c r="G823" s="222" t="str">
        <f>IFERROR(__xludf.DUMMYFUNCTION("""COMPUTED_VALUE"""),"SUMBAGTENG")</f>
        <v>SUMBAGTENG</v>
      </c>
      <c r="H823" s="222" t="str">
        <f>IFERROR(__xludf.DUMMYFUNCTION("""COMPUTED_VALUE"""),"BATAM")</f>
        <v>BATAM</v>
      </c>
      <c r="I823" s="222" t="str">
        <f>IFERROR(__xludf.DUMMYFUNCTION("""COMPUTED_VALUE"""),"Batch 2")</f>
        <v>Batch 2</v>
      </c>
      <c r="J823" s="225">
        <f>IFERROR(__xludf.DUMMYFUNCTION("""COMPUTED_VALUE"""),1.0)</f>
        <v>1</v>
      </c>
      <c r="K823" s="224">
        <f>IFERROR(__xludf.DUMMYFUNCTION("""COMPUTED_VALUE"""),8.0)</f>
        <v>8</v>
      </c>
      <c r="L823" s="226">
        <f>IFERROR(__xludf.DUMMYFUNCTION("""COMPUTED_VALUE"""),1064883.0)</f>
        <v>1064883</v>
      </c>
      <c r="M823" s="227">
        <f>IFERROR(__xludf.DUMMYFUNCTION("""COMPUTED_VALUE"""),8519059.0)</f>
        <v>8519059</v>
      </c>
      <c r="N823" s="222" t="str">
        <f>IFERROR(__xludf.DUMMYFUNCTION("""COMPUTED_VALUE"""),"PT HDUA PUTRA PRAJODA")</f>
        <v>PT HDUA PUTRA PRAJODA</v>
      </c>
      <c r="O823" s="222" t="str">
        <f>IFERROR(__xludf.DUMMYFUNCTION("""COMPUTED_VALUE"""),"0. DROP")</f>
        <v>0. DROP</v>
      </c>
      <c r="P823" s="222" t="str">
        <f>IFERROR(__xludf.DUMMYFUNCTION("""COMPUTED_VALUE"""),"0.2 Tidak Dapat Izin Warga/Kades/Lurah/Developer")</f>
        <v>0.2 Tidak Dapat Izin Warga/Kades/Lurah/Developer</v>
      </c>
      <c r="Q823" s="222" t="str">
        <f>IFERROR(__xludf.DUMMYFUNCTION("""COMPUTED_VALUE"""),"27/01 RT meminta wifi gratis 1 tahun di fasum, sedang koordinasi dengan TSEL. 22/01 Plan survey 24 Jan ")</f>
        <v>27/01 RT meminta wifi gratis 1 tahun di fasum, sedang koordinasi dengan TSEL. 22/01 Plan survey 24 Jan </v>
      </c>
      <c r="R823" s="228"/>
      <c r="S823" s="11"/>
      <c r="T823" s="11"/>
      <c r="U823" s="11"/>
      <c r="V823" s="229" t="str">
        <f>IFERROR(__xludf.DUMMYFUNCTION("""COMPUTED_VALUE"""),"GANI PRASTYO")</f>
        <v>GANI PRASTYO</v>
      </c>
      <c r="W823" s="229" t="str">
        <f>IFERROR(__xludf.DUMMYFUNCTION("""COMPUTED_VALUE"""),"LEVITA INDRIYANI")</f>
        <v>LEVITA INDRIYANI</v>
      </c>
      <c r="X823" s="229" t="str">
        <f>IFERROR(__xludf.DUMMYFUNCTION("""COMPUTED_VALUE"""),"BELUM GOLIVE")</f>
        <v>BELUM GOLIVE</v>
      </c>
      <c r="Y823" s="229"/>
      <c r="Z823" s="229" t="str">
        <f>IFERROR(__xludf.DUMMYFUNCTION("""COMPUTED_VALUE"""),"#N/A")</f>
        <v>#N/A</v>
      </c>
      <c r="AA823" s="229"/>
      <c r="AB823" s="229"/>
      <c r="AC823" s="229"/>
      <c r="AD823" s="232"/>
      <c r="AE823" s="233"/>
      <c r="AF823" s="54" t="str">
        <f>IFERROR(__xludf.DUMMYFUNCTION("""COMPUTED_VALUE"""),"Draft BA DROP")</f>
        <v>Draft BA DROP</v>
      </c>
      <c r="AG823" s="54"/>
      <c r="AH823" s="54"/>
      <c r="AI823" s="55" t="str">
        <f t="shared" ref="AI823:AI829" si="89">IF(OR(R823="",AE823=""),"",R823-AE823)</f>
        <v/>
      </c>
      <c r="AW823" s="234"/>
      <c r="BP823" s="11"/>
      <c r="BQ823" s="11"/>
      <c r="BR823" s="235"/>
      <c r="BV823" s="158"/>
      <c r="BY823" s="158"/>
      <c r="CB823" s="158"/>
    </row>
    <row r="824" ht="18.0" hidden="1" customHeight="1">
      <c r="A824" s="222">
        <f>IFERROR(__xludf.DUMMYFUNCTION("""COMPUTED_VALUE"""),2026.0)</f>
        <v>2026</v>
      </c>
      <c r="B824" s="221">
        <f>IFERROR(__xludf.DUMMYFUNCTION("""COMPUTED_VALUE"""),1.1131254E7)</f>
        <v>11131254</v>
      </c>
      <c r="C824" s="222" t="str">
        <f>IFERROR(__xludf.DUMMYFUNCTION("""COMPUTED_VALUE"""),"MDN PT3 P7I6 TMU-FK JL.SATRIA TIMUR")</f>
        <v>MDN PT3 P7I6 TMU-FK JL.SATRIA TIMUR</v>
      </c>
      <c r="D824" s="222" t="str">
        <f>IFERROR(__xludf.DUMMYFUNCTION("""COMPUTED_VALUE"""),"REGIONAL I")</f>
        <v>REGIONAL I</v>
      </c>
      <c r="E824" s="222" t="str">
        <f>IFERROR(__xludf.DUMMYFUNCTION("""COMPUTED_VALUE"""),"MEDAN")</f>
        <v>MEDAN</v>
      </c>
      <c r="F824" s="222" t="str">
        <f>IFERROR(__xludf.DUMMYFUNCTION("""COMPUTED_VALUE"""),"TMU")</f>
        <v>TMU</v>
      </c>
      <c r="G824" s="222" t="str">
        <f>IFERROR(__xludf.DUMMYFUNCTION("""COMPUTED_VALUE"""),"SUMBAGUT")</f>
        <v>SUMBAGUT</v>
      </c>
      <c r="H824" s="222" t="str">
        <f>IFERROR(__xludf.DUMMYFUNCTION("""COMPUTED_VALUE"""),"MEDAN")</f>
        <v>MEDAN</v>
      </c>
      <c r="I824" s="222" t="str">
        <f>IFERROR(__xludf.DUMMYFUNCTION("""COMPUTED_VALUE"""),"Batch 2")</f>
        <v>Batch 2</v>
      </c>
      <c r="J824" s="225">
        <f>IFERROR(__xludf.DUMMYFUNCTION("""COMPUTED_VALUE"""),7.0)</f>
        <v>7</v>
      </c>
      <c r="K824" s="224">
        <f>IFERROR(__xludf.DUMMYFUNCTION("""COMPUTED_VALUE"""),56.0)</f>
        <v>56</v>
      </c>
      <c r="L824" s="226">
        <f>IFERROR(__xludf.DUMMYFUNCTION("""COMPUTED_VALUE"""),1064713.0)</f>
        <v>1064713</v>
      </c>
      <c r="M824" s="227">
        <f>IFERROR(__xludf.DUMMYFUNCTION("""COMPUTED_VALUE"""),5.9623885E7)</f>
        <v>59623885</v>
      </c>
      <c r="N824" s="222" t="str">
        <f>IFERROR(__xludf.DUMMYFUNCTION("""COMPUTED_VALUE"""),"PT KANA PRISMA AKSES")</f>
        <v>PT KANA PRISMA AKSES</v>
      </c>
      <c r="O824" s="222" t="str">
        <f>IFERROR(__xludf.DUMMYFUNCTION("""COMPUTED_VALUE"""),"2. DONE AANWIJZING")</f>
        <v>2. DONE AANWIJZING</v>
      </c>
      <c r="P824" s="222" t="str">
        <f>IFERROR(__xludf.DUMMYFUNCTION("""COMPUTED_VALUE"""),"2.10 Kendala - Feeder Rusak")</f>
        <v>2.10 Kendala - Feeder Rusak</v>
      </c>
      <c r="Q824" s="222" t="str">
        <f>IFERROR(__xludf.DUMMYFUNCTION("""COMPUTED_VALUE"""),"21/04 pengecekan tipus / butuh qe
08/03 Feeder Redti 5/11 Feeder Habis
01/11proses aanwijzing")</f>
        <v>21/04 pengecekan tipus / butuh qe
08/03 Feeder Redti 5/11 Feeder Habis
01/11proses aanwijzing</v>
      </c>
      <c r="R824" s="228"/>
      <c r="S824" s="11"/>
      <c r="T824" s="11"/>
      <c r="U824" s="11"/>
      <c r="V824" s="229"/>
      <c r="W824" s="229"/>
      <c r="X824" s="229" t="str">
        <f>IFERROR(__xludf.DUMMYFUNCTION("""COMPUTED_VALUE"""),"BELUM GOLIVE")</f>
        <v>BELUM GOLIVE</v>
      </c>
      <c r="Y824" s="229"/>
      <c r="Z824" s="229" t="str">
        <f>IFERROR(__xludf.DUMMYFUNCTION("""COMPUTED_VALUE"""),"#N/A")</f>
        <v>#N/A</v>
      </c>
      <c r="AA824" s="229"/>
      <c r="AB824" s="229"/>
      <c r="AC824" s="229"/>
      <c r="AD824" s="232"/>
      <c r="AE824" s="233"/>
      <c r="AF824" s="54"/>
      <c r="AG824" s="54"/>
      <c r="AH824" s="54"/>
      <c r="AI824" s="55" t="str">
        <f t="shared" si="89"/>
        <v/>
      </c>
      <c r="AW824" s="234"/>
      <c r="BP824" s="11"/>
      <c r="BQ824" s="11"/>
      <c r="BR824" s="235"/>
      <c r="BV824" s="158"/>
      <c r="BY824" s="158"/>
      <c r="CB824" s="158"/>
    </row>
    <row r="825" ht="18.0" hidden="1" customHeight="1">
      <c r="A825" s="222">
        <f>IFERROR(__xludf.DUMMYFUNCTION("""COMPUTED_VALUE"""),2026.0)</f>
        <v>2026</v>
      </c>
      <c r="B825" s="221">
        <f>IFERROR(__xludf.DUMMYFUNCTION("""COMPUTED_VALUE"""),1.1861072E7)</f>
        <v>11861072</v>
      </c>
      <c r="C825" s="222" t="str">
        <f>IFERROR(__xludf.DUMMYFUNCTION("""COMPUTED_VALUE"""),"LPG PT3 JPP KOMP PLTD TELUK BETUNG TJK")</f>
        <v>LPG PT3 JPP KOMP PLTD TELUK BETUNG TJK</v>
      </c>
      <c r="D825" s="222" t="str">
        <f>IFERROR(__xludf.DUMMYFUNCTION("""COMPUTED_VALUE"""),"REGIONAL I")</f>
        <v>REGIONAL I</v>
      </c>
      <c r="E825" s="222" t="str">
        <f>IFERROR(__xludf.DUMMYFUNCTION("""COMPUTED_VALUE"""),"LAMPUNG")</f>
        <v>LAMPUNG</v>
      </c>
      <c r="F825" s="222" t="str">
        <f>IFERROR(__xludf.DUMMYFUNCTION("""COMPUTED_VALUE"""),"TJK")</f>
        <v>TJK</v>
      </c>
      <c r="G825" s="222" t="str">
        <f>IFERROR(__xludf.DUMMYFUNCTION("""COMPUTED_VALUE"""),"SUMBAGSEL")</f>
        <v>SUMBAGSEL</v>
      </c>
      <c r="H825" s="222" t="str">
        <f>IFERROR(__xludf.DUMMYFUNCTION("""COMPUTED_VALUE"""),"LAMPUNG")</f>
        <v>LAMPUNG</v>
      </c>
      <c r="I825" s="222" t="str">
        <f>IFERROR(__xludf.DUMMYFUNCTION("""COMPUTED_VALUE"""),"Batch 2")</f>
        <v>Batch 2</v>
      </c>
      <c r="J825" s="225">
        <f>IFERROR(__xludf.DUMMYFUNCTION("""COMPUTED_VALUE"""),3.0)</f>
        <v>3</v>
      </c>
      <c r="K825" s="224">
        <f>IFERROR(__xludf.DUMMYFUNCTION("""COMPUTED_VALUE"""),24.0)</f>
        <v>24</v>
      </c>
      <c r="L825" s="226">
        <f>IFERROR(__xludf.DUMMYFUNCTION("""COMPUTED_VALUE"""),1064624.0)</f>
        <v>1064624</v>
      </c>
      <c r="M825" s="227">
        <f>IFERROR(__xludf.DUMMYFUNCTION("""COMPUTED_VALUE"""),2.5550958E7)</f>
        <v>25550958</v>
      </c>
      <c r="N825" s="222" t="str">
        <f>IFERROR(__xludf.DUMMYFUNCTION("""COMPUTED_VALUE"""),"SWAKELOLA")</f>
        <v>SWAKELOLA</v>
      </c>
      <c r="O825" s="222" t="str">
        <f>IFERROR(__xludf.DUMMYFUNCTION("""COMPUTED_VALUE"""),"0. DROP")</f>
        <v>0. DROP</v>
      </c>
      <c r="P825" s="222" t="str">
        <f>IFERROR(__xludf.DUMMYFUNCTION("""COMPUTED_VALUE"""),"0.2 Tidak Dapat Izin Warga/Kades/Lurah/Developer")</f>
        <v>0.2 Tidak Dapat Izin Warga/Kades/Lurah/Developer</v>
      </c>
      <c r="Q825" s="222" t="str">
        <f>IFERROR(__xludf.DUMMYFUNCTION("""COMPUTED_VALUE"""),"10/2 tidak di ijinkan oleh warga dan kepala desa ,rt/rt
4/2 pengecekan electrical dan perizinan
3/2 proses pengacekan core dan perizinan")</f>
        <v>10/2 tidak di ijinkan oleh warga dan kepala desa ,rt/rt
4/2 pengecekan electrical dan perizinan
3/2 proses pengacekan core dan perizinan</v>
      </c>
      <c r="R825" s="228"/>
      <c r="S825" s="11"/>
      <c r="T825" s="11"/>
      <c r="U825" s="11" t="str">
        <f>IFERROR(__xludf.DUMMYFUNCTION("""COMPUTED_VALUE"""),"W02-483/2025")</f>
        <v>W02-483/2025</v>
      </c>
      <c r="V825" s="229"/>
      <c r="W825" s="229"/>
      <c r="X825" s="229" t="str">
        <f>IFERROR(__xludf.DUMMYFUNCTION("""COMPUTED_VALUE"""),"BELUM GOLIVE")</f>
        <v>BELUM GOLIVE</v>
      </c>
      <c r="Y825" s="229"/>
      <c r="Z825" s="229" t="str">
        <f>IFERROR(__xludf.DUMMYFUNCTION("""COMPUTED_VALUE"""),"#N/A")</f>
        <v>#N/A</v>
      </c>
      <c r="AA825" s="229"/>
      <c r="AB825" s="229"/>
      <c r="AC825" s="229"/>
      <c r="AD825" s="232"/>
      <c r="AE825" s="233"/>
      <c r="AF825" s="54" t="str">
        <f>IFERROR(__xludf.DUMMYFUNCTION("""COMPUTED_VALUE"""),"Draft BA DROP")</f>
        <v>Draft BA DROP</v>
      </c>
      <c r="AG825" s="54"/>
      <c r="AH825" s="54"/>
      <c r="AI825" s="55" t="str">
        <f t="shared" si="89"/>
        <v/>
      </c>
      <c r="AW825" s="234"/>
      <c r="BP825" s="11"/>
      <c r="BQ825" s="11"/>
      <c r="BR825" s="235"/>
      <c r="BV825" s="158"/>
      <c r="BY825" s="158"/>
      <c r="CB825" s="158"/>
    </row>
    <row r="826" ht="18.0" customHeight="1">
      <c r="A826" s="222">
        <f>IFERROR(__xludf.DUMMYFUNCTION("""COMPUTED_VALUE"""),2026.0)</f>
        <v>2026</v>
      </c>
      <c r="B826" s="221">
        <f>IFERROR(__xludf.DUMMYFUNCTION("""COMPUTED_VALUE"""),1.1516358E7)</f>
        <v>11516358</v>
      </c>
      <c r="C826" s="222" t="str">
        <f>IFERROR(__xludf.DUMMYFUNCTION("""COMPUTED_VALUE"""),"RKP PT3 TSEL PNI-FAE BUKIT LAGUNA 3_")</f>
        <v>RKP PT3 TSEL PNI-FAE BUKIT LAGUNA 3_</v>
      </c>
      <c r="D826" s="222" t="str">
        <f>IFERROR(__xludf.DUMMYFUNCTION("""COMPUTED_VALUE"""),"REGIONAL I")</f>
        <v>REGIONAL I</v>
      </c>
      <c r="E826" s="222" t="str">
        <f>IFERROR(__xludf.DUMMYFUNCTION("""COMPUTED_VALUE"""),"RIKEP")</f>
        <v>RIKEP</v>
      </c>
      <c r="F826" s="222" t="str">
        <f>IFERROR(__xludf.DUMMYFUNCTION("""COMPUTED_VALUE"""),"PNI")</f>
        <v>PNI</v>
      </c>
      <c r="G826" s="222" t="str">
        <f>IFERROR(__xludf.DUMMYFUNCTION("""COMPUTED_VALUE"""),"SUMBAGTENG")</f>
        <v>SUMBAGTENG</v>
      </c>
      <c r="H826" s="222" t="str">
        <f>IFERROR(__xludf.DUMMYFUNCTION("""COMPUTED_VALUE"""),"BATAM")</f>
        <v>BATAM</v>
      </c>
      <c r="I826" s="222" t="str">
        <f>IFERROR(__xludf.DUMMYFUNCTION("""COMPUTED_VALUE"""),"Batch 2")</f>
        <v>Batch 2</v>
      </c>
      <c r="J826" s="225">
        <f>IFERROR(__xludf.DUMMYFUNCTION("""COMPUTED_VALUE"""),5.0)</f>
        <v>5</v>
      </c>
      <c r="K826" s="224">
        <f>IFERROR(__xludf.DUMMYFUNCTION("""COMPUTED_VALUE"""),40.0)</f>
        <v>40</v>
      </c>
      <c r="L826" s="226">
        <f>IFERROR(__xludf.DUMMYFUNCTION("""COMPUTED_VALUE"""),1064090.0)</f>
        <v>1064090</v>
      </c>
      <c r="M826" s="227">
        <f>IFERROR(__xludf.DUMMYFUNCTION("""COMPUTED_VALUE"""),4.256357E7)</f>
        <v>42563570</v>
      </c>
      <c r="N826" s="222" t="str">
        <f>IFERROR(__xludf.DUMMYFUNCTION("""COMPUTED_VALUE"""),"PT HDUA PUTRA PRAJODA")</f>
        <v>PT HDUA PUTRA PRAJODA</v>
      </c>
      <c r="O826" s="222" t="str">
        <f>IFERROR(__xludf.DUMMYFUNCTION("""COMPUTED_VALUE"""),"0. DROP")</f>
        <v>0. DROP</v>
      </c>
      <c r="P826" s="222" t="str">
        <f>IFERROR(__xludf.DUMMYFUNCTION("""COMPUTED_VALUE"""),"0.2 Tidak Dapat Izin Warga/Kades/Lurah/Developer")</f>
        <v>0.2 Tidak Dapat Izin Warga/Kades/Lurah/Developer</v>
      </c>
      <c r="Q826" s="222" t="str">
        <f>IFERROR(__xludf.DUMMYFUNCTION("""COMPUTED_VALUE"""),"27/01 Izin di tolak karena sudah ada provider intech di lokasi tsb. 21/01 Plan survey tanggal 23 Jan 2026")</f>
        <v>27/01 Izin di tolak karena sudah ada provider intech di lokasi tsb. 21/01 Plan survey tanggal 23 Jan 2026</v>
      </c>
      <c r="R826" s="228"/>
      <c r="S826" s="11"/>
      <c r="T826" s="11"/>
      <c r="U826" s="11"/>
      <c r="V826" s="229" t="str">
        <f>IFERROR(__xludf.DUMMYFUNCTION("""COMPUTED_VALUE"""),"GANI PRASTYO")</f>
        <v>GANI PRASTYO</v>
      </c>
      <c r="W826" s="229" t="str">
        <f>IFERROR(__xludf.DUMMYFUNCTION("""COMPUTED_VALUE"""),"LEVITA INDRIYANI")</f>
        <v>LEVITA INDRIYANI</v>
      </c>
      <c r="X826" s="229" t="str">
        <f>IFERROR(__xludf.DUMMYFUNCTION("""COMPUTED_VALUE"""),"BELUM GOLIVE")</f>
        <v>BELUM GOLIVE</v>
      </c>
      <c r="Y826" s="229"/>
      <c r="Z826" s="229" t="str">
        <f>IFERROR(__xludf.DUMMYFUNCTION("""COMPUTED_VALUE"""),"#N/A")</f>
        <v>#N/A</v>
      </c>
      <c r="AA826" s="229"/>
      <c r="AB826" s="229"/>
      <c r="AC826" s="229"/>
      <c r="AD826" s="232"/>
      <c r="AE826" s="233"/>
      <c r="AF826" s="54" t="str">
        <f>IFERROR(__xludf.DUMMYFUNCTION("""COMPUTED_VALUE"""),"Draft BA DROP")</f>
        <v>Draft BA DROP</v>
      </c>
      <c r="AG826" s="54"/>
      <c r="AH826" s="54"/>
      <c r="AI826" s="55" t="str">
        <f t="shared" si="89"/>
        <v/>
      </c>
      <c r="AW826" s="234"/>
      <c r="BP826" s="11"/>
      <c r="BQ826" s="11"/>
      <c r="BR826" s="235"/>
      <c r="BV826" s="158"/>
      <c r="BY826" s="158"/>
      <c r="CB826" s="158"/>
    </row>
    <row r="827" ht="18.0" hidden="1" customHeight="1">
      <c r="A827" s="222">
        <f>IFERROR(__xludf.DUMMYFUNCTION("""COMPUTED_VALUE"""),2026.0)</f>
        <v>2026</v>
      </c>
      <c r="B827" s="221">
        <f>IFERROR(__xludf.DUMMYFUNCTION("""COMPUTED_VALUE"""),1.1893229E7)</f>
        <v>11893229</v>
      </c>
      <c r="C827" s="222" t="str">
        <f>IFERROR(__xludf.DUMMYFUNCTION("""COMPUTED_VALUE"""),"SMU PT3 ODC-TBT-FAZ D03 Mebabu Sergai")</f>
        <v>SMU PT3 ODC-TBT-FAZ D03 Mebabu Sergai</v>
      </c>
      <c r="D827" s="222" t="str">
        <f>IFERROR(__xludf.DUMMYFUNCTION("""COMPUTED_VALUE"""),"REGIONAL I")</f>
        <v>REGIONAL I</v>
      </c>
      <c r="E827" s="222" t="str">
        <f>IFERROR(__xludf.DUMMYFUNCTION("""COMPUTED_VALUE"""),"SUMUT")</f>
        <v>SUMUT</v>
      </c>
      <c r="F827" s="222" t="str">
        <f>IFERROR(__xludf.DUMMYFUNCTION("""COMPUTED_VALUE"""),"TBT")</f>
        <v>TBT</v>
      </c>
      <c r="G827" s="222" t="str">
        <f>IFERROR(__xludf.DUMMYFUNCTION("""COMPUTED_VALUE"""),"SUMBAGUT")</f>
        <v>SUMBAGUT</v>
      </c>
      <c r="H827" s="222" t="str">
        <f>IFERROR(__xludf.DUMMYFUNCTION("""COMPUTED_VALUE"""),"PEMATANG SIANTAR")</f>
        <v>PEMATANG SIANTAR</v>
      </c>
      <c r="I827" s="222" t="str">
        <f>IFERROR(__xludf.DUMMYFUNCTION("""COMPUTED_VALUE"""),"Batch 2")</f>
        <v>Batch 2</v>
      </c>
      <c r="J827" s="225">
        <f>IFERROR(__xludf.DUMMYFUNCTION("""COMPUTED_VALUE"""),24.0)</f>
        <v>24</v>
      </c>
      <c r="K827" s="224">
        <f>IFERROR(__xludf.DUMMYFUNCTION("""COMPUTED_VALUE"""),192.0)</f>
        <v>192</v>
      </c>
      <c r="L827" s="226">
        <f>IFERROR(__xludf.DUMMYFUNCTION("""COMPUTED_VALUE"""),1063800.0)</f>
        <v>1063800</v>
      </c>
      <c r="M827" s="227">
        <f>IFERROR(__xludf.DUMMYFUNCTION("""COMPUTED_VALUE"""),2.04249504E8)</f>
        <v>204249504</v>
      </c>
      <c r="N827" s="222" t="str">
        <f>IFERROR(__xludf.DUMMYFUNCTION("""COMPUTED_VALUE"""),"PT GARINDO TECHNO MANDIRI")</f>
        <v>PT GARINDO TECHNO MANDIRI</v>
      </c>
      <c r="O827" s="222" t="str">
        <f>IFERROR(__xludf.DUMMYFUNCTION("""COMPUTED_VALUE"""),"7. GOLIVE")</f>
        <v>7. GOLIVE</v>
      </c>
      <c r="P827" s="222" t="str">
        <f>IFERROR(__xludf.DUMMYFUNCTION("""COMPUTED_VALUE"""),"7.2 Golive Full / OA / DONE OTB")</f>
        <v>7.2 Golive Full / OA / DONE OTB</v>
      </c>
      <c r="Q827" s="222" t="str">
        <f>IFERROR(__xludf.DUMMYFUNCTION("""COMPUTED_VALUE"""),"6/3 validasi sdi, 5/3 hari ini valins 23 odp, 4/3 proses valins 23 odp plab besok tgl 5 februari, 3/3 plan besok valins 23 odp, 2/3 proses valins 23 odp, 27/2 progres terminasi 24 odp,, 25/2 progres terminasi 24 odp,, 23/2 team serial di lop pms faz, sisa"&amp;" terminasi 24 odp, ku12 (2357 selesai, ku 24 (3492 selesai, tiang 20 selesai, 
20/2 team proses  terminasi 24 odp, ku12 (2357 selesai, ku 24 (3492 selesai, tiang 20 selesai, 19/2 team jointer serial di lop bintang cemerlang, sisa terminasi 24 odp, ku12 (2"&amp;"357 selesai, ku 24 (3492 selesai, tiang 20 selesai, 18/2 team jointer serial di lop bintang cemerlang, sisa terminasi 24 odp, ku12 (2357 selesai, ku 24 (3492 selesai, tiang 20 selesai, 16/2 plan besok 17 feb team ke lokasi untuk progres sisa terminasi 24 "&amp;"odp, ku12 (2357 selesai, ku 24 (3492 selesai, tiang 20 selesai,  13/2 sisa terminasi 24 odp, ku12 (2357 selesai, ku 24 (3492 selesai, tiang 20 selesai, 12/2 penarikan ku 24 (3492 selesai, ku 12 (2357 sisa 157, odp 24  blm selesai, tiang 20 selesai,   11/2"&amp;" penarikan ku 24 (3492 selesai, ku 12 (2357 sisa 157, odp 24  blm selesai, tiang 20 selesai, 10/2 penarikan ku 24 (3492 selesai, ku 12 (2357 selesai, odp 24  blm selesai, tiang 20 selesai, 9/2 penarikan ku 24 (3492 sisa 642, ku 12 (2357 selesai, odp 24  b"&amp;"lm selesai, tiang 20 sisa 10, 6/2 penarikan ku 24 (3492 sisa 642, ku 12 (2357 selesai, odp 24 selesai, tiang 20 blm progres, 5/2 penarikan ku 24 (3492 sosa 1892, ku 12 (2357 selesai, odp 24 selesai, tiang 20 blm progres, 3/2 penarikan kabel ku12 (2357), k"&amp;"u24 (3492), odp 24, tiang 20, 2/2 prepare tim untuk penarikan kabel, 1/2 penarikan kabel, 30/1 plan progres besok 31/1, 28/1 matrial on site, 27/1 plan ambil matrial ke gudang besok 28/1, 26/1 prepair team untuk pengambilan matrial ke gudang, 23/1 proses "&amp;"input matrial, 22/1 proses req material, 21/1 menunggu req matrial mitra, 20/1 menunggu boq kml hasil survey lapangan, 19/1 menunggu boq kml hasil survey lapangan,15/1 plan survey tanggal 16/1, 14/01 plan survey tanggal 15/01, 13/01 plan survey tanggal 15"&amp;"/01, (07/01) Persiapan")</f>
        <v>6/3 validasi sdi, 5/3 hari ini valins 23 odp, 4/3 proses valins 23 odp plab besok tgl 5 februari, 3/3 plan besok valins 23 odp, 2/3 proses valins 23 odp, 27/2 progres terminasi 24 odp,, 25/2 progres terminasi 24 odp,, 23/2 team serial di lop pms faz, sisa terminasi 24 odp, ku12 (2357 selesai, ku 24 (3492 selesai, tiang 20 selesai, 
20/2 team proses  terminasi 24 odp, ku12 (2357 selesai, ku 24 (3492 selesai, tiang 20 selesai, 19/2 team jointer serial di lop bintang cemerlang, sisa terminasi 24 odp, ku12 (2357 selesai, ku 24 (3492 selesai, tiang 20 selesai, 18/2 team jointer serial di lop bintang cemerlang, sisa terminasi 24 odp, ku12 (2357 selesai, ku 24 (3492 selesai, tiang 20 selesai, 16/2 plan besok 17 feb team ke lokasi untuk progres sisa terminasi 24 odp, ku12 (2357 selesai, ku 24 (3492 selesai, tiang 20 selesai,  13/2 sisa terminasi 24 odp, ku12 (2357 selesai, ku 24 (3492 selesai, tiang 20 selesai, 12/2 penarikan ku 24 (3492 selesai, ku 12 (2357 sisa 157, odp 24  blm selesai, tiang 20 selesai,   11/2 penarikan ku 24 (3492 selesai, ku 12 (2357 sisa 157, odp 24  blm selesai, tiang 20 selesai, 10/2 penarikan ku 24 (3492 selesai, ku 12 (2357 selesai, odp 24  blm selesai, tiang 20 selesai, 9/2 penarikan ku 24 (3492 sisa 642, ku 12 (2357 selesai, odp 24  blm selesai, tiang 20 sisa 10, 6/2 penarikan ku 24 (3492 sisa 642, ku 12 (2357 selesai, odp 24 selesai, tiang 20 blm progres, 5/2 penarikan ku 24 (3492 sosa 1892, ku 12 (2357 selesai, odp 24 selesai, tiang 20 blm progres, 3/2 penarikan kabel ku12 (2357), ku24 (3492), odp 24, tiang 20, 2/2 prepare tim untuk penarikan kabel, 1/2 penarikan kabel, 30/1 plan progres besok 31/1, 28/1 matrial on site, 27/1 plan ambil matrial ke gudang besok 28/1, 26/1 prepair team untuk pengambilan matrial ke gudang, 23/1 proses input matrial, 22/1 proses req material, 21/1 menunggu req matrial mitra, 20/1 menunggu boq kml hasil survey lapangan, 19/1 menunggu boq kml hasil survey lapangan,15/1 plan survey tanggal 16/1, 14/01 plan survey tanggal 15/01, 13/01 plan survey tanggal 15/01, (07/01) Persiapan</v>
      </c>
      <c r="R827" s="228">
        <f>IFERROR(__xludf.DUMMYFUNCTION("""COMPUTED_VALUE"""),46087.0)</f>
        <v>46087</v>
      </c>
      <c r="S827" s="11" t="str">
        <f>IFERROR(__xludf.DUMMYFUNCTION("""COMPUTED_VALUE"""),"MAR")</f>
        <v>MAR</v>
      </c>
      <c r="T827" s="11"/>
      <c r="U827" s="11" t="str">
        <f>IFERROR(__xludf.DUMMYFUNCTION("""COMPUTED_VALUE"""),"TIF-1416/2026")</f>
        <v>TIF-1416/2026</v>
      </c>
      <c r="V827" s="229"/>
      <c r="W827" s="229"/>
      <c r="X827" s="229" t="str">
        <f>IFERROR(__xludf.DUMMYFUNCTION("""COMPUTED_VALUE"""),"GOLIVE")</f>
        <v>GOLIVE</v>
      </c>
      <c r="Y827" s="229" t="str">
        <f>IFERROR(__xludf.DUMMYFUNCTION("""COMPUTED_VALUE"""),"DONE")</f>
        <v>DONE</v>
      </c>
      <c r="Z827" s="229" t="str">
        <f>IFERROR(__xludf.DUMMYFUNCTION("""COMPUTED_VALUE"""),"#N/A")</f>
        <v>#N/A</v>
      </c>
      <c r="AA827" s="229">
        <f>IFERROR(__xludf.DUMMYFUNCTION("""COMPUTED_VALUE"""),23.0)</f>
        <v>23</v>
      </c>
      <c r="AB827" s="229"/>
      <c r="AC827" s="229" t="str">
        <f>IFERROR(__xludf.DUMMYFUNCTION("""COMPUTED_VALUE"""),"9185634#9185640,9191408#9191413")</f>
        <v>9185634#9185640,9191408#9191413</v>
      </c>
      <c r="AD827" s="232">
        <f>IFERROR(__xludf.DUMMYFUNCTION("""COMPUTED_VALUE"""),184.0)</f>
        <v>184</v>
      </c>
      <c r="AE827" s="233">
        <f>IFERROR(__xludf.DUMMYFUNCTION("""COMPUTED_VALUE"""),46087.0)</f>
        <v>46087</v>
      </c>
      <c r="AF827" s="54"/>
      <c r="AG827" s="54"/>
      <c r="AH827" s="54">
        <v>46087.0</v>
      </c>
      <c r="AI827" s="55">
        <f t="shared" si="89"/>
        <v>0</v>
      </c>
      <c r="AW827" s="234"/>
      <c r="BP827" s="11"/>
      <c r="BQ827" s="11"/>
      <c r="BR827" s="235"/>
      <c r="BV827" s="158"/>
      <c r="BY827" s="158"/>
      <c r="CB827" s="158"/>
    </row>
    <row r="828" ht="18.0" hidden="1" customHeight="1">
      <c r="A828" s="222">
        <f>IFERROR(__xludf.DUMMYFUNCTION("""COMPUTED_VALUE"""),2026.0)</f>
        <v>2026</v>
      </c>
      <c r="B828" s="221">
        <f>IFERROR(__xludf.DUMMYFUNCTION("""COMPUTED_VALUE"""),1.2134421E7)</f>
        <v>12134421</v>
      </c>
      <c r="C828" s="222" t="str">
        <f>IFERROR(__xludf.DUMMYFUNCTION("""COMPUTED_VALUE"""),"JBI-PT3 BRAN-PLTSEL-BKO-FH-ID 548884")</f>
        <v>JBI-PT3 BRAN-PLTSEL-BKO-FH-ID 548884</v>
      </c>
      <c r="D828" s="222" t="str">
        <f>IFERROR(__xludf.DUMMYFUNCTION("""COMPUTED_VALUE"""),"REGIONAL I")</f>
        <v>REGIONAL I</v>
      </c>
      <c r="E828" s="222" t="str">
        <f>IFERROR(__xludf.DUMMYFUNCTION("""COMPUTED_VALUE"""),"JAMBI")</f>
        <v>JAMBI</v>
      </c>
      <c r="F828" s="222" t="str">
        <f>IFERROR(__xludf.DUMMYFUNCTION("""COMPUTED_VALUE"""),"BKO")</f>
        <v>BKO</v>
      </c>
      <c r="G828" s="222" t="str">
        <f>IFERROR(__xludf.DUMMYFUNCTION("""COMPUTED_VALUE"""),"SUMBAGSEL")</f>
        <v>SUMBAGSEL</v>
      </c>
      <c r="H828" s="222" t="str">
        <f>IFERROR(__xludf.DUMMYFUNCTION("""COMPUTED_VALUE"""),"JAMBI")</f>
        <v>JAMBI</v>
      </c>
      <c r="I828" s="222" t="str">
        <f>IFERROR(__xludf.DUMMYFUNCTION("""COMPUTED_VALUE"""),"Batch 2")</f>
        <v>Batch 2</v>
      </c>
      <c r="J828" s="225">
        <f>IFERROR(__xludf.DUMMYFUNCTION("""COMPUTED_VALUE"""),2.0)</f>
        <v>2</v>
      </c>
      <c r="K828" s="224">
        <f>IFERROR(__xludf.DUMMYFUNCTION("""COMPUTED_VALUE"""),16.0)</f>
        <v>16</v>
      </c>
      <c r="L828" s="226">
        <f>IFERROR(__xludf.DUMMYFUNCTION("""COMPUTED_VALUE"""),1063761.0)</f>
        <v>1063761</v>
      </c>
      <c r="M828" s="227">
        <f>IFERROR(__xludf.DUMMYFUNCTION("""COMPUTED_VALUE"""),1.7020174E7)</f>
        <v>17020174</v>
      </c>
      <c r="N828" s="222" t="str">
        <f>IFERROR(__xludf.DUMMYFUNCTION("""COMPUTED_VALUE"""),"PT TRIPUTRA ANDALAN")</f>
        <v>PT TRIPUTRA ANDALAN</v>
      </c>
      <c r="O828" s="222" t="str">
        <f>IFERROR(__xludf.DUMMYFUNCTION("""COMPUTED_VALUE"""),"0. DROP")</f>
        <v>0. DROP</v>
      </c>
      <c r="P828" s="222" t="str">
        <f>IFERROR(__xludf.DUMMYFUNCTION("""COMPUTED_VALUE"""),"0.1 Double Order")</f>
        <v>0.1 Double Order</v>
      </c>
      <c r="Q828" s="222" t="str">
        <f>IFERROR(__xludf.DUMMYFUNCTION("""COMPUTED_VALUE"""),"3/3 hasil meeting ED TIF Area - TA region dan Area DROP sudah ada ODP lain 12/1) BA Drop Sirkulir-PERMINTAAN TSEL ODP EXISTING KOSONG  (06/01)order JPP batch-2 2026 (08/10 Done Aanwijzing ODP existing masih kosong 06/10 Penjadwalan aanwijzing (16/09) Mapp"&amp;"ing mitra")</f>
        <v>3/3 hasil meeting ED TIF Area - TA region dan Area DROP sudah ada ODP lain 12/1) BA Drop Sirkulir-PERMINTAAN TSEL ODP EXISTING KOSONG  (06/01)order JPP batch-2 2026 (08/10 Done Aanwijzing ODP existing masih kosong 06/10 Penjadwalan aanwijzing (16/09) Mapping mitra</v>
      </c>
      <c r="R828" s="228"/>
      <c r="S828" s="11"/>
      <c r="T828" s="11"/>
      <c r="U828" s="11"/>
      <c r="V828" s="229"/>
      <c r="W828" s="229"/>
      <c r="X828" s="229" t="str">
        <f>IFERROR(__xludf.DUMMYFUNCTION("""COMPUTED_VALUE"""),"BELUM GOLIVE")</f>
        <v>BELUM GOLIVE</v>
      </c>
      <c r="Y828" s="229"/>
      <c r="Z828" s="229" t="str">
        <f>IFERROR(__xludf.DUMMYFUNCTION("""COMPUTED_VALUE"""),"#N/A")</f>
        <v>#N/A</v>
      </c>
      <c r="AA828" s="229"/>
      <c r="AB828" s="229"/>
      <c r="AC828" s="229"/>
      <c r="AD828" s="232"/>
      <c r="AE828" s="233"/>
      <c r="AF828" s="54" t="str">
        <f>IFERROR(__xludf.DUMMYFUNCTION("""COMPUTED_VALUE"""),"Draft BA DROP")</f>
        <v>Draft BA DROP</v>
      </c>
      <c r="AG828" s="54"/>
      <c r="AH828" s="54"/>
      <c r="AI828" s="55" t="str">
        <f t="shared" si="89"/>
        <v/>
      </c>
      <c r="AW828" s="234"/>
      <c r="BP828" s="11"/>
      <c r="BQ828" s="11"/>
      <c r="BR828" s="235"/>
      <c r="BV828" s="158"/>
      <c r="BY828" s="158"/>
      <c r="CB828" s="158"/>
    </row>
    <row r="829" ht="18.0" customHeight="1">
      <c r="A829" s="222">
        <f>IFERROR(__xludf.DUMMYFUNCTION("""COMPUTED_VALUE"""),2026.0)</f>
        <v>2026</v>
      </c>
      <c r="B829" s="221">
        <f>IFERROR(__xludf.DUMMYFUNCTION("""COMPUTED_VALUE"""),1.1016743E7)</f>
        <v>11016743</v>
      </c>
      <c r="C829" s="222" t="str">
        <f>IFERROR(__xludf.DUMMYFUNCTION("""COMPUTED_VALUE"""),"SMB P7I4 Perumahan Abi Pertanian 3")</f>
        <v>SMB P7I4 Perumahan Abi Pertanian 3</v>
      </c>
      <c r="D829" s="222" t="str">
        <f>IFERROR(__xludf.DUMMYFUNCTION("""COMPUTED_VALUE"""),"REGIONAL I")</f>
        <v>REGIONAL I</v>
      </c>
      <c r="E829" s="222" t="str">
        <f>IFERROR(__xludf.DUMMYFUNCTION("""COMPUTED_VALUE"""),"SUMBAR")</f>
        <v>SUMBAR</v>
      </c>
      <c r="F829" s="222" t="str">
        <f>IFERROR(__xludf.DUMMYFUNCTION("""COMPUTED_VALUE"""),"KJI")</f>
        <v>KJI</v>
      </c>
      <c r="G829" s="222" t="str">
        <f>IFERROR(__xludf.DUMMYFUNCTION("""COMPUTED_VALUE"""),"SUMBAGTENG")</f>
        <v>SUMBAGTENG</v>
      </c>
      <c r="H829" s="222" t="str">
        <f>IFERROR(__xludf.DUMMYFUNCTION("""COMPUTED_VALUE"""),"PADANG")</f>
        <v>PADANG</v>
      </c>
      <c r="I829" s="222" t="str">
        <f>IFERROR(__xludf.DUMMYFUNCTION("""COMPUTED_VALUE"""),"Batch 2")</f>
        <v>Batch 2</v>
      </c>
      <c r="J829" s="225">
        <f>IFERROR(__xludf.DUMMYFUNCTION("""COMPUTED_VALUE"""),3.0)</f>
        <v>3</v>
      </c>
      <c r="K829" s="224">
        <f>IFERROR(__xludf.DUMMYFUNCTION("""COMPUTED_VALUE"""),24.0)</f>
        <v>24</v>
      </c>
      <c r="L829" s="226">
        <f>IFERROR(__xludf.DUMMYFUNCTION("""COMPUTED_VALUE"""),1063252.0)</f>
        <v>1063252</v>
      </c>
      <c r="M829" s="227">
        <f>IFERROR(__xludf.DUMMYFUNCTION("""COMPUTED_VALUE"""),2.5518037E7)</f>
        <v>25518037</v>
      </c>
      <c r="N829" s="222" t="str">
        <f>IFERROR(__xludf.DUMMYFUNCTION("""COMPUTED_VALUE"""),"PT ALAM UTAMA MULIA")</f>
        <v>PT ALAM UTAMA MULIA</v>
      </c>
      <c r="O829" s="222" t="str">
        <f>IFERROR(__xludf.DUMMYFUNCTION("""COMPUTED_VALUE"""),"8. UJI TERIMA")</f>
        <v>8. UJI TERIMA</v>
      </c>
      <c r="P829" s="222" t="str">
        <f>IFERROR(__xludf.DUMMYFUNCTION("""COMPUTED_VALUE"""),"8.1 Proses UT")</f>
        <v>8.1 Proses UT</v>
      </c>
      <c r="Q829" s="222" t="str">
        <f>IFERROR(__xludf.DUMMYFUNCTION("""COMPUTED_VALUE"""),"(07/01) Persiapan")</f>
        <v>(07/01) Persiapan</v>
      </c>
      <c r="R829" s="228"/>
      <c r="S829" s="11"/>
      <c r="T829" s="11"/>
      <c r="U829" s="11" t="str">
        <f>IFERROR(__xludf.DUMMYFUNCTION("""COMPUTED_VALUE"""),"W10-1791/2025 25KT03R158-0574")</f>
        <v>W10-1791/2025 25KT03R158-0574</v>
      </c>
      <c r="V829" s="229" t="str">
        <f>IFERROR(__xludf.DUMMYFUNCTION("""COMPUTED_VALUE"""),"ALDI EFENDI")</f>
        <v>ALDI EFENDI</v>
      </c>
      <c r="W829" s="229" t="str">
        <f>IFERROR(__xludf.DUMMYFUNCTION("""COMPUTED_VALUE"""),"MELKO NARWADI")</f>
        <v>MELKO NARWADI</v>
      </c>
      <c r="X829" s="229" t="str">
        <f>IFERROR(__xludf.DUMMYFUNCTION("""COMPUTED_VALUE"""),"GOLIVE")</f>
        <v>GOLIVE</v>
      </c>
      <c r="Y829" s="229" t="str">
        <f>IFERROR(__xludf.DUMMYFUNCTION("""COMPUTED_VALUE"""),"DONE")</f>
        <v>DONE</v>
      </c>
      <c r="Z829" s="229" t="str">
        <f>IFERROR(__xludf.DUMMYFUNCTION("""COMPUTED_VALUE"""),"#N/A")</f>
        <v>#N/A</v>
      </c>
      <c r="AA829" s="229">
        <f>IFERROR(__xludf.DUMMYFUNCTION("""COMPUTED_VALUE"""),3.0)</f>
        <v>3</v>
      </c>
      <c r="AB829" s="229"/>
      <c r="AC829" s="229" t="str">
        <f>IFERROR(__xludf.DUMMYFUNCTION("""COMPUTED_VALUE"""),"8944639#8944644")</f>
        <v>8944639#8944644</v>
      </c>
      <c r="AD829" s="232">
        <f>IFERROR(__xludf.DUMMYFUNCTION("""COMPUTED_VALUE"""),24.0)</f>
        <v>24</v>
      </c>
      <c r="AE829" s="233">
        <f>IFERROR(__xludf.DUMMYFUNCTION("""COMPUTED_VALUE"""),46034.0)</f>
        <v>46034</v>
      </c>
      <c r="AF829" s="54"/>
      <c r="AG829" s="54"/>
      <c r="AH829" s="54"/>
      <c r="AI829" s="55" t="str">
        <f t="shared" si="89"/>
        <v/>
      </c>
      <c r="AW829" s="234"/>
      <c r="BP829" s="11"/>
      <c r="BQ829" s="11"/>
      <c r="BR829" s="235"/>
      <c r="BV829" s="158"/>
      <c r="BY829" s="158"/>
      <c r="CB829" s="158"/>
    </row>
    <row r="830" ht="18.0" customHeight="1">
      <c r="A830" s="222">
        <f>IFERROR(__xludf.DUMMYFUNCTION("""COMPUTED_VALUE"""),2026.0)</f>
        <v>2026</v>
      </c>
      <c r="B830" s="221">
        <f>IFERROR(__xludf.DUMMYFUNCTION("""COMPUTED_VALUE"""),1.1560325E7)</f>
        <v>11560325</v>
      </c>
      <c r="C830" s="222" t="str">
        <f>IFERROR(__xludf.DUMMYFUNCTION("""COMPUTED_VALUE"""),"RKP TSEL PT3 TBK-FZ PERUM NICOLIA")</f>
        <v>RKP TSEL PT3 TBK-FZ PERUM NICOLIA</v>
      </c>
      <c r="D830" s="222" t="str">
        <f>IFERROR(__xludf.DUMMYFUNCTION("""COMPUTED_VALUE"""),"REGIONAL I")</f>
        <v>REGIONAL I</v>
      </c>
      <c r="E830" s="222" t="str">
        <f>IFERROR(__xludf.DUMMYFUNCTION("""COMPUTED_VALUE"""),"RIKEP")</f>
        <v>RIKEP</v>
      </c>
      <c r="F830" s="222" t="str">
        <f>IFERROR(__xludf.DUMMYFUNCTION("""COMPUTED_VALUE"""),"TBK")</f>
        <v>TBK</v>
      </c>
      <c r="G830" s="222" t="str">
        <f>IFERROR(__xludf.DUMMYFUNCTION("""COMPUTED_VALUE"""),"SUMBAGTENG")</f>
        <v>SUMBAGTENG</v>
      </c>
      <c r="H830" s="222" t="str">
        <f>IFERROR(__xludf.DUMMYFUNCTION("""COMPUTED_VALUE"""),"BATAM")</f>
        <v>BATAM</v>
      </c>
      <c r="I830" s="222" t="str">
        <f>IFERROR(__xludf.DUMMYFUNCTION("""COMPUTED_VALUE"""),"Batch 2")</f>
        <v>Batch 2</v>
      </c>
      <c r="J830" s="225">
        <f>IFERROR(__xludf.DUMMYFUNCTION("""COMPUTED_VALUE"""),3.0)</f>
        <v>3</v>
      </c>
      <c r="K830" s="224">
        <f>IFERROR(__xludf.DUMMYFUNCTION("""COMPUTED_VALUE"""),24.0)</f>
        <v>24</v>
      </c>
      <c r="L830" s="226">
        <f>IFERROR(__xludf.DUMMYFUNCTION("""COMPUTED_VALUE"""),1063212.0)</f>
        <v>1063212</v>
      </c>
      <c r="M830" s="227">
        <f>IFERROR(__xludf.DUMMYFUNCTION("""COMPUTED_VALUE"""),2.5517088E7)</f>
        <v>25517088</v>
      </c>
      <c r="N830" s="222" t="str">
        <f>IFERROR(__xludf.DUMMYFUNCTION("""COMPUTED_VALUE"""),"PT DWI MITRA JAYA UTAMA")</f>
        <v>PT DWI MITRA JAYA UTAMA</v>
      </c>
      <c r="O830" s="222" t="str">
        <f>IFERROR(__xludf.DUMMYFUNCTION("""COMPUTED_VALUE"""),"7. GOLIVE")</f>
        <v>7. GOLIVE</v>
      </c>
      <c r="P830" s="222" t="str">
        <f>IFERROR(__xludf.DUMMYFUNCTION("""COMPUTED_VALUE"""),"7.2 Golive Full / OA / DONE OTB")</f>
        <v>7.2 Golive Full / OA / DONE OTB</v>
      </c>
      <c r="Q830" s="222" t="str">
        <f>IFERROR(__xludf.DUMMYFUNCTION("""COMPUTED_VALUE"""),"16/02 Terminasi ODP. ABD submit tgl 19 Feb.  12/02 Proses tanam tiang. 09/02 MP mengerjakan LOP sei bati.06/02 MP mengerjakan LOP SEI BATI. 28/01 Plan survey tanggal 29 Jan.  21/01 plan anwijzing 26 jan, peralihan mitra")</f>
        <v>16/02 Terminasi ODP. ABD submit tgl 19 Feb.  12/02 Proses tanam tiang. 09/02 MP mengerjakan LOP sei bati.06/02 MP mengerjakan LOP SEI BATI. 28/01 Plan survey tanggal 29 Jan.  21/01 plan anwijzing 26 jan, peralihan mitra</v>
      </c>
      <c r="R830" s="228">
        <f>IFERROR(__xludf.DUMMYFUNCTION("""COMPUTED_VALUE"""),46077.0)</f>
        <v>46077</v>
      </c>
      <c r="S830" s="11"/>
      <c r="T830" s="11"/>
      <c r="U830" s="11" t="str">
        <f>IFERROR(__xludf.DUMMYFUNCTION("""COMPUTED_VALUE"""),"W09-201/2026")</f>
        <v>W09-201/2026</v>
      </c>
      <c r="V830" s="229" t="str">
        <f>IFERROR(__xludf.DUMMYFUNCTION("""COMPUTED_VALUE"""),"MOHAMMAD FAUZY")</f>
        <v>MOHAMMAD FAUZY</v>
      </c>
      <c r="W830" s="229" t="str">
        <f>IFERROR(__xludf.DUMMYFUNCTION("""COMPUTED_VALUE"""),"LEVITA INDRIYANI")</f>
        <v>LEVITA INDRIYANI</v>
      </c>
      <c r="X830" s="229" t="str">
        <f>IFERROR(__xludf.DUMMYFUNCTION("""COMPUTED_VALUE"""),"GOLIVE")</f>
        <v>GOLIVE</v>
      </c>
      <c r="Y830" s="229" t="str">
        <f>IFERROR(__xludf.DUMMYFUNCTION("""COMPUTED_VALUE"""),"DONE")</f>
        <v>DONE</v>
      </c>
      <c r="Z830" s="229" t="str">
        <f>IFERROR(__xludf.DUMMYFUNCTION("""COMPUTED_VALUE"""),"#N/A")</f>
        <v>#N/A</v>
      </c>
      <c r="AA830" s="229">
        <f>IFERROR(__xludf.DUMMYFUNCTION("""COMPUTED_VALUE"""),3.0)</f>
        <v>3</v>
      </c>
      <c r="AB830" s="229"/>
      <c r="AC830" s="229" t="str">
        <f>IFERROR(__xludf.DUMMYFUNCTION("""COMPUTED_VALUE"""),"9104269#9104290")</f>
        <v>9104269#9104290</v>
      </c>
      <c r="AD830" s="232">
        <f>IFERROR(__xludf.DUMMYFUNCTION("""COMPUTED_VALUE"""),24.0)</f>
        <v>24</v>
      </c>
      <c r="AE830" s="233">
        <f>IFERROR(__xludf.DUMMYFUNCTION("""COMPUTED_VALUE"""),46076.0)</f>
        <v>46076</v>
      </c>
      <c r="AF830" s="54"/>
      <c r="AG830" s="54"/>
      <c r="AH830" s="54">
        <v>46077.0</v>
      </c>
      <c r="AI830" s="55">
        <f>IF(OR(AH830="",AE830=""),"",AH830-AE830)</f>
        <v>1</v>
      </c>
      <c r="AW830" s="234"/>
      <c r="BP830" s="11"/>
      <c r="BQ830" s="11"/>
      <c r="BR830" s="235"/>
      <c r="BV830" s="158"/>
      <c r="BY830" s="158"/>
      <c r="CB830" s="158"/>
    </row>
    <row r="831" ht="18.0" hidden="1" customHeight="1">
      <c r="A831" s="222">
        <f>IFERROR(__xludf.DUMMYFUNCTION("""COMPUTED_VALUE"""),2026.0)</f>
        <v>2026</v>
      </c>
      <c r="B831" s="221">
        <f>IFERROR(__xludf.DUMMYFUNCTION("""COMPUTED_VALUE"""),1.1046187E7)</f>
        <v>11046187</v>
      </c>
      <c r="C831" s="222" t="str">
        <f>IFERROR(__xludf.DUMMYFUNCTION("""COMPUTED_VALUE"""),"MDN PT3 KUL-FF PERUM VICTORY LAND 4_")</f>
        <v>MDN PT3 KUL-FF PERUM VICTORY LAND 4_</v>
      </c>
      <c r="D831" s="222" t="str">
        <f>IFERROR(__xludf.DUMMYFUNCTION("""COMPUTED_VALUE"""),"REGIONAL I")</f>
        <v>REGIONAL I</v>
      </c>
      <c r="E831" s="222" t="str">
        <f>IFERROR(__xludf.DUMMYFUNCTION("""COMPUTED_VALUE"""),"MEDAN")</f>
        <v>MEDAN</v>
      </c>
      <c r="F831" s="222" t="str">
        <f>IFERROR(__xludf.DUMMYFUNCTION("""COMPUTED_VALUE"""),"KUL")</f>
        <v>KUL</v>
      </c>
      <c r="G831" s="222" t="str">
        <f>IFERROR(__xludf.DUMMYFUNCTION("""COMPUTED_VALUE"""),"SUMBAGUT")</f>
        <v>SUMBAGUT</v>
      </c>
      <c r="H831" s="222" t="str">
        <f>IFERROR(__xludf.DUMMYFUNCTION("""COMPUTED_VALUE"""),"BINJAI")</f>
        <v>BINJAI</v>
      </c>
      <c r="I831" s="222" t="str">
        <f>IFERROR(__xludf.DUMMYFUNCTION("""COMPUTED_VALUE"""),"Batch 2")</f>
        <v>Batch 2</v>
      </c>
      <c r="J831" s="225">
        <f>IFERROR(__xludf.DUMMYFUNCTION("""COMPUTED_VALUE"""),10.0)</f>
        <v>10</v>
      </c>
      <c r="K831" s="224">
        <f>IFERROR(__xludf.DUMMYFUNCTION("""COMPUTED_VALUE"""),80.0)</f>
        <v>80</v>
      </c>
      <c r="L831" s="226">
        <f>IFERROR(__xludf.DUMMYFUNCTION("""COMPUTED_VALUE"""),1062840.0)</f>
        <v>1062840</v>
      </c>
      <c r="M831" s="227">
        <f>IFERROR(__xludf.DUMMYFUNCTION("""COMPUTED_VALUE"""),8.5027161E7)</f>
        <v>85027161</v>
      </c>
      <c r="N831" s="222" t="str">
        <f>IFERROR(__xludf.DUMMYFUNCTION("""COMPUTED_VALUE"""),"PT KENCANA RAYA INDONESIA")</f>
        <v>PT KENCANA RAYA INDONESIA</v>
      </c>
      <c r="O831" s="222" t="str">
        <f>IFERROR(__xludf.DUMMYFUNCTION("""COMPUTED_VALUE"""),"0. DROP")</f>
        <v>0. DROP</v>
      </c>
      <c r="P831" s="222" t="str">
        <f>IFERROR(__xludf.DUMMYFUNCTION("""COMPUTED_VALUE"""),"0.2 Tidak Dapat Izin Warga/Kades/Lurah/Developer")</f>
        <v>0.2 Tidak Dapat Izin Warga/Kades/Lurah/Developer</v>
      </c>
      <c r="Q831" s="222" t="str">
        <f>IFERROR(__xludf.DUMMYFUNCTION("""COMPUTED_VALUE"""),"23/02 tidak ada negoisasi deal antara CHAM TSel dgn pihak developer
(13/02) feeder ok proses izin (07/01) Persiapan")</f>
        <v>23/02 tidak ada negoisasi deal antara CHAM TSel dgn pihak developer
(13/02) feeder ok proses izin (07/01) Persiapan</v>
      </c>
      <c r="R831" s="228"/>
      <c r="S831" s="11"/>
      <c r="T831" s="11"/>
      <c r="U831" s="11"/>
      <c r="V831" s="229"/>
      <c r="W831" s="229"/>
      <c r="X831" s="229" t="str">
        <f>IFERROR(__xludf.DUMMYFUNCTION("""COMPUTED_VALUE"""),"BELUM GOLIVE")</f>
        <v>BELUM GOLIVE</v>
      </c>
      <c r="Y831" s="229"/>
      <c r="Z831" s="229" t="str">
        <f>IFERROR(__xludf.DUMMYFUNCTION("""COMPUTED_VALUE"""),"#N/A")</f>
        <v>#N/A</v>
      </c>
      <c r="AA831" s="229"/>
      <c r="AB831" s="229"/>
      <c r="AC831" s="229"/>
      <c r="AD831" s="232"/>
      <c r="AE831" s="233"/>
      <c r="AF831" s="54" t="str">
        <f>IFERROR(__xludf.DUMMYFUNCTION("""COMPUTED_VALUE"""),"Draft BA DROP")</f>
        <v>Draft BA DROP</v>
      </c>
      <c r="AG831" s="54"/>
      <c r="AH831" s="54"/>
      <c r="AI831" s="55" t="str">
        <f t="shared" ref="AI831:AI871" si="90">IF(OR(R831="",AE831=""),"",R831-AE831)</f>
        <v/>
      </c>
      <c r="AW831" s="234"/>
      <c r="BP831" s="11"/>
      <c r="BQ831" s="11"/>
      <c r="BR831" s="235"/>
      <c r="BV831" s="158"/>
      <c r="BY831" s="158"/>
      <c r="CB831" s="158"/>
    </row>
    <row r="832" ht="18.0" customHeight="1">
      <c r="A832" s="222">
        <f>IFERROR(__xludf.DUMMYFUNCTION("""COMPUTED_VALUE"""),2026.0)</f>
        <v>2026</v>
      </c>
      <c r="B832" s="221">
        <f>IFERROR(__xludf.DUMMYFUNCTION("""COMPUTED_VALUE"""),1.2377619E7)</f>
        <v>12377619</v>
      </c>
      <c r="C832" s="222" t="str">
        <f>IFERROR(__xludf.DUMMYFUNCTION("""COMPUTED_VALUE"""),"SMB P4I3 KARO Purnama Suray")</f>
        <v>SMB P4I3 KARO Purnama Suray</v>
      </c>
      <c r="D832" s="222" t="str">
        <f>IFERROR(__xludf.DUMMYFUNCTION("""COMPUTED_VALUE"""),"REGIONAL I")</f>
        <v>REGIONAL I</v>
      </c>
      <c r="E832" s="222" t="str">
        <f>IFERROR(__xludf.DUMMYFUNCTION("""COMPUTED_VALUE"""),"SUMBAR")</f>
        <v>SUMBAR</v>
      </c>
      <c r="F832" s="222" t="str">
        <f>IFERROR(__xludf.DUMMYFUNCTION("""COMPUTED_VALUE"""),"LBB")</f>
        <v>LBB</v>
      </c>
      <c r="G832" s="222" t="str">
        <f>IFERROR(__xludf.DUMMYFUNCTION("""COMPUTED_VALUE"""),"SUMBAGTENG")</f>
        <v>SUMBAGTENG</v>
      </c>
      <c r="H832" s="222" t="str">
        <f>IFERROR(__xludf.DUMMYFUNCTION("""COMPUTED_VALUE"""),"BUKIT TINGGI")</f>
        <v>BUKIT TINGGI</v>
      </c>
      <c r="I832" s="222" t="str">
        <f>IFERROR(__xludf.DUMMYFUNCTION("""COMPUTED_VALUE"""),"Batch 2")</f>
        <v>Batch 2</v>
      </c>
      <c r="J832" s="225">
        <f>IFERROR(__xludf.DUMMYFUNCTION("""COMPUTED_VALUE"""),2.0)</f>
        <v>2</v>
      </c>
      <c r="K832" s="224">
        <f>IFERROR(__xludf.DUMMYFUNCTION("""COMPUTED_VALUE"""),16.0)</f>
        <v>16</v>
      </c>
      <c r="L832" s="226">
        <f>IFERROR(__xludf.DUMMYFUNCTION("""COMPUTED_VALUE"""),1061829.0)</f>
        <v>1061829</v>
      </c>
      <c r="M832" s="227">
        <f>IFERROR(__xludf.DUMMYFUNCTION("""COMPUTED_VALUE"""),1.6989256E7)</f>
        <v>16989256</v>
      </c>
      <c r="N832" s="222" t="str">
        <f>IFERROR(__xludf.DUMMYFUNCTION("""COMPUTED_VALUE"""),"PT TIGA AKSES MANDIRI")</f>
        <v>PT TIGA AKSES MANDIRI</v>
      </c>
      <c r="O832" s="222" t="str">
        <f>IFERROR(__xludf.DUMMYFUNCTION("""COMPUTED_VALUE"""),"8. UJI TERIMA")</f>
        <v>8. UJI TERIMA</v>
      </c>
      <c r="P832" s="222" t="str">
        <f>IFERROR(__xludf.DUMMYFUNCTION("""COMPUTED_VALUE"""),"8.1 Proses UT")</f>
        <v>8.1 Proses UT</v>
      </c>
      <c r="Q832" s="222" t="str">
        <f>IFERROR(__xludf.DUMMYFUNCTION("""COMPUTED_VALUE"""),"(04/02) menunggu UT, plan UT 05/02/2026  (03/02) Proses valins (29/01) proses delivery material  (21/01) proses CReate PID (07/01) Persiapan")</f>
        <v>(04/02) menunggu UT, plan UT 05/02/2026  (03/02) Proses valins (29/01) proses delivery material  (21/01) proses CReate PID (07/01) Persiapan</v>
      </c>
      <c r="R832" s="228">
        <f>IFERROR(__xludf.DUMMYFUNCTION("""COMPUTED_VALUE"""),46080.0)</f>
        <v>46080</v>
      </c>
      <c r="S832" s="11"/>
      <c r="T832" s="11"/>
      <c r="U832" s="11" t="str">
        <f>IFERROR(__xludf.DUMMYFUNCTION("""COMPUTED_VALUE"""),"TIF-2110/2026 26KT03R158-0020")</f>
        <v>TIF-2110/2026 26KT03R158-0020</v>
      </c>
      <c r="V832" s="229" t="str">
        <f>IFERROR(__xludf.DUMMYFUNCTION("""COMPUTED_VALUE"""),"JANUAR RIZAL")</f>
        <v>JANUAR RIZAL</v>
      </c>
      <c r="W832" s="229" t="str">
        <f>IFERROR(__xludf.DUMMYFUNCTION("""COMPUTED_VALUE"""),"MELKO NARWADI")</f>
        <v>MELKO NARWADI</v>
      </c>
      <c r="X832" s="229" t="str">
        <f>IFERROR(__xludf.DUMMYFUNCTION("""COMPUTED_VALUE"""),"GOLIVE")</f>
        <v>GOLIVE</v>
      </c>
      <c r="Y832" s="229" t="str">
        <f>IFERROR(__xludf.DUMMYFUNCTION("""COMPUTED_VALUE"""),"DONE")</f>
        <v>DONE</v>
      </c>
      <c r="Z832" s="229" t="str">
        <f>IFERROR(__xludf.DUMMYFUNCTION("""COMPUTED_VALUE"""),"#N/A")</f>
        <v>#N/A</v>
      </c>
      <c r="AA832" s="229">
        <f>IFERROR(__xludf.DUMMYFUNCTION("""COMPUTED_VALUE"""),1.0)</f>
        <v>1</v>
      </c>
      <c r="AB832" s="229"/>
      <c r="AC832" s="229" t="str">
        <f>IFERROR(__xludf.DUMMYFUNCTION("""COMPUTED_VALUE"""),"9066202#9066207")</f>
        <v>9066202#9066207</v>
      </c>
      <c r="AD832" s="232">
        <f>IFERROR(__xludf.DUMMYFUNCTION("""COMPUTED_VALUE"""),8.0)</f>
        <v>8</v>
      </c>
      <c r="AE832" s="233">
        <f>IFERROR(__xludf.DUMMYFUNCTION("""COMPUTED_VALUE"""),46058.0)</f>
        <v>46058</v>
      </c>
      <c r="AF832" s="54"/>
      <c r="AG832" s="54"/>
      <c r="AH832" s="54">
        <v>46080.0</v>
      </c>
      <c r="AI832" s="55">
        <f t="shared" si="90"/>
        <v>22</v>
      </c>
      <c r="AW832" s="234"/>
      <c r="BP832" s="11"/>
      <c r="BQ832" s="11"/>
      <c r="BR832" s="235"/>
      <c r="BV832" s="158"/>
      <c r="BY832" s="158"/>
      <c r="CB832" s="158"/>
    </row>
    <row r="833" ht="18.0" hidden="1" customHeight="1">
      <c r="A833" s="222">
        <f>IFERROR(__xludf.DUMMYFUNCTION("""COMPUTED_VALUE"""),2026.0)</f>
        <v>2026</v>
      </c>
      <c r="B833" s="221">
        <f>IFERROR(__xludf.DUMMYFUNCTION("""COMPUTED_VALUE"""),1.1361065E7)</f>
        <v>11361065</v>
      </c>
      <c r="C833" s="222" t="str">
        <f>IFERROR(__xludf.DUMMYFUNCTION("""COMPUTED_VALUE"""),"MDN PT3 P7I13 SPM-FCE GRAND GADING MAS")</f>
        <v>MDN PT3 P7I13 SPM-FCE GRAND GADING MAS</v>
      </c>
      <c r="D833" s="222" t="str">
        <f>IFERROR(__xludf.DUMMYFUNCTION("""COMPUTED_VALUE"""),"REGIONAL I")</f>
        <v>REGIONAL I</v>
      </c>
      <c r="E833" s="222" t="str">
        <f>IFERROR(__xludf.DUMMYFUNCTION("""COMPUTED_VALUE"""),"MEDAN")</f>
        <v>MEDAN</v>
      </c>
      <c r="F833" s="222" t="str">
        <f>IFERROR(__xludf.DUMMYFUNCTION("""COMPUTED_VALUE"""),"SPM")</f>
        <v>SPM</v>
      </c>
      <c r="G833" s="222" t="str">
        <f>IFERROR(__xludf.DUMMYFUNCTION("""COMPUTED_VALUE"""),"SUMBAGUT")</f>
        <v>SUMBAGUT</v>
      </c>
      <c r="H833" s="222" t="str">
        <f>IFERROR(__xludf.DUMMYFUNCTION("""COMPUTED_VALUE"""),"MEDAN")</f>
        <v>MEDAN</v>
      </c>
      <c r="I833" s="222" t="str">
        <f>IFERROR(__xludf.DUMMYFUNCTION("""COMPUTED_VALUE"""),"Batch 2")</f>
        <v>Batch 2</v>
      </c>
      <c r="J833" s="225">
        <f>IFERROR(__xludf.DUMMYFUNCTION("""COMPUTED_VALUE"""),5.0)</f>
        <v>5</v>
      </c>
      <c r="K833" s="224">
        <f>IFERROR(__xludf.DUMMYFUNCTION("""COMPUTED_VALUE"""),40.0)</f>
        <v>40</v>
      </c>
      <c r="L833" s="226">
        <f>IFERROR(__xludf.DUMMYFUNCTION("""COMPUTED_VALUE"""),1134572.0)</f>
        <v>1134572</v>
      </c>
      <c r="M833" s="227">
        <f>IFERROR(__xludf.DUMMYFUNCTION("""COMPUTED_VALUE"""),4.5382869E7)</f>
        <v>45382869</v>
      </c>
      <c r="N833" s="222" t="str">
        <f>IFERROR(__xludf.DUMMYFUNCTION("""COMPUTED_VALUE"""),"PT SINAR KEPRI SEJAHTERA")</f>
        <v>PT SINAR KEPRI SEJAHTERA</v>
      </c>
      <c r="O833" s="222" t="str">
        <f>IFERROR(__xludf.DUMMYFUNCTION("""COMPUTED_VALUE"""),"0. DROP")</f>
        <v>0. DROP</v>
      </c>
      <c r="P833" s="222" t="str">
        <f>IFERROR(__xludf.DUMMYFUNCTION("""COMPUTED_VALUE"""),"0.3 Feeder Full")</f>
        <v>0.3 Feeder Full</v>
      </c>
      <c r="Q833" s="222" t="str">
        <f>IFERROR(__xludf.DUMMYFUNCTION("""COMPUTED_VALUE"""),"5/11 Feeder Habis
(24/09) Perizinan Warga dan Kades / Lurah
(23/09) Perizinan Warga dan Kades / Lurah
15/09 proses aanwijzing")</f>
        <v>5/11 Feeder Habis
(24/09) Perizinan Warga dan Kades / Lurah
(23/09) Perizinan Warga dan Kades / Lurah
15/09 proses aanwijzing</v>
      </c>
      <c r="R833" s="228"/>
      <c r="S833" s="11"/>
      <c r="T833" s="11"/>
      <c r="U833" s="11"/>
      <c r="V833" s="229"/>
      <c r="W833" s="229"/>
      <c r="X833" s="229" t="str">
        <f>IFERROR(__xludf.DUMMYFUNCTION("""COMPUTED_VALUE"""),"BELUM GOLIVE")</f>
        <v>BELUM GOLIVE</v>
      </c>
      <c r="Y833" s="229"/>
      <c r="Z833" s="229" t="str">
        <f>IFERROR(__xludf.DUMMYFUNCTION("""COMPUTED_VALUE"""),"#N/A")</f>
        <v>#N/A</v>
      </c>
      <c r="AA833" s="229"/>
      <c r="AB833" s="229"/>
      <c r="AC833" s="229"/>
      <c r="AD833" s="232"/>
      <c r="AE833" s="233"/>
      <c r="AF833" s="54"/>
      <c r="AG833" s="54"/>
      <c r="AH833" s="54"/>
      <c r="AI833" s="55" t="str">
        <f t="shared" si="90"/>
        <v/>
      </c>
      <c r="AW833" s="234"/>
      <c r="BP833" s="11"/>
      <c r="BQ833" s="11"/>
      <c r="BR833" s="235"/>
      <c r="BV833" s="158"/>
      <c r="BY833" s="158"/>
      <c r="CB833" s="158"/>
    </row>
    <row r="834" ht="18.0" hidden="1" customHeight="1">
      <c r="A834" s="222">
        <f>IFERROR(__xludf.DUMMYFUNCTION("""COMPUTED_VALUE"""),2026.0)</f>
        <v>2026</v>
      </c>
      <c r="B834" s="221">
        <f>IFERROR(__xludf.DUMMYFUNCTION("""COMPUTED_VALUE"""),1.2187159E7)</f>
        <v>12187159</v>
      </c>
      <c r="C834" s="222" t="str">
        <f>IFERROR(__xludf.DUMMYFUNCTION("""COMPUTED_VALUE"""),"MDN PT3 CTD-FCL DELI SERDANG_159244_MD25")</f>
        <v>MDN PT3 CTD-FCL DELI SERDANG_159244_MD25</v>
      </c>
      <c r="D834" s="222" t="str">
        <f>IFERROR(__xludf.DUMMYFUNCTION("""COMPUTED_VALUE"""),"REGIONAL I")</f>
        <v>REGIONAL I</v>
      </c>
      <c r="E834" s="222" t="str">
        <f>IFERROR(__xludf.DUMMYFUNCTION("""COMPUTED_VALUE"""),"MEDAN")</f>
        <v>MEDAN</v>
      </c>
      <c r="F834" s="222" t="str">
        <f>IFERROR(__xludf.DUMMYFUNCTION("""COMPUTED_VALUE"""),"CTD")</f>
        <v>CTD</v>
      </c>
      <c r="G834" s="222" t="str">
        <f>IFERROR(__xludf.DUMMYFUNCTION("""COMPUTED_VALUE"""),"SUMBAGUT")</f>
        <v>SUMBAGUT</v>
      </c>
      <c r="H834" s="222" t="str">
        <f>IFERROR(__xludf.DUMMYFUNCTION("""COMPUTED_VALUE"""),"MEDAN")</f>
        <v>MEDAN</v>
      </c>
      <c r="I834" s="222" t="str">
        <f>IFERROR(__xludf.DUMMYFUNCTION("""COMPUTED_VALUE"""),"Batch 2")</f>
        <v>Batch 2</v>
      </c>
      <c r="J834" s="225">
        <f>IFERROR(__xludf.DUMMYFUNCTION("""COMPUTED_VALUE"""),4.0)</f>
        <v>4</v>
      </c>
      <c r="K834" s="224">
        <f>IFERROR(__xludf.DUMMYFUNCTION("""COMPUTED_VALUE"""),32.0)</f>
        <v>32</v>
      </c>
      <c r="L834" s="226">
        <f>IFERROR(__xludf.DUMMYFUNCTION("""COMPUTED_VALUE"""),1061761.0)</f>
        <v>1061761</v>
      </c>
      <c r="M834" s="227">
        <f>IFERROR(__xludf.DUMMYFUNCTION("""COMPUTED_VALUE"""),3.3976339E7)</f>
        <v>33976339</v>
      </c>
      <c r="N834" s="222" t="str">
        <f>IFERROR(__xludf.DUMMYFUNCTION("""COMPUTED_VALUE"""),"PT MILFHA MUTIARA PRIMA")</f>
        <v>PT MILFHA MUTIARA PRIMA</v>
      </c>
      <c r="O834" s="222" t="str">
        <f>IFERROR(__xludf.DUMMYFUNCTION("""COMPUTED_VALUE"""),"7. GOLIVE")</f>
        <v>7. GOLIVE</v>
      </c>
      <c r="P834" s="222" t="str">
        <f>IFERROR(__xludf.DUMMYFUNCTION("""COMPUTED_VALUE"""),"7.2 Golive Full / OA / DONE OTB")</f>
        <v>7.2 Golive Full / OA / DONE OTB</v>
      </c>
      <c r="Q834" s="222" t="str">
        <f>IFERROR(__xludf.DUMMYFUNCTION("""COMPUTED_VALUE"""),"16/03 done abd 12/03 terminasi ODP 07/03 penanaman tiang dan penarikan KU 03/02 create PID 24/02 Pengajuan commcase 3jt 20/02 Aanwidzing OK, lnjut perizinan 19/02 Done Order")</f>
        <v>16/03 done abd 12/03 terminasi ODP 07/03 penanaman tiang dan penarikan KU 03/02 create PID 24/02 Pengajuan commcase 3jt 20/02 Aanwidzing OK, lnjut perizinan 19/02 Done Order</v>
      </c>
      <c r="R834" s="228">
        <f>IFERROR(__xludf.DUMMYFUNCTION("""COMPUTED_VALUE"""),46103.0)</f>
        <v>46103</v>
      </c>
      <c r="S834" s="11" t="str">
        <f>IFERROR(__xludf.DUMMYFUNCTION("""COMPUTED_VALUE"""),"MAR")</f>
        <v>MAR</v>
      </c>
      <c r="T834" s="11"/>
      <c r="U834" s="11"/>
      <c r="V834" s="229"/>
      <c r="W834" s="229"/>
      <c r="X834" s="229" t="str">
        <f>IFERROR(__xludf.DUMMYFUNCTION("""COMPUTED_VALUE"""),"GOLIVE")</f>
        <v>GOLIVE</v>
      </c>
      <c r="Y834" s="229" t="str">
        <f>IFERROR(__xludf.DUMMYFUNCTION("""COMPUTED_VALUE"""),"DONE")</f>
        <v>DONE</v>
      </c>
      <c r="Z834" s="229" t="str">
        <f>IFERROR(__xludf.DUMMYFUNCTION("""COMPUTED_VALUE"""),"#N/A")</f>
        <v>#N/A</v>
      </c>
      <c r="AA834" s="229">
        <f>IFERROR(__xludf.DUMMYFUNCTION("""COMPUTED_VALUE"""),4.0)</f>
        <v>4</v>
      </c>
      <c r="AB834" s="229"/>
      <c r="AC834" s="229" t="str">
        <f>IFERROR(__xludf.DUMMYFUNCTION("""COMPUTED_VALUE"""),"9214236#9214241")</f>
        <v>9214236#9214241</v>
      </c>
      <c r="AD834" s="232">
        <f>IFERROR(__xludf.DUMMYFUNCTION("""COMPUTED_VALUE"""),32.0)</f>
        <v>32</v>
      </c>
      <c r="AE834" s="233">
        <f>IFERROR(__xludf.DUMMYFUNCTION("""COMPUTED_VALUE"""),46098.0)</f>
        <v>46098</v>
      </c>
      <c r="AF834" s="54"/>
      <c r="AG834" s="54"/>
      <c r="AH834" s="54">
        <v>46103.0</v>
      </c>
      <c r="AI834" s="55">
        <f t="shared" si="90"/>
        <v>5</v>
      </c>
      <c r="AW834" s="234"/>
      <c r="BP834" s="11"/>
      <c r="BQ834" s="11"/>
      <c r="BR834" s="235"/>
      <c r="BV834" s="158"/>
      <c r="BY834" s="158"/>
      <c r="CB834" s="158"/>
    </row>
    <row r="835" ht="18.0" customHeight="1">
      <c r="A835" s="222">
        <f>IFERROR(__xludf.DUMMYFUNCTION("""COMPUTED_VALUE"""),2026.0)</f>
        <v>2026</v>
      </c>
      <c r="B835" s="221">
        <f>IFERROR(__xludf.DUMMYFUNCTION("""COMPUTED_VALUE"""),1.1378027E7)</f>
        <v>11378027</v>
      </c>
      <c r="C835" s="222" t="str">
        <f>IFERROR(__xludf.DUMMYFUNCTION("""COMPUTED_VALUE"""),"SMB P2I2 MD PESISIR SELATAN_7582")</f>
        <v>SMB P2I2 MD PESISIR SELATAN_7582</v>
      </c>
      <c r="D835" s="222" t="str">
        <f>IFERROR(__xludf.DUMMYFUNCTION("""COMPUTED_VALUE"""),"REGIONAL I")</f>
        <v>REGIONAL I</v>
      </c>
      <c r="E835" s="222" t="str">
        <f>IFERROR(__xludf.DUMMYFUNCTION("""COMPUTED_VALUE"""),"SUMBAR")</f>
        <v>SUMBAR</v>
      </c>
      <c r="F835" s="222" t="str">
        <f>IFERROR(__xludf.DUMMYFUNCTION("""COMPUTED_VALUE"""),"PSB")</f>
        <v>PSB</v>
      </c>
      <c r="G835" s="222" t="str">
        <f>IFERROR(__xludf.DUMMYFUNCTION("""COMPUTED_VALUE"""),"SUMBAGTENG")</f>
        <v>SUMBAGTENG</v>
      </c>
      <c r="H835" s="222" t="str">
        <f>IFERROR(__xludf.DUMMYFUNCTION("""COMPUTED_VALUE"""),"PADANG")</f>
        <v>PADANG</v>
      </c>
      <c r="I835" s="222" t="str">
        <f>IFERROR(__xludf.DUMMYFUNCTION("""COMPUTED_VALUE"""),"Batch 2")</f>
        <v>Batch 2</v>
      </c>
      <c r="J835" s="225">
        <f>IFERROR(__xludf.DUMMYFUNCTION("""COMPUTED_VALUE"""),7.0)</f>
        <v>7</v>
      </c>
      <c r="K835" s="224">
        <f>IFERROR(__xludf.DUMMYFUNCTION("""COMPUTED_VALUE"""),56.0)</f>
        <v>56</v>
      </c>
      <c r="L835" s="226">
        <f>IFERROR(__xludf.DUMMYFUNCTION("""COMPUTED_VALUE"""),1060091.0)</f>
        <v>1060091</v>
      </c>
      <c r="M835" s="227">
        <f>IFERROR(__xludf.DUMMYFUNCTION("""COMPUTED_VALUE"""),5.9365065E7)</f>
        <v>59365065</v>
      </c>
      <c r="N835" s="222" t="str">
        <f>IFERROR(__xludf.DUMMYFUNCTION("""COMPUTED_VALUE"""),"PT ACERO CETHA METALINDO")</f>
        <v>PT ACERO CETHA METALINDO</v>
      </c>
      <c r="O835" s="222" t="str">
        <f>IFERROR(__xludf.DUMMYFUNCTION("""COMPUTED_VALUE"""),"4. MATDEL")</f>
        <v>4. MATDEL</v>
      </c>
      <c r="P835" s="222" t="str">
        <f>IFERROR(__xludf.DUMMYFUNCTION("""COMPUTED_VALUE"""),"4.4 Proses Pengiriman Pabribak ke WH")</f>
        <v>4.4 Proses Pengiriman Pabribak ke WH</v>
      </c>
      <c r="Q835" s="222" t="str">
        <f>IFERROR(__xludf.DUMMYFUNCTION("""COMPUTED_VALUE"""),"(27/04) menunggu PO kabel 24 ADSS (20/04) sudah aanwijziing, proses eval  (10/04) Proses aanwijziing , LOP HOLD FEEDER FULL ACC GO (26/01)  Kendala feeder TRS-FB FULL")</f>
        <v>(27/04) menunggu PO kabel 24 ADSS (20/04) sudah aanwijziing, proses eval  (10/04) Proses aanwijziing , LOP HOLD FEEDER FULL ACC GO (26/01)  Kendala feeder TRS-FB FULL</v>
      </c>
      <c r="R835" s="228"/>
      <c r="S835" s="11"/>
      <c r="T835" s="11"/>
      <c r="U835" s="11"/>
      <c r="V835" s="229" t="str">
        <f>IFERROR(__xludf.DUMMYFUNCTION("""COMPUTED_VALUE"""),"PRAMADIO SEPWILMAN")</f>
        <v>PRAMADIO SEPWILMAN</v>
      </c>
      <c r="W835" s="229" t="str">
        <f>IFERROR(__xludf.DUMMYFUNCTION("""COMPUTED_VALUE"""),"MELKO NARWADI")</f>
        <v>MELKO NARWADI</v>
      </c>
      <c r="X835" s="229" t="str">
        <f>IFERROR(__xludf.DUMMYFUNCTION("""COMPUTED_VALUE"""),"BELUM GOLIVE")</f>
        <v>BELUM GOLIVE</v>
      </c>
      <c r="Y835" s="229"/>
      <c r="Z835" s="229" t="str">
        <f>IFERROR(__xludf.DUMMYFUNCTION("""COMPUTED_VALUE"""),"#N/A")</f>
        <v>#N/A</v>
      </c>
      <c r="AA835" s="229"/>
      <c r="AB835" s="229"/>
      <c r="AC835" s="229"/>
      <c r="AD835" s="232"/>
      <c r="AE835" s="233"/>
      <c r="AF835" s="54" t="str">
        <f>IFERROR(__xludf.DUMMYFUNCTION("""COMPUTED_VALUE"""),"Draft BA DROP")</f>
        <v>Draft BA DROP</v>
      </c>
      <c r="AG835" s="54"/>
      <c r="AH835" s="54"/>
      <c r="AI835" s="55" t="str">
        <f t="shared" si="90"/>
        <v/>
      </c>
      <c r="AW835" s="234"/>
      <c r="BP835" s="11"/>
      <c r="BQ835" s="11"/>
      <c r="BR835" s="235"/>
      <c r="BV835" s="158"/>
      <c r="BY835" s="158"/>
      <c r="CB835" s="158"/>
    </row>
    <row r="836" ht="18.0" hidden="1" customHeight="1">
      <c r="A836" s="222">
        <f>IFERROR(__xludf.DUMMYFUNCTION("""COMPUTED_VALUE"""),2026.0)</f>
        <v>2026</v>
      </c>
      <c r="B836" s="221">
        <f>IFERROR(__xludf.DUMMYFUNCTION("""COMPUTED_VALUE"""),1.1390756E7)</f>
        <v>11390756</v>
      </c>
      <c r="C836" s="222" t="str">
        <f>IFERROR(__xludf.DUMMYFUNCTION("""COMPUTED_VALUE"""),"ACH PT3 MRU-FC D08 MEUNASAH RAYA")</f>
        <v>ACH PT3 MRU-FC D08 MEUNASAH RAYA</v>
      </c>
      <c r="D836" s="222" t="str">
        <f>IFERROR(__xludf.DUMMYFUNCTION("""COMPUTED_VALUE"""),"REGIONAL I")</f>
        <v>REGIONAL I</v>
      </c>
      <c r="E836" s="222" t="str">
        <f>IFERROR(__xludf.DUMMYFUNCTION("""COMPUTED_VALUE"""),"ACEH")</f>
        <v>ACEH</v>
      </c>
      <c r="F836" s="222" t="str">
        <f>IFERROR(__xludf.DUMMYFUNCTION("""COMPUTED_VALUE"""),"MRU")</f>
        <v>MRU</v>
      </c>
      <c r="G836" s="222" t="str">
        <f>IFERROR(__xludf.DUMMYFUNCTION("""COMPUTED_VALUE"""),"SUMBAGUT")</f>
        <v>SUMBAGUT</v>
      </c>
      <c r="H836" s="222" t="str">
        <f>IFERROR(__xludf.DUMMYFUNCTION("""COMPUTED_VALUE"""),"BANDA ACEH")</f>
        <v>BANDA ACEH</v>
      </c>
      <c r="I836" s="222" t="str">
        <f>IFERROR(__xludf.DUMMYFUNCTION("""COMPUTED_VALUE"""),"Batch 2")</f>
        <v>Batch 2</v>
      </c>
      <c r="J836" s="225">
        <f>IFERROR(__xludf.DUMMYFUNCTION("""COMPUTED_VALUE"""),4.0)</f>
        <v>4</v>
      </c>
      <c r="K836" s="224">
        <f>IFERROR(__xludf.DUMMYFUNCTION("""COMPUTED_VALUE"""),32.0)</f>
        <v>32</v>
      </c>
      <c r="L836" s="226">
        <f>IFERROR(__xludf.DUMMYFUNCTION("""COMPUTED_VALUE"""),1059945.0)</f>
        <v>1059945</v>
      </c>
      <c r="M836" s="227">
        <f>IFERROR(__xludf.DUMMYFUNCTION("""COMPUTED_VALUE"""),3.391821E7)</f>
        <v>33918210</v>
      </c>
      <c r="N836" s="222" t="str">
        <f>IFERROR(__xludf.DUMMYFUNCTION("""COMPUTED_VALUE"""),"PT JAYA ANINDYA MUSTIKA")</f>
        <v>PT JAYA ANINDYA MUSTIKA</v>
      </c>
      <c r="O836" s="222" t="str">
        <f>IFERROR(__xludf.DUMMYFUNCTION("""COMPUTED_VALUE"""),"7. GOLIVE")</f>
        <v>7. GOLIVE</v>
      </c>
      <c r="P836" s="222" t="str">
        <f>IFERROR(__xludf.DUMMYFUNCTION("""COMPUTED_VALUE"""),"7.2 Golive Full / OA / DONE OTB")</f>
        <v>7.2 Golive Full / OA / DONE OTB</v>
      </c>
      <c r="Q836" s="222" t="str">
        <f>IFERROR(__xludf.DUMMYFUNCTION("""COMPUTED_VALUE"""),"(11/02) penarikan kabel (06/01) proses tanam tiang (29/01) done aanwizing (07/01) Persiapan")</f>
        <v>(11/02) penarikan kabel (06/01) proses tanam tiang (29/01) done aanwizing (07/01) Persiapan</v>
      </c>
      <c r="R836" s="228">
        <f>IFERROR(__xludf.DUMMYFUNCTION("""COMPUTED_VALUE"""),46086.0)</f>
        <v>46086</v>
      </c>
      <c r="S836" s="11" t="str">
        <f>IFERROR(__xludf.DUMMYFUNCTION("""COMPUTED_VALUE"""),"MAR")</f>
        <v>MAR</v>
      </c>
      <c r="T836" s="11"/>
      <c r="U836" s="11"/>
      <c r="V836" s="229"/>
      <c r="W836" s="229"/>
      <c r="X836" s="229" t="str">
        <f>IFERROR(__xludf.DUMMYFUNCTION("""COMPUTED_VALUE"""),"GOLIVE")</f>
        <v>GOLIVE</v>
      </c>
      <c r="Y836" s="229" t="str">
        <f>IFERROR(__xludf.DUMMYFUNCTION("""COMPUTED_VALUE"""),"DONE")</f>
        <v>DONE</v>
      </c>
      <c r="Z836" s="229" t="str">
        <f>IFERROR(__xludf.DUMMYFUNCTION("""COMPUTED_VALUE"""),"#N/A")</f>
        <v>#N/A</v>
      </c>
      <c r="AA836" s="229">
        <f>IFERROR(__xludf.DUMMYFUNCTION("""COMPUTED_VALUE"""),4.0)</f>
        <v>4</v>
      </c>
      <c r="AB836" s="229"/>
      <c r="AC836" s="229" t="str">
        <f>IFERROR(__xludf.DUMMYFUNCTION("""COMPUTED_VALUE"""),"9193353#9193358")</f>
        <v>9193353#9193358</v>
      </c>
      <c r="AD836" s="232">
        <f>IFERROR(__xludf.DUMMYFUNCTION("""COMPUTED_VALUE"""),32.0)</f>
        <v>32</v>
      </c>
      <c r="AE836" s="233">
        <f>IFERROR(__xludf.DUMMYFUNCTION("""COMPUTED_VALUE"""),46091.0)</f>
        <v>46091</v>
      </c>
      <c r="AF836" s="54"/>
      <c r="AG836" s="54"/>
      <c r="AH836" s="54">
        <v>46086.0</v>
      </c>
      <c r="AI836" s="55">
        <f t="shared" si="90"/>
        <v>-5</v>
      </c>
      <c r="AW836" s="234"/>
      <c r="BP836" s="11"/>
      <c r="BQ836" s="11"/>
      <c r="BR836" s="235"/>
      <c r="BV836" s="158"/>
      <c r="BY836" s="158"/>
      <c r="CB836" s="158"/>
    </row>
    <row r="837" ht="18.0" hidden="1" customHeight="1">
      <c r="A837" s="222">
        <f>IFERROR(__xludf.DUMMYFUNCTION("""COMPUTED_VALUE"""),2026.0)</f>
        <v>2026</v>
      </c>
      <c r="B837" s="221">
        <f>IFERROR(__xludf.DUMMYFUNCTION("""COMPUTED_VALUE"""),1.2097977E7)</f>
        <v>12097977</v>
      </c>
      <c r="C837" s="222" t="str">
        <f>IFERROR(__xludf.DUMMYFUNCTION("""COMPUTED_VALUE"""),"ACH PT3 SUS-FA BR.D03 PERUMNAS LAE ORAM")</f>
        <v>ACH PT3 SUS-FA BR.D03 PERUMNAS LAE ORAM</v>
      </c>
      <c r="D837" s="222" t="str">
        <f>IFERROR(__xludf.DUMMYFUNCTION("""COMPUTED_VALUE"""),"REGIONAL I")</f>
        <v>REGIONAL I</v>
      </c>
      <c r="E837" s="222" t="str">
        <f>IFERROR(__xludf.DUMMYFUNCTION("""COMPUTED_VALUE"""),"ACEH")</f>
        <v>ACEH</v>
      </c>
      <c r="F837" s="222" t="str">
        <f>IFERROR(__xludf.DUMMYFUNCTION("""COMPUTED_VALUE"""),"SUS")</f>
        <v>SUS</v>
      </c>
      <c r="G837" s="222" t="str">
        <f>IFERROR(__xludf.DUMMYFUNCTION("""COMPUTED_VALUE"""),"SUMBAGUT")</f>
        <v>SUMBAGUT</v>
      </c>
      <c r="H837" s="222" t="str">
        <f>IFERROR(__xludf.DUMMYFUNCTION("""COMPUTED_VALUE"""),"BANDA ACEH")</f>
        <v>BANDA ACEH</v>
      </c>
      <c r="I837" s="222" t="str">
        <f>IFERROR(__xludf.DUMMYFUNCTION("""COMPUTED_VALUE"""),"Batch 2")</f>
        <v>Batch 2</v>
      </c>
      <c r="J837" s="225">
        <f>IFERROR(__xludf.DUMMYFUNCTION("""COMPUTED_VALUE"""),4.0)</f>
        <v>4</v>
      </c>
      <c r="K837" s="224">
        <f>IFERROR(__xludf.DUMMYFUNCTION("""COMPUTED_VALUE"""),32.0)</f>
        <v>32</v>
      </c>
      <c r="L837" s="226">
        <f>IFERROR(__xludf.DUMMYFUNCTION("""COMPUTED_VALUE"""),1058204.0)</f>
        <v>1058204</v>
      </c>
      <c r="M837" s="227">
        <f>IFERROR(__xludf.DUMMYFUNCTION("""COMPUTED_VALUE"""),3.3862509E7)</f>
        <v>33862509</v>
      </c>
      <c r="N837" s="222" t="str">
        <f>IFERROR(__xludf.DUMMYFUNCTION("""COMPUTED_VALUE"""),"PT ARA PAYA INTAN")</f>
        <v>PT ARA PAYA INTAN</v>
      </c>
      <c r="O837" s="222" t="str">
        <f>IFERROR(__xludf.DUMMYFUNCTION("""COMPUTED_VALUE"""),"0. DROP")</f>
        <v>0. DROP</v>
      </c>
      <c r="P837" s="222" t="str">
        <f>IFERROR(__xludf.DUMMYFUNCTION("""COMPUTED_VALUE"""),"0.5 DROP TSEL - Acc ED TIF")</f>
        <v>0.5 DROP TSEL - Acc ED TIF</v>
      </c>
      <c r="Q837" s="222" t="str">
        <f>IFERROR(__xludf.DUMMYFUNCTION("""COMPUTED_VALUE"""),"(10/03) Proses Negosiasi dengan Warga (19/02) Drop Permintaan TSEL (07/01) Persiapan")</f>
        <v>(10/03) Proses Negosiasi dengan Warga (19/02) Drop Permintaan TSEL (07/01) Persiapan</v>
      </c>
      <c r="R837" s="228"/>
      <c r="S837" s="11"/>
      <c r="T837" s="11"/>
      <c r="U837" s="11"/>
      <c r="V837" s="229"/>
      <c r="W837" s="229"/>
      <c r="X837" s="229" t="str">
        <f>IFERROR(__xludf.DUMMYFUNCTION("""COMPUTED_VALUE"""),"BELUM GOLIVE")</f>
        <v>BELUM GOLIVE</v>
      </c>
      <c r="Y837" s="229"/>
      <c r="Z837" s="229" t="str">
        <f>IFERROR(__xludf.DUMMYFUNCTION("""COMPUTED_VALUE"""),"#N/A")</f>
        <v>#N/A</v>
      </c>
      <c r="AA837" s="229"/>
      <c r="AB837" s="229"/>
      <c r="AC837" s="229"/>
      <c r="AD837" s="232"/>
      <c r="AE837" s="233"/>
      <c r="AF837" s="54"/>
      <c r="AG837" s="54"/>
      <c r="AH837" s="54"/>
      <c r="AI837" s="55" t="str">
        <f t="shared" si="90"/>
        <v/>
      </c>
      <c r="AW837" s="234"/>
      <c r="BP837" s="11"/>
      <c r="BQ837" s="11"/>
      <c r="BR837" s="235"/>
      <c r="BV837" s="158"/>
      <c r="BY837" s="158"/>
      <c r="CB837" s="158"/>
    </row>
    <row r="838" ht="18.0" customHeight="1">
      <c r="A838" s="222">
        <f>IFERROR(__xludf.DUMMYFUNCTION("""COMPUTED_VALUE"""),2026.0)</f>
        <v>2026</v>
      </c>
      <c r="B838" s="221">
        <f>IFERROR(__xludf.DUMMYFUNCTION("""COMPUTED_VALUE"""),1.1302903E7)</f>
        <v>11302903</v>
      </c>
      <c r="C838" s="222" t="str">
        <f>IFERROR(__xludf.DUMMYFUNCTION("""COMPUTED_VALUE"""),"RDR PT3 SIALANG BARU")</f>
        <v>RDR PT3 SIALANG BARU</v>
      </c>
      <c r="D838" s="222" t="str">
        <f>IFERROR(__xludf.DUMMYFUNCTION("""COMPUTED_VALUE"""),"REGIONAL I")</f>
        <v>REGIONAL I</v>
      </c>
      <c r="E838" s="222" t="str">
        <f>IFERROR(__xludf.DUMMYFUNCTION("""COMPUTED_VALUE"""),"RIDAR")</f>
        <v>RIDAR</v>
      </c>
      <c r="F838" s="222" t="str">
        <f>IFERROR(__xludf.DUMMYFUNCTION("""COMPUTED_VALUE"""),"PKR")</f>
        <v>PKR</v>
      </c>
      <c r="G838" s="222" t="str">
        <f>IFERROR(__xludf.DUMMYFUNCTION("""COMPUTED_VALUE"""),"SUMBAGTENG")</f>
        <v>SUMBAGTENG</v>
      </c>
      <c r="H838" s="222" t="str">
        <f>IFERROR(__xludf.DUMMYFUNCTION("""COMPUTED_VALUE"""),"PEKANBARU")</f>
        <v>PEKANBARU</v>
      </c>
      <c r="I838" s="222" t="str">
        <f>IFERROR(__xludf.DUMMYFUNCTION("""COMPUTED_VALUE"""),"Batch 2")</f>
        <v>Batch 2</v>
      </c>
      <c r="J838" s="225">
        <f>IFERROR(__xludf.DUMMYFUNCTION("""COMPUTED_VALUE"""),7.0)</f>
        <v>7</v>
      </c>
      <c r="K838" s="224">
        <f>IFERROR(__xludf.DUMMYFUNCTION("""COMPUTED_VALUE"""),56.0)</f>
        <v>56</v>
      </c>
      <c r="L838" s="226">
        <f>IFERROR(__xludf.DUMMYFUNCTION("""COMPUTED_VALUE"""),1057589.0)</f>
        <v>1057589</v>
      </c>
      <c r="M838" s="227">
        <f>IFERROR(__xludf.DUMMYFUNCTION("""COMPUTED_VALUE"""),5.9224983E7)</f>
        <v>59224983</v>
      </c>
      <c r="N838" s="222" t="str">
        <f>IFERROR(__xludf.DUMMYFUNCTION("""COMPUTED_VALUE"""),"PT ACERO CETHA METALINDO")</f>
        <v>PT ACERO CETHA METALINDO</v>
      </c>
      <c r="O838" s="222" t="str">
        <f>IFERROR(__xludf.DUMMYFUNCTION("""COMPUTED_VALUE"""),"2. DONE AANWIJZING")</f>
        <v>2. DONE AANWIJZING</v>
      </c>
      <c r="P838" s="222" t="str">
        <f>IFERROR(__xludf.DUMMYFUNCTION("""COMPUTED_VALUE"""),"2.6 Tunggu Hasil DRM - ada Kenaikan CPP")</f>
        <v>2.6 Tunggu Hasil DRM - ada Kenaikan CPP</v>
      </c>
      <c r="Q838" s="222" t="str">
        <f>IFERROR(__xludf.DUMMYFUNCTION("""COMPUTED_VALUE"""),"20/04 Masih menunggu hasil evaluasi 13/04 PErubahan design naik jadi 200% 08/04 PErubahan design naik jadi 200% 30/03 Menunggu Acc boq perubahan design 29/01 Distribusi eksisting full (07/01) Persiapan")</f>
        <v>20/04 Masih menunggu hasil evaluasi 13/04 PErubahan design naik jadi 200% 08/04 PErubahan design naik jadi 200% 30/03 Menunggu Acc boq perubahan design 29/01 Distribusi eksisting full (07/01) Persiapan</v>
      </c>
      <c r="R838" s="228"/>
      <c r="S838" s="11"/>
      <c r="T838" s="11"/>
      <c r="U838" s="11" t="str">
        <f>IFERROR(__xludf.DUMMYFUNCTION("""COMPUTED_VALUE"""),"W08-2134/2025")</f>
        <v>W08-2134/2025</v>
      </c>
      <c r="V838" s="229" t="str">
        <f>IFERROR(__xludf.DUMMYFUNCTION("""COMPUTED_VALUE"""),"ONDI EKA SAPUTRA")</f>
        <v>ONDI EKA SAPUTRA</v>
      </c>
      <c r="W838" s="229" t="str">
        <f>IFERROR(__xludf.DUMMYFUNCTION("""COMPUTED_VALUE"""),"DESLITA RAHMADANI")</f>
        <v>DESLITA RAHMADANI</v>
      </c>
      <c r="X838" s="229" t="str">
        <f>IFERROR(__xludf.DUMMYFUNCTION("""COMPUTED_VALUE"""),"BELUM GOLIVE")</f>
        <v>BELUM GOLIVE</v>
      </c>
      <c r="Y838" s="229"/>
      <c r="Z838" s="229" t="str">
        <f>IFERROR(__xludf.DUMMYFUNCTION("""COMPUTED_VALUE"""),"#N/A")</f>
        <v>#N/A</v>
      </c>
      <c r="AA838" s="229"/>
      <c r="AB838" s="229"/>
      <c r="AC838" s="229"/>
      <c r="AD838" s="232"/>
      <c r="AE838" s="233"/>
      <c r="AF838" s="54"/>
      <c r="AG838" s="54"/>
      <c r="AH838" s="54"/>
      <c r="AI838" s="55" t="str">
        <f t="shared" si="90"/>
        <v/>
      </c>
      <c r="AW838" s="234"/>
      <c r="BP838" s="11"/>
      <c r="BQ838" s="11"/>
      <c r="BR838" s="235"/>
      <c r="BV838" s="158"/>
      <c r="BY838" s="158"/>
      <c r="CB838" s="158"/>
    </row>
    <row r="839" ht="18.0" hidden="1" customHeight="1">
      <c r="A839" s="222">
        <f>IFERROR(__xludf.DUMMYFUNCTION("""COMPUTED_VALUE"""),2026.0)</f>
        <v>2026</v>
      </c>
      <c r="B839" s="221">
        <f>IFERROR(__xludf.DUMMYFUNCTION("""COMPUTED_VALUE"""),1.1272457E7)</f>
        <v>11272457</v>
      </c>
      <c r="C839" s="222" t="str">
        <f>IFERROR(__xludf.DUMMYFUNCTION("""COMPUTED_VALUE"""),"MDN PT3 P1I1 PRT-FB JL.SILIWANGI")</f>
        <v>MDN PT3 P1I1 PRT-FB JL.SILIWANGI</v>
      </c>
      <c r="D839" s="222" t="str">
        <f>IFERROR(__xludf.DUMMYFUNCTION("""COMPUTED_VALUE"""),"REGIONAL I")</f>
        <v>REGIONAL I</v>
      </c>
      <c r="E839" s="222" t="str">
        <f>IFERROR(__xludf.DUMMYFUNCTION("""COMPUTED_VALUE"""),"MEDAN")</f>
        <v>MEDAN</v>
      </c>
      <c r="F839" s="222" t="str">
        <f>IFERROR(__xludf.DUMMYFUNCTION("""COMPUTED_VALUE"""),"PRT")</f>
        <v>PRT</v>
      </c>
      <c r="G839" s="222" t="str">
        <f>IFERROR(__xludf.DUMMYFUNCTION("""COMPUTED_VALUE"""),"SUMBAGUT")</f>
        <v>SUMBAGUT</v>
      </c>
      <c r="H839" s="222" t="str">
        <f>IFERROR(__xludf.DUMMYFUNCTION("""COMPUTED_VALUE"""),"MEDAN")</f>
        <v>MEDAN</v>
      </c>
      <c r="I839" s="222" t="str">
        <f>IFERROR(__xludf.DUMMYFUNCTION("""COMPUTED_VALUE"""),"Batch 2")</f>
        <v>Batch 2</v>
      </c>
      <c r="J839" s="225">
        <f>IFERROR(__xludf.DUMMYFUNCTION("""COMPUTED_VALUE"""),6.0)</f>
        <v>6</v>
      </c>
      <c r="K839" s="224">
        <f>IFERROR(__xludf.DUMMYFUNCTION("""COMPUTED_VALUE"""),48.0)</f>
        <v>48</v>
      </c>
      <c r="L839" s="226">
        <f>IFERROR(__xludf.DUMMYFUNCTION("""COMPUTED_VALUE"""),1341353.0)</f>
        <v>1341353</v>
      </c>
      <c r="M839" s="227">
        <f>IFERROR(__xludf.DUMMYFUNCTION("""COMPUTED_VALUE"""),6.4384902E7)</f>
        <v>64384902</v>
      </c>
      <c r="N839" s="222" t="str">
        <f>IFERROR(__xludf.DUMMYFUNCTION("""COMPUTED_VALUE"""),"PT BENWA  MITRA PRATAMA")</f>
        <v>PT BENWA  MITRA PRATAMA</v>
      </c>
      <c r="O839" s="222" t="str">
        <f>IFERROR(__xludf.DUMMYFUNCTION("""COMPUTED_VALUE"""),"0. DROP")</f>
        <v>0. DROP</v>
      </c>
      <c r="P839" s="222" t="str">
        <f>IFERROR(__xludf.DUMMYFUNCTION("""COMPUTED_VALUE"""),"0.4 CPP Tinggi Acc ED TIF")</f>
        <v>0.4 CPP Tinggi Acc ED TIF</v>
      </c>
      <c r="Q839" s="222" t="str">
        <f>IFERROR(__xludf.DUMMYFUNCTION("""COMPUTED_VALUE"""),"(29/01) Feeder Habis")</f>
        <v>(29/01) Feeder Habis</v>
      </c>
      <c r="R839" s="228"/>
      <c r="S839" s="11"/>
      <c r="T839" s="11"/>
      <c r="U839" s="11"/>
      <c r="V839" s="229"/>
      <c r="W839" s="229"/>
      <c r="X839" s="229" t="str">
        <f>IFERROR(__xludf.DUMMYFUNCTION("""COMPUTED_VALUE"""),"BELUM GOLIVE")</f>
        <v>BELUM GOLIVE</v>
      </c>
      <c r="Y839" s="229"/>
      <c r="Z839" s="229" t="str">
        <f>IFERROR(__xludf.DUMMYFUNCTION("""COMPUTED_VALUE"""),"#N/A")</f>
        <v>#N/A</v>
      </c>
      <c r="AA839" s="229"/>
      <c r="AB839" s="229"/>
      <c r="AC839" s="229"/>
      <c r="AD839" s="232"/>
      <c r="AE839" s="233"/>
      <c r="AF839" s="54" t="str">
        <f>IFERROR(__xludf.DUMMYFUNCTION("""COMPUTED_VALUE"""),"Draft BA DROP")</f>
        <v>Draft BA DROP</v>
      </c>
      <c r="AG839" s="54"/>
      <c r="AH839" s="54"/>
      <c r="AI839" s="55" t="str">
        <f t="shared" si="90"/>
        <v/>
      </c>
      <c r="AW839" s="234"/>
      <c r="BP839" s="11"/>
      <c r="BQ839" s="11"/>
      <c r="BR839" s="235"/>
      <c r="BV839" s="158"/>
      <c r="BY839" s="158"/>
      <c r="CB839" s="158"/>
    </row>
    <row r="840" ht="18.0" hidden="1" customHeight="1">
      <c r="A840" s="222">
        <f>IFERROR(__xludf.DUMMYFUNCTION("""COMPUTED_VALUE"""),2026.0)</f>
        <v>2026</v>
      </c>
      <c r="B840" s="221">
        <f>IFERROR(__xludf.DUMMYFUNCTION("""COMPUTED_VALUE"""),1.1444328E7)</f>
        <v>11444328</v>
      </c>
      <c r="C840" s="222" t="str">
        <f>IFERROR(__xludf.DUMMYFUNCTION("""COMPUTED_VALUE"""),"BNK-PT3-BNC-JPPTSEL- JAYAKARTA")</f>
        <v>BNK-PT3-BNC-JPPTSEL- JAYAKARTA</v>
      </c>
      <c r="D840" s="222" t="str">
        <f>IFERROR(__xludf.DUMMYFUNCTION("""COMPUTED_VALUE"""),"REGIONAL I")</f>
        <v>REGIONAL I</v>
      </c>
      <c r="E840" s="222" t="str">
        <f>IFERROR(__xludf.DUMMYFUNCTION("""COMPUTED_VALUE"""),"BENGKULU")</f>
        <v>BENGKULU</v>
      </c>
      <c r="F840" s="222" t="str">
        <f>IFERROR(__xludf.DUMMYFUNCTION("""COMPUTED_VALUE"""),"BNC")</f>
        <v>BNC</v>
      </c>
      <c r="G840" s="222" t="str">
        <f>IFERROR(__xludf.DUMMYFUNCTION("""COMPUTED_VALUE"""),"SUMBAGSEL")</f>
        <v>SUMBAGSEL</v>
      </c>
      <c r="H840" s="222" t="str">
        <f>IFERROR(__xludf.DUMMYFUNCTION("""COMPUTED_VALUE"""),"BENGKULU")</f>
        <v>BENGKULU</v>
      </c>
      <c r="I840" s="222" t="str">
        <f>IFERROR(__xludf.DUMMYFUNCTION("""COMPUTED_VALUE"""),"Batch 2")</f>
        <v>Batch 2</v>
      </c>
      <c r="J840" s="225">
        <f>IFERROR(__xludf.DUMMYFUNCTION("""COMPUTED_VALUE"""),16.0)</f>
        <v>16</v>
      </c>
      <c r="K840" s="224">
        <f>IFERROR(__xludf.DUMMYFUNCTION("""COMPUTED_VALUE"""),128.0)</f>
        <v>128</v>
      </c>
      <c r="L840" s="226">
        <f>IFERROR(__xludf.DUMMYFUNCTION("""COMPUTED_VALUE"""),1056556.0)</f>
        <v>1056556</v>
      </c>
      <c r="M840" s="227">
        <f>IFERROR(__xludf.DUMMYFUNCTION("""COMPUTED_VALUE"""),1.35239103E8)</f>
        <v>135239103</v>
      </c>
      <c r="N840" s="222" t="str">
        <f>IFERROR(__xludf.DUMMYFUNCTION("""COMPUTED_VALUE"""),"PT TELAGA RESTU ABADI")</f>
        <v>PT TELAGA RESTU ABADI</v>
      </c>
      <c r="O840" s="222" t="str">
        <f>IFERROR(__xludf.DUMMYFUNCTION("""COMPUTED_VALUE"""),"0. DROP")</f>
        <v>0. DROP</v>
      </c>
      <c r="P840" s="222" t="str">
        <f>IFERROR(__xludf.DUMMYFUNCTION("""COMPUTED_VALUE"""),"0.2 Tidak Dapat Izin Warga/Kades/Lurah/Developer")</f>
        <v>0.2 Tidak Dapat Izin Warga/Kades/Lurah/Developer</v>
      </c>
      <c r="Q840" s="222" t="str">
        <f>IFERROR(__xludf.DUMMYFUNCTION("""COMPUTED_VALUE"""),"22/2 tidak mendapat IZIN 23/01 : Drop TSEL")</f>
        <v>22/2 tidak mendapat IZIN 23/01 : Drop TSEL</v>
      </c>
      <c r="R840" s="228"/>
      <c r="S840" s="11"/>
      <c r="T840" s="11"/>
      <c r="U840" s="11"/>
      <c r="V840" s="229"/>
      <c r="W840" s="229"/>
      <c r="X840" s="229" t="str">
        <f>IFERROR(__xludf.DUMMYFUNCTION("""COMPUTED_VALUE"""),"BELUM GOLIVE")</f>
        <v>BELUM GOLIVE</v>
      </c>
      <c r="Y840" s="229"/>
      <c r="Z840" s="229" t="str">
        <f>IFERROR(__xludf.DUMMYFUNCTION("""COMPUTED_VALUE"""),"#N/A")</f>
        <v>#N/A</v>
      </c>
      <c r="AA840" s="229"/>
      <c r="AB840" s="229"/>
      <c r="AC840" s="229"/>
      <c r="AD840" s="232"/>
      <c r="AE840" s="233"/>
      <c r="AF840" s="54" t="str">
        <f>IFERROR(__xludf.DUMMYFUNCTION("""COMPUTED_VALUE"""),"Draft BA DROP")</f>
        <v>Draft BA DROP</v>
      </c>
      <c r="AG840" s="54"/>
      <c r="AH840" s="54"/>
      <c r="AI840" s="55" t="str">
        <f t="shared" si="90"/>
        <v/>
      </c>
      <c r="AW840" s="234"/>
      <c r="BP840" s="11"/>
      <c r="BQ840" s="11"/>
      <c r="BR840" s="235"/>
      <c r="BV840" s="158"/>
      <c r="BY840" s="158"/>
      <c r="CB840" s="158"/>
    </row>
    <row r="841" ht="18.0" hidden="1" customHeight="1">
      <c r="A841" s="222">
        <f>IFERROR(__xludf.DUMMYFUNCTION("""COMPUTED_VALUE"""),2026.0)</f>
        <v>2026</v>
      </c>
      <c r="B841" s="221">
        <f>IFERROR(__xludf.DUMMYFUNCTION("""COMPUTED_VALUE"""),1.113139E7)</f>
        <v>11131390</v>
      </c>
      <c r="C841" s="222" t="str">
        <f>IFERROR(__xludf.DUMMYFUNCTION("""COMPUTED_VALUE"""),"MDN PT3 P7I6 TMU-FK GG.DURIAN")</f>
        <v>MDN PT3 P7I6 TMU-FK GG.DURIAN</v>
      </c>
      <c r="D841" s="222" t="str">
        <f>IFERROR(__xludf.DUMMYFUNCTION("""COMPUTED_VALUE"""),"REGIONAL I")</f>
        <v>REGIONAL I</v>
      </c>
      <c r="E841" s="222" t="str">
        <f>IFERROR(__xludf.DUMMYFUNCTION("""COMPUTED_VALUE"""),"MEDAN")</f>
        <v>MEDAN</v>
      </c>
      <c r="F841" s="222" t="str">
        <f>IFERROR(__xludf.DUMMYFUNCTION("""COMPUTED_VALUE"""),"TMU")</f>
        <v>TMU</v>
      </c>
      <c r="G841" s="222" t="str">
        <f>IFERROR(__xludf.DUMMYFUNCTION("""COMPUTED_VALUE"""),"SUMBAGUT")</f>
        <v>SUMBAGUT</v>
      </c>
      <c r="H841" s="222" t="str">
        <f>IFERROR(__xludf.DUMMYFUNCTION("""COMPUTED_VALUE"""),"MEDAN")</f>
        <v>MEDAN</v>
      </c>
      <c r="I841" s="222" t="str">
        <f>IFERROR(__xludf.DUMMYFUNCTION("""COMPUTED_VALUE"""),"Batch 2")</f>
        <v>Batch 2</v>
      </c>
      <c r="J841" s="225">
        <f>IFERROR(__xludf.DUMMYFUNCTION("""COMPUTED_VALUE"""),4.0)</f>
        <v>4</v>
      </c>
      <c r="K841" s="224">
        <f>IFERROR(__xludf.DUMMYFUNCTION("""COMPUTED_VALUE"""),32.0)</f>
        <v>32</v>
      </c>
      <c r="L841" s="226">
        <f>IFERROR(__xludf.DUMMYFUNCTION("""COMPUTED_VALUE"""),1056100.0)</f>
        <v>1056100</v>
      </c>
      <c r="M841" s="227">
        <f>IFERROR(__xludf.DUMMYFUNCTION("""COMPUTED_VALUE"""),3.379519E7)</f>
        <v>33795190</v>
      </c>
      <c r="N841" s="222" t="str">
        <f>IFERROR(__xludf.DUMMYFUNCTION("""COMPUTED_VALUE"""),"PT KANA PRISMA AKSES")</f>
        <v>PT KANA PRISMA AKSES</v>
      </c>
      <c r="O841" s="222" t="str">
        <f>IFERROR(__xludf.DUMMYFUNCTION("""COMPUTED_VALUE"""),"2. DONE AANWIJZING")</f>
        <v>2. DONE AANWIJZING</v>
      </c>
      <c r="P841" s="222" t="str">
        <f>IFERROR(__xludf.DUMMYFUNCTION("""COMPUTED_VALUE"""),"2.10 Kendala - Feeder Rusak")</f>
        <v>2.10 Kendala - Feeder Rusak</v>
      </c>
      <c r="Q841" s="222" t="str">
        <f>IFERROR(__xludf.DUMMYFUNCTION("""COMPUTED_VALUE"""),"21/04 pengecekan tipus / butuh qe
08/03 Feeder Redti 5/11 Feeder Habis
01/11proses aanwijzing")</f>
        <v>21/04 pengecekan tipus / butuh qe
08/03 Feeder Redti 5/11 Feeder Habis
01/11proses aanwijzing</v>
      </c>
      <c r="R841" s="228"/>
      <c r="S841" s="11"/>
      <c r="T841" s="11"/>
      <c r="U841" s="11"/>
      <c r="V841" s="229"/>
      <c r="W841" s="229"/>
      <c r="X841" s="229" t="str">
        <f>IFERROR(__xludf.DUMMYFUNCTION("""COMPUTED_VALUE"""),"BELUM GOLIVE")</f>
        <v>BELUM GOLIVE</v>
      </c>
      <c r="Y841" s="229"/>
      <c r="Z841" s="229" t="str">
        <f>IFERROR(__xludf.DUMMYFUNCTION("""COMPUTED_VALUE"""),"#N/A")</f>
        <v>#N/A</v>
      </c>
      <c r="AA841" s="229"/>
      <c r="AB841" s="229"/>
      <c r="AC841" s="229"/>
      <c r="AD841" s="232"/>
      <c r="AE841" s="233"/>
      <c r="AF841" s="54"/>
      <c r="AG841" s="54"/>
      <c r="AH841" s="54"/>
      <c r="AI841" s="55" t="str">
        <f t="shared" si="90"/>
        <v/>
      </c>
      <c r="AW841" s="234"/>
      <c r="BP841" s="11"/>
      <c r="BQ841" s="11"/>
      <c r="BR841" s="235"/>
      <c r="BV841" s="158"/>
      <c r="BY841" s="158"/>
      <c r="CB841" s="158"/>
    </row>
    <row r="842" ht="18.0" hidden="1" customHeight="1">
      <c r="A842" s="222">
        <f>IFERROR(__xludf.DUMMYFUNCTION("""COMPUTED_VALUE"""),2026.0)</f>
        <v>2026</v>
      </c>
      <c r="B842" s="221">
        <f>IFERROR(__xludf.DUMMYFUNCTION("""COMPUTED_VALUE"""),1.1219409E7)</f>
        <v>11219409</v>
      </c>
      <c r="C842" s="222" t="str">
        <f>IFERROR(__xludf.DUMMYFUNCTION("""COMPUTED_VALUE"""),"MDN PT3 P7I12 LBP-FP JL.PERINGGAN GG")</f>
        <v>MDN PT3 P7I12 LBP-FP JL.PERINGGAN GG</v>
      </c>
      <c r="D842" s="222" t="str">
        <f>IFERROR(__xludf.DUMMYFUNCTION("""COMPUTED_VALUE"""),"REGIONAL I")</f>
        <v>REGIONAL I</v>
      </c>
      <c r="E842" s="222" t="str">
        <f>IFERROR(__xludf.DUMMYFUNCTION("""COMPUTED_VALUE"""),"MEDAN")</f>
        <v>MEDAN</v>
      </c>
      <c r="F842" s="222" t="str">
        <f>IFERROR(__xludf.DUMMYFUNCTION("""COMPUTED_VALUE"""),"LBP")</f>
        <v>LBP</v>
      </c>
      <c r="G842" s="222" t="str">
        <f>IFERROR(__xludf.DUMMYFUNCTION("""COMPUTED_VALUE"""),"SUMBAGUT")</f>
        <v>SUMBAGUT</v>
      </c>
      <c r="H842" s="222" t="str">
        <f>IFERROR(__xludf.DUMMYFUNCTION("""COMPUTED_VALUE"""),"MEDAN")</f>
        <v>MEDAN</v>
      </c>
      <c r="I842" s="222" t="str">
        <f>IFERROR(__xludf.DUMMYFUNCTION("""COMPUTED_VALUE"""),"Batch 2")</f>
        <v>Batch 2</v>
      </c>
      <c r="J842" s="225">
        <f>IFERROR(__xludf.DUMMYFUNCTION("""COMPUTED_VALUE"""),8.0)</f>
        <v>8</v>
      </c>
      <c r="K842" s="224">
        <f>IFERROR(__xludf.DUMMYFUNCTION("""COMPUTED_VALUE"""),64.0)</f>
        <v>64</v>
      </c>
      <c r="L842" s="226">
        <f>IFERROR(__xludf.DUMMYFUNCTION("""COMPUTED_VALUE"""),1451739.0)</f>
        <v>1451739</v>
      </c>
      <c r="M842" s="227">
        <f>IFERROR(__xludf.DUMMYFUNCTION("""COMPUTED_VALUE"""),9.2911295E7)</f>
        <v>92911295</v>
      </c>
      <c r="N842" s="222" t="str">
        <f>IFERROR(__xludf.DUMMYFUNCTION("""COMPUTED_VALUE"""),"PT BONGKAR SEJATI ANDALAN")</f>
        <v>PT BONGKAR SEJATI ANDALAN</v>
      </c>
      <c r="O842" s="222" t="str">
        <f>IFERROR(__xludf.DUMMYFUNCTION("""COMPUTED_VALUE"""),"0. DROP")</f>
        <v>0. DROP</v>
      </c>
      <c r="P842" s="222" t="str">
        <f>IFERROR(__xludf.DUMMYFUNCTION("""COMPUTED_VALUE"""),"0.4 CPP Tinggi Acc ED TIF")</f>
        <v>0.4 CPP Tinggi Acc ED TIF</v>
      </c>
      <c r="Q842" s="222" t="str">
        <f>IFERROR(__xludf.DUMMYFUNCTION("""COMPUTED_VALUE"""),"13/02 comcase 10 JT
(07/01) Persiapan")</f>
        <v>13/02 comcase 10 JT
(07/01) Persiapan</v>
      </c>
      <c r="R842" s="228"/>
      <c r="S842" s="11"/>
      <c r="T842" s="11"/>
      <c r="U842" s="11"/>
      <c r="V842" s="229"/>
      <c r="W842" s="229"/>
      <c r="X842" s="229" t="str">
        <f>IFERROR(__xludf.DUMMYFUNCTION("""COMPUTED_VALUE"""),"BELUM GOLIVE")</f>
        <v>BELUM GOLIVE</v>
      </c>
      <c r="Y842" s="229"/>
      <c r="Z842" s="229" t="str">
        <f>IFERROR(__xludf.DUMMYFUNCTION("""COMPUTED_VALUE"""),"#N/A")</f>
        <v>#N/A</v>
      </c>
      <c r="AA842" s="229"/>
      <c r="AB842" s="229"/>
      <c r="AC842" s="229"/>
      <c r="AD842" s="232"/>
      <c r="AE842" s="233"/>
      <c r="AF842" s="54" t="str">
        <f>IFERROR(__xludf.DUMMYFUNCTION("""COMPUTED_VALUE"""),"Draft BA DROP")</f>
        <v>Draft BA DROP</v>
      </c>
      <c r="AG842" s="54"/>
      <c r="AH842" s="54"/>
      <c r="AI842" s="55" t="str">
        <f t="shared" si="90"/>
        <v/>
      </c>
      <c r="AW842" s="234"/>
      <c r="BP842" s="11"/>
      <c r="BQ842" s="11"/>
      <c r="BR842" s="235"/>
      <c r="BV842" s="158"/>
      <c r="BY842" s="158"/>
      <c r="CB842" s="158"/>
    </row>
    <row r="843" ht="18.0" hidden="1" customHeight="1">
      <c r="A843" s="222">
        <f>IFERROR(__xludf.DUMMYFUNCTION("""COMPUTED_VALUE"""),2026.0)</f>
        <v>2026</v>
      </c>
      <c r="B843" s="221">
        <f>IFERROR(__xludf.DUMMYFUNCTION("""COMPUTED_VALUE"""),1.2274514E7)</f>
        <v>12274514</v>
      </c>
      <c r="C843" s="222" t="str">
        <f>IFERROR(__xludf.DUMMYFUNCTION("""COMPUTED_VALUE"""),"SMU RAP-FD CLUST LAP. IKA BINA (ADDFEED)")</f>
        <v>SMU RAP-FD CLUST LAP. IKA BINA (ADDFEED)</v>
      </c>
      <c r="D843" s="222" t="str">
        <f>IFERROR(__xludf.DUMMYFUNCTION("""COMPUTED_VALUE"""),"REGIONAL I")</f>
        <v>REGIONAL I</v>
      </c>
      <c r="E843" s="222" t="str">
        <f>IFERROR(__xludf.DUMMYFUNCTION("""COMPUTED_VALUE"""),"SUMUT")</f>
        <v>SUMUT</v>
      </c>
      <c r="F843" s="222" t="str">
        <f>IFERROR(__xludf.DUMMYFUNCTION("""COMPUTED_VALUE"""),"RAP")</f>
        <v>RAP</v>
      </c>
      <c r="G843" s="222" t="str">
        <f>IFERROR(__xludf.DUMMYFUNCTION("""COMPUTED_VALUE"""),"SUMBAGUT")</f>
        <v>SUMBAGUT</v>
      </c>
      <c r="H843" s="222" t="str">
        <f>IFERROR(__xludf.DUMMYFUNCTION("""COMPUTED_VALUE"""),"RANTAU PRAPAT")</f>
        <v>RANTAU PRAPAT</v>
      </c>
      <c r="I843" s="222" t="str">
        <f>IFERROR(__xludf.DUMMYFUNCTION("""COMPUTED_VALUE"""),"Batch 2")</f>
        <v>Batch 2</v>
      </c>
      <c r="J843" s="225">
        <f>IFERROR(__xludf.DUMMYFUNCTION("""COMPUTED_VALUE"""),15.0)</f>
        <v>15</v>
      </c>
      <c r="K843" s="224">
        <f>IFERROR(__xludf.DUMMYFUNCTION("""COMPUTED_VALUE"""),120.0)</f>
        <v>120</v>
      </c>
      <c r="L843" s="226">
        <f>IFERROR(__xludf.DUMMYFUNCTION("""COMPUTED_VALUE"""),1054893.0)</f>
        <v>1054893</v>
      </c>
      <c r="M843" s="227">
        <f>IFERROR(__xludf.DUMMYFUNCTION("""COMPUTED_VALUE"""),1.26587072E8)</f>
        <v>126587072</v>
      </c>
      <c r="N843" s="222" t="str">
        <f>IFERROR(__xludf.DUMMYFUNCTION("""COMPUTED_VALUE"""),"PT UPAYA TEKNIK")</f>
        <v>PT UPAYA TEKNIK</v>
      </c>
      <c r="O843" s="222" t="str">
        <f>IFERROR(__xludf.DUMMYFUNCTION("""COMPUTED_VALUE"""),"3. PERIZINAN")</f>
        <v>3. PERIZINAN</v>
      </c>
      <c r="P843" s="222" t="str">
        <f>IFERROR(__xludf.DUMMYFUNCTION("""COMPUTED_VALUE"""),"3.1 Submit permohon ke PU")</f>
        <v>3.1 Submit permohon ke PU</v>
      </c>
      <c r="Q843" s="222" t="str">
        <f>IFERROR(__xludf.DUMMYFUNCTION("""COMPUTED_VALUE"""),"27/4 menunggu ttd GM terkait perijinan pu kab,  24/4 menunggu ttd GM terkait perijinan pu kab, 23/4 menunggu ttd GM terkait perijinan pu kab,  22/4 menunggu ttd GM terkait perijinan pu kab, 21/4 menunggu ttd GM terkait perijinan pu kab, 20/4 menunggu ttd "&amp;"GM terkait perijinan pu kab, 16/4 menunggu ttd GM terkait perijinan pu kab, 15/4 menunggu approv pengantar izin pu kab, 14/4 menunggu approv pengantar izin pu kab, 13/4 menunggu approv pengantar izin pu kab, 10/4 menunggu approv pengantar izin pu kab, 9/4"&amp;" menunggu approv pengantar izin pu kab,8/4 menunggu approv pengantar izin pu kab, 6/4 menunggu approv pengantar izin pu kab,  5/4 menunggu approv pengantar izin pu kab, 1/4 menunggu approv pengantar izin pu kab, 31/3 menunggu approv pengantar izin pu kab,"&amp;" 30/3 menunggu approv pengantar izin pu kab, 27/3 menunggu approv pengantar izin pu kab, 26/3 menunggu approv pengantar izin pu kab, 22/3 menunggu approv pengantar izin pu kab,  18/3 menunggu approv pengantar izin pu kab, 16/3 menunggu approv pengantar iz"&amp;"in pu kab, 13/3 hari ini pengecekan space galian sepanjang 150 m, pararel menunggu approve pengantar izin pu dari pak sunaedi, 11/3 menunggu approve pengantar izin pu dari pak sunaedi, 10/3 menunggu approve pengantar izin pu dari pak sunaedi, 6/3 menunggu"&amp;" approve pengantar izin pu dari GM witel, 5/3 menunggu approve pengantar izin pu dari GM witel, 4/3 menunggu approve pengantar izin pu dari GM witel, 3/3 menunggu approve pengantar izin pu dari GM witel,  2/3 menunggu approve pengantar izin pu dari GM wit"&amp;"el, 27/2 menunggu approve pengantar izin pu dari GM witel, 25/2 proses negisiasi dengan pihak kapling terkait izin tanam tiang, 24/2 plan besok 25 feb team fu kembali ke kelurahan terkait izin , 23/2 plan besok team fu kembali ke kelurahan terkait izin , "&amp;" 20/2 menunggu surat balasan dari pihak kelurahan,19/2 menunggu approval GM terkait pengantra izin pu kab, 18/2 menunggu approval GM terkait pengantra izin pu kab,  16/2 menunggu approval GM terkait pengantra izin pu kab, 13/2 menunggu approval GM terkait"&amp;" pengantra izin pu kab, 12/2 menunggu approval GM terkait pengantra izin pu kab,  11/2 menunggu approval GM terkait pengantra izin pu kab,  10/2 menunggu approval GM terkait pengantra izin pu kab, 9/2 menunggu approval GM terkait pengantra izin pu kab, 6/"&amp;"2 menunggu req pengantar ijin pu kab, 5/2 menunggu req pengantar ijin pu kab, 3/2 menunggu req pengantar ijin pu kab, 2/2 proses req matrial paralel req pengantar ijin pu kab,  1/2 proses req matrial paralel req pengantar ijin pu kab, 30/1 proses req matr"&amp;"ial paralel req pengantar ijin pu kab,   28/1 proses req matrial paralel req pengantar ijin pu kab,  27/1 menunggu  boq kml survey paralel hasil cek otdr, 26/1 menunggu  boq kml survey,23/1 menunggu boq kml survey. 22/1 menunggu boq kml survey. 21/1 menun"&amp;"ggu report paralel boq kml survey, 20/1 menunggu report paralel boq kml survey, 18/1 plan survey 19/1, 15/1 plan survey 19/1, 14/1 plan survey 19/1 s/d 21/1, 13/1 menunggu info kelanjutan dari mitra, (07/01) Persiapan")</f>
        <v>27/4 menunggu ttd GM terkait perijinan pu kab,  24/4 menunggu ttd GM terkait perijinan pu kab, 23/4 menunggu ttd GM terkait perijinan pu kab,  22/4 menunggu ttd GM terkait perijinan pu kab, 21/4 menunggu ttd GM terkait perijinan pu kab, 20/4 menunggu ttd GM terkait perijinan pu kab, 16/4 menunggu ttd GM terkait perijinan pu kab, 15/4 menunggu approv pengantar izin pu kab, 14/4 menunggu approv pengantar izin pu kab, 13/4 menunggu approv pengantar izin pu kab, 10/4 menunggu approv pengantar izin pu kab, 9/4 menunggu approv pengantar izin pu kab,8/4 menunggu approv pengantar izin pu kab, 6/4 menunggu approv pengantar izin pu kab,  5/4 menunggu approv pengantar izin pu kab, 1/4 menunggu approv pengantar izin pu kab, 31/3 menunggu approv pengantar izin pu kab, 30/3 menunggu approv pengantar izin pu kab, 27/3 menunggu approv pengantar izin pu kab, 26/3 menunggu approv pengantar izin pu kab, 22/3 menunggu approv pengantar izin pu kab,  18/3 menunggu approv pengantar izin pu kab, 16/3 menunggu approv pengantar izin pu kab, 13/3 hari ini pengecekan space galian sepanjang 150 m, pararel menunggu approve pengantar izin pu dari pak sunaedi, 11/3 menunggu approve pengantar izin pu dari pak sunaedi, 10/3 menunggu approve pengantar izin pu dari pak sunaedi, 6/3 menunggu approve pengantar izin pu dari GM witel, 5/3 menunggu approve pengantar izin pu dari GM witel, 4/3 menunggu approve pengantar izin pu dari GM witel, 3/3 menunggu approve pengantar izin pu dari GM witel,  2/3 menunggu approve pengantar izin pu dari GM witel, 27/2 menunggu approve pengantar izin pu dari GM witel, 25/2 proses negisiasi dengan pihak kapling terkait izin tanam tiang, 24/2 plan besok 25 feb team fu kembali ke kelurahan terkait izin , 23/2 plan besok team fu kembali ke kelurahan terkait izin ,  20/2 menunggu surat balasan dari pihak kelurahan,19/2 menunggu approval GM terkait pengantra izin pu kab, 18/2 menunggu approval GM terkait pengantra izin pu kab,  16/2 menunggu approval GM terkait pengantra izin pu kab, 13/2 menunggu approval GM terkait pengantra izin pu kab, 12/2 menunggu approval GM terkait pengantra izin pu kab,  11/2 menunggu approval GM terkait pengantra izin pu kab,  10/2 menunggu approval GM terkait pengantra izin pu kab, 9/2 menunggu approval GM terkait pengantra izin pu kab, 6/2 menunggu req pengantar ijin pu kab, 5/2 menunggu req pengantar ijin pu kab, 3/2 menunggu req pengantar ijin pu kab, 2/2 proses req matrial paralel req pengantar ijin pu kab,  1/2 proses req matrial paralel req pengantar ijin pu kab, 30/1 proses req matrial paralel req pengantar ijin pu kab,   28/1 proses req matrial paralel req pengantar ijin pu kab,  27/1 menunggu  boq kml survey paralel hasil cek otdr, 26/1 menunggu  boq kml survey,23/1 menunggu boq kml survey. 22/1 menunggu boq kml survey. 21/1 menunggu report paralel boq kml survey, 20/1 menunggu report paralel boq kml survey, 18/1 plan survey 19/1, 15/1 plan survey 19/1, 14/1 plan survey 19/1 s/d 21/1, 13/1 menunggu info kelanjutan dari mitra, (07/01) Persiapan</v>
      </c>
      <c r="R843" s="228"/>
      <c r="S843" s="11"/>
      <c r="T843" s="73"/>
      <c r="U843" s="11" t="str">
        <f>IFERROR(__xludf.DUMMYFUNCTION("""COMPUTED_VALUE"""),"W03-1751/2025")</f>
        <v>W03-1751/2025</v>
      </c>
      <c r="V843" s="229" t="str">
        <f>IFERROR(__xludf.DUMMYFUNCTION("""COMPUTED_VALUE"""),"30/Apr/2026")</f>
        <v>30/Apr/2026</v>
      </c>
      <c r="W843" s="229"/>
      <c r="X843" s="229" t="str">
        <f>IFERROR(__xludf.DUMMYFUNCTION("""COMPUTED_VALUE"""),"BELUM GOLIVE")</f>
        <v>BELUM GOLIVE</v>
      </c>
      <c r="Y843" s="229" t="str">
        <f>IFERROR(__xludf.DUMMYFUNCTION("""COMPUTED_VALUE"""),"Izin pu")</f>
        <v>Izin pu</v>
      </c>
      <c r="Z843" s="229" t="str">
        <f>IFERROR(__xludf.DUMMYFUNCTION("""COMPUTED_VALUE"""),"#N/A")</f>
        <v>#N/A</v>
      </c>
      <c r="AA843" s="229"/>
      <c r="AB843" s="229"/>
      <c r="AC843" s="229"/>
      <c r="AD843" s="232"/>
      <c r="AE843" s="233"/>
      <c r="AF843" s="54"/>
      <c r="AG843" s="54"/>
      <c r="AH843" s="54"/>
      <c r="AI843" s="55" t="str">
        <f t="shared" si="90"/>
        <v/>
      </c>
      <c r="AW843" s="234"/>
      <c r="BP843" s="11"/>
      <c r="BQ843" s="11"/>
      <c r="BR843" s="235"/>
      <c r="BV843" s="158"/>
      <c r="BY843" s="158"/>
      <c r="CB843" s="158"/>
    </row>
    <row r="844" ht="18.0" hidden="1" customHeight="1">
      <c r="A844" s="222">
        <f>IFERROR(__xludf.DUMMYFUNCTION("""COMPUTED_VALUE"""),2026.0)</f>
        <v>2026</v>
      </c>
      <c r="B844" s="221">
        <f>IFERROR(__xludf.DUMMYFUNCTION("""COMPUTED_VALUE"""),1.2436364E7)</f>
        <v>12436364</v>
      </c>
      <c r="C844" s="222" t="str">
        <f>IFERROR(__xludf.DUMMYFUNCTION("""COMPUTED_VALUE"""),"JBI-PT3 BRANCH-MAB-FR-CITRA RESIDENCE 2")</f>
        <v>JBI-PT3 BRANCH-MAB-FR-CITRA RESIDENCE 2</v>
      </c>
      <c r="D844" s="222" t="str">
        <f>IFERROR(__xludf.DUMMYFUNCTION("""COMPUTED_VALUE"""),"REGIONAL I")</f>
        <v>REGIONAL I</v>
      </c>
      <c r="E844" s="222" t="str">
        <f>IFERROR(__xludf.DUMMYFUNCTION("""COMPUTED_VALUE"""),"JAMBI")</f>
        <v>JAMBI</v>
      </c>
      <c r="F844" s="222" t="str">
        <f>IFERROR(__xludf.DUMMYFUNCTION("""COMPUTED_VALUE"""),"MAB")</f>
        <v>MAB</v>
      </c>
      <c r="G844" s="222" t="str">
        <f>IFERROR(__xludf.DUMMYFUNCTION("""COMPUTED_VALUE"""),"SUMBAGSEL")</f>
        <v>SUMBAGSEL</v>
      </c>
      <c r="H844" s="222" t="str">
        <f>IFERROR(__xludf.DUMMYFUNCTION("""COMPUTED_VALUE"""),"JAMBI")</f>
        <v>JAMBI</v>
      </c>
      <c r="I844" s="222" t="str">
        <f>IFERROR(__xludf.DUMMYFUNCTION("""COMPUTED_VALUE"""),"Batch 2")</f>
        <v>Batch 2</v>
      </c>
      <c r="J844" s="225">
        <f>IFERROR(__xludf.DUMMYFUNCTION("""COMPUTED_VALUE"""),2.0)</f>
        <v>2</v>
      </c>
      <c r="K844" s="224">
        <f>IFERROR(__xludf.DUMMYFUNCTION("""COMPUTED_VALUE"""),16.0)</f>
        <v>16</v>
      </c>
      <c r="L844" s="226">
        <f>IFERROR(__xludf.DUMMYFUNCTION("""COMPUTED_VALUE"""),1054686.0)</f>
        <v>1054686</v>
      </c>
      <c r="M844" s="227">
        <f>IFERROR(__xludf.DUMMYFUNCTION("""COMPUTED_VALUE"""),1.6874963E7)</f>
        <v>16874963</v>
      </c>
      <c r="N844" s="222" t="str">
        <f>IFERROR(__xludf.DUMMYFUNCTION("""COMPUTED_VALUE"""),"PT HAN SUNG INDONESIA")</f>
        <v>PT HAN SUNG INDONESIA</v>
      </c>
      <c r="O844" s="222" t="str">
        <f>IFERROR(__xludf.DUMMYFUNCTION("""COMPUTED_VALUE"""),"7. GOLIVE")</f>
        <v>7. GOLIVE</v>
      </c>
      <c r="P844" s="222" t="str">
        <f>IFERROR(__xludf.DUMMYFUNCTION("""COMPUTED_VALUE"""),"7.2 Golive Full / OA / DONE OTB")</f>
        <v>7.2 Golive Full / OA / DONE OTB</v>
      </c>
      <c r="Q844" s="222" t="str">
        <f>IFERROR(__xludf.DUMMYFUNCTION("""COMPUTED_VALUE"""),"(12/2)golive sdi 12 feb (6/2) Mitra belum mengirim ABD  (5/2) SDH FI , OGP JUMPER (29/1) MATDEL (22/01) PID Done ogp Apv PM Area  (12/1) Proses aanwidjizing 7/1 DRM  (06/01)order JPP batch-2 2026 (17/11 create PID 10/11 mapping mitra")</f>
        <v>(12/2)golive sdi 12 feb (6/2) Mitra belum mengirim ABD  (5/2) SDH FI , OGP JUMPER (29/1) MATDEL (22/01) PID Done ogp Apv PM Area  (12/1) Proses aanwidjizing 7/1 DRM  (06/01)order JPP batch-2 2026 (17/11 create PID 10/11 mapping mitra</v>
      </c>
      <c r="R844" s="228">
        <f>IFERROR(__xludf.DUMMYFUNCTION("""COMPUTED_VALUE"""),46066.0)</f>
        <v>46066</v>
      </c>
      <c r="S844" s="11"/>
      <c r="T844" s="11"/>
      <c r="U844" s="11"/>
      <c r="V844" s="229"/>
      <c r="W844" s="229"/>
      <c r="X844" s="229" t="str">
        <f>IFERROR(__xludf.DUMMYFUNCTION("""COMPUTED_VALUE"""),"GOLIVE")</f>
        <v>GOLIVE</v>
      </c>
      <c r="Y844" s="229" t="str">
        <f>IFERROR(__xludf.DUMMYFUNCTION("""COMPUTED_VALUE"""),"DONE")</f>
        <v>DONE</v>
      </c>
      <c r="Z844" s="229" t="str">
        <f>IFERROR(__xludf.DUMMYFUNCTION("""COMPUTED_VALUE"""),"#N/A")</f>
        <v>#N/A</v>
      </c>
      <c r="AA844" s="229">
        <f>IFERROR(__xludf.DUMMYFUNCTION("""COMPUTED_VALUE"""),2.0)</f>
        <v>2</v>
      </c>
      <c r="AB844" s="229"/>
      <c r="AC844" s="229" t="str">
        <f>IFERROR(__xludf.DUMMYFUNCTION("""COMPUTED_VALUE"""),"9103842#9103847")</f>
        <v>9103842#9103847</v>
      </c>
      <c r="AD844" s="232">
        <f>IFERROR(__xludf.DUMMYFUNCTION("""COMPUTED_VALUE"""),16.0)</f>
        <v>16</v>
      </c>
      <c r="AE844" s="233">
        <f>IFERROR(__xludf.DUMMYFUNCTION("""COMPUTED_VALUE"""),46065.0)</f>
        <v>46065</v>
      </c>
      <c r="AF844" s="54"/>
      <c r="AG844" s="54"/>
      <c r="AH844" s="54">
        <v>46066.0</v>
      </c>
      <c r="AI844" s="55">
        <f t="shared" si="90"/>
        <v>1</v>
      </c>
      <c r="AW844" s="234"/>
      <c r="BP844" s="11"/>
      <c r="BQ844" s="11"/>
      <c r="BR844" s="235"/>
      <c r="BV844" s="158"/>
      <c r="BY844" s="158"/>
      <c r="CB844" s="158"/>
    </row>
    <row r="845" ht="18.0" customHeight="1">
      <c r="A845" s="222">
        <f>IFERROR(__xludf.DUMMYFUNCTION("""COMPUTED_VALUE"""),2026.0)</f>
        <v>2026</v>
      </c>
      <c r="B845" s="221">
        <f>IFERROR(__xludf.DUMMYFUNCTION("""COMPUTED_VALUE"""),1.1892828E7)</f>
        <v>11892828</v>
      </c>
      <c r="C845" s="222" t="str">
        <f>IFERROR(__xludf.DUMMYFUNCTION("""COMPUTED_VALUE"""),"RKP TSEL PT3 BTC-FEJ KOTA BATAM_46433")</f>
        <v>RKP TSEL PT3 BTC-FEJ KOTA BATAM_46433</v>
      </c>
      <c r="D845" s="222" t="str">
        <f>IFERROR(__xludf.DUMMYFUNCTION("""COMPUTED_VALUE"""),"REGIONAL I")</f>
        <v>REGIONAL I</v>
      </c>
      <c r="E845" s="222" t="str">
        <f>IFERROR(__xludf.DUMMYFUNCTION("""COMPUTED_VALUE"""),"RIKEP")</f>
        <v>RIKEP</v>
      </c>
      <c r="F845" s="222" t="str">
        <f>IFERROR(__xludf.DUMMYFUNCTION("""COMPUTED_VALUE"""),"NGS")</f>
        <v>NGS</v>
      </c>
      <c r="G845" s="222" t="str">
        <f>IFERROR(__xludf.DUMMYFUNCTION("""COMPUTED_VALUE"""),"SUMBAGTENG")</f>
        <v>SUMBAGTENG</v>
      </c>
      <c r="H845" s="222" t="str">
        <f>IFERROR(__xludf.DUMMYFUNCTION("""COMPUTED_VALUE"""),"BATAM")</f>
        <v>BATAM</v>
      </c>
      <c r="I845" s="222" t="str">
        <f>IFERROR(__xludf.DUMMYFUNCTION("""COMPUTED_VALUE"""),"Batch 2")</f>
        <v>Batch 2</v>
      </c>
      <c r="J845" s="225">
        <f>IFERROR(__xludf.DUMMYFUNCTION("""COMPUTED_VALUE"""),2.0)</f>
        <v>2</v>
      </c>
      <c r="K845" s="224">
        <f>IFERROR(__xludf.DUMMYFUNCTION("""COMPUTED_VALUE"""),16.0)</f>
        <v>16</v>
      </c>
      <c r="L845" s="226">
        <f>IFERROR(__xludf.DUMMYFUNCTION("""COMPUTED_VALUE"""),1221188.0)</f>
        <v>1221188</v>
      </c>
      <c r="M845" s="227">
        <f>IFERROR(__xludf.DUMMYFUNCTION("""COMPUTED_VALUE"""),1.9538996E7)</f>
        <v>19538996</v>
      </c>
      <c r="N845" s="222" t="str">
        <f>IFERROR(__xludf.DUMMYFUNCTION("""COMPUTED_VALUE"""),"PT MITRA SETIA INDONESIA")</f>
        <v>PT MITRA SETIA INDONESIA</v>
      </c>
      <c r="O845" s="222" t="str">
        <f>IFERROR(__xludf.DUMMYFUNCTION("""COMPUTED_VALUE"""),"0. DROP")</f>
        <v>0. DROP</v>
      </c>
      <c r="P845" s="222" t="str">
        <f>IFERROR(__xludf.DUMMYFUNCTION("""COMPUTED_VALUE"""),"0.2 Tidak Dapat Izin Warga/Kades/Lurah/Developer")</f>
        <v>0.2 Tidak Dapat Izin Warga/Kades/Lurah/Developer</v>
      </c>
      <c r="Q845" s="222" t="str">
        <f>IFERROR(__xludf.DUMMYFUNCTION("""COMPUTED_VALUE"""),"26/02 izin tidak di acc karena provider sebelum nya bermasalah dan pihak perangkat menolak segala jenis provider masuk. 21/02 Peralihan mitra karena mitra tidak ada MP, dari mitra PT ALTONG ke PT MSI. 09/02 izin belum di FU oleh mitra altong. 28/01 Surat "&amp;"izin sudah di berikan namun blm ada balasan dari perangkat. 26/01  Mitra PT Altong menolak order alasan MP, peralihan mitra. 21/01 plan fu perizinan tanggal 26 Jan")</f>
        <v>26/02 izin tidak di acc karena provider sebelum nya bermasalah dan pihak perangkat menolak segala jenis provider masuk. 21/02 Peralihan mitra karena mitra tidak ada MP, dari mitra PT ALTONG ke PT MSI. 09/02 izin belum di FU oleh mitra altong. 28/01 Surat izin sudah di berikan namun blm ada balasan dari perangkat. 26/01  Mitra PT Altong menolak order alasan MP, peralihan mitra. 21/01 plan fu perizinan tanggal 26 Jan</v>
      </c>
      <c r="R845" s="228"/>
      <c r="S845" s="11"/>
      <c r="T845" s="11"/>
      <c r="U845" s="11"/>
      <c r="V845" s="229" t="str">
        <f>IFERROR(__xludf.DUMMYFUNCTION("""COMPUTED_VALUE"""),"GANI PRASTYO")</f>
        <v>GANI PRASTYO</v>
      </c>
      <c r="W845" s="229" t="str">
        <f>IFERROR(__xludf.DUMMYFUNCTION("""COMPUTED_VALUE"""),"LEVITA INDRIYANI")</f>
        <v>LEVITA INDRIYANI</v>
      </c>
      <c r="X845" s="229" t="str">
        <f>IFERROR(__xludf.DUMMYFUNCTION("""COMPUTED_VALUE"""),"BELUM GOLIVE")</f>
        <v>BELUM GOLIVE</v>
      </c>
      <c r="Y845" s="229"/>
      <c r="Z845" s="229" t="str">
        <f>IFERROR(__xludf.DUMMYFUNCTION("""COMPUTED_VALUE"""),"#N/A")</f>
        <v>#N/A</v>
      </c>
      <c r="AA845" s="229"/>
      <c r="AB845" s="229"/>
      <c r="AC845" s="229"/>
      <c r="AD845" s="232"/>
      <c r="AE845" s="233"/>
      <c r="AF845" s="54" t="str">
        <f>IFERROR(__xludf.DUMMYFUNCTION("""COMPUTED_VALUE"""),"Draft BA DROP")</f>
        <v>Draft BA DROP</v>
      </c>
      <c r="AG845" s="54"/>
      <c r="AH845" s="54"/>
      <c r="AI845" s="55" t="str">
        <f t="shared" si="90"/>
        <v/>
      </c>
      <c r="AW845" s="234"/>
      <c r="BP845" s="11"/>
      <c r="BQ845" s="11"/>
      <c r="BR845" s="235"/>
      <c r="BV845" s="158"/>
      <c r="BY845" s="158"/>
      <c r="CB845" s="158"/>
    </row>
    <row r="846" ht="18.0" customHeight="1">
      <c r="A846" s="222">
        <f>IFERROR(__xludf.DUMMYFUNCTION("""COMPUTED_VALUE"""),2026.0)</f>
        <v>2026</v>
      </c>
      <c r="B846" s="221">
        <f>IFERROR(__xludf.DUMMYFUNCTION("""COMPUTED_VALUE"""),1.2268042E7)</f>
        <v>12268042</v>
      </c>
      <c r="C846" s="222" t="str">
        <f>IFERROR(__xludf.DUMMYFUNCTION("""COMPUTED_VALUE"""),"SMB P4I3 Padang Laweh")</f>
        <v>SMB P4I3 Padang Laweh</v>
      </c>
      <c r="D846" s="222" t="str">
        <f>IFERROR(__xludf.DUMMYFUNCTION("""COMPUTED_VALUE"""),"REGIONAL I")</f>
        <v>REGIONAL I</v>
      </c>
      <c r="E846" s="222" t="str">
        <f>IFERROR(__xludf.DUMMYFUNCTION("""COMPUTED_VALUE"""),"SUMBAR")</f>
        <v>SUMBAR</v>
      </c>
      <c r="F846" s="222" t="str">
        <f>IFERROR(__xludf.DUMMYFUNCTION("""COMPUTED_VALUE"""),"SJJ")</f>
        <v>SJJ</v>
      </c>
      <c r="G846" s="222" t="str">
        <f>IFERROR(__xludf.DUMMYFUNCTION("""COMPUTED_VALUE"""),"SUMBAGTENG")</f>
        <v>SUMBAGTENG</v>
      </c>
      <c r="H846" s="222" t="str">
        <f>IFERROR(__xludf.DUMMYFUNCTION("""COMPUTED_VALUE"""),"PADANG")</f>
        <v>PADANG</v>
      </c>
      <c r="I846" s="222" t="str">
        <f>IFERROR(__xludf.DUMMYFUNCTION("""COMPUTED_VALUE"""),"Batch 2")</f>
        <v>Batch 2</v>
      </c>
      <c r="J846" s="225">
        <f>IFERROR(__xludf.DUMMYFUNCTION("""COMPUTED_VALUE"""),3.0)</f>
        <v>3</v>
      </c>
      <c r="K846" s="224">
        <f>IFERROR(__xludf.DUMMYFUNCTION("""COMPUTED_VALUE"""),24.0)</f>
        <v>24</v>
      </c>
      <c r="L846" s="226">
        <f>IFERROR(__xludf.DUMMYFUNCTION("""COMPUTED_VALUE"""),1054561.0)</f>
        <v>1054561</v>
      </c>
      <c r="M846" s="227">
        <f>IFERROR(__xludf.DUMMYFUNCTION("""COMPUTED_VALUE"""),2.5309463E7)</f>
        <v>25309463</v>
      </c>
      <c r="N846" s="222" t="str">
        <f>IFERROR(__xludf.DUMMYFUNCTION("""COMPUTED_VALUE"""),"PT TANJUNG PUTRA PRIMA")</f>
        <v>PT TANJUNG PUTRA PRIMA</v>
      </c>
      <c r="O846" s="222" t="str">
        <f>IFERROR(__xludf.DUMMYFUNCTION("""COMPUTED_VALUE"""),"0. DROP")</f>
        <v>0. DROP</v>
      </c>
      <c r="P846" s="222" t="str">
        <f>IFERROR(__xludf.DUMMYFUNCTION("""COMPUTED_VALUE"""),"0.3 Feeder Full")</f>
        <v>0.3 Feeder Full</v>
      </c>
      <c r="Q846" s="222" t="str">
        <f>IFERROR(__xludf.DUMMYFUNCTION("""COMPUTED_VALUE"""),"(07/01) kendala feeder ODC-SJJ-FC Full")</f>
        <v>(07/01) kendala feeder ODC-SJJ-FC Full</v>
      </c>
      <c r="R846" s="228"/>
      <c r="S846" s="11"/>
      <c r="T846" s="11"/>
      <c r="U846" s="11"/>
      <c r="V846" s="229"/>
      <c r="W846" s="229"/>
      <c r="X846" s="229" t="str">
        <f>IFERROR(__xludf.DUMMYFUNCTION("""COMPUTED_VALUE"""),"BELUM GOLIVE")</f>
        <v>BELUM GOLIVE</v>
      </c>
      <c r="Y846" s="229"/>
      <c r="Z846" s="229" t="str">
        <f>IFERROR(__xludf.DUMMYFUNCTION("""COMPUTED_VALUE"""),"#N/A")</f>
        <v>#N/A</v>
      </c>
      <c r="AA846" s="229"/>
      <c r="AB846" s="229"/>
      <c r="AC846" s="229"/>
      <c r="AD846" s="232"/>
      <c r="AE846" s="233"/>
      <c r="AF846" s="54" t="str">
        <f>IFERROR(__xludf.DUMMYFUNCTION("""COMPUTED_VALUE"""),"Draft BA DROP")</f>
        <v>Draft BA DROP</v>
      </c>
      <c r="AG846" s="54"/>
      <c r="AH846" s="54"/>
      <c r="AI846" s="55" t="str">
        <f t="shared" si="90"/>
        <v/>
      </c>
      <c r="AW846" s="234"/>
      <c r="BP846" s="11"/>
      <c r="BQ846" s="11"/>
      <c r="BR846" s="235"/>
      <c r="BV846" s="158"/>
      <c r="BY846" s="158"/>
      <c r="CB846" s="158"/>
    </row>
    <row r="847" ht="18.0" hidden="1" customHeight="1">
      <c r="A847" s="222">
        <f>IFERROR(__xludf.DUMMYFUNCTION("""COMPUTED_VALUE"""),2026.0)</f>
        <v>2026</v>
      </c>
      <c r="B847" s="221">
        <f>IFERROR(__xludf.DUMMYFUNCTION("""COMPUTED_VALUE"""),1.1325402E7)</f>
        <v>11325402</v>
      </c>
      <c r="C847" s="222" t="str">
        <f>IFERROR(__xludf.DUMMYFUNCTION("""COMPUTED_VALUE"""),"MDN PT3 TTG-FBH DE GARDENIA")</f>
        <v>MDN PT3 TTG-FBH DE GARDENIA</v>
      </c>
      <c r="D847" s="222" t="str">
        <f>IFERROR(__xludf.DUMMYFUNCTION("""COMPUTED_VALUE"""),"REGIONAL I")</f>
        <v>REGIONAL I</v>
      </c>
      <c r="E847" s="222" t="str">
        <f>IFERROR(__xludf.DUMMYFUNCTION("""COMPUTED_VALUE"""),"MEDAN")</f>
        <v>MEDAN</v>
      </c>
      <c r="F847" s="222" t="str">
        <f>IFERROR(__xludf.DUMMYFUNCTION("""COMPUTED_VALUE"""),"TTG")</f>
        <v>TTG</v>
      </c>
      <c r="G847" s="222" t="str">
        <f>IFERROR(__xludf.DUMMYFUNCTION("""COMPUTED_VALUE"""),"SUMBAGUT")</f>
        <v>SUMBAGUT</v>
      </c>
      <c r="H847" s="222" t="str">
        <f>IFERROR(__xludf.DUMMYFUNCTION("""COMPUTED_VALUE"""),"MEDAN")</f>
        <v>MEDAN</v>
      </c>
      <c r="I847" s="222" t="str">
        <f>IFERROR(__xludf.DUMMYFUNCTION("""COMPUTED_VALUE"""),"Batch 2")</f>
        <v>Batch 2</v>
      </c>
      <c r="J847" s="225">
        <f>IFERROR(__xludf.DUMMYFUNCTION("""COMPUTED_VALUE"""),9.0)</f>
        <v>9</v>
      </c>
      <c r="K847" s="224">
        <f>IFERROR(__xludf.DUMMYFUNCTION("""COMPUTED_VALUE"""),72.0)</f>
        <v>72</v>
      </c>
      <c r="L847" s="226">
        <f>IFERROR(__xludf.DUMMYFUNCTION("""COMPUTED_VALUE"""),925839.0)</f>
        <v>925839</v>
      </c>
      <c r="M847" s="227">
        <f>IFERROR(__xludf.DUMMYFUNCTION("""COMPUTED_VALUE"""),6.6660385E7)</f>
        <v>66660385</v>
      </c>
      <c r="N847" s="222" t="str">
        <f>IFERROR(__xludf.DUMMYFUNCTION("""COMPUTED_VALUE"""),"PT PRIMA INDO SENTOSA")</f>
        <v>PT PRIMA INDO SENTOSA</v>
      </c>
      <c r="O847" s="222" t="str">
        <f>IFERROR(__xludf.DUMMYFUNCTION("""COMPUTED_VALUE"""),"3. PERIZINAN")</f>
        <v>3. PERIZINAN</v>
      </c>
      <c r="P847" s="222" t="str">
        <f>IFERROR(__xludf.DUMMYFUNCTION("""COMPUTED_VALUE"""),"3.9 Izin Kades / Lurah / RTRW")</f>
        <v>3.9 Izin Kades / Lurah / RTRW</v>
      </c>
      <c r="Q847" s="222" t="str">
        <f>IFERROR(__xludf.DUMMYFUNCTION("""COMPUTED_VALUE"""),"09/04 take over mitra lain 10/03 Pengurusan izin ke lurah komitmen W1 Apr 2026 12/02 Perizinan ke Komplek (CHAM)")</f>
        <v>09/04 take over mitra lain 10/03 Pengurusan izin ke lurah komitmen W1 Apr 2026 12/02 Perizinan ke Komplek (CHAM)</v>
      </c>
      <c r="R847" s="228"/>
      <c r="S847" s="11"/>
      <c r="T847" s="73"/>
      <c r="U847" s="11"/>
      <c r="V847" s="229" t="str">
        <f>IFERROR(__xludf.DUMMYFUNCTION("""COMPUTED_VALUE"""),"28/Apr/2026")</f>
        <v>28/Apr/2026</v>
      </c>
      <c r="W847" s="229"/>
      <c r="X847" s="229" t="str">
        <f>IFERROR(__xludf.DUMMYFUNCTION("""COMPUTED_VALUE"""),"BELUM GOLIVE")</f>
        <v>BELUM GOLIVE</v>
      </c>
      <c r="Y847" s="229"/>
      <c r="Z847" s="229" t="str">
        <f>IFERROR(__xludf.DUMMYFUNCTION("""COMPUTED_VALUE"""),"#N/A")</f>
        <v>#N/A</v>
      </c>
      <c r="AA847" s="229"/>
      <c r="AB847" s="229"/>
      <c r="AC847" s="229"/>
      <c r="AD847" s="232"/>
      <c r="AE847" s="233"/>
      <c r="AF847" s="54"/>
      <c r="AG847" s="54"/>
      <c r="AH847" s="54"/>
      <c r="AI847" s="55" t="str">
        <f t="shared" si="90"/>
        <v/>
      </c>
      <c r="AW847" s="234"/>
      <c r="BP847" s="11"/>
      <c r="BQ847" s="11"/>
      <c r="BR847" s="235"/>
      <c r="BV847" s="158"/>
      <c r="BY847" s="158"/>
      <c r="CB847" s="158"/>
    </row>
    <row r="848" ht="18.0" customHeight="1">
      <c r="A848" s="222">
        <f>IFERROR(__xludf.DUMMYFUNCTION("""COMPUTED_VALUE"""),2026.0)</f>
        <v>2026</v>
      </c>
      <c r="B848" s="221">
        <f>IFERROR(__xludf.DUMMYFUNCTION("""COMPUTED_VALUE"""),1.1513479E7)</f>
        <v>11513479</v>
      </c>
      <c r="C848" s="222" t="str">
        <f>IFERROR(__xludf.DUMMYFUNCTION("""COMPUTED_VALUE"""),"SMB P3I1 Jalan Pasa Lalang Kuranji")</f>
        <v>SMB P3I1 Jalan Pasa Lalang Kuranji</v>
      </c>
      <c r="D848" s="222" t="str">
        <f>IFERROR(__xludf.DUMMYFUNCTION("""COMPUTED_VALUE"""),"REGIONAL I")</f>
        <v>REGIONAL I</v>
      </c>
      <c r="E848" s="222" t="str">
        <f>IFERROR(__xludf.DUMMYFUNCTION("""COMPUTED_VALUE"""),"SUMBAR")</f>
        <v>SUMBAR</v>
      </c>
      <c r="F848" s="222" t="str">
        <f>IFERROR(__xludf.DUMMYFUNCTION("""COMPUTED_VALUE"""),"KJI")</f>
        <v>KJI</v>
      </c>
      <c r="G848" s="222" t="str">
        <f>IFERROR(__xludf.DUMMYFUNCTION("""COMPUTED_VALUE"""),"SUMBAGTENG")</f>
        <v>SUMBAGTENG</v>
      </c>
      <c r="H848" s="222" t="str">
        <f>IFERROR(__xludf.DUMMYFUNCTION("""COMPUTED_VALUE"""),"PADANG")</f>
        <v>PADANG</v>
      </c>
      <c r="I848" s="222" t="str">
        <f>IFERROR(__xludf.DUMMYFUNCTION("""COMPUTED_VALUE"""),"Batch 2")</f>
        <v>Batch 2</v>
      </c>
      <c r="J848" s="225">
        <f>IFERROR(__xludf.DUMMYFUNCTION("""COMPUTED_VALUE"""),8.0)</f>
        <v>8</v>
      </c>
      <c r="K848" s="224">
        <f>IFERROR(__xludf.DUMMYFUNCTION("""COMPUTED_VALUE"""),64.0)</f>
        <v>64</v>
      </c>
      <c r="L848" s="226">
        <f>IFERROR(__xludf.DUMMYFUNCTION("""COMPUTED_VALUE"""),1054206.0)</f>
        <v>1054206</v>
      </c>
      <c r="M848" s="227">
        <f>IFERROR(__xludf.DUMMYFUNCTION("""COMPUTED_VALUE"""),6.7469149E7)</f>
        <v>67469149</v>
      </c>
      <c r="N848" s="222" t="str">
        <f>IFERROR(__xludf.DUMMYFUNCTION("""COMPUTED_VALUE"""),"PT TRI PENAMAS")</f>
        <v>PT TRI PENAMAS</v>
      </c>
      <c r="O848" s="222" t="str">
        <f>IFERROR(__xludf.DUMMYFUNCTION("""COMPUTED_VALUE"""),"4. MATDEL")</f>
        <v>4. MATDEL</v>
      </c>
      <c r="P848" s="222" t="str">
        <f>IFERROR(__xludf.DUMMYFUNCTION("""COMPUTED_VALUE"""),"4.4 Proses Pengiriman Pabribak ke WH")</f>
        <v>4.4 Proses Pengiriman Pabribak ke WH</v>
      </c>
      <c r="Q848" s="222" t="str">
        <f>IFERROR(__xludf.DUMMYFUNCTION("""COMPUTED_VALUE"""),"(27/04) menunggu PO kabel 24 ADSS (20/04) sudah aanwijziing, proses eval  (10/04) Proses aanwijziing , LOP HOLD FEEDER FULL ACC GO (26/01) FEEDER KJI-FN FULL, BUTUH PENAMBAHAN FEEDER")</f>
        <v>(27/04) menunggu PO kabel 24 ADSS (20/04) sudah aanwijziing, proses eval  (10/04) Proses aanwijziing , LOP HOLD FEEDER FULL ACC GO (26/01) FEEDER KJI-FN FULL, BUTUH PENAMBAHAN FEEDER</v>
      </c>
      <c r="R848" s="228"/>
      <c r="S848" s="11"/>
      <c r="T848" s="11"/>
      <c r="U848" s="11"/>
      <c r="V848" s="229" t="str">
        <f>IFERROR(__xludf.DUMMYFUNCTION("""COMPUTED_VALUE"""),"FABIO RAHMAN")</f>
        <v>FABIO RAHMAN</v>
      </c>
      <c r="W848" s="229" t="str">
        <f>IFERROR(__xludf.DUMMYFUNCTION("""COMPUTED_VALUE"""),"MELKO NARWADI")</f>
        <v>MELKO NARWADI</v>
      </c>
      <c r="X848" s="229" t="str">
        <f>IFERROR(__xludf.DUMMYFUNCTION("""COMPUTED_VALUE"""),"BELUM GOLIVE")</f>
        <v>BELUM GOLIVE</v>
      </c>
      <c r="Y848" s="229"/>
      <c r="Z848" s="229" t="str">
        <f>IFERROR(__xludf.DUMMYFUNCTION("""COMPUTED_VALUE"""),"#N/A")</f>
        <v>#N/A</v>
      </c>
      <c r="AA848" s="229"/>
      <c r="AB848" s="229"/>
      <c r="AC848" s="229"/>
      <c r="AD848" s="232"/>
      <c r="AE848" s="233"/>
      <c r="AF848" s="54"/>
      <c r="AG848" s="54"/>
      <c r="AH848" s="54"/>
      <c r="AI848" s="55" t="str">
        <f t="shared" si="90"/>
        <v/>
      </c>
      <c r="AW848" s="234"/>
      <c r="BP848" s="11"/>
      <c r="BQ848" s="11"/>
      <c r="BR848" s="235"/>
      <c r="BV848" s="158"/>
      <c r="BY848" s="158"/>
      <c r="CB848" s="158"/>
    </row>
    <row r="849" ht="18.0" hidden="1" customHeight="1">
      <c r="A849" s="222">
        <f>IFERROR(__xludf.DUMMYFUNCTION("""COMPUTED_VALUE"""),2026.0)</f>
        <v>2026</v>
      </c>
      <c r="B849" s="221">
        <f>IFERROR(__xludf.DUMMYFUNCTION("""COMPUTED_VALUE"""),1.2250641E7)</f>
        <v>12250641</v>
      </c>
      <c r="C849" s="222" t="str">
        <f>IFERROR(__xludf.DUMMYFUNCTION("""COMPUTED_VALUE"""),"MDN PT3 STB-FB SUMATERA UTARA_16087_new")</f>
        <v>MDN PT3 STB-FB SUMATERA UTARA_16087_new</v>
      </c>
      <c r="D849" s="222" t="str">
        <f>IFERROR(__xludf.DUMMYFUNCTION("""COMPUTED_VALUE"""),"REGIONAL I")</f>
        <v>REGIONAL I</v>
      </c>
      <c r="E849" s="222" t="str">
        <f>IFERROR(__xludf.DUMMYFUNCTION("""COMPUTED_VALUE"""),"MEDAN")</f>
        <v>MEDAN</v>
      </c>
      <c r="F849" s="222" t="str">
        <f>IFERROR(__xludf.DUMMYFUNCTION("""COMPUTED_VALUE"""),"STB")</f>
        <v>STB</v>
      </c>
      <c r="G849" s="222" t="str">
        <f>IFERROR(__xludf.DUMMYFUNCTION("""COMPUTED_VALUE"""),"SUMBAGUT")</f>
        <v>SUMBAGUT</v>
      </c>
      <c r="H849" s="222" t="str">
        <f>IFERROR(__xludf.DUMMYFUNCTION("""COMPUTED_VALUE"""),"BINJAI")</f>
        <v>BINJAI</v>
      </c>
      <c r="I849" s="222" t="str">
        <f>IFERROR(__xludf.DUMMYFUNCTION("""COMPUTED_VALUE"""),"Batch 2")</f>
        <v>Batch 2</v>
      </c>
      <c r="J849" s="225">
        <f>IFERROR(__xludf.DUMMYFUNCTION("""COMPUTED_VALUE"""),5.0)</f>
        <v>5</v>
      </c>
      <c r="K849" s="224">
        <f>IFERROR(__xludf.DUMMYFUNCTION("""COMPUTED_VALUE"""),40.0)</f>
        <v>40</v>
      </c>
      <c r="L849" s="226">
        <f>IFERROR(__xludf.DUMMYFUNCTION("""COMPUTED_VALUE"""),1053543.0)</f>
        <v>1053543</v>
      </c>
      <c r="M849" s="227">
        <f>IFERROR(__xludf.DUMMYFUNCTION("""COMPUTED_VALUE"""),4.21417E7)</f>
        <v>42141700</v>
      </c>
      <c r="N849" s="222" t="str">
        <f>IFERROR(__xludf.DUMMYFUNCTION("""COMPUTED_VALUE"""),"PT ASWA KARYA DIFA")</f>
        <v>PT ASWA KARYA DIFA</v>
      </c>
      <c r="O849" s="222" t="str">
        <f>IFERROR(__xludf.DUMMYFUNCTION("""COMPUTED_VALUE"""),"8. UJI TERIMA")</f>
        <v>8. UJI TERIMA</v>
      </c>
      <c r="P849" s="222" t="str">
        <f>IFERROR(__xludf.DUMMYFUNCTION("""COMPUTED_VALUE"""),"8.1 Proses UT")</f>
        <v>8.1 Proses UT</v>
      </c>
      <c r="Q849" s="222" t="str">
        <f>IFERROR(__xludf.DUMMYFUNCTION("""COMPUTED_VALUE"""),"16/01 golive sdi
(08/01) Kendala core dist full (07/01) Persiapan")</f>
        <v>16/01 golive sdi
(08/01) Kendala core dist full (07/01) Persiapan</v>
      </c>
      <c r="R849" s="228">
        <f>IFERROR(__xludf.DUMMYFUNCTION("""COMPUTED_VALUE"""),46038.0)</f>
        <v>46038</v>
      </c>
      <c r="S849" s="11"/>
      <c r="T849" s="11"/>
      <c r="U849" s="11" t="str">
        <f>IFERROR(__xludf.DUMMYFUNCTION("""COMPUTED_VALUE"""),"FALSE")</f>
        <v>FALSE</v>
      </c>
      <c r="V849" s="229"/>
      <c r="W849" s="229"/>
      <c r="X849" s="229" t="str">
        <f>IFERROR(__xludf.DUMMYFUNCTION("""COMPUTED_VALUE"""),"GOLIVE")</f>
        <v>GOLIVE</v>
      </c>
      <c r="Y849" s="229" t="str">
        <f>IFERROR(__xludf.DUMMYFUNCTION("""COMPUTED_VALUE"""),"DONE")</f>
        <v>DONE</v>
      </c>
      <c r="Z849" s="229" t="str">
        <f>IFERROR(__xludf.DUMMYFUNCTION("""COMPUTED_VALUE"""),"#N/A")</f>
        <v>#N/A</v>
      </c>
      <c r="AA849" s="229">
        <f>IFERROR(__xludf.DUMMYFUNCTION("""COMPUTED_VALUE"""),5.0)</f>
        <v>5</v>
      </c>
      <c r="AB849" s="229">
        <f>IFERROR(__xludf.DUMMYFUNCTION("""COMPUTED_VALUE"""),0.0)</f>
        <v>0</v>
      </c>
      <c r="AC849" s="229" t="str">
        <f>IFERROR(__xludf.DUMMYFUNCTION("""COMPUTED_VALUE"""),"8966888#8966893")</f>
        <v>8966888#8966893</v>
      </c>
      <c r="AD849" s="232">
        <f>IFERROR(__xludf.DUMMYFUNCTION("""COMPUTED_VALUE"""),40.0)</f>
        <v>40</v>
      </c>
      <c r="AE849" s="233">
        <f>IFERROR(__xludf.DUMMYFUNCTION("""COMPUTED_VALUE"""),46038.0)</f>
        <v>46038</v>
      </c>
      <c r="AF849" s="54"/>
      <c r="AG849" s="54"/>
      <c r="AH849" s="54">
        <v>46038.0</v>
      </c>
      <c r="AI849" s="55">
        <f t="shared" si="90"/>
        <v>0</v>
      </c>
      <c r="AW849" s="234"/>
      <c r="BP849" s="11"/>
      <c r="BQ849" s="11"/>
      <c r="BR849" s="235"/>
      <c r="BV849" s="158"/>
      <c r="BY849" s="158"/>
      <c r="CB849" s="158"/>
    </row>
    <row r="850" ht="18.0" customHeight="1">
      <c r="A850" s="222">
        <f>IFERROR(__xludf.DUMMYFUNCTION("""COMPUTED_VALUE"""),2026.0)</f>
        <v>2026</v>
      </c>
      <c r="B850" s="221">
        <f>IFERROR(__xludf.DUMMYFUNCTION("""COMPUTED_VALUE"""),1.0894465E7)</f>
        <v>10894465</v>
      </c>
      <c r="C850" s="222" t="str">
        <f>IFERROR(__xludf.DUMMYFUNCTION("""COMPUTED_VALUE"""),"SMB P1I1 STTF KOTO TANGAH MABER")</f>
        <v>SMB P1I1 STTF KOTO TANGAH MABER</v>
      </c>
      <c r="D850" s="222" t="str">
        <f>IFERROR(__xludf.DUMMYFUNCTION("""COMPUTED_VALUE"""),"REGIONAL I")</f>
        <v>REGIONAL I</v>
      </c>
      <c r="E850" s="222" t="str">
        <f>IFERROR(__xludf.DUMMYFUNCTION("""COMPUTED_VALUE"""),"SUMBAR")</f>
        <v>SUMBAR</v>
      </c>
      <c r="F850" s="222" t="str">
        <f>IFERROR(__xludf.DUMMYFUNCTION("""COMPUTED_VALUE"""),"BSK")</f>
        <v>BSK</v>
      </c>
      <c r="G850" s="222" t="str">
        <f>IFERROR(__xludf.DUMMYFUNCTION("""COMPUTED_VALUE"""),"SUMBAGTENG")</f>
        <v>SUMBAGTENG</v>
      </c>
      <c r="H850" s="222" t="str">
        <f>IFERROR(__xludf.DUMMYFUNCTION("""COMPUTED_VALUE"""),"BUKIT TINGGI")</f>
        <v>BUKIT TINGGI</v>
      </c>
      <c r="I850" s="222" t="str">
        <f>IFERROR(__xludf.DUMMYFUNCTION("""COMPUTED_VALUE"""),"Batch 2")</f>
        <v>Batch 2</v>
      </c>
      <c r="J850" s="225">
        <f>IFERROR(__xludf.DUMMYFUNCTION("""COMPUTED_VALUE"""),3.0)</f>
        <v>3</v>
      </c>
      <c r="K850" s="224">
        <f>IFERROR(__xludf.DUMMYFUNCTION("""COMPUTED_VALUE"""),24.0)</f>
        <v>24</v>
      </c>
      <c r="L850" s="226">
        <f>IFERROR(__xludf.DUMMYFUNCTION("""COMPUTED_VALUE"""),1052677.0)</f>
        <v>1052677</v>
      </c>
      <c r="M850" s="227">
        <f>IFERROR(__xludf.DUMMYFUNCTION("""COMPUTED_VALUE"""),2.5264229E7)</f>
        <v>25264229</v>
      </c>
      <c r="N850" s="222" t="str">
        <f>IFERROR(__xludf.DUMMYFUNCTION("""COMPUTED_VALUE"""),"PT RATRI PRIMA MANDIRI")</f>
        <v>PT RATRI PRIMA MANDIRI</v>
      </c>
      <c r="O850" s="222" t="str">
        <f>IFERROR(__xludf.DUMMYFUNCTION("""COMPUTED_VALUE"""),"2. DONE AANWIJZING")</f>
        <v>2. DONE AANWIJZING</v>
      </c>
      <c r="P850" s="222" t="str">
        <f>IFERROR(__xludf.DUMMYFUNCTION("""COMPUTED_VALUE"""),"2.9 Kendala - Distribusi Penuh / Rusak")</f>
        <v>2.9 Kendala - Distribusi Penuh / Rusak</v>
      </c>
      <c r="Q850" s="222" t="str">
        <f>IFERROR(__xludf.DUMMYFUNCTION("""COMPUTED_VALUE"""),"(27/01) : kendala core dist full  06/11 : proses aanwijziing  23/10 : Proses mapping mitra (07/01) kendala core dist 4 BSK-FB full ")</f>
        <v>(27/01) : kendala core dist full  06/11 : proses aanwijziing  23/10 : Proses mapping mitra (07/01) kendala core dist 4 BSK-FB full </v>
      </c>
      <c r="R850" s="228"/>
      <c r="S850" s="11"/>
      <c r="T850" s="11"/>
      <c r="U850" s="11"/>
      <c r="V850" s="229"/>
      <c r="W850" s="229"/>
      <c r="X850" s="229" t="str">
        <f>IFERROR(__xludf.DUMMYFUNCTION("""COMPUTED_VALUE"""),"BELUM GOLIVE")</f>
        <v>BELUM GOLIVE</v>
      </c>
      <c r="Y850" s="229"/>
      <c r="Z850" s="229" t="str">
        <f>IFERROR(__xludf.DUMMYFUNCTION("""COMPUTED_VALUE"""),"#N/A")</f>
        <v>#N/A</v>
      </c>
      <c r="AA850" s="229"/>
      <c r="AB850" s="229"/>
      <c r="AC850" s="229"/>
      <c r="AD850" s="232"/>
      <c r="AE850" s="233"/>
      <c r="AF850" s="54"/>
      <c r="AG850" s="54"/>
      <c r="AH850" s="54"/>
      <c r="AI850" s="55" t="str">
        <f t="shared" si="90"/>
        <v/>
      </c>
      <c r="AW850" s="234"/>
      <c r="BP850" s="11"/>
      <c r="BQ850" s="11"/>
      <c r="BR850" s="235"/>
      <c r="BV850" s="158"/>
      <c r="BY850" s="158"/>
      <c r="CB850" s="158"/>
    </row>
    <row r="851" ht="18.0" hidden="1" customHeight="1">
      <c r="A851" s="222">
        <f>IFERROR(__xludf.DUMMYFUNCTION("""COMPUTED_VALUE"""),2026.0)</f>
        <v>2026</v>
      </c>
      <c r="B851" s="221">
        <f>IFERROR(__xludf.DUMMYFUNCTION("""COMPUTED_VALUE"""),1.243834E7)</f>
        <v>12438340</v>
      </c>
      <c r="C851" s="222" t="str">
        <f>IFERROR(__xludf.DUMMYFUNCTION("""COMPUTED_VALUE"""),"BBL PT3 P4I4 EXPAND ODC BYU FD")</f>
        <v>BBL PT3 P4I4 EXPAND ODC BYU FD</v>
      </c>
      <c r="D851" s="222" t="str">
        <f>IFERROR(__xludf.DUMMYFUNCTION("""COMPUTED_VALUE"""),"REGIONAL I")</f>
        <v>REGIONAL I</v>
      </c>
      <c r="E851" s="222" t="str">
        <f>IFERROR(__xludf.DUMMYFUNCTION("""COMPUTED_VALUE"""),"BABEL")</f>
        <v>BABEL</v>
      </c>
      <c r="F851" s="222" t="str">
        <f>IFERROR(__xludf.DUMMYFUNCTION("""COMPUTED_VALUE"""),"BYU")</f>
        <v>BYU</v>
      </c>
      <c r="G851" s="222" t="str">
        <f>IFERROR(__xludf.DUMMYFUNCTION("""COMPUTED_VALUE"""),"SUMBAGSEL")</f>
        <v>SUMBAGSEL</v>
      </c>
      <c r="H851" s="222" t="str">
        <f>IFERROR(__xludf.DUMMYFUNCTION("""COMPUTED_VALUE"""),"PANGKAL PINANG")</f>
        <v>PANGKAL PINANG</v>
      </c>
      <c r="I851" s="222" t="str">
        <f>IFERROR(__xludf.DUMMYFUNCTION("""COMPUTED_VALUE"""),"Batch 2")</f>
        <v>Batch 2</v>
      </c>
      <c r="J851" s="225">
        <f>IFERROR(__xludf.DUMMYFUNCTION("""COMPUTED_VALUE"""),5.0)</f>
        <v>5</v>
      </c>
      <c r="K851" s="224">
        <f>IFERROR(__xludf.DUMMYFUNCTION("""COMPUTED_VALUE"""),40.0)</f>
        <v>40</v>
      </c>
      <c r="L851" s="226">
        <f>IFERROR(__xludf.DUMMYFUNCTION("""COMPUTED_VALUE"""),1052165.0)</f>
        <v>1052165</v>
      </c>
      <c r="M851" s="227">
        <f>IFERROR(__xludf.DUMMYFUNCTION("""COMPUTED_VALUE"""),4.2086597E7)</f>
        <v>42086597</v>
      </c>
      <c r="N851" s="222" t="str">
        <f>IFERROR(__xludf.DUMMYFUNCTION("""COMPUTED_VALUE"""),"PT Raharja Prakarsa Nusantara")</f>
        <v>PT Raharja Prakarsa Nusantara</v>
      </c>
      <c r="O851" s="222" t="str">
        <f>IFERROR(__xludf.DUMMYFUNCTION("""COMPUTED_VALUE"""),"7. GOLIVE")</f>
        <v>7. GOLIVE</v>
      </c>
      <c r="P851" s="222" t="str">
        <f>IFERROR(__xludf.DUMMYFUNCTION("""COMPUTED_VALUE"""),"7.2 Golive Full / OA / DONE OTB")</f>
        <v>7.2 Golive Full / OA / DONE OTB</v>
      </c>
      <c r="Q851" s="222" t="str">
        <f>IFERROR(__xludf.DUMMYFUNCTION("""COMPUTED_VALUE"""),"(9/2) SUDAH FI , PROSES VALINS DAN V4 (28/1) progress pasang odp (26/01) tanam tiang 5 done (21/01) penarikan kabel 12D 2150 done (19/1) MENUNGGU MATERIAL  KABEL 12 ( 2700 M) (06/01)order JPP batch-2 2026 (02/01 matdel (16/12) hold 29/11 pengambilan mater"&amp;"ial (28/11) request material (27/11) sudah bisa request material (25/11) proses pr po (24/11) DRM done (23/11) created PID done, proses DRM mitra (21/11) created PID kendala budget (13/11) sudah anwijzing  (6/11) anwizjing ke lokasi (5/11) Penunjukan mitr"&amp;"a")</f>
        <v>(9/2) SUDAH FI , PROSES VALINS DAN V4 (28/1) progress pasang odp (26/01) tanam tiang 5 done (21/01) penarikan kabel 12D 2150 done (19/1) MENUNGGU MATERIAL  KABEL 12 ( 2700 M) (06/01)order JPP batch-2 2026 (02/01 matdel (16/12) hold 29/11 pengambilan material (28/11) request material (27/11) sudah bisa request material (25/11) proses pr po (24/11) DRM done (23/11) created PID done, proses DRM mitra (21/11) created PID kendala budget (13/11) sudah anwijzing  (6/11) anwizjing ke lokasi (5/11) Penunjukan mitra</v>
      </c>
      <c r="R851" s="228">
        <f>IFERROR(__xludf.DUMMYFUNCTION("""COMPUTED_VALUE"""),46062.0)</f>
        <v>46062</v>
      </c>
      <c r="S851" s="11"/>
      <c r="T851" s="11"/>
      <c r="U851" s="11"/>
      <c r="V851" s="229"/>
      <c r="W851" s="229"/>
      <c r="X851" s="229" t="str">
        <f>IFERROR(__xludf.DUMMYFUNCTION("""COMPUTED_VALUE"""),"GOLIVE")</f>
        <v>GOLIVE</v>
      </c>
      <c r="Y851" s="229" t="str">
        <f>IFERROR(__xludf.DUMMYFUNCTION("""COMPUTED_VALUE"""),"DONE")</f>
        <v>DONE</v>
      </c>
      <c r="Z851" s="229" t="str">
        <f>IFERROR(__xludf.DUMMYFUNCTION("""COMPUTED_VALUE"""),"#N/A")</f>
        <v>#N/A</v>
      </c>
      <c r="AA851" s="229">
        <f>IFERROR(__xludf.DUMMYFUNCTION("""COMPUTED_VALUE"""),5.0)</f>
        <v>5</v>
      </c>
      <c r="AB851" s="229"/>
      <c r="AC851" s="229" t="str">
        <f>IFERROR(__xludf.DUMMYFUNCTION("""COMPUTED_VALUE"""),"9084026#9084032")</f>
        <v>9084026#9084032</v>
      </c>
      <c r="AD851" s="232">
        <f>IFERROR(__xludf.DUMMYFUNCTION("""COMPUTED_VALUE"""),40.0)</f>
        <v>40</v>
      </c>
      <c r="AE851" s="233">
        <f>IFERROR(__xludf.DUMMYFUNCTION("""COMPUTED_VALUE"""),46061.0)</f>
        <v>46061</v>
      </c>
      <c r="AF851" s="54" t="str">
        <f>IFERROR(__xludf.DUMMYFUNCTION("""COMPUTED_VALUE"""),"DONE")</f>
        <v>DONE</v>
      </c>
      <c r="AG851" s="54"/>
      <c r="AH851" s="54">
        <v>46062.0</v>
      </c>
      <c r="AI851" s="55">
        <f t="shared" si="90"/>
        <v>1</v>
      </c>
      <c r="AW851" s="234"/>
      <c r="BP851" s="11"/>
      <c r="BQ851" s="11"/>
      <c r="BR851" s="235"/>
      <c r="BV851" s="158"/>
      <c r="BY851" s="158"/>
      <c r="CB851" s="158"/>
    </row>
    <row r="852" ht="18.0" hidden="1" customHeight="1">
      <c r="A852" s="222">
        <f>IFERROR(__xludf.DUMMYFUNCTION("""COMPUTED_VALUE"""),2026.0)</f>
        <v>2026</v>
      </c>
      <c r="B852" s="221">
        <f>IFERROR(__xludf.DUMMYFUNCTION("""COMPUTED_VALUE"""),1.1393246E7)</f>
        <v>11393246</v>
      </c>
      <c r="C852" s="222" t="str">
        <f>IFERROR(__xludf.DUMMYFUNCTION("""COMPUTED_VALUE"""),"LPG PT3 JPP LAMPUNG UTARA_14482 KBI")</f>
        <v>LPG PT3 JPP LAMPUNG UTARA_14482 KBI</v>
      </c>
      <c r="D852" s="222" t="str">
        <f>IFERROR(__xludf.DUMMYFUNCTION("""COMPUTED_VALUE"""),"REGIONAL I")</f>
        <v>REGIONAL I</v>
      </c>
      <c r="E852" s="222" t="str">
        <f>IFERROR(__xludf.DUMMYFUNCTION("""COMPUTED_VALUE"""),"LAMPUNG")</f>
        <v>LAMPUNG</v>
      </c>
      <c r="F852" s="222" t="str">
        <f>IFERROR(__xludf.DUMMYFUNCTION("""COMPUTED_VALUE"""),"KBI")</f>
        <v>KBI</v>
      </c>
      <c r="G852" s="222" t="str">
        <f>IFERROR(__xludf.DUMMYFUNCTION("""COMPUTED_VALUE"""),"SUMBAGSEL")</f>
        <v>SUMBAGSEL</v>
      </c>
      <c r="H852" s="222" t="str">
        <f>IFERROR(__xludf.DUMMYFUNCTION("""COMPUTED_VALUE"""),"LAMPUNG")</f>
        <v>LAMPUNG</v>
      </c>
      <c r="I852" s="222" t="str">
        <f>IFERROR(__xludf.DUMMYFUNCTION("""COMPUTED_VALUE"""),"Batch 2")</f>
        <v>Batch 2</v>
      </c>
      <c r="J852" s="225">
        <f>IFERROR(__xludf.DUMMYFUNCTION("""COMPUTED_VALUE"""),4.0)</f>
        <v>4</v>
      </c>
      <c r="K852" s="224">
        <f>IFERROR(__xludf.DUMMYFUNCTION("""COMPUTED_VALUE"""),32.0)</f>
        <v>32</v>
      </c>
      <c r="L852" s="226">
        <f>IFERROR(__xludf.DUMMYFUNCTION("""COMPUTED_VALUE"""),1051588.0)</f>
        <v>1051588</v>
      </c>
      <c r="M852" s="227">
        <f>IFERROR(__xludf.DUMMYFUNCTION("""COMPUTED_VALUE"""),3.3650792E7)</f>
        <v>33650792</v>
      </c>
      <c r="N852" s="222" t="str">
        <f>IFERROR(__xludf.DUMMYFUNCTION("""COMPUTED_VALUE"""),"PT ALAM UTAMA MULIA")</f>
        <v>PT ALAM UTAMA MULIA</v>
      </c>
      <c r="O852" s="222" t="str">
        <f>IFERROR(__xludf.DUMMYFUNCTION("""COMPUTED_VALUE"""),"7. GOLIVE")</f>
        <v>7. GOLIVE</v>
      </c>
      <c r="P852" s="222" t="str">
        <f>IFERROR(__xludf.DUMMYFUNCTION("""COMPUTED_VALUE"""),"7.2 Golive Full / OA / DONE OTB")</f>
        <v>7.2 Golive Full / OA / DONE OTB</v>
      </c>
      <c r="Q852" s="222" t="str">
        <f>IFERROR(__xludf.DUMMYFUNCTION("""COMPUTED_VALUE"""),"18/2 finish instal- mitra sudah mengirimkan abd V4 11/2 material onsite - plan progrres 15 FEB  9/2 MATDEL  6/2 plan matdel ,ambil material 9/2 plan fi 20/2
4/2 stok material kosong ,estimasi tiba 07/2 
30/1 pengajuan pid 05/2 
23/1 estimasi pengambilan m"&amp;"aterial 26/01  ambil material di gudang
19/1 proses pengacekan core dan perizinan")</f>
        <v>18/2 finish instal- mitra sudah mengirimkan abd V4 11/2 material onsite - plan progrres 15 FEB  9/2 MATDEL  6/2 plan matdel ,ambil material 9/2 plan fi 20/2
4/2 stok material kosong ,estimasi tiba 07/2 
30/1 pengajuan pid 05/2 
23/1 estimasi pengambilan material 26/01  ambil material di gudang
19/1 proses pengacekan core dan perizinan</v>
      </c>
      <c r="R852" s="228">
        <f>IFERROR(__xludf.DUMMYFUNCTION("""COMPUTED_VALUE"""),46073.0)</f>
        <v>46073</v>
      </c>
      <c r="S852" s="11"/>
      <c r="T852" s="11"/>
      <c r="U852" s="11" t="str">
        <f>IFERROR(__xludf.DUMMYFUNCTION("""COMPUTED_VALUE"""),"TIF-2527/2026")</f>
        <v>TIF-2527/2026</v>
      </c>
      <c r="V852" s="229"/>
      <c r="W852" s="229"/>
      <c r="X852" s="229" t="str">
        <f>IFERROR(__xludf.DUMMYFUNCTION("""COMPUTED_VALUE"""),"GOLIVE")</f>
        <v>GOLIVE</v>
      </c>
      <c r="Y852" s="229" t="str">
        <f>IFERROR(__xludf.DUMMYFUNCTION("""COMPUTED_VALUE"""),"DONE")</f>
        <v>DONE</v>
      </c>
      <c r="Z852" s="229" t="str">
        <f>IFERROR(__xludf.DUMMYFUNCTION("""COMPUTED_VALUE"""),"#N/A")</f>
        <v>#N/A</v>
      </c>
      <c r="AA852" s="229">
        <f>IFERROR(__xludf.DUMMYFUNCTION("""COMPUTED_VALUE"""),4.0)</f>
        <v>4</v>
      </c>
      <c r="AB852" s="229"/>
      <c r="AC852" s="229" t="str">
        <f>IFERROR(__xludf.DUMMYFUNCTION("""COMPUTED_VALUE"""),"9118539#9118544")</f>
        <v>9118539#9118544</v>
      </c>
      <c r="AD852" s="232">
        <f>IFERROR(__xludf.DUMMYFUNCTION("""COMPUTED_VALUE"""),32.0)</f>
        <v>32</v>
      </c>
      <c r="AE852" s="233">
        <f>IFERROR(__xludf.DUMMYFUNCTION("""COMPUTED_VALUE"""),46072.0)</f>
        <v>46072</v>
      </c>
      <c r="AF852" s="54"/>
      <c r="AG852" s="54"/>
      <c r="AH852" s="54">
        <v>46073.0</v>
      </c>
      <c r="AI852" s="55">
        <f t="shared" si="90"/>
        <v>1</v>
      </c>
      <c r="AW852" s="234"/>
      <c r="BP852" s="11"/>
      <c r="BQ852" s="11"/>
      <c r="BR852" s="235"/>
      <c r="BV852" s="158"/>
      <c r="BY852" s="158"/>
      <c r="CB852" s="158"/>
    </row>
    <row r="853" ht="18.0" hidden="1" customHeight="1">
      <c r="A853" s="222">
        <f>IFERROR(__xludf.DUMMYFUNCTION("""COMPUTED_VALUE"""),2026.0)</f>
        <v>2026</v>
      </c>
      <c r="B853" s="221">
        <f>IFERROR(__xludf.DUMMYFUNCTION("""COMPUTED_VALUE"""),1.113775E7)</f>
        <v>11137750</v>
      </c>
      <c r="C853" s="222" t="str">
        <f>IFERROR(__xludf.DUMMYFUNCTION("""COMPUTED_VALUE"""),"MDN PT3 P7I5 TTG-FD SCATER SIMP SELAYANG")</f>
        <v>MDN PT3 P7I5 TTG-FD SCATER SIMP SELAYANG</v>
      </c>
      <c r="D853" s="222" t="str">
        <f>IFERROR(__xludf.DUMMYFUNCTION("""COMPUTED_VALUE"""),"REGIONAL I")</f>
        <v>REGIONAL I</v>
      </c>
      <c r="E853" s="222" t="str">
        <f>IFERROR(__xludf.DUMMYFUNCTION("""COMPUTED_VALUE"""),"MEDAN")</f>
        <v>MEDAN</v>
      </c>
      <c r="F853" s="222" t="str">
        <f>IFERROR(__xludf.DUMMYFUNCTION("""COMPUTED_VALUE"""),"TTG")</f>
        <v>TTG</v>
      </c>
      <c r="G853" s="222" t="str">
        <f>IFERROR(__xludf.DUMMYFUNCTION("""COMPUTED_VALUE"""),"SUMBAGUT")</f>
        <v>SUMBAGUT</v>
      </c>
      <c r="H853" s="222" t="str">
        <f>IFERROR(__xludf.DUMMYFUNCTION("""COMPUTED_VALUE"""),"MEDAN")</f>
        <v>MEDAN</v>
      </c>
      <c r="I853" s="222" t="str">
        <f>IFERROR(__xludf.DUMMYFUNCTION("""COMPUTED_VALUE"""),"Batch 2")</f>
        <v>Batch 2</v>
      </c>
      <c r="J853" s="225">
        <f>IFERROR(__xludf.DUMMYFUNCTION("""COMPUTED_VALUE"""),1.0)</f>
        <v>1</v>
      </c>
      <c r="K853" s="224">
        <f>IFERROR(__xludf.DUMMYFUNCTION("""COMPUTED_VALUE"""),8.0)</f>
        <v>8</v>
      </c>
      <c r="L853" s="226">
        <f>IFERROR(__xludf.DUMMYFUNCTION("""COMPUTED_VALUE"""),1050975.0)</f>
        <v>1050975</v>
      </c>
      <c r="M853" s="227">
        <f>IFERROR(__xludf.DUMMYFUNCTION("""COMPUTED_VALUE"""),8407793.0)</f>
        <v>8407793</v>
      </c>
      <c r="N853" s="222" t="str">
        <f>IFERROR(__xludf.DUMMYFUNCTION("""COMPUTED_VALUE"""),"SWAKELOLA")</f>
        <v>SWAKELOLA</v>
      </c>
      <c r="O853" s="222" t="str">
        <f>IFERROR(__xludf.DUMMYFUNCTION("""COMPUTED_VALUE"""),"1. AANWIJZING")</f>
        <v>1. AANWIJZING</v>
      </c>
      <c r="P853" s="222" t="str">
        <f>IFERROR(__xludf.DUMMYFUNCTION("""COMPUTED_VALUE"""),"1.6 Ongoing Aanwidjzing")</f>
        <v>1.6 Ongoing Aanwidjzing</v>
      </c>
      <c r="Q853" s="222" t="str">
        <f>IFERROR(__xludf.DUMMYFUNCTION("""COMPUTED_VALUE"""),"20/04 identifikasi titik masalah ulang 08/03 Feeder Redti 02/02 Feeder Habis
(07/01) Persiapan")</f>
        <v>20/04 identifikasi titik masalah ulang 08/03 Feeder Redti 02/02 Feeder Habis
(07/01) Persiapan</v>
      </c>
      <c r="R853" s="228"/>
      <c r="S853" s="11"/>
      <c r="T853" s="11"/>
      <c r="U853" s="11"/>
      <c r="V853" s="229"/>
      <c r="W853" s="229"/>
      <c r="X853" s="229" t="str">
        <f>IFERROR(__xludf.DUMMYFUNCTION("""COMPUTED_VALUE"""),"BELUM GOLIVE")</f>
        <v>BELUM GOLIVE</v>
      </c>
      <c r="Y853" s="229"/>
      <c r="Z853" s="229" t="str">
        <f>IFERROR(__xludf.DUMMYFUNCTION("""COMPUTED_VALUE"""),"#N/A")</f>
        <v>#N/A</v>
      </c>
      <c r="AA853" s="229">
        <f>IFERROR(__xludf.DUMMYFUNCTION("""COMPUTED_VALUE"""),0.0)</f>
        <v>0</v>
      </c>
      <c r="AB853" s="229">
        <f>IFERROR(__xludf.DUMMYFUNCTION("""COMPUTED_VALUE"""),0.0)</f>
        <v>0</v>
      </c>
      <c r="AC853" s="229"/>
      <c r="AD853" s="232"/>
      <c r="AE853" s="233"/>
      <c r="AF853" s="54"/>
      <c r="AG853" s="54"/>
      <c r="AH853" s="54"/>
      <c r="AI853" s="55" t="str">
        <f t="shared" si="90"/>
        <v/>
      </c>
      <c r="AW853" s="234"/>
      <c r="BP853" s="11"/>
      <c r="BQ853" s="11"/>
      <c r="BR853" s="235"/>
      <c r="BV853" s="158"/>
      <c r="BY853" s="158"/>
      <c r="CB853" s="158"/>
    </row>
    <row r="854" ht="18.0" hidden="1" customHeight="1">
      <c r="A854" s="222">
        <f>IFERROR(__xludf.DUMMYFUNCTION("""COMPUTED_VALUE"""),2026.0)</f>
        <v>2026</v>
      </c>
      <c r="B854" s="221">
        <f>IFERROR(__xludf.DUMMYFUNCTION("""COMPUTED_VALUE"""),1.1986556E7)</f>
        <v>11986556</v>
      </c>
      <c r="C854" s="222" t="str">
        <f>IFERROR(__xludf.DUMMYFUNCTION("""COMPUTED_VALUE"""),"BBL PT3 P3I2 LINTANG MANGGAR")</f>
        <v>BBL PT3 P3I2 LINTANG MANGGAR</v>
      </c>
      <c r="D854" s="222" t="str">
        <f>IFERROR(__xludf.DUMMYFUNCTION("""COMPUTED_VALUE"""),"REGIONAL I")</f>
        <v>REGIONAL I</v>
      </c>
      <c r="E854" s="222" t="str">
        <f>IFERROR(__xludf.DUMMYFUNCTION("""COMPUTED_VALUE"""),"BABEL")</f>
        <v>BABEL</v>
      </c>
      <c r="F854" s="222" t="str">
        <f>IFERROR(__xludf.DUMMYFUNCTION("""COMPUTED_VALUE"""),"MGR")</f>
        <v>MGR</v>
      </c>
      <c r="G854" s="222" t="str">
        <f>IFERROR(__xludf.DUMMYFUNCTION("""COMPUTED_VALUE"""),"SUMBAGSEL")</f>
        <v>SUMBAGSEL</v>
      </c>
      <c r="H854" s="222" t="str">
        <f>IFERROR(__xludf.DUMMYFUNCTION("""COMPUTED_VALUE"""),"PANGKAL PINANG")</f>
        <v>PANGKAL PINANG</v>
      </c>
      <c r="I854" s="222" t="str">
        <f>IFERROR(__xludf.DUMMYFUNCTION("""COMPUTED_VALUE"""),"Batch 2")</f>
        <v>Batch 2</v>
      </c>
      <c r="J854" s="225">
        <f>IFERROR(__xludf.DUMMYFUNCTION("""COMPUTED_VALUE"""),24.0)</f>
        <v>24</v>
      </c>
      <c r="K854" s="224">
        <f>IFERROR(__xludf.DUMMYFUNCTION("""COMPUTED_VALUE"""),192.0)</f>
        <v>192</v>
      </c>
      <c r="L854" s="226">
        <f>IFERROR(__xludf.DUMMYFUNCTION("""COMPUTED_VALUE"""),1049430.0)</f>
        <v>1049430</v>
      </c>
      <c r="M854" s="227">
        <f>IFERROR(__xludf.DUMMYFUNCTION("""COMPUTED_VALUE"""),2.01490504E8)</f>
        <v>201490504</v>
      </c>
      <c r="N854" s="222" t="str">
        <f>IFERROR(__xludf.DUMMYFUNCTION("""COMPUTED_VALUE"""),"PT BAYUMI CAHAYA NUSANTARA")</f>
        <v>PT BAYUMI CAHAYA NUSANTARA</v>
      </c>
      <c r="O854" s="222" t="str">
        <f>IFERROR(__xludf.DUMMYFUNCTION("""COMPUTED_VALUE"""),"7. GOLIVE")</f>
        <v>7. GOLIVE</v>
      </c>
      <c r="P854" s="222" t="str">
        <f>IFERROR(__xludf.DUMMYFUNCTION("""COMPUTED_VALUE"""),"7.2 Golive Full / OA / DONE OTB")</f>
        <v>7.2 Golive Full / OA / DONE OTB</v>
      </c>
      <c r="Q854" s="222" t="str">
        <f>IFERROR(__xludf.DUMMYFUNCTION("""COMPUTED_VALUE"""),"(09/01) Done Go Live (07/1)  REKAP V4 (06/01)order JPP batch-2 2026 (02/01 proses pemasangan ODP (16/12) tarik kabel done28/11 progres dilokasi lain (26/11) perapian dan label 42 tiang (25/11) perapian 42 tiang (22/11) penanaman tiang 42 done, tarik kabel"&amp;" 12D 5075 done (21/11) penanaman tiang 21/42 (20/11) penarikan kabel 24D 2950 done (19/11) proses penanaman tiang terkendala hujan (18/11) proses penanaman tiang 5/42 (17/11) mitra masih mengerjakan lokasi lain (14/11) pengambilan material (13/11) sudah a"&amp;"nwijzing (08/11)anjiwzing done , material  kendala 6/11 RESCHEDULE PLAN  AANWIDJZING 7/11 (04/11)PLAN 5 NOV ANWIJZING")</f>
        <v>(09/01) Done Go Live (07/1)  REKAP V4 (06/01)order JPP batch-2 2026 (02/01 proses pemasangan ODP (16/12) tarik kabel done28/11 progres dilokasi lain (26/11) perapian dan label 42 tiang (25/11) perapian 42 tiang (22/11) penanaman tiang 42 done, tarik kabel 12D 5075 done (21/11) penanaman tiang 21/42 (20/11) penarikan kabel 24D 2950 done (19/11) proses penanaman tiang terkendala hujan (18/11) proses penanaman tiang 5/42 (17/11) mitra masih mengerjakan lokasi lain (14/11) pengambilan material (13/11) sudah anwijzing (08/11)anjiwzing done , material  kendala 6/11 RESCHEDULE PLAN  AANWIDJZING 7/11 (04/11)PLAN 5 NOV ANWIJZING</v>
      </c>
      <c r="R854" s="228"/>
      <c r="S854" s="11"/>
      <c r="T854" s="11"/>
      <c r="U854" s="11"/>
      <c r="V854" s="229"/>
      <c r="W854" s="229"/>
      <c r="X854" s="229" t="str">
        <f>IFERROR(__xludf.DUMMYFUNCTION("""COMPUTED_VALUE"""),"GOLIVE")</f>
        <v>GOLIVE</v>
      </c>
      <c r="Y854" s="229" t="str">
        <f>IFERROR(__xludf.DUMMYFUNCTION("""COMPUTED_VALUE"""),"DONE")</f>
        <v>DONE</v>
      </c>
      <c r="Z854" s="229" t="str">
        <f>IFERROR(__xludf.DUMMYFUNCTION("""COMPUTED_VALUE"""),"#N/A")</f>
        <v>#N/A</v>
      </c>
      <c r="AA854" s="229">
        <f>IFERROR(__xludf.DUMMYFUNCTION("""COMPUTED_VALUE"""),24.0)</f>
        <v>24</v>
      </c>
      <c r="AB854" s="229"/>
      <c r="AC854" s="229" t="str">
        <f>IFERROR(__xludf.DUMMYFUNCTION("""COMPUTED_VALUE"""),"8939758#8939763")</f>
        <v>8939758#8939763</v>
      </c>
      <c r="AD854" s="232">
        <f>IFERROR(__xludf.DUMMYFUNCTION("""COMPUTED_VALUE"""),192.0)</f>
        <v>192</v>
      </c>
      <c r="AE854" s="233">
        <f>IFERROR(__xludf.DUMMYFUNCTION("""COMPUTED_VALUE"""),46031.0)</f>
        <v>46031</v>
      </c>
      <c r="AF854" s="54" t="str">
        <f>IFERROR(__xludf.DUMMYFUNCTION("""COMPUTED_VALUE"""),"DONE")</f>
        <v>DONE</v>
      </c>
      <c r="AG854" s="54"/>
      <c r="AH854" s="54"/>
      <c r="AI854" s="55" t="str">
        <f t="shared" si="90"/>
        <v/>
      </c>
      <c r="AW854" s="234"/>
      <c r="BP854" s="11"/>
      <c r="BQ854" s="11"/>
      <c r="BR854" s="235"/>
      <c r="BV854" s="158"/>
      <c r="BY854" s="158"/>
      <c r="CB854" s="158"/>
    </row>
    <row r="855" ht="18.0" customHeight="1">
      <c r="A855" s="222">
        <f>IFERROR(__xludf.DUMMYFUNCTION("""COMPUTED_VALUE"""),2026.0)</f>
        <v>2026</v>
      </c>
      <c r="B855" s="221">
        <f>IFERROR(__xludf.DUMMYFUNCTION("""COMPUTED_VALUE"""),1.1111617E7)</f>
        <v>11111617</v>
      </c>
      <c r="C855" s="222" t="str">
        <f>IFERROR(__xludf.DUMMYFUNCTION("""COMPUTED_VALUE"""),"SMB P7I10 NEW DIS PRS-FB-ALANA RESIDENCE")</f>
        <v>SMB P7I10 NEW DIS PRS-FB-ALANA RESIDENCE</v>
      </c>
      <c r="D855" s="222" t="str">
        <f>IFERROR(__xludf.DUMMYFUNCTION("""COMPUTED_VALUE"""),"REGIONAL I")</f>
        <v>REGIONAL I</v>
      </c>
      <c r="E855" s="222" t="str">
        <f>IFERROR(__xludf.DUMMYFUNCTION("""COMPUTED_VALUE"""),"SUMBAR")</f>
        <v>SUMBAR</v>
      </c>
      <c r="F855" s="222" t="str">
        <f>IFERROR(__xludf.DUMMYFUNCTION("""COMPUTED_VALUE"""),"LBY")</f>
        <v>LBY</v>
      </c>
      <c r="G855" s="222" t="str">
        <f>IFERROR(__xludf.DUMMYFUNCTION("""COMPUTED_VALUE"""),"SUMBAGTENG")</f>
        <v>SUMBAGTENG</v>
      </c>
      <c r="H855" s="222" t="str">
        <f>IFERROR(__xludf.DUMMYFUNCTION("""COMPUTED_VALUE"""),"BUKIT TINGGI")</f>
        <v>BUKIT TINGGI</v>
      </c>
      <c r="I855" s="222" t="str">
        <f>IFERROR(__xludf.DUMMYFUNCTION("""COMPUTED_VALUE"""),"Batch 2")</f>
        <v>Batch 2</v>
      </c>
      <c r="J855" s="225">
        <f>IFERROR(__xludf.DUMMYFUNCTION("""COMPUTED_VALUE"""),20.0)</f>
        <v>20</v>
      </c>
      <c r="K855" s="224">
        <f>IFERROR(__xludf.DUMMYFUNCTION("""COMPUTED_VALUE"""),160.0)</f>
        <v>160</v>
      </c>
      <c r="L855" s="226">
        <f>IFERROR(__xludf.DUMMYFUNCTION("""COMPUTED_VALUE"""),1221742.0)</f>
        <v>1221742</v>
      </c>
      <c r="M855" s="227">
        <f>IFERROR(__xludf.DUMMYFUNCTION("""COMPUTED_VALUE"""),1.95478696E8)</f>
        <v>195478696</v>
      </c>
      <c r="N855" s="222" t="str">
        <f>IFERROR(__xludf.DUMMYFUNCTION("""COMPUTED_VALUE"""),"PT PUTRI JAYA AKSES")</f>
        <v>PT PUTRI JAYA AKSES</v>
      </c>
      <c r="O855" s="222" t="str">
        <f>IFERROR(__xludf.DUMMYFUNCTION("""COMPUTED_VALUE"""),"0. DROP")</f>
        <v>0. DROP</v>
      </c>
      <c r="P855" s="222" t="str">
        <f>IFERROR(__xludf.DUMMYFUNCTION("""COMPUTED_VALUE"""),"0.1 Double Order")</f>
        <v>0.1 Double Order</v>
      </c>
      <c r="Q855" s="222" t="str">
        <f>IFERROR(__xludf.DUMMYFUNCTION("""COMPUTED_VALUE"""),"(04/03) DOubel order  proses aanwijziing (26/01) DROP, permintaan tsel (tidak potensial) ")</f>
        <v>(04/03) DOubel order  proses aanwijziing (26/01) DROP, permintaan tsel (tidak potensial) </v>
      </c>
      <c r="R855" s="228"/>
      <c r="S855" s="11"/>
      <c r="T855" s="11"/>
      <c r="U855" s="11"/>
      <c r="V855" s="229"/>
      <c r="W855" s="229"/>
      <c r="X855" s="229" t="str">
        <f>IFERROR(__xludf.DUMMYFUNCTION("""COMPUTED_VALUE"""),"BELUM GOLIVE")</f>
        <v>BELUM GOLIVE</v>
      </c>
      <c r="Y855" s="229"/>
      <c r="Z855" s="229" t="str">
        <f>IFERROR(__xludf.DUMMYFUNCTION("""COMPUTED_VALUE"""),"#N/A")</f>
        <v>#N/A</v>
      </c>
      <c r="AA855" s="229"/>
      <c r="AB855" s="229"/>
      <c r="AC855" s="229"/>
      <c r="AD855" s="232"/>
      <c r="AE855" s="233"/>
      <c r="AF855" s="54"/>
      <c r="AG855" s="54"/>
      <c r="AH855" s="54"/>
      <c r="AI855" s="55" t="str">
        <f t="shared" si="90"/>
        <v/>
      </c>
      <c r="AW855" s="234"/>
      <c r="BP855" s="11"/>
      <c r="BQ855" s="11"/>
      <c r="BR855" s="235"/>
      <c r="BV855" s="158"/>
      <c r="BY855" s="158"/>
      <c r="CB855" s="158"/>
    </row>
    <row r="856" ht="18.0" hidden="1" customHeight="1">
      <c r="A856" s="222">
        <f>IFERROR(__xludf.DUMMYFUNCTION("""COMPUTED_VALUE"""),2026.0)</f>
        <v>2026</v>
      </c>
      <c r="B856" s="221">
        <f>IFERROR(__xludf.DUMMYFUNCTION("""COMPUTED_VALUE"""),1.1398784E7)</f>
        <v>11398784</v>
      </c>
      <c r="C856" s="222" t="str">
        <f>IFERROR(__xludf.DUMMYFUNCTION("""COMPUTED_VALUE"""),"MDN PT3 DLT-FB GRAND SEMEME RESIDENCE")</f>
        <v>MDN PT3 DLT-FB GRAND SEMEME RESIDENCE</v>
      </c>
      <c r="D856" s="222" t="str">
        <f>IFERROR(__xludf.DUMMYFUNCTION("""COMPUTED_VALUE"""),"REGIONAL I")</f>
        <v>REGIONAL I</v>
      </c>
      <c r="E856" s="222" t="str">
        <f>IFERROR(__xludf.DUMMYFUNCTION("""COMPUTED_VALUE"""),"MEDAN")</f>
        <v>MEDAN</v>
      </c>
      <c r="F856" s="222" t="str">
        <f>IFERROR(__xludf.DUMMYFUNCTION("""COMPUTED_VALUE"""),"DLT")</f>
        <v>DLT</v>
      </c>
      <c r="G856" s="222" t="str">
        <f>IFERROR(__xludf.DUMMYFUNCTION("""COMPUTED_VALUE"""),"SUMBAGUT")</f>
        <v>SUMBAGUT</v>
      </c>
      <c r="H856" s="222" t="str">
        <f>IFERROR(__xludf.DUMMYFUNCTION("""COMPUTED_VALUE"""),"MEDAN")</f>
        <v>MEDAN</v>
      </c>
      <c r="I856" s="222" t="str">
        <f>IFERROR(__xludf.DUMMYFUNCTION("""COMPUTED_VALUE"""),"Batch 2")</f>
        <v>Batch 2</v>
      </c>
      <c r="J856" s="225">
        <f>IFERROR(__xludf.DUMMYFUNCTION("""COMPUTED_VALUE"""),3.0)</f>
        <v>3</v>
      </c>
      <c r="K856" s="224">
        <f>IFERROR(__xludf.DUMMYFUNCTION("""COMPUTED_VALUE"""),24.0)</f>
        <v>24</v>
      </c>
      <c r="L856" s="226">
        <f>IFERROR(__xludf.DUMMYFUNCTION("""COMPUTED_VALUE"""),1192900.0)</f>
        <v>1192900</v>
      </c>
      <c r="M856" s="227">
        <f>IFERROR(__xludf.DUMMYFUNCTION("""COMPUTED_VALUE"""),2.8629591E7)</f>
        <v>28629591</v>
      </c>
      <c r="N856" s="222" t="str">
        <f>IFERROR(__xludf.DUMMYFUNCTION("""COMPUTED_VALUE"""),"PT SALTTEK DUMPANG JAYA")</f>
        <v>PT SALTTEK DUMPANG JAYA</v>
      </c>
      <c r="O856" s="222" t="str">
        <f>IFERROR(__xludf.DUMMYFUNCTION("""COMPUTED_VALUE"""),"0. DROP")</f>
        <v>0. DROP</v>
      </c>
      <c r="P856" s="222" t="str">
        <f>IFERROR(__xludf.DUMMYFUNCTION("""COMPUTED_VALUE"""),"0.4 CPP Tinggi Acc ED TIF")</f>
        <v>0.4 CPP Tinggi Acc ED TIF</v>
      </c>
      <c r="Q856" s="222" t="str">
        <f>IFERROR(__xludf.DUMMYFUNCTION("""COMPUTED_VALUE"""),"06/02 Pengurusan perizinan barengan CAHM")</f>
        <v>06/02 Pengurusan perizinan barengan CAHM</v>
      </c>
      <c r="R856" s="228"/>
      <c r="S856" s="11"/>
      <c r="T856" s="11"/>
      <c r="U856" s="11"/>
      <c r="V856" s="229"/>
      <c r="W856" s="229"/>
      <c r="X856" s="229" t="str">
        <f>IFERROR(__xludf.DUMMYFUNCTION("""COMPUTED_VALUE"""),"BELUM GOLIVE")</f>
        <v>BELUM GOLIVE</v>
      </c>
      <c r="Y856" s="229"/>
      <c r="Z856" s="229" t="str">
        <f>IFERROR(__xludf.DUMMYFUNCTION("""COMPUTED_VALUE"""),"#N/A")</f>
        <v>#N/A</v>
      </c>
      <c r="AA856" s="229">
        <f>IFERROR(__xludf.DUMMYFUNCTION("""COMPUTED_VALUE"""),0.0)</f>
        <v>0</v>
      </c>
      <c r="AB856" s="229">
        <f>IFERROR(__xludf.DUMMYFUNCTION("""COMPUTED_VALUE"""),0.0)</f>
        <v>0</v>
      </c>
      <c r="AC856" s="229"/>
      <c r="AD856" s="232"/>
      <c r="AE856" s="233"/>
      <c r="AF856" s="54" t="str">
        <f>IFERROR(__xludf.DUMMYFUNCTION("""COMPUTED_VALUE"""),"Draft BA DROP")</f>
        <v>Draft BA DROP</v>
      </c>
      <c r="AG856" s="54"/>
      <c r="AH856" s="54"/>
      <c r="AI856" s="55" t="str">
        <f t="shared" si="90"/>
        <v/>
      </c>
      <c r="AW856" s="234"/>
      <c r="BP856" s="11"/>
      <c r="BQ856" s="11"/>
      <c r="BR856" s="235"/>
      <c r="BV856" s="158"/>
      <c r="BY856" s="158"/>
      <c r="CB856" s="158"/>
    </row>
    <row r="857" ht="18.0" hidden="1" customHeight="1">
      <c r="A857" s="222">
        <f>IFERROR(__xludf.DUMMYFUNCTION("""COMPUTED_VALUE"""),2026.0)</f>
        <v>2026</v>
      </c>
      <c r="B857" s="221">
        <f>IFERROR(__xludf.DUMMYFUNCTION("""COMPUTED_VALUE"""),1.1580341E7)</f>
        <v>11580341</v>
      </c>
      <c r="C857" s="222" t="str">
        <f>IFERROR(__xludf.DUMMYFUNCTION("""COMPUTED_VALUE"""),"SMS P3I1 PT3 SGB FAY D01 ARINI YUNITA")</f>
        <v>SMS P3I1 PT3 SGB FAY D01 ARINI YUNITA</v>
      </c>
      <c r="D857" s="222" t="str">
        <f>IFERROR(__xludf.DUMMYFUNCTION("""COMPUTED_VALUE"""),"REGIONAL I")</f>
        <v>REGIONAL I</v>
      </c>
      <c r="E857" s="222" t="str">
        <f>IFERROR(__xludf.DUMMYFUNCTION("""COMPUTED_VALUE"""),"SUMSEL")</f>
        <v>SUMSEL</v>
      </c>
      <c r="F857" s="222" t="str">
        <f>IFERROR(__xludf.DUMMYFUNCTION("""COMPUTED_VALUE"""),"SGB")</f>
        <v>SGB</v>
      </c>
      <c r="G857" s="222" t="str">
        <f>IFERROR(__xludf.DUMMYFUNCTION("""COMPUTED_VALUE"""),"SUMBAGSEL")</f>
        <v>SUMBAGSEL</v>
      </c>
      <c r="H857" s="222" t="str">
        <f>IFERROR(__xludf.DUMMYFUNCTION("""COMPUTED_VALUE"""),"PALEMBANG")</f>
        <v>PALEMBANG</v>
      </c>
      <c r="I857" s="222" t="str">
        <f>IFERROR(__xludf.DUMMYFUNCTION("""COMPUTED_VALUE"""),"Batch 2")</f>
        <v>Batch 2</v>
      </c>
      <c r="J857" s="225">
        <f>IFERROR(__xludf.DUMMYFUNCTION("""COMPUTED_VALUE"""),3.0)</f>
        <v>3</v>
      </c>
      <c r="K857" s="224">
        <f>IFERROR(__xludf.DUMMYFUNCTION("""COMPUTED_VALUE"""),24.0)</f>
        <v>24</v>
      </c>
      <c r="L857" s="226">
        <f>IFERROR(__xludf.DUMMYFUNCTION("""COMPUTED_VALUE"""),1047577.0)</f>
        <v>1047577</v>
      </c>
      <c r="M857" s="227">
        <f>IFERROR(__xludf.DUMMYFUNCTION("""COMPUTED_VALUE"""),2.5141834E7)</f>
        <v>25141834</v>
      </c>
      <c r="N857" s="222" t="str">
        <f>IFERROR(__xludf.DUMMYFUNCTION("""COMPUTED_VALUE"""),"PT SARANA MITRA PERSADA")</f>
        <v>PT SARANA MITRA PERSADA</v>
      </c>
      <c r="O857" s="222" t="str">
        <f>IFERROR(__xludf.DUMMYFUNCTION("""COMPUTED_VALUE"""),"0. DROP")</f>
        <v>0. DROP</v>
      </c>
      <c r="P857" s="222" t="str">
        <f>IFERROR(__xludf.DUMMYFUNCTION("""COMPUTED_VALUE"""),"0.2 Tidak Dapat Izin Warga/Kades/Lurah/Developer")</f>
        <v>0.2 Tidak Dapat Izin Warga/Kades/Lurah/Developer</v>
      </c>
      <c r="Q857" s="222" t="str">
        <f>IFERROR(__xludf.DUMMYFUNCTION("""COMPUTED_VALUE"""),"06/03 DROP - KRNA RT MEMINTA KOMPENSASI 1 TIANG 1JT, DISANA ADA 7 TIANG, 24/02 DROP - KRNA RT MEMINTA KOMPENSASI 1 TIANG 1JT, DISANA ADA 7 TIANG, 22/2 tidak mendapatkan izin  06/02 HASIL REVIEW TSEL - DROP KRNA KOMPENSASI, 30/01 DONE EVAL, PD SAAT AANWIJZ"&amp;"ING, PERIZINAN DG RT MEMINTA KOMPENSASI 1 JT PER TIANG DI LOKASI ADA 6 TIANG 30/01 DONE EVAL, PD SAAT AANWIJZING, PERIZINAN DG RT MEMINTA KOMPENSASI 1 JT PER TIANG DI LOKASI ADA 6 TIANG, 27/01 DROP, STUB CORE D01 HABIS DAN RT MEMINTA UANG IZIN 1JT, (21/01"&amp;") proses periziain ulang dg pihak RT setempat, (20/01) DONE AANWIDJZING, (15/1) ORDER DITERIMA 14/1, PLAN AANWIJDZING 19 JAN 26 (06/01)order JPP batch-2 2026 (18/11 belum ketemu RT, 17/11 masih kendala perizinan (blm ketemu RT setempat), 11/11 masih menun"&amp;"ggu perizinan (08/11) permintaan sales drop - TL adi (5/11) baru selesai aanwidzjing 23/10 penunjukan mitra
 14/01 penunjukan mitra oleh procurement")</f>
        <v>06/03 DROP - KRNA RT MEMINTA KOMPENSASI 1 TIANG 1JT, DISANA ADA 7 TIANG, 24/02 DROP - KRNA RT MEMINTA KOMPENSASI 1 TIANG 1JT, DISANA ADA 7 TIANG, 22/2 tidak mendapatkan izin  06/02 HASIL REVIEW TSEL - DROP KRNA KOMPENSASI, 30/01 DONE EVAL, PD SAAT AANWIJZING, PERIZINAN DG RT MEMINTA KOMPENSASI 1 JT PER TIANG DI LOKASI ADA 6 TIANG 30/01 DONE EVAL, PD SAAT AANWIJZING, PERIZINAN DG RT MEMINTA KOMPENSASI 1 JT PER TIANG DI LOKASI ADA 6 TIANG, 27/01 DROP, STUB CORE D01 HABIS DAN RT MEMINTA UANG IZIN 1JT, (21/01) proses periziain ulang dg pihak RT setempat, (20/01) DONE AANWIDJZING, (15/1) ORDER DITERIMA 14/1, PLAN AANWIJDZING 19 JAN 26 (06/01)order JPP batch-2 2026 (18/11 belum ketemu RT, 17/11 masih kendala perizinan (blm ketemu RT setempat), 11/11 masih menunggu perizinan (08/11) permintaan sales drop - TL adi (5/11) baru selesai aanwidzjing 23/10 penunjukan mitra
 14/01 penunjukan mitra oleh procurement</v>
      </c>
      <c r="R857" s="228"/>
      <c r="S857" s="11"/>
      <c r="T857" s="11"/>
      <c r="U857" s="11"/>
      <c r="V857" s="229" t="str">
        <f>IFERROR(__xludf.DUMMYFUNCTION("""COMPUTED_VALUE"""),"TANTOWI")</f>
        <v>TANTOWI</v>
      </c>
      <c r="W857" s="229"/>
      <c r="X857" s="229" t="str">
        <f>IFERROR(__xludf.DUMMYFUNCTION("""COMPUTED_VALUE"""),"BELUM GOLIVE")</f>
        <v>BELUM GOLIVE</v>
      </c>
      <c r="Y857" s="229"/>
      <c r="Z857" s="229" t="str">
        <f>IFERROR(__xludf.DUMMYFUNCTION("""COMPUTED_VALUE"""),"#N/A")</f>
        <v>#N/A</v>
      </c>
      <c r="AA857" s="229"/>
      <c r="AB857" s="229"/>
      <c r="AC857" s="229"/>
      <c r="AD857" s="232"/>
      <c r="AE857" s="233"/>
      <c r="AF857" s="54" t="str">
        <f>IFERROR(__xludf.DUMMYFUNCTION("""COMPUTED_VALUE"""),"Draft BA DROP")</f>
        <v>Draft BA DROP</v>
      </c>
      <c r="AG857" s="54"/>
      <c r="AH857" s="54"/>
      <c r="AI857" s="55" t="str">
        <f t="shared" si="90"/>
        <v/>
      </c>
      <c r="AW857" s="234"/>
      <c r="BP857" s="11"/>
      <c r="BQ857" s="11"/>
      <c r="BR857" s="235"/>
      <c r="BV857" s="158"/>
      <c r="BY857" s="158"/>
      <c r="CB857" s="158"/>
    </row>
    <row r="858" ht="18.0" customHeight="1">
      <c r="A858" s="222">
        <f>IFERROR(__xludf.DUMMYFUNCTION("""COMPUTED_VALUE"""),2026.0)</f>
        <v>2026</v>
      </c>
      <c r="B858" s="221">
        <f>IFERROR(__xludf.DUMMYFUNCTION("""COMPUTED_VALUE"""),1.1739937E7)</f>
        <v>11739937</v>
      </c>
      <c r="C858" s="222" t="str">
        <f>IFERROR(__xludf.DUMMYFUNCTION("""COMPUTED_VALUE"""),"SMB P3I2 ANDALEH SUNGAYANG ANA")</f>
        <v>SMB P3I2 ANDALEH SUNGAYANG ANA</v>
      </c>
      <c r="D858" s="222" t="str">
        <f>IFERROR(__xludf.DUMMYFUNCTION("""COMPUTED_VALUE"""),"REGIONAL I")</f>
        <v>REGIONAL I</v>
      </c>
      <c r="E858" s="222" t="str">
        <f>IFERROR(__xludf.DUMMYFUNCTION("""COMPUTED_VALUE"""),"SUMBAR")</f>
        <v>SUMBAR</v>
      </c>
      <c r="F858" s="222" t="str">
        <f>IFERROR(__xludf.DUMMYFUNCTION("""COMPUTED_VALUE"""),"SIR")</f>
        <v>SIR</v>
      </c>
      <c r="G858" s="222" t="str">
        <f>IFERROR(__xludf.DUMMYFUNCTION("""COMPUTED_VALUE"""),"SUMBAGTENG")</f>
        <v>SUMBAGTENG</v>
      </c>
      <c r="H858" s="222" t="str">
        <f>IFERROR(__xludf.DUMMYFUNCTION("""COMPUTED_VALUE"""),"BUKIT TINGGI")</f>
        <v>BUKIT TINGGI</v>
      </c>
      <c r="I858" s="222" t="str">
        <f>IFERROR(__xludf.DUMMYFUNCTION("""COMPUTED_VALUE"""),"Batch 2")</f>
        <v>Batch 2</v>
      </c>
      <c r="J858" s="225">
        <f>IFERROR(__xludf.DUMMYFUNCTION("""COMPUTED_VALUE"""),7.0)</f>
        <v>7</v>
      </c>
      <c r="K858" s="224">
        <f>IFERROR(__xludf.DUMMYFUNCTION("""COMPUTED_VALUE"""),56.0)</f>
        <v>56</v>
      </c>
      <c r="L858" s="226">
        <f>IFERROR(__xludf.DUMMYFUNCTION("""COMPUTED_VALUE"""),1047525.0)</f>
        <v>1047525</v>
      </c>
      <c r="M858" s="227">
        <f>IFERROR(__xludf.DUMMYFUNCTION("""COMPUTED_VALUE"""),5.8661363E7)</f>
        <v>58661363</v>
      </c>
      <c r="N858" s="222" t="str">
        <f>IFERROR(__xludf.DUMMYFUNCTION("""COMPUTED_VALUE"""),"PT RATRI PRIMA MANDIRI")</f>
        <v>PT RATRI PRIMA MANDIRI</v>
      </c>
      <c r="O858" s="222" t="str">
        <f>IFERROR(__xludf.DUMMYFUNCTION("""COMPUTED_VALUE"""),"0. DROP")</f>
        <v>0. DROP</v>
      </c>
      <c r="P858" s="222" t="str">
        <f>IFERROR(__xludf.DUMMYFUNCTION("""COMPUTED_VALUE"""),"0.3 Feeder Full")</f>
        <v>0.3 Feeder Full</v>
      </c>
      <c r="Q858" s="222" t="str">
        <f>IFERROR(__xludf.DUMMYFUNCTION("""COMPUTED_VALUE"""),"(27/01)  kendala feeder SIR-FB sisa 2, kenutuhan 4 feeder, solusi new feeder dan kenaikan di atas 10%")</f>
        <v>(27/01)  kendala feeder SIR-FB sisa 2, kenutuhan 4 feeder, solusi new feeder dan kenaikan di atas 10%</v>
      </c>
      <c r="R858" s="228"/>
      <c r="S858" s="11"/>
      <c r="T858" s="11"/>
      <c r="U858" s="11"/>
      <c r="V858" s="229"/>
      <c r="W858" s="229"/>
      <c r="X858" s="229" t="str">
        <f>IFERROR(__xludf.DUMMYFUNCTION("""COMPUTED_VALUE"""),"BELUM GOLIVE")</f>
        <v>BELUM GOLIVE</v>
      </c>
      <c r="Y858" s="229"/>
      <c r="Z858" s="229" t="str">
        <f>IFERROR(__xludf.DUMMYFUNCTION("""COMPUTED_VALUE"""),"#N/A")</f>
        <v>#N/A</v>
      </c>
      <c r="AA858" s="229"/>
      <c r="AB858" s="229"/>
      <c r="AC858" s="229"/>
      <c r="AD858" s="232"/>
      <c r="AE858" s="233"/>
      <c r="AF858" s="54" t="str">
        <f>IFERROR(__xludf.DUMMYFUNCTION("""COMPUTED_VALUE"""),"Draft BA DROP")</f>
        <v>Draft BA DROP</v>
      </c>
      <c r="AG858" s="54"/>
      <c r="AH858" s="54"/>
      <c r="AI858" s="55" t="str">
        <f t="shared" si="90"/>
        <v/>
      </c>
      <c r="AW858" s="234"/>
      <c r="BP858" s="11"/>
      <c r="BQ858" s="11"/>
      <c r="BR858" s="235"/>
      <c r="BV858" s="158"/>
      <c r="BY858" s="158"/>
      <c r="CB858" s="158"/>
    </row>
    <row r="859" ht="18.0" customHeight="1">
      <c r="A859" s="222">
        <f>IFERROR(__xludf.DUMMYFUNCTION("""COMPUTED_VALUE"""),2026.0)</f>
        <v>2026</v>
      </c>
      <c r="B859" s="221">
        <f>IFERROR(__xludf.DUMMYFUNCTION("""COMPUTED_VALUE"""),1.1024487E7)</f>
        <v>11024487</v>
      </c>
      <c r="C859" s="222" t="str">
        <f>IFERROR(__xludf.DUMMYFUNCTION("""COMPUTED_VALUE"""),"RKP PT3 JPPTSEL KMS-FZ JL. BAHAGIA PINANG")</f>
        <v>RKP PT3 JPPTSEL KMS-FZ JL. BAHAGIA PINANG</v>
      </c>
      <c r="D859" s="222" t="str">
        <f>IFERROR(__xludf.DUMMYFUNCTION("""COMPUTED_VALUE"""),"REGIONAL I")</f>
        <v>REGIONAL I</v>
      </c>
      <c r="E859" s="222" t="str">
        <f>IFERROR(__xludf.DUMMYFUNCTION("""COMPUTED_VALUE"""),"RIKEP")</f>
        <v>RIKEP</v>
      </c>
      <c r="F859" s="222" t="str">
        <f>IFERROR(__xludf.DUMMYFUNCTION("""COMPUTED_VALUE"""),"KMS")</f>
        <v>KMS</v>
      </c>
      <c r="G859" s="222" t="str">
        <f>IFERROR(__xludf.DUMMYFUNCTION("""COMPUTED_VALUE"""),"SUMBAGTENG")</f>
        <v>SUMBAGTENG</v>
      </c>
      <c r="H859" s="222" t="str">
        <f>IFERROR(__xludf.DUMMYFUNCTION("""COMPUTED_VALUE"""),"BATAM")</f>
        <v>BATAM</v>
      </c>
      <c r="I859" s="222" t="str">
        <f>IFERROR(__xludf.DUMMYFUNCTION("""COMPUTED_VALUE"""),"Batch 2")</f>
        <v>Batch 2</v>
      </c>
      <c r="J859" s="225">
        <f>IFERROR(__xludf.DUMMYFUNCTION("""COMPUTED_VALUE"""),5.0)</f>
        <v>5</v>
      </c>
      <c r="K859" s="224">
        <f>IFERROR(__xludf.DUMMYFUNCTION("""COMPUTED_VALUE"""),40.0)</f>
        <v>40</v>
      </c>
      <c r="L859" s="226">
        <f>IFERROR(__xludf.DUMMYFUNCTION("""COMPUTED_VALUE"""),1047331.0)</f>
        <v>1047331</v>
      </c>
      <c r="M859" s="227">
        <f>IFERROR(__xludf.DUMMYFUNCTION("""COMPUTED_VALUE"""),4.1893236E7)</f>
        <v>41893236</v>
      </c>
      <c r="N859" s="222" t="str">
        <f>IFERROR(__xludf.DUMMYFUNCTION("""COMPUTED_VALUE"""),"PT SALTTEK DUMPANG JAYA")</f>
        <v>PT SALTTEK DUMPANG JAYA</v>
      </c>
      <c r="O859" s="222" t="str">
        <f>IFERROR(__xludf.DUMMYFUNCTION("""COMPUTED_VALUE"""),"0. DROP")</f>
        <v>0. DROP</v>
      </c>
      <c r="P859" s="222" t="str">
        <f>IFERROR(__xludf.DUMMYFUNCTION("""COMPUTED_VALUE"""),"0.2 Tidak Dapat Izin Warga/Kades/Lurah/Developer")</f>
        <v>0.2 Tidak Dapat Izin Warga/Kades/Lurah/Developer</v>
      </c>
      <c r="Q859" s="222" t="str">
        <f>IFERROR(__xludf.DUMMYFUNCTION("""COMPUTED_VALUE"""),"28/01 Izin tanam tiang di tolak tuan tanah. 28/01 Anwijzing OK, proses perizinan. 21/01 Proses anwijzing tanggal 22 Jan 2026")</f>
        <v>28/01 Izin tanam tiang di tolak tuan tanah. 28/01 Anwijzing OK, proses perizinan. 21/01 Proses anwijzing tanggal 22 Jan 2026</v>
      </c>
      <c r="R859" s="228"/>
      <c r="S859" s="11"/>
      <c r="T859" s="11"/>
      <c r="U859" s="11"/>
      <c r="V859" s="229" t="str">
        <f>IFERROR(__xludf.DUMMYFUNCTION("""COMPUTED_VALUE"""),"DEDY IRAWAN")</f>
        <v>DEDY IRAWAN</v>
      </c>
      <c r="W859" s="229" t="str">
        <f>IFERROR(__xludf.DUMMYFUNCTION("""COMPUTED_VALUE"""),"LEVITA INDRIYANI")</f>
        <v>LEVITA INDRIYANI</v>
      </c>
      <c r="X859" s="229" t="str">
        <f>IFERROR(__xludf.DUMMYFUNCTION("""COMPUTED_VALUE"""),"BELUM GOLIVE")</f>
        <v>BELUM GOLIVE</v>
      </c>
      <c r="Y859" s="229"/>
      <c r="Z859" s="229" t="str">
        <f>IFERROR(__xludf.DUMMYFUNCTION("""COMPUTED_VALUE"""),"#N/A")</f>
        <v>#N/A</v>
      </c>
      <c r="AA859" s="229"/>
      <c r="AB859" s="229"/>
      <c r="AC859" s="229"/>
      <c r="AD859" s="232"/>
      <c r="AE859" s="233"/>
      <c r="AF859" s="54" t="str">
        <f>IFERROR(__xludf.DUMMYFUNCTION("""COMPUTED_VALUE"""),"Draft BA DROP")</f>
        <v>Draft BA DROP</v>
      </c>
      <c r="AG859" s="54"/>
      <c r="AH859" s="54"/>
      <c r="AI859" s="55" t="str">
        <f t="shared" si="90"/>
        <v/>
      </c>
      <c r="AW859" s="234"/>
      <c r="BP859" s="11"/>
      <c r="BQ859" s="11"/>
      <c r="BR859" s="235"/>
      <c r="BV859" s="158"/>
      <c r="BY859" s="158"/>
      <c r="CB859" s="158"/>
    </row>
    <row r="860" ht="18.0" hidden="1" customHeight="1">
      <c r="A860" s="222">
        <f>IFERROR(__xludf.DUMMYFUNCTION("""COMPUTED_VALUE"""),2026.0)</f>
        <v>2026</v>
      </c>
      <c r="B860" s="221">
        <f>IFERROR(__xludf.DUMMYFUNCTION("""COMPUTED_VALUE"""),1.2213611E7)</f>
        <v>12213611</v>
      </c>
      <c r="C860" s="222" t="str">
        <f>IFERROR(__xludf.DUMMYFUNCTION("""COMPUTED_VALUE"""),"SMS P3I4 PT3 MEM FJ D02 ANDRIAN SUSANTO")</f>
        <v>SMS P3I4 PT3 MEM FJ D02 ANDRIAN SUSANTO</v>
      </c>
      <c r="D860" s="222" t="str">
        <f>IFERROR(__xludf.DUMMYFUNCTION("""COMPUTED_VALUE"""),"REGIONAL I")</f>
        <v>REGIONAL I</v>
      </c>
      <c r="E860" s="222" t="str">
        <f>IFERROR(__xludf.DUMMYFUNCTION("""COMPUTED_VALUE"""),"SUMSEL")</f>
        <v>SUMSEL</v>
      </c>
      <c r="F860" s="222" t="str">
        <f>IFERROR(__xludf.DUMMYFUNCTION("""COMPUTED_VALUE"""),"MEM")</f>
        <v>MEM</v>
      </c>
      <c r="G860" s="222" t="str">
        <f>IFERROR(__xludf.DUMMYFUNCTION("""COMPUTED_VALUE"""),"SUMBAGSEL")</f>
        <v>SUMBAGSEL</v>
      </c>
      <c r="H860" s="222" t="str">
        <f>IFERROR(__xludf.DUMMYFUNCTION("""COMPUTED_VALUE"""),"PALEMBANG")</f>
        <v>PALEMBANG</v>
      </c>
      <c r="I860" s="222" t="str">
        <f>IFERROR(__xludf.DUMMYFUNCTION("""COMPUTED_VALUE"""),"Batch 2")</f>
        <v>Batch 2</v>
      </c>
      <c r="J860" s="225">
        <f>IFERROR(__xludf.DUMMYFUNCTION("""COMPUTED_VALUE"""),3.0)</f>
        <v>3</v>
      </c>
      <c r="K860" s="224">
        <f>IFERROR(__xludf.DUMMYFUNCTION("""COMPUTED_VALUE"""),24.0)</f>
        <v>24</v>
      </c>
      <c r="L860" s="226">
        <f>IFERROR(__xludf.DUMMYFUNCTION("""COMPUTED_VALUE"""),1047223.0)</f>
        <v>1047223</v>
      </c>
      <c r="M860" s="227">
        <f>IFERROR(__xludf.DUMMYFUNCTION("""COMPUTED_VALUE"""),2.5133352E7)</f>
        <v>25133352</v>
      </c>
      <c r="N860" s="222" t="str">
        <f>IFERROR(__xludf.DUMMYFUNCTION("""COMPUTED_VALUE"""),"PT TELKOM AKSES")</f>
        <v>PT TELKOM AKSES</v>
      </c>
      <c r="O860" s="222" t="str">
        <f>IFERROR(__xludf.DUMMYFUNCTION("""COMPUTED_VALUE"""),"7. GOLIVE")</f>
        <v>7. GOLIVE</v>
      </c>
      <c r="P860" s="222" t="str">
        <f>IFERROR(__xludf.DUMMYFUNCTION("""COMPUTED_VALUE"""),"7.2 Golive Full / OA / DONE OTB")</f>
        <v>7.2 Golive Full / OA / DONE OTB</v>
      </c>
      <c r="Q860" s="222" t="str">
        <f>IFERROR(__xludf.DUMMYFUNCTION("""COMPUTED_VALUE"""),"11/03 GOLIVE, 09/03 MENUNGGU GOLIVE, 03/03 SDH KIRIM V4, 02/03 MENUNGGU PEMASANGAN ODP, 28/02 DONE PENANAMAN 12 TIANG DAN PENARIKAN KABEL 745M, 28/2 proses tarik 0/745, plan 1 mar Golive 27/02 PROGRESS LOBANG DAN CAT TIANG 31 BTG, 27/02 MATERIAL ONSITE, 2"&amp;"6/02 AMBIL MATERIAL, 25/02 DONE AMD BUDGET, 24/02 OVER BUDGET LG - OGP AMD BUDGET, 23/02 DONE AMD, 22/2 menunggu material TIANG  17/02 PROSES INPUT MATERIAL, 11/2 OGP PERIZINAN 09/02 MENUNGGU PID UTK INPUT MATERIAL, 6/2 lanjut Deploy - penambahan SLACK SU"&amp;"PPORT 04/02 DONE EVAL - LANJUT PROGRESS, 02/02 PROSES PERIZINAN, 30/01 DONE  AANWIJDZING, (20/01) Swakelola Pak Yopie Acero (15/1)  MITRA GTM OVERLOAD (15/1) ORDER DITERIMA MITRA 14/1,MENUNGGU PLAN AANWIJDZING (06/01)order JPP batch-2 2026 (((14/11)HOLD- "&amp;" tidak masuk target Optimis 2025 (11/11) Penunjukkan MITRA  oleh Procurement ")</f>
        <v>11/03 GOLIVE, 09/03 MENUNGGU GOLIVE, 03/03 SDH KIRIM V4, 02/03 MENUNGGU PEMASANGAN ODP, 28/02 DONE PENANAMAN 12 TIANG DAN PENARIKAN KABEL 745M, 28/2 proses tarik 0/745, plan 1 mar Golive 27/02 PROGRESS LOBANG DAN CAT TIANG 31 BTG, 27/02 MATERIAL ONSITE, 26/02 AMBIL MATERIAL, 25/02 DONE AMD BUDGET, 24/02 OVER BUDGET LG - OGP AMD BUDGET, 23/02 DONE AMD, 22/2 menunggu material TIANG  17/02 PROSES INPUT MATERIAL, 11/2 OGP PERIZINAN 09/02 MENUNGGU PID UTK INPUT MATERIAL, 6/2 lanjut Deploy - penambahan SLACK SUPPORT 04/02 DONE EVAL - LANJUT PROGRESS, 02/02 PROSES PERIZINAN, 30/01 DONE  AANWIJDZING, (20/01) Swakelola Pak Yopie Acero (15/1)  MITRA GTM OVERLOAD (15/1) ORDER DITERIMA MITRA 14/1,MENUNGGU PLAN AANWIJDZING (06/01)order JPP batch-2 2026 (((14/11)HOLD-  tidak masuk target Optimis 2025 (11/11) Penunjukkan MITRA  oleh Procurement </v>
      </c>
      <c r="R860" s="228">
        <f>IFERROR(__xludf.DUMMYFUNCTION("""COMPUTED_VALUE"""),46084.0)</f>
        <v>46084</v>
      </c>
      <c r="S860" s="11" t="str">
        <f>IFERROR(__xludf.DUMMYFUNCTION("""COMPUTED_VALUE"""),"MAR")</f>
        <v>MAR</v>
      </c>
      <c r="T860" s="11"/>
      <c r="U860" s="11"/>
      <c r="V860" s="229" t="str">
        <f>IFERROR(__xludf.DUMMYFUNCTION("""COMPUTED_VALUE"""),"ILHAM")</f>
        <v>ILHAM</v>
      </c>
      <c r="W860" s="229"/>
      <c r="X860" s="229" t="str">
        <f>IFERROR(__xludf.DUMMYFUNCTION("""COMPUTED_VALUE"""),"GOLIVE")</f>
        <v>GOLIVE</v>
      </c>
      <c r="Y860" s="229" t="str">
        <f>IFERROR(__xludf.DUMMYFUNCTION("""COMPUTED_VALUE"""),"DONE")</f>
        <v>DONE</v>
      </c>
      <c r="Z860" s="229" t="str">
        <f>IFERROR(__xludf.DUMMYFUNCTION("""COMPUTED_VALUE"""),"#N/A")</f>
        <v>#N/A</v>
      </c>
      <c r="AA860" s="229">
        <f>IFERROR(__xludf.DUMMYFUNCTION("""COMPUTED_VALUE"""),3.0)</f>
        <v>3</v>
      </c>
      <c r="AB860" s="229"/>
      <c r="AC860" s="229" t="str">
        <f>IFERROR(__xludf.DUMMYFUNCTION("""COMPUTED_VALUE"""),"8971374#8971379")</f>
        <v>8971374#8971379</v>
      </c>
      <c r="AD860" s="232">
        <f>IFERROR(__xludf.DUMMYFUNCTION("""COMPUTED_VALUE"""),24.0)</f>
        <v>24</v>
      </c>
      <c r="AE860" s="233">
        <f>IFERROR(__xludf.DUMMYFUNCTION("""COMPUTED_VALUE"""),46084.0)</f>
        <v>46084</v>
      </c>
      <c r="AF860" s="54"/>
      <c r="AG860" s="54"/>
      <c r="AH860" s="54">
        <v>46084.0</v>
      </c>
      <c r="AI860" s="55">
        <f t="shared" si="90"/>
        <v>0</v>
      </c>
      <c r="AW860" s="234"/>
      <c r="BP860" s="11"/>
      <c r="BQ860" s="11"/>
      <c r="BR860" s="235"/>
      <c r="BV860" s="158"/>
      <c r="BY860" s="158"/>
      <c r="CB860" s="158"/>
    </row>
    <row r="861" ht="18.0" hidden="1" customHeight="1">
      <c r="A861" s="222">
        <f>IFERROR(__xludf.DUMMYFUNCTION("""COMPUTED_VALUE"""),2026.0)</f>
        <v>2026</v>
      </c>
      <c r="B861" s="221">
        <f>IFERROR(__xludf.DUMMYFUNCTION("""COMPUTED_VALUE"""),1.1439338E7)</f>
        <v>11439338</v>
      </c>
      <c r="C861" s="222" t="str">
        <f>IFERROR(__xludf.DUMMYFUNCTION("""COMPUTED_VALUE"""),"SMS P3I1 PT3 MPA FX D01 TANJUNG MULYA")</f>
        <v>SMS P3I1 PT3 MPA FX D01 TANJUNG MULYA</v>
      </c>
      <c r="D861" s="222" t="str">
        <f>IFERROR(__xludf.DUMMYFUNCTION("""COMPUTED_VALUE"""),"REGIONAL I")</f>
        <v>REGIONAL I</v>
      </c>
      <c r="E861" s="222" t="str">
        <f>IFERROR(__xludf.DUMMYFUNCTION("""COMPUTED_VALUE"""),"SUMSEL")</f>
        <v>SUMSEL</v>
      </c>
      <c r="F861" s="222" t="str">
        <f>IFERROR(__xludf.DUMMYFUNCTION("""COMPUTED_VALUE"""),"MPA")</f>
        <v>MPA</v>
      </c>
      <c r="G861" s="222" t="str">
        <f>IFERROR(__xludf.DUMMYFUNCTION("""COMPUTED_VALUE"""),"SUMBAGSEL")</f>
        <v>SUMBAGSEL</v>
      </c>
      <c r="H861" s="222" t="str">
        <f>IFERROR(__xludf.DUMMYFUNCTION("""COMPUTED_VALUE"""),"PALEMBANG")</f>
        <v>PALEMBANG</v>
      </c>
      <c r="I861" s="222" t="str">
        <f>IFERROR(__xludf.DUMMYFUNCTION("""COMPUTED_VALUE"""),"Batch 2")</f>
        <v>Batch 2</v>
      </c>
      <c r="J861" s="225">
        <f>IFERROR(__xludf.DUMMYFUNCTION("""COMPUTED_VALUE"""),3.0)</f>
        <v>3</v>
      </c>
      <c r="K861" s="224">
        <f>IFERROR(__xludf.DUMMYFUNCTION("""COMPUTED_VALUE"""),24.0)</f>
        <v>24</v>
      </c>
      <c r="L861" s="226">
        <f>IFERROR(__xludf.DUMMYFUNCTION("""COMPUTED_VALUE"""),1046320.0)</f>
        <v>1046320</v>
      </c>
      <c r="M861" s="227">
        <f>IFERROR(__xludf.DUMMYFUNCTION("""COMPUTED_VALUE"""),2.5111669E7)</f>
        <v>25111669</v>
      </c>
      <c r="N861" s="222" t="str">
        <f>IFERROR(__xludf.DUMMYFUNCTION("""COMPUTED_VALUE"""),"PT GARINDO TECHNO MANDIRI")</f>
        <v>PT GARINDO TECHNO MANDIRI</v>
      </c>
      <c r="O861" s="222" t="str">
        <f>IFERROR(__xludf.DUMMYFUNCTION("""COMPUTED_VALUE"""),"7. GOLIVE")</f>
        <v>7. GOLIVE</v>
      </c>
      <c r="P861" s="222" t="str">
        <f>IFERROR(__xludf.DUMMYFUNCTION("""COMPUTED_VALUE"""),"7.2 Golive Full / OA / DONE OTB")</f>
        <v>7.2 Golive Full / OA / DONE OTB</v>
      </c>
      <c r="Q861" s="222" t="str">
        <f>IFERROR(__xludf.DUMMYFUNCTION("""COMPUTED_VALUE"""),"09/04  SISA PASANG ODP TPI, MASIH KENDALA TERKAIT D STOP KADES YANG MEMINTA TAMBAHAN KOMPENSASI, 07/04 MASIH KENDALA TERKAIT PERIZINAN KADES, 02/04 KENDALA PERIZINAN KADES MEMINTA WIFI 2 TAHUN, JIKA DIGANTI UANG BELIAU MEMINTA 5JT UTK MUSHOLAH, 31/03 MASI"&amp;"H MENUNGGU PERMIT IZIN MASUK SITE UTK MELAKUKAN JUMPER, 26/03 LANJUT JUMPER ( MENUNGGU PERMIT IZIN MASUK SITE )25/03 OGP JUMPER - KENDALA KUNCI DAN IZIN PERMIT MASUK SITE,  24/03 OGP JUMPER - KENDALA KUNCI DAN IZIN PERMIT MASUK SITE,  20/03 OGP JUMPER - K"&amp;"ENDALA KUNCI DAN IZIN PERMIT MASUK SITE,  17/03 SDH PASANG ODP - OGP JUMPER, 16/03 MASIH PROGRESS JOINT CL DAN ODP, 15/03 PROGRESS JOINT CL, 13/03 OGP PASANG ODP, 12/03 OGP PEMASANGAN ODP, 10/03 DONE PENARIKAN KABEL 650M, TANAM 12 TIANG DAN PEMASANGAN AKS"&amp;"ESORIS, 09/03 MASIH MENUNGGU ANTRIAN PEKERJAAN, 06/03 MENUNGGU ANTRIAN PEKERJAAN, 04/03 MATERIAL ONSITE, 03/03 MATDEL, 02/03 HARI INI AMBIL TIANG, 27/02 DONE RFC,OGP AMBIL MATERIAL EST TGL 02/03, 27/02 DONE INPUT MATERIAL, 26/02 DONE PR PO - BUTUH PA, 25/"&amp;"02 MSH MENUNGGU PR PO, 24/02 MENUNGGU PR PO, 23/02 DRM, 22/2  perijinan kades  19/02 LANJUT PROGRESS, 06/02 KONFIRM TSEL UNTUK LANJUT ATAU TIDAK, 03/02 DONE EVAL, HOLD, ADA KOMPENSASI DRI KADES MEMINTA FREE WIFI SETAHUN (2,4 JT) MAKA ADA KENAIKAN BOQ SEBE"&amp;"SAR 10% DARI PLAN , DAN CPP 1,1 JT 30/01 DONE AANWIDJZING TH 2025 - MENUNGGU HASIL EVAL, (21/01) menunggu antrian untuk aanwizjing lapangan, (15/1) SUDAH AANWIDJZING, MENUNGGU HASIL EVAL PALIM LAMBAT TANGGAL 23 JAN (15/1) ORDER DITERIMA MITRA 14/1, MENUNG"&amp;"GU CONFIRM SAMA KADES MENGENAI PERMINTAAN WIFI GRATIS (06/01)order JPP batch-2 2026 ((18/11) tidak masuk target optimis 2025 (18/11 done eval masih menunggu konfirmasi ke pihak kades mengenai wifi gratis berapa lama, 14/11 on progress eval, 13/11 MENUNGGU"&amp;" EVAL TIF -TA (08/11) SUDAH ANWIJZING , TUNGGU EVAL TIF -TA (5/11) menunggu jadwal aanwidzjing 23/10 penunjukan mitra")</f>
        <v>09/04  SISA PASANG ODP TPI, MASIH KENDALA TERKAIT D STOP KADES YANG MEMINTA TAMBAHAN KOMPENSASI, 07/04 MASIH KENDALA TERKAIT PERIZINAN KADES, 02/04 KENDALA PERIZINAN KADES MEMINTA WIFI 2 TAHUN, JIKA DIGANTI UANG BELIAU MEMINTA 5JT UTK MUSHOLAH, 31/03 MASIH MENUNGGU PERMIT IZIN MASUK SITE UTK MELAKUKAN JUMPER, 26/03 LANJUT JUMPER ( MENUNGGU PERMIT IZIN MASUK SITE )25/03 OGP JUMPER - KENDALA KUNCI DAN IZIN PERMIT MASUK SITE,  24/03 OGP JUMPER - KENDALA KUNCI DAN IZIN PERMIT MASUK SITE,  20/03 OGP JUMPER - KENDALA KUNCI DAN IZIN PERMIT MASUK SITE,  17/03 SDH PASANG ODP - OGP JUMPER, 16/03 MASIH PROGRESS JOINT CL DAN ODP, 15/03 PROGRESS JOINT CL, 13/03 OGP PASANG ODP, 12/03 OGP PEMASANGAN ODP, 10/03 DONE PENARIKAN KABEL 650M, TANAM 12 TIANG DAN PEMASANGAN AKSESORIS, 09/03 MASIH MENUNGGU ANTRIAN PEKERJAAN, 06/03 MENUNGGU ANTRIAN PEKERJAAN, 04/03 MATERIAL ONSITE, 03/03 MATDEL, 02/03 HARI INI AMBIL TIANG, 27/02 DONE RFC,OGP AMBIL MATERIAL EST TGL 02/03, 27/02 DONE INPUT MATERIAL, 26/02 DONE PR PO - BUTUH PA, 25/02 MSH MENUNGGU PR PO, 24/02 MENUNGGU PR PO, 23/02 DRM, 22/2  perijinan kades  19/02 LANJUT PROGRESS, 06/02 KONFIRM TSEL UNTUK LANJUT ATAU TIDAK, 03/02 DONE EVAL, HOLD, ADA KOMPENSASI DRI KADES MEMINTA FREE WIFI SETAHUN (2,4 JT) MAKA ADA KENAIKAN BOQ SEBESAR 10% DARI PLAN , DAN CPP 1,1 JT 30/01 DONE AANWIDJZING TH 2025 - MENUNGGU HASIL EVAL, (21/01) menunggu antrian untuk aanwizjing lapangan, (15/1) SUDAH AANWIDJZING, MENUNGGU HASIL EVAL PALIM LAMBAT TANGGAL 23 JAN (15/1) ORDER DITERIMA MITRA 14/1, MENUNGGU CONFIRM SAMA KADES MENGENAI PERMINTAAN WIFI GRATIS (06/01)order JPP batch-2 2026 ((18/11) tidak masuk target optimis 2025 (18/11 done eval masih menunggu konfirmasi ke pihak kades mengenai wifi gratis berapa lama, 14/11 on progress eval, 13/11 MENUNGGU EVAL TIF -TA (08/11) SUDAH ANWIJZING , TUNGGU EVAL TIF -TA (5/11) menunggu jadwal aanwidzjing 23/10 penunjukan mitra</v>
      </c>
      <c r="R861" s="228">
        <f>IFERROR(__xludf.DUMMYFUNCTION("""COMPUTED_VALUE"""),46124.0)</f>
        <v>46124</v>
      </c>
      <c r="S861" s="11" t="str">
        <f>IFERROR(__xludf.DUMMYFUNCTION("""COMPUTED_VALUE"""),"APR")</f>
        <v>APR</v>
      </c>
      <c r="T861" s="73" t="str">
        <f>IFERROR(__xludf.DUMMYFUNCTION("""COMPUTED_VALUE"""),"P1")</f>
        <v>P1</v>
      </c>
      <c r="U861" s="11"/>
      <c r="V861" s="229" t="str">
        <f>IFERROR(__xludf.DUMMYFUNCTION("""COMPUTED_VALUE"""),"TANTOWI")</f>
        <v>TANTOWI</v>
      </c>
      <c r="W861" s="229"/>
      <c r="X861" s="229" t="str">
        <f>IFERROR(__xludf.DUMMYFUNCTION("""COMPUTED_VALUE"""),"GOLIVE")</f>
        <v>GOLIVE</v>
      </c>
      <c r="Y861" s="229" t="str">
        <f>IFERROR(__xludf.DUMMYFUNCTION("""COMPUTED_VALUE"""),"DONE")</f>
        <v>DONE</v>
      </c>
      <c r="Z861" s="229" t="str">
        <f>IFERROR(__xludf.DUMMYFUNCTION("""COMPUTED_VALUE"""),"#N/A")</f>
        <v>#N/A</v>
      </c>
      <c r="AA861" s="229">
        <f>IFERROR(__xludf.DUMMYFUNCTION("""COMPUTED_VALUE"""),3.0)</f>
        <v>3</v>
      </c>
      <c r="AB861" s="229"/>
      <c r="AC861" s="229" t="str">
        <f>IFERROR(__xludf.DUMMYFUNCTION("""COMPUTED_VALUE"""),"8948900#8948905")</f>
        <v>8948900#8948905</v>
      </c>
      <c r="AD861" s="232">
        <f>IFERROR(__xludf.DUMMYFUNCTION("""COMPUTED_VALUE"""),24.0)</f>
        <v>24</v>
      </c>
      <c r="AE861" s="233">
        <f>IFERROR(__xludf.DUMMYFUNCTION("""COMPUTED_VALUE"""),46124.0)</f>
        <v>46124</v>
      </c>
      <c r="AF861" s="54"/>
      <c r="AG861" s="54"/>
      <c r="AH861" s="54">
        <v>46124.0</v>
      </c>
      <c r="AI861" s="55">
        <f t="shared" si="90"/>
        <v>0</v>
      </c>
      <c r="AW861" s="234"/>
      <c r="BP861" s="11"/>
      <c r="BQ861" s="11"/>
      <c r="BR861" s="235"/>
      <c r="BV861" s="158"/>
      <c r="BY861" s="158"/>
      <c r="CB861" s="158"/>
    </row>
    <row r="862" ht="18.0" hidden="1" customHeight="1">
      <c r="A862" s="222">
        <f>IFERROR(__xludf.DUMMYFUNCTION("""COMPUTED_VALUE"""),2026.0)</f>
        <v>2026</v>
      </c>
      <c r="B862" s="221">
        <f>IFERROR(__xludf.DUMMYFUNCTION("""COMPUTED_VALUE"""),1.1389394E7)</f>
        <v>11389394</v>
      </c>
      <c r="C862" s="222" t="str">
        <f>IFERROR(__xludf.DUMMYFUNCTION("""COMPUTED_VALUE"""),"MDN PT3 P7I7 TJR-FZ JL.PADANG BOLAK")</f>
        <v>MDN PT3 P7I7 TJR-FZ JL.PADANG BOLAK</v>
      </c>
      <c r="D862" s="222" t="str">
        <f>IFERROR(__xludf.DUMMYFUNCTION("""COMPUTED_VALUE"""),"REGIONAL I")</f>
        <v>REGIONAL I</v>
      </c>
      <c r="E862" s="222" t="str">
        <f>IFERROR(__xludf.DUMMYFUNCTION("""COMPUTED_VALUE"""),"MEDAN")</f>
        <v>MEDAN</v>
      </c>
      <c r="F862" s="222" t="str">
        <f>IFERROR(__xludf.DUMMYFUNCTION("""COMPUTED_VALUE"""),"TJR")</f>
        <v>TJR</v>
      </c>
      <c r="G862" s="222" t="str">
        <f>IFERROR(__xludf.DUMMYFUNCTION("""COMPUTED_VALUE"""),"SUMBAGUT")</f>
        <v>SUMBAGUT</v>
      </c>
      <c r="H862" s="222" t="str">
        <f>IFERROR(__xludf.DUMMYFUNCTION("""COMPUTED_VALUE"""),"MEDAN")</f>
        <v>MEDAN</v>
      </c>
      <c r="I862" s="222" t="str">
        <f>IFERROR(__xludf.DUMMYFUNCTION("""COMPUTED_VALUE"""),"Batch 2")</f>
        <v>Batch 2</v>
      </c>
      <c r="J862" s="225">
        <f>IFERROR(__xludf.DUMMYFUNCTION("""COMPUTED_VALUE"""),5.0)</f>
        <v>5</v>
      </c>
      <c r="K862" s="224">
        <f>IFERROR(__xludf.DUMMYFUNCTION("""COMPUTED_VALUE"""),40.0)</f>
        <v>40</v>
      </c>
      <c r="L862" s="226">
        <f>IFERROR(__xludf.DUMMYFUNCTION("""COMPUTED_VALUE"""),1454635.0)</f>
        <v>1454635</v>
      </c>
      <c r="M862" s="227">
        <f>IFERROR(__xludf.DUMMYFUNCTION("""COMPUTED_VALUE"""),5.8185373E7)</f>
        <v>58185373</v>
      </c>
      <c r="N862" s="222" t="str">
        <f>IFERROR(__xludf.DUMMYFUNCTION("""COMPUTED_VALUE"""),"PT UPAYA TEKNIK")</f>
        <v>PT UPAYA TEKNIK</v>
      </c>
      <c r="O862" s="222" t="str">
        <f>IFERROR(__xludf.DUMMYFUNCTION("""COMPUTED_VALUE"""),"0. DROP")</f>
        <v>0. DROP</v>
      </c>
      <c r="P862" s="222" t="str">
        <f>IFERROR(__xludf.DUMMYFUNCTION("""COMPUTED_VALUE"""),"0.4 CPP Tinggi Acc ED TIF")</f>
        <v>0.4 CPP Tinggi Acc ED TIF</v>
      </c>
      <c r="Q862" s="222" t="str">
        <f>IFERROR(__xludf.DUMMYFUNCTION("""COMPUTED_VALUE"""),"19/02 TJR-FZ feeder redting
(07/01) Persiapan
14/10 proses perizinan")</f>
        <v>19/02 TJR-FZ feeder redting
(07/01) Persiapan
14/10 proses perizinan</v>
      </c>
      <c r="R862" s="228"/>
      <c r="S862" s="11"/>
      <c r="T862" s="11"/>
      <c r="U862" s="11"/>
      <c r="V862" s="229"/>
      <c r="W862" s="229"/>
      <c r="X862" s="229" t="str">
        <f>IFERROR(__xludf.DUMMYFUNCTION("""COMPUTED_VALUE"""),"BELUM GOLIVE")</f>
        <v>BELUM GOLIVE</v>
      </c>
      <c r="Y862" s="229"/>
      <c r="Z862" s="229" t="str">
        <f>IFERROR(__xludf.DUMMYFUNCTION("""COMPUTED_VALUE"""),"#N/A")</f>
        <v>#N/A</v>
      </c>
      <c r="AA862" s="229">
        <f>IFERROR(__xludf.DUMMYFUNCTION("""COMPUTED_VALUE"""),0.0)</f>
        <v>0</v>
      </c>
      <c r="AB862" s="229">
        <f>IFERROR(__xludf.DUMMYFUNCTION("""COMPUTED_VALUE"""),0.0)</f>
        <v>0</v>
      </c>
      <c r="AC862" s="229"/>
      <c r="AD862" s="232"/>
      <c r="AE862" s="233"/>
      <c r="AF862" s="54" t="str">
        <f>IFERROR(__xludf.DUMMYFUNCTION("""COMPUTED_VALUE"""),"Draft BA DROP")</f>
        <v>Draft BA DROP</v>
      </c>
      <c r="AG862" s="54"/>
      <c r="AH862" s="54"/>
      <c r="AI862" s="55" t="str">
        <f t="shared" si="90"/>
        <v/>
      </c>
      <c r="AW862" s="234"/>
      <c r="BP862" s="11"/>
      <c r="BQ862" s="11"/>
      <c r="BR862" s="235"/>
      <c r="BV862" s="158"/>
      <c r="BY862" s="158"/>
      <c r="CB862" s="158"/>
    </row>
    <row r="863" ht="18.0" hidden="1" customHeight="1">
      <c r="A863" s="222">
        <f>IFERROR(__xludf.DUMMYFUNCTION("""COMPUTED_VALUE"""),2026.0)</f>
        <v>2026</v>
      </c>
      <c r="B863" s="221">
        <f>IFERROR(__xludf.DUMMYFUNCTION("""COMPUTED_VALUE"""),1.1346473E7)</f>
        <v>11346473</v>
      </c>
      <c r="C863" s="222" t="str">
        <f>IFERROR(__xludf.DUMMYFUNCTION("""COMPUTED_VALUE"""),"ACH PT3 LTM-FC KOMPLEK GEUNASEH INDAH")</f>
        <v>ACH PT3 LTM-FC KOMPLEK GEUNASEH INDAH</v>
      </c>
      <c r="D863" s="222" t="str">
        <f>IFERROR(__xludf.DUMMYFUNCTION("""COMPUTED_VALUE"""),"REGIONAL I")</f>
        <v>REGIONAL I</v>
      </c>
      <c r="E863" s="222" t="str">
        <f>IFERROR(__xludf.DUMMYFUNCTION("""COMPUTED_VALUE"""),"ACEH")</f>
        <v>ACEH</v>
      </c>
      <c r="F863" s="222" t="str">
        <f>IFERROR(__xludf.DUMMYFUNCTION("""COMPUTED_VALUE"""),"LTM")</f>
        <v>LTM</v>
      </c>
      <c r="G863" s="222" t="str">
        <f>IFERROR(__xludf.DUMMYFUNCTION("""COMPUTED_VALUE"""),"SUMBAGUT")</f>
        <v>SUMBAGUT</v>
      </c>
      <c r="H863" s="222" t="str">
        <f>IFERROR(__xludf.DUMMYFUNCTION("""COMPUTED_VALUE"""),"BANDA ACEH")</f>
        <v>BANDA ACEH</v>
      </c>
      <c r="I863" s="222" t="str">
        <f>IFERROR(__xludf.DUMMYFUNCTION("""COMPUTED_VALUE"""),"Batch 2")</f>
        <v>Batch 2</v>
      </c>
      <c r="J863" s="225">
        <f>IFERROR(__xludf.DUMMYFUNCTION("""COMPUTED_VALUE"""),8.0)</f>
        <v>8</v>
      </c>
      <c r="K863" s="224">
        <f>IFERROR(__xludf.DUMMYFUNCTION("""COMPUTED_VALUE"""),64.0)</f>
        <v>64</v>
      </c>
      <c r="L863" s="226">
        <f>IFERROR(__xludf.DUMMYFUNCTION("""COMPUTED_VALUE"""),1046270.0)</f>
        <v>1046270</v>
      </c>
      <c r="M863" s="227">
        <f>IFERROR(__xludf.DUMMYFUNCTION("""COMPUTED_VALUE"""),6.6961268E7)</f>
        <v>66961268</v>
      </c>
      <c r="N863" s="222" t="str">
        <f>IFERROR(__xludf.DUMMYFUNCTION("""COMPUTED_VALUE"""),"PT NURISA JAYA PERKASA")</f>
        <v>PT NURISA JAYA PERKASA</v>
      </c>
      <c r="O863" s="222" t="str">
        <f>IFERROR(__xludf.DUMMYFUNCTION("""COMPUTED_VALUE"""),"7. GOLIVE")</f>
        <v>7. GOLIVE</v>
      </c>
      <c r="P863" s="222" t="str">
        <f>IFERROR(__xludf.DUMMYFUNCTION("""COMPUTED_VALUE"""),"7.2 Golive Full / OA / DONE OTB")</f>
        <v>7.2 Golive Full / OA / DONE OTB</v>
      </c>
      <c r="Q863" s="222" t="str">
        <f>IFERROR(__xludf.DUMMYFUNCTION("""COMPUTED_VALUE"""),"(23/01) ABD Mancore (20/01) Terminasi (16/01) Penarikan Kabel (08/01) Tanam Tiang (07/01) Persiapan")</f>
        <v>(23/01) ABD Mancore (20/01) Terminasi (16/01) Penarikan Kabel (08/01) Tanam Tiang (07/01) Persiapan</v>
      </c>
      <c r="R863" s="228">
        <f>IFERROR(__xludf.DUMMYFUNCTION("""COMPUTED_VALUE"""),46051.0)</f>
        <v>46051</v>
      </c>
      <c r="S863" s="11"/>
      <c r="T863" s="11"/>
      <c r="U863" s="11" t="str">
        <f>IFERROR(__xludf.DUMMYFUNCTION("""COMPUTED_VALUE"""),"W04-1039/2025")</f>
        <v>W04-1039/2025</v>
      </c>
      <c r="V863" s="229"/>
      <c r="W863" s="229"/>
      <c r="X863" s="229" t="str">
        <f>IFERROR(__xludf.DUMMYFUNCTION("""COMPUTED_VALUE"""),"GOLIVE")</f>
        <v>GOLIVE</v>
      </c>
      <c r="Y863" s="229" t="str">
        <f>IFERROR(__xludf.DUMMYFUNCTION("""COMPUTED_VALUE"""),"DONE")</f>
        <v>DONE</v>
      </c>
      <c r="Z863" s="229" t="str">
        <f>IFERROR(__xludf.DUMMYFUNCTION("""COMPUTED_VALUE"""),"#N/A")</f>
        <v>#N/A</v>
      </c>
      <c r="AA863" s="229">
        <f>IFERROR(__xludf.DUMMYFUNCTION("""COMPUTED_VALUE"""),8.0)</f>
        <v>8</v>
      </c>
      <c r="AB863" s="229"/>
      <c r="AC863" s="229" t="str">
        <f>IFERROR(__xludf.DUMMYFUNCTION("""COMPUTED_VALUE"""),"8906415#8906420")</f>
        <v>8906415#8906420</v>
      </c>
      <c r="AD863" s="232">
        <f>IFERROR(__xludf.DUMMYFUNCTION("""COMPUTED_VALUE"""),64.0)</f>
        <v>64</v>
      </c>
      <c r="AE863" s="233">
        <f>IFERROR(__xludf.DUMMYFUNCTION("""COMPUTED_VALUE"""),46051.0)</f>
        <v>46051</v>
      </c>
      <c r="AF863" s="54"/>
      <c r="AG863" s="54"/>
      <c r="AH863" s="54">
        <v>46051.0</v>
      </c>
      <c r="AI863" s="55">
        <f t="shared" si="90"/>
        <v>0</v>
      </c>
      <c r="AW863" s="234"/>
      <c r="BP863" s="11"/>
      <c r="BQ863" s="11"/>
      <c r="BR863" s="235"/>
      <c r="BV863" s="158"/>
      <c r="BY863" s="158"/>
      <c r="CB863" s="158"/>
    </row>
    <row r="864" ht="18.0" hidden="1" customHeight="1">
      <c r="A864" s="222">
        <f>IFERROR(__xludf.DUMMYFUNCTION("""COMPUTED_VALUE"""),2026.0)</f>
        <v>2026</v>
      </c>
      <c r="B864" s="221">
        <f>IFERROR(__xludf.DUMMYFUNCTION("""COMPUTED_VALUE"""),1.1134977E7)</f>
        <v>11134977</v>
      </c>
      <c r="C864" s="222" t="str">
        <f>IFERROR(__xludf.DUMMYFUNCTION("""COMPUTED_VALUE"""),"MDN PT3 P7I7 TMU-FV JL.SIDODADI MADYA")</f>
        <v>MDN PT3 P7I7 TMU-FV JL.SIDODADI MADYA</v>
      </c>
      <c r="D864" s="222" t="str">
        <f>IFERROR(__xludf.DUMMYFUNCTION("""COMPUTED_VALUE"""),"REGIONAL I")</f>
        <v>REGIONAL I</v>
      </c>
      <c r="E864" s="222" t="str">
        <f>IFERROR(__xludf.DUMMYFUNCTION("""COMPUTED_VALUE"""),"MEDAN")</f>
        <v>MEDAN</v>
      </c>
      <c r="F864" s="222" t="str">
        <f>IFERROR(__xludf.DUMMYFUNCTION("""COMPUTED_VALUE"""),"TMU")</f>
        <v>TMU</v>
      </c>
      <c r="G864" s="222" t="str">
        <f>IFERROR(__xludf.DUMMYFUNCTION("""COMPUTED_VALUE"""),"SUMBAGUT")</f>
        <v>SUMBAGUT</v>
      </c>
      <c r="H864" s="222" t="str">
        <f>IFERROR(__xludf.DUMMYFUNCTION("""COMPUTED_VALUE"""),"MEDAN")</f>
        <v>MEDAN</v>
      </c>
      <c r="I864" s="222" t="str">
        <f>IFERROR(__xludf.DUMMYFUNCTION("""COMPUTED_VALUE"""),"Batch 2")</f>
        <v>Batch 2</v>
      </c>
      <c r="J864" s="225">
        <f>IFERROR(__xludf.DUMMYFUNCTION("""COMPUTED_VALUE"""),2.0)</f>
        <v>2</v>
      </c>
      <c r="K864" s="224">
        <f>IFERROR(__xludf.DUMMYFUNCTION("""COMPUTED_VALUE"""),16.0)</f>
        <v>16</v>
      </c>
      <c r="L864" s="226">
        <f>IFERROR(__xludf.DUMMYFUNCTION("""COMPUTED_VALUE"""),1045900.0)</f>
        <v>1045900</v>
      </c>
      <c r="M864" s="227">
        <f>IFERROR(__xludf.DUMMYFUNCTION("""COMPUTED_VALUE"""),1.673439E7)</f>
        <v>16734390</v>
      </c>
      <c r="N864" s="222" t="str">
        <f>IFERROR(__xludf.DUMMYFUNCTION("""COMPUTED_VALUE"""),"PT MEDCOM SOLUTION")</f>
        <v>PT MEDCOM SOLUTION</v>
      </c>
      <c r="O864" s="222" t="str">
        <f>IFERROR(__xludf.DUMMYFUNCTION("""COMPUTED_VALUE"""),"0. DROP")</f>
        <v>0. DROP</v>
      </c>
      <c r="P864" s="222" t="str">
        <f>IFERROR(__xludf.DUMMYFUNCTION("""COMPUTED_VALUE"""),"0.3 Feeder Full")</f>
        <v>0.3 Feeder Full</v>
      </c>
      <c r="Q864" s="222" t="str">
        <f>IFERROR(__xludf.DUMMYFUNCTION("""COMPUTED_VALUE"""),"5/11 Feeder Habis
01/11proses aanwijzing")</f>
        <v>5/11 Feeder Habis
01/11proses aanwijzing</v>
      </c>
      <c r="R864" s="228"/>
      <c r="S864" s="11"/>
      <c r="T864" s="11"/>
      <c r="U864" s="11"/>
      <c r="V864" s="229"/>
      <c r="W864" s="229"/>
      <c r="X864" s="229" t="str">
        <f>IFERROR(__xludf.DUMMYFUNCTION("""COMPUTED_VALUE"""),"BELUM GOLIVE")</f>
        <v>BELUM GOLIVE</v>
      </c>
      <c r="Y864" s="229"/>
      <c r="Z864" s="229" t="str">
        <f>IFERROR(__xludf.DUMMYFUNCTION("""COMPUTED_VALUE"""),"#N/A")</f>
        <v>#N/A</v>
      </c>
      <c r="AA864" s="229"/>
      <c r="AB864" s="229"/>
      <c r="AC864" s="229"/>
      <c r="AD864" s="232"/>
      <c r="AE864" s="233"/>
      <c r="AF864" s="54"/>
      <c r="AG864" s="54"/>
      <c r="AH864" s="54"/>
      <c r="AI864" s="55" t="str">
        <f t="shared" si="90"/>
        <v/>
      </c>
      <c r="AW864" s="234"/>
      <c r="BP864" s="11"/>
      <c r="BQ864" s="11"/>
      <c r="BR864" s="235"/>
      <c r="BV864" s="158"/>
      <c r="BY864" s="158"/>
      <c r="CB864" s="158"/>
    </row>
    <row r="865" ht="18.0" hidden="1" customHeight="1">
      <c r="A865" s="222">
        <f>IFERROR(__xludf.DUMMYFUNCTION("""COMPUTED_VALUE"""),2026.0)</f>
        <v>2026</v>
      </c>
      <c r="B865" s="221">
        <f>IFERROR(__xludf.DUMMYFUNCTION("""COMPUTED_VALUE"""),1.1163104E7)</f>
        <v>11163104</v>
      </c>
      <c r="C865" s="222" t="str">
        <f>IFERROR(__xludf.DUMMYFUNCTION("""COMPUTED_VALUE"""),"MDN PT3 P7I4 SPM-FBP JL.EKAWALI PRIBADI")</f>
        <v>MDN PT3 P7I4 SPM-FBP JL.EKAWALI PRIBADI</v>
      </c>
      <c r="D865" s="222" t="str">
        <f>IFERROR(__xludf.DUMMYFUNCTION("""COMPUTED_VALUE"""),"REGIONAL I")</f>
        <v>REGIONAL I</v>
      </c>
      <c r="E865" s="222" t="str">
        <f>IFERROR(__xludf.DUMMYFUNCTION("""COMPUTED_VALUE"""),"MEDAN")</f>
        <v>MEDAN</v>
      </c>
      <c r="F865" s="222" t="str">
        <f>IFERROR(__xludf.DUMMYFUNCTION("""COMPUTED_VALUE"""),"SPM")</f>
        <v>SPM</v>
      </c>
      <c r="G865" s="222" t="str">
        <f>IFERROR(__xludf.DUMMYFUNCTION("""COMPUTED_VALUE"""),"SUMBAGUT")</f>
        <v>SUMBAGUT</v>
      </c>
      <c r="H865" s="222" t="str">
        <f>IFERROR(__xludf.DUMMYFUNCTION("""COMPUTED_VALUE"""),"MEDAN")</f>
        <v>MEDAN</v>
      </c>
      <c r="I865" s="222" t="str">
        <f>IFERROR(__xludf.DUMMYFUNCTION("""COMPUTED_VALUE"""),"Batch 2")</f>
        <v>Batch 2</v>
      </c>
      <c r="J865" s="225">
        <f>IFERROR(__xludf.DUMMYFUNCTION("""COMPUTED_VALUE"""),2.0)</f>
        <v>2</v>
      </c>
      <c r="K865" s="224">
        <f>IFERROR(__xludf.DUMMYFUNCTION("""COMPUTED_VALUE"""),16.0)</f>
        <v>16</v>
      </c>
      <c r="L865" s="226">
        <f>IFERROR(__xludf.DUMMYFUNCTION("""COMPUTED_VALUE"""),1039736.0)</f>
        <v>1039736</v>
      </c>
      <c r="M865" s="227">
        <f>IFERROR(__xludf.DUMMYFUNCTION("""COMPUTED_VALUE"""),1.6635767E7)</f>
        <v>16635767</v>
      </c>
      <c r="N865" s="222" t="str">
        <f>IFERROR(__xludf.DUMMYFUNCTION("""COMPUTED_VALUE"""),"PT UPENTEL INTERNASIONAL")</f>
        <v>PT UPENTEL INTERNASIONAL</v>
      </c>
      <c r="O865" s="222" t="str">
        <f>IFERROR(__xludf.DUMMYFUNCTION("""COMPUTED_VALUE"""),"0. DROP")</f>
        <v>0. DROP</v>
      </c>
      <c r="P865" s="222" t="str">
        <f>IFERROR(__xludf.DUMMYFUNCTION("""COMPUTED_VALUE"""),"0.1 Double Order")</f>
        <v>0.1 Double Order</v>
      </c>
      <c r="Q865" s="222" t="str">
        <f>IFERROR(__xludf.DUMMYFUNCTION("""COMPUTED_VALUE"""),"GL 03/02/2025")</f>
        <v>GL 03/02/2025</v>
      </c>
      <c r="R865" s="228"/>
      <c r="S865" s="11"/>
      <c r="T865" s="11"/>
      <c r="U865" s="11"/>
      <c r="V865" s="229"/>
      <c r="W865" s="229"/>
      <c r="X865" s="229" t="str">
        <f>IFERROR(__xludf.DUMMYFUNCTION("""COMPUTED_VALUE"""),"BELUM GOLIVE")</f>
        <v>BELUM GOLIVE</v>
      </c>
      <c r="Y865" s="229"/>
      <c r="Z865" s="229" t="str">
        <f>IFERROR(__xludf.DUMMYFUNCTION("""COMPUTED_VALUE"""),"#N/A")</f>
        <v>#N/A</v>
      </c>
      <c r="AA865" s="229"/>
      <c r="AB865" s="229"/>
      <c r="AC865" s="229"/>
      <c r="AD865" s="232"/>
      <c r="AE865" s="233"/>
      <c r="AF865" s="54" t="str">
        <f>IFERROR(__xludf.DUMMYFUNCTION("""COMPUTED_VALUE"""),"Draft BA DROP")</f>
        <v>Draft BA DROP</v>
      </c>
      <c r="AG865" s="54"/>
      <c r="AH865" s="54"/>
      <c r="AI865" s="55" t="str">
        <f t="shared" si="90"/>
        <v/>
      </c>
      <c r="AW865" s="234"/>
      <c r="BP865" s="11"/>
      <c r="BQ865" s="11"/>
      <c r="BR865" s="235"/>
      <c r="BV865" s="158"/>
      <c r="BY865" s="158"/>
      <c r="CB865" s="158"/>
    </row>
    <row r="866" ht="18.0" customHeight="1">
      <c r="A866" s="222">
        <f>IFERROR(__xludf.DUMMYFUNCTION("""COMPUTED_VALUE"""),2026.0)</f>
        <v>2026</v>
      </c>
      <c r="B866" s="221">
        <f>IFERROR(__xludf.DUMMYFUNCTION("""COMPUTED_VALUE"""),1.1516727E7)</f>
        <v>11516727</v>
      </c>
      <c r="C866" s="222" t="str">
        <f>IFERROR(__xludf.DUMMYFUNCTION("""COMPUTED_VALUE"""),"RKP PT3 TSEL BDS-FZ DINAS KEJAKSAAN")</f>
        <v>RKP PT3 TSEL BDS-FZ DINAS KEJAKSAAN</v>
      </c>
      <c r="D866" s="222" t="str">
        <f>IFERROR(__xludf.DUMMYFUNCTION("""COMPUTED_VALUE"""),"REGIONAL I")</f>
        <v>REGIONAL I</v>
      </c>
      <c r="E866" s="222" t="str">
        <f>IFERROR(__xludf.DUMMYFUNCTION("""COMPUTED_VALUE"""),"RIKEP")</f>
        <v>RIKEP</v>
      </c>
      <c r="F866" s="222" t="str">
        <f>IFERROR(__xludf.DUMMYFUNCTION("""COMPUTED_VALUE"""),"DGS")</f>
        <v>DGS</v>
      </c>
      <c r="G866" s="222" t="str">
        <f>IFERROR(__xludf.DUMMYFUNCTION("""COMPUTED_VALUE"""),"SUMBAGTENG")</f>
        <v>SUMBAGTENG</v>
      </c>
      <c r="H866" s="222" t="str">
        <f>IFERROR(__xludf.DUMMYFUNCTION("""COMPUTED_VALUE"""),"BATAM")</f>
        <v>BATAM</v>
      </c>
      <c r="I866" s="222" t="str">
        <f>IFERROR(__xludf.DUMMYFUNCTION("""COMPUTED_VALUE"""),"Batch 2")</f>
        <v>Batch 2</v>
      </c>
      <c r="J866" s="225">
        <f>IFERROR(__xludf.DUMMYFUNCTION("""COMPUTED_VALUE"""),4.0)</f>
        <v>4</v>
      </c>
      <c r="K866" s="224">
        <f>IFERROR(__xludf.DUMMYFUNCTION("""COMPUTED_VALUE"""),32.0)</f>
        <v>32</v>
      </c>
      <c r="L866" s="226">
        <f>IFERROR(__xludf.DUMMYFUNCTION("""COMPUTED_VALUE"""),1039160.0)</f>
        <v>1039160</v>
      </c>
      <c r="M866" s="227">
        <f>IFERROR(__xludf.DUMMYFUNCTION("""COMPUTED_VALUE"""),3.3253116E7)</f>
        <v>33253116</v>
      </c>
      <c r="N866" s="222" t="str">
        <f>IFERROR(__xludf.DUMMYFUNCTION("""COMPUTED_VALUE"""),"PT MITRA SETIA INDONESIA")</f>
        <v>PT MITRA SETIA INDONESIA</v>
      </c>
      <c r="O866" s="222" t="str">
        <f>IFERROR(__xludf.DUMMYFUNCTION("""COMPUTED_VALUE"""),"2. DONE AANWIJZING")</f>
        <v>2. DONE AANWIJZING</v>
      </c>
      <c r="P866" s="222" t="str">
        <f>IFERROR(__xludf.DUMMYFUNCTION("""COMPUTED_VALUE"""),"2.9 Kendala - Distribusi Penuh / Rusak")</f>
        <v>2.9 Kendala - Distribusi Penuh / Rusak</v>
      </c>
      <c r="Q866" s="222" t="str">
        <f>IFERROR(__xludf.DUMMYFUNCTION("""COMPUTED_VALUE"""),"09/02 core dist habis. 28/01 Plan survey 29 Jan. 21/01 plan survey minggu depan tgl 26")</f>
        <v>09/02 core dist habis. 28/01 Plan survey 29 Jan. 21/01 plan survey minggu depan tgl 26</v>
      </c>
      <c r="R866" s="228"/>
      <c r="S866" s="11"/>
      <c r="T866" s="11"/>
      <c r="U866" s="11"/>
      <c r="V866" s="229" t="str">
        <f>IFERROR(__xludf.DUMMYFUNCTION("""COMPUTED_VALUE"""),"GANI PRASTYO")</f>
        <v>GANI PRASTYO</v>
      </c>
      <c r="W866" s="229" t="str">
        <f>IFERROR(__xludf.DUMMYFUNCTION("""COMPUTED_VALUE"""),"LEVITA INDRIYANI")</f>
        <v>LEVITA INDRIYANI</v>
      </c>
      <c r="X866" s="229" t="str">
        <f>IFERROR(__xludf.DUMMYFUNCTION("""COMPUTED_VALUE"""),"BELUM GOLIVE")</f>
        <v>BELUM GOLIVE</v>
      </c>
      <c r="Y866" s="229"/>
      <c r="Z866" s="229" t="str">
        <f>IFERROR(__xludf.DUMMYFUNCTION("""COMPUTED_VALUE"""),"#N/A")</f>
        <v>#N/A</v>
      </c>
      <c r="AA866" s="229"/>
      <c r="AB866" s="229"/>
      <c r="AC866" s="229"/>
      <c r="AD866" s="232"/>
      <c r="AE866" s="233"/>
      <c r="AF866" s="54" t="str">
        <f>IFERROR(__xludf.DUMMYFUNCTION("""COMPUTED_VALUE"""),"Draft BA DROP")</f>
        <v>Draft BA DROP</v>
      </c>
      <c r="AG866" s="54"/>
      <c r="AH866" s="54"/>
      <c r="AI866" s="55" t="str">
        <f t="shared" si="90"/>
        <v/>
      </c>
      <c r="AW866" s="234"/>
      <c r="BP866" s="11"/>
      <c r="BQ866" s="11"/>
      <c r="BR866" s="235"/>
      <c r="BV866" s="158"/>
      <c r="BY866" s="158"/>
      <c r="CB866" s="158"/>
    </row>
    <row r="867" ht="18.0" hidden="1" customHeight="1">
      <c r="A867" s="222">
        <f>IFERROR(__xludf.DUMMYFUNCTION("""COMPUTED_VALUE"""),2026.0)</f>
        <v>2026</v>
      </c>
      <c r="B867" s="221">
        <f>IFERROR(__xludf.DUMMYFUNCTION("""COMPUTED_VALUE"""),1.1346738E7)</f>
        <v>11346738</v>
      </c>
      <c r="C867" s="222" t="str">
        <f>IFERROR(__xludf.DUMMYFUNCTION("""COMPUTED_VALUE"""),"ACH PT3 SUS-FA EXP.D08 KUTA CEPU")</f>
        <v>ACH PT3 SUS-FA EXP.D08 KUTA CEPU</v>
      </c>
      <c r="D867" s="222" t="str">
        <f>IFERROR(__xludf.DUMMYFUNCTION("""COMPUTED_VALUE"""),"REGIONAL I")</f>
        <v>REGIONAL I</v>
      </c>
      <c r="E867" s="222" t="str">
        <f>IFERROR(__xludf.DUMMYFUNCTION("""COMPUTED_VALUE"""),"ACEH")</f>
        <v>ACEH</v>
      </c>
      <c r="F867" s="222" t="str">
        <f>IFERROR(__xludf.DUMMYFUNCTION("""COMPUTED_VALUE"""),"SUS")</f>
        <v>SUS</v>
      </c>
      <c r="G867" s="222" t="str">
        <f>IFERROR(__xludf.DUMMYFUNCTION("""COMPUTED_VALUE"""),"SUMBAGUT")</f>
        <v>SUMBAGUT</v>
      </c>
      <c r="H867" s="222" t="str">
        <f>IFERROR(__xludf.DUMMYFUNCTION("""COMPUTED_VALUE"""),"BANDA ACEH")</f>
        <v>BANDA ACEH</v>
      </c>
      <c r="I867" s="222" t="str">
        <f>IFERROR(__xludf.DUMMYFUNCTION("""COMPUTED_VALUE"""),"Batch 2")</f>
        <v>Batch 2</v>
      </c>
      <c r="J867" s="225">
        <f>IFERROR(__xludf.DUMMYFUNCTION("""COMPUTED_VALUE"""),2.0)</f>
        <v>2</v>
      </c>
      <c r="K867" s="224">
        <f>IFERROR(__xludf.DUMMYFUNCTION("""COMPUTED_VALUE"""),16.0)</f>
        <v>16</v>
      </c>
      <c r="L867" s="226">
        <f>IFERROR(__xludf.DUMMYFUNCTION("""COMPUTED_VALUE"""),1038759.0)</f>
        <v>1038759</v>
      </c>
      <c r="M867" s="227">
        <f>IFERROR(__xludf.DUMMYFUNCTION("""COMPUTED_VALUE"""),1.6620143E7)</f>
        <v>16620143</v>
      </c>
      <c r="N867" s="222" t="str">
        <f>IFERROR(__xludf.DUMMYFUNCTION("""COMPUTED_VALUE"""),"PT ARA PAYA INTAN")</f>
        <v>PT ARA PAYA INTAN</v>
      </c>
      <c r="O867" s="222" t="str">
        <f>IFERROR(__xludf.DUMMYFUNCTION("""COMPUTED_VALUE"""),"7. GOLIVE")</f>
        <v>7. GOLIVE</v>
      </c>
      <c r="P867" s="222" t="str">
        <f>IFERROR(__xludf.DUMMYFUNCTION("""COMPUTED_VALUE"""),"7.2 Golive Full / OA / DONE OTB")</f>
        <v>7.2 Golive Full / OA / DONE OTB</v>
      </c>
      <c r="Q867" s="222" t="str">
        <f>IFERROR(__xludf.DUMMYFUNCTION("""COMPUTED_VALUE"""),"(07/01) Persiapan")</f>
        <v>(07/01) Persiapan</v>
      </c>
      <c r="R867" s="228">
        <f>IFERROR(__xludf.DUMMYFUNCTION("""COMPUTED_VALUE"""),46039.0)</f>
        <v>46039</v>
      </c>
      <c r="S867" s="11"/>
      <c r="T867" s="11"/>
      <c r="U867" s="11" t="str">
        <f>IFERROR(__xludf.DUMMYFUNCTION("""COMPUTED_VALUE"""),"W04-1018/2025")</f>
        <v>W04-1018/2025</v>
      </c>
      <c r="V867" s="229"/>
      <c r="W867" s="229"/>
      <c r="X867" s="229" t="str">
        <f>IFERROR(__xludf.DUMMYFUNCTION("""COMPUTED_VALUE"""),"GOLIVE")</f>
        <v>GOLIVE</v>
      </c>
      <c r="Y867" s="229" t="str">
        <f>IFERROR(__xludf.DUMMYFUNCTION("""COMPUTED_VALUE"""),"DONE")</f>
        <v>DONE</v>
      </c>
      <c r="Z867" s="229" t="str">
        <f>IFERROR(__xludf.DUMMYFUNCTION("""COMPUTED_VALUE"""),"#N/A")</f>
        <v>#N/A</v>
      </c>
      <c r="AA867" s="229">
        <f>IFERROR(__xludf.DUMMYFUNCTION("""COMPUTED_VALUE"""),2.0)</f>
        <v>2</v>
      </c>
      <c r="AB867" s="229"/>
      <c r="AC867" s="229" t="str">
        <f>IFERROR(__xludf.DUMMYFUNCTION("""COMPUTED_VALUE"""),"8976196#8976201")</f>
        <v>8976196#8976201</v>
      </c>
      <c r="AD867" s="232">
        <f>IFERROR(__xludf.DUMMYFUNCTION("""COMPUTED_VALUE"""),16.0)</f>
        <v>16</v>
      </c>
      <c r="AE867" s="233">
        <f>IFERROR(__xludf.DUMMYFUNCTION("""COMPUTED_VALUE"""),46039.0)</f>
        <v>46039</v>
      </c>
      <c r="AF867" s="54"/>
      <c r="AG867" s="54"/>
      <c r="AH867" s="54">
        <v>46039.0</v>
      </c>
      <c r="AI867" s="55">
        <f t="shared" si="90"/>
        <v>0</v>
      </c>
      <c r="AW867" s="234"/>
      <c r="BP867" s="11"/>
      <c r="BQ867" s="11"/>
      <c r="BR867" s="235"/>
      <c r="BV867" s="158"/>
      <c r="BY867" s="158"/>
      <c r="CB867" s="158"/>
    </row>
    <row r="868" ht="18.0" hidden="1" customHeight="1">
      <c r="A868" s="222">
        <f>IFERROR(__xludf.DUMMYFUNCTION("""COMPUTED_VALUE"""),2026.0)</f>
        <v>2026</v>
      </c>
      <c r="B868" s="221">
        <f>IFERROR(__xludf.DUMMYFUNCTION("""COMPUTED_VALUE"""),1.1511407E7)</f>
        <v>11511407</v>
      </c>
      <c r="C868" s="222" t="str">
        <f>IFERROR(__xludf.DUMMYFUNCTION("""COMPUTED_VALUE"""),"ACH PT3 LTM-FB D07 JEUMPET AJUN")</f>
        <v>ACH PT3 LTM-FB D07 JEUMPET AJUN</v>
      </c>
      <c r="D868" s="222" t="str">
        <f>IFERROR(__xludf.DUMMYFUNCTION("""COMPUTED_VALUE"""),"REGIONAL I")</f>
        <v>REGIONAL I</v>
      </c>
      <c r="E868" s="222" t="str">
        <f>IFERROR(__xludf.DUMMYFUNCTION("""COMPUTED_VALUE"""),"ACEH")</f>
        <v>ACEH</v>
      </c>
      <c r="F868" s="222" t="str">
        <f>IFERROR(__xludf.DUMMYFUNCTION("""COMPUTED_VALUE"""),"LTM")</f>
        <v>LTM</v>
      </c>
      <c r="G868" s="222" t="str">
        <f>IFERROR(__xludf.DUMMYFUNCTION("""COMPUTED_VALUE"""),"SUMBAGUT")</f>
        <v>SUMBAGUT</v>
      </c>
      <c r="H868" s="222" t="str">
        <f>IFERROR(__xludf.DUMMYFUNCTION("""COMPUTED_VALUE"""),"BANDA ACEH")</f>
        <v>BANDA ACEH</v>
      </c>
      <c r="I868" s="222" t="str">
        <f>IFERROR(__xludf.DUMMYFUNCTION("""COMPUTED_VALUE"""),"Batch 2")</f>
        <v>Batch 2</v>
      </c>
      <c r="J868" s="225">
        <f>IFERROR(__xludf.DUMMYFUNCTION("""COMPUTED_VALUE"""),7.0)</f>
        <v>7</v>
      </c>
      <c r="K868" s="224">
        <f>IFERROR(__xludf.DUMMYFUNCTION("""COMPUTED_VALUE"""),56.0)</f>
        <v>56</v>
      </c>
      <c r="L868" s="226">
        <f>IFERROR(__xludf.DUMMYFUNCTION("""COMPUTED_VALUE"""),1038206.0)</f>
        <v>1038206</v>
      </c>
      <c r="M868" s="227">
        <f>IFERROR(__xludf.DUMMYFUNCTION("""COMPUTED_VALUE"""),5.8139533E7)</f>
        <v>58139533</v>
      </c>
      <c r="N868" s="222" t="str">
        <f>IFERROR(__xludf.DUMMYFUNCTION("""COMPUTED_VALUE"""),"PT NURISA JAYA PERKASA")</f>
        <v>PT NURISA JAYA PERKASA</v>
      </c>
      <c r="O868" s="222" t="str">
        <f>IFERROR(__xludf.DUMMYFUNCTION("""COMPUTED_VALUE"""),"7. GOLIVE")</f>
        <v>7. GOLIVE</v>
      </c>
      <c r="P868" s="222" t="str">
        <f>IFERROR(__xludf.DUMMYFUNCTION("""COMPUTED_VALUE"""),"7.2 Golive Full / OA / DONE OTB")</f>
        <v>7.2 Golive Full / OA / DONE OTB</v>
      </c>
      <c r="Q868" s="222" t="str">
        <f>IFERROR(__xludf.DUMMYFUNCTION("""COMPUTED_VALUE"""),"(02/03 Proses Valins (27/02) Persiapan Valins (24/02) Terminasi (20/2) Penarikan Kabel (14/02) Tanam Tiang (07/02) Proses PO Material (30/01) done survey (07/01) Persiapan")</f>
        <v>(02/03 Proses Valins (27/02) Persiapan Valins (24/02) Terminasi (20/2) Penarikan Kabel (14/02) Tanam Tiang (07/02) Proses PO Material (30/01) done survey (07/01) Persiapan</v>
      </c>
      <c r="R868" s="228">
        <f>IFERROR(__xludf.DUMMYFUNCTION("""COMPUTED_VALUE"""),46085.0)</f>
        <v>46085</v>
      </c>
      <c r="S868" s="11" t="str">
        <f>IFERROR(__xludf.DUMMYFUNCTION("""COMPUTED_VALUE"""),"MAR")</f>
        <v>MAR</v>
      </c>
      <c r="T868" s="11"/>
      <c r="U868" s="11" t="str">
        <f>IFERROR(__xludf.DUMMYFUNCTION("""COMPUTED_VALUE"""),"W04-1035/2025")</f>
        <v>W04-1035/2025</v>
      </c>
      <c r="V868" s="229"/>
      <c r="W868" s="229"/>
      <c r="X868" s="229" t="str">
        <f>IFERROR(__xludf.DUMMYFUNCTION("""COMPUTED_VALUE"""),"GOLIVE")</f>
        <v>GOLIVE</v>
      </c>
      <c r="Y868" s="229" t="str">
        <f>IFERROR(__xludf.DUMMYFUNCTION("""COMPUTED_VALUE"""),"DONE")</f>
        <v>DONE</v>
      </c>
      <c r="Z868" s="229" t="str">
        <f>IFERROR(__xludf.DUMMYFUNCTION("""COMPUTED_VALUE"""),"#N/A")</f>
        <v>#N/A</v>
      </c>
      <c r="AA868" s="229">
        <f>IFERROR(__xludf.DUMMYFUNCTION("""COMPUTED_VALUE"""),7.0)</f>
        <v>7</v>
      </c>
      <c r="AB868" s="229"/>
      <c r="AC868" s="229" t="str">
        <f>IFERROR(__xludf.DUMMYFUNCTION("""COMPUTED_VALUE"""),"9142621#9142626")</f>
        <v>9142621#9142626</v>
      </c>
      <c r="AD868" s="232">
        <f>IFERROR(__xludf.DUMMYFUNCTION("""COMPUTED_VALUE"""),56.0)</f>
        <v>56</v>
      </c>
      <c r="AE868" s="233">
        <f>IFERROR(__xludf.DUMMYFUNCTION("""COMPUTED_VALUE"""),46085.0)</f>
        <v>46085</v>
      </c>
      <c r="AF868" s="54"/>
      <c r="AG868" s="54"/>
      <c r="AH868" s="54">
        <v>46085.0</v>
      </c>
      <c r="AI868" s="55">
        <f t="shared" si="90"/>
        <v>0</v>
      </c>
      <c r="AW868" s="234"/>
      <c r="BP868" s="11"/>
      <c r="BQ868" s="11"/>
      <c r="BR868" s="235"/>
      <c r="BV868" s="158"/>
      <c r="BY868" s="158"/>
      <c r="CB868" s="158"/>
    </row>
    <row r="869" ht="18.0" customHeight="1">
      <c r="A869" s="222">
        <f>IFERROR(__xludf.DUMMYFUNCTION("""COMPUTED_VALUE"""),2026.0)</f>
        <v>2026</v>
      </c>
      <c r="B869" s="221">
        <f>IFERROR(__xludf.DUMMYFUNCTION("""COMPUTED_VALUE"""),1.1516192E7)</f>
        <v>11516192</v>
      </c>
      <c r="C869" s="222" t="str">
        <f>IFERROR(__xludf.DUMMYFUNCTION("""COMPUTED_VALUE"""),"RDR ARK PT3 P2I1 JALAN UTAMA BERINGIN")</f>
        <v>RDR ARK PT3 P2I1 JALAN UTAMA BERINGIN</v>
      </c>
      <c r="D869" s="222" t="str">
        <f>IFERROR(__xludf.DUMMYFUNCTION("""COMPUTED_VALUE"""),"REGIONAL I")</f>
        <v>REGIONAL I</v>
      </c>
      <c r="E869" s="222" t="str">
        <f>IFERROR(__xludf.DUMMYFUNCTION("""COMPUTED_VALUE"""),"RIDAR")</f>
        <v>RIDAR</v>
      </c>
      <c r="F869" s="222" t="str">
        <f>IFERROR(__xludf.DUMMYFUNCTION("""COMPUTED_VALUE"""),"ARK")</f>
        <v>ARK</v>
      </c>
      <c r="G869" s="222" t="str">
        <f>IFERROR(__xludf.DUMMYFUNCTION("""COMPUTED_VALUE"""),"SUMBAGTENG")</f>
        <v>SUMBAGTENG</v>
      </c>
      <c r="H869" s="222" t="str">
        <f>IFERROR(__xludf.DUMMYFUNCTION("""COMPUTED_VALUE"""),"PEKANBARU")</f>
        <v>PEKANBARU</v>
      </c>
      <c r="I869" s="222" t="str">
        <f>IFERROR(__xludf.DUMMYFUNCTION("""COMPUTED_VALUE"""),"Batch 2")</f>
        <v>Batch 2</v>
      </c>
      <c r="J869" s="225">
        <f>IFERROR(__xludf.DUMMYFUNCTION("""COMPUTED_VALUE"""),5.0)</f>
        <v>5</v>
      </c>
      <c r="K869" s="224">
        <f>IFERROR(__xludf.DUMMYFUNCTION("""COMPUTED_VALUE"""),40.0)</f>
        <v>40</v>
      </c>
      <c r="L869" s="226">
        <f>IFERROR(__xludf.DUMMYFUNCTION("""COMPUTED_VALUE"""),1038206.0)</f>
        <v>1038206</v>
      </c>
      <c r="M869" s="227">
        <f>IFERROR(__xludf.DUMMYFUNCTION("""COMPUTED_VALUE"""),4.152822E7)</f>
        <v>41528220</v>
      </c>
      <c r="N869" s="222" t="str">
        <f>IFERROR(__xludf.DUMMYFUNCTION("""COMPUTED_VALUE"""),"PT LIBER PERSADA MANDIRI")</f>
        <v>PT LIBER PERSADA MANDIRI</v>
      </c>
      <c r="O869" s="222" t="str">
        <f>IFERROR(__xludf.DUMMYFUNCTION("""COMPUTED_VALUE"""),"0. DROP")</f>
        <v>0. DROP</v>
      </c>
      <c r="P869" s="222" t="str">
        <f>IFERROR(__xludf.DUMMYFUNCTION("""COMPUTED_VALUE"""),"0.3 Feeder Full")</f>
        <v>0.3 Feeder Full</v>
      </c>
      <c r="Q869" s="222" t="str">
        <f>IFERROR(__xludf.DUMMYFUNCTION("""COMPUTED_VALUE"""),"13/04 Kendala Feeder rusak, ogp pengecekan ulang untuk hasil ukur 08/04 Kendala Feeder rusak, ogp pengecekan ulang untuk hasil ukur 03/03 Kendala feeder rusak 29/01 Antraian Review hasil anwidzing 21/01 Terget selesai survey 24 Jan (07/01) Persiapan")</f>
        <v>13/04 Kendala Feeder rusak, ogp pengecekan ulang untuk hasil ukur 08/04 Kendala Feeder rusak, ogp pengecekan ulang untuk hasil ukur 03/03 Kendala feeder rusak 29/01 Antraian Review hasil anwidzing 21/01 Terget selesai survey 24 Jan (07/01) Persiapan</v>
      </c>
      <c r="R869" s="228"/>
      <c r="S869" s="11"/>
      <c r="T869" s="11"/>
      <c r="U869" s="11"/>
      <c r="V869" s="229" t="str">
        <f>IFERROR(__xludf.DUMMYFUNCTION("""COMPUTED_VALUE"""),"ONDI EKA SAPUTRA")</f>
        <v>ONDI EKA SAPUTRA</v>
      </c>
      <c r="W869" s="229" t="str">
        <f>IFERROR(__xludf.DUMMYFUNCTION("""COMPUTED_VALUE"""),"DESLITA RAHMADANI")</f>
        <v>DESLITA RAHMADANI</v>
      </c>
      <c r="X869" s="229" t="str">
        <f>IFERROR(__xludf.DUMMYFUNCTION("""COMPUTED_VALUE"""),"BELUM GOLIVE")</f>
        <v>BELUM GOLIVE</v>
      </c>
      <c r="Y869" s="229"/>
      <c r="Z869" s="229" t="str">
        <f>IFERROR(__xludf.DUMMYFUNCTION("""COMPUTED_VALUE"""),"#N/A")</f>
        <v>#N/A</v>
      </c>
      <c r="AA869" s="229"/>
      <c r="AB869" s="229"/>
      <c r="AC869" s="229"/>
      <c r="AD869" s="232"/>
      <c r="AE869" s="233"/>
      <c r="AF869" s="54"/>
      <c r="AG869" s="54"/>
      <c r="AH869" s="54"/>
      <c r="AI869" s="55" t="str">
        <f t="shared" si="90"/>
        <v/>
      </c>
      <c r="AW869" s="234"/>
      <c r="BP869" s="11"/>
      <c r="BQ869" s="11"/>
      <c r="BR869" s="235"/>
      <c r="BV869" s="158"/>
      <c r="BY869" s="158"/>
      <c r="CB869" s="158"/>
    </row>
    <row r="870" ht="18.0" customHeight="1">
      <c r="A870" s="222">
        <f>IFERROR(__xludf.DUMMYFUNCTION("""COMPUTED_VALUE"""),2026.0)</f>
        <v>2026</v>
      </c>
      <c r="B870" s="221">
        <f>IFERROR(__xludf.DUMMYFUNCTION("""COMPUTED_VALUE"""),1.1271866E7)</f>
        <v>11271866</v>
      </c>
      <c r="C870" s="222" t="str">
        <f>IFERROR(__xludf.DUMMYFUNCTION("""COMPUTED_VALUE"""),"RDR JPP PT3 JL ANGGREK RAYA")</f>
        <v>RDR JPP PT3 JL ANGGREK RAYA</v>
      </c>
      <c r="D870" s="222" t="str">
        <f>IFERROR(__xludf.DUMMYFUNCTION("""COMPUTED_VALUE"""),"REGIONAL I")</f>
        <v>REGIONAL I</v>
      </c>
      <c r="E870" s="222" t="str">
        <f>IFERROR(__xludf.DUMMYFUNCTION("""COMPUTED_VALUE"""),"RIDAR")</f>
        <v>RIDAR</v>
      </c>
      <c r="F870" s="222" t="str">
        <f>IFERROR(__xludf.DUMMYFUNCTION("""COMPUTED_VALUE"""),"ARK")</f>
        <v>ARK</v>
      </c>
      <c r="G870" s="222" t="str">
        <f>IFERROR(__xludf.DUMMYFUNCTION("""COMPUTED_VALUE"""),"SUMBAGTENG")</f>
        <v>SUMBAGTENG</v>
      </c>
      <c r="H870" s="222" t="str">
        <f>IFERROR(__xludf.DUMMYFUNCTION("""COMPUTED_VALUE"""),"PEKANBARU")</f>
        <v>PEKANBARU</v>
      </c>
      <c r="I870" s="222" t="str">
        <f>IFERROR(__xludf.DUMMYFUNCTION("""COMPUTED_VALUE"""),"Batch 2")</f>
        <v>Batch 2</v>
      </c>
      <c r="J870" s="225">
        <f>IFERROR(__xludf.DUMMYFUNCTION("""COMPUTED_VALUE"""),14.0)</f>
        <v>14</v>
      </c>
      <c r="K870" s="224">
        <f>IFERROR(__xludf.DUMMYFUNCTION("""COMPUTED_VALUE"""),112.0)</f>
        <v>112</v>
      </c>
      <c r="L870" s="226">
        <f>IFERROR(__xludf.DUMMYFUNCTION("""COMPUTED_VALUE"""),1038116.0)</f>
        <v>1038116</v>
      </c>
      <c r="M870" s="227">
        <f>IFERROR(__xludf.DUMMYFUNCTION("""COMPUTED_VALUE"""),1.16268901E8)</f>
        <v>116268901</v>
      </c>
      <c r="N870" s="222"/>
      <c r="O870" s="222" t="str">
        <f>IFERROR(__xludf.DUMMYFUNCTION("""COMPUTED_VALUE"""),"0. DROP")</f>
        <v>0. DROP</v>
      </c>
      <c r="P870" s="222" t="str">
        <f>IFERROR(__xludf.DUMMYFUNCTION("""COMPUTED_VALUE"""),"0.2 Tidak Dapat Izin Warga/Kades/Lurah/Developer")</f>
        <v>0.2 Tidak Dapat Izin Warga/Kades/Lurah/Developer</v>
      </c>
      <c r="Q870" s="222" t="str">
        <f>IFERROR(__xludf.DUMMYFUNCTION("""COMPUTED_VALUE"""),"20/01 Tidak dapat izin oleh RT/RW dan Warga (07/01) Persiapan")</f>
        <v>20/01 Tidak dapat izin oleh RT/RW dan Warga (07/01) Persiapan</v>
      </c>
      <c r="R870" s="228"/>
      <c r="S870" s="11"/>
      <c r="T870" s="11"/>
      <c r="U870" s="11"/>
      <c r="V870" s="229"/>
      <c r="W870" s="229"/>
      <c r="X870" s="229" t="str">
        <f>IFERROR(__xludf.DUMMYFUNCTION("""COMPUTED_VALUE"""),"BELUM GOLIVE")</f>
        <v>BELUM GOLIVE</v>
      </c>
      <c r="Y870" s="229"/>
      <c r="Z870" s="229" t="str">
        <f>IFERROR(__xludf.DUMMYFUNCTION("""COMPUTED_VALUE"""),"#N/A")</f>
        <v>#N/A</v>
      </c>
      <c r="AA870" s="229"/>
      <c r="AB870" s="229"/>
      <c r="AC870" s="229"/>
      <c r="AD870" s="232"/>
      <c r="AE870" s="233"/>
      <c r="AF870" s="54" t="str">
        <f>IFERROR(__xludf.DUMMYFUNCTION("""COMPUTED_VALUE"""),"Draft BA DROP")</f>
        <v>Draft BA DROP</v>
      </c>
      <c r="AG870" s="54"/>
      <c r="AH870" s="54"/>
      <c r="AI870" s="55" t="str">
        <f t="shared" si="90"/>
        <v/>
      </c>
      <c r="AW870" s="234"/>
      <c r="BP870" s="11"/>
      <c r="BQ870" s="11"/>
      <c r="BR870" s="235"/>
      <c r="BV870" s="158"/>
      <c r="BY870" s="158"/>
      <c r="CB870" s="158"/>
    </row>
    <row r="871" ht="18.0" hidden="1" customHeight="1">
      <c r="A871" s="222">
        <f>IFERROR(__xludf.DUMMYFUNCTION("""COMPUTED_VALUE"""),2026.0)</f>
        <v>2026</v>
      </c>
      <c r="B871" s="221">
        <f>IFERROR(__xludf.DUMMYFUNCTION("""COMPUTED_VALUE"""),1.2385927E7)</f>
        <v>12385927</v>
      </c>
      <c r="C871" s="222" t="str">
        <f>IFERROR(__xludf.DUMMYFUNCTION("""COMPUTED_VALUE"""),"ACH PT3 LNO-FC JAMBO MASI")</f>
        <v>ACH PT3 LNO-FC JAMBO MASI</v>
      </c>
      <c r="D871" s="222" t="str">
        <f>IFERROR(__xludf.DUMMYFUNCTION("""COMPUTED_VALUE"""),"REGIONAL I")</f>
        <v>REGIONAL I</v>
      </c>
      <c r="E871" s="222" t="str">
        <f>IFERROR(__xludf.DUMMYFUNCTION("""COMPUTED_VALUE"""),"ACEH")</f>
        <v>ACEH</v>
      </c>
      <c r="F871" s="222" t="str">
        <f>IFERROR(__xludf.DUMMYFUNCTION("""COMPUTED_VALUE"""),"LNO")</f>
        <v>LNO</v>
      </c>
      <c r="G871" s="222" t="str">
        <f>IFERROR(__xludf.DUMMYFUNCTION("""COMPUTED_VALUE"""),"SUMBAGUT")</f>
        <v>SUMBAGUT</v>
      </c>
      <c r="H871" s="222" t="str">
        <f>IFERROR(__xludf.DUMMYFUNCTION("""COMPUTED_VALUE"""),"BANDA ACEH")</f>
        <v>BANDA ACEH</v>
      </c>
      <c r="I871" s="222" t="str">
        <f>IFERROR(__xludf.DUMMYFUNCTION("""COMPUTED_VALUE"""),"Batch 2")</f>
        <v>Batch 2</v>
      </c>
      <c r="J871" s="225">
        <f>IFERROR(__xludf.DUMMYFUNCTION("""COMPUTED_VALUE"""),3.0)</f>
        <v>3</v>
      </c>
      <c r="K871" s="224">
        <f>IFERROR(__xludf.DUMMYFUNCTION("""COMPUTED_VALUE"""),24.0)</f>
        <v>24</v>
      </c>
      <c r="L871" s="226">
        <f>IFERROR(__xludf.DUMMYFUNCTION("""COMPUTED_VALUE"""),1037887.0)</f>
        <v>1037887</v>
      </c>
      <c r="M871" s="227">
        <f>IFERROR(__xludf.DUMMYFUNCTION("""COMPUTED_VALUE"""),2.4909276E7)</f>
        <v>24909276</v>
      </c>
      <c r="N871" s="222" t="str">
        <f>IFERROR(__xludf.DUMMYFUNCTION("""COMPUTED_VALUE"""),"PT TRIPOLA PANATA")</f>
        <v>PT TRIPOLA PANATA</v>
      </c>
      <c r="O871" s="222" t="str">
        <f>IFERROR(__xludf.DUMMYFUNCTION("""COMPUTED_VALUE"""),"4. MATDEL")</f>
        <v>4. MATDEL</v>
      </c>
      <c r="P871" s="222" t="str">
        <f>IFERROR(__xludf.DUMMYFUNCTION("""COMPUTED_VALUE"""),"4.2 Sudah Request Material (Alista)")</f>
        <v>4.2 Sudah Request Material (Alista)</v>
      </c>
      <c r="Q871" s="222" t="str">
        <f>IFERROR(__xludf.DUMMYFUNCTION("""COMPUTED_VALUE"""),"(01/04) Delmat dari pabrik ke WH (07/02) Proses Negosiasi dgn Kepala Desa (02/02) Done Aanwijzing (29/01)Pak keuchik belum bisa dijumpai hari ini,Besok coba kita proses permit lewat Wa dengan surat pemberitahuan pekerjaan saja(07/01) Persiapan")</f>
        <v>(01/04) Delmat dari pabrik ke WH (07/02) Proses Negosiasi dgn Kepala Desa (02/02) Done Aanwijzing (29/01)Pak keuchik belum bisa dijumpai hari ini,Besok coba kita proses permit lewat Wa dengan surat pemberitahuan pekerjaan saja(07/01) Persiapan</v>
      </c>
      <c r="R871" s="228"/>
      <c r="S871" s="11"/>
      <c r="T871" s="73"/>
      <c r="U871" s="11"/>
      <c r="V871" s="229" t="str">
        <f>IFERROR(__xludf.DUMMYFUNCTION("""COMPUTED_VALUE"""),"28/Apr/2026")</f>
        <v>28/Apr/2026</v>
      </c>
      <c r="W871" s="229"/>
      <c r="X871" s="229" t="str">
        <f>IFERROR(__xludf.DUMMYFUNCTION("""COMPUTED_VALUE"""),"BELUM GOLIVE")</f>
        <v>BELUM GOLIVE</v>
      </c>
      <c r="Y871" s="229"/>
      <c r="Z871" s="229" t="str">
        <f>IFERROR(__xludf.DUMMYFUNCTION("""COMPUTED_VALUE"""),"#N/A")</f>
        <v>#N/A</v>
      </c>
      <c r="AA871" s="229"/>
      <c r="AB871" s="229"/>
      <c r="AC871" s="229"/>
      <c r="AD871" s="232"/>
      <c r="AE871" s="233"/>
      <c r="AF871" s="54"/>
      <c r="AG871" s="54"/>
      <c r="AH871" s="54"/>
      <c r="AI871" s="55" t="str">
        <f t="shared" si="90"/>
        <v/>
      </c>
      <c r="AW871" s="234"/>
      <c r="BP871" s="11"/>
      <c r="BQ871" s="11"/>
      <c r="BR871" s="235"/>
      <c r="BV871" s="158"/>
      <c r="BY871" s="158"/>
      <c r="CB871" s="158"/>
    </row>
    <row r="872" ht="18.0" hidden="1" customHeight="1">
      <c r="A872" s="222">
        <f>IFERROR(__xludf.DUMMYFUNCTION("""COMPUTED_VALUE"""),2026.0)</f>
        <v>2026</v>
      </c>
      <c r="B872" s="221">
        <f>IFERROR(__xludf.DUMMYFUNCTION("""COMPUTED_VALUE"""),1.2187615E7)</f>
        <v>12187615</v>
      </c>
      <c r="C872" s="222" t="str">
        <f>IFERROR(__xludf.DUMMYFUNCTION("""COMPUTED_VALUE"""),"MDN PT3 CTD-FAJ FELMAN HAUS SPBT_MD25")</f>
        <v>MDN PT3 CTD-FAJ FELMAN HAUS SPBT_MD25</v>
      </c>
      <c r="D872" s="222" t="str">
        <f>IFERROR(__xludf.DUMMYFUNCTION("""COMPUTED_VALUE"""),"REGIONAL I")</f>
        <v>REGIONAL I</v>
      </c>
      <c r="E872" s="222" t="str">
        <f>IFERROR(__xludf.DUMMYFUNCTION("""COMPUTED_VALUE"""),"MEDAN")</f>
        <v>MEDAN</v>
      </c>
      <c r="F872" s="222" t="str">
        <f>IFERROR(__xludf.DUMMYFUNCTION("""COMPUTED_VALUE"""),"CTD")</f>
        <v>CTD</v>
      </c>
      <c r="G872" s="222" t="str">
        <f>IFERROR(__xludf.DUMMYFUNCTION("""COMPUTED_VALUE"""),"SUMBAGUT")</f>
        <v>SUMBAGUT</v>
      </c>
      <c r="H872" s="222" t="str">
        <f>IFERROR(__xludf.DUMMYFUNCTION("""COMPUTED_VALUE"""),"MEDAN")</f>
        <v>MEDAN</v>
      </c>
      <c r="I872" s="222" t="str">
        <f>IFERROR(__xludf.DUMMYFUNCTION("""COMPUTED_VALUE"""),"Batch 2")</f>
        <v>Batch 2</v>
      </c>
      <c r="J872" s="225">
        <f>IFERROR(__xludf.DUMMYFUNCTION("""COMPUTED_VALUE"""),6.0)</f>
        <v>6</v>
      </c>
      <c r="K872" s="224">
        <f>IFERROR(__xludf.DUMMYFUNCTION("""COMPUTED_VALUE"""),48.0)</f>
        <v>48</v>
      </c>
      <c r="L872" s="226">
        <f>IFERROR(__xludf.DUMMYFUNCTION("""COMPUTED_VALUE"""),1034741.0)</f>
        <v>1034741</v>
      </c>
      <c r="M872" s="227">
        <f>IFERROR(__xludf.DUMMYFUNCTION("""COMPUTED_VALUE"""),4.966753E7)</f>
        <v>49667530</v>
      </c>
      <c r="N872" s="222" t="str">
        <f>IFERROR(__xludf.DUMMYFUNCTION("""COMPUTED_VALUE"""),"PT MILFHA MUTIARA PRIMA")</f>
        <v>PT MILFHA MUTIARA PRIMA</v>
      </c>
      <c r="O872" s="222" t="str">
        <f>IFERROR(__xludf.DUMMYFUNCTION("""COMPUTED_VALUE"""),"0. DROP")</f>
        <v>0. DROP</v>
      </c>
      <c r="P872" s="222" t="str">
        <f>IFERROR(__xludf.DUMMYFUNCTION("""COMPUTED_VALUE"""),"0.2 Tidak Dapat Izin Warga/Kades/Lurah/Developer")</f>
        <v>0.2 Tidak Dapat Izin Warga/Kades/Lurah/Developer</v>
      </c>
      <c r="Q872" s="222" t="str">
        <f>IFERROR(__xludf.DUMMYFUNCTION("""COMPUTED_VALUE"""),"17/05 belum dapat izin dari devloper
01/04 info CHAM(DODY) masih buat MOM
03/03 FU Pengurusan izin by CHAM (Dody) 10/02 Aanwidzing ok, Lanjut perizinan CHAM 28/01 Done Order, lnjut Aanwidzing")</f>
        <v>17/05 belum dapat izin dari devloper
01/04 info CHAM(DODY) masih buat MOM
03/03 FU Pengurusan izin by CHAM (Dody) 10/02 Aanwidzing ok, Lanjut perizinan CHAM 28/01 Done Order, lnjut Aanwidzing</v>
      </c>
      <c r="R872" s="228"/>
      <c r="S872" s="11"/>
      <c r="T872" s="73"/>
      <c r="U872" s="11"/>
      <c r="V872" s="229" t="str">
        <f>IFERROR(__xludf.DUMMYFUNCTION("""COMPUTED_VALUE"""),"27/Apr/2026")</f>
        <v>27/Apr/2026</v>
      </c>
      <c r="W872" s="229"/>
      <c r="X872" s="229" t="str">
        <f>IFERROR(__xludf.DUMMYFUNCTION("""COMPUTED_VALUE"""),"BELUM GOLIVE")</f>
        <v>BELUM GOLIVE</v>
      </c>
      <c r="Y872" s="229"/>
      <c r="Z872" s="229" t="str">
        <f>IFERROR(__xludf.DUMMYFUNCTION("""COMPUTED_VALUE"""),"#N/A")</f>
        <v>#N/A</v>
      </c>
      <c r="AA872" s="229"/>
      <c r="AB872" s="229"/>
      <c r="AC872" s="229"/>
      <c r="AD872" s="232"/>
      <c r="AE872" s="233"/>
      <c r="AF872" s="54"/>
      <c r="AG872" s="54"/>
      <c r="AH872" s="54">
        <v>46142.0</v>
      </c>
      <c r="AI872" s="237">
        <f>AH872-NOW()</f>
        <v>1.622010093</v>
      </c>
      <c r="AJ872" s="229" t="str">
        <f>if(AI872&gt;=0,"In Komitmen","Out Komitmen")</f>
        <v>In Komitmen</v>
      </c>
      <c r="AK872" s="229" t="e">
        <v>#N/A</v>
      </c>
      <c r="AW872" s="234"/>
      <c r="BP872" s="11"/>
      <c r="BQ872" s="11"/>
      <c r="BR872" s="235"/>
      <c r="BV872" s="158"/>
      <c r="BY872" s="158"/>
      <c r="CB872" s="158"/>
    </row>
    <row r="873" ht="18.0" customHeight="1">
      <c r="A873" s="222">
        <f>IFERROR(__xludf.DUMMYFUNCTION("""COMPUTED_VALUE"""),2026.0)</f>
        <v>2026</v>
      </c>
      <c r="B873" s="221">
        <f>IFERROR(__xludf.DUMMYFUNCTION("""COMPUTED_VALUE"""),1.1348149E7)</f>
        <v>11348149</v>
      </c>
      <c r="C873" s="222" t="str">
        <f>IFERROR(__xludf.DUMMYFUNCTION("""COMPUTED_VALUE"""),"RDR PKR PT4 P2I2 PELALAWAN_233")</f>
        <v>RDR PKR PT4 P2I2 PELALAWAN_233</v>
      </c>
      <c r="D873" s="222" t="str">
        <f>IFERROR(__xludf.DUMMYFUNCTION("""COMPUTED_VALUE"""),"REGIONAL I")</f>
        <v>REGIONAL I</v>
      </c>
      <c r="E873" s="222" t="str">
        <f>IFERROR(__xludf.DUMMYFUNCTION("""COMPUTED_VALUE"""),"RIDAR")</f>
        <v>RIDAR</v>
      </c>
      <c r="F873" s="222" t="str">
        <f>IFERROR(__xludf.DUMMYFUNCTION("""COMPUTED_VALUE"""),"PKR")</f>
        <v>PKR</v>
      </c>
      <c r="G873" s="222" t="str">
        <f>IFERROR(__xludf.DUMMYFUNCTION("""COMPUTED_VALUE"""),"SUMBAGTENG")</f>
        <v>SUMBAGTENG</v>
      </c>
      <c r="H873" s="222" t="str">
        <f>IFERROR(__xludf.DUMMYFUNCTION("""COMPUTED_VALUE"""),"PEKANBARU")</f>
        <v>PEKANBARU</v>
      </c>
      <c r="I873" s="222" t="str">
        <f>IFERROR(__xludf.DUMMYFUNCTION("""COMPUTED_VALUE"""),"Batch 2")</f>
        <v>Batch 2</v>
      </c>
      <c r="J873" s="225">
        <f>IFERROR(__xludf.DUMMYFUNCTION("""COMPUTED_VALUE"""),54.0)</f>
        <v>54</v>
      </c>
      <c r="K873" s="224">
        <f>IFERROR(__xludf.DUMMYFUNCTION("""COMPUTED_VALUE"""),424.0)</f>
        <v>424</v>
      </c>
      <c r="L873" s="226">
        <f>IFERROR(__xludf.DUMMYFUNCTION("""COMPUTED_VALUE"""),1225338.0)</f>
        <v>1225338</v>
      </c>
      <c r="M873" s="227">
        <f>IFERROR(__xludf.DUMMYFUNCTION("""COMPUTED_VALUE"""),5.19543101E8)</f>
        <v>519543101</v>
      </c>
      <c r="N873" s="222" t="str">
        <f>IFERROR(__xludf.DUMMYFUNCTION("""COMPUTED_VALUE"""),"PT TSUIKA BERKAH RAYA")</f>
        <v>PT TSUIKA BERKAH RAYA</v>
      </c>
      <c r="O873" s="222" t="str">
        <f>IFERROR(__xludf.DUMMYFUNCTION("""COMPUTED_VALUE"""),"4. MATDEL")</f>
        <v>4. MATDEL</v>
      </c>
      <c r="P873" s="222" t="str">
        <f>IFERROR(__xludf.DUMMYFUNCTION("""COMPUTED_VALUE"""),"4.3 Proses Kirim Mateial Kelokasi")</f>
        <v>4.3 Proses Kirim Mateial Kelokasi</v>
      </c>
      <c r="Q873" s="222" t="str">
        <f>IFERROR(__xludf.DUMMYFUNCTION("""COMPUTED_VALUE"""),"22/04 Pengambilan material 23 april 20/04 Pengiriman material ke Lokasi 13/04 Menunggu jadwal review 27/03 Antrian review 16/03 Antrian review dengan TIF 05/03 Antrian review dengan TIF 24/02 Belum di review karena eviden blm lengkap, menunggu eviden leng"&amp;"kap untuk keperluan review 09/02 Pengambilan ulang video survey 29/01 Core uplink tidak ready 20/01 Core uplink tidak ready (12/01) sudah aanwijzing th 2025, (07/01) Persiapan")</f>
        <v>22/04 Pengambilan material 23 april 20/04 Pengiriman material ke Lokasi 13/04 Menunggu jadwal review 27/03 Antrian review 16/03 Antrian review dengan TIF 05/03 Antrian review dengan TIF 24/02 Belum di review karena eviden blm lengkap, menunggu eviden lengkap untuk keperluan review 09/02 Pengambilan ulang video survey 29/01 Core uplink tidak ready 20/01 Core uplink tidak ready (12/01) sudah aanwijzing th 2025, (07/01) Persiapan</v>
      </c>
      <c r="R873" s="228">
        <f>IFERROR(__xludf.DUMMYFUNCTION("""COMPUTED_VALUE"""),46150.0)</f>
        <v>46150</v>
      </c>
      <c r="S873" s="11"/>
      <c r="T873" s="11"/>
      <c r="U873" s="11"/>
      <c r="V873" s="229" t="str">
        <f>IFERROR(__xludf.DUMMYFUNCTION("""COMPUTED_VALUE"""),"GUSKAR DIYONAL")</f>
        <v>GUSKAR DIYONAL</v>
      </c>
      <c r="W873" s="229" t="str">
        <f>IFERROR(__xludf.DUMMYFUNCTION("""COMPUTED_VALUE"""),"ANZALA SAKINAH")</f>
        <v>ANZALA SAKINAH</v>
      </c>
      <c r="X873" s="229" t="str">
        <f>IFERROR(__xludf.DUMMYFUNCTION("""COMPUTED_VALUE"""),"BELUM GOLIVE")</f>
        <v>BELUM GOLIVE</v>
      </c>
      <c r="Y873" s="229"/>
      <c r="Z873" s="229"/>
      <c r="AA873" s="229"/>
      <c r="AB873" s="229"/>
      <c r="AC873" s="229"/>
      <c r="AD873" s="232"/>
      <c r="AE873" s="233"/>
      <c r="AF873" s="54"/>
      <c r="AG873" s="54"/>
      <c r="AH873" s="54"/>
      <c r="AI873" s="55" t="str">
        <f>IF(OR(R873="",AE873=""),"",R873-AE873)</f>
        <v/>
      </c>
      <c r="AW873" s="234"/>
      <c r="BP873" s="11"/>
      <c r="BQ873" s="11"/>
      <c r="BR873" s="235"/>
      <c r="BV873" s="158"/>
      <c r="BY873" s="158"/>
      <c r="CB873" s="158"/>
    </row>
    <row r="874" ht="18.0" hidden="1" customHeight="1">
      <c r="A874" s="222">
        <f>IFERROR(__xludf.DUMMYFUNCTION("""COMPUTED_VALUE"""),2026.0)</f>
        <v>2026</v>
      </c>
      <c r="B874" s="221">
        <f>IFERROR(__xludf.DUMMYFUNCTION("""COMPUTED_VALUE"""),1.1589868E7)</f>
        <v>11589868</v>
      </c>
      <c r="C874" s="222" t="str">
        <f>IFERROR(__xludf.DUMMYFUNCTION("""COMPUTED_VALUE"""),"SMS P3I1 PT3 BTA FY D02 CITRA GADING MAS")</f>
        <v>SMS P3I1 PT3 BTA FY D02 CITRA GADING MAS</v>
      </c>
      <c r="D874" s="222" t="str">
        <f>IFERROR(__xludf.DUMMYFUNCTION("""COMPUTED_VALUE"""),"REGIONAL I")</f>
        <v>REGIONAL I</v>
      </c>
      <c r="E874" s="222" t="str">
        <f>IFERROR(__xludf.DUMMYFUNCTION("""COMPUTED_VALUE"""),"SUMSEL")</f>
        <v>SUMSEL</v>
      </c>
      <c r="F874" s="222" t="str">
        <f>IFERROR(__xludf.DUMMYFUNCTION("""COMPUTED_VALUE"""),"BTA")</f>
        <v>BTA</v>
      </c>
      <c r="G874" s="222" t="str">
        <f>IFERROR(__xludf.DUMMYFUNCTION("""COMPUTED_VALUE"""),"SUMBAGSEL")</f>
        <v>SUMBAGSEL</v>
      </c>
      <c r="H874" s="222" t="str">
        <f>IFERROR(__xludf.DUMMYFUNCTION("""COMPUTED_VALUE"""),"PALEMBANG")</f>
        <v>PALEMBANG</v>
      </c>
      <c r="I874" s="222" t="str">
        <f>IFERROR(__xludf.DUMMYFUNCTION("""COMPUTED_VALUE"""),"Batch 2")</f>
        <v>Batch 2</v>
      </c>
      <c r="J874" s="225">
        <f>IFERROR(__xludf.DUMMYFUNCTION("""COMPUTED_VALUE"""),2.0)</f>
        <v>2</v>
      </c>
      <c r="K874" s="224">
        <f>IFERROR(__xludf.DUMMYFUNCTION("""COMPUTED_VALUE"""),16.0)</f>
        <v>16</v>
      </c>
      <c r="L874" s="226">
        <f>IFERROR(__xludf.DUMMYFUNCTION("""COMPUTED_VALUE"""),1034640.0)</f>
        <v>1034640</v>
      </c>
      <c r="M874" s="227">
        <f>IFERROR(__xludf.DUMMYFUNCTION("""COMPUTED_VALUE"""),1.6554232E7)</f>
        <v>16554232</v>
      </c>
      <c r="N874" s="222" t="str">
        <f>IFERROR(__xludf.DUMMYFUNCTION("""COMPUTED_VALUE"""),"PT GARINDO TECHNO MANDIRI")</f>
        <v>PT GARINDO TECHNO MANDIRI</v>
      </c>
      <c r="O874" s="222" t="str">
        <f>IFERROR(__xludf.DUMMYFUNCTION("""COMPUTED_VALUE"""),"0. DROP")</f>
        <v>0. DROP</v>
      </c>
      <c r="P874" s="222" t="str">
        <f>IFERROR(__xludf.DUMMYFUNCTION("""COMPUTED_VALUE"""),"0.2 Tidak Dapat Izin Warga/Kades/Lurah/Developer")</f>
        <v>0.2 Tidak Dapat Izin Warga/Kades/Lurah/Developer</v>
      </c>
      <c r="Q874" s="222" t="str">
        <f>IFERROR(__xludf.DUMMYFUNCTION("""COMPUTED_VALUE"""),"13/03 DEVELOPER MASIH BLM BISA DITEMUI, 02/03 OGP REVIEW TIF, 27/02 DEVELOPER RUMAH BLM BISA DITEMUI, 06/02 HASIL REVIEW TSEL MENUNGGU KONFRIM DRI SALES (DIMAS) TERKAIT IZIN KE DPLOVER EST SENIN TGL 09/02, 03/02 DONE EVAL, HOLD KARENA NILAI BOQ NAIK 1% DA"&amp;"RI PLAN DAN CPP 1,045 JT, DRI PIHAK DEPLOVER BELUM RESPON UNTUK IZIN 30/01 SUDAH AANWIDJZING TH 2025 - LANJUT EVAL, (26/1) tim TIF belum bisa EVAL hasil anwijzing karena lagi diluar kota , estimasi 29 jan baru kembali ke Palembang(25/01) DONE AANWIDJING T"&amp;"H 2025 - DEVELOPER BELUM BISA DITEMUIN, (21/01) menunggu antrian aanwizjing, (15/1) ORDER DITERIMA MITRA 14/1, SUDAH AANWINJDZING - PERLU PERIZINAN DEVELOPER (06/01)order JPP batch-2 2026 ((18/11) tidak masuk target optimis 2025 (14/11 done aanwidjzing, o"&amp;"n progress eval, 23/10 penunjukan mitra")</f>
        <v>13/03 DEVELOPER MASIH BLM BISA DITEMUI, 02/03 OGP REVIEW TIF, 27/02 DEVELOPER RUMAH BLM BISA DITEMUI, 06/02 HASIL REVIEW TSEL MENUNGGU KONFRIM DRI SALES (DIMAS) TERKAIT IZIN KE DPLOVER EST SENIN TGL 09/02, 03/02 DONE EVAL, HOLD KARENA NILAI BOQ NAIK 1% DARI PLAN DAN CPP 1,045 JT, DRI PIHAK DEPLOVER BELUM RESPON UNTUK IZIN 30/01 SUDAH AANWIDJZING TH 2025 - LANJUT EVAL, (26/1) tim TIF belum bisa EVAL hasil anwijzing karena lagi diluar kota , estimasi 29 jan baru kembali ke Palembang(25/01) DONE AANWIDJING TH 2025 - DEVELOPER BELUM BISA DITEMUIN, (21/01) menunggu antrian aanwizjing, (15/1) ORDER DITERIMA MITRA 14/1, SUDAH AANWINJDZING - PERLU PERIZINAN DEVELOPER (06/01)order JPP batch-2 2026 ((18/11) tidak masuk target optimis 2025 (14/11 done aanwidjzing, on progress eval, 23/10 penunjukan mitra</v>
      </c>
      <c r="R874" s="228"/>
      <c r="S874" s="11"/>
      <c r="T874" s="11"/>
      <c r="U874" s="11"/>
      <c r="V874" s="229" t="str">
        <f>IFERROR(__xludf.DUMMYFUNCTION("""COMPUTED_VALUE"""),"TANTOWI")</f>
        <v>TANTOWI</v>
      </c>
      <c r="W874" s="229"/>
      <c r="X874" s="229" t="str">
        <f>IFERROR(__xludf.DUMMYFUNCTION("""COMPUTED_VALUE"""),"BELUM GOLIVE")</f>
        <v>BELUM GOLIVE</v>
      </c>
      <c r="Y874" s="229"/>
      <c r="Z874" s="229" t="str">
        <f>IFERROR(__xludf.DUMMYFUNCTION("""COMPUTED_VALUE"""),"#N/A")</f>
        <v>#N/A</v>
      </c>
      <c r="AA874" s="229"/>
      <c r="AB874" s="229"/>
      <c r="AC874" s="229"/>
      <c r="AD874" s="232"/>
      <c r="AE874" s="233"/>
      <c r="AF874" s="54" t="str">
        <f>IFERROR(__xludf.DUMMYFUNCTION("""COMPUTED_VALUE"""),"Draft BA DROP")</f>
        <v>Draft BA DROP</v>
      </c>
      <c r="AG874" s="54"/>
      <c r="AH874" s="54">
        <v>46137.0</v>
      </c>
      <c r="AI874" s="237">
        <f>AH874-NOW()</f>
        <v>-3.377989907</v>
      </c>
      <c r="AJ874" s="229" t="str">
        <f>if(AI874&gt;=0,"In Komitmen","Out Komitmen")</f>
        <v>Out Komitmen</v>
      </c>
      <c r="AK874" s="229" t="e">
        <v>#N/A</v>
      </c>
      <c r="AW874" s="234"/>
      <c r="BP874" s="11"/>
      <c r="BQ874" s="11"/>
      <c r="BR874" s="235"/>
      <c r="BV874" s="158"/>
      <c r="BY874" s="158"/>
      <c r="CB874" s="158"/>
    </row>
    <row r="875" ht="18.0" customHeight="1">
      <c r="A875" s="222">
        <f>IFERROR(__xludf.DUMMYFUNCTION("""COMPUTED_VALUE"""),2026.0)</f>
        <v>2026</v>
      </c>
      <c r="B875" s="221">
        <f>IFERROR(__xludf.DUMMYFUNCTION("""COMPUTED_VALUE"""),1.143813E7)</f>
        <v>11438130</v>
      </c>
      <c r="C875" s="222" t="str">
        <f>IFERROR(__xludf.DUMMYFUNCTION("""COMPUTED_VALUE"""),"SMB KOTA PAYAKUMBUH_15756")</f>
        <v>SMB KOTA PAYAKUMBUH_15756</v>
      </c>
      <c r="D875" s="222" t="str">
        <f>IFERROR(__xludf.DUMMYFUNCTION("""COMPUTED_VALUE"""),"REGIONAL I")</f>
        <v>REGIONAL I</v>
      </c>
      <c r="E875" s="222" t="str">
        <f>IFERROR(__xludf.DUMMYFUNCTION("""COMPUTED_VALUE"""),"SUMBAR")</f>
        <v>SUMBAR</v>
      </c>
      <c r="F875" s="222" t="str">
        <f>IFERROR(__xludf.DUMMYFUNCTION("""COMPUTED_VALUE"""),"PYK")</f>
        <v>PYK</v>
      </c>
      <c r="G875" s="222" t="str">
        <f>IFERROR(__xludf.DUMMYFUNCTION("""COMPUTED_VALUE"""),"SUMBAGTENG")</f>
        <v>SUMBAGTENG</v>
      </c>
      <c r="H875" s="222" t="str">
        <f>IFERROR(__xludf.DUMMYFUNCTION("""COMPUTED_VALUE"""),"BUKIT TINGGI")</f>
        <v>BUKIT TINGGI</v>
      </c>
      <c r="I875" s="222" t="str">
        <f>IFERROR(__xludf.DUMMYFUNCTION("""COMPUTED_VALUE"""),"Batch 2")</f>
        <v>Batch 2</v>
      </c>
      <c r="J875" s="225">
        <f>IFERROR(__xludf.DUMMYFUNCTION("""COMPUTED_VALUE"""),3.0)</f>
        <v>3</v>
      </c>
      <c r="K875" s="224">
        <f>IFERROR(__xludf.DUMMYFUNCTION("""COMPUTED_VALUE"""),24.0)</f>
        <v>24</v>
      </c>
      <c r="L875" s="226">
        <f>IFERROR(__xludf.DUMMYFUNCTION("""COMPUTED_VALUE"""),1034432.0)</f>
        <v>1034432</v>
      </c>
      <c r="M875" s="227">
        <f>IFERROR(__xludf.DUMMYFUNCTION("""COMPUTED_VALUE"""),2.4826346E7)</f>
        <v>24826346</v>
      </c>
      <c r="N875" s="222" t="str">
        <f>IFERROR(__xludf.DUMMYFUNCTION("""COMPUTED_VALUE"""),"PT RATRI PRIMA MANDIRI")</f>
        <v>PT RATRI PRIMA MANDIRI</v>
      </c>
      <c r="O875" s="222" t="str">
        <f>IFERROR(__xludf.DUMMYFUNCTION("""COMPUTED_VALUE"""),"7. GOLIVE")</f>
        <v>7. GOLIVE</v>
      </c>
      <c r="P875" s="222" t="str">
        <f>IFERROR(__xludf.DUMMYFUNCTION("""COMPUTED_VALUE"""),"7.2 Golive Full / OA / DONE OTB")</f>
        <v>7.2 Golive Full / OA / DONE OTB</v>
      </c>
      <c r="Q875" s="222" t="str">
        <f>IFERROR(__xludf.DUMMYFUNCTION("""COMPUTED_VALUE"""),"(27/04) ABD done ke SDI  (20/04) matdel ke LOP  (10/04) Proses aanwijziing , LOP HOLD FEEDER FULL ACC GO (26/01)  kendala feeder PYK-FM FULL")</f>
        <v>(27/04) ABD done ke SDI  (20/04) matdel ke LOP  (10/04) Proses aanwijziing , LOP HOLD FEEDER FULL ACC GO (26/01)  kendala feeder PYK-FM FULL</v>
      </c>
      <c r="R875" s="228">
        <f>IFERROR(__xludf.DUMMYFUNCTION("""COMPUTED_VALUE"""),46139.0)</f>
        <v>46139</v>
      </c>
      <c r="S875" s="11"/>
      <c r="T875" s="11"/>
      <c r="U875" s="11"/>
      <c r="V875" s="229" t="str">
        <f>IFERROR(__xludf.DUMMYFUNCTION("""COMPUTED_VALUE"""),"M. ARIF HAMADI")</f>
        <v>M. ARIF HAMADI</v>
      </c>
      <c r="W875" s="229" t="str">
        <f>IFERROR(__xludf.DUMMYFUNCTION("""COMPUTED_VALUE"""),"MELKO NARWADI")</f>
        <v>MELKO NARWADI</v>
      </c>
      <c r="X875" s="229" t="str">
        <f>IFERROR(__xludf.DUMMYFUNCTION("""COMPUTED_VALUE"""),"GOLIVE")</f>
        <v>GOLIVE</v>
      </c>
      <c r="Y875" s="229" t="str">
        <f>IFERROR(__xludf.DUMMYFUNCTION("""COMPUTED_VALUE"""),"DONE")</f>
        <v>DONE</v>
      </c>
      <c r="Z875" s="229" t="str">
        <f>IFERROR(__xludf.DUMMYFUNCTION("""COMPUTED_VALUE"""),"#N/A")</f>
        <v>#N/A</v>
      </c>
      <c r="AA875" s="229">
        <f>IFERROR(__xludf.DUMMYFUNCTION("""COMPUTED_VALUE"""),1.0)</f>
        <v>1</v>
      </c>
      <c r="AB875" s="229"/>
      <c r="AC875" s="229" t="str">
        <f>IFERROR(__xludf.DUMMYFUNCTION("""COMPUTED_VALUE"""),"9311116#9311121")</f>
        <v>9311116#9311121</v>
      </c>
      <c r="AD875" s="232">
        <f>IFERROR(__xludf.DUMMYFUNCTION("""COMPUTED_VALUE"""),8.0)</f>
        <v>8</v>
      </c>
      <c r="AE875" s="233">
        <f>IFERROR(__xludf.DUMMYFUNCTION("""COMPUTED_VALUE"""),46139.0)</f>
        <v>46139</v>
      </c>
      <c r="AF875" s="54" t="str">
        <f>IFERROR(__xludf.DUMMYFUNCTION("""COMPUTED_VALUE"""),"Draft BA DROP")</f>
        <v>Draft BA DROP</v>
      </c>
      <c r="AG875" s="54"/>
      <c r="AH875" s="54"/>
      <c r="AI875" s="55">
        <f t="shared" ref="AI875:AI882" si="91">IF(OR(R875="",AE875=""),"",R875-AE875)</f>
        <v>0</v>
      </c>
      <c r="AW875" s="234"/>
      <c r="BP875" s="11"/>
      <c r="BQ875" s="11"/>
      <c r="BR875" s="235"/>
      <c r="BV875" s="158"/>
      <c r="BY875" s="158"/>
      <c r="CB875" s="158"/>
    </row>
    <row r="876" ht="18.0" hidden="1" customHeight="1">
      <c r="A876" s="222">
        <f>IFERROR(__xludf.DUMMYFUNCTION("""COMPUTED_VALUE"""),2026.0)</f>
        <v>2026</v>
      </c>
      <c r="B876" s="221">
        <f>IFERROR(__xludf.DUMMYFUNCTION("""COMPUTED_VALUE"""),1.2213764E7)</f>
        <v>12213764</v>
      </c>
      <c r="C876" s="222" t="str">
        <f>IFERROR(__xludf.DUMMYFUNCTION("""COMPUTED_VALUE"""),"SMS P3I4 PT3 IDL FZ D04 DS PERMATA BIRU")</f>
        <v>SMS P3I4 PT3 IDL FZ D04 DS PERMATA BIRU</v>
      </c>
      <c r="D876" s="222" t="str">
        <f>IFERROR(__xludf.DUMMYFUNCTION("""COMPUTED_VALUE"""),"REGIONAL I")</f>
        <v>REGIONAL I</v>
      </c>
      <c r="E876" s="222" t="str">
        <f>IFERROR(__xludf.DUMMYFUNCTION("""COMPUTED_VALUE"""),"SUMSEL")</f>
        <v>SUMSEL</v>
      </c>
      <c r="F876" s="222" t="str">
        <f>IFERROR(__xludf.DUMMYFUNCTION("""COMPUTED_VALUE"""),"IDL")</f>
        <v>IDL</v>
      </c>
      <c r="G876" s="222" t="str">
        <f>IFERROR(__xludf.DUMMYFUNCTION("""COMPUTED_VALUE"""),"SUMBAGSEL")</f>
        <v>SUMBAGSEL</v>
      </c>
      <c r="H876" s="222" t="str">
        <f>IFERROR(__xludf.DUMMYFUNCTION("""COMPUTED_VALUE"""),"PALEMBANG")</f>
        <v>PALEMBANG</v>
      </c>
      <c r="I876" s="222" t="str">
        <f>IFERROR(__xludf.DUMMYFUNCTION("""COMPUTED_VALUE"""),"Batch 2")</f>
        <v>Batch 2</v>
      </c>
      <c r="J876" s="225">
        <f>IFERROR(__xludf.DUMMYFUNCTION("""COMPUTED_VALUE"""),21.0)</f>
        <v>21</v>
      </c>
      <c r="K876" s="224">
        <f>IFERROR(__xludf.DUMMYFUNCTION("""COMPUTED_VALUE"""),168.0)</f>
        <v>168</v>
      </c>
      <c r="L876" s="226">
        <f>IFERROR(__xludf.DUMMYFUNCTION("""COMPUTED_VALUE"""),1033281.0)</f>
        <v>1033281</v>
      </c>
      <c r="M876" s="227">
        <f>IFERROR(__xludf.DUMMYFUNCTION("""COMPUTED_VALUE"""),1.73591184E8)</f>
        <v>173591184</v>
      </c>
      <c r="N876" s="222" t="str">
        <f>IFERROR(__xludf.DUMMYFUNCTION("""COMPUTED_VALUE"""),"PT SARANA MITRA PERSADA")</f>
        <v>PT SARANA MITRA PERSADA</v>
      </c>
      <c r="O876" s="222" t="str">
        <f>IFERROR(__xludf.DUMMYFUNCTION("""COMPUTED_VALUE"""),"7. GOLIVE")</f>
        <v>7. GOLIVE</v>
      </c>
      <c r="P876" s="222" t="str">
        <f>IFERROR(__xludf.DUMMYFUNCTION("""COMPUTED_VALUE"""),"7.2 Golive Full / OA / DONE OTB")</f>
        <v>7.2 Golive Full / OA / DONE OTB</v>
      </c>
      <c r="Q876" s="222" t="str">
        <f>IFERROR(__xludf.DUMMYFUNCTION("""COMPUTED_VALUE"""),"17/03 GOLIVE, 16/03 DONE SUBMIT ABD KE SDI, 14/03 PROSES JUMPER 13/03 OGP TERMINASI ODC DAN INSTALASI ODP, 12/03 PROGRESS PEMASANGAN ODP, 11/03 PROGRESS TERMINASI ODP, 10/03 OGP TERMINASI 09/03 DONE PENARIKAN KABEL 3560M DAN PEMASANGAN AKSESORIS, 07/03 PR"&amp;"OGRESS PENARIKAN KABEL 4560M/5560M, 06/03 GALI, PENANAMAN TIANG DAN PENARIKAN KABEL,  04/03 GALI TIANG DAN PENANAMAN 12 TIANG,  03/03 MENUNGGU ANTRIAN PEKERJAAN, 27/02 MATERIAL ONSITE, 26/02 OGP AMBIL MATERIAL, 25/02 AMBIL MATERIAL TGL 26/2, 24/02 DONE RF"&amp;"C, OGP PENGAMBILAN MATERIAL, 23/02 MATERIAL DELIVERY, 22/2 menunggu material TIANG 20/02 DONE AMD TP BLM DI APPROVE KRNA MASIH MENUNGGU TIANG DIGUDANG YG KOSONG, 17/02 PROSES INPUT MATERIAL - KENDALA OVER BUDGET, 10/2 perubahan design menunggu confirm dar"&amp;"i sales TSEL. , plan Matdel 13 FEB  09/02 DONE DRM, 06/02 LANJUT DRM MITRA, 31/01 menunggu DRM 30/01 DONE EVAL, PAKAI NILAI PLAN TIDAK ADA PERUBAHAN, 25/01 PERIZINAN OK, (21/01) AANWIDJZING, (15/1) ORDER DITERIMA 14/1, PLAN AANWIJDZING 20 JAN 26 (06/01)or"&amp;"der JPP batch-2 2026 ((14/11)HOLD-  tidak masuk target Optimis 2025 (
14/01 penunjukan mitra oleh procurement")</f>
        <v>17/03 GOLIVE, 16/03 DONE SUBMIT ABD KE SDI, 14/03 PROSES JUMPER 13/03 OGP TERMINASI ODC DAN INSTALASI ODP, 12/03 PROGRESS PEMASANGAN ODP, 11/03 PROGRESS TERMINASI ODP, 10/03 OGP TERMINASI 09/03 DONE PENARIKAN KABEL 3560M DAN PEMASANGAN AKSESORIS, 07/03 PROGRESS PENARIKAN KABEL 4560M/5560M, 06/03 GALI, PENANAMAN TIANG DAN PENARIKAN KABEL,  04/03 GALI TIANG DAN PENANAMAN 12 TIANG,  03/03 MENUNGGU ANTRIAN PEKERJAAN, 27/02 MATERIAL ONSITE, 26/02 OGP AMBIL MATERIAL, 25/02 AMBIL MATERIAL TGL 26/2, 24/02 DONE RFC, OGP PENGAMBILAN MATERIAL, 23/02 MATERIAL DELIVERY, 22/2 menunggu material TIANG 20/02 DONE AMD TP BLM DI APPROVE KRNA MASIH MENUNGGU TIANG DIGUDANG YG KOSONG, 17/02 PROSES INPUT MATERIAL - KENDALA OVER BUDGET, 10/2 perubahan design menunggu confirm dari sales TSEL. , plan Matdel 13 FEB  09/02 DONE DRM, 06/02 LANJUT DRM MITRA, 31/01 menunggu DRM 30/01 DONE EVAL, PAKAI NILAI PLAN TIDAK ADA PERUBAHAN, 25/01 PERIZINAN OK, (21/01) AANWIDJZING, (15/1) ORDER DITERIMA 14/1, PLAN AANWIJDZING 20 JAN 26 (06/01)order JPP batch-2 2026 ((14/11)HOLD-  tidak masuk target Optimis 2025 (
14/01 penunjukan mitra oleh procurement</v>
      </c>
      <c r="R876" s="228">
        <f>IFERROR(__xludf.DUMMYFUNCTION("""COMPUTED_VALUE"""),46098.0)</f>
        <v>46098</v>
      </c>
      <c r="S876" s="11" t="str">
        <f>IFERROR(__xludf.DUMMYFUNCTION("""COMPUTED_VALUE"""),"MAR")</f>
        <v>MAR</v>
      </c>
      <c r="T876" s="11" t="str">
        <f>IFERROR(__xludf.DUMMYFUNCTION("""COMPUTED_VALUE"""),"P1")</f>
        <v>P1</v>
      </c>
      <c r="U876" s="11"/>
      <c r="V876" s="229" t="str">
        <f>IFERROR(__xludf.DUMMYFUNCTION("""COMPUTED_VALUE"""),"RENALDO")</f>
        <v>RENALDO</v>
      </c>
      <c r="W876" s="229"/>
      <c r="X876" s="229" t="str">
        <f>IFERROR(__xludf.DUMMYFUNCTION("""COMPUTED_VALUE"""),"GOLIVE")</f>
        <v>GOLIVE</v>
      </c>
      <c r="Y876" s="229" t="str">
        <f>IFERROR(__xludf.DUMMYFUNCTION("""COMPUTED_VALUE"""),"DONE")</f>
        <v>DONE</v>
      </c>
      <c r="Z876" s="229" t="str">
        <f>IFERROR(__xludf.DUMMYFUNCTION("""COMPUTED_VALUE"""),"#N/A")</f>
        <v>#N/A</v>
      </c>
      <c r="AA876" s="229">
        <f>IFERROR(__xludf.DUMMYFUNCTION("""COMPUTED_VALUE"""),21.0)</f>
        <v>21</v>
      </c>
      <c r="AB876" s="229"/>
      <c r="AC876" s="229" t="str">
        <f>IFERROR(__xludf.DUMMYFUNCTION("""COMPUTED_VALUE"""),"8970908#8970913")</f>
        <v>8970908#8970913</v>
      </c>
      <c r="AD876" s="232">
        <f>IFERROR(__xludf.DUMMYFUNCTION("""COMPUTED_VALUE"""),168.0)</f>
        <v>168</v>
      </c>
      <c r="AE876" s="233">
        <f>IFERROR(__xludf.DUMMYFUNCTION("""COMPUTED_VALUE"""),46096.0)</f>
        <v>46096</v>
      </c>
      <c r="AF876" s="54"/>
      <c r="AG876" s="54"/>
      <c r="AH876" s="54">
        <v>46098.0</v>
      </c>
      <c r="AI876" s="55">
        <f t="shared" si="91"/>
        <v>2</v>
      </c>
      <c r="AW876" s="234"/>
      <c r="BP876" s="11"/>
      <c r="BQ876" s="11"/>
      <c r="BR876" s="235"/>
      <c r="BV876" s="158"/>
      <c r="BY876" s="158"/>
      <c r="CB876" s="158"/>
    </row>
    <row r="877" ht="18.0" hidden="1" customHeight="1">
      <c r="A877" s="222">
        <f>IFERROR(__xludf.DUMMYFUNCTION("""COMPUTED_VALUE"""),2026.0)</f>
        <v>2026</v>
      </c>
      <c r="B877" s="221">
        <f>IFERROR(__xludf.DUMMYFUNCTION("""COMPUTED_VALUE"""),1.1529111E7)</f>
        <v>11529111</v>
      </c>
      <c r="C877" s="222" t="str">
        <f>IFERROR(__xludf.DUMMYFUNCTION("""COMPUTED_VALUE"""),"SMS P3I1 PT3 BTA FAX D10 PERUM NIGARAHIL")</f>
        <v>SMS P3I1 PT3 BTA FAX D10 PERUM NIGARAHIL</v>
      </c>
      <c r="D877" s="222" t="str">
        <f>IFERROR(__xludf.DUMMYFUNCTION("""COMPUTED_VALUE"""),"REGIONAL I")</f>
        <v>REGIONAL I</v>
      </c>
      <c r="E877" s="222" t="str">
        <f>IFERROR(__xludf.DUMMYFUNCTION("""COMPUTED_VALUE"""),"SUMSEL")</f>
        <v>SUMSEL</v>
      </c>
      <c r="F877" s="222" t="str">
        <f>IFERROR(__xludf.DUMMYFUNCTION("""COMPUTED_VALUE"""),"BTA")</f>
        <v>BTA</v>
      </c>
      <c r="G877" s="222" t="str">
        <f>IFERROR(__xludf.DUMMYFUNCTION("""COMPUTED_VALUE"""),"SUMBAGSEL")</f>
        <v>SUMBAGSEL</v>
      </c>
      <c r="H877" s="222" t="str">
        <f>IFERROR(__xludf.DUMMYFUNCTION("""COMPUTED_VALUE"""),"PALEMBANG")</f>
        <v>PALEMBANG</v>
      </c>
      <c r="I877" s="222" t="str">
        <f>IFERROR(__xludf.DUMMYFUNCTION("""COMPUTED_VALUE"""),"Batch 2")</f>
        <v>Batch 2</v>
      </c>
      <c r="J877" s="225">
        <f>IFERROR(__xludf.DUMMYFUNCTION("""COMPUTED_VALUE"""),2.0)</f>
        <v>2</v>
      </c>
      <c r="K877" s="224">
        <f>IFERROR(__xludf.DUMMYFUNCTION("""COMPUTED_VALUE"""),16.0)</f>
        <v>16</v>
      </c>
      <c r="L877" s="226">
        <f>IFERROR(__xludf.DUMMYFUNCTION("""COMPUTED_VALUE"""),1033191.0)</f>
        <v>1033191</v>
      </c>
      <c r="M877" s="227">
        <f>IFERROR(__xludf.DUMMYFUNCTION("""COMPUTED_VALUE"""),1.6531054E7)</f>
        <v>16531054</v>
      </c>
      <c r="N877" s="222" t="str">
        <f>IFERROR(__xludf.DUMMYFUNCTION("""COMPUTED_VALUE"""),"PT GARINDO TECHNO MANDIRI")</f>
        <v>PT GARINDO TECHNO MANDIRI</v>
      </c>
      <c r="O877" s="222" t="str">
        <f>IFERROR(__xludf.DUMMYFUNCTION("""COMPUTED_VALUE"""),"7. GOLIVE")</f>
        <v>7. GOLIVE</v>
      </c>
      <c r="P877" s="222" t="str">
        <f>IFERROR(__xludf.DUMMYFUNCTION("""COMPUTED_VALUE"""),"7.2 Golive Full / OA / DONE OTB")</f>
        <v>7.2 Golive Full / OA / DONE OTB</v>
      </c>
      <c r="Q877" s="222" t="str">
        <f>IFERROR(__xludf.DUMMYFUNCTION("""COMPUTED_VALUE"""),"12/03 GOLIVE, 11/03 DONE SUBMIT ABD KE SDI, 11/03 DONE VALINS DAN PENARIKAN KABEL 355M, 10/03 MASIH MENUNGGU ANTRIAN PEKERJAAN, 06/03 MENUNGGU ANTRIAN PEKERJAAN, 04/03 MATERIAL ONSITE, 03/03 MATDEL, 02/03 HARI INI AMBIL TIANG, 27/02 DONE RFC,OGP AMBIL MAT"&amp;"ERIAL EST TGL 02/03,  26/02 MENUNGGU RFC UTK PENGAMBILAN MATERIAL, 25/02 MASIH MENUNGGU TIANG, 24/02 LANJUT PROGRESS SDH ADA RFC DAN MENUNGGU TIANG, 23/02 BELUM INPUT MATERIAL TIANG KRNA TIANG HABIS, 22/2 menunggu material TIANG  20/02 DONE INPUT MATERIAL"&amp;", 18/02 BELUM BISA INPUT MATERIAL - MSH MENUNGGU PA, 11/2 menunggu PRPO  10/02 MASIH PROGRESS DRM, 06/02 LANJUT DRM - PROSES CREATE PID, 4/2 Sudah evall, lanjut  Deploy  30/01 SUDAH AANWIDJZING TH 2025 - LANJUT EVAL, (21/01) menunggu antrian aanwizjing, ("&amp;"15/1) ORDER DITERIMA MITRA 14/1, MENUNGGU PLAN AAWNJIDIZING - ADA PERUBAHAN DESIGN (06/01)order JPP batch-2 2026 (16/12 HOLD, (07/12) masih eval , done surve(18/11) done eval lanjut matdell, 14/11 done aanwidjzing, on progress eval, 13/11 aanwidjzing, (08"&amp;"/11) anwijzing 23/10 penunjukan mitra")</f>
        <v>12/03 GOLIVE, 11/03 DONE SUBMIT ABD KE SDI, 11/03 DONE VALINS DAN PENARIKAN KABEL 355M, 10/03 MASIH MENUNGGU ANTRIAN PEKERJAAN, 06/03 MENUNGGU ANTRIAN PEKERJAAN, 04/03 MATERIAL ONSITE, 03/03 MATDEL, 02/03 HARI INI AMBIL TIANG, 27/02 DONE RFC,OGP AMBIL MATERIAL EST TGL 02/03,  26/02 MENUNGGU RFC UTK PENGAMBILAN MATERIAL, 25/02 MASIH MENUNGGU TIANG, 24/02 LANJUT PROGRESS SDH ADA RFC DAN MENUNGGU TIANG, 23/02 BELUM INPUT MATERIAL TIANG KRNA TIANG HABIS, 22/2 menunggu material TIANG  20/02 DONE INPUT MATERIAL, 18/02 BELUM BISA INPUT MATERIAL - MSH MENUNGGU PA, 11/2 menunggu PRPO  10/02 MASIH PROGRESS DRM, 06/02 LANJUT DRM - PROSES CREATE PID, 4/2 Sudah evall, lanjut  Deploy  30/01 SUDAH AANWIDJZING TH 2025 - LANJUT EVAL, (21/01) menunggu antrian aanwizjing, (15/1) ORDER DITERIMA MITRA 14/1, MENUNGGU PLAN AAWNJIDIZING - ADA PERUBAHAN DESIGN (06/01)order JPP batch-2 2026 (16/12 HOLD, (07/12) masih eval , done surve(18/11) done eval lanjut matdell, 14/11 done aanwidjzing, on progress eval, 13/11 aanwidjzing, (08/11) anwijzing 23/10 penunjukan mitra</v>
      </c>
      <c r="R877" s="228">
        <f>IFERROR(__xludf.DUMMYFUNCTION("""COMPUTED_VALUE"""),46110.0)</f>
        <v>46110</v>
      </c>
      <c r="S877" s="11" t="str">
        <f>IFERROR(__xludf.DUMMYFUNCTION("""COMPUTED_VALUE"""),"MAR")</f>
        <v>MAR</v>
      </c>
      <c r="T877" s="11"/>
      <c r="U877" s="11"/>
      <c r="V877" s="229" t="str">
        <f>IFERROR(__xludf.DUMMYFUNCTION("""COMPUTED_VALUE"""),"TANTOWI")</f>
        <v>TANTOWI</v>
      </c>
      <c r="W877" s="229"/>
      <c r="X877" s="229" t="str">
        <f>IFERROR(__xludf.DUMMYFUNCTION("""COMPUTED_VALUE"""),"GOLIVE")</f>
        <v>GOLIVE</v>
      </c>
      <c r="Y877" s="229" t="str">
        <f>IFERROR(__xludf.DUMMYFUNCTION("""COMPUTED_VALUE"""),"DONE")</f>
        <v>DONE</v>
      </c>
      <c r="Z877" s="229" t="str">
        <f>IFERROR(__xludf.DUMMYFUNCTION("""COMPUTED_VALUE"""),"#N/A")</f>
        <v>#N/A</v>
      </c>
      <c r="AA877" s="229">
        <f>IFERROR(__xludf.DUMMYFUNCTION("""COMPUTED_VALUE"""),2.0)</f>
        <v>2</v>
      </c>
      <c r="AB877" s="229"/>
      <c r="AC877" s="229" t="str">
        <f>IFERROR(__xludf.DUMMYFUNCTION("""COMPUTED_VALUE"""),"8942815#8942825")</f>
        <v>8942815#8942825</v>
      </c>
      <c r="AD877" s="232">
        <f>IFERROR(__xludf.DUMMYFUNCTION("""COMPUTED_VALUE"""),16.0)</f>
        <v>16</v>
      </c>
      <c r="AE877" s="233">
        <f>IFERROR(__xludf.DUMMYFUNCTION("""COMPUTED_VALUE"""),46093.0)</f>
        <v>46093</v>
      </c>
      <c r="AF877" s="54"/>
      <c r="AG877" s="54"/>
      <c r="AH877" s="54">
        <v>46110.0</v>
      </c>
      <c r="AI877" s="55">
        <f t="shared" si="91"/>
        <v>17</v>
      </c>
      <c r="AW877" s="234"/>
      <c r="BP877" s="11"/>
      <c r="BQ877" s="11"/>
      <c r="BR877" s="235"/>
      <c r="BV877" s="158"/>
      <c r="BY877" s="158"/>
      <c r="CB877" s="158"/>
    </row>
    <row r="878" ht="18.0" customHeight="1">
      <c r="A878" s="222">
        <f>IFERROR(__xludf.DUMMYFUNCTION("""COMPUTED_VALUE"""),2026.0)</f>
        <v>2026</v>
      </c>
      <c r="B878" s="221">
        <f>IFERROR(__xludf.DUMMYFUNCTION("""COMPUTED_VALUE"""),1.1043068E7)</f>
        <v>11043068</v>
      </c>
      <c r="C878" s="222" t="str">
        <f>IFERROR(__xludf.DUMMYFUNCTION("""COMPUTED_VALUE"""),"RKP PT3 JPPTSEL NGS-FAC DEVELYN RESIDENCE")</f>
        <v>RKP PT3 JPPTSEL NGS-FAC DEVELYN RESIDENCE</v>
      </c>
      <c r="D878" s="222" t="str">
        <f>IFERROR(__xludf.DUMMYFUNCTION("""COMPUTED_VALUE"""),"REGIONAL I")</f>
        <v>REGIONAL I</v>
      </c>
      <c r="E878" s="222" t="str">
        <f>IFERROR(__xludf.DUMMYFUNCTION("""COMPUTED_VALUE"""),"RIKEP")</f>
        <v>RIKEP</v>
      </c>
      <c r="F878" s="222" t="str">
        <f>IFERROR(__xludf.DUMMYFUNCTION("""COMPUTED_VALUE"""),"NGS")</f>
        <v>NGS</v>
      </c>
      <c r="G878" s="222" t="str">
        <f>IFERROR(__xludf.DUMMYFUNCTION("""COMPUTED_VALUE"""),"SUMBAGTENG")</f>
        <v>SUMBAGTENG</v>
      </c>
      <c r="H878" s="222" t="str">
        <f>IFERROR(__xludf.DUMMYFUNCTION("""COMPUTED_VALUE"""),"BATAM")</f>
        <v>BATAM</v>
      </c>
      <c r="I878" s="222" t="str">
        <f>IFERROR(__xludf.DUMMYFUNCTION("""COMPUTED_VALUE"""),"Batch 2")</f>
        <v>Batch 2</v>
      </c>
      <c r="J878" s="225">
        <f>IFERROR(__xludf.DUMMYFUNCTION("""COMPUTED_VALUE"""),20.0)</f>
        <v>20</v>
      </c>
      <c r="K878" s="224">
        <f>IFERROR(__xludf.DUMMYFUNCTION("""COMPUTED_VALUE"""),160.0)</f>
        <v>160</v>
      </c>
      <c r="L878" s="226">
        <f>IFERROR(__xludf.DUMMYFUNCTION("""COMPUTED_VALUE"""),1033170.0)</f>
        <v>1033170</v>
      </c>
      <c r="M878" s="227">
        <f>IFERROR(__xludf.DUMMYFUNCTION("""COMPUTED_VALUE"""),1.65307104E8)</f>
        <v>165307104</v>
      </c>
      <c r="N878" s="222" t="str">
        <f>IFERROR(__xludf.DUMMYFUNCTION("""COMPUTED_VALUE"""),"PT HDUA PUTRA PRAJODA")</f>
        <v>PT HDUA PUTRA PRAJODA</v>
      </c>
      <c r="O878" s="222" t="str">
        <f>IFERROR(__xludf.DUMMYFUNCTION("""COMPUTED_VALUE"""),"0. DROP")</f>
        <v>0. DROP</v>
      </c>
      <c r="P878" s="222" t="str">
        <f>IFERROR(__xludf.DUMMYFUNCTION("""COMPUTED_VALUE"""),"0.2 Tidak Dapat Izin Warga/Kades/Lurah/Developer")</f>
        <v>0.2 Tidak Dapat Izin Warga/Kades/Lurah/Developer</v>
      </c>
      <c r="Q878" s="222" t="str">
        <f>IFERROR(__xludf.DUMMYFUNCTION("""COMPUTED_VALUE"""),"20/01 Izin di tolak Developer. (07/01) Persiapan")</f>
        <v>20/01 Izin di tolak Developer. (07/01) Persiapan</v>
      </c>
      <c r="R878" s="228"/>
      <c r="S878" s="11"/>
      <c r="T878" s="11"/>
      <c r="U878" s="11"/>
      <c r="V878" s="229" t="str">
        <f>IFERROR(__xludf.DUMMYFUNCTION("""COMPUTED_VALUE"""),"GANI PRASTYO")</f>
        <v>GANI PRASTYO</v>
      </c>
      <c r="W878" s="229" t="str">
        <f>IFERROR(__xludf.DUMMYFUNCTION("""COMPUTED_VALUE"""),"LEVITA INDRIYANI")</f>
        <v>LEVITA INDRIYANI</v>
      </c>
      <c r="X878" s="229" t="str">
        <f>IFERROR(__xludf.DUMMYFUNCTION("""COMPUTED_VALUE"""),"BELUM GOLIVE")</f>
        <v>BELUM GOLIVE</v>
      </c>
      <c r="Y878" s="229"/>
      <c r="Z878" s="229" t="str">
        <f>IFERROR(__xludf.DUMMYFUNCTION("""COMPUTED_VALUE"""),"#N/A")</f>
        <v>#N/A</v>
      </c>
      <c r="AA878" s="229"/>
      <c r="AB878" s="229"/>
      <c r="AC878" s="229"/>
      <c r="AD878" s="232"/>
      <c r="AE878" s="233"/>
      <c r="AF878" s="54" t="str">
        <f>IFERROR(__xludf.DUMMYFUNCTION("""COMPUTED_VALUE"""),"Draft BA DROP")</f>
        <v>Draft BA DROP</v>
      </c>
      <c r="AG878" s="54"/>
      <c r="AH878" s="54"/>
      <c r="AI878" s="55" t="str">
        <f t="shared" si="91"/>
        <v/>
      </c>
      <c r="AW878" s="234"/>
      <c r="BP878" s="11"/>
      <c r="BQ878" s="11"/>
      <c r="BR878" s="235"/>
      <c r="BV878" s="158"/>
      <c r="BY878" s="158"/>
      <c r="CB878" s="158"/>
    </row>
    <row r="879" ht="18.0" hidden="1" customHeight="1">
      <c r="A879" s="222">
        <f>IFERROR(__xludf.DUMMYFUNCTION("""COMPUTED_VALUE"""),2026.0)</f>
        <v>2026</v>
      </c>
      <c r="B879" s="221">
        <f>IFERROR(__xludf.DUMMYFUNCTION("""COMPUTED_VALUE"""),1.1028731E7)</f>
        <v>11028731</v>
      </c>
      <c r="C879" s="222" t="str">
        <f>IFERROR(__xludf.DUMMYFUNCTION("""COMPUTED_VALUE"""),"MDN PT3 P7I1 CTD-FCW ANAFFRIS_")</f>
        <v>MDN PT3 P7I1 CTD-FCW ANAFFRIS_</v>
      </c>
      <c r="D879" s="222" t="str">
        <f>IFERROR(__xludf.DUMMYFUNCTION("""COMPUTED_VALUE"""),"REGIONAL I")</f>
        <v>REGIONAL I</v>
      </c>
      <c r="E879" s="222" t="str">
        <f>IFERROR(__xludf.DUMMYFUNCTION("""COMPUTED_VALUE"""),"MEDAN")</f>
        <v>MEDAN</v>
      </c>
      <c r="F879" s="222" t="str">
        <f>IFERROR(__xludf.DUMMYFUNCTION("""COMPUTED_VALUE"""),"CTD")</f>
        <v>CTD</v>
      </c>
      <c r="G879" s="222" t="str">
        <f>IFERROR(__xludf.DUMMYFUNCTION("""COMPUTED_VALUE"""),"SUMBAGUT")</f>
        <v>SUMBAGUT</v>
      </c>
      <c r="H879" s="222" t="str">
        <f>IFERROR(__xludf.DUMMYFUNCTION("""COMPUTED_VALUE"""),"MEDAN")</f>
        <v>MEDAN</v>
      </c>
      <c r="I879" s="222" t="str">
        <f>IFERROR(__xludf.DUMMYFUNCTION("""COMPUTED_VALUE"""),"Batch 2")</f>
        <v>Batch 2</v>
      </c>
      <c r="J879" s="225">
        <f>IFERROR(__xludf.DUMMYFUNCTION("""COMPUTED_VALUE"""),8.0)</f>
        <v>8</v>
      </c>
      <c r="K879" s="224">
        <f>IFERROR(__xludf.DUMMYFUNCTION("""COMPUTED_VALUE"""),64.0)</f>
        <v>64</v>
      </c>
      <c r="L879" s="226">
        <f>IFERROR(__xludf.DUMMYFUNCTION("""COMPUTED_VALUE"""),1032328.0)</f>
        <v>1032328</v>
      </c>
      <c r="M879" s="227">
        <f>IFERROR(__xludf.DUMMYFUNCTION("""COMPUTED_VALUE"""),6.6068963E7)</f>
        <v>66068963</v>
      </c>
      <c r="N879" s="222" t="str">
        <f>IFERROR(__xludf.DUMMYFUNCTION("""COMPUTED_VALUE"""),"PT KANA PRISMA AKSES")</f>
        <v>PT KANA PRISMA AKSES</v>
      </c>
      <c r="O879" s="222" t="str">
        <f>IFERROR(__xludf.DUMMYFUNCTION("""COMPUTED_VALUE"""),"0. DROP")</f>
        <v>0. DROP</v>
      </c>
      <c r="P879" s="222" t="str">
        <f>IFERROR(__xludf.DUMMYFUNCTION("""COMPUTED_VALUE"""),"0.3 Feeder Full")</f>
        <v>0.3 Feeder Full</v>
      </c>
      <c r="Q879" s="222" t="str">
        <f>IFERROR(__xludf.DUMMYFUNCTION("""COMPUTED_VALUE"""),"16/10 Feeder Habis")</f>
        <v>16/10 Feeder Habis</v>
      </c>
      <c r="R879" s="228"/>
      <c r="S879" s="11"/>
      <c r="T879" s="11"/>
      <c r="U879" s="11"/>
      <c r="V879" s="229"/>
      <c r="W879" s="229"/>
      <c r="X879" s="229" t="str">
        <f>IFERROR(__xludf.DUMMYFUNCTION("""COMPUTED_VALUE"""),"BELUM GOLIVE")</f>
        <v>BELUM GOLIVE</v>
      </c>
      <c r="Y879" s="229"/>
      <c r="Z879" s="229" t="str">
        <f>IFERROR(__xludf.DUMMYFUNCTION("""COMPUTED_VALUE"""),"#N/A")</f>
        <v>#N/A</v>
      </c>
      <c r="AA879" s="229"/>
      <c r="AB879" s="229"/>
      <c r="AC879" s="229"/>
      <c r="AD879" s="232"/>
      <c r="AE879" s="233"/>
      <c r="AF879" s="54"/>
      <c r="AG879" s="54"/>
      <c r="AH879" s="54"/>
      <c r="AI879" s="55" t="str">
        <f t="shared" si="91"/>
        <v/>
      </c>
      <c r="AW879" s="234"/>
      <c r="BP879" s="11"/>
      <c r="BQ879" s="11"/>
      <c r="BR879" s="235"/>
      <c r="BV879" s="158"/>
      <c r="BY879" s="158"/>
      <c r="CB879" s="158"/>
    </row>
    <row r="880" ht="18.0" customHeight="1">
      <c r="A880" s="222">
        <f>IFERROR(__xludf.DUMMYFUNCTION("""COMPUTED_VALUE"""),2026.0)</f>
        <v>2026</v>
      </c>
      <c r="B880" s="221">
        <f>IFERROR(__xludf.DUMMYFUNCTION("""COMPUTED_VALUE"""),1.1167876E7)</f>
        <v>11167876</v>
      </c>
      <c r="C880" s="222" t="str">
        <f>IFERROR(__xludf.DUMMYFUNCTION("""COMPUTED_VALUE"""),"RKP PT3 JPP LBJ-FCW KAV.  KP. BUNTUNG")</f>
        <v>RKP PT3 JPP LBJ-FCW KAV.  KP. BUNTUNG</v>
      </c>
      <c r="D880" s="222" t="str">
        <f>IFERROR(__xludf.DUMMYFUNCTION("""COMPUTED_VALUE"""),"REGIONAL I")</f>
        <v>REGIONAL I</v>
      </c>
      <c r="E880" s="222" t="str">
        <f>IFERROR(__xludf.DUMMYFUNCTION("""COMPUTED_VALUE"""),"RIKEP")</f>
        <v>RIKEP</v>
      </c>
      <c r="F880" s="222" t="str">
        <f>IFERROR(__xludf.DUMMYFUNCTION("""COMPUTED_VALUE"""),"LBJ")</f>
        <v>LBJ</v>
      </c>
      <c r="G880" s="222" t="str">
        <f>IFERROR(__xludf.DUMMYFUNCTION("""COMPUTED_VALUE"""),"SUMBAGTENG")</f>
        <v>SUMBAGTENG</v>
      </c>
      <c r="H880" s="222" t="str">
        <f>IFERROR(__xludf.DUMMYFUNCTION("""COMPUTED_VALUE"""),"BATAM")</f>
        <v>BATAM</v>
      </c>
      <c r="I880" s="222" t="str">
        <f>IFERROR(__xludf.DUMMYFUNCTION("""COMPUTED_VALUE"""),"Batch 2")</f>
        <v>Batch 2</v>
      </c>
      <c r="J880" s="225">
        <f>IFERROR(__xludf.DUMMYFUNCTION("""COMPUTED_VALUE"""),3.0)</f>
        <v>3</v>
      </c>
      <c r="K880" s="224">
        <f>IFERROR(__xludf.DUMMYFUNCTION("""COMPUTED_VALUE"""),24.0)</f>
        <v>24</v>
      </c>
      <c r="L880" s="226">
        <f>IFERROR(__xludf.DUMMYFUNCTION("""COMPUTED_VALUE"""),1032108.0)</f>
        <v>1032108</v>
      </c>
      <c r="M880" s="227">
        <f>IFERROR(__xludf.DUMMYFUNCTION("""COMPUTED_VALUE"""),2.4770591E7)</f>
        <v>24770591</v>
      </c>
      <c r="N880" s="222" t="str">
        <f>IFERROR(__xludf.DUMMYFUNCTION("""COMPUTED_VALUE"""),"PT HDUA PUTRA PRAJODA")</f>
        <v>PT HDUA PUTRA PRAJODA</v>
      </c>
      <c r="O880" s="222" t="str">
        <f>IFERROR(__xludf.DUMMYFUNCTION("""COMPUTED_VALUE"""),"0. DROP")</f>
        <v>0. DROP</v>
      </c>
      <c r="P880" s="222" t="str">
        <f>IFERROR(__xludf.DUMMYFUNCTION("""COMPUTED_VALUE"""),"0.2 Tidak Dapat Izin Warga/Kades/Lurah/Developer")</f>
        <v>0.2 Tidak Dapat Izin Warga/Kades/Lurah/Developer</v>
      </c>
      <c r="Q880" s="222" t="str">
        <f>IFERROR(__xludf.DUMMYFUNCTION("""COMPUTED_VALUE"""),"30/03 RT di tolak RT dan meminta pindah 2 tiang eksisting. 04/03 RT acc dengan syarat pindahkan 2 tiang yang sudah di laporlkan dari lama. 20/02 RT acc dengan syarat pindahkan 2 tiang yang sudah di laporlkan dari lama. 16/02 Plan Survey 17 Feb.11/02 Peral"&amp;"ihan mitra. 28/01 Plan survey 29 Jan. 28/01 Mitra tripola belum ada PIC untuk anwijzing. 23/01 Plan anwijzing 26 Jan, pic mitra ada pertanggal 25 jan. 21/01 proses penunjukan mitra ")</f>
        <v>30/03 RT di tolak RT dan meminta pindah 2 tiang eksisting. 04/03 RT acc dengan syarat pindahkan 2 tiang yang sudah di laporlkan dari lama. 20/02 RT acc dengan syarat pindahkan 2 tiang yang sudah di laporlkan dari lama. 16/02 Plan Survey 17 Feb.11/02 Peralihan mitra. 28/01 Plan survey 29 Jan. 28/01 Mitra tripola belum ada PIC untuk anwijzing. 23/01 Plan anwijzing 26 Jan, pic mitra ada pertanggal 25 jan. 21/01 proses penunjukan mitra </v>
      </c>
      <c r="R880" s="228"/>
      <c r="S880" s="11"/>
      <c r="T880" s="11"/>
      <c r="U880" s="11"/>
      <c r="V880" s="229" t="str">
        <f>IFERROR(__xludf.DUMMYFUNCTION("""COMPUTED_VALUE"""),"RONALDO LEO INFANTRI")</f>
        <v>RONALDO LEO INFANTRI</v>
      </c>
      <c r="W880" s="229" t="str">
        <f>IFERROR(__xludf.DUMMYFUNCTION("""COMPUTED_VALUE"""),"LEVITA INDRIYANI")</f>
        <v>LEVITA INDRIYANI</v>
      </c>
      <c r="X880" s="229" t="str">
        <f>IFERROR(__xludf.DUMMYFUNCTION("""COMPUTED_VALUE"""),"BELUM GOLIVE")</f>
        <v>BELUM GOLIVE</v>
      </c>
      <c r="Y880" s="229"/>
      <c r="Z880" s="229" t="str">
        <f>IFERROR(__xludf.DUMMYFUNCTION("""COMPUTED_VALUE"""),"#N/A")</f>
        <v>#N/A</v>
      </c>
      <c r="AA880" s="229"/>
      <c r="AB880" s="229"/>
      <c r="AC880" s="229"/>
      <c r="AD880" s="232"/>
      <c r="AE880" s="233"/>
      <c r="AF880" s="54"/>
      <c r="AG880" s="54"/>
      <c r="AH880" s="54"/>
      <c r="AI880" s="55" t="str">
        <f t="shared" si="91"/>
        <v/>
      </c>
      <c r="AW880" s="234"/>
      <c r="BP880" s="11"/>
      <c r="BQ880" s="11"/>
      <c r="BR880" s="235"/>
      <c r="BV880" s="158"/>
      <c r="BY880" s="158"/>
      <c r="CB880" s="158"/>
    </row>
    <row r="881" ht="18.0" hidden="1" customHeight="1">
      <c r="A881" s="222">
        <f>IFERROR(__xludf.DUMMYFUNCTION("""COMPUTED_VALUE"""),2026.0)</f>
        <v>2026</v>
      </c>
      <c r="B881" s="221">
        <f>IFERROR(__xludf.DUMMYFUNCTION("""COMPUTED_VALUE"""),1.1278068E7)</f>
        <v>11278068</v>
      </c>
      <c r="C881" s="222" t="str">
        <f>IFERROR(__xludf.DUMMYFUNCTION("""COMPUTED_VALUE"""),"BNK-PT3-JPPTSEL-Kota Agung Seluma-TIS-FD")</f>
        <v>BNK-PT3-JPPTSEL-Kota Agung Seluma-TIS-FD</v>
      </c>
      <c r="D881" s="222" t="str">
        <f>IFERROR(__xludf.DUMMYFUNCTION("""COMPUTED_VALUE"""),"REGIONAL I")</f>
        <v>REGIONAL I</v>
      </c>
      <c r="E881" s="222" t="str">
        <f>IFERROR(__xludf.DUMMYFUNCTION("""COMPUTED_VALUE"""),"BENGKULU")</f>
        <v>BENGKULU</v>
      </c>
      <c r="F881" s="222" t="str">
        <f>IFERROR(__xludf.DUMMYFUNCTION("""COMPUTED_VALUE"""),"TIS")</f>
        <v>TIS</v>
      </c>
      <c r="G881" s="222" t="str">
        <f>IFERROR(__xludf.DUMMYFUNCTION("""COMPUTED_VALUE"""),"SUMBAGSEL")</f>
        <v>SUMBAGSEL</v>
      </c>
      <c r="H881" s="222" t="str">
        <f>IFERROR(__xludf.DUMMYFUNCTION("""COMPUTED_VALUE"""),"BENGKULU")</f>
        <v>BENGKULU</v>
      </c>
      <c r="I881" s="222" t="str">
        <f>IFERROR(__xludf.DUMMYFUNCTION("""COMPUTED_VALUE"""),"Batch 2")</f>
        <v>Batch 2</v>
      </c>
      <c r="J881" s="225">
        <f>IFERROR(__xludf.DUMMYFUNCTION("""COMPUTED_VALUE"""),37.0)</f>
        <v>37</v>
      </c>
      <c r="K881" s="224">
        <f>IFERROR(__xludf.DUMMYFUNCTION("""COMPUTED_VALUE"""),296.0)</f>
        <v>296</v>
      </c>
      <c r="L881" s="226">
        <f>IFERROR(__xludf.DUMMYFUNCTION("""COMPUTED_VALUE"""),1032003.0)</f>
        <v>1032003</v>
      </c>
      <c r="M881" s="227">
        <f>IFERROR(__xludf.DUMMYFUNCTION("""COMPUTED_VALUE"""),3.05472726E8)</f>
        <v>305472726</v>
      </c>
      <c r="N881" s="222"/>
      <c r="O881" s="222" t="str">
        <f>IFERROR(__xludf.DUMMYFUNCTION("""COMPUTED_VALUE"""),"0. DROP")</f>
        <v>0. DROP</v>
      </c>
      <c r="P881" s="222" t="str">
        <f>IFERROR(__xludf.DUMMYFUNCTION("""COMPUTED_VALUE"""),"0.1 Double Order")</f>
        <v>0.1 Double Order</v>
      </c>
      <c r="Q881" s="222" t="str">
        <f>IFERROR(__xludf.DUMMYFUNCTION("""COMPUTED_VALUE"""),"22/01 : Double Order 11316646  BNK-PT4-TIS-JPPTSEL-KOTA AGUNG")</f>
        <v>22/01 : Double Order 11316646  BNK-PT4-TIS-JPPTSEL-KOTA AGUNG</v>
      </c>
      <c r="R881" s="228"/>
      <c r="S881" s="11"/>
      <c r="T881" s="11"/>
      <c r="U881" s="11"/>
      <c r="V881" s="229"/>
      <c r="W881" s="229"/>
      <c r="X881" s="229" t="str">
        <f>IFERROR(__xludf.DUMMYFUNCTION("""COMPUTED_VALUE"""),"BELUM GOLIVE")</f>
        <v>BELUM GOLIVE</v>
      </c>
      <c r="Y881" s="229"/>
      <c r="Z881" s="229"/>
      <c r="AA881" s="229"/>
      <c r="AB881" s="229"/>
      <c r="AC881" s="229"/>
      <c r="AD881" s="232"/>
      <c r="AE881" s="233"/>
      <c r="AF881" s="54" t="str">
        <f>IFERROR(__xludf.DUMMYFUNCTION("""COMPUTED_VALUE"""),"Draft BA DROP")</f>
        <v>Draft BA DROP</v>
      </c>
      <c r="AG881" s="54"/>
      <c r="AH881" s="54"/>
      <c r="AI881" s="55" t="str">
        <f t="shared" si="91"/>
        <v/>
      </c>
      <c r="AW881" s="234"/>
      <c r="BP881" s="11"/>
      <c r="BQ881" s="11"/>
      <c r="BR881" s="235"/>
      <c r="BV881" s="158"/>
      <c r="BY881" s="158"/>
      <c r="CB881" s="158"/>
    </row>
    <row r="882" ht="18.0" hidden="1" customHeight="1">
      <c r="A882" s="222">
        <f>IFERROR(__xludf.DUMMYFUNCTION("""COMPUTED_VALUE"""),2026.0)</f>
        <v>2026</v>
      </c>
      <c r="B882" s="221">
        <f>IFERROR(__xludf.DUMMYFUNCTION("""COMPUTED_VALUE"""),1.1136533E7)</f>
        <v>11136533</v>
      </c>
      <c r="C882" s="222" t="str">
        <f>IFERROR(__xludf.DUMMYFUNCTION("""COMPUTED_VALUE"""),"MDN PT3 PDB-FJ PERUMAHAN GREEN MANSION_")</f>
        <v>MDN PT3 PDB-FJ PERUMAHAN GREEN MANSION_</v>
      </c>
      <c r="D882" s="222" t="str">
        <f>IFERROR(__xludf.DUMMYFUNCTION("""COMPUTED_VALUE"""),"REGIONAL I")</f>
        <v>REGIONAL I</v>
      </c>
      <c r="E882" s="222" t="str">
        <f>IFERROR(__xludf.DUMMYFUNCTION("""COMPUTED_VALUE"""),"MEDAN")</f>
        <v>MEDAN</v>
      </c>
      <c r="F882" s="222" t="str">
        <f>IFERROR(__xludf.DUMMYFUNCTION("""COMPUTED_VALUE"""),"PDB")</f>
        <v>PDB</v>
      </c>
      <c r="G882" s="222" t="str">
        <f>IFERROR(__xludf.DUMMYFUNCTION("""COMPUTED_VALUE"""),"SUMBAGUT")</f>
        <v>SUMBAGUT</v>
      </c>
      <c r="H882" s="222" t="str">
        <f>IFERROR(__xludf.DUMMYFUNCTION("""COMPUTED_VALUE"""),"MEDAN")</f>
        <v>MEDAN</v>
      </c>
      <c r="I882" s="222" t="str">
        <f>IFERROR(__xludf.DUMMYFUNCTION("""COMPUTED_VALUE"""),"Batch 2")</f>
        <v>Batch 2</v>
      </c>
      <c r="J882" s="225">
        <f>IFERROR(__xludf.DUMMYFUNCTION("""COMPUTED_VALUE"""),2.0)</f>
        <v>2</v>
      </c>
      <c r="K882" s="224">
        <f>IFERROR(__xludf.DUMMYFUNCTION("""COMPUTED_VALUE"""),16.0)</f>
        <v>16</v>
      </c>
      <c r="L882" s="226">
        <f>IFERROR(__xludf.DUMMYFUNCTION("""COMPUTED_VALUE"""),1031767.0)</f>
        <v>1031767</v>
      </c>
      <c r="M882" s="227">
        <f>IFERROR(__xludf.DUMMYFUNCTION("""COMPUTED_VALUE"""),1.6508257E7)</f>
        <v>16508257</v>
      </c>
      <c r="N882" s="222" t="str">
        <f>IFERROR(__xludf.DUMMYFUNCTION("""COMPUTED_VALUE"""),"PT WALET SOLUSINDO")</f>
        <v>PT WALET SOLUSINDO</v>
      </c>
      <c r="O882" s="222" t="str">
        <f>IFERROR(__xludf.DUMMYFUNCTION("""COMPUTED_VALUE"""),"0. DROP")</f>
        <v>0. DROP</v>
      </c>
      <c r="P882" s="222" t="str">
        <f>IFERROR(__xludf.DUMMYFUNCTION("""COMPUTED_VALUE"""),"0.2 Tidak Dapat Izin Warga/Kades/Lurah/Developer")</f>
        <v>0.2 Tidak Dapat Izin Warga/Kades/Lurah/Developer</v>
      </c>
      <c r="Q882" s="222" t="str">
        <f>IFERROR(__xludf.DUMMYFUNCTION("""COMPUTED_VALUE"""),"Tidak Ada Space Tanam Tiang (07/01) Persiapan")</f>
        <v>Tidak Ada Space Tanam Tiang (07/01) Persiapan</v>
      </c>
      <c r="R882" s="228"/>
      <c r="S882" s="11"/>
      <c r="T882" s="11"/>
      <c r="U882" s="11"/>
      <c r="V882" s="229"/>
      <c r="W882" s="229"/>
      <c r="X882" s="229" t="str">
        <f>IFERROR(__xludf.DUMMYFUNCTION("""COMPUTED_VALUE"""),"BELUM GOLIVE")</f>
        <v>BELUM GOLIVE</v>
      </c>
      <c r="Y882" s="229"/>
      <c r="Z882" s="229" t="str">
        <f>IFERROR(__xludf.DUMMYFUNCTION("""COMPUTED_VALUE"""),"#N/A")</f>
        <v>#N/A</v>
      </c>
      <c r="AA882" s="229"/>
      <c r="AB882" s="229"/>
      <c r="AC882" s="229"/>
      <c r="AD882" s="232"/>
      <c r="AE882" s="233"/>
      <c r="AF882" s="54" t="str">
        <f>IFERROR(__xludf.DUMMYFUNCTION("""COMPUTED_VALUE"""),"Draft BA DROP")</f>
        <v>Draft BA DROP</v>
      </c>
      <c r="AG882" s="54"/>
      <c r="AH882" s="54"/>
      <c r="AI882" s="55" t="str">
        <f t="shared" si="91"/>
        <v/>
      </c>
      <c r="AW882" s="234"/>
      <c r="BP882" s="11"/>
      <c r="BQ882" s="11"/>
      <c r="BR882" s="235"/>
      <c r="BV882" s="158"/>
      <c r="BY882" s="158"/>
      <c r="CB882" s="158"/>
    </row>
    <row r="883" ht="18.0" customHeight="1">
      <c r="A883" s="222">
        <f>IFERROR(__xludf.DUMMYFUNCTION("""COMPUTED_VALUE"""),2026.0)</f>
        <v>2026</v>
      </c>
      <c r="B883" s="221">
        <f>IFERROR(__xludf.DUMMYFUNCTION("""COMPUTED_VALUE"""),1.1128989E7)</f>
        <v>11128989</v>
      </c>
      <c r="C883" s="222" t="str">
        <f>IFERROR(__xludf.DUMMYFUNCTION("""COMPUTED_VALUE"""),"RKP PT4 JPP SGT-FC JL BASIKA P. BURUNG")</f>
        <v>RKP PT4 JPP SGT-FC JL BASIKA P. BURUNG</v>
      </c>
      <c r="D883" s="222" t="str">
        <f>IFERROR(__xludf.DUMMYFUNCTION("""COMPUTED_VALUE"""),"REGIONAL I")</f>
        <v>REGIONAL I</v>
      </c>
      <c r="E883" s="222" t="str">
        <f>IFERROR(__xludf.DUMMYFUNCTION("""COMPUTED_VALUE"""),"RIKEP")</f>
        <v>RIKEP</v>
      </c>
      <c r="F883" s="222" t="str">
        <f>IFERROR(__xludf.DUMMYFUNCTION("""COMPUTED_VALUE"""),"SGT")</f>
        <v>SGT</v>
      </c>
      <c r="G883" s="222" t="str">
        <f>IFERROR(__xludf.DUMMYFUNCTION("""COMPUTED_VALUE"""),"SUMBAGTENG")</f>
        <v>SUMBAGTENG</v>
      </c>
      <c r="H883" s="222" t="str">
        <f>IFERROR(__xludf.DUMMYFUNCTION("""COMPUTED_VALUE"""),"BATAM")</f>
        <v>BATAM</v>
      </c>
      <c r="I883" s="222" t="str">
        <f>IFERROR(__xludf.DUMMYFUNCTION("""COMPUTED_VALUE"""),"Batch 2")</f>
        <v>Batch 2</v>
      </c>
      <c r="J883" s="225">
        <f>IFERROR(__xludf.DUMMYFUNCTION("""COMPUTED_VALUE"""),27.0)</f>
        <v>27</v>
      </c>
      <c r="K883" s="224">
        <f>IFERROR(__xludf.DUMMYFUNCTION("""COMPUTED_VALUE"""),216.0)</f>
        <v>216</v>
      </c>
      <c r="L883" s="226">
        <f>IFERROR(__xludf.DUMMYFUNCTION("""COMPUTED_VALUE"""),1031504.0)</f>
        <v>1031504</v>
      </c>
      <c r="M883" s="227">
        <f>IFERROR(__xludf.DUMMYFUNCTION("""COMPUTED_VALUE"""),2.22804856E8)</f>
        <v>222804856</v>
      </c>
      <c r="N883" s="222" t="str">
        <f>IFERROR(__xludf.DUMMYFUNCTION("""COMPUTED_VALUE"""),"SWAKELOLA")</f>
        <v>SWAKELOLA</v>
      </c>
      <c r="O883" s="222" t="str">
        <f>IFERROR(__xludf.DUMMYFUNCTION("""COMPUTED_VALUE"""),"0. DROP")</f>
        <v>0. DROP</v>
      </c>
      <c r="P883" s="222" t="str">
        <f>IFERROR(__xludf.DUMMYFUNCTION("""COMPUTED_VALUE"""),"0.3 Feeder Full")</f>
        <v>0.3 Feeder Full</v>
      </c>
      <c r="Q883" s="222" t="str">
        <f>IFERROR(__xludf.DUMMYFUNCTION("""COMPUTED_VALUE"""),"21/01 Hold karena SGT-FC feeder full, butuh PT4 narik dari mini OLT namun pihak RSUP meminta legal dari telkom, sudah di infokan ke AOM namun blm ada kejelasan dari pihak RSUP pulau burung, case sudah dari 2024.")</f>
        <v>21/01 Hold karena SGT-FC feeder full, butuh PT4 narik dari mini OLT namun pihak RSUP meminta legal dari telkom, sudah di infokan ke AOM namun blm ada kejelasan dari pihak RSUP pulau burung, case sudah dari 2024.</v>
      </c>
      <c r="R883" s="228"/>
      <c r="S883" s="11"/>
      <c r="T883" s="11"/>
      <c r="U883" s="11"/>
      <c r="V883" s="229" t="str">
        <f>IFERROR(__xludf.DUMMYFUNCTION("""COMPUTED_VALUE"""),"MOHAMMAD FAUZY")</f>
        <v>MOHAMMAD FAUZY</v>
      </c>
      <c r="W883" s="229" t="str">
        <f>IFERROR(__xludf.DUMMYFUNCTION("""COMPUTED_VALUE"""),"LEVITA INDRIYANI")</f>
        <v>LEVITA INDRIYANI</v>
      </c>
      <c r="X883" s="229" t="str">
        <f>IFERROR(__xludf.DUMMYFUNCTION("""COMPUTED_VALUE"""),"BELUM GOLIVE")</f>
        <v>BELUM GOLIVE</v>
      </c>
      <c r="Y883" s="229"/>
      <c r="Z883" s="229" t="str">
        <f>IFERROR(__xludf.DUMMYFUNCTION("""COMPUTED_VALUE"""),"#N/A")</f>
        <v>#N/A</v>
      </c>
      <c r="AA883" s="229"/>
      <c r="AB883" s="229"/>
      <c r="AC883" s="229"/>
      <c r="AD883" s="232"/>
      <c r="AE883" s="233"/>
      <c r="AF883" s="54" t="str">
        <f>IFERROR(__xludf.DUMMYFUNCTION("""COMPUTED_VALUE"""),"Draft BA DROP")</f>
        <v>Draft BA DROP</v>
      </c>
      <c r="AG883" s="54"/>
      <c r="AH883" s="54">
        <v>46137.0</v>
      </c>
      <c r="AI883" s="237">
        <f>AH883-NOW()</f>
        <v>-3.377989907</v>
      </c>
      <c r="AJ883" s="229" t="str">
        <f>if(AI883&gt;=0,"In Komitmen","Out Komitmen")</f>
        <v>Out Komitmen</v>
      </c>
      <c r="AW883" s="234"/>
      <c r="BP883" s="11"/>
      <c r="BQ883" s="11"/>
      <c r="BR883" s="235"/>
      <c r="BV883" s="158"/>
      <c r="BY883" s="158"/>
      <c r="CB883" s="158"/>
    </row>
    <row r="884" ht="18.0" customHeight="1">
      <c r="A884" s="222">
        <f>IFERROR(__xludf.DUMMYFUNCTION("""COMPUTED_VALUE"""),2026.0)</f>
        <v>2026</v>
      </c>
      <c r="B884" s="221">
        <f>IFERROR(__xludf.DUMMYFUNCTION("""COMPUTED_VALUE"""),1.1802193E7)</f>
        <v>11802193</v>
      </c>
      <c r="C884" s="222" t="str">
        <f>IFERROR(__xludf.DUMMYFUNCTION("""COMPUTED_VALUE"""),"SMB P3I2 DEPAN KOLIVERA IHSAN")</f>
        <v>SMB P3I2 DEPAN KOLIVERA IHSAN</v>
      </c>
      <c r="D884" s="222" t="str">
        <f>IFERROR(__xludf.DUMMYFUNCTION("""COMPUTED_VALUE"""),"REGIONAL I")</f>
        <v>REGIONAL I</v>
      </c>
      <c r="E884" s="222" t="str">
        <f>IFERROR(__xludf.DUMMYFUNCTION("""COMPUTED_VALUE"""),"SUMBAR")</f>
        <v>SUMBAR</v>
      </c>
      <c r="F884" s="222" t="str">
        <f>IFERROR(__xludf.DUMMYFUNCTION("""COMPUTED_VALUE"""),"PYK")</f>
        <v>PYK</v>
      </c>
      <c r="G884" s="222" t="str">
        <f>IFERROR(__xludf.DUMMYFUNCTION("""COMPUTED_VALUE"""),"SUMBAGTENG")</f>
        <v>SUMBAGTENG</v>
      </c>
      <c r="H884" s="222" t="str">
        <f>IFERROR(__xludf.DUMMYFUNCTION("""COMPUTED_VALUE"""),"BUKIT TINGGI")</f>
        <v>BUKIT TINGGI</v>
      </c>
      <c r="I884" s="222" t="str">
        <f>IFERROR(__xludf.DUMMYFUNCTION("""COMPUTED_VALUE"""),"Batch 2")</f>
        <v>Batch 2</v>
      </c>
      <c r="J884" s="225">
        <f>IFERROR(__xludf.DUMMYFUNCTION("""COMPUTED_VALUE"""),3.0)</f>
        <v>3</v>
      </c>
      <c r="K884" s="224">
        <f>IFERROR(__xludf.DUMMYFUNCTION("""COMPUTED_VALUE"""),24.0)</f>
        <v>24</v>
      </c>
      <c r="L884" s="226">
        <f>IFERROR(__xludf.DUMMYFUNCTION("""COMPUTED_VALUE"""),1031303.0)</f>
        <v>1031303</v>
      </c>
      <c r="M884" s="227">
        <f>IFERROR(__xludf.DUMMYFUNCTION("""COMPUTED_VALUE"""),2.4751259E7)</f>
        <v>24751259</v>
      </c>
      <c r="N884" s="222" t="str">
        <f>IFERROR(__xludf.DUMMYFUNCTION("""COMPUTED_VALUE"""),"PT RATRI PRIMA MANDIRI")</f>
        <v>PT RATRI PRIMA MANDIRI</v>
      </c>
      <c r="O884" s="222" t="str">
        <f>IFERROR(__xludf.DUMMYFUNCTION("""COMPUTED_VALUE"""),"7. GOLIVE")</f>
        <v>7. GOLIVE</v>
      </c>
      <c r="P884" s="222" t="str">
        <f>IFERROR(__xludf.DUMMYFUNCTION("""COMPUTED_VALUE"""),"7.2 Golive Full / OA / DONE OTB")</f>
        <v>7.2 Golive Full / OA / DONE OTB</v>
      </c>
      <c r="Q884" s="222" t="str">
        <f>IFERROR(__xludf.DUMMYFUNCTION("""COMPUTED_VALUE"""),"(27/04) ABD done ke SDI  (20/04) penarikan kabel (10/04) Proses aanwijziing , LOP HOLD FEEDER FULL ACC GO (26/01)  kendala feeder PYK-FM FULL")</f>
        <v>(27/04) ABD done ke SDI  (20/04) penarikan kabel (10/04) Proses aanwijziing , LOP HOLD FEEDER FULL ACC GO (26/01)  kendala feeder PYK-FM FULL</v>
      </c>
      <c r="R884" s="228">
        <f>IFERROR(__xludf.DUMMYFUNCTION("""COMPUTED_VALUE"""),46139.0)</f>
        <v>46139</v>
      </c>
      <c r="S884" s="11"/>
      <c r="T884" s="11"/>
      <c r="U884" s="11"/>
      <c r="V884" s="229" t="str">
        <f>IFERROR(__xludf.DUMMYFUNCTION("""COMPUTED_VALUE"""),"M. ARIF HAMADI")</f>
        <v>M. ARIF HAMADI</v>
      </c>
      <c r="W884" s="229" t="str">
        <f>IFERROR(__xludf.DUMMYFUNCTION("""COMPUTED_VALUE"""),"MELKO NARWADI")</f>
        <v>MELKO NARWADI</v>
      </c>
      <c r="X884" s="229" t="str">
        <f>IFERROR(__xludf.DUMMYFUNCTION("""COMPUTED_VALUE"""),"GOLIVE")</f>
        <v>GOLIVE</v>
      </c>
      <c r="Y884" s="229" t="str">
        <f>IFERROR(__xludf.DUMMYFUNCTION("""COMPUTED_VALUE"""),"DONE")</f>
        <v>DONE</v>
      </c>
      <c r="Z884" s="229" t="str">
        <f>IFERROR(__xludf.DUMMYFUNCTION("""COMPUTED_VALUE"""),"#N/A")</f>
        <v>#N/A</v>
      </c>
      <c r="AA884" s="229">
        <f>IFERROR(__xludf.DUMMYFUNCTION("""COMPUTED_VALUE"""),3.0)</f>
        <v>3</v>
      </c>
      <c r="AB884" s="229"/>
      <c r="AC884" s="229" t="str">
        <f>IFERROR(__xludf.DUMMYFUNCTION("""COMPUTED_VALUE"""),"9311116#9311121")</f>
        <v>9311116#9311121</v>
      </c>
      <c r="AD884" s="232">
        <f>IFERROR(__xludf.DUMMYFUNCTION("""COMPUTED_VALUE"""),24.0)</f>
        <v>24</v>
      </c>
      <c r="AE884" s="233">
        <f>IFERROR(__xludf.DUMMYFUNCTION("""COMPUTED_VALUE"""),46139.0)</f>
        <v>46139</v>
      </c>
      <c r="AF884" s="54" t="str">
        <f>IFERROR(__xludf.DUMMYFUNCTION("""COMPUTED_VALUE"""),"Draft BA DROP")</f>
        <v>Draft BA DROP</v>
      </c>
      <c r="AG884" s="54"/>
      <c r="AH884" s="54"/>
      <c r="AI884" s="55">
        <f t="shared" ref="AI884:AI888" si="92">IF(OR(R884="",AE884=""),"",R884-AE884)</f>
        <v>0</v>
      </c>
      <c r="AW884" s="234"/>
      <c r="BP884" s="11"/>
      <c r="BQ884" s="11"/>
      <c r="BR884" s="235"/>
      <c r="BV884" s="158"/>
      <c r="BY884" s="158"/>
      <c r="CB884" s="158"/>
    </row>
    <row r="885" ht="18.0" customHeight="1">
      <c r="A885" s="222">
        <f>IFERROR(__xludf.DUMMYFUNCTION("""COMPUTED_VALUE"""),2026.0)</f>
        <v>2026</v>
      </c>
      <c r="B885" s="221">
        <f>IFERROR(__xludf.DUMMYFUNCTION("""COMPUTED_VALUE"""),1.2077715E7)</f>
        <v>12077715</v>
      </c>
      <c r="C885" s="222" t="str">
        <f>IFERROR(__xludf.DUMMYFUNCTION("""COMPUTED_VALUE"""),"RKP TSEL PT3 BDS-FL TIBAN LAMA")</f>
        <v>RKP TSEL PT3 BDS-FL TIBAN LAMA</v>
      </c>
      <c r="D885" s="222" t="str">
        <f>IFERROR(__xludf.DUMMYFUNCTION("""COMPUTED_VALUE"""),"REGIONAL I")</f>
        <v>REGIONAL I</v>
      </c>
      <c r="E885" s="222" t="str">
        <f>IFERROR(__xludf.DUMMYFUNCTION("""COMPUTED_VALUE"""),"RIKEP")</f>
        <v>RIKEP</v>
      </c>
      <c r="F885" s="222" t="str">
        <f>IFERROR(__xludf.DUMMYFUNCTION("""COMPUTED_VALUE"""),"DGS")</f>
        <v>DGS</v>
      </c>
      <c r="G885" s="222" t="str">
        <f>IFERROR(__xludf.DUMMYFUNCTION("""COMPUTED_VALUE"""),"SUMBAGTENG")</f>
        <v>SUMBAGTENG</v>
      </c>
      <c r="H885" s="222" t="str">
        <f>IFERROR(__xludf.DUMMYFUNCTION("""COMPUTED_VALUE"""),"BATAM")</f>
        <v>BATAM</v>
      </c>
      <c r="I885" s="222" t="str">
        <f>IFERROR(__xludf.DUMMYFUNCTION("""COMPUTED_VALUE"""),"Batch 2")</f>
        <v>Batch 2</v>
      </c>
      <c r="J885" s="225">
        <f>IFERROR(__xludf.DUMMYFUNCTION("""COMPUTED_VALUE"""),2.0)</f>
        <v>2</v>
      </c>
      <c r="K885" s="224">
        <f>IFERROR(__xludf.DUMMYFUNCTION("""COMPUTED_VALUE"""),16.0)</f>
        <v>16</v>
      </c>
      <c r="L885" s="226">
        <f>IFERROR(__xludf.DUMMYFUNCTION("""COMPUTED_VALUE"""),1030929.0)</f>
        <v>1030929</v>
      </c>
      <c r="M885" s="227">
        <f>IFERROR(__xludf.DUMMYFUNCTION("""COMPUTED_VALUE"""),1.6494858E7)</f>
        <v>16494858</v>
      </c>
      <c r="N885" s="222" t="str">
        <f>IFERROR(__xludf.DUMMYFUNCTION("""COMPUTED_VALUE"""),"PT HDUA PUTRA PRAJODA")</f>
        <v>PT HDUA PUTRA PRAJODA</v>
      </c>
      <c r="O885" s="222" t="str">
        <f>IFERROR(__xludf.DUMMYFUNCTION("""COMPUTED_VALUE"""),"0. DROP")</f>
        <v>0. DROP</v>
      </c>
      <c r="P885" s="222" t="str">
        <f>IFERROR(__xludf.DUMMYFUNCTION("""COMPUTED_VALUE"""),"0.2 Tidak Dapat Izin Warga/Kades/Lurah/Developer")</f>
        <v>0.2 Tidak Dapat Izin Warga/Kades/Lurah/Developer</v>
      </c>
      <c r="Q885" s="222" t="str">
        <f>IFERROR(__xludf.DUMMYFUNCTION("""COMPUTED_VALUE"""),"26/01 Izin di tolak oleh perangkat setempat. 21/01 Plan survey 29 Jan")</f>
        <v>26/01 Izin di tolak oleh perangkat setempat. 21/01 Plan survey 29 Jan</v>
      </c>
      <c r="R885" s="228"/>
      <c r="S885" s="11"/>
      <c r="T885" s="11"/>
      <c r="U885" s="11"/>
      <c r="V885" s="229" t="str">
        <f>IFERROR(__xludf.DUMMYFUNCTION("""COMPUTED_VALUE"""),"GANI PRASTYO")</f>
        <v>GANI PRASTYO</v>
      </c>
      <c r="W885" s="229" t="str">
        <f>IFERROR(__xludf.DUMMYFUNCTION("""COMPUTED_VALUE"""),"LEVITA INDRIYANI")</f>
        <v>LEVITA INDRIYANI</v>
      </c>
      <c r="X885" s="229" t="str">
        <f>IFERROR(__xludf.DUMMYFUNCTION("""COMPUTED_VALUE"""),"BELUM GOLIVE")</f>
        <v>BELUM GOLIVE</v>
      </c>
      <c r="Y885" s="229"/>
      <c r="Z885" s="229" t="str">
        <f>IFERROR(__xludf.DUMMYFUNCTION("""COMPUTED_VALUE"""),"#N/A")</f>
        <v>#N/A</v>
      </c>
      <c r="AA885" s="229"/>
      <c r="AB885" s="229"/>
      <c r="AC885" s="229"/>
      <c r="AD885" s="232"/>
      <c r="AE885" s="233"/>
      <c r="AF885" s="54" t="str">
        <f>IFERROR(__xludf.DUMMYFUNCTION("""COMPUTED_VALUE"""),"Draft BA DROP")</f>
        <v>Draft BA DROP</v>
      </c>
      <c r="AG885" s="54"/>
      <c r="AH885" s="54"/>
      <c r="AI885" s="55" t="str">
        <f t="shared" si="92"/>
        <v/>
      </c>
      <c r="AW885" s="234"/>
      <c r="BP885" s="11"/>
      <c r="BQ885" s="11"/>
      <c r="BR885" s="235"/>
      <c r="BV885" s="158"/>
      <c r="BY885" s="158"/>
      <c r="CB885" s="158"/>
    </row>
    <row r="886" ht="18.0" hidden="1" customHeight="1">
      <c r="A886" s="222">
        <f>IFERROR(__xludf.DUMMYFUNCTION("""COMPUTED_VALUE"""),2026.0)</f>
        <v>2026</v>
      </c>
      <c r="B886" s="221">
        <f>IFERROR(__xludf.DUMMYFUNCTION("""COMPUTED_VALUE"""),1.1187785E7)</f>
        <v>11187785</v>
      </c>
      <c r="C886" s="222" t="str">
        <f>IFERROR(__xludf.DUMMYFUNCTION("""COMPUTED_VALUE"""),"MDN PT3 P7I11 TMU-FE JL.PUSKESMAS")</f>
        <v>MDN PT3 P7I11 TMU-FE JL.PUSKESMAS</v>
      </c>
      <c r="D886" s="222" t="str">
        <f>IFERROR(__xludf.DUMMYFUNCTION("""COMPUTED_VALUE"""),"REGIONAL I")</f>
        <v>REGIONAL I</v>
      </c>
      <c r="E886" s="222" t="str">
        <f>IFERROR(__xludf.DUMMYFUNCTION("""COMPUTED_VALUE"""),"MEDAN")</f>
        <v>MEDAN</v>
      </c>
      <c r="F886" s="222" t="str">
        <f>IFERROR(__xludf.DUMMYFUNCTION("""COMPUTED_VALUE"""),"TMU")</f>
        <v>TMU</v>
      </c>
      <c r="G886" s="222" t="str">
        <f>IFERROR(__xludf.DUMMYFUNCTION("""COMPUTED_VALUE"""),"SUMBAGUT")</f>
        <v>SUMBAGUT</v>
      </c>
      <c r="H886" s="222" t="str">
        <f>IFERROR(__xludf.DUMMYFUNCTION("""COMPUTED_VALUE"""),"MEDAN")</f>
        <v>MEDAN</v>
      </c>
      <c r="I886" s="222" t="str">
        <f>IFERROR(__xludf.DUMMYFUNCTION("""COMPUTED_VALUE"""),"Batch 2")</f>
        <v>Batch 2</v>
      </c>
      <c r="J886" s="225">
        <f>IFERROR(__xludf.DUMMYFUNCTION("""COMPUTED_VALUE"""),4.0)</f>
        <v>4</v>
      </c>
      <c r="K886" s="224">
        <f>IFERROR(__xludf.DUMMYFUNCTION("""COMPUTED_VALUE"""),32.0)</f>
        <v>32</v>
      </c>
      <c r="L886" s="226">
        <f>IFERROR(__xludf.DUMMYFUNCTION("""COMPUTED_VALUE"""),443536.0)</f>
        <v>443536</v>
      </c>
      <c r="M886" s="227">
        <f>IFERROR(__xludf.DUMMYFUNCTION("""COMPUTED_VALUE"""),1.4193121E7)</f>
        <v>14193121</v>
      </c>
      <c r="N886" s="222" t="str">
        <f>IFERROR(__xludf.DUMMYFUNCTION("""COMPUTED_VALUE"""),"PT DUL JAYA TAMA")</f>
        <v>PT DUL JAYA TAMA</v>
      </c>
      <c r="O886" s="222" t="str">
        <f>IFERROR(__xludf.DUMMYFUNCTION("""COMPUTED_VALUE"""),"0. DROP")</f>
        <v>0. DROP</v>
      </c>
      <c r="P886" s="222" t="str">
        <f>IFERROR(__xludf.DUMMYFUNCTION("""COMPUTED_VALUE"""),"0.3 Feeder Full")</f>
        <v>0.3 Feeder Full</v>
      </c>
      <c r="Q886" s="222" t="str">
        <f>IFERROR(__xludf.DUMMYFUNCTION("""COMPUTED_VALUE"""),"08/03 Feeder Penuh 29/01 Done Order, lnjut Aanwidzing")</f>
        <v>08/03 Feeder Penuh 29/01 Done Order, lnjut Aanwidzing</v>
      </c>
      <c r="R886" s="228"/>
      <c r="S886" s="11"/>
      <c r="T886" s="11"/>
      <c r="U886" s="11"/>
      <c r="V886" s="229"/>
      <c r="W886" s="229"/>
      <c r="X886" s="229" t="str">
        <f>IFERROR(__xludf.DUMMYFUNCTION("""COMPUTED_VALUE"""),"BELUM GOLIVE")</f>
        <v>BELUM GOLIVE</v>
      </c>
      <c r="Y886" s="229"/>
      <c r="Z886" s="229" t="str">
        <f>IFERROR(__xludf.DUMMYFUNCTION("""COMPUTED_VALUE"""),"#N/A")</f>
        <v>#N/A</v>
      </c>
      <c r="AA886" s="229"/>
      <c r="AB886" s="229"/>
      <c r="AC886" s="229"/>
      <c r="AD886" s="232"/>
      <c r="AE886" s="233"/>
      <c r="AF886" s="54"/>
      <c r="AG886" s="54"/>
      <c r="AH886" s="54"/>
      <c r="AI886" s="55" t="str">
        <f t="shared" si="92"/>
        <v/>
      </c>
      <c r="AW886" s="234"/>
      <c r="BP886" s="11"/>
      <c r="BQ886" s="11"/>
      <c r="BR886" s="235"/>
      <c r="BV886" s="158"/>
      <c r="BY886" s="158"/>
      <c r="CB886" s="158"/>
    </row>
    <row r="887" ht="18.0" customHeight="1">
      <c r="A887" s="222">
        <f>IFERROR(__xludf.DUMMYFUNCTION("""COMPUTED_VALUE"""),2026.0)</f>
        <v>2026</v>
      </c>
      <c r="B887" s="221">
        <f>IFERROR(__xludf.DUMMYFUNCTION("""COMPUTED_VALUE"""),1.1247494E7)</f>
        <v>11247494</v>
      </c>
      <c r="C887" s="222" t="str">
        <f>IFERROR(__xludf.DUMMYFUNCTION("""COMPUTED_VALUE"""),"SMB PT3 MD PADANG PARIAMAN_908")</f>
        <v>SMB PT3 MD PADANG PARIAMAN_908</v>
      </c>
      <c r="D887" s="222" t="str">
        <f>IFERROR(__xludf.DUMMYFUNCTION("""COMPUTED_VALUE"""),"REGIONAL I")</f>
        <v>REGIONAL I</v>
      </c>
      <c r="E887" s="222" t="str">
        <f>IFERROR(__xludf.DUMMYFUNCTION("""COMPUTED_VALUE"""),"SUMBAR")</f>
        <v>SUMBAR</v>
      </c>
      <c r="F887" s="222" t="str">
        <f>IFERROR(__xludf.DUMMYFUNCTION("""COMPUTED_VALUE"""),"LBA")</f>
        <v>LBA</v>
      </c>
      <c r="G887" s="222" t="str">
        <f>IFERROR(__xludf.DUMMYFUNCTION("""COMPUTED_VALUE"""),"SUMBAGTENG")</f>
        <v>SUMBAGTENG</v>
      </c>
      <c r="H887" s="222" t="str">
        <f>IFERROR(__xludf.DUMMYFUNCTION("""COMPUTED_VALUE"""),"BUKIT TINGGI")</f>
        <v>BUKIT TINGGI</v>
      </c>
      <c r="I887" s="222" t="str">
        <f>IFERROR(__xludf.DUMMYFUNCTION("""COMPUTED_VALUE"""),"Batch 2")</f>
        <v>Batch 2</v>
      </c>
      <c r="J887" s="225">
        <f>IFERROR(__xludf.DUMMYFUNCTION("""COMPUTED_VALUE"""),11.0)</f>
        <v>11</v>
      </c>
      <c r="K887" s="224">
        <f>IFERROR(__xludf.DUMMYFUNCTION("""COMPUTED_VALUE"""),88.0)</f>
        <v>88</v>
      </c>
      <c r="L887" s="226">
        <f>IFERROR(__xludf.DUMMYFUNCTION("""COMPUTED_VALUE"""),1030922.0)</f>
        <v>1030922</v>
      </c>
      <c r="M887" s="227">
        <f>IFERROR(__xludf.DUMMYFUNCTION("""COMPUTED_VALUE"""),9.0721111E7)</f>
        <v>90721111</v>
      </c>
      <c r="N887" s="222" t="str">
        <f>IFERROR(__xludf.DUMMYFUNCTION("""COMPUTED_VALUE"""),"PT PUTRI JAYA AKSES")</f>
        <v>PT PUTRI JAYA AKSES</v>
      </c>
      <c r="O887" s="222" t="str">
        <f>IFERROR(__xludf.DUMMYFUNCTION("""COMPUTED_VALUE"""),"0. DROP")</f>
        <v>0. DROP</v>
      </c>
      <c r="P887" s="222" t="str">
        <f>IFERROR(__xludf.DUMMYFUNCTION("""COMPUTED_VALUE"""),"0.2 Tidak Dapat Izin Warga/Kades/Lurah/Developer")</f>
        <v>0.2 Tidak Dapat Izin Warga/Kades/Lurah/Developer</v>
      </c>
      <c r="Q887" s="222" t="str">
        <f>IFERROR(__xludf.DUMMYFUNCTION("""COMPUTED_VALUE"""),"(04/03) Lokasi terdampak bencana, jembatan putus akses matdel material tidak bisa dan juga belum di izinkan untuk kerja di lokasi (02/03) proses aanwijziing (26/01) DROP, permintaan tsel (tidak potensial) ")</f>
        <v>(04/03) Lokasi terdampak bencana, jembatan putus akses matdel material tidak bisa dan juga belum di izinkan untuk kerja di lokasi (02/03) proses aanwijziing (26/01) DROP, permintaan tsel (tidak potensial) </v>
      </c>
      <c r="R887" s="228"/>
      <c r="S887" s="11"/>
      <c r="T887" s="11"/>
      <c r="U887" s="11"/>
      <c r="V887" s="229"/>
      <c r="W887" s="229"/>
      <c r="X887" s="229" t="str">
        <f>IFERROR(__xludf.DUMMYFUNCTION("""COMPUTED_VALUE"""),"BELUM GOLIVE")</f>
        <v>BELUM GOLIVE</v>
      </c>
      <c r="Y887" s="229"/>
      <c r="Z887" s="229" t="str">
        <f>IFERROR(__xludf.DUMMYFUNCTION("""COMPUTED_VALUE"""),"#N/A")</f>
        <v>#N/A</v>
      </c>
      <c r="AA887" s="229"/>
      <c r="AB887" s="229"/>
      <c r="AC887" s="229"/>
      <c r="AD887" s="232"/>
      <c r="AE887" s="233"/>
      <c r="AF887" s="54"/>
      <c r="AG887" s="54"/>
      <c r="AH887" s="54"/>
      <c r="AI887" s="55" t="str">
        <f t="shared" si="92"/>
        <v/>
      </c>
      <c r="AW887" s="234"/>
      <c r="BP887" s="11"/>
      <c r="BQ887" s="11"/>
      <c r="BR887" s="235"/>
      <c r="BV887" s="158"/>
      <c r="BY887" s="158"/>
      <c r="CB887" s="158"/>
    </row>
    <row r="888" ht="18.0" customHeight="1">
      <c r="A888" s="222">
        <f>IFERROR(__xludf.DUMMYFUNCTION("""COMPUTED_VALUE"""),2026.0)</f>
        <v>2026</v>
      </c>
      <c r="B888" s="221">
        <f>IFERROR(__xludf.DUMMYFUNCTION("""COMPUTED_VALUE"""),1.1516486E7)</f>
        <v>11516486</v>
      </c>
      <c r="C888" s="222" t="str">
        <f>IFERROR(__xludf.DUMMYFUNCTION("""COMPUTED_VALUE"""),"RKP PT3 TSEL BDS-FX TIBAN MAS INDAH")</f>
        <v>RKP PT3 TSEL BDS-FX TIBAN MAS INDAH</v>
      </c>
      <c r="D888" s="222" t="str">
        <f>IFERROR(__xludf.DUMMYFUNCTION("""COMPUTED_VALUE"""),"REGIONAL I")</f>
        <v>REGIONAL I</v>
      </c>
      <c r="E888" s="222" t="str">
        <f>IFERROR(__xludf.DUMMYFUNCTION("""COMPUTED_VALUE"""),"RIKEP")</f>
        <v>RIKEP</v>
      </c>
      <c r="F888" s="222" t="str">
        <f>IFERROR(__xludf.DUMMYFUNCTION("""COMPUTED_VALUE"""),"DGS")</f>
        <v>DGS</v>
      </c>
      <c r="G888" s="222" t="str">
        <f>IFERROR(__xludf.DUMMYFUNCTION("""COMPUTED_VALUE"""),"SUMBAGTENG")</f>
        <v>SUMBAGTENG</v>
      </c>
      <c r="H888" s="222" t="str">
        <f>IFERROR(__xludf.DUMMYFUNCTION("""COMPUTED_VALUE"""),"BATAM")</f>
        <v>BATAM</v>
      </c>
      <c r="I888" s="222" t="str">
        <f>IFERROR(__xludf.DUMMYFUNCTION("""COMPUTED_VALUE"""),"Batch 2")</f>
        <v>Batch 2</v>
      </c>
      <c r="J888" s="225">
        <f>IFERROR(__xludf.DUMMYFUNCTION("""COMPUTED_VALUE"""),7.0)</f>
        <v>7</v>
      </c>
      <c r="K888" s="224">
        <f>IFERROR(__xludf.DUMMYFUNCTION("""COMPUTED_VALUE"""),56.0)</f>
        <v>56</v>
      </c>
      <c r="L888" s="226">
        <f>IFERROR(__xludf.DUMMYFUNCTION("""COMPUTED_VALUE"""),1029649.0)</f>
        <v>1029649</v>
      </c>
      <c r="M888" s="227">
        <f>IFERROR(__xludf.DUMMYFUNCTION("""COMPUTED_VALUE"""),5.7660341E7)</f>
        <v>57660341</v>
      </c>
      <c r="N888" s="222" t="str">
        <f>IFERROR(__xludf.DUMMYFUNCTION("""COMPUTED_VALUE"""),"PT MITRA HOSINDO SEJAHTERA")</f>
        <v>PT MITRA HOSINDO SEJAHTERA</v>
      </c>
      <c r="O888" s="222" t="str">
        <f>IFERROR(__xludf.DUMMYFUNCTION("""COMPUTED_VALUE"""),"0. DROP")</f>
        <v>0. DROP</v>
      </c>
      <c r="P888" s="222" t="str">
        <f>IFERROR(__xludf.DUMMYFUNCTION("""COMPUTED_VALUE"""),"0.2 Tidak Dapat Izin Warga/Kades/Lurah/Developer")</f>
        <v>0.2 Tidak Dapat Izin Warga/Kades/Lurah/Developer</v>
      </c>
      <c r="Q888" s="222" t="str">
        <f>IFERROR(__xludf.DUMMYFUNCTION("""COMPUTED_VALUE"""),"03/03 izin tidak di acc RT. 16/02 meminta perapihan benjar DC eksisting. 09/02 sudah anwijzing dan perizinan, plan pembuatan BOQ dan KML survey. 29/01 FU kembali surat izin tgl 30 jan. 28/01 Menunggu balasan izin dari RT. 21/01 Plan survey 29 Jan")</f>
        <v>03/03 izin tidak di acc RT. 16/02 meminta perapihan benjar DC eksisting. 09/02 sudah anwijzing dan perizinan, plan pembuatan BOQ dan KML survey. 29/01 FU kembali surat izin tgl 30 jan. 28/01 Menunggu balasan izin dari RT. 21/01 Plan survey 29 Jan</v>
      </c>
      <c r="R888" s="228"/>
      <c r="S888" s="11"/>
      <c r="T888" s="11"/>
      <c r="U888" s="11"/>
      <c r="V888" s="229" t="str">
        <f>IFERROR(__xludf.DUMMYFUNCTION("""COMPUTED_VALUE"""),"GANI PRASTYO")</f>
        <v>GANI PRASTYO</v>
      </c>
      <c r="W888" s="229" t="str">
        <f>IFERROR(__xludf.DUMMYFUNCTION("""COMPUTED_VALUE"""),"LEVITA INDRIYANI")</f>
        <v>LEVITA INDRIYANI</v>
      </c>
      <c r="X888" s="229" t="str">
        <f>IFERROR(__xludf.DUMMYFUNCTION("""COMPUTED_VALUE"""),"BELUM GOLIVE")</f>
        <v>BELUM GOLIVE</v>
      </c>
      <c r="Y888" s="229"/>
      <c r="Z888" s="229" t="str">
        <f>IFERROR(__xludf.DUMMYFUNCTION("""COMPUTED_VALUE"""),"#N/A")</f>
        <v>#N/A</v>
      </c>
      <c r="AA888" s="229"/>
      <c r="AB888" s="229"/>
      <c r="AC888" s="229"/>
      <c r="AD888" s="232"/>
      <c r="AE888" s="233"/>
      <c r="AF888" s="54" t="str">
        <f>IFERROR(__xludf.DUMMYFUNCTION("""COMPUTED_VALUE"""),"Draft BA DROP")</f>
        <v>Draft BA DROP</v>
      </c>
      <c r="AG888" s="54"/>
      <c r="AH888" s="54"/>
      <c r="AI888" s="55" t="str">
        <f t="shared" si="92"/>
        <v/>
      </c>
      <c r="AW888" s="234"/>
      <c r="BP888" s="11"/>
      <c r="BQ888" s="11"/>
      <c r="BR888" s="235"/>
      <c r="BV888" s="158"/>
      <c r="BY888" s="158"/>
      <c r="CB888" s="158"/>
    </row>
    <row r="889" ht="18.0" customHeight="1">
      <c r="A889" s="222">
        <f>IFERROR(__xludf.DUMMYFUNCTION("""COMPUTED_VALUE"""),2026.0)</f>
        <v>2026</v>
      </c>
      <c r="B889" s="221">
        <f>IFERROR(__xludf.DUMMYFUNCTION("""COMPUTED_VALUE"""),1.1891341E7)</f>
        <v>11891341</v>
      </c>
      <c r="C889" s="222" t="str">
        <f>IFERROR(__xludf.DUMMYFUNCTION("""COMPUTED_VALUE"""),"RDR JPP PT3 BKN FB")</f>
        <v>RDR JPP PT3 BKN FB</v>
      </c>
      <c r="D889" s="222" t="str">
        <f>IFERROR(__xludf.DUMMYFUNCTION("""COMPUTED_VALUE"""),"REGIONAL I")</f>
        <v>REGIONAL I</v>
      </c>
      <c r="E889" s="222" t="str">
        <f>IFERROR(__xludf.DUMMYFUNCTION("""COMPUTED_VALUE"""),"RIDAR")</f>
        <v>RIDAR</v>
      </c>
      <c r="F889" s="222" t="str">
        <f>IFERROR(__xludf.DUMMYFUNCTION("""COMPUTED_VALUE"""),"BKN")</f>
        <v>BKN</v>
      </c>
      <c r="G889" s="222" t="str">
        <f>IFERROR(__xludf.DUMMYFUNCTION("""COMPUTED_VALUE"""),"SUMBAGTENG")</f>
        <v>SUMBAGTENG</v>
      </c>
      <c r="H889" s="222" t="str">
        <f>IFERROR(__xludf.DUMMYFUNCTION("""COMPUTED_VALUE"""),"DUMAI")</f>
        <v>DUMAI</v>
      </c>
      <c r="I889" s="222" t="str">
        <f>IFERROR(__xludf.DUMMYFUNCTION("""COMPUTED_VALUE"""),"Batch 2")</f>
        <v>Batch 2</v>
      </c>
      <c r="J889" s="225">
        <f>IFERROR(__xludf.DUMMYFUNCTION("""COMPUTED_VALUE"""),2.0)</f>
        <v>2</v>
      </c>
      <c r="K889" s="224">
        <f>IFERROR(__xludf.DUMMYFUNCTION("""COMPUTED_VALUE"""),16.0)</f>
        <v>16</v>
      </c>
      <c r="L889" s="226">
        <f>IFERROR(__xludf.DUMMYFUNCTION("""COMPUTED_VALUE"""),1229515.0)</f>
        <v>1229515</v>
      </c>
      <c r="M889" s="227">
        <f>IFERROR(__xludf.DUMMYFUNCTION("""COMPUTED_VALUE"""),1.967224E7)</f>
        <v>19672240</v>
      </c>
      <c r="N889" s="222" t="str">
        <f>IFERROR(__xludf.DUMMYFUNCTION("""COMPUTED_VALUE"""),"PT SINAR KEPRI SEJAHTERA")</f>
        <v>PT SINAR KEPRI SEJAHTERA</v>
      </c>
      <c r="O889" s="222" t="str">
        <f>IFERROR(__xludf.DUMMYFUNCTION("""COMPUTED_VALUE"""),"7. GOLIVE")</f>
        <v>7. GOLIVE</v>
      </c>
      <c r="P889" s="222" t="str">
        <f>IFERROR(__xludf.DUMMYFUNCTION("""COMPUTED_VALUE"""),"7.2 Golive Full / OA / DONE OTB")</f>
        <v>7.2 Golive Full / OA / DONE OTB</v>
      </c>
      <c r="Q889" s="222" t="str">
        <f>IFERROR(__xludf.DUMMYFUNCTION("""COMPUTED_VALUE"""),"21/01 Repair kabel dist eksisting (07/01) Persiapan")</f>
        <v>21/01 Repair kabel dist eksisting (07/01) Persiapan</v>
      </c>
      <c r="R889" s="228"/>
      <c r="S889" s="11"/>
      <c r="T889" s="11"/>
      <c r="U889" s="11" t="str">
        <f>IFERROR(__xludf.DUMMYFUNCTION("""COMPUTED_VALUE"""),"W08-1399/2025")</f>
        <v>W08-1399/2025</v>
      </c>
      <c r="V889" s="229" t="str">
        <f>IFERROR(__xludf.DUMMYFUNCTION("""COMPUTED_VALUE"""),"TEGUH IMAM PERDANA")</f>
        <v>TEGUH IMAM PERDANA</v>
      </c>
      <c r="W889" s="229" t="str">
        <f>IFERROR(__xludf.DUMMYFUNCTION("""COMPUTED_VALUE"""),"DESLITA RAHMADANI")</f>
        <v>DESLITA RAHMADANI</v>
      </c>
      <c r="X889" s="229" t="str">
        <f>IFERROR(__xludf.DUMMYFUNCTION("""COMPUTED_VALUE"""),"GOLIVE")</f>
        <v>GOLIVE</v>
      </c>
      <c r="Y889" s="229" t="str">
        <f>IFERROR(__xludf.DUMMYFUNCTION("""COMPUTED_VALUE"""),"DONE")</f>
        <v>DONE</v>
      </c>
      <c r="Z889" s="229" t="str">
        <f>IFERROR(__xludf.DUMMYFUNCTION("""COMPUTED_VALUE"""),"#N/A")</f>
        <v>#N/A</v>
      </c>
      <c r="AA889" s="229">
        <f>IFERROR(__xludf.DUMMYFUNCTION("""COMPUTED_VALUE"""),2.0)</f>
        <v>2</v>
      </c>
      <c r="AB889" s="229"/>
      <c r="AC889" s="229" t="str">
        <f>IFERROR(__xludf.DUMMYFUNCTION("""COMPUTED_VALUE"""),"9022650#9022655")</f>
        <v>9022650#9022655</v>
      </c>
      <c r="AD889" s="232">
        <f>IFERROR(__xludf.DUMMYFUNCTION("""COMPUTED_VALUE"""),16.0)</f>
        <v>16</v>
      </c>
      <c r="AE889" s="233">
        <f>IFERROR(__xludf.DUMMYFUNCTION("""COMPUTED_VALUE"""),46049.0)</f>
        <v>46049</v>
      </c>
      <c r="AF889" s="54"/>
      <c r="AG889" s="54"/>
      <c r="AH889" s="54"/>
      <c r="AI889" s="55" t="str">
        <f>IF(OR(AH889="",AE889=""),"",AH889-AE889)</f>
        <v/>
      </c>
      <c r="AW889" s="234"/>
      <c r="BP889" s="11"/>
      <c r="BQ889" s="11"/>
      <c r="BR889" s="235"/>
      <c r="BV889" s="158"/>
      <c r="BY889" s="158"/>
      <c r="CB889" s="158"/>
    </row>
    <row r="890" ht="18.0" hidden="1" customHeight="1">
      <c r="A890" s="222">
        <f>IFERROR(__xludf.DUMMYFUNCTION("""COMPUTED_VALUE"""),2026.0)</f>
        <v>2026</v>
      </c>
      <c r="B890" s="221">
        <f>IFERROR(__xludf.DUMMYFUNCTION("""COMPUTED_VALUE"""),1.204362E7)</f>
        <v>12043620</v>
      </c>
      <c r="C890" s="222" t="str">
        <f>IFERROR(__xludf.DUMMYFUNCTION("""COMPUTED_VALUE"""),"SMU PT3 KIS-FBG CLUST DESA SENTANG")</f>
        <v>SMU PT3 KIS-FBG CLUST DESA SENTANG</v>
      </c>
      <c r="D890" s="222" t="str">
        <f>IFERROR(__xludf.DUMMYFUNCTION("""COMPUTED_VALUE"""),"REGIONAL I")</f>
        <v>REGIONAL I</v>
      </c>
      <c r="E890" s="222" t="str">
        <f>IFERROR(__xludf.DUMMYFUNCTION("""COMPUTED_VALUE"""),"SUMUT")</f>
        <v>SUMUT</v>
      </c>
      <c r="F890" s="222" t="str">
        <f>IFERROR(__xludf.DUMMYFUNCTION("""COMPUTED_VALUE"""),"KIS")</f>
        <v>KIS</v>
      </c>
      <c r="G890" s="222" t="str">
        <f>IFERROR(__xludf.DUMMYFUNCTION("""COMPUTED_VALUE"""),"SUMBAGUT")</f>
        <v>SUMBAGUT</v>
      </c>
      <c r="H890" s="222" t="str">
        <f>IFERROR(__xludf.DUMMYFUNCTION("""COMPUTED_VALUE"""),"RANTAU PRAPAT")</f>
        <v>RANTAU PRAPAT</v>
      </c>
      <c r="I890" s="222" t="str">
        <f>IFERROR(__xludf.DUMMYFUNCTION("""COMPUTED_VALUE"""),"Batch 2")</f>
        <v>Batch 2</v>
      </c>
      <c r="J890" s="225">
        <f>IFERROR(__xludf.DUMMYFUNCTION("""COMPUTED_VALUE"""),6.0)</f>
        <v>6</v>
      </c>
      <c r="K890" s="224">
        <f>IFERROR(__xludf.DUMMYFUNCTION("""COMPUTED_VALUE"""),48.0)</f>
        <v>48</v>
      </c>
      <c r="L890" s="226">
        <f>IFERROR(__xludf.DUMMYFUNCTION("""COMPUTED_VALUE"""),1029435.0)</f>
        <v>1029435</v>
      </c>
      <c r="M890" s="227">
        <f>IFERROR(__xludf.DUMMYFUNCTION("""COMPUTED_VALUE"""),4.9412878E7)</f>
        <v>49412878</v>
      </c>
      <c r="N890" s="222" t="str">
        <f>IFERROR(__xludf.DUMMYFUNCTION("""COMPUTED_VALUE"""),"PT MITRA SETIA INDONESIA")</f>
        <v>PT MITRA SETIA INDONESIA</v>
      </c>
      <c r="O890" s="222" t="str">
        <f>IFERROR(__xludf.DUMMYFUNCTION("""COMPUTED_VALUE"""),"7. GOLIVE")</f>
        <v>7. GOLIVE</v>
      </c>
      <c r="P890" s="222" t="str">
        <f>IFERROR(__xludf.DUMMYFUNCTION("""COMPUTED_VALUE"""),"7.2 Golive Full / OA / DONE OTB")</f>
        <v>7.2 Golive Full / OA / DONE OTB</v>
      </c>
      <c r="Q890" s="222" t="str">
        <f>IFERROR(__xludf.DUMMYFUNCTION("""COMPUTED_VALUE"""),"15 golive full, 14/4 validasi sdi, 13/4 proses abd mancore, 9/4 plan hari ini team kelokasi sisa pekerjaan ku12 ( 980)selesai , tiang 11 selesai, odp 6 sisa 3, 8/4 plan hari ini team kelokasi sisa pekerjaan ku12 ( 980)selesai , tiang 11 selesai, odp 6 sis"&amp;"a 3, 6/4 plan hari ini team kelokasi sisa pekerjaan ku12 ( 980) sisa 400, tiang 11 selesai, odp 6 blm progres , 5/4 sisa instal odp 6 odp,  kendala izin desa belum dibayarkan, plan pembayaran ke desan selasa 31 maret (estimasi paling lambat hari rabu tgl "&amp;"1 april kalau tim tidak turun lop di alihkan ke mitra lain), 1/4 sisa instal odp 6 odp,  kendala izin desa belum dibayarkan, plan pembayaran ke desan selasa 31 maret (estimasi paling lambat hari rabu tgl 1 april kalau tim tidak turun lop di alihkan ke mit"&amp;"ra lain), 31/3 sisa instal odp 6 odp,  kendala izin desa belum dibayarkan, plan pembayaran ke desan selasa 31 maret (estimasi paling lambat hari rabu tgl 1 april kalau tim tidak turun lop di alihkan ke mitra lain), 30/3 sisa instal odp 6 odp,  kendala izi"&amp;"n desa belum dibayarkan, plan pembayaran ke desan selasa 31 maret, 27/3 sisa instal odp 6 odp,  kendala izin desa belum dibayarkan, plan pembayaran ke desan senin 30 maret, 26/3 sisa instal odp 6 odp,  kendala izin desa belum dibayarkan, 22/3 sisa instal "&amp;"odp 6 odp,  kendala izin desa belum dibayarkan,  18/3 sisa instal odp 6 odp,  kendala izin desa belum kelar,  16/3 sisa instal odp 6 odp,  kendala izin desa belum kelar, 13/3 sisa instal odp 6 odp,  11/3 sisa instal odp 6 odp, 9/3 proses gali dan tanam ti"&amp;"ang, 6/3 prepair tim untuk pengambilan material ,4/3 prepair tim untuk pengambilan material, 3/3 prepair tim untuk pengambilan material, 2/3 proses req matrial, 27/2 proses req matrial, 25/2 plan team besok 26 feb fu pengajuan izin ke desa ,24/2 plan team"&amp;" besok fu pengajuan izin ke desa , 23/2 prepair team untuk fu pengajuan izin ke desa , 20/2 proses req matrial, 19/2 prepair team untuk pengajuan izin ke desa, 18/2 prepair team untuk pengajuan izin ke desa, 16/2 proses req matrial paralel pengantar izin "&amp;"desa,  13/2 proses req matrial paralel pengantar izin desa, 12/2 proses req matrial paralel pengantar izin desa, 11/2 proses req matrial paralel pengantar izin desa, 10/2 proses req matrial paralel pengantar izin desa, 9/2 proses req matrial paralle penga"&amp;"ntar izin desa, 6/2 menunggu boq kml survey,  5/2 menunggu boq kml survey, 3/2 menunggu boq kml survey, 2/2 menunggu boq kml survey, dan hasil otdr , 1/2 menunggu boq kml survey, dan hasil otdr , 30/1 menunggu boq kml survey, dan hasil otdr , 28/1 menungg"&amp;"u boq kml survey, dan hasil otdr , 27/1 menunggu boq kml survey, 26/1 menunggu boq kml survey, 23/1 ogp survey, 22/1 plan survey 23/1 , 21/1 plan survey 22/1, 20/1 plan survey 21/1,19/1 plan survey 20/1,15/1 plan survey tanggal 17/1, 14/01 plan survey tan"&amp;"ggal 19/01, 13/01 plan survey tanggal 19/01, (07/01) Persiapan")</f>
        <v>15 golive full, 14/4 validasi sdi, 13/4 proses abd mancore, 9/4 plan hari ini team kelokasi sisa pekerjaan ku12 ( 980)selesai , tiang 11 selesai, odp 6 sisa 3, 8/4 plan hari ini team kelokasi sisa pekerjaan ku12 ( 980)selesai , tiang 11 selesai, odp 6 sisa 3, 6/4 plan hari ini team kelokasi sisa pekerjaan ku12 ( 980) sisa 400, tiang 11 selesai, odp 6 blm progres , 5/4 sisa instal odp 6 odp,  kendala izin desa belum dibayarkan, plan pembayaran ke desan selasa 31 maret (estimasi paling lambat hari rabu tgl 1 april kalau tim tidak turun lop di alihkan ke mitra lain), 1/4 sisa instal odp 6 odp,  kendala izin desa belum dibayarkan, plan pembayaran ke desan selasa 31 maret (estimasi paling lambat hari rabu tgl 1 april kalau tim tidak turun lop di alihkan ke mitra lain), 31/3 sisa instal odp 6 odp,  kendala izin desa belum dibayarkan, plan pembayaran ke desan selasa 31 maret (estimasi paling lambat hari rabu tgl 1 april kalau tim tidak turun lop di alihkan ke mitra lain), 30/3 sisa instal odp 6 odp,  kendala izin desa belum dibayarkan, plan pembayaran ke desan selasa 31 maret, 27/3 sisa instal odp 6 odp,  kendala izin desa belum dibayarkan, plan pembayaran ke desan senin 30 maret, 26/3 sisa instal odp 6 odp,  kendala izin desa belum dibayarkan, 22/3 sisa instal odp 6 odp,  kendala izin desa belum dibayarkan,  18/3 sisa instal odp 6 odp,  kendala izin desa belum kelar,  16/3 sisa instal odp 6 odp,  kendala izin desa belum kelar, 13/3 sisa instal odp 6 odp,  11/3 sisa instal odp 6 odp, 9/3 proses gali dan tanam tiang, 6/3 prepair tim untuk pengambilan material ,4/3 prepair tim untuk pengambilan material, 3/3 prepair tim untuk pengambilan material, 2/3 proses req matrial, 27/2 proses req matrial, 25/2 plan team besok 26 feb fu pengajuan izin ke desa ,24/2 plan team besok fu pengajuan izin ke desa , 23/2 prepair team untuk fu pengajuan izin ke desa , 20/2 proses req matrial, 19/2 prepair team untuk pengajuan izin ke desa, 18/2 prepair team untuk pengajuan izin ke desa, 16/2 proses req matrial paralel pengantar izin desa,  13/2 proses req matrial paralel pengantar izin desa, 12/2 proses req matrial paralel pengantar izin desa, 11/2 proses req matrial paralel pengantar izin desa, 10/2 proses req matrial paralel pengantar izin desa, 9/2 proses req matrial paralle pengantar izin desa, 6/2 menunggu boq kml survey,  5/2 menunggu boq kml survey, 3/2 menunggu boq kml survey, 2/2 menunggu boq kml survey, dan hasil otdr , 1/2 menunggu boq kml survey, dan hasil otdr , 30/1 menunggu boq kml survey, dan hasil otdr , 28/1 menunggu boq kml survey, dan hasil otdr , 27/1 menunggu boq kml survey, 26/1 menunggu boq kml survey, 23/1 ogp survey, 22/1 plan survey 23/1 , 21/1 plan survey 22/1, 20/1 plan survey 21/1,19/1 plan survey 20/1,15/1 plan survey tanggal 17/1, 14/01 plan survey tanggal 19/01, 13/01 plan survey tanggal 19/01, (07/01) Persiapan</v>
      </c>
      <c r="R890" s="228">
        <f>IFERROR(__xludf.DUMMYFUNCTION("""COMPUTED_VALUE"""),46130.0)</f>
        <v>46130</v>
      </c>
      <c r="S890" s="11" t="str">
        <f>IFERROR(__xludf.DUMMYFUNCTION("""COMPUTED_VALUE"""),"MAR")</f>
        <v>MAR</v>
      </c>
      <c r="T890" s="73"/>
      <c r="U890" s="11" t="str">
        <f>IFERROR(__xludf.DUMMYFUNCTION("""COMPUTED_VALUE"""),"TIF-1399/2026")</f>
        <v>TIF-1399/2026</v>
      </c>
      <c r="V890" s="229"/>
      <c r="W890" s="229" t="str">
        <f>IFERROR(__xludf.DUMMYFUNCTION("""COMPUTED_VALUE"""),"#N/A")</f>
        <v>#N/A</v>
      </c>
      <c r="X890" s="229" t="str">
        <f>IFERROR(__xludf.DUMMYFUNCTION("""COMPUTED_VALUE"""),"GOLIVE")</f>
        <v>GOLIVE</v>
      </c>
      <c r="Y890" s="229" t="str">
        <f>IFERROR(__xludf.DUMMYFUNCTION("""COMPUTED_VALUE"""),"DONE")</f>
        <v>DONE</v>
      </c>
      <c r="Z890" s="229" t="str">
        <f>IFERROR(__xludf.DUMMYFUNCTION("""COMPUTED_VALUE"""),"#N/A")</f>
        <v>#N/A</v>
      </c>
      <c r="AA890" s="229">
        <f>IFERROR(__xludf.DUMMYFUNCTION("""COMPUTED_VALUE"""),6.0)</f>
        <v>6</v>
      </c>
      <c r="AB890" s="229"/>
      <c r="AC890" s="229" t="str">
        <f>IFERROR(__xludf.DUMMYFUNCTION("""COMPUTED_VALUE"""),"8970393#8970398")</f>
        <v>8970393#8970398</v>
      </c>
      <c r="AD890" s="232">
        <f>IFERROR(__xludf.DUMMYFUNCTION("""COMPUTED_VALUE"""),48.0)</f>
        <v>48</v>
      </c>
      <c r="AE890" s="233">
        <f>IFERROR(__xludf.DUMMYFUNCTION("""COMPUTED_VALUE"""),46127.0)</f>
        <v>46127</v>
      </c>
      <c r="AF890" s="54"/>
      <c r="AG890" s="54"/>
      <c r="AH890" s="54">
        <v>46130.0</v>
      </c>
      <c r="AI890" s="55">
        <f t="shared" ref="AI890:AI892" si="93">IF(OR(R890="",AE890=""),"",R890-AE890)</f>
        <v>3</v>
      </c>
      <c r="AW890" s="234"/>
      <c r="BP890" s="11"/>
      <c r="BQ890" s="11"/>
      <c r="BR890" s="235"/>
      <c r="BV890" s="158"/>
      <c r="BY890" s="158"/>
      <c r="CB890" s="158"/>
    </row>
    <row r="891" ht="18.0" hidden="1" customHeight="1">
      <c r="A891" s="222">
        <f>IFERROR(__xludf.DUMMYFUNCTION("""COMPUTED_VALUE"""),2026.0)</f>
        <v>2026</v>
      </c>
      <c r="B891" s="221">
        <f>IFERROR(__xludf.DUMMYFUNCTION("""COMPUTED_VALUE"""),1.1389285E7)</f>
        <v>11389285</v>
      </c>
      <c r="C891" s="222" t="str">
        <f>IFERROR(__xludf.DUMMYFUNCTION("""COMPUTED_VALUE"""),"LPG PT3 JPP LAMPUNG TENGAH_10348 KLR")</f>
        <v>LPG PT3 JPP LAMPUNG TENGAH_10348 KLR</v>
      </c>
      <c r="D891" s="222" t="str">
        <f>IFERROR(__xludf.DUMMYFUNCTION("""COMPUTED_VALUE"""),"REGIONAL I")</f>
        <v>REGIONAL I</v>
      </c>
      <c r="E891" s="222" t="str">
        <f>IFERROR(__xludf.DUMMYFUNCTION("""COMPUTED_VALUE"""),"LAMPUNG")</f>
        <v>LAMPUNG</v>
      </c>
      <c r="F891" s="222" t="str">
        <f>IFERROR(__xludf.DUMMYFUNCTION("""COMPUTED_VALUE"""),"KLR")</f>
        <v>KLR</v>
      </c>
      <c r="G891" s="222" t="str">
        <f>IFERROR(__xludf.DUMMYFUNCTION("""COMPUTED_VALUE"""),"SUMBAGSEL")</f>
        <v>SUMBAGSEL</v>
      </c>
      <c r="H891" s="222" t="str">
        <f>IFERROR(__xludf.DUMMYFUNCTION("""COMPUTED_VALUE"""),"LAMPUNG")</f>
        <v>LAMPUNG</v>
      </c>
      <c r="I891" s="222" t="str">
        <f>IFERROR(__xludf.DUMMYFUNCTION("""COMPUTED_VALUE"""),"Batch 2")</f>
        <v>Batch 2</v>
      </c>
      <c r="J891" s="225">
        <f>IFERROR(__xludf.DUMMYFUNCTION("""COMPUTED_VALUE"""),3.0)</f>
        <v>3</v>
      </c>
      <c r="K891" s="224">
        <f>IFERROR(__xludf.DUMMYFUNCTION("""COMPUTED_VALUE"""),24.0)</f>
        <v>24</v>
      </c>
      <c r="L891" s="226">
        <f>IFERROR(__xludf.DUMMYFUNCTION("""COMPUTED_VALUE"""),1028590.0)</f>
        <v>1028590</v>
      </c>
      <c r="M891" s="227">
        <f>IFERROR(__xludf.DUMMYFUNCTION("""COMPUTED_VALUE"""),2.4686151E7)</f>
        <v>24686151</v>
      </c>
      <c r="N891" s="222" t="str">
        <f>IFERROR(__xludf.DUMMYFUNCTION("""COMPUTED_VALUE"""),"SWAKELOLA")</f>
        <v>SWAKELOLA</v>
      </c>
      <c r="O891" s="222" t="str">
        <f>IFERROR(__xludf.DUMMYFUNCTION("""COMPUTED_VALUE"""),"0. DROP")</f>
        <v>0. DROP</v>
      </c>
      <c r="P891" s="222" t="str">
        <f>IFERROR(__xludf.DUMMYFUNCTION("""COMPUTED_VALUE"""),"0.2 Tidak Dapat Izin Warga/Kades/Lurah/Developer")</f>
        <v>0.2 Tidak Dapat Izin Warga/Kades/Lurah/Developer</v>
      </c>
      <c r="Q891" s="222" t="str">
        <f>IFERROR(__xludf.DUMMYFUNCTION("""COMPUTED_VALUE"""),"10/2 tidak di ijinkan pembangunan ")</f>
        <v>10/2 tidak di ijinkan pembangunan </v>
      </c>
      <c r="R891" s="228"/>
      <c r="S891" s="11"/>
      <c r="T891" s="11"/>
      <c r="U891" s="11" t="str">
        <f>IFERROR(__xludf.DUMMYFUNCTION("""COMPUTED_VALUE"""),"W02-565/2025")</f>
        <v>W02-565/2025</v>
      </c>
      <c r="V891" s="229"/>
      <c r="W891" s="229"/>
      <c r="X891" s="229" t="str">
        <f>IFERROR(__xludf.DUMMYFUNCTION("""COMPUTED_VALUE"""),"BELUM GOLIVE")</f>
        <v>BELUM GOLIVE</v>
      </c>
      <c r="Y891" s="229"/>
      <c r="Z891" s="229" t="str">
        <f>IFERROR(__xludf.DUMMYFUNCTION("""COMPUTED_VALUE"""),"#N/A")</f>
        <v>#N/A</v>
      </c>
      <c r="AA891" s="229"/>
      <c r="AB891" s="229"/>
      <c r="AC891" s="229"/>
      <c r="AD891" s="232"/>
      <c r="AE891" s="233"/>
      <c r="AF891" s="54" t="str">
        <f>IFERROR(__xludf.DUMMYFUNCTION("""COMPUTED_VALUE"""),"Draft BA DROP")</f>
        <v>Draft BA DROP</v>
      </c>
      <c r="AG891" s="54"/>
      <c r="AH891" s="54"/>
      <c r="AI891" s="55" t="str">
        <f t="shared" si="93"/>
        <v/>
      </c>
      <c r="AW891" s="234"/>
      <c r="BP891" s="11"/>
      <c r="BQ891" s="11"/>
      <c r="BR891" s="235"/>
      <c r="BV891" s="158"/>
      <c r="BY891" s="158"/>
      <c r="CB891" s="158"/>
    </row>
    <row r="892" ht="18.0" customHeight="1">
      <c r="A892" s="222">
        <f>IFERROR(__xludf.DUMMYFUNCTION("""COMPUTED_VALUE"""),2026.0)</f>
        <v>2026</v>
      </c>
      <c r="B892" s="221">
        <f>IFERROR(__xludf.DUMMYFUNCTION("""COMPUTED_VALUE"""),1.1108293E7)</f>
        <v>11108293</v>
      </c>
      <c r="C892" s="222" t="str">
        <f>IFERROR(__xludf.DUMMYFUNCTION("""COMPUTED_VALUE"""),"SMB P1I1 STTF PADANG LUA")</f>
        <v>SMB P1I1 STTF PADANG LUA</v>
      </c>
      <c r="D892" s="222" t="str">
        <f>IFERROR(__xludf.DUMMYFUNCTION("""COMPUTED_VALUE"""),"REGIONAL I")</f>
        <v>REGIONAL I</v>
      </c>
      <c r="E892" s="222" t="str">
        <f>IFERROR(__xludf.DUMMYFUNCTION("""COMPUTED_VALUE"""),"SUMBAR")</f>
        <v>SUMBAR</v>
      </c>
      <c r="F892" s="222" t="str">
        <f>IFERROR(__xludf.DUMMYFUNCTION("""COMPUTED_VALUE"""),"SUP")</f>
        <v>SUP</v>
      </c>
      <c r="G892" s="222" t="str">
        <f>IFERROR(__xludf.DUMMYFUNCTION("""COMPUTED_VALUE"""),"SUMBAGTENG")</f>
        <v>SUMBAGTENG</v>
      </c>
      <c r="H892" s="222" t="str">
        <f>IFERROR(__xludf.DUMMYFUNCTION("""COMPUTED_VALUE"""),"BUKIT TINGGI")</f>
        <v>BUKIT TINGGI</v>
      </c>
      <c r="I892" s="222" t="str">
        <f>IFERROR(__xludf.DUMMYFUNCTION("""COMPUTED_VALUE"""),"Batch 2")</f>
        <v>Batch 2</v>
      </c>
      <c r="J892" s="225">
        <f>IFERROR(__xludf.DUMMYFUNCTION("""COMPUTED_VALUE"""),2.0)</f>
        <v>2</v>
      </c>
      <c r="K892" s="224">
        <f>IFERROR(__xludf.DUMMYFUNCTION("""COMPUTED_VALUE"""),16.0)</f>
        <v>16</v>
      </c>
      <c r="L892" s="226">
        <f>IFERROR(__xludf.DUMMYFUNCTION("""COMPUTED_VALUE"""),1028145.0)</f>
        <v>1028145</v>
      </c>
      <c r="M892" s="227">
        <f>IFERROR(__xludf.DUMMYFUNCTION("""COMPUTED_VALUE"""),1.645032E7)</f>
        <v>16450320</v>
      </c>
      <c r="N892" s="222" t="str">
        <f>IFERROR(__xludf.DUMMYFUNCTION("""COMPUTED_VALUE"""),"PT GARINDO TECHNO MANDIRI")</f>
        <v>PT GARINDO TECHNO MANDIRI</v>
      </c>
      <c r="O892" s="222" t="str">
        <f>IFERROR(__xludf.DUMMYFUNCTION("""COMPUTED_VALUE"""),"4. MATDEL")</f>
        <v>4. MATDEL</v>
      </c>
      <c r="P892" s="222" t="str">
        <f>IFERROR(__xludf.DUMMYFUNCTION("""COMPUTED_VALUE"""),"4.4 Proses Pengiriman Pabribak ke WH")</f>
        <v>4.4 Proses Pengiriman Pabribak ke WH</v>
      </c>
      <c r="Q892"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892" s="228"/>
      <c r="S892" s="11"/>
      <c r="T892" s="11"/>
      <c r="U892" s="11"/>
      <c r="V892" s="229" t="str">
        <f>IFERROR(__xludf.DUMMYFUNCTION("""COMPUTED_VALUE"""),"DELPA YANDA")</f>
        <v>DELPA YANDA</v>
      </c>
      <c r="W892" s="229" t="str">
        <f>IFERROR(__xludf.DUMMYFUNCTION("""COMPUTED_VALUE"""),"MELKO NARWADI")</f>
        <v>MELKO NARWADI</v>
      </c>
      <c r="X892" s="229" t="str">
        <f>IFERROR(__xludf.DUMMYFUNCTION("""COMPUTED_VALUE"""),"BELUM GOLIVE")</f>
        <v>BELUM GOLIVE</v>
      </c>
      <c r="Y892" s="229"/>
      <c r="Z892" s="229" t="str">
        <f>IFERROR(__xludf.DUMMYFUNCTION("""COMPUTED_VALUE"""),"#N/A")</f>
        <v>#N/A</v>
      </c>
      <c r="AA892" s="229"/>
      <c r="AB892" s="229"/>
      <c r="AC892" s="229"/>
      <c r="AD892" s="232"/>
      <c r="AE892" s="233"/>
      <c r="AF892" s="54" t="str">
        <f>IFERROR(__xludf.DUMMYFUNCTION("""COMPUTED_VALUE"""),"Draft BA DROP")</f>
        <v>Draft BA DROP</v>
      </c>
      <c r="AG892" s="54"/>
      <c r="AH892" s="54">
        <v>46116.0</v>
      </c>
      <c r="AI892" s="55" t="str">
        <f t="shared" si="93"/>
        <v/>
      </c>
      <c r="AJ892" s="229" t="str">
        <f t="shared" ref="AJ892:AJ893" si="94">if(AI892&gt;=0,"Gl in Komitmen","Gl out komitmen")</f>
        <v>Gl in Komitmen</v>
      </c>
      <c r="AW892" s="234"/>
      <c r="BP892" s="11"/>
      <c r="BQ892" s="11"/>
      <c r="BR892" s="235"/>
      <c r="BV892" s="158"/>
      <c r="BY892" s="158"/>
      <c r="CB892" s="158"/>
    </row>
    <row r="893" ht="18.0" customHeight="1">
      <c r="A893" s="222">
        <f>IFERROR(__xludf.DUMMYFUNCTION("""COMPUTED_VALUE"""),2026.0)</f>
        <v>2026</v>
      </c>
      <c r="B893" s="221">
        <f>IFERROR(__xludf.DUMMYFUNCTION("""COMPUTED_VALUE"""),1.1266582E7)</f>
        <v>11266582</v>
      </c>
      <c r="C893" s="222" t="str">
        <f>IFERROR(__xludf.DUMMYFUNCTION("""COMPUTED_VALUE"""),"RKP PT3 TSEL TBK-FZ KP. HARAPAN")</f>
        <v>RKP PT3 TSEL TBK-FZ KP. HARAPAN</v>
      </c>
      <c r="D893" s="222" t="str">
        <f>IFERROR(__xludf.DUMMYFUNCTION("""COMPUTED_VALUE"""),"REGIONAL I")</f>
        <v>REGIONAL I</v>
      </c>
      <c r="E893" s="222" t="str">
        <f>IFERROR(__xludf.DUMMYFUNCTION("""COMPUTED_VALUE"""),"RIKEP")</f>
        <v>RIKEP</v>
      </c>
      <c r="F893" s="222" t="str">
        <f>IFERROR(__xludf.DUMMYFUNCTION("""COMPUTED_VALUE"""),"TBK")</f>
        <v>TBK</v>
      </c>
      <c r="G893" s="222" t="str">
        <f>IFERROR(__xludf.DUMMYFUNCTION("""COMPUTED_VALUE"""),"SUMBAGTENG")</f>
        <v>SUMBAGTENG</v>
      </c>
      <c r="H893" s="222" t="str">
        <f>IFERROR(__xludf.DUMMYFUNCTION("""COMPUTED_VALUE"""),"BATAM")</f>
        <v>BATAM</v>
      </c>
      <c r="I893" s="222" t="str">
        <f>IFERROR(__xludf.DUMMYFUNCTION("""COMPUTED_VALUE"""),"Batch 2")</f>
        <v>Batch 2</v>
      </c>
      <c r="J893" s="225">
        <f>IFERROR(__xludf.DUMMYFUNCTION("""COMPUTED_VALUE"""),4.0)</f>
        <v>4</v>
      </c>
      <c r="K893" s="224">
        <f>IFERROR(__xludf.DUMMYFUNCTION("""COMPUTED_VALUE"""),32.0)</f>
        <v>32</v>
      </c>
      <c r="L893" s="226">
        <f>IFERROR(__xludf.DUMMYFUNCTION("""COMPUTED_VALUE"""),1028065.0)</f>
        <v>1028065</v>
      </c>
      <c r="M893" s="227">
        <f>IFERROR(__xludf.DUMMYFUNCTION("""COMPUTED_VALUE"""),3.289805E7)</f>
        <v>32898050</v>
      </c>
      <c r="N893" s="222" t="str">
        <f>IFERROR(__xludf.DUMMYFUNCTION("""COMPUTED_VALUE"""),"PT DWI MITRA JAYA UTAMA")</f>
        <v>PT DWI MITRA JAYA UTAMA</v>
      </c>
      <c r="O893" s="222" t="str">
        <f>IFERROR(__xludf.DUMMYFUNCTION("""COMPUTED_VALUE"""),"7. GOLIVE")</f>
        <v>7. GOLIVE</v>
      </c>
      <c r="P893" s="222" t="str">
        <f>IFERROR(__xludf.DUMMYFUNCTION("""COMPUTED_VALUE"""),"7.2 Golive Full / OA / DONE OTB")</f>
        <v>7.2 Golive Full / OA / DONE OTB</v>
      </c>
      <c r="Q893" s="222" t="str">
        <f>IFERROR(__xludf.DUMMYFUNCTION("""COMPUTED_VALUE"""),"01/04 Plan GL tanggal 02 Apr. 27/03 Tanam tiang. 25/03 Penanaman tiang. 16/03 Galian dan tanam tiang. 09/03 progres di mulai tanggal 11 mar, karena pic sedang sakit. 
05/03 proses perizinan tuan tanah belum acc
16/02 Izin belum di acc tuan tanah, RT OK. 0"&amp;"9/02 FU kembali izin besok 10 Feb karena PIC sedang fokus installasi. 28/01 Plan survey tanggal 29 Jan.  21/01 plan anwijzing 26 jan, peralihan mitra")</f>
        <v>01/04 Plan GL tanggal 02 Apr. 27/03 Tanam tiang. 25/03 Penanaman tiang. 16/03 Galian dan tanam tiang. 09/03 progres di mulai tanggal 11 mar, karena pic sedang sakit. 
05/03 proses perizinan tuan tanah belum acc
16/02 Izin belum di acc tuan tanah, RT OK. 09/02 FU kembali izin besok 10 Feb karena PIC sedang fokus installasi. 28/01 Plan survey tanggal 29 Jan.  21/01 plan anwijzing 26 jan, peralihan mitra</v>
      </c>
      <c r="R893" s="228">
        <f>IFERROR(__xludf.DUMMYFUNCTION("""COMPUTED_VALUE"""),46116.0)</f>
        <v>46116</v>
      </c>
      <c r="S893" s="11" t="str">
        <f>IFERROR(__xludf.DUMMYFUNCTION("""COMPUTED_VALUE"""),"APR")</f>
        <v>APR</v>
      </c>
      <c r="T893" s="73"/>
      <c r="U893" s="11" t="str">
        <f>IFERROR(__xludf.DUMMYFUNCTION("""COMPUTED_VALUE"""),"W09-288/2026")</f>
        <v>W09-288/2026</v>
      </c>
      <c r="V893" s="229" t="str">
        <f>IFERROR(__xludf.DUMMYFUNCTION("""COMPUTED_VALUE"""),"MOHAMMAD FAUZY")</f>
        <v>MOHAMMAD FAUZY</v>
      </c>
      <c r="W893" s="229" t="str">
        <f>IFERROR(__xludf.DUMMYFUNCTION("""COMPUTED_VALUE"""),"LEVITA INDRIYANI")</f>
        <v>LEVITA INDRIYANI</v>
      </c>
      <c r="X893" s="229" t="str">
        <f>IFERROR(__xludf.DUMMYFUNCTION("""COMPUTED_VALUE"""),"GOLIVE")</f>
        <v>GOLIVE</v>
      </c>
      <c r="Y893" s="229" t="str">
        <f>IFERROR(__xludf.DUMMYFUNCTION("""COMPUTED_VALUE"""),"DONE")</f>
        <v>DONE</v>
      </c>
      <c r="Z893" s="229" t="str">
        <f>IFERROR(__xludf.DUMMYFUNCTION("""COMPUTED_VALUE"""),"#N/A")</f>
        <v>#N/A</v>
      </c>
      <c r="AA893" s="229">
        <f>IFERROR(__xludf.DUMMYFUNCTION("""COMPUTED_VALUE"""),4.0)</f>
        <v>4</v>
      </c>
      <c r="AB893" s="229"/>
      <c r="AC893" s="229" t="str">
        <f>IFERROR(__xludf.DUMMYFUNCTION("""COMPUTED_VALUE"""),"9196635#9196640")</f>
        <v>9196635#9196640</v>
      </c>
      <c r="AD893" s="232">
        <f>IFERROR(__xludf.DUMMYFUNCTION("""COMPUTED_VALUE"""),32.0)</f>
        <v>32</v>
      </c>
      <c r="AE893" s="233">
        <f>IFERROR(__xludf.DUMMYFUNCTION("""COMPUTED_VALUE"""),46116.0)</f>
        <v>46116</v>
      </c>
      <c r="AF893" s="54"/>
      <c r="AG893" s="54"/>
      <c r="AH893" s="54">
        <v>46116.0</v>
      </c>
      <c r="AI893" s="55">
        <f>IF(OR(AH893="",AE893=""),"",AH893-AE893)</f>
        <v>0</v>
      </c>
      <c r="AJ893" s="229" t="str">
        <f t="shared" si="94"/>
        <v>Gl in Komitmen</v>
      </c>
      <c r="AK893" s="231" t="s">
        <v>199</v>
      </c>
      <c r="AW893" s="234"/>
      <c r="BP893" s="11"/>
      <c r="BQ893" s="11"/>
      <c r="BR893" s="235"/>
      <c r="BV893" s="158"/>
      <c r="BY893" s="158"/>
      <c r="CB893" s="158"/>
    </row>
    <row r="894" ht="18.0" hidden="1" customHeight="1">
      <c r="A894" s="222">
        <f>IFERROR(__xludf.DUMMYFUNCTION("""COMPUTED_VALUE"""),2026.0)</f>
        <v>2026</v>
      </c>
      <c r="B894" s="221">
        <f>IFERROR(__xludf.DUMMYFUNCTION("""COMPUTED_VALUE"""),1.1516595E7)</f>
        <v>11516595</v>
      </c>
      <c r="C894" s="222" t="str">
        <f>IFERROR(__xludf.DUMMYFUNCTION("""COMPUTED_VALUE"""),"ACH PT3 BAK-FA BR.D04 UJUNG MANGKI")</f>
        <v>ACH PT3 BAK-FA BR.D04 UJUNG MANGKI</v>
      </c>
      <c r="D894" s="222" t="str">
        <f>IFERROR(__xludf.DUMMYFUNCTION("""COMPUTED_VALUE"""),"REGIONAL I")</f>
        <v>REGIONAL I</v>
      </c>
      <c r="E894" s="222" t="str">
        <f>IFERROR(__xludf.DUMMYFUNCTION("""COMPUTED_VALUE"""),"ACEH")</f>
        <v>ACEH</v>
      </c>
      <c r="F894" s="222" t="str">
        <f>IFERROR(__xludf.DUMMYFUNCTION("""COMPUTED_VALUE"""),"BAK")</f>
        <v>BAK</v>
      </c>
      <c r="G894" s="222" t="str">
        <f>IFERROR(__xludf.DUMMYFUNCTION("""COMPUTED_VALUE"""),"SUMBAGUT")</f>
        <v>SUMBAGUT</v>
      </c>
      <c r="H894" s="222" t="str">
        <f>IFERROR(__xludf.DUMMYFUNCTION("""COMPUTED_VALUE"""),"BANDA ACEH")</f>
        <v>BANDA ACEH</v>
      </c>
      <c r="I894" s="222" t="str">
        <f>IFERROR(__xludf.DUMMYFUNCTION("""COMPUTED_VALUE"""),"Batch 2")</f>
        <v>Batch 2</v>
      </c>
      <c r="J894" s="225">
        <f>IFERROR(__xludf.DUMMYFUNCTION("""COMPUTED_VALUE"""),8.0)</f>
        <v>8</v>
      </c>
      <c r="K894" s="224">
        <f>IFERROR(__xludf.DUMMYFUNCTION("""COMPUTED_VALUE"""),64.0)</f>
        <v>64</v>
      </c>
      <c r="L894" s="226">
        <f>IFERROR(__xludf.DUMMYFUNCTION("""COMPUTED_VALUE"""),1027724.0)</f>
        <v>1027724</v>
      </c>
      <c r="M894" s="227">
        <f>IFERROR(__xludf.DUMMYFUNCTION("""COMPUTED_VALUE"""),6.5774301E7)</f>
        <v>65774301</v>
      </c>
      <c r="N894" s="222" t="str">
        <f>IFERROR(__xludf.DUMMYFUNCTION("""COMPUTED_VALUE"""),"PT ARA PAYA INTAN")</f>
        <v>PT ARA PAYA INTAN</v>
      </c>
      <c r="O894" s="222" t="str">
        <f>IFERROR(__xludf.DUMMYFUNCTION("""COMPUTED_VALUE"""),"7. GOLIVE")</f>
        <v>7. GOLIVE</v>
      </c>
      <c r="P894" s="222" t="str">
        <f>IFERROR(__xludf.DUMMYFUNCTION("""COMPUTED_VALUE"""),"7.2 Golive Full / OA / DONE OTB")</f>
        <v>7.2 Golive Full / OA / DONE OTB</v>
      </c>
      <c r="Q894" s="222" t="str">
        <f>IFERROR(__xludf.DUMMYFUNCTION("""COMPUTED_VALUE"""),"(09/03) Terminasi (05/03) Persiapan Terminasi (03/03) Penarikan Kabel (09/02) Tanam Tiang (06/02) delmat (29/01) Done Aanwijzing (07/01) Persiapan")</f>
        <v>(09/03) Terminasi (05/03) Persiapan Terminasi (03/03) Penarikan Kabel (09/02) Tanam Tiang (06/02) delmat (29/01) Done Aanwijzing (07/01) Persiapan</v>
      </c>
      <c r="R894" s="228">
        <f>IFERROR(__xludf.DUMMYFUNCTION("""COMPUTED_VALUE"""),46094.0)</f>
        <v>46094</v>
      </c>
      <c r="S894" s="11" t="str">
        <f>IFERROR(__xludf.DUMMYFUNCTION("""COMPUTED_VALUE"""),"MAR")</f>
        <v>MAR</v>
      </c>
      <c r="T894" s="11"/>
      <c r="U894" s="11" t="str">
        <f>IFERROR(__xludf.DUMMYFUNCTION("""COMPUTED_VALUE"""),"W04-959/2025")</f>
        <v>W04-959/2025</v>
      </c>
      <c r="V894" s="229"/>
      <c r="W894" s="229" t="str">
        <f>IFERROR(__xludf.DUMMYFUNCTION("""COMPUTED_VALUE"""),"AZMI SYUKRAN")</f>
        <v>AZMI SYUKRAN</v>
      </c>
      <c r="X894" s="229" t="str">
        <f>IFERROR(__xludf.DUMMYFUNCTION("""COMPUTED_VALUE"""),"GOLIVE")</f>
        <v>GOLIVE</v>
      </c>
      <c r="Y894" s="229" t="str">
        <f>IFERROR(__xludf.DUMMYFUNCTION("""COMPUTED_VALUE"""),"DONE")</f>
        <v>DONE</v>
      </c>
      <c r="Z894" s="229" t="str">
        <f>IFERROR(__xludf.DUMMYFUNCTION("""COMPUTED_VALUE"""),"#N/A")</f>
        <v>#N/A</v>
      </c>
      <c r="AA894" s="229">
        <f>IFERROR(__xludf.DUMMYFUNCTION("""COMPUTED_VALUE"""),8.0)</f>
        <v>8</v>
      </c>
      <c r="AB894" s="229">
        <f>IFERROR(__xludf.DUMMYFUNCTION("""COMPUTED_VALUE"""),0.0)</f>
        <v>0</v>
      </c>
      <c r="AC894" s="229" t="str">
        <f>IFERROR(__xludf.DUMMYFUNCTION("""COMPUTED_VALUE"""),"9194030#9194035")</f>
        <v>9194030#9194035</v>
      </c>
      <c r="AD894" s="232">
        <f>IFERROR(__xludf.DUMMYFUNCTION("""COMPUTED_VALUE"""),64.0)</f>
        <v>64</v>
      </c>
      <c r="AE894" s="233">
        <f>IFERROR(__xludf.DUMMYFUNCTION("""COMPUTED_VALUE"""),46092.0)</f>
        <v>46092</v>
      </c>
      <c r="AF894" s="54"/>
      <c r="AG894" s="54"/>
      <c r="AH894" s="54">
        <v>46094.0</v>
      </c>
      <c r="AI894" s="55">
        <f t="shared" ref="AI894:AI901" si="95">IF(OR(R894="",AE894=""),"",R894-AE894)</f>
        <v>2</v>
      </c>
      <c r="AW894" s="234"/>
      <c r="BP894" s="11"/>
      <c r="BQ894" s="11"/>
      <c r="BR894" s="235"/>
      <c r="BV894" s="158"/>
      <c r="BY894" s="158"/>
      <c r="CB894" s="158"/>
    </row>
    <row r="895" ht="18.0" hidden="1" customHeight="1">
      <c r="A895" s="222">
        <f>IFERROR(__xludf.DUMMYFUNCTION("""COMPUTED_VALUE"""),2026.0)</f>
        <v>2026</v>
      </c>
      <c r="B895" s="221">
        <f>IFERROR(__xludf.DUMMYFUNCTION("""COMPUTED_VALUE"""),1.1325498E7)</f>
        <v>11325498</v>
      </c>
      <c r="C895" s="222" t="str">
        <f>IFERROR(__xludf.DUMMYFUNCTION("""COMPUTED_VALUE"""),"MDN PT3 TJR-FZ DUSUN IV NAGA REJO")</f>
        <v>MDN PT3 TJR-FZ DUSUN IV NAGA REJO</v>
      </c>
      <c r="D895" s="222" t="str">
        <f>IFERROR(__xludf.DUMMYFUNCTION("""COMPUTED_VALUE"""),"REGIONAL I")</f>
        <v>REGIONAL I</v>
      </c>
      <c r="E895" s="222" t="str">
        <f>IFERROR(__xludf.DUMMYFUNCTION("""COMPUTED_VALUE"""),"MEDAN")</f>
        <v>MEDAN</v>
      </c>
      <c r="F895" s="222" t="str">
        <f>IFERROR(__xludf.DUMMYFUNCTION("""COMPUTED_VALUE"""),"TJR")</f>
        <v>TJR</v>
      </c>
      <c r="G895" s="222" t="str">
        <f>IFERROR(__xludf.DUMMYFUNCTION("""COMPUTED_VALUE"""),"SUMBAGUT")</f>
        <v>SUMBAGUT</v>
      </c>
      <c r="H895" s="222" t="str">
        <f>IFERROR(__xludf.DUMMYFUNCTION("""COMPUTED_VALUE"""),"MEDAN")</f>
        <v>MEDAN</v>
      </c>
      <c r="I895" s="222" t="str">
        <f>IFERROR(__xludf.DUMMYFUNCTION("""COMPUTED_VALUE"""),"Batch 2")</f>
        <v>Batch 2</v>
      </c>
      <c r="J895" s="225">
        <f>IFERROR(__xludf.DUMMYFUNCTION("""COMPUTED_VALUE"""),5.0)</f>
        <v>5</v>
      </c>
      <c r="K895" s="224">
        <f>IFERROR(__xludf.DUMMYFUNCTION("""COMPUTED_VALUE"""),40.0)</f>
        <v>40</v>
      </c>
      <c r="L895" s="226">
        <f>IFERROR(__xludf.DUMMYFUNCTION("""COMPUTED_VALUE"""),1230277.0)</f>
        <v>1230277</v>
      </c>
      <c r="M895" s="227">
        <f>IFERROR(__xludf.DUMMYFUNCTION("""COMPUTED_VALUE"""),4.921105E7)</f>
        <v>49211050</v>
      </c>
      <c r="N895" s="222" t="str">
        <f>IFERROR(__xludf.DUMMYFUNCTION("""COMPUTED_VALUE"""),"PT UPAYA TEKNIK")</f>
        <v>PT UPAYA TEKNIK</v>
      </c>
      <c r="O895" s="222" t="str">
        <f>IFERROR(__xludf.DUMMYFUNCTION("""COMPUTED_VALUE"""),"0. DROP")</f>
        <v>0. DROP</v>
      </c>
      <c r="P895" s="222" t="str">
        <f>IFERROR(__xludf.DUMMYFUNCTION("""COMPUTED_VALUE"""),"0.4 CPP Tinggi Acc ED TIF")</f>
        <v>0.4 CPP Tinggi Acc ED TIF</v>
      </c>
      <c r="Q895" s="222" t="str">
        <f>IFERROR(__xludf.DUMMYFUNCTION("""COMPUTED_VALUE"""),"19/02 TJR-FZ feeder redting
(07/01) Persiapan")</f>
        <v>19/02 TJR-FZ feeder redting
(07/01) Persiapan</v>
      </c>
      <c r="R895" s="228"/>
      <c r="S895" s="11"/>
      <c r="T895" s="11"/>
      <c r="U895" s="11"/>
      <c r="V895" s="229"/>
      <c r="W895" s="229"/>
      <c r="X895" s="229" t="str">
        <f>IFERROR(__xludf.DUMMYFUNCTION("""COMPUTED_VALUE"""),"BELUM GOLIVE")</f>
        <v>BELUM GOLIVE</v>
      </c>
      <c r="Y895" s="229"/>
      <c r="Z895" s="229" t="str">
        <f>IFERROR(__xludf.DUMMYFUNCTION("""COMPUTED_VALUE"""),"#N/A")</f>
        <v>#N/A</v>
      </c>
      <c r="AA895" s="229"/>
      <c r="AB895" s="229"/>
      <c r="AC895" s="229"/>
      <c r="AD895" s="232"/>
      <c r="AE895" s="233"/>
      <c r="AF895" s="54" t="str">
        <f>IFERROR(__xludf.DUMMYFUNCTION("""COMPUTED_VALUE"""),"Draft BA DROP")</f>
        <v>Draft BA DROP</v>
      </c>
      <c r="AG895" s="54"/>
      <c r="AH895" s="54"/>
      <c r="AI895" s="55" t="str">
        <f t="shared" si="95"/>
        <v/>
      </c>
      <c r="AW895" s="234"/>
      <c r="BP895" s="11"/>
      <c r="BQ895" s="11"/>
      <c r="BR895" s="235"/>
      <c r="BV895" s="158"/>
      <c r="BY895" s="158"/>
      <c r="CB895" s="158"/>
    </row>
    <row r="896" ht="18.0" customHeight="1">
      <c r="A896" s="222">
        <f>IFERROR(__xludf.DUMMYFUNCTION("""COMPUTED_VALUE"""),2026.0)</f>
        <v>2026</v>
      </c>
      <c r="B896" s="221">
        <f>IFERROR(__xludf.DUMMYFUNCTION("""COMPUTED_VALUE"""),1.149805E7)</f>
        <v>11498050</v>
      </c>
      <c r="C896" s="222" t="str">
        <f>IFERROR(__xludf.DUMMYFUNCTION("""COMPUTED_VALUE"""),"RKP PT3 TSEL SYA-FD JL R. OESMAN")</f>
        <v>RKP PT3 TSEL SYA-FD JL R. OESMAN</v>
      </c>
      <c r="D896" s="222" t="str">
        <f>IFERROR(__xludf.DUMMYFUNCTION("""COMPUTED_VALUE"""),"REGIONAL I")</f>
        <v>REGIONAL I</v>
      </c>
      <c r="E896" s="222" t="str">
        <f>IFERROR(__xludf.DUMMYFUNCTION("""COMPUTED_VALUE"""),"RIKEP")</f>
        <v>RIKEP</v>
      </c>
      <c r="F896" s="222" t="str">
        <f>IFERROR(__xludf.DUMMYFUNCTION("""COMPUTED_VALUE"""),"SYA")</f>
        <v>SYA</v>
      </c>
      <c r="G896" s="222" t="str">
        <f>IFERROR(__xludf.DUMMYFUNCTION("""COMPUTED_VALUE"""),"SUMBAGTENG")</f>
        <v>SUMBAGTENG</v>
      </c>
      <c r="H896" s="222" t="str">
        <f>IFERROR(__xludf.DUMMYFUNCTION("""COMPUTED_VALUE"""),"BATAM")</f>
        <v>BATAM</v>
      </c>
      <c r="I896" s="222" t="str">
        <f>IFERROR(__xludf.DUMMYFUNCTION("""COMPUTED_VALUE"""),"Batch 2")</f>
        <v>Batch 2</v>
      </c>
      <c r="J896" s="225">
        <f>IFERROR(__xludf.DUMMYFUNCTION("""COMPUTED_VALUE"""),1.0)</f>
        <v>1</v>
      </c>
      <c r="K896" s="224">
        <f>IFERROR(__xludf.DUMMYFUNCTION("""COMPUTED_VALUE"""),8.0)</f>
        <v>8</v>
      </c>
      <c r="L896" s="226">
        <f>IFERROR(__xludf.DUMMYFUNCTION("""COMPUTED_VALUE"""),1027265.0)</f>
        <v>1027265</v>
      </c>
      <c r="M896" s="227">
        <f>IFERROR(__xludf.DUMMYFUNCTION("""COMPUTED_VALUE"""),8218113.0)</f>
        <v>8218113</v>
      </c>
      <c r="N896" s="222" t="str">
        <f>IFERROR(__xludf.DUMMYFUNCTION("""COMPUTED_VALUE"""),"PT DWI MITRA JAYA UTAMA")</f>
        <v>PT DWI MITRA JAYA UTAMA</v>
      </c>
      <c r="O896" s="222" t="str">
        <f>IFERROR(__xludf.DUMMYFUNCTION("""COMPUTED_VALUE"""),"0. DROP")</f>
        <v>0. DROP</v>
      </c>
      <c r="P896" s="222" t="str">
        <f>IFERROR(__xludf.DUMMYFUNCTION("""COMPUTED_VALUE"""),"0.2 Tidak Dapat Izin Warga/Kades/Lurah/Developer")</f>
        <v>0.2 Tidak Dapat Izin Warga/Kades/Lurah/Developer</v>
      </c>
      <c r="Q896" s="222" t="str">
        <f>IFERROR(__xludf.DUMMYFUNCTION("""COMPUTED_VALUE"""),"03/03 izin tanam tiang tidak di acc oleh pihak kawasan sekolah, sudah di fu 3x. 16/02 dari 2 batang tiang, 1 tiang sudah ok, 1 tiang di dalam kawasan sekolah blm di acc, fu kembali. 09/02 FU kembali izin besok 10 Feb karena PIC sedang fokus installasi. 28"&amp;"/01 Plan survey tanggal 29 Jan.  21/01 plan anwijzing 26 jan, peralihan mitra")</f>
        <v>03/03 izin tanam tiang tidak di acc oleh pihak kawasan sekolah, sudah di fu 3x. 16/02 dari 2 batang tiang, 1 tiang sudah ok, 1 tiang di dalam kawasan sekolah blm di acc, fu kembali. 09/02 FU kembali izin besok 10 Feb karena PIC sedang fokus installasi. 28/01 Plan survey tanggal 29 Jan.  21/01 plan anwijzing 26 jan, peralihan mitra</v>
      </c>
      <c r="R896" s="228"/>
      <c r="S896" s="11"/>
      <c r="T896" s="11"/>
      <c r="U896" s="11"/>
      <c r="V896" s="229" t="str">
        <f>IFERROR(__xludf.DUMMYFUNCTION("""COMPUTED_VALUE"""),"MOHAMMAD FAUZY")</f>
        <v>MOHAMMAD FAUZY</v>
      </c>
      <c r="W896" s="229" t="str">
        <f>IFERROR(__xludf.DUMMYFUNCTION("""COMPUTED_VALUE"""),"LEVITA INDRIYANI")</f>
        <v>LEVITA INDRIYANI</v>
      </c>
      <c r="X896" s="229" t="str">
        <f>IFERROR(__xludf.DUMMYFUNCTION("""COMPUTED_VALUE"""),"BELUM GOLIVE")</f>
        <v>BELUM GOLIVE</v>
      </c>
      <c r="Y896" s="229"/>
      <c r="Z896" s="229" t="str">
        <f>IFERROR(__xludf.DUMMYFUNCTION("""COMPUTED_VALUE"""),"#N/A")</f>
        <v>#N/A</v>
      </c>
      <c r="AA896" s="229"/>
      <c r="AB896" s="229"/>
      <c r="AC896" s="229"/>
      <c r="AD896" s="232"/>
      <c r="AE896" s="233"/>
      <c r="AF896" s="54" t="str">
        <f>IFERROR(__xludf.DUMMYFUNCTION("""COMPUTED_VALUE"""),"Draft BA DROP")</f>
        <v>Draft BA DROP</v>
      </c>
      <c r="AG896" s="54"/>
      <c r="AH896" s="54"/>
      <c r="AI896" s="55" t="str">
        <f t="shared" si="95"/>
        <v/>
      </c>
      <c r="AW896" s="234"/>
      <c r="BP896" s="11"/>
      <c r="BQ896" s="11"/>
      <c r="BR896" s="235"/>
      <c r="BV896" s="158"/>
      <c r="BY896" s="158"/>
      <c r="CB896" s="158"/>
    </row>
    <row r="897" ht="18.0" hidden="1" customHeight="1">
      <c r="A897" s="222">
        <f>IFERROR(__xludf.DUMMYFUNCTION("""COMPUTED_VALUE"""),2026.0)</f>
        <v>2026</v>
      </c>
      <c r="B897" s="221">
        <f>IFERROR(__xludf.DUMMYFUNCTION("""COMPUTED_VALUE"""),1.1379296E7)</f>
        <v>11379296</v>
      </c>
      <c r="C897" s="222" t="str">
        <f>IFERROR(__xludf.DUMMYFUNCTION("""COMPUTED_VALUE"""),"LPG PT3 KOTA BANDAR LAMPUNG_11532")</f>
        <v>LPG PT3 KOTA BANDAR LAMPUNG_11532</v>
      </c>
      <c r="D897" s="222" t="str">
        <f>IFERROR(__xludf.DUMMYFUNCTION("""COMPUTED_VALUE"""),"REGIONAL I")</f>
        <v>REGIONAL I</v>
      </c>
      <c r="E897" s="222" t="str">
        <f>IFERROR(__xludf.DUMMYFUNCTION("""COMPUTED_VALUE"""),"LAMPUNG")</f>
        <v>LAMPUNG</v>
      </c>
      <c r="F897" s="222" t="str">
        <f>IFERROR(__xludf.DUMMYFUNCTION("""COMPUTED_VALUE"""),"KDT")</f>
        <v>KDT</v>
      </c>
      <c r="G897" s="222" t="str">
        <f>IFERROR(__xludf.DUMMYFUNCTION("""COMPUTED_VALUE"""),"SUMBAGSEL")</f>
        <v>SUMBAGSEL</v>
      </c>
      <c r="H897" s="222" t="str">
        <f>IFERROR(__xludf.DUMMYFUNCTION("""COMPUTED_VALUE"""),"LAMPUNG")</f>
        <v>LAMPUNG</v>
      </c>
      <c r="I897" s="222" t="str">
        <f>IFERROR(__xludf.DUMMYFUNCTION("""COMPUTED_VALUE"""),"Batch 2")</f>
        <v>Batch 2</v>
      </c>
      <c r="J897" s="225">
        <f>IFERROR(__xludf.DUMMYFUNCTION("""COMPUTED_VALUE"""),6.0)</f>
        <v>6</v>
      </c>
      <c r="K897" s="224">
        <f>IFERROR(__xludf.DUMMYFUNCTION("""COMPUTED_VALUE"""),48.0)</f>
        <v>48</v>
      </c>
      <c r="L897" s="226">
        <f>IFERROR(__xludf.DUMMYFUNCTION("""COMPUTED_VALUE"""),1026488.0)</f>
        <v>1026488</v>
      </c>
      <c r="M897" s="227">
        <f>IFERROR(__xludf.DUMMYFUNCTION("""COMPUTED_VALUE"""),4.9271397E7)</f>
        <v>49271397</v>
      </c>
      <c r="N897" s="222" t="str">
        <f>IFERROR(__xludf.DUMMYFUNCTION("""COMPUTED_VALUE"""),"PT GARINDO TECHNO MANDIRI")</f>
        <v>PT GARINDO TECHNO MANDIRI</v>
      </c>
      <c r="O897" s="222" t="str">
        <f>IFERROR(__xludf.DUMMYFUNCTION("""COMPUTED_VALUE"""),"0. DROP")</f>
        <v>0. DROP</v>
      </c>
      <c r="P897" s="222" t="str">
        <f>IFERROR(__xludf.DUMMYFUNCTION("""COMPUTED_VALUE"""),"0.2 Tidak Dapat Izin Warga/Kades/Lurah/Developer")</f>
        <v>0.2 Tidak Dapat Izin Warga/Kades/Lurah/Developer</v>
      </c>
      <c r="Q897" s="222" t="str">
        <f>IFERROR(__xludf.DUMMYFUNCTION("""COMPUTED_VALUE"""),"14/1 Tidak Dapat Izin Dari Lurah")</f>
        <v>14/1 Tidak Dapat Izin Dari Lurah</v>
      </c>
      <c r="R897" s="228"/>
      <c r="S897" s="11"/>
      <c r="T897" s="11"/>
      <c r="U897" s="11"/>
      <c r="V897" s="229"/>
      <c r="W897" s="229"/>
      <c r="X897" s="229" t="str">
        <f>IFERROR(__xludf.DUMMYFUNCTION("""COMPUTED_VALUE"""),"BELUM GOLIVE")</f>
        <v>BELUM GOLIVE</v>
      </c>
      <c r="Y897" s="229"/>
      <c r="Z897" s="229" t="str">
        <f>IFERROR(__xludf.DUMMYFUNCTION("""COMPUTED_VALUE"""),"#N/A")</f>
        <v>#N/A</v>
      </c>
      <c r="AA897" s="229"/>
      <c r="AB897" s="229"/>
      <c r="AC897" s="229"/>
      <c r="AD897" s="232"/>
      <c r="AE897" s="233"/>
      <c r="AF897" s="54" t="str">
        <f>IFERROR(__xludf.DUMMYFUNCTION("""COMPUTED_VALUE"""),"Draft BA DROP")</f>
        <v>Draft BA DROP</v>
      </c>
      <c r="AG897" s="54"/>
      <c r="AH897" s="54"/>
      <c r="AI897" s="55" t="str">
        <f t="shared" si="95"/>
        <v/>
      </c>
      <c r="AW897" s="234"/>
      <c r="BP897" s="11"/>
      <c r="BQ897" s="11"/>
      <c r="BR897" s="235"/>
      <c r="BV897" s="158"/>
      <c r="BY897" s="158"/>
      <c r="CB897" s="158"/>
    </row>
    <row r="898" ht="18.0" hidden="1" customHeight="1">
      <c r="A898" s="222">
        <f>IFERROR(__xludf.DUMMYFUNCTION("""COMPUTED_VALUE"""),2026.0)</f>
        <v>2026</v>
      </c>
      <c r="B898" s="221">
        <f>IFERROR(__xludf.DUMMYFUNCTION("""COMPUTED_VALUE"""),1.1346712E7)</f>
        <v>11346712</v>
      </c>
      <c r="C898" s="222" t="str">
        <f>IFERROR(__xludf.DUMMYFUNCTION("""COMPUTED_VALUE"""),"ACH PT3 LBR-FW D06 PERUM TANJUNG INDAH")</f>
        <v>ACH PT3 LBR-FW D06 PERUM TANJUNG INDAH</v>
      </c>
      <c r="D898" s="222" t="str">
        <f>IFERROR(__xludf.DUMMYFUNCTION("""COMPUTED_VALUE"""),"REGIONAL I")</f>
        <v>REGIONAL I</v>
      </c>
      <c r="E898" s="222" t="str">
        <f>IFERROR(__xludf.DUMMYFUNCTION("""COMPUTED_VALUE"""),"ACEH")</f>
        <v>ACEH</v>
      </c>
      <c r="F898" s="222" t="str">
        <f>IFERROR(__xludf.DUMMYFUNCTION("""COMPUTED_VALUE"""),"LBR")</f>
        <v>LBR</v>
      </c>
      <c r="G898" s="222" t="str">
        <f>IFERROR(__xludf.DUMMYFUNCTION("""COMPUTED_VALUE"""),"SUMBAGUT")</f>
        <v>SUMBAGUT</v>
      </c>
      <c r="H898" s="222" t="str">
        <f>IFERROR(__xludf.DUMMYFUNCTION("""COMPUTED_VALUE"""),"BANDA ACEH")</f>
        <v>BANDA ACEH</v>
      </c>
      <c r="I898" s="222" t="str">
        <f>IFERROR(__xludf.DUMMYFUNCTION("""COMPUTED_VALUE"""),"Batch 2")</f>
        <v>Batch 2</v>
      </c>
      <c r="J898" s="225">
        <f>IFERROR(__xludf.DUMMYFUNCTION("""COMPUTED_VALUE"""),7.0)</f>
        <v>7</v>
      </c>
      <c r="K898" s="224">
        <f>IFERROR(__xludf.DUMMYFUNCTION("""COMPUTED_VALUE"""),56.0)</f>
        <v>56</v>
      </c>
      <c r="L898" s="226">
        <f>IFERROR(__xludf.DUMMYFUNCTION("""COMPUTED_VALUE"""),1026471.0)</f>
        <v>1026471</v>
      </c>
      <c r="M898" s="227">
        <f>IFERROR(__xludf.DUMMYFUNCTION("""COMPUTED_VALUE"""),5.7482331E7)</f>
        <v>57482331</v>
      </c>
      <c r="N898" s="222" t="str">
        <f>IFERROR(__xludf.DUMMYFUNCTION("""COMPUTED_VALUE"""),"PT TRIPOLA PANATA")</f>
        <v>PT TRIPOLA PANATA</v>
      </c>
      <c r="O898" s="222" t="str">
        <f>IFERROR(__xludf.DUMMYFUNCTION("""COMPUTED_VALUE"""),"7. GOLIVE")</f>
        <v>7. GOLIVE</v>
      </c>
      <c r="P898" s="222" t="str">
        <f>IFERROR(__xludf.DUMMYFUNCTION("""COMPUTED_VALUE"""),"7.2 Golive Full / OA / DONE OTB")</f>
        <v>7.2 Golive Full / OA / DONE OTB</v>
      </c>
      <c r="Q898" s="222" t="str">
        <f>IFERROR(__xludf.DUMMYFUNCTION("""COMPUTED_VALUE"""),"(28/01) ABD Mancore (25/01) Terminasi (20/01) Penarikan Kabel (12/01) Tanam Tiang (07/01) Persiapan")</f>
        <v>(28/01) ABD Mancore (25/01) Terminasi (20/01) Penarikan Kabel (12/01) Tanam Tiang (07/01) Persiapan</v>
      </c>
      <c r="R898" s="228">
        <f>IFERROR(__xludf.DUMMYFUNCTION("""COMPUTED_VALUE"""),46052.0)</f>
        <v>46052</v>
      </c>
      <c r="S898" s="11"/>
      <c r="T898" s="11"/>
      <c r="U898" s="11" t="str">
        <f>IFERROR(__xludf.DUMMYFUNCTION("""COMPUTED_VALUE"""),"W04-952/2025")</f>
        <v>W04-952/2025</v>
      </c>
      <c r="V898" s="229"/>
      <c r="W898" s="229"/>
      <c r="X898" s="229" t="str">
        <f>IFERROR(__xludf.DUMMYFUNCTION("""COMPUTED_VALUE"""),"GOLIVE")</f>
        <v>GOLIVE</v>
      </c>
      <c r="Y898" s="229" t="str">
        <f>IFERROR(__xludf.DUMMYFUNCTION("""COMPUTED_VALUE"""),"DONE")</f>
        <v>DONE</v>
      </c>
      <c r="Z898" s="229" t="str">
        <f>IFERROR(__xludf.DUMMYFUNCTION("""COMPUTED_VALUE"""),"#N/A")</f>
        <v>#N/A</v>
      </c>
      <c r="AA898" s="229">
        <f>IFERROR(__xludf.DUMMYFUNCTION("""COMPUTED_VALUE"""),7.0)</f>
        <v>7</v>
      </c>
      <c r="AB898" s="229"/>
      <c r="AC898" s="229" t="str">
        <f>IFERROR(__xludf.DUMMYFUNCTION("""COMPUTED_VALUE"""),"9019453#9019458")</f>
        <v>9019453#9019458</v>
      </c>
      <c r="AD898" s="232">
        <f>IFERROR(__xludf.DUMMYFUNCTION("""COMPUTED_VALUE"""),56.0)</f>
        <v>56</v>
      </c>
      <c r="AE898" s="233">
        <f>IFERROR(__xludf.DUMMYFUNCTION("""COMPUTED_VALUE"""),46052.0)</f>
        <v>46052</v>
      </c>
      <c r="AF898" s="54"/>
      <c r="AG898" s="54"/>
      <c r="AH898" s="54">
        <v>46052.0</v>
      </c>
      <c r="AI898" s="55">
        <f t="shared" si="95"/>
        <v>0</v>
      </c>
      <c r="AW898" s="234"/>
      <c r="BP898" s="11"/>
      <c r="BQ898" s="11"/>
      <c r="BR898" s="235"/>
      <c r="BV898" s="158"/>
      <c r="BY898" s="158"/>
      <c r="CB898" s="158"/>
    </row>
    <row r="899" ht="18.0" hidden="1" customHeight="1">
      <c r="A899" s="222">
        <f>IFERROR(__xludf.DUMMYFUNCTION("""COMPUTED_VALUE"""),2026.0)</f>
        <v>2026</v>
      </c>
      <c r="B899" s="221">
        <f>IFERROR(__xludf.DUMMYFUNCTION("""COMPUTED_VALUE"""),1.1039272E7)</f>
        <v>11039272</v>
      </c>
      <c r="C899" s="222" t="str">
        <f>IFERROR(__xludf.DUMMYFUNCTION("""COMPUTED_VALUE"""),"MDN PT3 P7I2 DLT-FAA PERUM BANYUMAS_")</f>
        <v>MDN PT3 P7I2 DLT-FAA PERUM BANYUMAS_</v>
      </c>
      <c r="D899" s="222" t="str">
        <f>IFERROR(__xludf.DUMMYFUNCTION("""COMPUTED_VALUE"""),"REGIONAL I")</f>
        <v>REGIONAL I</v>
      </c>
      <c r="E899" s="222" t="str">
        <f>IFERROR(__xludf.DUMMYFUNCTION("""COMPUTED_VALUE"""),"MEDAN")</f>
        <v>MEDAN</v>
      </c>
      <c r="F899" s="222" t="str">
        <f>IFERROR(__xludf.DUMMYFUNCTION("""COMPUTED_VALUE"""),"DLT")</f>
        <v>DLT</v>
      </c>
      <c r="G899" s="222" t="str">
        <f>IFERROR(__xludf.DUMMYFUNCTION("""COMPUTED_VALUE"""),"SUMBAGUT")</f>
        <v>SUMBAGUT</v>
      </c>
      <c r="H899" s="222" t="str">
        <f>IFERROR(__xludf.DUMMYFUNCTION("""COMPUTED_VALUE"""),"MEDAN")</f>
        <v>MEDAN</v>
      </c>
      <c r="I899" s="222" t="str">
        <f>IFERROR(__xludf.DUMMYFUNCTION("""COMPUTED_VALUE"""),"Batch 2")</f>
        <v>Batch 2</v>
      </c>
      <c r="J899" s="225">
        <f>IFERROR(__xludf.DUMMYFUNCTION("""COMPUTED_VALUE"""),8.0)</f>
        <v>8</v>
      </c>
      <c r="K899" s="224">
        <f>IFERROR(__xludf.DUMMYFUNCTION("""COMPUTED_VALUE"""),64.0)</f>
        <v>64</v>
      </c>
      <c r="L899" s="226">
        <f>IFERROR(__xludf.DUMMYFUNCTION("""COMPUTED_VALUE"""),1292215.0)</f>
        <v>1292215</v>
      </c>
      <c r="M899" s="227">
        <f>IFERROR(__xludf.DUMMYFUNCTION("""COMPUTED_VALUE"""),8.2701748E7)</f>
        <v>82701748</v>
      </c>
      <c r="N899" s="222" t="str">
        <f>IFERROR(__xludf.DUMMYFUNCTION("""COMPUTED_VALUE"""),"PT SALTTEK DUMPANG JAYA")</f>
        <v>PT SALTTEK DUMPANG JAYA</v>
      </c>
      <c r="O899" s="222" t="str">
        <f>IFERROR(__xludf.DUMMYFUNCTION("""COMPUTED_VALUE"""),"0. DROP")</f>
        <v>0. DROP</v>
      </c>
      <c r="P899" s="222" t="str">
        <f>IFERROR(__xludf.DUMMYFUNCTION("""COMPUTED_VALUE"""),"0.2 Tidak Dapat Izin Warga/Kades/Lurah/Developer")</f>
        <v>0.2 Tidak Dapat Izin Warga/Kades/Lurah/Developer</v>
      </c>
      <c r="Q899" s="222" t="str">
        <f>IFERROR(__xludf.DUMMYFUNCTION("""COMPUTED_VALUE"""),"02/03 tidak ada izin info CHAM 12/11 Menunggu perizinan")</f>
        <v>02/03 tidak ada izin info CHAM 12/11 Menunggu perizinan</v>
      </c>
      <c r="R899" s="228"/>
      <c r="S899" s="11"/>
      <c r="T899" s="11"/>
      <c r="U899" s="11"/>
      <c r="V899" s="229"/>
      <c r="W899" s="229"/>
      <c r="X899" s="229" t="str">
        <f>IFERROR(__xludf.DUMMYFUNCTION("""COMPUTED_VALUE"""),"BELUM GOLIVE")</f>
        <v>BELUM GOLIVE</v>
      </c>
      <c r="Y899" s="229"/>
      <c r="Z899" s="229" t="str">
        <f>IFERROR(__xludf.DUMMYFUNCTION("""COMPUTED_VALUE"""),"#N/A")</f>
        <v>#N/A</v>
      </c>
      <c r="AA899" s="229"/>
      <c r="AB899" s="229"/>
      <c r="AC899" s="229"/>
      <c r="AD899" s="232"/>
      <c r="AE899" s="233"/>
      <c r="AF899" s="54" t="str">
        <f>IFERROR(__xludf.DUMMYFUNCTION("""COMPUTED_VALUE"""),"Draft BA DROP")</f>
        <v>Draft BA DROP</v>
      </c>
      <c r="AG899" s="54"/>
      <c r="AH899" s="54"/>
      <c r="AI899" s="55" t="str">
        <f t="shared" si="95"/>
        <v/>
      </c>
      <c r="AW899" s="234"/>
      <c r="BP899" s="11"/>
      <c r="BQ899" s="11"/>
      <c r="BR899" s="235"/>
      <c r="BV899" s="158"/>
      <c r="BY899" s="158"/>
      <c r="CB899" s="158"/>
    </row>
    <row r="900" ht="18.0" hidden="1" customHeight="1">
      <c r="A900" s="222">
        <f>IFERROR(__xludf.DUMMYFUNCTION("""COMPUTED_VALUE"""),2026.0)</f>
        <v>2026</v>
      </c>
      <c r="B900" s="221">
        <f>IFERROR(__xludf.DUMMYFUNCTION("""COMPUTED_VALUE"""),1.1390736E7)</f>
        <v>11390736</v>
      </c>
      <c r="C900" s="222" t="str">
        <f>IFERROR(__xludf.DUMMYFUNCTION("""COMPUTED_VALUE"""),"ACH PT3 LTM-FZ GAMPONG RIMA-LAM ISEK")</f>
        <v>ACH PT3 LTM-FZ GAMPONG RIMA-LAM ISEK</v>
      </c>
      <c r="D900" s="222" t="str">
        <f>IFERROR(__xludf.DUMMYFUNCTION("""COMPUTED_VALUE"""),"REGIONAL I")</f>
        <v>REGIONAL I</v>
      </c>
      <c r="E900" s="222" t="str">
        <f>IFERROR(__xludf.DUMMYFUNCTION("""COMPUTED_VALUE"""),"ACEH")</f>
        <v>ACEH</v>
      </c>
      <c r="F900" s="222" t="str">
        <f>IFERROR(__xludf.DUMMYFUNCTION("""COMPUTED_VALUE"""),"LTM")</f>
        <v>LTM</v>
      </c>
      <c r="G900" s="222" t="str">
        <f>IFERROR(__xludf.DUMMYFUNCTION("""COMPUTED_VALUE"""),"SUMBAGUT")</f>
        <v>SUMBAGUT</v>
      </c>
      <c r="H900" s="222" t="str">
        <f>IFERROR(__xludf.DUMMYFUNCTION("""COMPUTED_VALUE"""),"BANDA ACEH")</f>
        <v>BANDA ACEH</v>
      </c>
      <c r="I900" s="222" t="str">
        <f>IFERROR(__xludf.DUMMYFUNCTION("""COMPUTED_VALUE"""),"Batch 2")</f>
        <v>Batch 2</v>
      </c>
      <c r="J900" s="225">
        <f>IFERROR(__xludf.DUMMYFUNCTION("""COMPUTED_VALUE"""),12.0)</f>
        <v>12</v>
      </c>
      <c r="K900" s="224">
        <f>IFERROR(__xludf.DUMMYFUNCTION("""COMPUTED_VALUE"""),96.0)</f>
        <v>96</v>
      </c>
      <c r="L900" s="226">
        <f>IFERROR(__xludf.DUMMYFUNCTION("""COMPUTED_VALUE"""),1025892.0)</f>
        <v>1025892</v>
      </c>
      <c r="M900" s="227">
        <f>IFERROR(__xludf.DUMMYFUNCTION("""COMPUTED_VALUE"""),9.8485605E7)</f>
        <v>98485605</v>
      </c>
      <c r="N900" s="222" t="str">
        <f>IFERROR(__xludf.DUMMYFUNCTION("""COMPUTED_VALUE"""),"PT ARA PAYA INTAN")</f>
        <v>PT ARA PAYA INTAN</v>
      </c>
      <c r="O900" s="222" t="str">
        <f>IFERROR(__xludf.DUMMYFUNCTION("""COMPUTED_VALUE"""),"7. GOLIVE")</f>
        <v>7. GOLIVE</v>
      </c>
      <c r="P900" s="222" t="str">
        <f>IFERROR(__xludf.DUMMYFUNCTION("""COMPUTED_VALUE"""),"7.2 Golive Full / OA / DONE OTB")</f>
        <v>7.2 Golive Full / OA / DONE OTB</v>
      </c>
      <c r="Q900" s="222" t="str">
        <f>IFERROR(__xludf.DUMMYFUNCTION("""COMPUTED_VALUE"""),"(07/01) Persiapan")</f>
        <v>(07/01) Persiapan</v>
      </c>
      <c r="R900" s="228">
        <f>IFERROR(__xludf.DUMMYFUNCTION("""COMPUTED_VALUE"""),46029.0)</f>
        <v>46029</v>
      </c>
      <c r="S900" s="11"/>
      <c r="T900" s="11"/>
      <c r="U900" s="11" t="str">
        <f>IFERROR(__xludf.DUMMYFUNCTION("""COMPUTED_VALUE"""),"W04-1043/2025")</f>
        <v>W04-1043/2025</v>
      </c>
      <c r="V900" s="229"/>
      <c r="W900" s="229"/>
      <c r="X900" s="229" t="str">
        <f>IFERROR(__xludf.DUMMYFUNCTION("""COMPUTED_VALUE"""),"GOLIVE")</f>
        <v>GOLIVE</v>
      </c>
      <c r="Y900" s="229" t="str">
        <f>IFERROR(__xludf.DUMMYFUNCTION("""COMPUTED_VALUE"""),"DONE")</f>
        <v>DONE</v>
      </c>
      <c r="Z900" s="229" t="str">
        <f>IFERROR(__xludf.DUMMYFUNCTION("""COMPUTED_VALUE"""),"#N/A")</f>
        <v>#N/A</v>
      </c>
      <c r="AA900" s="229">
        <f>IFERROR(__xludf.DUMMYFUNCTION("""COMPUTED_VALUE"""),12.0)</f>
        <v>12</v>
      </c>
      <c r="AB900" s="229"/>
      <c r="AC900" s="229" t="str">
        <f>IFERROR(__xludf.DUMMYFUNCTION("""COMPUTED_VALUE"""),"8932586#8932591")</f>
        <v>8932586#8932591</v>
      </c>
      <c r="AD900" s="232">
        <f>IFERROR(__xludf.DUMMYFUNCTION("""COMPUTED_VALUE"""),96.0)</f>
        <v>96</v>
      </c>
      <c r="AE900" s="233">
        <f>IFERROR(__xludf.DUMMYFUNCTION("""COMPUTED_VALUE"""),46029.0)</f>
        <v>46029</v>
      </c>
      <c r="AF900" s="54"/>
      <c r="AG900" s="54"/>
      <c r="AH900" s="54">
        <v>46029.0</v>
      </c>
      <c r="AI900" s="55">
        <f t="shared" si="95"/>
        <v>0</v>
      </c>
      <c r="AW900" s="234"/>
      <c r="BP900" s="11"/>
      <c r="BQ900" s="11"/>
      <c r="BR900" s="235"/>
      <c r="BV900" s="158"/>
      <c r="BY900" s="158"/>
      <c r="CB900" s="158"/>
    </row>
    <row r="901" ht="18.0" customHeight="1">
      <c r="A901" s="222">
        <f>IFERROR(__xludf.DUMMYFUNCTION("""COMPUTED_VALUE"""),2026.0)</f>
        <v>2026</v>
      </c>
      <c r="B901" s="221">
        <f>IFERROR(__xludf.DUMMYFUNCTION("""COMPUTED_VALUE"""),1.134042E7)</f>
        <v>11340420</v>
      </c>
      <c r="C901" s="222" t="str">
        <f>IFERROR(__xludf.DUMMYFUNCTION("""COMPUTED_VALUE"""),"SMB PADANG PARIAMAN_371")</f>
        <v>SMB PADANG PARIAMAN_371</v>
      </c>
      <c r="D901" s="222" t="str">
        <f>IFERROR(__xludf.DUMMYFUNCTION("""COMPUTED_VALUE"""),"REGIONAL I")</f>
        <v>REGIONAL I</v>
      </c>
      <c r="E901" s="222" t="str">
        <f>IFERROR(__xludf.DUMMYFUNCTION("""COMPUTED_VALUE"""),"SUMBAR")</f>
        <v>SUMBAR</v>
      </c>
      <c r="F901" s="222" t="str">
        <f>IFERROR(__xludf.DUMMYFUNCTION("""COMPUTED_VALUE"""),"LBA")</f>
        <v>LBA</v>
      </c>
      <c r="G901" s="222" t="str">
        <f>IFERROR(__xludf.DUMMYFUNCTION("""COMPUTED_VALUE"""),"SUMBAGTENG")</f>
        <v>SUMBAGTENG</v>
      </c>
      <c r="H901" s="222" t="str">
        <f>IFERROR(__xludf.DUMMYFUNCTION("""COMPUTED_VALUE"""),"BUKIT TINGGI")</f>
        <v>BUKIT TINGGI</v>
      </c>
      <c r="I901" s="222" t="str">
        <f>IFERROR(__xludf.DUMMYFUNCTION("""COMPUTED_VALUE"""),"Batch 2")</f>
        <v>Batch 2</v>
      </c>
      <c r="J901" s="225">
        <f>IFERROR(__xludf.DUMMYFUNCTION("""COMPUTED_VALUE"""),18.0)</f>
        <v>18</v>
      </c>
      <c r="K901" s="224">
        <f>IFERROR(__xludf.DUMMYFUNCTION("""COMPUTED_VALUE"""),144.0)</f>
        <v>144</v>
      </c>
      <c r="L901" s="226">
        <f>IFERROR(__xludf.DUMMYFUNCTION("""COMPUTED_VALUE"""),1025430.0)</f>
        <v>1025430</v>
      </c>
      <c r="M901" s="227">
        <f>IFERROR(__xludf.DUMMYFUNCTION("""COMPUTED_VALUE"""),1.47661814E8)</f>
        <v>147661814</v>
      </c>
      <c r="N901" s="222" t="str">
        <f>IFERROR(__xludf.DUMMYFUNCTION("""COMPUTED_VALUE"""),"PT PUTRI JAYA AKSES")</f>
        <v>PT PUTRI JAYA AKSES</v>
      </c>
      <c r="O901" s="222" t="str">
        <f>IFERROR(__xludf.DUMMYFUNCTION("""COMPUTED_VALUE"""),"0. DROP")</f>
        <v>0. DROP</v>
      </c>
      <c r="P901" s="222" t="str">
        <f>IFERROR(__xludf.DUMMYFUNCTION("""COMPUTED_VALUE"""),"0.3 Feeder Full")</f>
        <v>0.3 Feeder Full</v>
      </c>
      <c r="Q901" s="222" t="str">
        <f>IFERROR(__xludf.DUMMYFUNCTION("""COMPUTED_VALUE"""),"(02/03) Kendala feeder LBA-FA FULL")</f>
        <v>(02/03) Kendala feeder LBA-FA FULL</v>
      </c>
      <c r="R901" s="228"/>
      <c r="S901" s="11"/>
      <c r="T901" s="11"/>
      <c r="U901" s="11"/>
      <c r="V901" s="229"/>
      <c r="W901" s="229"/>
      <c r="X901" s="229" t="str">
        <f>IFERROR(__xludf.DUMMYFUNCTION("""COMPUTED_VALUE"""),"BELUM GOLIVE")</f>
        <v>BELUM GOLIVE</v>
      </c>
      <c r="Y901" s="229"/>
      <c r="Z901" s="229" t="str">
        <f>IFERROR(__xludf.DUMMYFUNCTION("""COMPUTED_VALUE"""),"#N/A")</f>
        <v>#N/A</v>
      </c>
      <c r="AA901" s="229"/>
      <c r="AB901" s="229"/>
      <c r="AC901" s="229"/>
      <c r="AD901" s="232"/>
      <c r="AE901" s="233"/>
      <c r="AF901" s="54" t="str">
        <f>IFERROR(__xludf.DUMMYFUNCTION("""COMPUTED_VALUE"""),"Draft BA DROP")</f>
        <v>Draft BA DROP</v>
      </c>
      <c r="AG901" s="54"/>
      <c r="AH901" s="54"/>
      <c r="AI901" s="55" t="str">
        <f t="shared" si="95"/>
        <v/>
      </c>
      <c r="AW901" s="234"/>
      <c r="BP901" s="11"/>
      <c r="BQ901" s="11"/>
      <c r="BR901" s="235"/>
      <c r="BV901" s="158"/>
      <c r="BY901" s="158"/>
      <c r="CB901" s="158"/>
    </row>
    <row r="902" ht="18.0" customHeight="1">
      <c r="A902" s="222">
        <f>IFERROR(__xludf.DUMMYFUNCTION("""COMPUTED_VALUE"""),2026.0)</f>
        <v>2026</v>
      </c>
      <c r="B902" s="221">
        <f>IFERROR(__xludf.DUMMYFUNCTION("""COMPUTED_VALUE"""),1.1360225E7)</f>
        <v>11360225</v>
      </c>
      <c r="C902" s="222" t="str">
        <f>IFERROR(__xludf.DUMMYFUNCTION("""COMPUTED_VALUE"""),"SMB P2I2 PERUM PADUSUNAN RESIDEN")</f>
        <v>SMB P2I2 PERUM PADUSUNAN RESIDEN</v>
      </c>
      <c r="D902" s="222" t="str">
        <f>IFERROR(__xludf.DUMMYFUNCTION("""COMPUTED_VALUE"""),"REGIONAL I")</f>
        <v>REGIONAL I</v>
      </c>
      <c r="E902" s="222" t="str">
        <f>IFERROR(__xludf.DUMMYFUNCTION("""COMPUTED_VALUE"""),"SUMBAR")</f>
        <v>SUMBAR</v>
      </c>
      <c r="F902" s="222" t="str">
        <f>IFERROR(__xludf.DUMMYFUNCTION("""COMPUTED_VALUE"""),"PAM")</f>
        <v>PAM</v>
      </c>
      <c r="G902" s="222" t="str">
        <f>IFERROR(__xludf.DUMMYFUNCTION("""COMPUTED_VALUE"""),"SUMBAGTENG")</f>
        <v>SUMBAGTENG</v>
      </c>
      <c r="H902" s="222" t="str">
        <f>IFERROR(__xludf.DUMMYFUNCTION("""COMPUTED_VALUE"""),"BUKIT TINGGI")</f>
        <v>BUKIT TINGGI</v>
      </c>
      <c r="I902" s="222" t="str">
        <f>IFERROR(__xludf.DUMMYFUNCTION("""COMPUTED_VALUE"""),"Batch 2")</f>
        <v>Batch 2</v>
      </c>
      <c r="J902" s="225">
        <f>IFERROR(__xludf.DUMMYFUNCTION("""COMPUTED_VALUE"""),2.0)</f>
        <v>2</v>
      </c>
      <c r="K902" s="224">
        <f>IFERROR(__xludf.DUMMYFUNCTION("""COMPUTED_VALUE"""),16.0)</f>
        <v>16</v>
      </c>
      <c r="L902" s="226">
        <f>IFERROR(__xludf.DUMMYFUNCTION("""COMPUTED_VALUE"""),1025297.0)</f>
        <v>1025297</v>
      </c>
      <c r="M902" s="227">
        <f>IFERROR(__xludf.DUMMYFUNCTION("""COMPUTED_VALUE"""),1.640475E7)</f>
        <v>16404750</v>
      </c>
      <c r="N902" s="222" t="str">
        <f>IFERROR(__xludf.DUMMYFUNCTION("""COMPUTED_VALUE"""),"PT TRI LESMA INDONESIA")</f>
        <v>PT TRI LESMA INDONESIA</v>
      </c>
      <c r="O902" s="222" t="str">
        <f>IFERROR(__xludf.DUMMYFUNCTION("""COMPUTED_VALUE"""),"8. UJI TERIMA")</f>
        <v>8. UJI TERIMA</v>
      </c>
      <c r="P902" s="222" t="str">
        <f>IFERROR(__xludf.DUMMYFUNCTION("""COMPUTED_VALUE"""),"8.1 Proses UT")</f>
        <v>8.1 Proses UT</v>
      </c>
      <c r="Q902" s="222" t="str">
        <f>IFERROR(__xludf.DUMMYFUNCTION("""COMPUTED_VALUE"""),"(07/01) Persiapan")</f>
        <v>(07/01) Persiapan</v>
      </c>
      <c r="R902" s="228"/>
      <c r="S902" s="11"/>
      <c r="T902" s="11"/>
      <c r="U902" s="11" t="str">
        <f>IFERROR(__xludf.DUMMYFUNCTION("""COMPUTED_VALUE"""),"W10-1753/2025 25KT03R158-0491")</f>
        <v>W10-1753/2025 25KT03R158-0491</v>
      </c>
      <c r="V902" s="229" t="str">
        <f>IFERROR(__xludf.DUMMYFUNCTION("""COMPUTED_VALUE"""),"ALDI EFENDI")</f>
        <v>ALDI EFENDI</v>
      </c>
      <c r="W902" s="229" t="str">
        <f>IFERROR(__xludf.DUMMYFUNCTION("""COMPUTED_VALUE"""),"MELKO NARWADI")</f>
        <v>MELKO NARWADI</v>
      </c>
      <c r="X902" s="229" t="str">
        <f>IFERROR(__xludf.DUMMYFUNCTION("""COMPUTED_VALUE"""),"GOLIVE")</f>
        <v>GOLIVE</v>
      </c>
      <c r="Y902" s="229" t="str">
        <f>IFERROR(__xludf.DUMMYFUNCTION("""COMPUTED_VALUE"""),"DONE")</f>
        <v>DONE</v>
      </c>
      <c r="Z902" s="229" t="str">
        <f>IFERROR(__xludf.DUMMYFUNCTION("""COMPUTED_VALUE"""),"#N/A")</f>
        <v>#N/A</v>
      </c>
      <c r="AA902" s="229">
        <f>IFERROR(__xludf.DUMMYFUNCTION("""COMPUTED_VALUE"""),2.0)</f>
        <v>2</v>
      </c>
      <c r="AB902" s="229"/>
      <c r="AC902" s="229" t="str">
        <f>IFERROR(__xludf.DUMMYFUNCTION("""COMPUTED_VALUE"""),"8951181#8951186")</f>
        <v>8951181#8951186</v>
      </c>
      <c r="AD902" s="232">
        <f>IFERROR(__xludf.DUMMYFUNCTION("""COMPUTED_VALUE"""),16.0)</f>
        <v>16</v>
      </c>
      <c r="AE902" s="233">
        <f>IFERROR(__xludf.DUMMYFUNCTION("""COMPUTED_VALUE"""),46035.0)</f>
        <v>46035</v>
      </c>
      <c r="AF902" s="54"/>
      <c r="AG902" s="54"/>
      <c r="AH902" s="54">
        <v>46137.0</v>
      </c>
      <c r="AI902" s="237">
        <f>AH902-NOW()</f>
        <v>-3.377989907</v>
      </c>
      <c r="AJ902" s="229" t="str">
        <f>if(AI902&gt;=0,"In Komitmen","Out Komitmen")</f>
        <v>Out Komitmen</v>
      </c>
      <c r="AW902" s="234"/>
      <c r="BP902" s="11"/>
      <c r="BQ902" s="11"/>
      <c r="BR902" s="235"/>
      <c r="BV902" s="158"/>
      <c r="BY902" s="158"/>
      <c r="CB902" s="158"/>
    </row>
    <row r="903" ht="18.0" customHeight="1">
      <c r="A903" s="222">
        <f>IFERROR(__xludf.DUMMYFUNCTION("""COMPUTED_VALUE"""),2026.0)</f>
        <v>2026</v>
      </c>
      <c r="B903" s="221">
        <f>IFERROR(__xludf.DUMMYFUNCTION("""COMPUTED_VALUE"""),1.1397283E7)</f>
        <v>11397283</v>
      </c>
      <c r="C903" s="222" t="str">
        <f>IFERROR(__xludf.DUMMYFUNCTION("""COMPUTED_VALUE"""),"RKP PT3 TSEL RAI-FR BATU HITAM BUNGURAN")</f>
        <v>RKP PT3 TSEL RAI-FR BATU HITAM BUNGURAN</v>
      </c>
      <c r="D903" s="222" t="str">
        <f>IFERROR(__xludf.DUMMYFUNCTION("""COMPUTED_VALUE"""),"REGIONAL I")</f>
        <v>REGIONAL I</v>
      </c>
      <c r="E903" s="222" t="str">
        <f>IFERROR(__xludf.DUMMYFUNCTION("""COMPUTED_VALUE"""),"RIKEP")</f>
        <v>RIKEP</v>
      </c>
      <c r="F903" s="222" t="str">
        <f>IFERROR(__xludf.DUMMYFUNCTION("""COMPUTED_VALUE"""),"RAI")</f>
        <v>RAI</v>
      </c>
      <c r="G903" s="222" t="str">
        <f>IFERROR(__xludf.DUMMYFUNCTION("""COMPUTED_VALUE"""),"SUMBAGTENG")</f>
        <v>SUMBAGTENG</v>
      </c>
      <c r="H903" s="222" t="str">
        <f>IFERROR(__xludf.DUMMYFUNCTION("""COMPUTED_VALUE"""),"BATAM")</f>
        <v>BATAM</v>
      </c>
      <c r="I903" s="222" t="str">
        <f>IFERROR(__xludf.DUMMYFUNCTION("""COMPUTED_VALUE"""),"Batch 2")</f>
        <v>Batch 2</v>
      </c>
      <c r="J903" s="225">
        <f>IFERROR(__xludf.DUMMYFUNCTION("""COMPUTED_VALUE"""),2.0)</f>
        <v>2</v>
      </c>
      <c r="K903" s="224">
        <f>IFERROR(__xludf.DUMMYFUNCTION("""COMPUTED_VALUE"""),16.0)</f>
        <v>16</v>
      </c>
      <c r="L903" s="226">
        <f>IFERROR(__xludf.DUMMYFUNCTION("""COMPUTED_VALUE"""),1025095.0)</f>
        <v>1025095</v>
      </c>
      <c r="M903" s="227">
        <f>IFERROR(__xludf.DUMMYFUNCTION("""COMPUTED_VALUE"""),1.640152E7)</f>
        <v>16401520</v>
      </c>
      <c r="N903" s="222" t="str">
        <f>IFERROR(__xludf.DUMMYFUNCTION("""COMPUTED_VALUE"""),"SWAKELOLA")</f>
        <v>SWAKELOLA</v>
      </c>
      <c r="O903" s="222" t="str">
        <f>IFERROR(__xludf.DUMMYFUNCTION("""COMPUTED_VALUE"""),"4. MATDEL")</f>
        <v>4. MATDEL</v>
      </c>
      <c r="P903" s="222" t="str">
        <f>IFERROR(__xludf.DUMMYFUNCTION("""COMPUTED_VALUE"""),"4.3 Proses Kirim Mateial Kelokasi")</f>
        <v>4.3 Proses Kirim Mateial Kelokasi</v>
      </c>
      <c r="Q903"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903" s="228"/>
      <c r="S903" s="11"/>
      <c r="T903" s="11"/>
      <c r="U903" s="11" t="str">
        <f>IFERROR(__xludf.DUMMYFUNCTION("""COMPUTED_VALUE"""),"W09-228/2026")</f>
        <v>W09-228/2026</v>
      </c>
      <c r="V903" s="229" t="str">
        <f>IFERROR(__xludf.DUMMYFUNCTION("""COMPUTED_VALUE"""),"DEDY IRAWAN")</f>
        <v>DEDY IRAWAN</v>
      </c>
      <c r="W903" s="229" t="str">
        <f>IFERROR(__xludf.DUMMYFUNCTION("""COMPUTED_VALUE"""),"LEVITA INDRIYANI")</f>
        <v>LEVITA INDRIYANI</v>
      </c>
      <c r="X903" s="229" t="str">
        <f>IFERROR(__xludf.DUMMYFUNCTION("""COMPUTED_VALUE"""),"BELUM GOLIVE")</f>
        <v>BELUM GOLIVE</v>
      </c>
      <c r="Y903" s="229"/>
      <c r="Z903" s="229" t="str">
        <f>IFERROR(__xludf.DUMMYFUNCTION("""COMPUTED_VALUE"""),"#N/A")</f>
        <v>#N/A</v>
      </c>
      <c r="AA903" s="229"/>
      <c r="AB903" s="229"/>
      <c r="AC903" s="229"/>
      <c r="AD903" s="232"/>
      <c r="AE903" s="233"/>
      <c r="AF903" s="54"/>
      <c r="AG903" s="54"/>
      <c r="AH903" s="54">
        <v>46167.0</v>
      </c>
      <c r="AI903" s="237">
        <f>AH903-now()</f>
        <v>26.62201009</v>
      </c>
      <c r="AJ903" s="229" t="str">
        <f t="shared" ref="AJ903:AJ904" si="96">if(AI903&gt;=0,"Gl in Komitmen","Gl out komitmen")</f>
        <v>Gl in Komitmen</v>
      </c>
      <c r="AW903" s="234"/>
      <c r="BP903" s="11"/>
      <c r="BQ903" s="11"/>
      <c r="BR903" s="235"/>
      <c r="BV903" s="158"/>
      <c r="BY903" s="158"/>
      <c r="CB903" s="158"/>
    </row>
    <row r="904" ht="18.0" customHeight="1">
      <c r="A904" s="222">
        <f>IFERROR(__xludf.DUMMYFUNCTION("""COMPUTED_VALUE"""),2026.0)</f>
        <v>2026</v>
      </c>
      <c r="B904" s="221">
        <f>IFERROR(__xludf.DUMMYFUNCTION("""COMPUTED_VALUE"""),1.2331062E7)</f>
        <v>12331062</v>
      </c>
      <c r="C904" s="222" t="str">
        <f>IFERROR(__xludf.DUMMYFUNCTION("""COMPUTED_VALUE"""),"RDR JPP PT4 SUNGAI PIRING")</f>
        <v>RDR JPP PT4 SUNGAI PIRING</v>
      </c>
      <c r="D904" s="222" t="str">
        <f>IFERROR(__xludf.DUMMYFUNCTION("""COMPUTED_VALUE"""),"REGIONAL I")</f>
        <v>REGIONAL I</v>
      </c>
      <c r="E904" s="222" t="str">
        <f>IFERROR(__xludf.DUMMYFUNCTION("""COMPUTED_VALUE"""),"RIDAR")</f>
        <v>RIDAR</v>
      </c>
      <c r="F904" s="222" t="str">
        <f>IFERROR(__xludf.DUMMYFUNCTION("""COMPUTED_VALUE"""),"TBH")</f>
        <v>TBH</v>
      </c>
      <c r="G904" s="222" t="str">
        <f>IFERROR(__xludf.DUMMYFUNCTION("""COMPUTED_VALUE"""),"SUMBAGTENG")</f>
        <v>SUMBAGTENG</v>
      </c>
      <c r="H904" s="222" t="str">
        <f>IFERROR(__xludf.DUMMYFUNCTION("""COMPUTED_VALUE"""),"PEKANBARU")</f>
        <v>PEKANBARU</v>
      </c>
      <c r="I904" s="222" t="str">
        <f>IFERROR(__xludf.DUMMYFUNCTION("""COMPUTED_VALUE"""),"Batch 2")</f>
        <v>Batch 2</v>
      </c>
      <c r="J904" s="225">
        <f>IFERROR(__xludf.DUMMYFUNCTION("""COMPUTED_VALUE"""),23.0)</f>
        <v>23</v>
      </c>
      <c r="K904" s="224">
        <f>IFERROR(__xludf.DUMMYFUNCTION("""COMPUTED_VALUE"""),176.0)</f>
        <v>176</v>
      </c>
      <c r="L904" s="226">
        <f>IFERROR(__xludf.DUMMYFUNCTION("""COMPUTED_VALUE"""),1024732.0)</f>
        <v>1024732</v>
      </c>
      <c r="M904" s="227">
        <f>IFERROR(__xludf.DUMMYFUNCTION("""COMPUTED_VALUE"""),1.80352791E8)</f>
        <v>180352791</v>
      </c>
      <c r="N904" s="222" t="str">
        <f>IFERROR(__xludf.DUMMYFUNCTION("""COMPUTED_VALUE"""),"PT SAMUDERA PUTRA KENCANA")</f>
        <v>PT SAMUDERA PUTRA KENCANA</v>
      </c>
      <c r="O904" s="222" t="str">
        <f>IFERROR(__xludf.DUMMYFUNCTION("""COMPUTED_VALUE"""),"6. FINISH INSTALASI")</f>
        <v>6. FINISH INSTALASI</v>
      </c>
      <c r="P904" s="222" t="str">
        <f>IFERROR(__xludf.DUMMYFUNCTION("""COMPUTED_VALUE"""),"6.8 Sudah Submit ABD ke SDI")</f>
        <v>6.8 Sudah Submit ABD ke SDI</v>
      </c>
      <c r="Q904" s="222" t="str">
        <f>IFERROR(__xludf.DUMMYFUNCTION("""COMPUTED_VALUE"""),"20/04 Mini OLT On Progres Instalasi 13/04 Menunggu Mini OLT 06/04 Penanaman tiang 27/03 Pekerjaan mulai progres senin 30 Mar 16/03 Pekerjaan dilanjut setelah RAFI 04/03 Hari ini pengurusan izin ke lokasi 09/02 On Going Survey 29/01 Proses Anwidzing 21/01 "&amp;"Terget selesai survey 30 Jan (12/01) butuh qe feeder dan masuk ruas pu nasional info dri MTC, (07/01) Persiapan")</f>
        <v>20/04 Mini OLT On Progres Instalasi 13/04 Menunggu Mini OLT 06/04 Penanaman tiang 27/03 Pekerjaan mulai progres senin 30 Mar 16/03 Pekerjaan dilanjut setelah RAFI 04/03 Hari ini pengurusan izin ke lokasi 09/02 On Going Survey 29/01 Proses Anwidzing 21/01 Terget selesai survey 30 Jan (12/01) butuh qe feeder dan masuk ruas pu nasional info dri MTC, (07/01) Persiapan</v>
      </c>
      <c r="R904" s="228">
        <f>IFERROR(__xludf.DUMMYFUNCTION("""COMPUTED_VALUE"""),46140.0)</f>
        <v>46140</v>
      </c>
      <c r="S904" s="11" t="str">
        <f>IFERROR(__xludf.DUMMYFUNCTION("""COMPUTED_VALUE"""),"APR")</f>
        <v>APR</v>
      </c>
      <c r="T904" s="11" t="str">
        <f>IFERROR(__xludf.DUMMYFUNCTION("""COMPUTED_VALUE"""),"P1")</f>
        <v>P1</v>
      </c>
      <c r="U904" s="11" t="str">
        <f>IFERROR(__xludf.DUMMYFUNCTION("""COMPUTED_VALUE"""),"W08-80/2026")</f>
        <v>W08-80/2026</v>
      </c>
      <c r="V904" s="229" t="str">
        <f>IFERROR(__xludf.DUMMYFUNCTION("""COMPUTED_VALUE"""),"TEGUH IMAM PERDANA")</f>
        <v>TEGUH IMAM PERDANA</v>
      </c>
      <c r="W904" s="229" t="str">
        <f>IFERROR(__xludf.DUMMYFUNCTION("""COMPUTED_VALUE"""),"DESLITA RAHMADANI")</f>
        <v>DESLITA RAHMADANI</v>
      </c>
      <c r="X904" s="229" t="str">
        <f>IFERROR(__xludf.DUMMYFUNCTION("""COMPUTED_VALUE"""),"GOLIVE")</f>
        <v>GOLIVE</v>
      </c>
      <c r="Y904" s="229" t="str">
        <f>IFERROR(__xludf.DUMMYFUNCTION("""COMPUTED_VALUE"""),"DONE")</f>
        <v>DONE</v>
      </c>
      <c r="Z904" s="229" t="str">
        <f>IFERROR(__xludf.DUMMYFUNCTION("""COMPUTED_VALUE"""),"#N/A")</f>
        <v>#N/A</v>
      </c>
      <c r="AA904" s="229">
        <f>IFERROR(__xludf.DUMMYFUNCTION("""COMPUTED_VALUE"""),22.0)</f>
        <v>22</v>
      </c>
      <c r="AB904" s="229"/>
      <c r="AC904" s="229" t="str">
        <f>IFERROR(__xludf.DUMMYFUNCTION("""COMPUTED_VALUE"""),"9312537#9312542")</f>
        <v>9312537#9312542</v>
      </c>
      <c r="AD904" s="232">
        <f>IFERROR(__xludf.DUMMYFUNCTION("""COMPUTED_VALUE"""),176.0)</f>
        <v>176</v>
      </c>
      <c r="AE904" s="233">
        <f>IFERROR(__xludf.DUMMYFUNCTION("""COMPUTED_VALUE"""),46137.0)</f>
        <v>46137</v>
      </c>
      <c r="AF904" s="54"/>
      <c r="AG904" s="54"/>
      <c r="AH904" s="54">
        <v>46142.0</v>
      </c>
      <c r="AI904" s="55">
        <f>AH904-AE904</f>
        <v>5</v>
      </c>
      <c r="AJ904" s="229" t="str">
        <f t="shared" si="96"/>
        <v>Gl in Komitmen</v>
      </c>
      <c r="AK904" s="231" t="s">
        <v>199</v>
      </c>
      <c r="AW904" s="234"/>
      <c r="BP904" s="11"/>
      <c r="BQ904" s="11"/>
      <c r="BR904" s="235"/>
      <c r="BV904" s="158"/>
      <c r="BY904" s="158"/>
      <c r="CB904" s="158"/>
    </row>
    <row r="905" ht="18.0" hidden="1" customHeight="1">
      <c r="A905" s="222">
        <f>IFERROR(__xludf.DUMMYFUNCTION("""COMPUTED_VALUE"""),2026.0)</f>
        <v>2026</v>
      </c>
      <c r="B905" s="221">
        <f>IFERROR(__xludf.DUMMYFUNCTION("""COMPUTED_VALUE"""),1.2245183E7)</f>
        <v>12245183</v>
      </c>
      <c r="C905" s="222" t="str">
        <f>IFERROR(__xludf.DUMMYFUNCTION("""COMPUTED_VALUE"""),"SMS PT3 LLG FAN D02 SUMBER AGUNG")</f>
        <v>SMS PT3 LLG FAN D02 SUMBER AGUNG</v>
      </c>
      <c r="D905" s="222" t="str">
        <f>IFERROR(__xludf.DUMMYFUNCTION("""COMPUTED_VALUE"""),"REGIONAL I")</f>
        <v>REGIONAL I</v>
      </c>
      <c r="E905" s="222" t="str">
        <f>IFERROR(__xludf.DUMMYFUNCTION("""COMPUTED_VALUE"""),"SUMSEL")</f>
        <v>SUMSEL</v>
      </c>
      <c r="F905" s="222" t="str">
        <f>IFERROR(__xludf.DUMMYFUNCTION("""COMPUTED_VALUE"""),"LLG")</f>
        <v>LLG</v>
      </c>
      <c r="G905" s="222" t="str">
        <f>IFERROR(__xludf.DUMMYFUNCTION("""COMPUTED_VALUE"""),"SUMBAGSEL")</f>
        <v>SUMBAGSEL</v>
      </c>
      <c r="H905" s="222" t="str">
        <f>IFERROR(__xludf.DUMMYFUNCTION("""COMPUTED_VALUE"""),"BENGKULU")</f>
        <v>BENGKULU</v>
      </c>
      <c r="I905" s="222" t="str">
        <f>IFERROR(__xludf.DUMMYFUNCTION("""COMPUTED_VALUE"""),"Batch 2")</f>
        <v>Batch 2</v>
      </c>
      <c r="J905" s="225">
        <f>IFERROR(__xludf.DUMMYFUNCTION("""COMPUTED_VALUE"""),5.0)</f>
        <v>5</v>
      </c>
      <c r="K905" s="224">
        <f>IFERROR(__xludf.DUMMYFUNCTION("""COMPUTED_VALUE"""),40.0)</f>
        <v>40</v>
      </c>
      <c r="L905" s="226">
        <f>IFERROR(__xludf.DUMMYFUNCTION("""COMPUTED_VALUE"""),1023812.0)</f>
        <v>1023812</v>
      </c>
      <c r="M905" s="227">
        <f>IFERROR(__xludf.DUMMYFUNCTION("""COMPUTED_VALUE"""),4.0952457E7)</f>
        <v>40952457</v>
      </c>
      <c r="N905" s="222" t="str">
        <f>IFERROR(__xludf.DUMMYFUNCTION("""COMPUTED_VALUE"""),"PT HAN SUNG INDONESIA")</f>
        <v>PT HAN SUNG INDONESIA</v>
      </c>
      <c r="O905" s="222" t="str">
        <f>IFERROR(__xludf.DUMMYFUNCTION("""COMPUTED_VALUE"""),"0. DROP")</f>
        <v>0. DROP</v>
      </c>
      <c r="P905" s="222" t="str">
        <f>IFERROR(__xludf.DUMMYFUNCTION("""COMPUTED_VALUE"""),"0.3 Feeder Full")</f>
        <v>0.3 Feeder Full</v>
      </c>
      <c r="Q905" s="222" t="str">
        <f>IFERROR(__xludf.DUMMYFUNCTION("""COMPUTED_VALUE"""),"23/02 DROP KRNA STUB CORE FEEDER HABIS - SDH ADA BA DROP, 07/01 DROP kendala feeder reti dan masuk ruas pu nasional (21/01) DROP, karena stub core feeder habis, (06/01)order JPP batch-2 2026 ((19/11) perlu qe feeder ((14/11)PROSES PR PO (09/11) update kml"&amp;" anwijzing (23/10 )penunjukan mitra")</f>
        <v>23/02 DROP KRNA STUB CORE FEEDER HABIS - SDH ADA BA DROP, 07/01 DROP kendala feeder reti dan masuk ruas pu nasional (21/01) DROP, karena stub core feeder habis, (06/01)order JPP batch-2 2026 ((19/11) perlu qe feeder ((14/11)PROSES PR PO (09/11) update kml anwijzing (23/10 )penunjukan mitra</v>
      </c>
      <c r="R905" s="228"/>
      <c r="S905" s="11"/>
      <c r="T905" s="11"/>
      <c r="U905" s="11"/>
      <c r="V905" s="229" t="str">
        <f>IFERROR(__xludf.DUMMYFUNCTION("""COMPUTED_VALUE"""),"PUTRA")</f>
        <v>PUTRA</v>
      </c>
      <c r="W905" s="229"/>
      <c r="X905" s="229" t="str">
        <f>IFERROR(__xludf.DUMMYFUNCTION("""COMPUTED_VALUE"""),"BELUM GOLIVE")</f>
        <v>BELUM GOLIVE</v>
      </c>
      <c r="Y905" s="229"/>
      <c r="Z905" s="229" t="str">
        <f>IFERROR(__xludf.DUMMYFUNCTION("""COMPUTED_VALUE"""),"#N/A")</f>
        <v>#N/A</v>
      </c>
      <c r="AA905" s="229"/>
      <c r="AB905" s="229"/>
      <c r="AC905" s="229"/>
      <c r="AD905" s="232"/>
      <c r="AE905" s="233"/>
      <c r="AF905" s="54" t="str">
        <f>IFERROR(__xludf.DUMMYFUNCTION("""COMPUTED_VALUE"""),"Draft BA DROP")</f>
        <v>Draft BA DROP</v>
      </c>
      <c r="AG905" s="54"/>
      <c r="AH905" s="54"/>
      <c r="AI905" s="55" t="str">
        <f t="shared" ref="AI905:AI922" si="97">IF(OR(R905="",AE905=""),"",R905-AE905)</f>
        <v/>
      </c>
      <c r="AW905" s="234"/>
      <c r="BP905" s="11"/>
      <c r="BQ905" s="11"/>
      <c r="BR905" s="235"/>
      <c r="BV905" s="158"/>
      <c r="BY905" s="158"/>
      <c r="CB905" s="158"/>
    </row>
    <row r="906" ht="18.0" customHeight="1">
      <c r="A906" s="222">
        <f>IFERROR(__xludf.DUMMYFUNCTION("""COMPUTED_VALUE"""),2026.0)</f>
        <v>2026</v>
      </c>
      <c r="B906" s="221">
        <f>IFERROR(__xludf.DUMMYFUNCTION("""COMPUTED_VALUE"""),1.1146765E7)</f>
        <v>11146765</v>
      </c>
      <c r="C906" s="222" t="str">
        <f>IFERROR(__xludf.DUMMYFUNCTION("""COMPUTED_VALUE"""),"RDR JPP PT3 PERUMAHAN YUSUF RESIDENCE")</f>
        <v>RDR JPP PT3 PERUMAHAN YUSUF RESIDENCE</v>
      </c>
      <c r="D906" s="222" t="str">
        <f>IFERROR(__xludf.DUMMYFUNCTION("""COMPUTED_VALUE"""),"REGIONAL I")</f>
        <v>REGIONAL I</v>
      </c>
      <c r="E906" s="222" t="str">
        <f>IFERROR(__xludf.DUMMYFUNCTION("""COMPUTED_VALUE"""),"RIDAR")</f>
        <v>RIDAR</v>
      </c>
      <c r="F906" s="222" t="str">
        <f>IFERROR(__xludf.DUMMYFUNCTION("""COMPUTED_VALUE"""),"ARK")</f>
        <v>ARK</v>
      </c>
      <c r="G906" s="222" t="str">
        <f>IFERROR(__xludf.DUMMYFUNCTION("""COMPUTED_VALUE"""),"SUMBAGTENG")</f>
        <v>SUMBAGTENG</v>
      </c>
      <c r="H906" s="222" t="str">
        <f>IFERROR(__xludf.DUMMYFUNCTION("""COMPUTED_VALUE"""),"PEKANBARU")</f>
        <v>PEKANBARU</v>
      </c>
      <c r="I906" s="222" t="str">
        <f>IFERROR(__xludf.DUMMYFUNCTION("""COMPUTED_VALUE"""),"Batch 2")</f>
        <v>Batch 2</v>
      </c>
      <c r="J906" s="225">
        <f>IFERROR(__xludf.DUMMYFUNCTION("""COMPUTED_VALUE"""),4.0)</f>
        <v>4</v>
      </c>
      <c r="K906" s="224">
        <f>IFERROR(__xludf.DUMMYFUNCTION("""COMPUTED_VALUE"""),32.0)</f>
        <v>32</v>
      </c>
      <c r="L906" s="226">
        <f>IFERROR(__xludf.DUMMYFUNCTION("""COMPUTED_VALUE"""),1022316.0)</f>
        <v>1022316</v>
      </c>
      <c r="M906" s="227">
        <f>IFERROR(__xludf.DUMMYFUNCTION("""COMPUTED_VALUE"""),3.2714107E7)</f>
        <v>32714107</v>
      </c>
      <c r="N906" s="222"/>
      <c r="O906" s="222" t="str">
        <f>IFERROR(__xludf.DUMMYFUNCTION("""COMPUTED_VALUE"""),"0. DROP")</f>
        <v>0. DROP</v>
      </c>
      <c r="P906" s="222" t="str">
        <f>IFERROR(__xludf.DUMMYFUNCTION("""COMPUTED_VALUE"""),"0.2 Tidak Dapat Izin Warga/Kades/Lurah/Developer")</f>
        <v>0.2 Tidak Dapat Izin Warga/Kades/Lurah/Developer</v>
      </c>
      <c r="Q906" s="222" t="str">
        <f>IFERROR(__xludf.DUMMYFUNCTION("""COMPUTED_VALUE"""),"20/01 Tidak dapat izin oleh RT/RW dan Warga (07/01) Persiapan")</f>
        <v>20/01 Tidak dapat izin oleh RT/RW dan Warga (07/01) Persiapan</v>
      </c>
      <c r="R906" s="228"/>
      <c r="S906" s="11"/>
      <c r="T906" s="11"/>
      <c r="U906" s="11"/>
      <c r="V906" s="229"/>
      <c r="W906" s="229"/>
      <c r="X906" s="229" t="str">
        <f>IFERROR(__xludf.DUMMYFUNCTION("""COMPUTED_VALUE"""),"BELUM GOLIVE")</f>
        <v>BELUM GOLIVE</v>
      </c>
      <c r="Y906" s="229"/>
      <c r="Z906" s="229" t="str">
        <f>IFERROR(__xludf.DUMMYFUNCTION("""COMPUTED_VALUE"""),"#N/A")</f>
        <v>#N/A</v>
      </c>
      <c r="AA906" s="229"/>
      <c r="AB906" s="229"/>
      <c r="AC906" s="229"/>
      <c r="AD906" s="232"/>
      <c r="AE906" s="233"/>
      <c r="AF906" s="54" t="str">
        <f>IFERROR(__xludf.DUMMYFUNCTION("""COMPUTED_VALUE"""),"Draft BA DROP")</f>
        <v>Draft BA DROP</v>
      </c>
      <c r="AG906" s="54"/>
      <c r="AH906" s="54"/>
      <c r="AI906" s="55" t="str">
        <f t="shared" si="97"/>
        <v/>
      </c>
      <c r="AW906" s="234"/>
      <c r="BP906" s="11"/>
      <c r="BQ906" s="11"/>
      <c r="BR906" s="235"/>
      <c r="BV906" s="158"/>
      <c r="BY906" s="158"/>
      <c r="CB906" s="158"/>
    </row>
    <row r="907" ht="18.0" customHeight="1">
      <c r="A907" s="222">
        <f>IFERROR(__xludf.DUMMYFUNCTION("""COMPUTED_VALUE"""),2026.0)</f>
        <v>2026</v>
      </c>
      <c r="B907" s="221">
        <f>IFERROR(__xludf.DUMMYFUNCTION("""COMPUTED_VALUE"""),1.1498999E7)</f>
        <v>11498999</v>
      </c>
      <c r="C907" s="222" t="str">
        <f>IFERROR(__xludf.DUMMYFUNCTION("""COMPUTED_VALUE"""),"RDR ARK PT3 P3I1 REPAIR ARK FBE")</f>
        <v>RDR ARK PT3 P3I1 REPAIR ARK FBE</v>
      </c>
      <c r="D907" s="222" t="str">
        <f>IFERROR(__xludf.DUMMYFUNCTION("""COMPUTED_VALUE"""),"REGIONAL I")</f>
        <v>REGIONAL I</v>
      </c>
      <c r="E907" s="222" t="str">
        <f>IFERROR(__xludf.DUMMYFUNCTION("""COMPUTED_VALUE"""),"RIDAR")</f>
        <v>RIDAR</v>
      </c>
      <c r="F907" s="222" t="str">
        <f>IFERROR(__xludf.DUMMYFUNCTION("""COMPUTED_VALUE"""),"ARK")</f>
        <v>ARK</v>
      </c>
      <c r="G907" s="222" t="str">
        <f>IFERROR(__xludf.DUMMYFUNCTION("""COMPUTED_VALUE"""),"SUMBAGTENG")</f>
        <v>SUMBAGTENG</v>
      </c>
      <c r="H907" s="222" t="str">
        <f>IFERROR(__xludf.DUMMYFUNCTION("""COMPUTED_VALUE"""),"PEKANBARU")</f>
        <v>PEKANBARU</v>
      </c>
      <c r="I907" s="222" t="str">
        <f>IFERROR(__xludf.DUMMYFUNCTION("""COMPUTED_VALUE"""),"Batch 2")</f>
        <v>Batch 2</v>
      </c>
      <c r="J907" s="225">
        <f>IFERROR(__xludf.DUMMYFUNCTION("""COMPUTED_VALUE"""),9.0)</f>
        <v>9</v>
      </c>
      <c r="K907" s="224">
        <f>IFERROR(__xludf.DUMMYFUNCTION("""COMPUTED_VALUE"""),72.0)</f>
        <v>72</v>
      </c>
      <c r="L907" s="226">
        <f>IFERROR(__xludf.DUMMYFUNCTION("""COMPUTED_VALUE"""),1021715.0)</f>
        <v>1021715</v>
      </c>
      <c r="M907" s="227">
        <f>IFERROR(__xludf.DUMMYFUNCTION("""COMPUTED_VALUE"""),7.3563418E7)</f>
        <v>73563418</v>
      </c>
      <c r="N907" s="222" t="str">
        <f>IFERROR(__xludf.DUMMYFUNCTION("""COMPUTED_VALUE"""),"SWAKELOLA")</f>
        <v>SWAKELOLA</v>
      </c>
      <c r="O907" s="222" t="str">
        <f>IFERROR(__xludf.DUMMYFUNCTION("""COMPUTED_VALUE"""),"0. DROP")</f>
        <v>0. DROP</v>
      </c>
      <c r="P907" s="222" t="str">
        <f>IFERROR(__xludf.DUMMYFUNCTION("""COMPUTED_VALUE"""),"0.2 Tidak Dapat Izin Warga/Kades/Lurah/Developer")</f>
        <v>0.2 Tidak Dapat Izin Warga/Kades/Lurah/Developer</v>
      </c>
      <c r="Q907" s="222" t="str">
        <f>IFERROR(__xludf.DUMMYFUNCTION("""COMPUTED_VALUE"""),"20/01 Tidak dapat izin tanam tiang (07/01) Persiapan")</f>
        <v>20/01 Tidak dapat izin tanam tiang (07/01) Persiapan</v>
      </c>
      <c r="R907" s="228"/>
      <c r="S907" s="11"/>
      <c r="T907" s="11"/>
      <c r="U907" s="11"/>
      <c r="V907" s="229" t="str">
        <f>IFERROR(__xludf.DUMMYFUNCTION("""COMPUTED_VALUE"""),"PIKI NOFRI SAPUTRA")</f>
        <v>PIKI NOFRI SAPUTRA</v>
      </c>
      <c r="W907" s="229" t="str">
        <f>IFERROR(__xludf.DUMMYFUNCTION("""COMPUTED_VALUE"""),"ANZALA SAKINAH")</f>
        <v>ANZALA SAKINAH</v>
      </c>
      <c r="X907" s="229" t="str">
        <f>IFERROR(__xludf.DUMMYFUNCTION("""COMPUTED_VALUE"""),"BELUM GOLIVE")</f>
        <v>BELUM GOLIVE</v>
      </c>
      <c r="Y907" s="229"/>
      <c r="Z907" s="229" t="str">
        <f>IFERROR(__xludf.DUMMYFUNCTION("""COMPUTED_VALUE"""),"#N/A")</f>
        <v>#N/A</v>
      </c>
      <c r="AA907" s="229"/>
      <c r="AB907" s="229"/>
      <c r="AC907" s="229"/>
      <c r="AD907" s="232"/>
      <c r="AE907" s="233"/>
      <c r="AF907" s="54" t="str">
        <f>IFERROR(__xludf.DUMMYFUNCTION("""COMPUTED_VALUE"""),"Draft BA DROP")</f>
        <v>Draft BA DROP</v>
      </c>
      <c r="AG907" s="54"/>
      <c r="AH907" s="54"/>
      <c r="AI907" s="55" t="str">
        <f t="shared" si="97"/>
        <v/>
      </c>
      <c r="AW907" s="234"/>
      <c r="BP907" s="11"/>
      <c r="BQ907" s="11"/>
      <c r="BR907" s="235"/>
      <c r="BV907" s="158"/>
      <c r="BY907" s="158"/>
      <c r="CB907" s="158"/>
    </row>
    <row r="908" ht="18.0" hidden="1" customHeight="1">
      <c r="A908" s="222">
        <f>IFERROR(__xludf.DUMMYFUNCTION("""COMPUTED_VALUE"""),2026.0)</f>
        <v>2026</v>
      </c>
      <c r="B908" s="221">
        <f>IFERROR(__xludf.DUMMYFUNCTION("""COMPUTED_VALUE"""),1.2283779E7)</f>
        <v>12283779</v>
      </c>
      <c r="C908" s="222" t="str">
        <f>IFERROR(__xludf.DUMMYFUNCTION("""COMPUTED_VALUE"""),"SMU PSP-FBJ D02 CLUST AEK NABARA")</f>
        <v>SMU PSP-FBJ D02 CLUST AEK NABARA</v>
      </c>
      <c r="D908" s="222" t="str">
        <f>IFERROR(__xludf.DUMMYFUNCTION("""COMPUTED_VALUE"""),"REGIONAL I")</f>
        <v>REGIONAL I</v>
      </c>
      <c r="E908" s="222" t="str">
        <f>IFERROR(__xludf.DUMMYFUNCTION("""COMPUTED_VALUE"""),"SUMUT")</f>
        <v>SUMUT</v>
      </c>
      <c r="F908" s="222" t="str">
        <f>IFERROR(__xludf.DUMMYFUNCTION("""COMPUTED_VALUE"""),"PSP")</f>
        <v>PSP</v>
      </c>
      <c r="G908" s="222" t="str">
        <f>IFERROR(__xludf.DUMMYFUNCTION("""COMPUTED_VALUE"""),"SUMBAGUT")</f>
        <v>SUMBAGUT</v>
      </c>
      <c r="H908" s="222" t="str">
        <f>IFERROR(__xludf.DUMMYFUNCTION("""COMPUTED_VALUE"""),"PADANG SIDEMPUAN")</f>
        <v>PADANG SIDEMPUAN</v>
      </c>
      <c r="I908" s="222" t="str">
        <f>IFERROR(__xludf.DUMMYFUNCTION("""COMPUTED_VALUE"""),"Batch 2")</f>
        <v>Batch 2</v>
      </c>
      <c r="J908" s="225">
        <f>IFERROR(__xludf.DUMMYFUNCTION("""COMPUTED_VALUE"""),2.0)</f>
        <v>2</v>
      </c>
      <c r="K908" s="224">
        <f>IFERROR(__xludf.DUMMYFUNCTION("""COMPUTED_VALUE"""),16.0)</f>
        <v>16</v>
      </c>
      <c r="L908" s="226">
        <f>IFERROR(__xludf.DUMMYFUNCTION("""COMPUTED_VALUE"""),1020547.0)</f>
        <v>1020547</v>
      </c>
      <c r="M908" s="227">
        <f>IFERROR(__xludf.DUMMYFUNCTION("""COMPUTED_VALUE"""),1.6328751E7)</f>
        <v>16328751</v>
      </c>
      <c r="N908" s="222" t="str">
        <f>IFERROR(__xludf.DUMMYFUNCTION("""COMPUTED_VALUE"""),"PT NASRI SEJAHTERA UTAMA")</f>
        <v>PT NASRI SEJAHTERA UTAMA</v>
      </c>
      <c r="O908" s="222" t="str">
        <f>IFERROR(__xludf.DUMMYFUNCTION("""COMPUTED_VALUE"""),"7. GOLIVE")</f>
        <v>7. GOLIVE</v>
      </c>
      <c r="P908" s="222" t="str">
        <f>IFERROR(__xludf.DUMMYFUNCTION("""COMPUTED_VALUE"""),"7.2 Golive Full / OA / DONE OTB")</f>
        <v>7.2 Golive Full / OA / DONE OTB</v>
      </c>
      <c r="Q908" s="222" t="str">
        <f>IFERROR(__xludf.DUMMYFUNCTION("""COMPUTED_VALUE"""),"27/3 sisa jumper di mini olt, pararel valins bsk 28 maret, 26/3 sisa instal 10 odp, ku12 (6151 selesai, tiang 5 selesai, 22/3 sisa instal 10 odp, ku12 (6151 selesai, tiang 5 selesai,  18/3 sisa instal 10 odp, ku12 (6151 selesai, tiang 5 selesai16/3 proses"&amp;" penarikan kabel 12 (6515 sisa 1715) odp 10 belum progres, tiang 5 sisa 4, 13/3 penarikan kabel 12 (6515 sisa 5015), odp 10 belum progres, tiang 5 belum progres, 12/3 prepair team untuk pengambilan matrial dari wh ke site, 11/3 proses input material di al"&amp;"ista, 10/3 proses input material di alista, 6/3 menunggu req matrial mitra, 5/3 kenaikan nilai di atas 10% redesign permintaan tsel. 4/3 kenaikan nilai di atas 10% redesign permintaan tsel. 3/3 menunggu boq kml survey redesain, 2/3 menunggu boq kml survey"&amp;" redesign, 25/2 plan survey besok, 24/2 prepairt team untuk penjadwalan survey kelokasi,  23/2 prepairt team untuk penjadwalan survey kelokasi, 20/2 prepair team untuk suvrey kelokasi, 19/2 Mandor swakelola,  16/2 Mandor swakelola, (pengalihan dari tripol"&amp;"a), 13/2 Mandor swakelola, 12/2 Mandor swakelola, 11/2 Mandor swakelola, 10/2 Mandor swakelola, 9/2 Mandor swakelola, 6/2 Mandor swakelola, 5/2 Mandor swakelola, 4/2 Mandor swakelola, 3/2 Mandor swakelola, (pengalihan dari tripola),2/2 Mandor swakelola, ("&amp;"pengalihan dari tripola), 1/2 Mandor swakelola, (pengalihan dari tripola), 30/1 Mandor swakelola, (pengalihan dari tripola), 28/1 penunjukan mitra ( peralihan dari mitra tripola), 27/1 proses penunjukan mitra ( mitra tripola menolak untuk lanjut), 26/1 me"&amp;"nunggu report  hasil survey ,23/1 menunggu report hasil survey paralel boq kml hasil survey,  22/1 menunggu report hasil survey paralel boq kml hasil survey, 21/1 menunggu report hasil survey paralel boq kml hasil survey,  20/1 menunggu report hasil surve"&amp;"y paralel boq kml hasil survey, 19/1 menunggu report hasil survey paralel boq kml,  15/1 menunggu report hasil survey paralel boq kml, 14/01 plan survey hari ini tgl 15/01, 13/01 plan survey hari ini tgl 13/01, (07/01) Persiapan")</f>
        <v>27/3 sisa jumper di mini olt, pararel valins bsk 28 maret, 26/3 sisa instal 10 odp, ku12 (6151 selesai, tiang 5 selesai, 22/3 sisa instal 10 odp, ku12 (6151 selesai, tiang 5 selesai,  18/3 sisa instal 10 odp, ku12 (6151 selesai, tiang 5 selesai16/3 proses penarikan kabel 12 (6515 sisa 1715) odp 10 belum progres, tiang 5 sisa 4, 13/3 penarikan kabel 12 (6515 sisa 5015), odp 10 belum progres, tiang 5 belum progres, 12/3 prepair team untuk pengambilan matrial dari wh ke site, 11/3 proses input material di alista, 10/3 proses input material di alista, 6/3 menunggu req matrial mitra, 5/3 kenaikan nilai di atas 10% redesign permintaan tsel. 4/3 kenaikan nilai di atas 10% redesign permintaan tsel. 3/3 menunggu boq kml survey redesain, 2/3 menunggu boq kml survey redesign, 25/2 plan survey besok, 24/2 prepairt team untuk penjadwalan survey kelokasi,  23/2 prepairt team untuk penjadwalan survey kelokasi, 20/2 prepair team untuk suvrey kelokasi, 19/2 Mandor swakelola,  16/2 Mandor swakelola, (pengalihan dari tripola), 13/2 Mandor swakelola, 12/2 Mandor swakelola, 11/2 Mandor swakelola, 10/2 Mandor swakelola, 9/2 Mandor swakelola, 6/2 Mandor swakelola, 5/2 Mandor swakelola, 4/2 Mandor swakelola, 3/2 Mandor swakelola, (pengalihan dari tripola),2/2 Mandor swakelola, (pengalihan dari tripola), 1/2 Mandor swakelola, (pengalihan dari tripola), 30/1 Mandor swakelola, (pengalihan dari tripola), 28/1 penunjukan mitra ( peralihan dari mitra tripola), 27/1 proses penunjukan mitra ( mitra tripola menolak untuk lanjut), 26/1 menunggu report  hasil survey ,23/1 menunggu report hasil survey paralel boq kml hasil survey,  22/1 menunggu report hasil survey paralel boq kml hasil survey, 21/1 menunggu report hasil survey paralel boq kml hasil survey,  20/1 menunggu report hasil survey paralel boq kml hasil survey, 19/1 menunggu report hasil survey paralel boq kml,  15/1 menunggu report hasil survey paralel boq kml, 14/01 plan survey hari ini tgl 15/01, 13/01 plan survey hari ini tgl 13/01, (07/01) Persiapan</v>
      </c>
      <c r="R908" s="228">
        <f>IFERROR(__xludf.DUMMYFUNCTION("""COMPUTED_VALUE"""),46111.0)</f>
        <v>46111</v>
      </c>
      <c r="S908" s="11" t="str">
        <f>IFERROR(__xludf.DUMMYFUNCTION("""COMPUTED_VALUE"""),"MAR")</f>
        <v>MAR</v>
      </c>
      <c r="T908" s="11"/>
      <c r="U908" s="11" t="str">
        <f>IFERROR(__xludf.DUMMYFUNCTION("""COMPUTED_VALUE"""),"W03-1755/2025")</f>
        <v>W03-1755/2025</v>
      </c>
      <c r="V908" s="229"/>
      <c r="W908" s="229"/>
      <c r="X908" s="229" t="str">
        <f>IFERROR(__xludf.DUMMYFUNCTION("""COMPUTED_VALUE"""),"GOLIVE")</f>
        <v>GOLIVE</v>
      </c>
      <c r="Y908" s="229" t="str">
        <f>IFERROR(__xludf.DUMMYFUNCTION("""COMPUTED_VALUE"""),"DONE")</f>
        <v>DONE</v>
      </c>
      <c r="Z908" s="229" t="str">
        <f>IFERROR(__xludf.DUMMYFUNCTION("""COMPUTED_VALUE"""),"#N/A")</f>
        <v>#N/A</v>
      </c>
      <c r="AA908" s="229">
        <f>IFERROR(__xludf.DUMMYFUNCTION("""COMPUTED_VALUE"""),10.0)</f>
        <v>10</v>
      </c>
      <c r="AB908" s="229"/>
      <c r="AC908" s="229" t="str">
        <f>IFERROR(__xludf.DUMMYFUNCTION("""COMPUTED_VALUE"""),"9228323#9228328")</f>
        <v>9228323#9228328</v>
      </c>
      <c r="AD908" s="232">
        <f>IFERROR(__xludf.DUMMYFUNCTION("""COMPUTED_VALUE"""),80.0)</f>
        <v>80</v>
      </c>
      <c r="AE908" s="233">
        <f>IFERROR(__xludf.DUMMYFUNCTION("""COMPUTED_VALUE"""),46111.0)</f>
        <v>46111</v>
      </c>
      <c r="AF908" s="54"/>
      <c r="AG908" s="54"/>
      <c r="AH908" s="54">
        <v>46111.0</v>
      </c>
      <c r="AI908" s="55">
        <f t="shared" si="97"/>
        <v>0</v>
      </c>
      <c r="AW908" s="234"/>
      <c r="BP908" s="11"/>
      <c r="BQ908" s="11"/>
      <c r="BR908" s="235"/>
      <c r="BV908" s="158"/>
      <c r="BY908" s="158"/>
      <c r="CB908" s="158"/>
    </row>
    <row r="909" ht="18.0" hidden="1" customHeight="1">
      <c r="A909" s="222">
        <f>IFERROR(__xludf.DUMMYFUNCTION("""COMPUTED_VALUE"""),2026.0)</f>
        <v>2026</v>
      </c>
      <c r="B909" s="221">
        <f>IFERROR(__xludf.DUMMYFUNCTION("""COMPUTED_VALUE"""),1.1618446E7)</f>
        <v>11618446</v>
      </c>
      <c r="C909" s="222" t="str">
        <f>IFERROR(__xludf.DUMMYFUNCTION("""COMPUTED_VALUE"""),"MDN PT3 CTD-FCX JL.H.PERAK GG.SUBUR")</f>
        <v>MDN PT3 CTD-FCX JL.H.PERAK GG.SUBUR</v>
      </c>
      <c r="D909" s="222" t="str">
        <f>IFERROR(__xludf.DUMMYFUNCTION("""COMPUTED_VALUE"""),"REGIONAL I")</f>
        <v>REGIONAL I</v>
      </c>
      <c r="E909" s="222" t="str">
        <f>IFERROR(__xludf.DUMMYFUNCTION("""COMPUTED_VALUE"""),"MEDAN")</f>
        <v>MEDAN</v>
      </c>
      <c r="F909" s="222" t="str">
        <f>IFERROR(__xludf.DUMMYFUNCTION("""COMPUTED_VALUE"""),"CTD")</f>
        <v>CTD</v>
      </c>
      <c r="G909" s="222" t="str">
        <f>IFERROR(__xludf.DUMMYFUNCTION("""COMPUTED_VALUE"""),"SUMBAGUT")</f>
        <v>SUMBAGUT</v>
      </c>
      <c r="H909" s="222" t="str">
        <f>IFERROR(__xludf.DUMMYFUNCTION("""COMPUTED_VALUE"""),"MEDAN")</f>
        <v>MEDAN</v>
      </c>
      <c r="I909" s="222" t="str">
        <f>IFERROR(__xludf.DUMMYFUNCTION("""COMPUTED_VALUE"""),"Batch 2")</f>
        <v>Batch 2</v>
      </c>
      <c r="J909" s="225">
        <f>IFERROR(__xludf.DUMMYFUNCTION("""COMPUTED_VALUE"""),4.0)</f>
        <v>4</v>
      </c>
      <c r="K909" s="224">
        <f>IFERROR(__xludf.DUMMYFUNCTION("""COMPUTED_VALUE"""),32.0)</f>
        <v>32</v>
      </c>
      <c r="L909" s="226">
        <f>IFERROR(__xludf.DUMMYFUNCTION("""COMPUTED_VALUE"""),1233884.0)</f>
        <v>1233884</v>
      </c>
      <c r="M909" s="227">
        <f>IFERROR(__xludf.DUMMYFUNCTION("""COMPUTED_VALUE"""),3.9484273E7)</f>
        <v>39484273</v>
      </c>
      <c r="N909" s="222" t="str">
        <f>IFERROR(__xludf.DUMMYFUNCTION("""COMPUTED_VALUE"""),"PT M JUSUF AND SONS")</f>
        <v>PT M JUSUF AND SONS</v>
      </c>
      <c r="O909" s="222" t="str">
        <f>IFERROR(__xludf.DUMMYFUNCTION("""COMPUTED_VALUE"""),"0. DROP")</f>
        <v>0. DROP</v>
      </c>
      <c r="P909" s="222" t="str">
        <f>IFERROR(__xludf.DUMMYFUNCTION("""COMPUTED_VALUE"""),"0.4 CPP Tinggi Acc ED TIF")</f>
        <v>0.4 CPP Tinggi Acc ED TIF</v>
      </c>
      <c r="Q909" s="222" t="str">
        <f>IFERROR(__xludf.DUMMYFUNCTION("""COMPUTED_VALUE"""),"02/02 Feeder Habis
(07/01) Persiapan")</f>
        <v>02/02 Feeder Habis
(07/01) Persiapan</v>
      </c>
      <c r="R909" s="228"/>
      <c r="S909" s="11"/>
      <c r="T909" s="11"/>
      <c r="U909" s="11"/>
      <c r="V909" s="229"/>
      <c r="W909" s="229"/>
      <c r="X909" s="229" t="str">
        <f>IFERROR(__xludf.DUMMYFUNCTION("""COMPUTED_VALUE"""),"BELUM GOLIVE")</f>
        <v>BELUM GOLIVE</v>
      </c>
      <c r="Y909" s="229"/>
      <c r="Z909" s="229" t="str">
        <f>IFERROR(__xludf.DUMMYFUNCTION("""COMPUTED_VALUE"""),"#N/A")</f>
        <v>#N/A</v>
      </c>
      <c r="AA909" s="229"/>
      <c r="AB909" s="229"/>
      <c r="AC909" s="229"/>
      <c r="AD909" s="232"/>
      <c r="AE909" s="233"/>
      <c r="AF909" s="54" t="str">
        <f>IFERROR(__xludf.DUMMYFUNCTION("""COMPUTED_VALUE"""),"Draft BA DROP")</f>
        <v>Draft BA DROP</v>
      </c>
      <c r="AG909" s="54"/>
      <c r="AH909" s="54"/>
      <c r="AI909" s="55" t="str">
        <f t="shared" si="97"/>
        <v/>
      </c>
      <c r="AW909" s="234"/>
      <c r="BP909" s="11"/>
      <c r="BQ909" s="11"/>
      <c r="BR909" s="235"/>
      <c r="BV909" s="158"/>
      <c r="BY909" s="158"/>
      <c r="CB909" s="158"/>
    </row>
    <row r="910" ht="18.0" customHeight="1">
      <c r="A910" s="222">
        <f>IFERROR(__xludf.DUMMYFUNCTION("""COMPUTED_VALUE"""),2026.0)</f>
        <v>2026</v>
      </c>
      <c r="B910" s="221">
        <f>IFERROR(__xludf.DUMMYFUNCTION("""COMPUTED_VALUE"""),1.1539859E7)</f>
        <v>11539859</v>
      </c>
      <c r="C910" s="222" t="str">
        <f>IFERROR(__xludf.DUMMYFUNCTION("""COMPUTED_VALUE"""),"RKP PT3 TSEL LBJ-FBW BENGKONG PERTIWI")</f>
        <v>RKP PT3 TSEL LBJ-FBW BENGKONG PERTIWI</v>
      </c>
      <c r="D910" s="222" t="str">
        <f>IFERROR(__xludf.DUMMYFUNCTION("""COMPUTED_VALUE"""),"REGIONAL I")</f>
        <v>REGIONAL I</v>
      </c>
      <c r="E910" s="222" t="str">
        <f>IFERROR(__xludf.DUMMYFUNCTION("""COMPUTED_VALUE"""),"RIKEP")</f>
        <v>RIKEP</v>
      </c>
      <c r="F910" s="222" t="str">
        <f>IFERROR(__xludf.DUMMYFUNCTION("""COMPUTED_VALUE"""),"LBJ")</f>
        <v>LBJ</v>
      </c>
      <c r="G910" s="222" t="str">
        <f>IFERROR(__xludf.DUMMYFUNCTION("""COMPUTED_VALUE"""),"SUMBAGTENG")</f>
        <v>SUMBAGTENG</v>
      </c>
      <c r="H910" s="222" t="str">
        <f>IFERROR(__xludf.DUMMYFUNCTION("""COMPUTED_VALUE"""),"BATAM")</f>
        <v>BATAM</v>
      </c>
      <c r="I910" s="222" t="str">
        <f>IFERROR(__xludf.DUMMYFUNCTION("""COMPUTED_VALUE"""),"Batch 2")</f>
        <v>Batch 2</v>
      </c>
      <c r="J910" s="225">
        <f>IFERROR(__xludf.DUMMYFUNCTION("""COMPUTED_VALUE"""),7.0)</f>
        <v>7</v>
      </c>
      <c r="K910" s="224">
        <f>IFERROR(__xludf.DUMMYFUNCTION("""COMPUTED_VALUE"""),56.0)</f>
        <v>56</v>
      </c>
      <c r="L910" s="226">
        <f>IFERROR(__xludf.DUMMYFUNCTION("""COMPUTED_VALUE"""),1020247.0)</f>
        <v>1020247</v>
      </c>
      <c r="M910" s="227">
        <f>IFERROR(__xludf.DUMMYFUNCTION("""COMPUTED_VALUE"""),5.713378E7)</f>
        <v>57133780</v>
      </c>
      <c r="N910" s="222" t="str">
        <f>IFERROR(__xludf.DUMMYFUNCTION("""COMPUTED_VALUE"""),"PT HDUA PUTRA PRAJODA")</f>
        <v>PT HDUA PUTRA PRAJODA</v>
      </c>
      <c r="O910" s="222" t="str">
        <f>IFERROR(__xludf.DUMMYFUNCTION("""COMPUTED_VALUE"""),"0. DROP")</f>
        <v>0. DROP</v>
      </c>
      <c r="P910" s="222" t="str">
        <f>IFERROR(__xludf.DUMMYFUNCTION("""COMPUTED_VALUE"""),"0.2 Tidak Dapat Izin Warga/Kades/Lurah/Developer")</f>
        <v>0.2 Tidak Dapat Izin Warga/Kades/Lurah/Developer</v>
      </c>
      <c r="Q910" s="222" t="str">
        <f>IFERROR(__xludf.DUMMYFUNCTION("""COMPUTED_VALUE"""),"16/02 Izin di tolak RW. 11/02 Peralihan mitra. 28/01 Plan survey 29 Jan. 28/01 Mitra tripola belum ada PIC untuk anwijzing. 23/01 Plan anwijzing 26 Jan, pic mitra ada pertanggal 25 jan. 21/01 proses penunjukan mitra ")</f>
        <v>16/02 Izin di tolak RW. 11/02 Peralihan mitra. 28/01 Plan survey 29 Jan. 28/01 Mitra tripola belum ada PIC untuk anwijzing. 23/01 Plan anwijzing 26 Jan, pic mitra ada pertanggal 25 jan. 21/01 proses penunjukan mitra </v>
      </c>
      <c r="R910" s="228"/>
      <c r="S910" s="11"/>
      <c r="T910" s="11"/>
      <c r="U910" s="11"/>
      <c r="V910" s="229" t="str">
        <f>IFERROR(__xludf.DUMMYFUNCTION("""COMPUTED_VALUE"""),"RONALDO LEO INFANTRI")</f>
        <v>RONALDO LEO INFANTRI</v>
      </c>
      <c r="W910" s="229" t="str">
        <f>IFERROR(__xludf.DUMMYFUNCTION("""COMPUTED_VALUE"""),"LEVITA INDRIYANI")</f>
        <v>LEVITA INDRIYANI</v>
      </c>
      <c r="X910" s="229" t="str">
        <f>IFERROR(__xludf.DUMMYFUNCTION("""COMPUTED_VALUE"""),"BELUM GOLIVE")</f>
        <v>BELUM GOLIVE</v>
      </c>
      <c r="Y910" s="229"/>
      <c r="Z910" s="229" t="str">
        <f>IFERROR(__xludf.DUMMYFUNCTION("""COMPUTED_VALUE"""),"#N/A")</f>
        <v>#N/A</v>
      </c>
      <c r="AA910" s="229"/>
      <c r="AB910" s="229"/>
      <c r="AC910" s="229"/>
      <c r="AD910" s="232"/>
      <c r="AE910" s="233"/>
      <c r="AF910" s="54" t="str">
        <f>IFERROR(__xludf.DUMMYFUNCTION("""COMPUTED_VALUE"""),"Draft BA DROP")</f>
        <v>Draft BA DROP</v>
      </c>
      <c r="AG910" s="54"/>
      <c r="AH910" s="54"/>
      <c r="AI910" s="55" t="str">
        <f t="shared" si="97"/>
        <v/>
      </c>
      <c r="AW910" s="234"/>
      <c r="BP910" s="11"/>
      <c r="BQ910" s="11"/>
      <c r="BR910" s="235"/>
      <c r="BV910" s="158"/>
      <c r="BY910" s="158"/>
      <c r="CB910" s="158"/>
    </row>
    <row r="911" ht="18.0" hidden="1" customHeight="1">
      <c r="A911" s="222">
        <f>IFERROR(__xludf.DUMMYFUNCTION("""COMPUTED_VALUE"""),2026.0)</f>
        <v>2026</v>
      </c>
      <c r="B911" s="221">
        <f>IFERROR(__xludf.DUMMYFUNCTION("""COMPUTED_VALUE"""),1.223523E7)</f>
        <v>12235230</v>
      </c>
      <c r="C911" s="222" t="str">
        <f>IFERROR(__xludf.DUMMYFUNCTION("""COMPUTED_VALUE"""),"BNK-JPPTSEL-KOTA BENGKULU_28453_H2_2025")</f>
        <v>BNK-JPPTSEL-KOTA BENGKULU_28453_H2_2025</v>
      </c>
      <c r="D911" s="222" t="str">
        <f>IFERROR(__xludf.DUMMYFUNCTION("""COMPUTED_VALUE"""),"REGIONAL I")</f>
        <v>REGIONAL I</v>
      </c>
      <c r="E911" s="222" t="str">
        <f>IFERROR(__xludf.DUMMYFUNCTION("""COMPUTED_VALUE"""),"BENGKULU")</f>
        <v>BENGKULU</v>
      </c>
      <c r="F911" s="222" t="str">
        <f>IFERROR(__xludf.DUMMYFUNCTION("""COMPUTED_VALUE"""),"PDW")</f>
        <v>PDW</v>
      </c>
      <c r="G911" s="222" t="str">
        <f>IFERROR(__xludf.DUMMYFUNCTION("""COMPUTED_VALUE"""),"SUMBAGSEL")</f>
        <v>SUMBAGSEL</v>
      </c>
      <c r="H911" s="222" t="str">
        <f>IFERROR(__xludf.DUMMYFUNCTION("""COMPUTED_VALUE"""),"BENGKULU")</f>
        <v>BENGKULU</v>
      </c>
      <c r="I911" s="222" t="str">
        <f>IFERROR(__xludf.DUMMYFUNCTION("""COMPUTED_VALUE"""),"Batch 2")</f>
        <v>Batch 2</v>
      </c>
      <c r="J911" s="225">
        <f>IFERROR(__xludf.DUMMYFUNCTION("""COMPUTED_VALUE"""),3.0)</f>
        <v>3</v>
      </c>
      <c r="K911" s="224">
        <f>IFERROR(__xludf.DUMMYFUNCTION("""COMPUTED_VALUE"""),24.0)</f>
        <v>24</v>
      </c>
      <c r="L911" s="226">
        <f>IFERROR(__xludf.DUMMYFUNCTION("""COMPUTED_VALUE"""),1018561.0)</f>
        <v>1018561</v>
      </c>
      <c r="M911" s="227">
        <f>IFERROR(__xludf.DUMMYFUNCTION("""COMPUTED_VALUE"""),2.4445464E7)</f>
        <v>24445464</v>
      </c>
      <c r="N911" s="222" t="str">
        <f>IFERROR(__xludf.DUMMYFUNCTION("""COMPUTED_VALUE"""),"PT TELAGA RESTU ABADI")</f>
        <v>PT TELAGA RESTU ABADI</v>
      </c>
      <c r="O911" s="222" t="str">
        <f>IFERROR(__xludf.DUMMYFUNCTION("""COMPUTED_VALUE"""),"0. DROP")</f>
        <v>0. DROP</v>
      </c>
      <c r="P911" s="222" t="str">
        <f>IFERROR(__xludf.DUMMYFUNCTION("""COMPUTED_VALUE"""),"0.2 Tidak Dapat Izin Warga/Kades/Lurah/Developer")</f>
        <v>0.2 Tidak Dapat Izin Warga/Kades/Lurah/Developer</v>
      </c>
      <c r="Q911" s="222" t="str">
        <f>IFERROR(__xludf.DUMMYFUNCTION("""COMPUTED_VALUE"""),"22/01 : Tidak dapat izin RT")</f>
        <v>22/01 : Tidak dapat izin RT</v>
      </c>
      <c r="R911" s="228"/>
      <c r="S911" s="11"/>
      <c r="T911" s="11"/>
      <c r="U911" s="11"/>
      <c r="V911" s="229"/>
      <c r="W911" s="229"/>
      <c r="X911" s="229" t="str">
        <f>IFERROR(__xludf.DUMMYFUNCTION("""COMPUTED_VALUE"""),"BELUM GOLIVE")</f>
        <v>BELUM GOLIVE</v>
      </c>
      <c r="Y911" s="229"/>
      <c r="Z911" s="229" t="str">
        <f>IFERROR(__xludf.DUMMYFUNCTION("""COMPUTED_VALUE"""),"#N/A")</f>
        <v>#N/A</v>
      </c>
      <c r="AA911" s="229"/>
      <c r="AB911" s="229"/>
      <c r="AC911" s="229"/>
      <c r="AD911" s="232"/>
      <c r="AE911" s="233"/>
      <c r="AF911" s="54" t="str">
        <f>IFERROR(__xludf.DUMMYFUNCTION("""COMPUTED_VALUE"""),"Draft BA DROP")</f>
        <v>Draft BA DROP</v>
      </c>
      <c r="AG911" s="54"/>
      <c r="AH911" s="54"/>
      <c r="AI911" s="55" t="str">
        <f t="shared" si="97"/>
        <v/>
      </c>
      <c r="AW911" s="234"/>
      <c r="BP911" s="11"/>
      <c r="BQ911" s="11"/>
      <c r="BR911" s="235"/>
      <c r="BV911" s="158"/>
      <c r="BY911" s="158"/>
      <c r="CB911" s="158"/>
    </row>
    <row r="912" ht="18.0" customHeight="1">
      <c r="A912" s="222">
        <f>IFERROR(__xludf.DUMMYFUNCTION("""COMPUTED_VALUE"""),2026.0)</f>
        <v>2026</v>
      </c>
      <c r="B912" s="221">
        <f>IFERROR(__xludf.DUMMYFUNCTION("""COMPUTED_VALUE"""),1.2470633E7)</f>
        <v>12470633</v>
      </c>
      <c r="C912" s="222" t="str">
        <f>IFERROR(__xludf.DUMMYFUNCTION("""COMPUTED_VALUE"""),"RDR JPP PT3 250_228_2870")</f>
        <v>RDR JPP PT3 250_228_2870</v>
      </c>
      <c r="D912" s="222" t="str">
        <f>IFERROR(__xludf.DUMMYFUNCTION("""COMPUTED_VALUE"""),"REGIONAL I")</f>
        <v>REGIONAL I</v>
      </c>
      <c r="E912" s="222" t="str">
        <f>IFERROR(__xludf.DUMMYFUNCTION("""COMPUTED_VALUE"""),"RIDAR")</f>
        <v>RIDAR</v>
      </c>
      <c r="F912" s="222" t="str">
        <f>IFERROR(__xludf.DUMMYFUNCTION("""COMPUTED_VALUE"""),"PBB")</f>
        <v>PBB</v>
      </c>
      <c r="G912" s="222" t="str">
        <f>IFERROR(__xludf.DUMMYFUNCTION("""COMPUTED_VALUE"""),"SUMBAGTENG")</f>
        <v>SUMBAGTENG</v>
      </c>
      <c r="H912" s="222" t="str">
        <f>IFERROR(__xludf.DUMMYFUNCTION("""COMPUTED_VALUE"""),"PEKANBARU")</f>
        <v>PEKANBARU</v>
      </c>
      <c r="I912" s="222" t="str">
        <f>IFERROR(__xludf.DUMMYFUNCTION("""COMPUTED_VALUE"""),"Batch 2")</f>
        <v>Batch 2</v>
      </c>
      <c r="J912" s="225">
        <f>IFERROR(__xludf.DUMMYFUNCTION("""COMPUTED_VALUE"""),3.0)</f>
        <v>3</v>
      </c>
      <c r="K912" s="224">
        <f>IFERROR(__xludf.DUMMYFUNCTION("""COMPUTED_VALUE"""),24.0)</f>
        <v>24</v>
      </c>
      <c r="L912" s="226">
        <f>IFERROR(__xludf.DUMMYFUNCTION("""COMPUTED_VALUE"""),1235995.0)</f>
        <v>1235995</v>
      </c>
      <c r="M912" s="227">
        <f>IFERROR(__xludf.DUMMYFUNCTION("""COMPUTED_VALUE"""),2.9663869E7)</f>
        <v>29663869</v>
      </c>
      <c r="N912" s="222" t="str">
        <f>IFERROR(__xludf.DUMMYFUNCTION("""COMPUTED_VALUE"""),"PT SAMUDERA PUTRA KENCANA")</f>
        <v>PT SAMUDERA PUTRA KENCANA</v>
      </c>
      <c r="O912" s="222" t="str">
        <f>IFERROR(__xludf.DUMMYFUNCTION("""COMPUTED_VALUE"""),"0. DROP")</f>
        <v>0. DROP</v>
      </c>
      <c r="P912" s="222" t="str">
        <f>IFERROR(__xludf.DUMMYFUNCTION("""COMPUTED_VALUE"""),"0.2 Tidak Dapat Izin Warga/Kades/Lurah/Developer")</f>
        <v>0.2 Tidak Dapat Izin Warga/Kades/Lurah/Developer</v>
      </c>
      <c r="Q912" s="222" t="str">
        <f>IFERROR(__xludf.DUMMYFUNCTION("""COMPUTED_VALUE"""),"29/01 Tidak dapat izin tanam tiang (07/01) Persiapan")</f>
        <v>29/01 Tidak dapat izin tanam tiang (07/01) Persiapan</v>
      </c>
      <c r="R912" s="228"/>
      <c r="S912" s="11"/>
      <c r="T912" s="11"/>
      <c r="U912" s="11" t="str">
        <f>IFERROR(__xludf.DUMMYFUNCTION("""COMPUTED_VALUE"""),"W08-84/2026")</f>
        <v>W08-84/2026</v>
      </c>
      <c r="V912" s="229" t="str">
        <f>IFERROR(__xludf.DUMMYFUNCTION("""COMPUTED_VALUE"""),"TEGUH IMAM PERDANA")</f>
        <v>TEGUH IMAM PERDANA</v>
      </c>
      <c r="W912" s="229" t="str">
        <f>IFERROR(__xludf.DUMMYFUNCTION("""COMPUTED_VALUE"""),"DESLITA RAHMADANI")</f>
        <v>DESLITA RAHMADANI</v>
      </c>
      <c r="X912" s="229" t="str">
        <f>IFERROR(__xludf.DUMMYFUNCTION("""COMPUTED_VALUE"""),"BELUM GOLIVE")</f>
        <v>BELUM GOLIVE</v>
      </c>
      <c r="Y912" s="229"/>
      <c r="Z912" s="229" t="str">
        <f>IFERROR(__xludf.DUMMYFUNCTION("""COMPUTED_VALUE"""),"#N/A")</f>
        <v>#N/A</v>
      </c>
      <c r="AA912" s="229"/>
      <c r="AB912" s="229"/>
      <c r="AC912" s="229"/>
      <c r="AD912" s="232"/>
      <c r="AE912" s="233"/>
      <c r="AF912" s="54" t="str">
        <f>IFERROR(__xludf.DUMMYFUNCTION("""COMPUTED_VALUE"""),"Draft BA DROP")</f>
        <v>Draft BA DROP</v>
      </c>
      <c r="AG912" s="54"/>
      <c r="AH912" s="54"/>
      <c r="AI912" s="55" t="str">
        <f t="shared" si="97"/>
        <v/>
      </c>
      <c r="AW912" s="234"/>
      <c r="BP912" s="11"/>
      <c r="BQ912" s="11"/>
      <c r="BR912" s="235"/>
      <c r="BV912" s="158"/>
      <c r="BY912" s="158"/>
      <c r="CB912" s="158"/>
    </row>
    <row r="913" ht="18.0" customHeight="1">
      <c r="A913" s="222">
        <f>IFERROR(__xludf.DUMMYFUNCTION("""COMPUTED_VALUE"""),2026.0)</f>
        <v>2026</v>
      </c>
      <c r="B913" s="221">
        <f>IFERROR(__xludf.DUMMYFUNCTION("""COMPUTED_VALUE"""),1.2437853E7)</f>
        <v>12437853</v>
      </c>
      <c r="C913" s="222" t="str">
        <f>IFERROR(__xludf.DUMMYFUNCTION("""COMPUTED_VALUE"""),"RDR JPP PT3 BENGKALIS_99783")</f>
        <v>RDR JPP PT3 BENGKALIS_99783</v>
      </c>
      <c r="D913" s="222" t="str">
        <f>IFERROR(__xludf.DUMMYFUNCTION("""COMPUTED_VALUE"""),"REGIONAL I")</f>
        <v>REGIONAL I</v>
      </c>
      <c r="E913" s="222" t="str">
        <f>IFERROR(__xludf.DUMMYFUNCTION("""COMPUTED_VALUE"""),"RIDAR")</f>
        <v>RIDAR</v>
      </c>
      <c r="F913" s="222" t="str">
        <f>IFERROR(__xludf.DUMMYFUNCTION("""COMPUTED_VALUE"""),"DRI")</f>
        <v>DRI</v>
      </c>
      <c r="G913" s="222" t="str">
        <f>IFERROR(__xludf.DUMMYFUNCTION("""COMPUTED_VALUE"""),"SUMBAGTENG")</f>
        <v>SUMBAGTENG</v>
      </c>
      <c r="H913" s="222" t="str">
        <f>IFERROR(__xludf.DUMMYFUNCTION("""COMPUTED_VALUE"""),"DUMAI")</f>
        <v>DUMAI</v>
      </c>
      <c r="I913" s="222" t="str">
        <f>IFERROR(__xludf.DUMMYFUNCTION("""COMPUTED_VALUE"""),"Batch 2")</f>
        <v>Batch 2</v>
      </c>
      <c r="J913" s="225">
        <f>IFERROR(__xludf.DUMMYFUNCTION("""COMPUTED_VALUE"""),9.0)</f>
        <v>9</v>
      </c>
      <c r="K913" s="224">
        <f>IFERROR(__xludf.DUMMYFUNCTION("""COMPUTED_VALUE"""),72.0)</f>
        <v>72</v>
      </c>
      <c r="L913" s="226">
        <f>IFERROR(__xludf.DUMMYFUNCTION("""COMPUTED_VALUE"""),1017463.0)</f>
        <v>1017463</v>
      </c>
      <c r="M913" s="227">
        <f>IFERROR(__xludf.DUMMYFUNCTION("""COMPUTED_VALUE"""),7.3257266E7)</f>
        <v>73257266</v>
      </c>
      <c r="N913" s="222" t="str">
        <f>IFERROR(__xludf.DUMMYFUNCTION("""COMPUTED_VALUE"""),"PT TRIPOLA PANATA")</f>
        <v>PT TRIPOLA PANATA</v>
      </c>
      <c r="O913" s="222" t="str">
        <f>IFERROR(__xludf.DUMMYFUNCTION("""COMPUTED_VALUE"""),"2. DONE AANWIJZING")</f>
        <v>2. DONE AANWIJZING</v>
      </c>
      <c r="P913" s="222" t="str">
        <f>IFERROR(__xludf.DUMMYFUNCTION("""COMPUTED_VALUE"""),"2.10 Kendala - Feeder Rusak")</f>
        <v>2.10 Kendala - Feeder Rusak</v>
      </c>
      <c r="Q913" s="222" t="str">
        <f>IFERROR(__xludf.DUMMYFUNCTION("""COMPUTED_VALUE"""),"20/04 Pengambilan ulang hasil ukur OTDR 13/04 Pengambilan otdr ulang N to N09/02 Antrian Review 29/01 Menunggu kelengkapan hasil anwidzing 21/01 Terget selesai survey 24 Jan (07/01) Persiapan")</f>
        <v>20/04 Pengambilan ulang hasil ukur OTDR 13/04 Pengambilan otdr ulang N to N09/02 Antrian Review 29/01 Menunggu kelengkapan hasil anwidzing 21/01 Terget selesai survey 24 Jan (07/01) Persiapan</v>
      </c>
      <c r="R913" s="228"/>
      <c r="S913" s="11"/>
      <c r="T913" s="11"/>
      <c r="U913" s="11" t="str">
        <f>IFERROR(__xludf.DUMMYFUNCTION("""COMPUTED_VALUE"""),"W08-1963/2025")</f>
        <v>W08-1963/2025</v>
      </c>
      <c r="V913" s="229" t="str">
        <f>IFERROR(__xludf.DUMMYFUNCTION("""COMPUTED_VALUE"""),"ONDI EKA SAPUTRA")</f>
        <v>ONDI EKA SAPUTRA</v>
      </c>
      <c r="W913" s="229" t="str">
        <f>IFERROR(__xludf.DUMMYFUNCTION("""COMPUTED_VALUE"""),"DESLITA RAHMADANI")</f>
        <v>DESLITA RAHMADANI</v>
      </c>
      <c r="X913" s="229" t="str">
        <f>IFERROR(__xludf.DUMMYFUNCTION("""COMPUTED_VALUE"""),"BELUM GOLIVE")</f>
        <v>BELUM GOLIVE</v>
      </c>
      <c r="Y913" s="229"/>
      <c r="Z913" s="229" t="str">
        <f>IFERROR(__xludf.DUMMYFUNCTION("""COMPUTED_VALUE"""),"#N/A")</f>
        <v>#N/A</v>
      </c>
      <c r="AA913" s="229"/>
      <c r="AB913" s="229"/>
      <c r="AC913" s="229"/>
      <c r="AD913" s="232"/>
      <c r="AE913" s="233"/>
      <c r="AF913" s="54"/>
      <c r="AG913" s="54"/>
      <c r="AH913" s="54"/>
      <c r="AI913" s="55" t="str">
        <f t="shared" si="97"/>
        <v/>
      </c>
      <c r="AW913" s="234"/>
      <c r="BP913" s="11"/>
      <c r="BQ913" s="11"/>
      <c r="BR913" s="235"/>
      <c r="BV913" s="158"/>
      <c r="BY913" s="158"/>
      <c r="CB913" s="158"/>
    </row>
    <row r="914" ht="18.0" hidden="1" customHeight="1">
      <c r="A914" s="222">
        <f>IFERROR(__xludf.DUMMYFUNCTION("""COMPUTED_VALUE"""),2026.0)</f>
        <v>2026</v>
      </c>
      <c r="B914" s="221">
        <f>IFERROR(__xludf.DUMMYFUNCTION("""COMPUTED_VALUE"""),1.2189209E7)</f>
        <v>12189209</v>
      </c>
      <c r="C914" s="222" t="str">
        <f>IFERROR(__xludf.DUMMYFUNCTION("""COMPUTED_VALUE"""),"SMU PT4 KIS CLUST PERKEBUNAN SEI DADAP")</f>
        <v>SMU PT4 KIS CLUST PERKEBUNAN SEI DADAP</v>
      </c>
      <c r="D914" s="222" t="str">
        <f>IFERROR(__xludf.DUMMYFUNCTION("""COMPUTED_VALUE"""),"REGIONAL I")</f>
        <v>REGIONAL I</v>
      </c>
      <c r="E914" s="222" t="str">
        <f>IFERROR(__xludf.DUMMYFUNCTION("""COMPUTED_VALUE"""),"SUMUT")</f>
        <v>SUMUT</v>
      </c>
      <c r="F914" s="222" t="str">
        <f>IFERROR(__xludf.DUMMYFUNCTION("""COMPUTED_VALUE"""),"KIS")</f>
        <v>KIS</v>
      </c>
      <c r="G914" s="222" t="str">
        <f>IFERROR(__xludf.DUMMYFUNCTION("""COMPUTED_VALUE"""),"SUMBAGUT")</f>
        <v>SUMBAGUT</v>
      </c>
      <c r="H914" s="222" t="str">
        <f>IFERROR(__xludf.DUMMYFUNCTION("""COMPUTED_VALUE"""),"RANTAU PRAPAT")</f>
        <v>RANTAU PRAPAT</v>
      </c>
      <c r="I914" s="222" t="str">
        <f>IFERROR(__xludf.DUMMYFUNCTION("""COMPUTED_VALUE"""),"Batch 2")</f>
        <v>Batch 2</v>
      </c>
      <c r="J914" s="225">
        <f>IFERROR(__xludf.DUMMYFUNCTION("""COMPUTED_VALUE"""),36.0)</f>
        <v>36</v>
      </c>
      <c r="K914" s="224">
        <f>IFERROR(__xludf.DUMMYFUNCTION("""COMPUTED_VALUE"""),288.0)</f>
        <v>288</v>
      </c>
      <c r="L914" s="226">
        <f>IFERROR(__xludf.DUMMYFUNCTION("""COMPUTED_VALUE"""),1017453.0)</f>
        <v>1017453</v>
      </c>
      <c r="M914" s="227">
        <f>IFERROR(__xludf.DUMMYFUNCTION("""COMPUTED_VALUE"""),2.93026366E8)</f>
        <v>293026366</v>
      </c>
      <c r="N914" s="222" t="str">
        <f>IFERROR(__xludf.DUMMYFUNCTION("""COMPUTED_VALUE"""),"PT ARTHA MANDIRI BERSAMA")</f>
        <v>PT ARTHA MANDIRI BERSAMA</v>
      </c>
      <c r="O914" s="222" t="str">
        <f>IFERROR(__xludf.DUMMYFUNCTION("""COMPUTED_VALUE"""),"8. UJI TERIMA")</f>
        <v>8. UJI TERIMA</v>
      </c>
      <c r="P914" s="222" t="str">
        <f>IFERROR(__xludf.DUMMYFUNCTION("""COMPUTED_VALUE"""),"8.1 Proses UT")</f>
        <v>8.1 Proses UT</v>
      </c>
      <c r="Q914" s="222" t="str">
        <f>IFERROR(__xludf.DUMMYFUNCTION("""COMPUTED_VALUE"""),"Golive, 24/2 validasi sdi, 23/2 validasi sdi, 20/2 proses terminasi, sisa instal 36 odp sisa 6, ku 12 (6453 selesai, ku 24 ( 2755 selesai, ku 48 (2895 selesai), odc 288 selesai, tiang 140  selesai,19/2 proses terminasi, sisa instal 36 odp sisa 12, ku 12 ("&amp;"6453 selesai, ku 24 ( 2755 selesai, ku 48 (2895 selesai), odc 288 selesai, tiang 140  selesai, 18/2 sisa instal 36 odp sisa 13, ku 12 (6453 selesai, ku 24 ( 2755 selesai, ku 48 (2895 selesai), odc 288 selesai, tiang 140  selesai, 16/2 penarikan ku 12 (645"&amp;"3 sisa 2453), ku 24 ( 2755 selesai, ku 48 (2895 seelsai), odp 36 sisa 21, odc 288 selesai, tiang 140  sisa 413/2 penarikan kabel 48 d (2895 selesai), ku 12 (6453 blm progres, ku24 (2755 selesai, odp 36 blm progres, tiang 22 sisa 21, odc 288 selesai, 12/2 "&amp;"penarikan kabel 48 d (2895 selesai), ku 12 (6453 blm progres, ku24 (2755 sisa 755, odp 36 blm progres, tiang 22 sisa 21, odc 288 selesai, 11/2 penarikan kabel 48 d (2895 sisa 1295), ku 12 (6453 blm progres, ku24 (2755 blm progres, odp 36 blm progres, tian"&amp;"g 22 sisa 21, odc 288 selesai, 9/2 pemasangan ODC, 6/2 prepiar team kelokasi untuk pengambilan matrial ke gudang, 5/2 prepiar team kelokasi untuk pengambilan matrial ke gudang,  4/2 prepiar team kelokasi untuk pengambilan matrial ke gudang, 3/2 done reque"&amp;"st material, 2/2 done request material, 1/2 menunggu req matrial, 30/1 menunggu req matrial hari ini, 28/1 menunggu req matrial hari ini, 27/1 Request Material HI, 26/1 proses req matrial, 22/1 proses req matrial, 21/1 proses perizinan ptpn , paralel req "&amp;"matrial, 20/1 menunggu boq kml survey, 19/1 menunggu report dan boq kml survey, 15/1 proses survey dilokasi, 14/01 prepare tim untuk survey, 13/01 prepare tim untuk survey,  (07/01) Persiapan")</f>
        <v>Golive, 24/2 validasi sdi, 23/2 validasi sdi, 20/2 proses terminasi, sisa instal 36 odp sisa 6, ku 12 (6453 selesai, ku 24 ( 2755 selesai, ku 48 (2895 selesai), odc 288 selesai, tiang 140  selesai,19/2 proses terminasi, sisa instal 36 odp sisa 12, ku 12 (6453 selesai, ku 24 ( 2755 selesai, ku 48 (2895 selesai), odc 288 selesai, tiang 140  selesai, 18/2 sisa instal 36 odp sisa 13, ku 12 (6453 selesai, ku 24 ( 2755 selesai, ku 48 (2895 selesai), odc 288 selesai, tiang 140  selesai, 16/2 penarikan ku 12 (6453 sisa 2453), ku 24 ( 2755 selesai, ku 48 (2895 seelsai), odp 36 sisa 21, odc 288 selesai, tiang 140  sisa 413/2 penarikan kabel 48 d (2895 selesai), ku 12 (6453 blm progres, ku24 (2755 selesai, odp 36 blm progres, tiang 22 sisa 21, odc 288 selesai, 12/2 penarikan kabel 48 d (2895 selesai), ku 12 (6453 blm progres, ku24 (2755 sisa 755, odp 36 blm progres, tiang 22 sisa 21, odc 288 selesai, 11/2 penarikan kabel 48 d (2895 sisa 1295), ku 12 (6453 blm progres, ku24 (2755 blm progres, odp 36 blm progres, tiang 22 sisa 21, odc 288 selesai, 9/2 pemasangan ODC, 6/2 prepiar team kelokasi untuk pengambilan matrial ke gudang, 5/2 prepiar team kelokasi untuk pengambilan matrial ke gudang,  4/2 prepiar team kelokasi untuk pengambilan matrial ke gudang, 3/2 done request material, 2/2 done request material, 1/2 menunggu req matrial, 30/1 menunggu req matrial hari ini, 28/1 menunggu req matrial hari ini, 27/1 Request Material HI, 26/1 proses req matrial, 22/1 proses req matrial, 21/1 proses perizinan ptpn , paralel req matrial, 20/1 menunggu boq kml survey, 19/1 menunggu report dan boq kml survey, 15/1 proses survey dilokasi, 14/01 prepare tim untuk survey, 13/01 prepare tim untuk survey,  (07/01) Persiapan</v>
      </c>
      <c r="R914" s="228"/>
      <c r="S914" s="11"/>
      <c r="T914" s="11"/>
      <c r="U914" s="11" t="str">
        <f>IFERROR(__xludf.DUMMYFUNCTION("""COMPUTED_VALUE"""),"W03-1695/2025")</f>
        <v>W03-1695/2025</v>
      </c>
      <c r="V914" s="229"/>
      <c r="W914" s="229"/>
      <c r="X914" s="229" t="str">
        <f>IFERROR(__xludf.DUMMYFUNCTION("""COMPUTED_VALUE"""),"GOLIVE")</f>
        <v>GOLIVE</v>
      </c>
      <c r="Y914" s="229" t="str">
        <f>IFERROR(__xludf.DUMMYFUNCTION("""COMPUTED_VALUE"""),"DONE")</f>
        <v>DONE</v>
      </c>
      <c r="Z914" s="229" t="str">
        <f>IFERROR(__xludf.DUMMYFUNCTION("""COMPUTED_VALUE"""),"#N/A")</f>
        <v>#N/A</v>
      </c>
      <c r="AA914" s="229">
        <f>IFERROR(__xludf.DUMMYFUNCTION("""COMPUTED_VALUE"""),36.0)</f>
        <v>36</v>
      </c>
      <c r="AB914" s="229"/>
      <c r="AC914" s="229" t="str">
        <f>IFERROR(__xludf.DUMMYFUNCTION("""COMPUTED_VALUE"""),"9142523#9142528")</f>
        <v>9142523#9142528</v>
      </c>
      <c r="AD914" s="232">
        <f>IFERROR(__xludf.DUMMYFUNCTION("""COMPUTED_VALUE"""),288.0)</f>
        <v>288</v>
      </c>
      <c r="AE914" s="233">
        <f>IFERROR(__xludf.DUMMYFUNCTION("""COMPUTED_VALUE"""),46077.0)</f>
        <v>46077</v>
      </c>
      <c r="AF914" s="54"/>
      <c r="AG914" s="54"/>
      <c r="AH914" s="54"/>
      <c r="AI914" s="55" t="str">
        <f t="shared" si="97"/>
        <v/>
      </c>
      <c r="AW914" s="234"/>
      <c r="BP914" s="11"/>
      <c r="BQ914" s="11"/>
      <c r="BR914" s="235"/>
      <c r="BV914" s="158"/>
      <c r="BY914" s="158"/>
      <c r="CB914" s="158"/>
    </row>
    <row r="915" ht="18.0" hidden="1" customHeight="1">
      <c r="A915" s="222">
        <f>IFERROR(__xludf.DUMMYFUNCTION("""COMPUTED_VALUE"""),2026.0)</f>
        <v>2026</v>
      </c>
      <c r="B915" s="221">
        <f>IFERROR(__xludf.DUMMYFUNCTION("""COMPUTED_VALUE"""),1.2333438E7)</f>
        <v>12333438</v>
      </c>
      <c r="C915" s="222" t="str">
        <f>IFERROR(__xludf.DUMMYFUNCTION("""COMPUTED_VALUE"""),"BNK-PT3-BENGKULU SELATAN_47270_H2_2025")</f>
        <v>BNK-PT3-BENGKULU SELATAN_47270_H2_2025</v>
      </c>
      <c r="D915" s="222" t="str">
        <f>IFERROR(__xludf.DUMMYFUNCTION("""COMPUTED_VALUE"""),"REGIONAL I")</f>
        <v>REGIONAL I</v>
      </c>
      <c r="E915" s="222" t="str">
        <f>IFERROR(__xludf.DUMMYFUNCTION("""COMPUTED_VALUE"""),"BENGKULU")</f>
        <v>BENGKULU</v>
      </c>
      <c r="F915" s="222" t="str">
        <f>IFERROR(__xludf.DUMMYFUNCTION("""COMPUTED_VALUE"""),"MNA")</f>
        <v>MNA</v>
      </c>
      <c r="G915" s="222" t="str">
        <f>IFERROR(__xludf.DUMMYFUNCTION("""COMPUTED_VALUE"""),"SUMBAGSEL")</f>
        <v>SUMBAGSEL</v>
      </c>
      <c r="H915" s="222" t="str">
        <f>IFERROR(__xludf.DUMMYFUNCTION("""COMPUTED_VALUE"""),"BENGKULU")</f>
        <v>BENGKULU</v>
      </c>
      <c r="I915" s="222" t="str">
        <f>IFERROR(__xludf.DUMMYFUNCTION("""COMPUTED_VALUE"""),"Batch 2")</f>
        <v>Batch 2</v>
      </c>
      <c r="J915" s="225">
        <f>IFERROR(__xludf.DUMMYFUNCTION("""COMPUTED_VALUE"""),15.0)</f>
        <v>15</v>
      </c>
      <c r="K915" s="224">
        <f>IFERROR(__xludf.DUMMYFUNCTION("""COMPUTED_VALUE"""),120.0)</f>
        <v>120</v>
      </c>
      <c r="L915" s="226">
        <f>IFERROR(__xludf.DUMMYFUNCTION("""COMPUTED_VALUE"""),1017227.0)</f>
        <v>1017227</v>
      </c>
      <c r="M915" s="227">
        <f>IFERROR(__xludf.DUMMYFUNCTION("""COMPUTED_VALUE"""),1.2206717E8)</f>
        <v>122067170</v>
      </c>
      <c r="N915" s="222" t="str">
        <f>IFERROR(__xludf.DUMMYFUNCTION("""COMPUTED_VALUE"""),"PT GARINDO TECHNO MANDIRI")</f>
        <v>PT GARINDO TECHNO MANDIRI</v>
      </c>
      <c r="O915" s="222" t="str">
        <f>IFERROR(__xludf.DUMMYFUNCTION("""COMPUTED_VALUE"""),"7. GOLIVE")</f>
        <v>7. GOLIVE</v>
      </c>
      <c r="P915" s="222" t="str">
        <f>IFERROR(__xludf.DUMMYFUNCTION("""COMPUTED_VALUE"""),"7.2 Golive Full / OA / DONE OTB")</f>
        <v>7.2 Golive Full / OA / DONE OTB</v>
      </c>
      <c r="Q915" s="222" t="str">
        <f>IFERROR(__xludf.DUMMYFUNCTION("""COMPUTED_VALUE"""),"29/01 : GOLIVE// (07/01) Persiapan")</f>
        <v>29/01 : GOLIVE// (07/01) Persiapan</v>
      </c>
      <c r="R915" s="228"/>
      <c r="S915" s="11"/>
      <c r="T915" s="11"/>
      <c r="U915" s="11" t="str">
        <f>IFERROR(__xludf.DUMMYFUNCTION("""COMPUTED_VALUE"""),"W06-392/2025")</f>
        <v>W06-392/2025</v>
      </c>
      <c r="V915" s="229"/>
      <c r="W915" s="229"/>
      <c r="X915" s="229" t="str">
        <f>IFERROR(__xludf.DUMMYFUNCTION("""COMPUTED_VALUE"""),"GOLIVE")</f>
        <v>GOLIVE</v>
      </c>
      <c r="Y915" s="229" t="str">
        <f>IFERROR(__xludf.DUMMYFUNCTION("""COMPUTED_VALUE"""),"DONE")</f>
        <v>DONE</v>
      </c>
      <c r="Z915" s="229" t="str">
        <f>IFERROR(__xludf.DUMMYFUNCTION("""COMPUTED_VALUE"""),"#N/A")</f>
        <v>#N/A</v>
      </c>
      <c r="AA915" s="229">
        <f>IFERROR(__xludf.DUMMYFUNCTION("""COMPUTED_VALUE"""),15.0)</f>
        <v>15</v>
      </c>
      <c r="AB915" s="229"/>
      <c r="AC915" s="229" t="str">
        <f>IFERROR(__xludf.DUMMYFUNCTION("""COMPUTED_VALUE"""),"8959543#8959554")</f>
        <v>8959543#8959554</v>
      </c>
      <c r="AD915" s="232">
        <f>IFERROR(__xludf.DUMMYFUNCTION("""COMPUTED_VALUE"""),120.0)</f>
        <v>120</v>
      </c>
      <c r="AE915" s="233">
        <f>IFERROR(__xludf.DUMMYFUNCTION("""COMPUTED_VALUE"""),46051.0)</f>
        <v>46051</v>
      </c>
      <c r="AF915" s="54"/>
      <c r="AG915" s="54"/>
      <c r="AH915" s="54"/>
      <c r="AI915" s="55" t="str">
        <f t="shared" si="97"/>
        <v/>
      </c>
      <c r="AW915" s="234"/>
      <c r="BP915" s="11"/>
      <c r="BQ915" s="11"/>
      <c r="BR915" s="235"/>
      <c r="BV915" s="158"/>
      <c r="BY915" s="158"/>
      <c r="CB915" s="158"/>
    </row>
    <row r="916" ht="18.0" hidden="1" customHeight="1">
      <c r="A916" s="222">
        <f>IFERROR(__xludf.DUMMYFUNCTION("""COMPUTED_VALUE"""),2026.0)</f>
        <v>2026</v>
      </c>
      <c r="B916" s="221">
        <f>IFERROR(__xludf.DUMMYFUNCTION("""COMPUTED_VALUE"""),1.1099025E7)</f>
        <v>11099025</v>
      </c>
      <c r="C916" s="222" t="str">
        <f>IFERROR(__xludf.DUMMYFUNCTION("""COMPUTED_VALUE"""),"SMU PT3 ANR-FAH CLUST SIMP. GAPUK")</f>
        <v>SMU PT3 ANR-FAH CLUST SIMP. GAPUK</v>
      </c>
      <c r="D916" s="222" t="str">
        <f>IFERROR(__xludf.DUMMYFUNCTION("""COMPUTED_VALUE"""),"REGIONAL I")</f>
        <v>REGIONAL I</v>
      </c>
      <c r="E916" s="222" t="str">
        <f>IFERROR(__xludf.DUMMYFUNCTION("""COMPUTED_VALUE"""),"SUMUT")</f>
        <v>SUMUT</v>
      </c>
      <c r="F916" s="222" t="str">
        <f>IFERROR(__xludf.DUMMYFUNCTION("""COMPUTED_VALUE"""),"ANR")</f>
        <v>ANR</v>
      </c>
      <c r="G916" s="222" t="str">
        <f>IFERROR(__xludf.DUMMYFUNCTION("""COMPUTED_VALUE"""),"SUMBAGUT")</f>
        <v>SUMBAGUT</v>
      </c>
      <c r="H916" s="222" t="str">
        <f>IFERROR(__xludf.DUMMYFUNCTION("""COMPUTED_VALUE"""),"RANTAU PRAPAT")</f>
        <v>RANTAU PRAPAT</v>
      </c>
      <c r="I916" s="222" t="str">
        <f>IFERROR(__xludf.DUMMYFUNCTION("""COMPUTED_VALUE"""),"Batch 2")</f>
        <v>Batch 2</v>
      </c>
      <c r="J916" s="225">
        <f>IFERROR(__xludf.DUMMYFUNCTION("""COMPUTED_VALUE"""),61.0)</f>
        <v>61</v>
      </c>
      <c r="K916" s="224">
        <f>IFERROR(__xludf.DUMMYFUNCTION("""COMPUTED_VALUE"""),488.0)</f>
        <v>488</v>
      </c>
      <c r="L916" s="226">
        <f>IFERROR(__xludf.DUMMYFUNCTION("""COMPUTED_VALUE"""),1016469.0)</f>
        <v>1016469</v>
      </c>
      <c r="M916" s="227">
        <f>IFERROR(__xludf.DUMMYFUNCTION("""COMPUTED_VALUE"""),4.96036397E8)</f>
        <v>496036397</v>
      </c>
      <c r="N916" s="222" t="str">
        <f>IFERROR(__xludf.DUMMYFUNCTION("""COMPUTED_VALUE"""),"PT MITRA AKSES INSANI")</f>
        <v>PT MITRA AKSES INSANI</v>
      </c>
      <c r="O916" s="222" t="str">
        <f>IFERROR(__xludf.DUMMYFUNCTION("""COMPUTED_VALUE"""),"7. GOLIVE")</f>
        <v>7. GOLIVE</v>
      </c>
      <c r="P916" s="222" t="str">
        <f>IFERROR(__xludf.DUMMYFUNCTION("""COMPUTED_VALUE"""),"7.1 Golive Parsial")</f>
        <v>7.1 Golive Parsial</v>
      </c>
      <c r="Q916" s="222" t="str">
        <f>IFERROR(__xludf.DUMMYFUNCTION("""COMPUTED_VALUE"""),"27/4 done submit partial d4 total 23 odp, , sisa 20 odp belum terpasnag untuk d1,2,3, plan lanjut terminasi d5 total 17 odp setelah d4 selesai, , 23/4 proses  Instalasi odp 60 sisa 43, 22/4 plan bsk lanjut progres, Instalasi odp 17 done , sisa 43 odp
14/4"&amp;" proses tanam tiang 152 sisa 24, ku 12 (4845 selesai, ku24 (6175 selesai, odp 60 sisa 43, 20/04 Instalasi odp 17 done , sisa 43 odp
14/4 proses tanam tiang 152 sisa 24, ku 12 (4845 selesai, ku24 (6175 selesai, odp 60 sisa 43, 13/4 proses tanam tiang 152 s"&amp;"isa 24, ku 12 (4845 selesai, ku24 (6175 selesai, odp 60 sisa 43, 9/4 team partial di lop anp fat labura ( terkendala ijin imbas 6 odp tiang 9 batang plan alih rute), proses tanam tiang 128 sisa 9, ku 12 (4845 selesai, ku24 (6175 selesai, odp 60 belum prog"&amp;"es,  6/4 team partial di lop anp fat labura ( terkendala ijin imbas 6 odp tiang 9 batang plan alih rute), proses tanam tiang 128 sisa 9, ku 12 (4845 selesai, ku24 (6175 selesai, odp 60 belum proges, 5/4 plan lanjut progres setelah lebaran ( terkendala iji"&amp;"n imbas 6 odp tiang 9 batang plan alih rute), proses tanam tiang 152 sisa 22, ku 12 (4845 selesai, ku24 (6175 selesai, odp 60 belum proges,  1/4 plan lanjut progres setelah lebaran ( terkendala ijin imbas 6 odp tiang 9 batang plan alih rute), proses tanam"&amp;" tiang 152 sisa 22, ku 12 (4845 selesai, ku24 (6175 selesai, odp 60 belum proges, 31/3 plan lanjut progres setelah lebaran ( terkendala ijin imbas 6 odp tiang 9 batang plan alih rute), proses tanam tiang 152 sisa 22, ku 12 (4845 selesai, ku24 (6175 selesa"&amp;"i, odp 60 belum proges, 27/3 plan lanjut progres setelah lebaran ( terkendala ijin imbas 6 odp tiang 9 batang plan alih rute), proses tanam tiang 152 sisa 22, ku 12 (4845 selesai, ku24 (6175 selesai, odp 60 belum proges, 26/3 plan lanjut progres setelah l"&amp;"ebaran ( terkendala ijin imbas 6 odp tiang 9 batang plan alih rute), proses tanam tiang 152 sisa 22, ku 12 (4845 selesai, ku24 (6175 selesai, odp 60 belum proges, 22/3 plan lanjut progres setelah lebaran ( terkendala ijin imbas 6 odp tiang 9 batang plan a"&amp;"lih rute), proses tanam tiang 152 sisa 22, ku 12 (4845 selesai, ku24 (6175 selesai, odp 60 belum proges,  18/3 plan lanjut progres setelah lebaran ( terkendala ijin imbas 6 odp tiang 9 batang plan alih rute), proses tanam tiang 152 sisa 22, ku 12 (4845 se"&amp;"lesai, ku24 (6175 selesai, odp 60 belum proges, 16/3 plan lanjut progres setelah lebaran ( terkendala ijin imbas 6 odp tiang 9 batang plan alih rute), proses tanam tiang 152 sisa 22, ku 12 (4845 selesai, ku24 (6175 selesai, odp 60 belum proges,  13/3 ( te"&amp;"rkendala ijin imbas 6 odp tiang 9 batang plan alih rute), proses tanam tiang 152 sisa 22, ku 12 (4845 selesai, ku24 (6175 selesai, odp 60 belum proges,  11/3 ( terkendala ijin imbas 6 odp tiang 9 batang plan alih rute), proses tanam tiang 152 sisa 22, ku "&amp;"12 (4845 selesai, ku24 (6175 selesai, odp 60 belum proges, 10/3 proses tanam tiang 152 sisa 24, ku 12 (4845 selesai, ku24 (6175 selesai, odp 60 belum proges,  9/3 proses tanam tiang 152 sisa 24, ku 12 (4845 selesai, ku24 (6175 selesai, odp 60 belum proges"&amp;", 5/3 proses tanam tiang 152 sisa 24, ku 12 (4845 selesai, ku24 (6175 selesai, odp 60 belum proges, 4/3 proses tanam tiang 152 sisa 27, ku 12 (4845 sisa 1005, ku24 (6175 selesai, odp 60 belum proges, 3/3 proses tanam tiang 152 sisa 50, ku 12 (4845 blm pro"&amp;"gres, ku24 (6175 sisa 2175, odp 60 belum proges, 2/3 proses tanam tiang 152 sisa 50, ku 12 (4845 blm progres, ku24 (6175 sisa 2175, odp 60 belum proges, 25/2 proses tanam tiang 152 sisa 128, ku 12 (4845 sisa 2855, ku24 (6175 belum progres, odp 60 belum pr"&amp;"oges, 23/2 plan besok  instal  tiang, 20/2 plan lanjut besok tanam tiang, 19/2 proses tanam tiang terkendala izin pemerintah setempat meminta compensasi 100 rb / batang total 152 batang, 18/2 proses tanam tiang terkendala izin pemerintah setempat meminta "&amp;"compensasi 100 rb / batang total 152 batang,  16/2 proses tanam tiang terkendala izin pemerintah setempat meminta compensasi 100 rb / batang total 152 batang, 13/2 prepair tim parsial di lop anr fa, 11/2 prepair tim parsial di lop anr fa, 10/2 prepair tim"&amp;" parsial di lop anr fa,  9/2 prepair pengiriman matrial kelokasi, 6/2 prepair pengiriman matrial kelokasi, paralel perijinan desa, 5/2 prepair pengiriman matrial kelokasi, paralel perijinan desa,  3/2 menunggu material ready di lokasi, paralel perijinan d"&amp;"esa, 2/2 menunggu material ready di lokasi, paralel perijinan desa, 1/2 sudah req matrial paralel perijinan desa, 30/1 sudah req matrial paralel perijinan desa,28/1 proses req matrial paralle pengantar ijin desa, 27/1 boq sudah submit sisa menunggu hasil "&amp;"otdr core exis, 26/1 boq sudah submit sisa menunggu hasil otdr core exis, 23/1 menunggu boq kml hasil survey, 22/1 menunggu boq kml hasil survey,  21/1 menunggu boq kml hasil survey, 20/1 menunggu boq kml hasil survey, 18/1 plan survey  19/1,  15/1 plan s"&amp;"urvey 19/1, 14/1 plan survey tanggal 19/1, 13/1 menunggu info kelanjutan mitra,  (07/01) Persiapan")</f>
        <v>27/4 done submit partial d4 total 23 odp, , sisa 20 odp belum terpasnag untuk d1,2,3, plan lanjut terminasi d5 total 17 odp setelah d4 selesai, , 23/4 proses  Instalasi odp 60 sisa 43, 22/4 plan bsk lanjut progres, Instalasi odp 17 done , sisa 43 odp
14/4 proses tanam tiang 152 sisa 24, ku 12 (4845 selesai, ku24 (6175 selesai, odp 60 sisa 43, 20/04 Instalasi odp 17 done , sisa 43 odp
14/4 proses tanam tiang 152 sisa 24, ku 12 (4845 selesai, ku24 (6175 selesai, odp 60 sisa 43, 13/4 proses tanam tiang 152 sisa 24, ku 12 (4845 selesai, ku24 (6175 selesai, odp 60 sisa 43, 9/4 team partial di lop anp fat labura ( terkendala ijin imbas 6 odp tiang 9 batang plan alih rute), proses tanam tiang 128 sisa 9, ku 12 (4845 selesai, ku24 (6175 selesai, odp 60 belum proges,  6/4 team partial di lop anp fat labura ( terkendala ijin imbas 6 odp tiang 9 batang plan alih rute), proses tanam tiang 128 sisa 9, ku 12 (4845 selesai, ku24 (6175 selesai, odp 60 belum proges, 5/4 plan lanjut progres setelah lebaran ( terkendala ijin imbas 6 odp tiang 9 batang plan alih rute), proses tanam tiang 152 sisa 22, ku 12 (4845 selesai, ku24 (6175 selesai, odp 60 belum proges,  1/4 plan lanjut progres setelah lebaran ( terkendala ijin imbas 6 odp tiang 9 batang plan alih rute), proses tanam tiang 152 sisa 22, ku 12 (4845 selesai, ku24 (6175 selesai, odp 60 belum proges, 31/3 plan lanjut progres setelah lebaran ( terkendala ijin imbas 6 odp tiang 9 batang plan alih rute), proses tanam tiang 152 sisa 22, ku 12 (4845 selesai, ku24 (6175 selesai, odp 60 belum proges, 27/3 plan lanjut progres setelah lebaran ( terkendala ijin imbas 6 odp tiang 9 batang plan alih rute), proses tanam tiang 152 sisa 22, ku 12 (4845 selesai, ku24 (6175 selesai, odp 60 belum proges, 26/3 plan lanjut progres setelah lebaran ( terkendala ijin imbas 6 odp tiang 9 batang plan alih rute), proses tanam tiang 152 sisa 22, ku 12 (4845 selesai, ku24 (6175 selesai, odp 60 belum proges, 22/3 plan lanjut progres setelah lebaran ( terkendala ijin imbas 6 odp tiang 9 batang plan alih rute), proses tanam tiang 152 sisa 22, ku 12 (4845 selesai, ku24 (6175 selesai, odp 60 belum proges,  18/3 plan lanjut progres setelah lebaran ( terkendala ijin imbas 6 odp tiang 9 batang plan alih rute), proses tanam tiang 152 sisa 22, ku 12 (4845 selesai, ku24 (6175 selesai, odp 60 belum proges, 16/3 plan lanjut progres setelah lebaran ( terkendala ijin imbas 6 odp tiang 9 batang plan alih rute), proses tanam tiang 152 sisa 22, ku 12 (4845 selesai, ku24 (6175 selesai, odp 60 belum proges,  13/3 ( terkendala ijin imbas 6 odp tiang 9 batang plan alih rute), proses tanam tiang 152 sisa 22, ku 12 (4845 selesai, ku24 (6175 selesai, odp 60 belum proges,  11/3 ( terkendala ijin imbas 6 odp tiang 9 batang plan alih rute), proses tanam tiang 152 sisa 22, ku 12 (4845 selesai, ku24 (6175 selesai, odp 60 belum proges, 10/3 proses tanam tiang 152 sisa 24, ku 12 (4845 selesai, ku24 (6175 selesai, odp 60 belum proges,  9/3 proses tanam tiang 152 sisa 24, ku 12 (4845 selesai, ku24 (6175 selesai, odp 60 belum proges, 5/3 proses tanam tiang 152 sisa 24, ku 12 (4845 selesai, ku24 (6175 selesai, odp 60 belum proges, 4/3 proses tanam tiang 152 sisa 27, ku 12 (4845 sisa 1005, ku24 (6175 selesai, odp 60 belum proges, 3/3 proses tanam tiang 152 sisa 50, ku 12 (4845 blm progres, ku24 (6175 sisa 2175, odp 60 belum proges, 2/3 proses tanam tiang 152 sisa 50, ku 12 (4845 blm progres, ku24 (6175 sisa 2175, odp 60 belum proges, 25/2 proses tanam tiang 152 sisa 128, ku 12 (4845 sisa 2855, ku24 (6175 belum progres, odp 60 belum proges, 23/2 plan besok  instal  tiang, 20/2 plan lanjut besok tanam tiang, 19/2 proses tanam tiang terkendala izin pemerintah setempat meminta compensasi 100 rb / batang total 152 batang, 18/2 proses tanam tiang terkendala izin pemerintah setempat meminta compensasi 100 rb / batang total 152 batang,  16/2 proses tanam tiang terkendala izin pemerintah setempat meminta compensasi 100 rb / batang total 152 batang, 13/2 prepair tim parsial di lop anr fa, 11/2 prepair tim parsial di lop anr fa, 10/2 prepair tim parsial di lop anr fa,  9/2 prepair pengiriman matrial kelokasi, 6/2 prepair pengiriman matrial kelokasi, paralel perijinan desa, 5/2 prepair pengiriman matrial kelokasi, paralel perijinan desa,  3/2 menunggu material ready di lokasi, paralel perijinan desa, 2/2 menunggu material ready di lokasi, paralel perijinan desa, 1/2 sudah req matrial paralel perijinan desa, 30/1 sudah req matrial paralel perijinan desa,28/1 proses req matrial paralle pengantar ijin desa, 27/1 boq sudah submit sisa menunggu hasil otdr core exis, 26/1 boq sudah submit sisa menunggu hasil otdr core exis, 23/1 menunggu boq kml hasil survey, 22/1 menunggu boq kml hasil survey,  21/1 menunggu boq kml hasil survey, 20/1 menunggu boq kml hasil survey, 18/1 plan survey  19/1,  15/1 plan survey 19/1, 14/1 plan survey tanggal 19/1, 13/1 menunggu info kelanjutan mitra,  (07/01) Persiapan</v>
      </c>
      <c r="R916" s="228">
        <f>IFERROR(__xludf.DUMMYFUNCTION("""COMPUTED_VALUE"""),46139.0)</f>
        <v>46139</v>
      </c>
      <c r="S916" s="11" t="str">
        <f>IFERROR(__xludf.DUMMYFUNCTION("""COMPUTED_VALUE"""),"APR")</f>
        <v>APR</v>
      </c>
      <c r="T916" s="73" t="str">
        <f>IFERROR(__xludf.DUMMYFUNCTION("""COMPUTED_VALUE"""),"P1")</f>
        <v>P1</v>
      </c>
      <c r="U916" s="11" t="str">
        <f>IFERROR(__xludf.DUMMYFUNCTION("""COMPUTED_VALUE"""),"TIF-1417/2026")</f>
        <v>TIF-1417/2026</v>
      </c>
      <c r="V916" s="229"/>
      <c r="W916" s="229" t="str">
        <f>IFERROR(__xludf.DUMMYFUNCTION("""COMPUTED_VALUE"""),"#N/A")</f>
        <v>#N/A</v>
      </c>
      <c r="X916" s="229" t="str">
        <f>IFERROR(__xludf.DUMMYFUNCTION("""COMPUTED_VALUE"""),"GOLIVE")</f>
        <v>GOLIVE</v>
      </c>
      <c r="Y916" s="229" t="str">
        <f>IFERROR(__xludf.DUMMYFUNCTION("""COMPUTED_VALUE"""),"DONE")</f>
        <v>DONE</v>
      </c>
      <c r="Z916" s="229" t="str">
        <f>IFERROR(__xludf.DUMMYFUNCTION("""COMPUTED_VALUE"""),"#N/A")</f>
        <v>#N/A</v>
      </c>
      <c r="AA916" s="229">
        <f>IFERROR(__xludf.DUMMYFUNCTION("""COMPUTED_VALUE"""),23.0)</f>
        <v>23</v>
      </c>
      <c r="AB916" s="229"/>
      <c r="AC916" s="229" t="str">
        <f>IFERROR(__xludf.DUMMYFUNCTION("""COMPUTED_VALUE"""),"9318682#8318687")</f>
        <v>9318682#8318687</v>
      </c>
      <c r="AD916" s="232">
        <f>IFERROR(__xludf.DUMMYFUNCTION("""COMPUTED_VALUE"""),184.0)</f>
        <v>184</v>
      </c>
      <c r="AE916" s="233">
        <f>IFERROR(__xludf.DUMMYFUNCTION("""COMPUTED_VALUE"""),46139.0)</f>
        <v>46139</v>
      </c>
      <c r="AF916" s="54"/>
      <c r="AG916" s="54"/>
      <c r="AH916" s="54">
        <v>46138.0</v>
      </c>
      <c r="AI916" s="55">
        <f t="shared" si="97"/>
        <v>0</v>
      </c>
      <c r="AW916" s="234"/>
      <c r="BP916" s="11"/>
      <c r="BQ916" s="11"/>
      <c r="BR916" s="235"/>
      <c r="BV916" s="158"/>
      <c r="BY916" s="158"/>
      <c r="CB916" s="158"/>
    </row>
    <row r="917" ht="18.0" hidden="1" customHeight="1">
      <c r="A917" s="222">
        <f>IFERROR(__xludf.DUMMYFUNCTION("""COMPUTED_VALUE"""),2026.0)</f>
        <v>2026</v>
      </c>
      <c r="B917" s="221">
        <f>IFERROR(__xludf.DUMMYFUNCTION("""COMPUTED_VALUE"""),1.2367316E7)</f>
        <v>12367316</v>
      </c>
      <c r="C917" s="222" t="str">
        <f>IFERROR(__xludf.DUMMYFUNCTION("""COMPUTED_VALUE"""),"LPG PT3 JPP MD KOTA METRO_10619 MET")</f>
        <v>LPG PT3 JPP MD KOTA METRO_10619 MET</v>
      </c>
      <c r="D917" s="222" t="str">
        <f>IFERROR(__xludf.DUMMYFUNCTION("""COMPUTED_VALUE"""),"REGIONAL I")</f>
        <v>REGIONAL I</v>
      </c>
      <c r="E917" s="222" t="str">
        <f>IFERROR(__xludf.DUMMYFUNCTION("""COMPUTED_VALUE"""),"LAMPUNG")</f>
        <v>LAMPUNG</v>
      </c>
      <c r="F917" s="222" t="str">
        <f>IFERROR(__xludf.DUMMYFUNCTION("""COMPUTED_VALUE"""),"MET")</f>
        <v>MET</v>
      </c>
      <c r="G917" s="222" t="str">
        <f>IFERROR(__xludf.DUMMYFUNCTION("""COMPUTED_VALUE"""),"SUMBAGSEL")</f>
        <v>SUMBAGSEL</v>
      </c>
      <c r="H917" s="222" t="str">
        <f>IFERROR(__xludf.DUMMYFUNCTION("""COMPUTED_VALUE"""),"LAMPUNG")</f>
        <v>LAMPUNG</v>
      </c>
      <c r="I917" s="222" t="str">
        <f>IFERROR(__xludf.DUMMYFUNCTION("""COMPUTED_VALUE"""),"Batch 2")</f>
        <v>Batch 2</v>
      </c>
      <c r="J917" s="225">
        <f>IFERROR(__xludf.DUMMYFUNCTION("""COMPUTED_VALUE"""),2.0)</f>
        <v>2</v>
      </c>
      <c r="K917" s="224">
        <f>IFERROR(__xludf.DUMMYFUNCTION("""COMPUTED_VALUE"""),16.0)</f>
        <v>16</v>
      </c>
      <c r="L917" s="226">
        <f>IFERROR(__xludf.DUMMYFUNCTION("""COMPUTED_VALUE"""),1016339.0)</f>
        <v>1016339</v>
      </c>
      <c r="M917" s="227">
        <f>IFERROR(__xludf.DUMMYFUNCTION("""COMPUTED_VALUE"""),1.6261411E7)</f>
        <v>16261411</v>
      </c>
      <c r="N917" s="222" t="str">
        <f>IFERROR(__xludf.DUMMYFUNCTION("""COMPUTED_VALUE"""),"PT FAJAR MITRA KRIDA ABADI")</f>
        <v>PT FAJAR MITRA KRIDA ABADI</v>
      </c>
      <c r="O917" s="222" t="str">
        <f>IFERROR(__xludf.DUMMYFUNCTION("""COMPUTED_VALUE"""),"0. DROP")</f>
        <v>0. DROP</v>
      </c>
      <c r="P917" s="222" t="str">
        <f>IFERROR(__xludf.DUMMYFUNCTION("""COMPUTED_VALUE"""),"0.2 Tidak Dapat Izin Warga/Kades/Lurah/Developer")</f>
        <v>0.2 Tidak Dapat Izin Warga/Kades/Lurah/Developer</v>
      </c>
      <c r="Q917" s="222" t="str">
        <f>IFERROR(__xludf.DUMMYFUNCTION("""COMPUTED_VALUE"""),"20/2 lurah meminta surat izin disperkim
18/2 konfirmasi Ke TSEL terkait LOP  6/2  port OLT Metro penuh
4/2 port OLT Metro penuh
3/2 lurah belum bisa ditemui
28/ 1 menunggu prizinan dari lsm
23/1 menunggu prizinan dari lsm
21/01 menunggu prizinan dari lsm
"&amp;"19/1 proses pengacekan core dan perizinan")</f>
        <v>20/2 lurah meminta surat izin disperkim
18/2 konfirmasi Ke TSEL terkait LOP  6/2  port OLT Metro penuh
4/2 port OLT Metro penuh
3/2 lurah belum bisa ditemui
28/ 1 menunggu prizinan dari lsm
23/1 menunggu prizinan dari lsm
21/01 menunggu prizinan dari lsm
19/1 proses pengacekan core dan perizinan</v>
      </c>
      <c r="R917" s="228"/>
      <c r="S917" s="11"/>
      <c r="T917" s="11"/>
      <c r="U917" s="11"/>
      <c r="V917" s="229"/>
      <c r="W917" s="229"/>
      <c r="X917" s="229" t="str">
        <f>IFERROR(__xludf.DUMMYFUNCTION("""COMPUTED_VALUE"""),"BELUM GOLIVE")</f>
        <v>BELUM GOLIVE</v>
      </c>
      <c r="Y917" s="229" t="str">
        <f>IFERROR(__xludf.DUMMYFUNCTION("""COMPUTED_VALUE"""),"PORT OLT Penuh")</f>
        <v>PORT OLT Penuh</v>
      </c>
      <c r="Z917" s="229" t="str">
        <f>IFERROR(__xludf.DUMMYFUNCTION("""COMPUTED_VALUE"""),"#N/A")</f>
        <v>#N/A</v>
      </c>
      <c r="AA917" s="229"/>
      <c r="AB917" s="229"/>
      <c r="AC917" s="229"/>
      <c r="AD917" s="232"/>
      <c r="AE917" s="233"/>
      <c r="AF917" s="54" t="str">
        <f>IFERROR(__xludf.DUMMYFUNCTION("""COMPUTED_VALUE"""),"Draft BA DROP")</f>
        <v>Draft BA DROP</v>
      </c>
      <c r="AG917" s="54"/>
      <c r="AH917" s="54"/>
      <c r="AI917" s="55" t="str">
        <f t="shared" si="97"/>
        <v/>
      </c>
      <c r="AW917" s="234"/>
      <c r="BP917" s="11"/>
      <c r="BQ917" s="11"/>
      <c r="BR917" s="235"/>
      <c r="BV917" s="158"/>
      <c r="BY917" s="158"/>
      <c r="CB917" s="158"/>
    </row>
    <row r="918" ht="18.0" hidden="1" customHeight="1">
      <c r="A918" s="222">
        <f>IFERROR(__xludf.DUMMYFUNCTION("""COMPUTED_VALUE"""),2026.0)</f>
        <v>2026</v>
      </c>
      <c r="B918" s="221">
        <f>IFERROR(__xludf.DUMMYFUNCTION("""COMPUTED_VALUE"""),1.1350515E7)</f>
        <v>11350515</v>
      </c>
      <c r="C918" s="222" t="str">
        <f>IFERROR(__xludf.DUMMYFUNCTION("""COMPUTED_VALUE"""),"JBI-PT3-KOA-FS-SEKITAR MASJID AT-TAQWA")</f>
        <v>JBI-PT3-KOA-FS-SEKITAR MASJID AT-TAQWA</v>
      </c>
      <c r="D918" s="222" t="str">
        <f>IFERROR(__xludf.DUMMYFUNCTION("""COMPUTED_VALUE"""),"REGIONAL I")</f>
        <v>REGIONAL I</v>
      </c>
      <c r="E918" s="222" t="str">
        <f>IFERROR(__xludf.DUMMYFUNCTION("""COMPUTED_VALUE"""),"JAMBI")</f>
        <v>JAMBI</v>
      </c>
      <c r="F918" s="222" t="str">
        <f>IFERROR(__xludf.DUMMYFUNCTION("""COMPUTED_VALUE"""),"KOA")</f>
        <v>KOA</v>
      </c>
      <c r="G918" s="222" t="str">
        <f>IFERROR(__xludf.DUMMYFUNCTION("""COMPUTED_VALUE"""),"SUMBAGSEL")</f>
        <v>SUMBAGSEL</v>
      </c>
      <c r="H918" s="222" t="str">
        <f>IFERROR(__xludf.DUMMYFUNCTION("""COMPUTED_VALUE"""),"JAMBI")</f>
        <v>JAMBI</v>
      </c>
      <c r="I918" s="222" t="str">
        <f>IFERROR(__xludf.DUMMYFUNCTION("""COMPUTED_VALUE"""),"Batch 2")</f>
        <v>Batch 2</v>
      </c>
      <c r="J918" s="225">
        <f>IFERROR(__xludf.DUMMYFUNCTION("""COMPUTED_VALUE"""),15.0)</f>
        <v>15</v>
      </c>
      <c r="K918" s="224">
        <f>IFERROR(__xludf.DUMMYFUNCTION("""COMPUTED_VALUE"""),120.0)</f>
        <v>120</v>
      </c>
      <c r="L918" s="226">
        <f>IFERROR(__xludf.DUMMYFUNCTION("""COMPUTED_VALUE"""),1237145.0)</f>
        <v>1237145</v>
      </c>
      <c r="M918" s="227">
        <f>IFERROR(__xludf.DUMMYFUNCTION("""COMPUTED_VALUE"""),1.48457355E8)</f>
        <v>148457355</v>
      </c>
      <c r="N918" s="222" t="str">
        <f>IFERROR(__xludf.DUMMYFUNCTION("""COMPUTED_VALUE"""),"PT GARINDO TECHNO MANDIRI")</f>
        <v>PT GARINDO TECHNO MANDIRI</v>
      </c>
      <c r="O918" s="222" t="str">
        <f>IFERROR(__xludf.DUMMYFUNCTION("""COMPUTED_VALUE"""),"3. PERIZINAN")</f>
        <v>3. PERIZINAN</v>
      </c>
      <c r="P918" s="222" t="str">
        <f>IFERROR(__xludf.DUMMYFUNCTION("""COMPUTED_VALUE"""),"3.1 Submit permohon ke PU")</f>
        <v>3.1 Submit permohon ke PU</v>
      </c>
      <c r="Q918" s="222" t="str">
        <f>IFERROR(__xludf.DUMMYFUNCTION("""COMPUTED_VALUE"""),"22/04 done submit OSS Menunggu Jadwal Pemaparan PU 13/4 masih pendaftaran user  APP OSS oleh TIF 09/04 Berkas tinggal Upload, namun APP OSS masih pendaftaran user oleh TIF 08/04 Sirkulir Tif berkas surat permohonan Izin 06/04 Draf Perizinan PU Nasional OS"&amp;"S 22/2 Tahap negoisasi (12/1) plan sumbit Perizininan ke ED 19 Jan  (12/1) melewati jalan PU Nasional, 6,6 KM (17/11) BELUM OPTIMIS NOV25 , HOLD TIF (08/11) SURAT PU SUBMIT TGL 7 OKT , BLM ADA INFO DARI PU NAS (3/11) Periziinan PU nasional, berkas (15/10)"&amp;"PROSES REQ MATERIAL (25/09) Done anwijzing Perubahan design peletakan ODP dan sedang direvisi oleh tsel. Perizinan PU nas (23/09) Penjadwalan aanwijzing (16/09) Mapping mitra")</f>
        <v>22/04 done submit OSS Menunggu Jadwal Pemaparan PU 13/4 masih pendaftaran user  APP OSS oleh TIF 09/04 Berkas tinggal Upload, namun APP OSS masih pendaftaran user oleh TIF 08/04 Sirkulir Tif berkas surat permohonan Izin 06/04 Draf Perizinan PU Nasional OSS 22/2 Tahap negoisasi (12/1) plan sumbit Perizininan ke ED 19 Jan  (12/1) melewati jalan PU Nasional, 6,6 KM (17/11) BELUM OPTIMIS NOV25 , HOLD TIF (08/11) SURAT PU SUBMIT TGL 7 OKT , BLM ADA INFO DARI PU NAS (3/11) Periziinan PU nasional, berkas (15/10)PROSES REQ MATERIAL (25/09) Done anwijzing Perubahan design peletakan ODP dan sedang direvisi oleh tsel. Perizinan PU nas (23/09) Penjadwalan aanwijzing (16/09) Mapping mitra</v>
      </c>
      <c r="R918" s="228"/>
      <c r="S918" s="11"/>
      <c r="T918" s="11" t="str">
        <f>IFERROR(__xludf.DUMMYFUNCTION("""COMPUTED_VALUE"""),"P1")</f>
        <v>P1</v>
      </c>
      <c r="U918" s="11"/>
      <c r="V918" s="229"/>
      <c r="W918" s="229"/>
      <c r="X918" s="229" t="str">
        <f>IFERROR(__xludf.DUMMYFUNCTION("""COMPUTED_VALUE"""),"BELUM GOLIVE")</f>
        <v>BELUM GOLIVE</v>
      </c>
      <c r="Y918" s="229"/>
      <c r="Z918" s="229" t="str">
        <f>IFERROR(__xludf.DUMMYFUNCTION("""COMPUTED_VALUE"""),"#N/A")</f>
        <v>#N/A</v>
      </c>
      <c r="AA918" s="229"/>
      <c r="AB918" s="229"/>
      <c r="AC918" s="229"/>
      <c r="AD918" s="232"/>
      <c r="AE918" s="233"/>
      <c r="AF918" s="54"/>
      <c r="AG918" s="54"/>
      <c r="AH918" s="54"/>
      <c r="AI918" s="55" t="str">
        <f t="shared" si="97"/>
        <v/>
      </c>
      <c r="AW918" s="234"/>
      <c r="BP918" s="11"/>
      <c r="BQ918" s="11"/>
      <c r="BR918" s="235"/>
      <c r="BV918" s="158"/>
      <c r="BY918" s="158"/>
      <c r="CB918" s="158"/>
    </row>
    <row r="919" ht="18.0" hidden="1" customHeight="1">
      <c r="A919" s="222">
        <f>IFERROR(__xludf.DUMMYFUNCTION("""COMPUTED_VALUE"""),2026.0)</f>
        <v>2026</v>
      </c>
      <c r="B919" s="221">
        <f>IFERROR(__xludf.DUMMYFUNCTION("""COMPUTED_VALUE"""),1.1136595E7)</f>
        <v>11136595</v>
      </c>
      <c r="C919" s="222" t="str">
        <f>IFERROR(__xludf.DUMMYFUNCTION("""COMPUTED_VALUE"""),"MDN PT3 P7I6 SKI-FAP JL.JERMAL III")</f>
        <v>MDN PT3 P7I6 SKI-FAP JL.JERMAL III</v>
      </c>
      <c r="D919" s="222" t="str">
        <f>IFERROR(__xludf.DUMMYFUNCTION("""COMPUTED_VALUE"""),"REGIONAL I")</f>
        <v>REGIONAL I</v>
      </c>
      <c r="E919" s="222" t="str">
        <f>IFERROR(__xludf.DUMMYFUNCTION("""COMPUTED_VALUE"""),"MEDAN")</f>
        <v>MEDAN</v>
      </c>
      <c r="F919" s="222" t="str">
        <f>IFERROR(__xludf.DUMMYFUNCTION("""COMPUTED_VALUE"""),"SKI")</f>
        <v>SKI</v>
      </c>
      <c r="G919" s="222" t="str">
        <f>IFERROR(__xludf.DUMMYFUNCTION("""COMPUTED_VALUE"""),"SUMBAGUT")</f>
        <v>SUMBAGUT</v>
      </c>
      <c r="H919" s="222" t="str">
        <f>IFERROR(__xludf.DUMMYFUNCTION("""COMPUTED_VALUE"""),"MEDAN")</f>
        <v>MEDAN</v>
      </c>
      <c r="I919" s="222" t="str">
        <f>IFERROR(__xludf.DUMMYFUNCTION("""COMPUTED_VALUE"""),"Batch 2")</f>
        <v>Batch 2</v>
      </c>
      <c r="J919" s="225">
        <f>IFERROR(__xludf.DUMMYFUNCTION("""COMPUTED_VALUE"""),2.0)</f>
        <v>2</v>
      </c>
      <c r="K919" s="224">
        <f>IFERROR(__xludf.DUMMYFUNCTION("""COMPUTED_VALUE"""),16.0)</f>
        <v>16</v>
      </c>
      <c r="L919" s="226">
        <f>IFERROR(__xludf.DUMMYFUNCTION("""COMPUTED_VALUE"""),1015915.0)</f>
        <v>1015915</v>
      </c>
      <c r="M919" s="227">
        <f>IFERROR(__xludf.DUMMYFUNCTION("""COMPUTED_VALUE"""),1.625464E7)</f>
        <v>16254640</v>
      </c>
      <c r="N919" s="222" t="str">
        <f>IFERROR(__xludf.DUMMYFUNCTION("""COMPUTED_VALUE"""),"PT WALET SOLUSINDO")</f>
        <v>PT WALET SOLUSINDO</v>
      </c>
      <c r="O919" s="222" t="str">
        <f>IFERROR(__xludf.DUMMYFUNCTION("""COMPUTED_VALUE"""),"2. DONE AANWIJZING")</f>
        <v>2. DONE AANWIJZING</v>
      </c>
      <c r="P919" s="222" t="str">
        <f>IFERROR(__xludf.DUMMYFUNCTION("""COMPUTED_VALUE"""),"2.10 Kendala - Feeder Rusak")</f>
        <v>2.10 Kendala - Feeder Rusak</v>
      </c>
      <c r="Q919" s="222" t="str">
        <f>IFERROR(__xludf.DUMMYFUNCTION("""COMPUTED_VALUE"""),"21/04 pengecekan tipus / butuh qe
16/10 Feeder Redaman Tinggi 
16/10 Mapping Mitra")</f>
        <v>21/04 pengecekan tipus / butuh qe
16/10 Feeder Redaman Tinggi 
16/10 Mapping Mitra</v>
      </c>
      <c r="R919" s="228"/>
      <c r="S919" s="11"/>
      <c r="T919" s="11"/>
      <c r="U919" s="11"/>
      <c r="V919" s="229"/>
      <c r="W919" s="229"/>
      <c r="X919" s="229" t="str">
        <f>IFERROR(__xludf.DUMMYFUNCTION("""COMPUTED_VALUE"""),"BELUM GOLIVE")</f>
        <v>BELUM GOLIVE</v>
      </c>
      <c r="Y919" s="229"/>
      <c r="Z919" s="229" t="str">
        <f>IFERROR(__xludf.DUMMYFUNCTION("""COMPUTED_VALUE"""),"#N/A")</f>
        <v>#N/A</v>
      </c>
      <c r="AA919" s="229"/>
      <c r="AB919" s="229"/>
      <c r="AC919" s="229"/>
      <c r="AD919" s="232"/>
      <c r="AE919" s="233"/>
      <c r="AF919" s="54"/>
      <c r="AG919" s="54"/>
      <c r="AH919" s="54"/>
      <c r="AI919" s="55" t="str">
        <f t="shared" si="97"/>
        <v/>
      </c>
      <c r="AW919" s="234"/>
      <c r="BP919" s="11"/>
      <c r="BQ919" s="11"/>
      <c r="BR919" s="235"/>
      <c r="BV919" s="158"/>
      <c r="BY919" s="158"/>
      <c r="CB919" s="158"/>
    </row>
    <row r="920" ht="18.0" hidden="1" customHeight="1">
      <c r="A920" s="222">
        <f>IFERROR(__xludf.DUMMYFUNCTION("""COMPUTED_VALUE"""),2026.0)</f>
        <v>2026</v>
      </c>
      <c r="B920" s="221">
        <f>IFERROR(__xludf.DUMMYFUNCTION("""COMPUTED_VALUE"""),1.1346351E7)</f>
        <v>11346351</v>
      </c>
      <c r="C920" s="222" t="str">
        <f>IFERROR(__xludf.DUMMYFUNCTION("""COMPUTED_VALUE"""),"ACH PT3 DAR-FAT LEVITA REGENCY")</f>
        <v>ACH PT3 DAR-FAT LEVITA REGENCY</v>
      </c>
      <c r="D920" s="222" t="str">
        <f>IFERROR(__xludf.DUMMYFUNCTION("""COMPUTED_VALUE"""),"REGIONAL I")</f>
        <v>REGIONAL I</v>
      </c>
      <c r="E920" s="222" t="str">
        <f>IFERROR(__xludf.DUMMYFUNCTION("""COMPUTED_VALUE"""),"ACEH")</f>
        <v>ACEH</v>
      </c>
      <c r="F920" s="222" t="str">
        <f>IFERROR(__xludf.DUMMYFUNCTION("""COMPUTED_VALUE"""),"LBR")</f>
        <v>LBR</v>
      </c>
      <c r="G920" s="222" t="str">
        <f>IFERROR(__xludf.DUMMYFUNCTION("""COMPUTED_VALUE"""),"SUMBAGUT")</f>
        <v>SUMBAGUT</v>
      </c>
      <c r="H920" s="222" t="str">
        <f>IFERROR(__xludf.DUMMYFUNCTION("""COMPUTED_VALUE"""),"BANDA ACEH")</f>
        <v>BANDA ACEH</v>
      </c>
      <c r="I920" s="222" t="str">
        <f>IFERROR(__xludf.DUMMYFUNCTION("""COMPUTED_VALUE"""),"Batch 2")</f>
        <v>Batch 2</v>
      </c>
      <c r="J920" s="225">
        <f>IFERROR(__xludf.DUMMYFUNCTION("""COMPUTED_VALUE"""),13.0)</f>
        <v>13</v>
      </c>
      <c r="K920" s="224">
        <f>IFERROR(__xludf.DUMMYFUNCTION("""COMPUTED_VALUE"""),104.0)</f>
        <v>104</v>
      </c>
      <c r="L920" s="226">
        <f>IFERROR(__xludf.DUMMYFUNCTION("""COMPUTED_VALUE"""),1015732.0)</f>
        <v>1015732</v>
      </c>
      <c r="M920" s="227">
        <f>IFERROR(__xludf.DUMMYFUNCTION("""COMPUTED_VALUE"""),1.05636062E8)</f>
        <v>105636062</v>
      </c>
      <c r="N920" s="222" t="str">
        <f>IFERROR(__xludf.DUMMYFUNCTION("""COMPUTED_VALUE"""),"PT TRIPOLA PANATA")</f>
        <v>PT TRIPOLA PANATA</v>
      </c>
      <c r="O920" s="222" t="str">
        <f>IFERROR(__xludf.DUMMYFUNCTION("""COMPUTED_VALUE"""),"0. DROP")</f>
        <v>0. DROP</v>
      </c>
      <c r="P920" s="222" t="str">
        <f>IFERROR(__xludf.DUMMYFUNCTION("""COMPUTED_VALUE"""),"0.2 Tidak Dapat Izin Warga/Kades/Lurah/Developer")</f>
        <v>0.2 Tidak Dapat Izin Warga/Kades/Lurah/Developer</v>
      </c>
      <c r="Q920" s="222" t="str">
        <f>IFERROR(__xludf.DUMMYFUNCTION("""COMPUTED_VALUE"""),"(21/01) Comcase Warga - Meunasah Intan (07/01) Persiapan")</f>
        <v>(21/01) Comcase Warga - Meunasah Intan (07/01) Persiapan</v>
      </c>
      <c r="R920" s="228"/>
      <c r="S920" s="11"/>
      <c r="T920" s="11"/>
      <c r="U920" s="11"/>
      <c r="V920" s="229"/>
      <c r="W920" s="229"/>
      <c r="X920" s="229" t="str">
        <f>IFERROR(__xludf.DUMMYFUNCTION("""COMPUTED_VALUE"""),"BELUM GOLIVE")</f>
        <v>BELUM GOLIVE</v>
      </c>
      <c r="Y920" s="229"/>
      <c r="Z920" s="229" t="str">
        <f>IFERROR(__xludf.DUMMYFUNCTION("""COMPUTED_VALUE"""),"#N/A")</f>
        <v>#N/A</v>
      </c>
      <c r="AA920" s="229"/>
      <c r="AB920" s="229"/>
      <c r="AC920" s="229"/>
      <c r="AD920" s="232"/>
      <c r="AE920" s="233"/>
      <c r="AF920" s="54" t="str">
        <f>IFERROR(__xludf.DUMMYFUNCTION("""COMPUTED_VALUE"""),"Draft BA DROP")</f>
        <v>Draft BA DROP</v>
      </c>
      <c r="AG920" s="54"/>
      <c r="AH920" s="54"/>
      <c r="AI920" s="55" t="str">
        <f t="shared" si="97"/>
        <v/>
      </c>
      <c r="AW920" s="234"/>
      <c r="BP920" s="11"/>
      <c r="BQ920" s="11"/>
      <c r="BR920" s="235"/>
      <c r="BV920" s="158"/>
      <c r="BY920" s="158"/>
      <c r="CB920" s="158"/>
    </row>
    <row r="921" ht="18.0" hidden="1" customHeight="1">
      <c r="A921" s="222">
        <f>IFERROR(__xludf.DUMMYFUNCTION("""COMPUTED_VALUE"""),2026.0)</f>
        <v>2026</v>
      </c>
      <c r="B921" s="221">
        <f>IFERROR(__xludf.DUMMYFUNCTION("""COMPUTED_VALUE"""),1.1099474E7)</f>
        <v>11099474</v>
      </c>
      <c r="C921" s="222" t="str">
        <f>IFERROR(__xludf.DUMMYFUNCTION("""COMPUTED_VALUE"""),"MDN PT3 P7I5 LBP-FK SCATER SEMPURNA II")</f>
        <v>MDN PT3 P7I5 LBP-FK SCATER SEMPURNA II</v>
      </c>
      <c r="D921" s="222" t="str">
        <f>IFERROR(__xludf.DUMMYFUNCTION("""COMPUTED_VALUE"""),"REGIONAL I")</f>
        <v>REGIONAL I</v>
      </c>
      <c r="E921" s="222" t="str">
        <f>IFERROR(__xludf.DUMMYFUNCTION("""COMPUTED_VALUE"""),"MEDAN")</f>
        <v>MEDAN</v>
      </c>
      <c r="F921" s="222" t="str">
        <f>IFERROR(__xludf.DUMMYFUNCTION("""COMPUTED_VALUE"""),"LBP")</f>
        <v>LBP</v>
      </c>
      <c r="G921" s="222" t="str">
        <f>IFERROR(__xludf.DUMMYFUNCTION("""COMPUTED_VALUE"""),"SUMBAGUT")</f>
        <v>SUMBAGUT</v>
      </c>
      <c r="H921" s="222" t="str">
        <f>IFERROR(__xludf.DUMMYFUNCTION("""COMPUTED_VALUE"""),"MEDAN")</f>
        <v>MEDAN</v>
      </c>
      <c r="I921" s="222" t="str">
        <f>IFERROR(__xludf.DUMMYFUNCTION("""COMPUTED_VALUE"""),"Batch 2")</f>
        <v>Batch 2</v>
      </c>
      <c r="J921" s="225">
        <f>IFERROR(__xludf.DUMMYFUNCTION("""COMPUTED_VALUE"""),4.0)</f>
        <v>4</v>
      </c>
      <c r="K921" s="224">
        <f>IFERROR(__xludf.DUMMYFUNCTION("""COMPUTED_VALUE"""),32.0)</f>
        <v>32</v>
      </c>
      <c r="L921" s="226">
        <f>IFERROR(__xludf.DUMMYFUNCTION("""COMPUTED_VALUE"""),1015421.0)</f>
        <v>1015421</v>
      </c>
      <c r="M921" s="227">
        <f>IFERROR(__xludf.DUMMYFUNCTION("""COMPUTED_VALUE"""),3.2493449E7)</f>
        <v>32493449</v>
      </c>
      <c r="N921" s="222" t="str">
        <f>IFERROR(__xludf.DUMMYFUNCTION("""COMPUTED_VALUE"""),"PT TEKNOLOGI KARYA MANDIRI")</f>
        <v>PT TEKNOLOGI KARYA MANDIRI</v>
      </c>
      <c r="O921" s="222" t="str">
        <f>IFERROR(__xludf.DUMMYFUNCTION("""COMPUTED_VALUE"""),"7. GOLIVE")</f>
        <v>7. GOLIVE</v>
      </c>
      <c r="P921" s="222" t="str">
        <f>IFERROR(__xludf.DUMMYFUNCTION("""COMPUTED_VALUE"""),"7.2 Golive Full / OA / DONE OTB")</f>
        <v>7.2 Golive Full / OA / DONE OTB</v>
      </c>
      <c r="Q921" s="222" t="str">
        <f>IFERROR(__xludf.DUMMYFUNCTION("""COMPUTED_VALUE"""),"17/03 pemasangan odp
13/03 penarikan kabel 
05/03 proses perizinan
(07/01) Persiapan")</f>
        <v>17/03 pemasangan odp
13/03 penarikan kabel 
05/03 proses perizinan
(07/01) Persiapan</v>
      </c>
      <c r="R921" s="228"/>
      <c r="S921" s="11"/>
      <c r="T921" s="11"/>
      <c r="U921" s="11"/>
      <c r="V921" s="229"/>
      <c r="W921" s="229"/>
      <c r="X921" s="229" t="str">
        <f>IFERROR(__xludf.DUMMYFUNCTION("""COMPUTED_VALUE"""),"GOLIVE")</f>
        <v>GOLIVE</v>
      </c>
      <c r="Y921" s="229" t="str">
        <f>IFERROR(__xludf.DUMMYFUNCTION("""COMPUTED_VALUE"""),"DONE")</f>
        <v>DONE</v>
      </c>
      <c r="Z921" s="229" t="str">
        <f>IFERROR(__xludf.DUMMYFUNCTION("""COMPUTED_VALUE"""),"#N/A")</f>
        <v>#N/A</v>
      </c>
      <c r="AA921" s="229">
        <f>IFERROR(__xludf.DUMMYFUNCTION("""COMPUTED_VALUE"""),4.0)</f>
        <v>4</v>
      </c>
      <c r="AB921" s="229"/>
      <c r="AC921" s="229" t="str">
        <f>IFERROR(__xludf.DUMMYFUNCTION("""COMPUTED_VALUE"""),"9227581#9227586")</f>
        <v>9227581#9227586</v>
      </c>
      <c r="AD921" s="232">
        <f>IFERROR(__xludf.DUMMYFUNCTION("""COMPUTED_VALUE"""),32.0)</f>
        <v>32</v>
      </c>
      <c r="AE921" s="233">
        <f>IFERROR(__xludf.DUMMYFUNCTION("""COMPUTED_VALUE"""),46109.0)</f>
        <v>46109</v>
      </c>
      <c r="AF921" s="54"/>
      <c r="AG921" s="54"/>
      <c r="AH921" s="54"/>
      <c r="AI921" s="55" t="str">
        <f t="shared" si="97"/>
        <v/>
      </c>
      <c r="AW921" s="234"/>
      <c r="BP921" s="11"/>
      <c r="BQ921" s="11"/>
      <c r="BR921" s="235"/>
      <c r="BV921" s="158"/>
      <c r="BY921" s="158"/>
      <c r="CB921" s="158"/>
    </row>
    <row r="922" ht="18.0" hidden="1" customHeight="1">
      <c r="A922" s="222">
        <f>IFERROR(__xludf.DUMMYFUNCTION("""COMPUTED_VALUE"""),2026.0)</f>
        <v>2026</v>
      </c>
      <c r="B922" s="221">
        <f>IFERROR(__xludf.DUMMYFUNCTION("""COMPUTED_VALUE"""),1.2084557E7)</f>
        <v>12084557</v>
      </c>
      <c r="C922" s="222" t="str">
        <f>IFERROR(__xludf.DUMMYFUNCTION("""COMPUTED_VALUE"""),"LPG PT3 JPP HOTEL MINI PJN")</f>
        <v>LPG PT3 JPP HOTEL MINI PJN</v>
      </c>
      <c r="D922" s="222" t="str">
        <f>IFERROR(__xludf.DUMMYFUNCTION("""COMPUTED_VALUE"""),"REGIONAL I")</f>
        <v>REGIONAL I</v>
      </c>
      <c r="E922" s="222" t="str">
        <f>IFERROR(__xludf.DUMMYFUNCTION("""COMPUTED_VALUE"""),"LAMPUNG")</f>
        <v>LAMPUNG</v>
      </c>
      <c r="F922" s="222" t="str">
        <f>IFERROR(__xludf.DUMMYFUNCTION("""COMPUTED_VALUE"""),"PJN")</f>
        <v>PJN</v>
      </c>
      <c r="G922" s="222" t="str">
        <f>IFERROR(__xludf.DUMMYFUNCTION("""COMPUTED_VALUE"""),"SUMBAGSEL")</f>
        <v>SUMBAGSEL</v>
      </c>
      <c r="H922" s="222" t="str">
        <f>IFERROR(__xludf.DUMMYFUNCTION("""COMPUTED_VALUE"""),"LAMPUNG")</f>
        <v>LAMPUNG</v>
      </c>
      <c r="I922" s="222" t="str">
        <f>IFERROR(__xludf.DUMMYFUNCTION("""COMPUTED_VALUE"""),"Batch 2")</f>
        <v>Batch 2</v>
      </c>
      <c r="J922" s="225">
        <f>IFERROR(__xludf.DUMMYFUNCTION("""COMPUTED_VALUE"""),5.0)</f>
        <v>5</v>
      </c>
      <c r="K922" s="224">
        <f>IFERROR(__xludf.DUMMYFUNCTION("""COMPUTED_VALUE"""),40.0)</f>
        <v>40</v>
      </c>
      <c r="L922" s="226">
        <f>IFERROR(__xludf.DUMMYFUNCTION("""COMPUTED_VALUE"""),1014656.0)</f>
        <v>1014656</v>
      </c>
      <c r="M922" s="227">
        <f>IFERROR(__xludf.DUMMYFUNCTION("""COMPUTED_VALUE"""),4.0586209E7)</f>
        <v>40586209</v>
      </c>
      <c r="N922" s="222" t="str">
        <f>IFERROR(__xludf.DUMMYFUNCTION("""COMPUTED_VALUE"""),"PT BANGTELINDO")</f>
        <v>PT BANGTELINDO</v>
      </c>
      <c r="O922" s="222" t="str">
        <f>IFERROR(__xludf.DUMMYFUNCTION("""COMPUTED_VALUE"""),"0. DROP")</f>
        <v>0. DROP</v>
      </c>
      <c r="P922" s="222" t="str">
        <f>IFERROR(__xludf.DUMMYFUNCTION("""COMPUTED_VALUE"""),"0.5 DROP TSEL - Acc ED TIF")</f>
        <v>0.5 DROP TSEL - Acc ED TIF</v>
      </c>
      <c r="Q922" s="222" t="str">
        <f>IFERROR(__xludf.DUMMYFUNCTION("""COMPUTED_VALUE""")," 2/3 new disgn karna bergabung dengan LOP lain menjadi PT 4
27/2  odc penuh dan feeder rusak konfir k tift
29/01 Feeder rusak &amp; perlu penambahan biq OLT 
19/01 Butuh Penambahan FEEDER &amp; MINI OLT ")</f>
        <v> 2/3 new disgn karna bergabung dengan LOP lain menjadi PT 4
27/2  odc penuh dan feeder rusak konfir k tift
29/01 Feeder rusak &amp; perlu penambahan biq OLT 
19/01 Butuh Penambahan FEEDER &amp; MINI OLT </v>
      </c>
      <c r="R922" s="228"/>
      <c r="S922" s="11"/>
      <c r="T922" s="11"/>
      <c r="U922" s="11"/>
      <c r="V922" s="229"/>
      <c r="W922" s="229"/>
      <c r="X922" s="229" t="str">
        <f>IFERROR(__xludf.DUMMYFUNCTION("""COMPUTED_VALUE"""),"BELUM GOLIVE")</f>
        <v>BELUM GOLIVE</v>
      </c>
      <c r="Y922" s="229"/>
      <c r="Z922" s="229" t="str">
        <f>IFERROR(__xludf.DUMMYFUNCTION("""COMPUTED_VALUE"""),"#N/A")</f>
        <v>#N/A</v>
      </c>
      <c r="AA922" s="229"/>
      <c r="AB922" s="229"/>
      <c r="AC922" s="229"/>
      <c r="AD922" s="232"/>
      <c r="AE922" s="233"/>
      <c r="AF922" s="54" t="str">
        <f>IFERROR(__xludf.DUMMYFUNCTION("""COMPUTED_VALUE"""),"Draft BA DROP")</f>
        <v>Draft BA DROP</v>
      </c>
      <c r="AG922" s="54"/>
      <c r="AH922" s="54"/>
      <c r="AI922" s="55" t="str">
        <f t="shared" si="97"/>
        <v/>
      </c>
      <c r="AW922" s="234"/>
      <c r="BP922" s="11"/>
      <c r="BQ922" s="11"/>
      <c r="BR922" s="235"/>
      <c r="BV922" s="158"/>
      <c r="BY922" s="158"/>
      <c r="CB922" s="158"/>
    </row>
    <row r="923" ht="18.0" customHeight="1">
      <c r="A923" s="222">
        <f>IFERROR(__xludf.DUMMYFUNCTION("""COMPUTED_VALUE"""),2026.0)</f>
        <v>2026</v>
      </c>
      <c r="B923" s="221">
        <f>IFERROR(__xludf.DUMMYFUNCTION("""COMPUTED_VALUE"""),1.2429661E7)</f>
        <v>12429661</v>
      </c>
      <c r="C923" s="222" t="str">
        <f>IFERROR(__xludf.DUMMYFUNCTION("""COMPUTED_VALUE"""),"RDR JPP PT3 KAMPAR_125516")</f>
        <v>RDR JPP PT3 KAMPAR_125516</v>
      </c>
      <c r="D923" s="222" t="str">
        <f>IFERROR(__xludf.DUMMYFUNCTION("""COMPUTED_VALUE"""),"REGIONAL I")</f>
        <v>REGIONAL I</v>
      </c>
      <c r="E923" s="222" t="str">
        <f>IFERROR(__xludf.DUMMYFUNCTION("""COMPUTED_VALUE"""),"RIDAR")</f>
        <v>RIDAR</v>
      </c>
      <c r="F923" s="222" t="str">
        <f>IFERROR(__xludf.DUMMYFUNCTION("""COMPUTED_VALUE"""),"BKR")</f>
        <v>BKR</v>
      </c>
      <c r="G923" s="222" t="str">
        <f>IFERROR(__xludf.DUMMYFUNCTION("""COMPUTED_VALUE"""),"SUMBAGTENG")</f>
        <v>SUMBAGTENG</v>
      </c>
      <c r="H923" s="222" t="str">
        <f>IFERROR(__xludf.DUMMYFUNCTION("""COMPUTED_VALUE"""),"PEKANBARU")</f>
        <v>PEKANBARU</v>
      </c>
      <c r="I923" s="222" t="str">
        <f>IFERROR(__xludf.DUMMYFUNCTION("""COMPUTED_VALUE"""),"Batch 2")</f>
        <v>Batch 2</v>
      </c>
      <c r="J923" s="225">
        <f>IFERROR(__xludf.DUMMYFUNCTION("""COMPUTED_VALUE"""),4.0)</f>
        <v>4</v>
      </c>
      <c r="K923" s="224">
        <f>IFERROR(__xludf.DUMMYFUNCTION("""COMPUTED_VALUE"""),32.0)</f>
        <v>32</v>
      </c>
      <c r="L923" s="226">
        <f>IFERROR(__xludf.DUMMYFUNCTION("""COMPUTED_VALUE"""),1013406.0)</f>
        <v>1013406</v>
      </c>
      <c r="M923" s="227">
        <f>IFERROR(__xludf.DUMMYFUNCTION("""COMPUTED_VALUE"""),3.2428969E7)</f>
        <v>32428969</v>
      </c>
      <c r="N923" s="222" t="str">
        <f>IFERROR(__xludf.DUMMYFUNCTION("""COMPUTED_VALUE"""),"PT SAMUDERA PUTRA KENCANA")</f>
        <v>PT SAMUDERA PUTRA KENCANA</v>
      </c>
      <c r="O923" s="222" t="str">
        <f>IFERROR(__xludf.DUMMYFUNCTION("""COMPUTED_VALUE"""),"7. GOLIVE")</f>
        <v>7. GOLIVE</v>
      </c>
      <c r="P923" s="222" t="str">
        <f>IFERROR(__xludf.DUMMYFUNCTION("""COMPUTED_VALUE"""),"7.2 Golive Full / OA / DONE OTB")</f>
        <v>7.2 Golive Full / OA / DONE OTB</v>
      </c>
      <c r="Q923" s="222" t="str">
        <f>IFERROR(__xludf.DUMMYFUNCTION("""COMPUTED_VALUE"""),"21/01 Proses Golive (08/01) Proses aanwijziing (07/01) Persiapan")</f>
        <v>21/01 Proses Golive (08/01) Proses aanwijziing (07/01) Persiapan</v>
      </c>
      <c r="R923" s="228"/>
      <c r="S923" s="11"/>
      <c r="T923" s="11"/>
      <c r="U923" s="11" t="str">
        <f>IFERROR(__xludf.DUMMYFUNCTION("""COMPUTED_VALUE"""),"W08-2114/2025")</f>
        <v>W08-2114/2025</v>
      </c>
      <c r="V923" s="229" t="str">
        <f>IFERROR(__xludf.DUMMYFUNCTION("""COMPUTED_VALUE"""),"TEGUH IMAM PERDANA")</f>
        <v>TEGUH IMAM PERDANA</v>
      </c>
      <c r="W923" s="229" t="str">
        <f>IFERROR(__xludf.DUMMYFUNCTION("""COMPUTED_VALUE"""),"DESLITA RAHMADANI")</f>
        <v>DESLITA RAHMADANI</v>
      </c>
      <c r="X923" s="229" t="str">
        <f>IFERROR(__xludf.DUMMYFUNCTION("""COMPUTED_VALUE"""),"GOLIVE")</f>
        <v>GOLIVE</v>
      </c>
      <c r="Y923" s="229" t="str">
        <f>IFERROR(__xludf.DUMMYFUNCTION("""COMPUTED_VALUE"""),"DONE")</f>
        <v>DONE</v>
      </c>
      <c r="Z923" s="229" t="str">
        <f>IFERROR(__xludf.DUMMYFUNCTION("""COMPUTED_VALUE"""),"#N/A")</f>
        <v>#N/A</v>
      </c>
      <c r="AA923" s="229">
        <f>IFERROR(__xludf.DUMMYFUNCTION("""COMPUTED_VALUE"""),4.0)</f>
        <v>4</v>
      </c>
      <c r="AB923" s="229"/>
      <c r="AC923" s="229" t="str">
        <f>IFERROR(__xludf.DUMMYFUNCTION("""COMPUTED_VALUE"""),"8834846#8834851")</f>
        <v>8834846#8834851</v>
      </c>
      <c r="AD923" s="232">
        <f>IFERROR(__xludf.DUMMYFUNCTION("""COMPUTED_VALUE"""),32.0)</f>
        <v>32</v>
      </c>
      <c r="AE923" s="233">
        <f>IFERROR(__xludf.DUMMYFUNCTION("""COMPUTED_VALUE"""),46043.0)</f>
        <v>46043</v>
      </c>
      <c r="AF923" s="54"/>
      <c r="AG923" s="54"/>
      <c r="AH923" s="54"/>
      <c r="AI923" s="55" t="str">
        <f>IF(OR(AH923="",AE923=""),"",AH923-AE923)</f>
        <v/>
      </c>
      <c r="AW923" s="234"/>
      <c r="BP923" s="11"/>
      <c r="BQ923" s="11"/>
      <c r="BR923" s="235"/>
      <c r="BV923" s="158"/>
      <c r="BY923" s="158"/>
      <c r="CB923" s="158"/>
    </row>
    <row r="924" ht="18.0" customHeight="1">
      <c r="A924" s="222">
        <f>IFERROR(__xludf.DUMMYFUNCTION("""COMPUTED_VALUE"""),2026.0)</f>
        <v>2026</v>
      </c>
      <c r="B924" s="221">
        <f>IFERROR(__xludf.DUMMYFUNCTION("""COMPUTED_VALUE"""),1.249665E7)</f>
        <v>12496650</v>
      </c>
      <c r="C924" s="222" t="str">
        <f>IFERROR(__xludf.DUMMYFUNCTION("""COMPUTED_VALUE"""),"SMB-PT3-MD_PayPas_PDJ_Limbanang")</f>
        <v>SMB-PT3-MD_PayPas_PDJ_Limbanang</v>
      </c>
      <c r="D924" s="222" t="str">
        <f>IFERROR(__xludf.DUMMYFUNCTION("""COMPUTED_VALUE"""),"REGIONAL I")</f>
        <v>REGIONAL I</v>
      </c>
      <c r="E924" s="222" t="str">
        <f>IFERROR(__xludf.DUMMYFUNCTION("""COMPUTED_VALUE"""),"SUMBAR")</f>
        <v>SUMBAR</v>
      </c>
      <c r="F924" s="222" t="str">
        <f>IFERROR(__xludf.DUMMYFUNCTION("""COMPUTED_VALUE"""),"PDJ")</f>
        <v>PDJ</v>
      </c>
      <c r="G924" s="222" t="str">
        <f>IFERROR(__xludf.DUMMYFUNCTION("""COMPUTED_VALUE"""),"SUMBAGTENG")</f>
        <v>SUMBAGTENG</v>
      </c>
      <c r="H924" s="222" t="str">
        <f>IFERROR(__xludf.DUMMYFUNCTION("""COMPUTED_VALUE"""),"BUKIT TINGGI")</f>
        <v>BUKIT TINGGI</v>
      </c>
      <c r="I924" s="222" t="str">
        <f>IFERROR(__xludf.DUMMYFUNCTION("""COMPUTED_VALUE"""),"Batch 2")</f>
        <v>Batch 2</v>
      </c>
      <c r="J924" s="225">
        <f>IFERROR(__xludf.DUMMYFUNCTION("""COMPUTED_VALUE"""),23.0)</f>
        <v>23</v>
      </c>
      <c r="K924" s="224">
        <f>IFERROR(__xludf.DUMMYFUNCTION("""COMPUTED_VALUE"""),184.0)</f>
        <v>184</v>
      </c>
      <c r="L924" s="226">
        <f>IFERROR(__xludf.DUMMYFUNCTION("""COMPUTED_VALUE"""),1012425.0)</f>
        <v>1012425</v>
      </c>
      <c r="M924" s="227">
        <f>IFERROR(__xludf.DUMMYFUNCTION("""COMPUTED_VALUE"""),1.86286104E8)</f>
        <v>186286104</v>
      </c>
      <c r="N924" s="222" t="str">
        <f>IFERROR(__xludf.DUMMYFUNCTION("""COMPUTED_VALUE"""),"PT TSUIKA BERKAH RAYA")</f>
        <v>PT TSUIKA BERKAH RAYA</v>
      </c>
      <c r="O924" s="222" t="str">
        <f>IFERROR(__xludf.DUMMYFUNCTION("""COMPUTED_VALUE"""),"8. UJI TERIMA")</f>
        <v>8. UJI TERIMA</v>
      </c>
      <c r="P924" s="222" t="str">
        <f>IFERROR(__xludf.DUMMYFUNCTION("""COMPUTED_VALUE"""),"8.1 Proses UT")</f>
        <v>8.1 Proses UT</v>
      </c>
      <c r="Q924" s="222" t="str">
        <f>IFERROR(__xludf.DUMMYFUNCTION("""COMPUTED_VALUE"""),"(18/02) terminasi ODP PLAN FI 18/02 (29/01) proses delivery material  (21/01) proses CReate PID (07/01) Persiapan")</f>
        <v>(18/02) terminasi ODP PLAN FI 18/02 (29/01) proses delivery material  (21/01) proses CReate PID (07/01) Persiapan</v>
      </c>
      <c r="R924" s="228">
        <f>IFERROR(__xludf.DUMMYFUNCTION("""COMPUTED_VALUE"""),46065.0)</f>
        <v>46065</v>
      </c>
      <c r="S924" s="11"/>
      <c r="T924" s="11"/>
      <c r="U924" s="11" t="str">
        <f>IFERROR(__xludf.DUMMYFUNCTION("""COMPUTED_VALUE"""),"TIF-1906/2026 26KT03R158-0009")</f>
        <v>TIF-1906/2026 26KT03R158-0009</v>
      </c>
      <c r="V924" s="229" t="str">
        <f>IFERROR(__xludf.DUMMYFUNCTION("""COMPUTED_VALUE"""),"M. ARIF HAMADI")</f>
        <v>M. ARIF HAMADI</v>
      </c>
      <c r="W924" s="229" t="str">
        <f>IFERROR(__xludf.DUMMYFUNCTION("""COMPUTED_VALUE"""),"MELKO NARWADI")</f>
        <v>MELKO NARWADI</v>
      </c>
      <c r="X924" s="229" t="str">
        <f>IFERROR(__xludf.DUMMYFUNCTION("""COMPUTED_VALUE"""),"GOLIVE")</f>
        <v>GOLIVE</v>
      </c>
      <c r="Y924" s="229" t="str">
        <f>IFERROR(__xludf.DUMMYFUNCTION("""COMPUTED_VALUE"""),"DONE")</f>
        <v>DONE</v>
      </c>
      <c r="Z924" s="229" t="str">
        <f>IFERROR(__xludf.DUMMYFUNCTION("""COMPUTED_VALUE"""),"#N/A")</f>
        <v>#N/A</v>
      </c>
      <c r="AA924" s="229">
        <f>IFERROR(__xludf.DUMMYFUNCTION("""COMPUTED_VALUE"""),19.0)</f>
        <v>19</v>
      </c>
      <c r="AB924" s="229"/>
      <c r="AC924" s="229" t="str">
        <f>IFERROR(__xludf.DUMMYFUNCTION("""COMPUTED_VALUE"""),"9156380#9156390")</f>
        <v>9156380#9156390</v>
      </c>
      <c r="AD924" s="232">
        <f>IFERROR(__xludf.DUMMYFUNCTION("""COMPUTED_VALUE"""),152.0)</f>
        <v>152</v>
      </c>
      <c r="AE924" s="233">
        <f>IFERROR(__xludf.DUMMYFUNCTION("""COMPUTED_VALUE"""),46081.0)</f>
        <v>46081</v>
      </c>
      <c r="AF924" s="54"/>
      <c r="AG924" s="54"/>
      <c r="AH924" s="54">
        <v>46065.0</v>
      </c>
      <c r="AI924" s="55">
        <f t="shared" ref="AI924:AI926" si="98">IF(OR(R924="",AE924=""),"",R924-AE924)</f>
        <v>-16</v>
      </c>
      <c r="AW924" s="234"/>
      <c r="BP924" s="11"/>
      <c r="BQ924" s="11"/>
      <c r="BR924" s="235"/>
      <c r="BV924" s="158"/>
      <c r="BY924" s="158"/>
      <c r="CB924" s="158"/>
    </row>
    <row r="925" ht="18.0" hidden="1" customHeight="1">
      <c r="A925" s="222">
        <f>IFERROR(__xludf.DUMMYFUNCTION("""COMPUTED_VALUE"""),2026.0)</f>
        <v>2026</v>
      </c>
      <c r="B925" s="221">
        <f>IFERROR(__xludf.DUMMYFUNCTION("""COMPUTED_VALUE"""),1.2151511E7)</f>
        <v>12151511</v>
      </c>
      <c r="C925" s="222" t="str">
        <f>IFERROR(__xludf.DUMMYFUNCTION("""COMPUTED_VALUE"""),"JBI-PT3 BRANCHING-MAB-FE-ID549512")</f>
        <v>JBI-PT3 BRANCHING-MAB-FE-ID549512</v>
      </c>
      <c r="D925" s="222" t="str">
        <f>IFERROR(__xludf.DUMMYFUNCTION("""COMPUTED_VALUE"""),"REGIONAL I")</f>
        <v>REGIONAL I</v>
      </c>
      <c r="E925" s="222" t="str">
        <f>IFERROR(__xludf.DUMMYFUNCTION("""COMPUTED_VALUE"""),"JAMBI")</f>
        <v>JAMBI</v>
      </c>
      <c r="F925" s="222" t="str">
        <f>IFERROR(__xludf.DUMMYFUNCTION("""COMPUTED_VALUE"""),"MAB")</f>
        <v>MAB</v>
      </c>
      <c r="G925" s="222" t="str">
        <f>IFERROR(__xludf.DUMMYFUNCTION("""COMPUTED_VALUE"""),"SUMBAGSEL")</f>
        <v>SUMBAGSEL</v>
      </c>
      <c r="H925" s="222" t="str">
        <f>IFERROR(__xludf.DUMMYFUNCTION("""COMPUTED_VALUE"""),"JAMBI")</f>
        <v>JAMBI</v>
      </c>
      <c r="I925" s="222" t="str">
        <f>IFERROR(__xludf.DUMMYFUNCTION("""COMPUTED_VALUE"""),"Batch 2")</f>
        <v>Batch 2</v>
      </c>
      <c r="J925" s="225">
        <f>IFERROR(__xludf.DUMMYFUNCTION("""COMPUTED_VALUE"""),2.0)</f>
        <v>2</v>
      </c>
      <c r="K925" s="224">
        <f>IFERROR(__xludf.DUMMYFUNCTION("""COMPUTED_VALUE"""),16.0)</f>
        <v>16</v>
      </c>
      <c r="L925" s="226">
        <f>IFERROR(__xludf.DUMMYFUNCTION("""COMPUTED_VALUE"""),1011449.0)</f>
        <v>1011449</v>
      </c>
      <c r="M925" s="227">
        <f>IFERROR(__xludf.DUMMYFUNCTION("""COMPUTED_VALUE"""),1.6183182E7)</f>
        <v>16183182</v>
      </c>
      <c r="N925" s="222" t="str">
        <f>IFERROR(__xludf.DUMMYFUNCTION("""COMPUTED_VALUE"""),"PT TRIPUTRA ANDALAN")</f>
        <v>PT TRIPUTRA ANDALAN</v>
      </c>
      <c r="O925" s="222" t="str">
        <f>IFERROR(__xludf.DUMMYFUNCTION("""COMPUTED_VALUE"""),"0. DROP")</f>
        <v>0. DROP</v>
      </c>
      <c r="P925" s="222" t="str">
        <f>IFERROR(__xludf.DUMMYFUNCTION("""COMPUTED_VALUE"""),"0.5 DROP TSEL - Acc ED TIF")</f>
        <v>0.5 DROP TSEL - Acc ED TIF</v>
      </c>
      <c r="Q925" s="222" t="str">
        <f>IFERROR(__xludf.DUMMYFUNCTION("""COMPUTED_VALUE"""),"09/04 BA Drop Sirkulir - Permintaan Tsel Market tidak OK  (12/1) BA Drop Sirkulir - Permintaan Tsel Market tidak OK (06/01)order JPP batch-2 2026 (17/11 drop permintaan TSEL 10/11 kendala operasional mitra 6/11 prepare tim(3/11) Input Matrial (15/10)  Cre"&amp;"ate PID 08/10 Done Aanwijzing  06/10 Penjadwalan aanwijzing (16/09) Mapping mitra")</f>
        <v>09/04 BA Drop Sirkulir - Permintaan Tsel Market tidak OK  (12/1) BA Drop Sirkulir - Permintaan Tsel Market tidak OK (06/01)order JPP batch-2 2026 (17/11 drop permintaan TSEL 10/11 kendala operasional mitra 6/11 prepare tim(3/11) Input Matrial (15/10)  Create PID 08/10 Done Aanwijzing  06/10 Penjadwalan aanwijzing (16/09) Mapping mitra</v>
      </c>
      <c r="R925" s="228"/>
      <c r="S925" s="11"/>
      <c r="T925" s="11"/>
      <c r="U925" s="11"/>
      <c r="V925" s="229"/>
      <c r="W925" s="229"/>
      <c r="X925" s="229" t="str">
        <f>IFERROR(__xludf.DUMMYFUNCTION("""COMPUTED_VALUE"""),"BELUM GOLIVE")</f>
        <v>BELUM GOLIVE</v>
      </c>
      <c r="Y925" s="229"/>
      <c r="Z925" s="229" t="str">
        <f>IFERROR(__xludf.DUMMYFUNCTION("""COMPUTED_VALUE"""),"#N/A")</f>
        <v>#N/A</v>
      </c>
      <c r="AA925" s="229"/>
      <c r="AB925" s="229"/>
      <c r="AC925" s="229"/>
      <c r="AD925" s="232"/>
      <c r="AE925" s="233"/>
      <c r="AF925" s="54"/>
      <c r="AG925" s="54"/>
      <c r="AH925" s="54"/>
      <c r="AI925" s="55" t="str">
        <f t="shared" si="98"/>
        <v/>
      </c>
      <c r="AW925" s="234"/>
      <c r="BP925" s="11"/>
      <c r="BQ925" s="11"/>
      <c r="BR925" s="235"/>
      <c r="BV925" s="158"/>
      <c r="BY925" s="158"/>
      <c r="CB925" s="158"/>
    </row>
    <row r="926" ht="18.0" hidden="1" customHeight="1">
      <c r="A926" s="222">
        <f>IFERROR(__xludf.DUMMYFUNCTION("""COMPUTED_VALUE"""),2026.0)</f>
        <v>2026</v>
      </c>
      <c r="B926" s="221">
        <f>IFERROR(__xludf.DUMMYFUNCTION("""COMPUTED_VALUE"""),1.1955909E7)</f>
        <v>11955909</v>
      </c>
      <c r="C926" s="222" t="str">
        <f>IFERROR(__xludf.DUMMYFUNCTION("""COMPUTED_VALUE"""),"LPG PT3 JPP KOTA METRO_10622_H2_2025 MET")</f>
        <v>LPG PT3 JPP KOTA METRO_10622_H2_2025 MET</v>
      </c>
      <c r="D926" s="222" t="str">
        <f>IFERROR(__xludf.DUMMYFUNCTION("""COMPUTED_VALUE"""),"REGIONAL I")</f>
        <v>REGIONAL I</v>
      </c>
      <c r="E926" s="222" t="str">
        <f>IFERROR(__xludf.DUMMYFUNCTION("""COMPUTED_VALUE"""),"LAMPUNG")</f>
        <v>LAMPUNG</v>
      </c>
      <c r="F926" s="222" t="str">
        <f>IFERROR(__xludf.DUMMYFUNCTION("""COMPUTED_VALUE"""),"MET")</f>
        <v>MET</v>
      </c>
      <c r="G926" s="222" t="str">
        <f>IFERROR(__xludf.DUMMYFUNCTION("""COMPUTED_VALUE"""),"SUMBAGSEL")</f>
        <v>SUMBAGSEL</v>
      </c>
      <c r="H926" s="222" t="str">
        <f>IFERROR(__xludf.DUMMYFUNCTION("""COMPUTED_VALUE"""),"LAMPUNG")</f>
        <v>LAMPUNG</v>
      </c>
      <c r="I926" s="222" t="str">
        <f>IFERROR(__xludf.DUMMYFUNCTION("""COMPUTED_VALUE"""),"Batch 2")</f>
        <v>Batch 2</v>
      </c>
      <c r="J926" s="225">
        <f>IFERROR(__xludf.DUMMYFUNCTION("""COMPUTED_VALUE"""),5.0)</f>
        <v>5</v>
      </c>
      <c r="K926" s="224">
        <f>IFERROR(__xludf.DUMMYFUNCTION("""COMPUTED_VALUE"""),40.0)</f>
        <v>40</v>
      </c>
      <c r="L926" s="226">
        <f>IFERROR(__xludf.DUMMYFUNCTION("""COMPUTED_VALUE"""),1011234.0)</f>
        <v>1011234</v>
      </c>
      <c r="M926" s="227">
        <f>IFERROR(__xludf.DUMMYFUNCTION("""COMPUTED_VALUE"""),4.0449358E7)</f>
        <v>40449358</v>
      </c>
      <c r="N926" s="222" t="str">
        <f>IFERROR(__xludf.DUMMYFUNCTION("""COMPUTED_VALUE"""),"PT FAJAR MITRA KRIDA ABADI")</f>
        <v>PT FAJAR MITRA KRIDA ABADI</v>
      </c>
      <c r="O926" s="222" t="str">
        <f>IFERROR(__xludf.DUMMYFUNCTION("""COMPUTED_VALUE"""),"0. DROP")</f>
        <v>0. DROP</v>
      </c>
      <c r="P926" s="222" t="str">
        <f>IFERROR(__xludf.DUMMYFUNCTION("""COMPUTED_VALUE"""),"0.2 Tidak Dapat Izin Warga/Kades/Lurah/Developer")</f>
        <v>0.2 Tidak Dapat Izin Warga/Kades/Lurah/Developer</v>
      </c>
      <c r="Q926" s="222" t="str">
        <f>IFERROR(__xludf.DUMMYFUNCTION("""COMPUTED_VALUE"""),"15/1 lurah minta surat perkim,diskominfo dan tata kota")</f>
        <v>15/1 lurah minta surat perkim,diskominfo dan tata kota</v>
      </c>
      <c r="R926" s="228"/>
      <c r="S926" s="11"/>
      <c r="T926" s="11"/>
      <c r="U926" s="11"/>
      <c r="V926" s="229"/>
      <c r="W926" s="229"/>
      <c r="X926" s="229" t="str">
        <f>IFERROR(__xludf.DUMMYFUNCTION("""COMPUTED_VALUE"""),"BELUM GOLIVE")</f>
        <v>BELUM GOLIVE</v>
      </c>
      <c r="Y926" s="229" t="str">
        <f>IFERROR(__xludf.DUMMYFUNCTION("""COMPUTED_VALUE"""),"PORT OLT Penuh")</f>
        <v>PORT OLT Penuh</v>
      </c>
      <c r="Z926" s="229" t="str">
        <f>IFERROR(__xludf.DUMMYFUNCTION("""COMPUTED_VALUE"""),"#N/A")</f>
        <v>#N/A</v>
      </c>
      <c r="AA926" s="229"/>
      <c r="AB926" s="229"/>
      <c r="AC926" s="229"/>
      <c r="AD926" s="232"/>
      <c r="AE926" s="233"/>
      <c r="AF926" s="54" t="str">
        <f>IFERROR(__xludf.DUMMYFUNCTION("""COMPUTED_VALUE"""),"Draft BA DROP")</f>
        <v>Draft BA DROP</v>
      </c>
      <c r="AG926" s="54"/>
      <c r="AH926" s="54"/>
      <c r="AI926" s="55" t="str">
        <f t="shared" si="98"/>
        <v/>
      </c>
      <c r="AW926" s="234"/>
      <c r="BP926" s="11"/>
      <c r="BQ926" s="11"/>
      <c r="BR926" s="235"/>
      <c r="BV926" s="158"/>
      <c r="BY926" s="158"/>
      <c r="CB926" s="158"/>
    </row>
    <row r="927" ht="18.0" hidden="1" customHeight="1">
      <c r="A927" s="222">
        <f>IFERROR(__xludf.DUMMYFUNCTION("""COMPUTED_VALUE"""),2026.0)</f>
        <v>2026</v>
      </c>
      <c r="B927" s="221">
        <f>IFERROR(__xludf.DUMMYFUNCTION("""COMPUTED_VALUE"""),1.1081223E7)</f>
        <v>11081223</v>
      </c>
      <c r="C927" s="222" t="str">
        <f>IFERROR(__xludf.DUMMYFUNCTION("""COMPUTED_VALUE"""),"MDN PT3 STB-FF JL.MEDAN B.ACEH STABAT")</f>
        <v>MDN PT3 STB-FF JL.MEDAN B.ACEH STABAT</v>
      </c>
      <c r="D927" s="222" t="str">
        <f>IFERROR(__xludf.DUMMYFUNCTION("""COMPUTED_VALUE"""),"REGIONAL I")</f>
        <v>REGIONAL I</v>
      </c>
      <c r="E927" s="222" t="str">
        <f>IFERROR(__xludf.DUMMYFUNCTION("""COMPUTED_VALUE"""),"MEDAN")</f>
        <v>MEDAN</v>
      </c>
      <c r="F927" s="222" t="str">
        <f>IFERROR(__xludf.DUMMYFUNCTION("""COMPUTED_VALUE"""),"STB")</f>
        <v>STB</v>
      </c>
      <c r="G927" s="222" t="str">
        <f>IFERROR(__xludf.DUMMYFUNCTION("""COMPUTED_VALUE"""),"SUMBAGUT")</f>
        <v>SUMBAGUT</v>
      </c>
      <c r="H927" s="222" t="str">
        <f>IFERROR(__xludf.DUMMYFUNCTION("""COMPUTED_VALUE"""),"BINJAI")</f>
        <v>BINJAI</v>
      </c>
      <c r="I927" s="222" t="str">
        <f>IFERROR(__xludf.DUMMYFUNCTION("""COMPUTED_VALUE"""),"Batch 2")</f>
        <v>Batch 2</v>
      </c>
      <c r="J927" s="225">
        <f>IFERROR(__xludf.DUMMYFUNCTION("""COMPUTED_VALUE"""),5.0)</f>
        <v>5</v>
      </c>
      <c r="K927" s="224">
        <f>IFERROR(__xludf.DUMMYFUNCTION("""COMPUTED_VALUE"""),40.0)</f>
        <v>40</v>
      </c>
      <c r="L927" s="226">
        <f>IFERROR(__xludf.DUMMYFUNCTION("""COMPUTED_VALUE"""),1010786.0)</f>
        <v>1010786</v>
      </c>
      <c r="M927" s="227">
        <f>IFERROR(__xludf.DUMMYFUNCTION("""COMPUTED_VALUE"""),4.0431424E7)</f>
        <v>40431424</v>
      </c>
      <c r="N927" s="222" t="str">
        <f>IFERROR(__xludf.DUMMYFUNCTION("""COMPUTED_VALUE"""),"PT KENCANA RAYA INDONESIA")</f>
        <v>PT KENCANA RAYA INDONESIA</v>
      </c>
      <c r="O927" s="222" t="str">
        <f>IFERROR(__xludf.DUMMYFUNCTION("""COMPUTED_VALUE"""),"2. DONE AANWIJZING")</f>
        <v>2. DONE AANWIJZING</v>
      </c>
      <c r="P927" s="222" t="str">
        <f>IFERROR(__xludf.DUMMYFUNCTION("""COMPUTED_VALUE"""),"2.10 Kendala - Feeder Rusak")</f>
        <v>2.10 Kendala - Feeder Rusak</v>
      </c>
      <c r="Q927" s="222" t="str">
        <f>IFERROR(__xludf.DUMMYFUNCTION("""COMPUTED_VALUE"""),"(13/02) feeder redaman tinggi")</f>
        <v>(13/02) feeder redaman tinggi</v>
      </c>
      <c r="R927" s="228"/>
      <c r="S927" s="11"/>
      <c r="T927" s="11"/>
      <c r="U927" s="11"/>
      <c r="V927" s="229"/>
      <c r="W927" s="229"/>
      <c r="X927" s="229" t="str">
        <f>IFERROR(__xludf.DUMMYFUNCTION("""COMPUTED_VALUE"""),"BELUM GOLIVE")</f>
        <v>BELUM GOLIVE</v>
      </c>
      <c r="Y927" s="229"/>
      <c r="Z927" s="229" t="str">
        <f>IFERROR(__xludf.DUMMYFUNCTION("""COMPUTED_VALUE"""),"#N/A")</f>
        <v>#N/A</v>
      </c>
      <c r="AA927" s="229"/>
      <c r="AB927" s="229"/>
      <c r="AC927" s="229"/>
      <c r="AD927" s="232"/>
      <c r="AE927" s="233"/>
      <c r="AF927" s="54"/>
      <c r="AG927" s="54"/>
      <c r="AH927" s="54">
        <v>46134.0</v>
      </c>
      <c r="AI927" s="237">
        <f>AH927-NOW()</f>
        <v>-6.377989907</v>
      </c>
      <c r="AJ927" s="229" t="str">
        <f>if(AI927&gt;=0,"In Komitmen","Out Komitmen")</f>
        <v>Out Komitmen</v>
      </c>
      <c r="AK927" s="229" t="s">
        <v>199</v>
      </c>
      <c r="AW927" s="234"/>
      <c r="BP927" s="11"/>
      <c r="BQ927" s="11"/>
      <c r="BR927" s="235"/>
      <c r="BV927" s="158"/>
      <c r="BY927" s="158"/>
      <c r="CB927" s="158"/>
    </row>
    <row r="928" ht="18.0" customHeight="1">
      <c r="A928" s="222">
        <f>IFERROR(__xludf.DUMMYFUNCTION("""COMPUTED_VALUE"""),2026.0)</f>
        <v>2026</v>
      </c>
      <c r="B928" s="221">
        <f>IFERROR(__xludf.DUMMYFUNCTION("""COMPUTED_VALUE"""),1.1377068E7)</f>
        <v>11377068</v>
      </c>
      <c r="C928" s="222" t="str">
        <f>IFERROR(__xludf.DUMMYFUNCTION("""COMPUTED_VALUE"""),"SMB P2I2 DHARMASRAYA_17750")</f>
        <v>SMB P2I2 DHARMASRAYA_17750</v>
      </c>
      <c r="D928" s="222" t="str">
        <f>IFERROR(__xludf.DUMMYFUNCTION("""COMPUTED_VALUE"""),"REGIONAL I")</f>
        <v>REGIONAL I</v>
      </c>
      <c r="E928" s="222" t="str">
        <f>IFERROR(__xludf.DUMMYFUNCTION("""COMPUTED_VALUE"""),"SUMBAR")</f>
        <v>SUMBAR</v>
      </c>
      <c r="F928" s="222" t="str">
        <f>IFERROR(__xludf.DUMMYFUNCTION("""COMPUTED_VALUE"""),"SUN")</f>
        <v>SUN</v>
      </c>
      <c r="G928" s="222" t="str">
        <f>IFERROR(__xludf.DUMMYFUNCTION("""COMPUTED_VALUE"""),"SUMBAGTENG")</f>
        <v>SUMBAGTENG</v>
      </c>
      <c r="H928" s="222" t="str">
        <f>IFERROR(__xludf.DUMMYFUNCTION("""COMPUTED_VALUE"""),"PADANG")</f>
        <v>PADANG</v>
      </c>
      <c r="I928" s="222" t="str">
        <f>IFERROR(__xludf.DUMMYFUNCTION("""COMPUTED_VALUE"""),"Batch 2")</f>
        <v>Batch 2</v>
      </c>
      <c r="J928" s="225">
        <f>IFERROR(__xludf.DUMMYFUNCTION("""COMPUTED_VALUE"""),2.0)</f>
        <v>2</v>
      </c>
      <c r="K928" s="224">
        <f>IFERROR(__xludf.DUMMYFUNCTION("""COMPUTED_VALUE"""),16.0)</f>
        <v>16</v>
      </c>
      <c r="L928" s="226">
        <f>IFERROR(__xludf.DUMMYFUNCTION("""COMPUTED_VALUE"""),1010576.0)</f>
        <v>1010576</v>
      </c>
      <c r="M928" s="227">
        <f>IFERROR(__xludf.DUMMYFUNCTION("""COMPUTED_VALUE"""),1.6169209E7)</f>
        <v>16169209</v>
      </c>
      <c r="N928" s="222" t="str">
        <f>IFERROR(__xludf.DUMMYFUNCTION("""COMPUTED_VALUE"""),"PT TIGA AKSES MANDIRI")</f>
        <v>PT TIGA AKSES MANDIRI</v>
      </c>
      <c r="O928" s="222" t="str">
        <f>IFERROR(__xludf.DUMMYFUNCTION("""COMPUTED_VALUE"""),"7. GOLIVE")</f>
        <v>7. GOLIVE</v>
      </c>
      <c r="P928" s="222" t="str">
        <f>IFERROR(__xludf.DUMMYFUNCTION("""COMPUTED_VALUE"""),"7.2 Golive Full / OA / DONE OTB")</f>
        <v>7.2 Golive Full / OA / DONE OTB</v>
      </c>
      <c r="Q928" s="222" t="str">
        <f>IFERROR(__xludf.DUMMYFUNCTION("""COMPUTED_VALUE"""),"(20/04) abd masuk HI ke SDI (13/04) terminasi odp  (06/04) tanam tiang (02/04) tanam tiang  (30/03) material onsite (16/03) proses PO ke mitra dan menunggu kabel 12 ADSS (06/03) Proses create PID  (05/03) proses aanwijziing plan selesai 10/03   23/2 hold "&amp;"kendala OLT di status Terakhir  (23/01) kendala mini olt ampalu koto slot full , butuh new mini olt (21/01) proses aanwijziing (08/01) Kendala feeder LBY-FH FULL , proses eval hasil aanwijziing  , plan aanwijziing  , plan selesai annwijziing ,aanwijziing "&amp;"HI 19 sept, peralihan mitra krna mitra lama tdk menyanggupi pekerjaan.")</f>
        <v>(20/04) abd masuk HI ke SDI (13/04) terminasi odp  (06/04) tanam tiang (02/04) tanam tiang  (30/03) material onsite (16/03) proses PO ke mitra dan menunggu kabel 12 ADSS (06/03) Proses create PID  (05/03) proses aanwijziing plan selesai 10/03   23/2 hold kendala OLT di status Terakhir  (23/01) kendala mini olt ampalu koto slot full , butuh new mini olt (21/01) proses aanwijziing (08/01) Kendala feeder LBY-FH FULL , proses eval hasil aanwijziing  , plan aanwijziing  , plan selesai annwijziing ,aanwijziing HI 19 sept, peralihan mitra krna mitra lama tdk menyanggupi pekerjaan.</v>
      </c>
      <c r="R928" s="228">
        <f>IFERROR(__xludf.DUMMYFUNCTION("""COMPUTED_VALUE"""),46137.0)</f>
        <v>46137</v>
      </c>
      <c r="S928" s="11"/>
      <c r="T928" s="73"/>
      <c r="U928" s="11" t="str">
        <f>IFERROR(__xludf.DUMMYFUNCTION("""COMPUTED_VALUE"""),"TIF-5656/2026  26KT03R158-0072")</f>
        <v>TIF-5656/2026  26KT03R158-0072</v>
      </c>
      <c r="V928" s="229" t="str">
        <f>IFERROR(__xludf.DUMMYFUNCTION("""COMPUTED_VALUE"""),"YULIO NOVIKO")</f>
        <v>YULIO NOVIKO</v>
      </c>
      <c r="W928" s="229" t="str">
        <f>IFERROR(__xludf.DUMMYFUNCTION("""COMPUTED_VALUE"""),"MELKO NARWADI")</f>
        <v>MELKO NARWADI</v>
      </c>
      <c r="X928" s="229" t="str">
        <f>IFERROR(__xludf.DUMMYFUNCTION("""COMPUTED_VALUE"""),"GOLIVE")</f>
        <v>GOLIVE</v>
      </c>
      <c r="Y928" s="229" t="str">
        <f>IFERROR(__xludf.DUMMYFUNCTION("""COMPUTED_VALUE"""),"DONE")</f>
        <v>DONE</v>
      </c>
      <c r="Z928" s="229" t="str">
        <f>IFERROR(__xludf.DUMMYFUNCTION("""COMPUTED_VALUE"""),"#N/A")</f>
        <v>#N/A</v>
      </c>
      <c r="AA928" s="229">
        <f>IFERROR(__xludf.DUMMYFUNCTION("""COMPUTED_VALUE"""),6.0)</f>
        <v>6</v>
      </c>
      <c r="AB928" s="229"/>
      <c r="AC928" s="229" t="str">
        <f>IFERROR(__xludf.DUMMYFUNCTION("""COMPUTED_VALUE"""),"9296854#9296859  ")</f>
        <v>9296854#9296859  </v>
      </c>
      <c r="AD928" s="232">
        <f>IFERROR(__xludf.DUMMYFUNCTION("""COMPUTED_VALUE"""),48.0)</f>
        <v>48</v>
      </c>
      <c r="AE928" s="233">
        <f>IFERROR(__xludf.DUMMYFUNCTION("""COMPUTED_VALUE"""),46138.0)</f>
        <v>46138</v>
      </c>
      <c r="AF928" s="54"/>
      <c r="AG928" s="54"/>
      <c r="AH928" s="54">
        <v>46134.0</v>
      </c>
      <c r="AI928" s="55">
        <f>AH928-AE928</f>
        <v>-4</v>
      </c>
      <c r="AJ928" s="229" t="str">
        <f>if(AI928&gt;=0,"Gl in Komitmen","Gl out komitmen")</f>
        <v>Gl out komitmen</v>
      </c>
      <c r="AK928" s="231" t="s">
        <v>199</v>
      </c>
      <c r="AW928" s="234"/>
      <c r="BP928" s="11"/>
      <c r="BQ928" s="11"/>
      <c r="BR928" s="235"/>
      <c r="BV928" s="158"/>
      <c r="BY928" s="158"/>
      <c r="CB928" s="158"/>
    </row>
    <row r="929" ht="18.0" customHeight="1">
      <c r="A929" s="222">
        <f>IFERROR(__xludf.DUMMYFUNCTION("""COMPUTED_VALUE"""),2026.0)</f>
        <v>2026</v>
      </c>
      <c r="B929" s="221">
        <f>IFERROR(__xludf.DUMMYFUNCTION("""COMPUTED_VALUE"""),1.1852602E7)</f>
        <v>11852602</v>
      </c>
      <c r="C929" s="222" t="str">
        <f>IFERROR(__xludf.DUMMYFUNCTION("""COMPUTED_VALUE"""),"SMB PT3 LBY 250_-362_2387")</f>
        <v>SMB PT3 LBY 250_-362_2387</v>
      </c>
      <c r="D929" s="222" t="str">
        <f>IFERROR(__xludf.DUMMYFUNCTION("""COMPUTED_VALUE"""),"REGIONAL I")</f>
        <v>REGIONAL I</v>
      </c>
      <c r="E929" s="222" t="str">
        <f>IFERROR(__xludf.DUMMYFUNCTION("""COMPUTED_VALUE"""),"SUMBAR")</f>
        <v>SUMBAR</v>
      </c>
      <c r="F929" s="222" t="str">
        <f>IFERROR(__xludf.DUMMYFUNCTION("""COMPUTED_VALUE"""),"LBY")</f>
        <v>LBY</v>
      </c>
      <c r="G929" s="222" t="str">
        <f>IFERROR(__xludf.DUMMYFUNCTION("""COMPUTED_VALUE"""),"SUMBAGTENG")</f>
        <v>SUMBAGTENG</v>
      </c>
      <c r="H929" s="222" t="str">
        <f>IFERROR(__xludf.DUMMYFUNCTION("""COMPUTED_VALUE"""),"PADANG")</f>
        <v>PADANG</v>
      </c>
      <c r="I929" s="222" t="str">
        <f>IFERROR(__xludf.DUMMYFUNCTION("""COMPUTED_VALUE"""),"Batch 2")</f>
        <v>Batch 2</v>
      </c>
      <c r="J929" s="225">
        <f>IFERROR(__xludf.DUMMYFUNCTION("""COMPUTED_VALUE"""),6.0)</f>
        <v>6</v>
      </c>
      <c r="K929" s="224">
        <f>IFERROR(__xludf.DUMMYFUNCTION("""COMPUTED_VALUE"""),48.0)</f>
        <v>48</v>
      </c>
      <c r="L929" s="226">
        <f>IFERROR(__xludf.DUMMYFUNCTION("""COMPUTED_VALUE"""),1010507.0)</f>
        <v>1010507</v>
      </c>
      <c r="M929" s="227">
        <f>IFERROR(__xludf.DUMMYFUNCTION("""COMPUTED_VALUE"""),4.8504325E7)</f>
        <v>48504325</v>
      </c>
      <c r="N929" s="222" t="str">
        <f>IFERROR(__xludf.DUMMYFUNCTION("""COMPUTED_VALUE"""),"PT TRI LESMA INDONESIA")</f>
        <v>PT TRI LESMA INDONESIA</v>
      </c>
      <c r="O929" s="222" t="str">
        <f>IFERROR(__xludf.DUMMYFUNCTION("""COMPUTED_VALUE"""),"0. DROP")</f>
        <v>0. DROP</v>
      </c>
      <c r="P929" s="222" t="str">
        <f>IFERROR(__xludf.DUMMYFUNCTION("""COMPUTED_VALUE"""),"0.3 Feeder Full")</f>
        <v>0.3 Feeder Full</v>
      </c>
      <c r="Q929" s="222" t="str">
        <f>IFERROR(__xludf.DUMMYFUNCTION("""COMPUTED_VALUE"""),"(26/01) Kendala feeder LBY-FH FULL")</f>
        <v>(26/01) Kendala feeder LBY-FH FULL</v>
      </c>
      <c r="R929" s="228"/>
      <c r="S929" s="11"/>
      <c r="T929" s="11"/>
      <c r="U929" s="11"/>
      <c r="V929" s="229"/>
      <c r="W929" s="229"/>
      <c r="X929" s="229" t="str">
        <f>IFERROR(__xludf.DUMMYFUNCTION("""COMPUTED_VALUE"""),"BELUM GOLIVE")</f>
        <v>BELUM GOLIVE</v>
      </c>
      <c r="Y929" s="229"/>
      <c r="Z929" s="229" t="str">
        <f>IFERROR(__xludf.DUMMYFUNCTION("""COMPUTED_VALUE"""),"#N/A")</f>
        <v>#N/A</v>
      </c>
      <c r="AA929" s="229"/>
      <c r="AB929" s="229"/>
      <c r="AC929" s="229"/>
      <c r="AD929" s="232"/>
      <c r="AE929" s="233"/>
      <c r="AF929" s="54" t="str">
        <f>IFERROR(__xludf.DUMMYFUNCTION("""COMPUTED_VALUE"""),"Draft BA DROP")</f>
        <v>Draft BA DROP</v>
      </c>
      <c r="AG929" s="54"/>
      <c r="AH929" s="54"/>
      <c r="AI929" s="55" t="str">
        <f t="shared" ref="AI929:AI954" si="99">IF(OR(R929="",AE929=""),"",R929-AE929)</f>
        <v/>
      </c>
      <c r="AW929" s="234"/>
      <c r="BP929" s="11"/>
      <c r="BQ929" s="11"/>
      <c r="BR929" s="235"/>
      <c r="BV929" s="158"/>
      <c r="BY929" s="158"/>
      <c r="CB929" s="158"/>
    </row>
    <row r="930" ht="18.0" hidden="1" customHeight="1">
      <c r="A930" s="222">
        <f>IFERROR(__xludf.DUMMYFUNCTION("""COMPUTED_VALUE"""),2026.0)</f>
        <v>2026</v>
      </c>
      <c r="B930" s="221">
        <f>IFERROR(__xludf.DUMMYFUNCTION("""COMPUTED_VALUE"""),1.2015922E7)</f>
        <v>12015922</v>
      </c>
      <c r="C930" s="222" t="str">
        <f>IFERROR(__xludf.DUMMYFUNCTION("""COMPUTED_VALUE"""),"LPG JPP MD PT3 TULANG BAWANG_28672 UNT")</f>
        <v>LPG JPP MD PT3 TULANG BAWANG_28672 UNT</v>
      </c>
      <c r="D930" s="222" t="str">
        <f>IFERROR(__xludf.DUMMYFUNCTION("""COMPUTED_VALUE"""),"REGIONAL I")</f>
        <v>REGIONAL I</v>
      </c>
      <c r="E930" s="222" t="str">
        <f>IFERROR(__xludf.DUMMYFUNCTION("""COMPUTED_VALUE"""),"LAMPUNG")</f>
        <v>LAMPUNG</v>
      </c>
      <c r="F930" s="222" t="str">
        <f>IFERROR(__xludf.DUMMYFUNCTION("""COMPUTED_VALUE"""),"UNT")</f>
        <v>UNT</v>
      </c>
      <c r="G930" s="222" t="str">
        <f>IFERROR(__xludf.DUMMYFUNCTION("""COMPUTED_VALUE"""),"SUMBAGSEL")</f>
        <v>SUMBAGSEL</v>
      </c>
      <c r="H930" s="222" t="str">
        <f>IFERROR(__xludf.DUMMYFUNCTION("""COMPUTED_VALUE"""),"PALEMBANG")</f>
        <v>PALEMBANG</v>
      </c>
      <c r="I930" s="222" t="str">
        <f>IFERROR(__xludf.DUMMYFUNCTION("""COMPUTED_VALUE"""),"Batch 2")</f>
        <v>Batch 2</v>
      </c>
      <c r="J930" s="225">
        <f>IFERROR(__xludf.DUMMYFUNCTION("""COMPUTED_VALUE"""),5.0)</f>
        <v>5</v>
      </c>
      <c r="K930" s="224">
        <f>IFERROR(__xludf.DUMMYFUNCTION("""COMPUTED_VALUE"""),40.0)</f>
        <v>40</v>
      </c>
      <c r="L930" s="226">
        <f>IFERROR(__xludf.DUMMYFUNCTION("""COMPUTED_VALUE"""),1009919.0)</f>
        <v>1009919</v>
      </c>
      <c r="M930" s="227">
        <f>IFERROR(__xludf.DUMMYFUNCTION("""COMPUTED_VALUE"""),4.0396745E7)</f>
        <v>40396745</v>
      </c>
      <c r="N930" s="222" t="str">
        <f>IFERROR(__xludf.DUMMYFUNCTION("""COMPUTED_VALUE"""),"PT KOPRASI PILAR UTAMA")</f>
        <v>PT KOPRASI PILAR UTAMA</v>
      </c>
      <c r="O930" s="222" t="str">
        <f>IFERROR(__xludf.DUMMYFUNCTION("""COMPUTED_VALUE"""),"7. GOLIVE")</f>
        <v>7. GOLIVE</v>
      </c>
      <c r="P930" s="222" t="str">
        <f>IFERROR(__xludf.DUMMYFUNCTION("""COMPUTED_VALUE"""),"7.2 Golive Full / OA / DONE OTB")</f>
        <v>7.2 Golive Full / OA / DONE OTB</v>
      </c>
      <c r="Q930" s="222" t="str">
        <f>IFERROR(__xludf.DUMMYFUNCTION("""COMPUTED_VALUE"""),"18/2 sudah Golive - 16 FEB 11/2 PLAN FI 12 FEB   9/2 MATDEL 6/2 proses ambil material 9/2 , golive 14/2
5/2 ada 5 port modul kosong bisa di lanjut ,estimasi prizinan selesai 9/2
14/1 Butuh Penambahan Mini OLT ")</f>
        <v>18/2 sudah Golive - 16 FEB 11/2 PLAN FI 12 FEB   9/2 MATDEL 6/2 proses ambil material 9/2 , golive 14/2
5/2 ada 5 port modul kosong bisa di lanjut ,estimasi prizinan selesai 9/2
14/1 Butuh Penambahan Mini OLT </v>
      </c>
      <c r="R930" s="228">
        <f>IFERROR(__xludf.DUMMYFUNCTION("""COMPUTED_VALUE"""),46069.0)</f>
        <v>46069</v>
      </c>
      <c r="S930" s="11"/>
      <c r="T930" s="11"/>
      <c r="U930" s="11" t="str">
        <f>IFERROR(__xludf.DUMMYFUNCTION("""COMPUTED_VALUE"""),"W02-641/2025")</f>
        <v>W02-641/2025</v>
      </c>
      <c r="V930" s="229"/>
      <c r="W930" s="229"/>
      <c r="X930" s="229" t="str">
        <f>IFERROR(__xludf.DUMMYFUNCTION("""COMPUTED_VALUE"""),"GOLIVE")</f>
        <v>GOLIVE</v>
      </c>
      <c r="Y930" s="229" t="str">
        <f>IFERROR(__xludf.DUMMYFUNCTION("""COMPUTED_VALUE"""),"DONE")</f>
        <v>DONE</v>
      </c>
      <c r="Z930" s="229" t="str">
        <f>IFERROR(__xludf.DUMMYFUNCTION("""COMPUTED_VALUE"""),"#N/A")</f>
        <v>#N/A</v>
      </c>
      <c r="AA930" s="229">
        <f>IFERROR(__xludf.DUMMYFUNCTION("""COMPUTED_VALUE"""),4.0)</f>
        <v>4</v>
      </c>
      <c r="AB930" s="229"/>
      <c r="AC930" s="229" t="str">
        <f>IFERROR(__xludf.DUMMYFUNCTION("""COMPUTED_VALUE"""),"8615723#8615728")</f>
        <v>8615723#8615728</v>
      </c>
      <c r="AD930" s="232">
        <f>IFERROR(__xludf.DUMMYFUNCTION("""COMPUTED_VALUE"""),32.0)</f>
        <v>32</v>
      </c>
      <c r="AE930" s="233">
        <f>IFERROR(__xludf.DUMMYFUNCTION("""COMPUTED_VALUE"""),46069.0)</f>
        <v>46069</v>
      </c>
      <c r="AF930" s="54"/>
      <c r="AG930" s="54"/>
      <c r="AH930" s="54">
        <v>46069.0</v>
      </c>
      <c r="AI930" s="55">
        <f t="shared" si="99"/>
        <v>0</v>
      </c>
      <c r="AW930" s="234"/>
      <c r="BP930" s="11"/>
      <c r="BQ930" s="11"/>
      <c r="BR930" s="235"/>
      <c r="BV930" s="158"/>
      <c r="BY930" s="158"/>
      <c r="CB930" s="158"/>
    </row>
    <row r="931" ht="18.0" customHeight="1">
      <c r="A931" s="222">
        <f>IFERROR(__xludf.DUMMYFUNCTION("""COMPUTED_VALUE"""),2026.0)</f>
        <v>2026</v>
      </c>
      <c r="B931" s="221">
        <f>IFERROR(__xludf.DUMMYFUNCTION("""COMPUTED_VALUE"""),1.1297956E7)</f>
        <v>11297956</v>
      </c>
      <c r="C931" s="222" t="str">
        <f>IFERROR(__xludf.DUMMYFUNCTION("""COMPUTED_VALUE"""),"RKP PT3 TSEL BDS-FM TIBAN MC DERMOTT")</f>
        <v>RKP PT3 TSEL BDS-FM TIBAN MC DERMOTT</v>
      </c>
      <c r="D931" s="222" t="str">
        <f>IFERROR(__xludf.DUMMYFUNCTION("""COMPUTED_VALUE"""),"REGIONAL I")</f>
        <v>REGIONAL I</v>
      </c>
      <c r="E931" s="222" t="str">
        <f>IFERROR(__xludf.DUMMYFUNCTION("""COMPUTED_VALUE"""),"RIKEP")</f>
        <v>RIKEP</v>
      </c>
      <c r="F931" s="222" t="str">
        <f>IFERROR(__xludf.DUMMYFUNCTION("""COMPUTED_VALUE"""),"DGS")</f>
        <v>DGS</v>
      </c>
      <c r="G931" s="222" t="str">
        <f>IFERROR(__xludf.DUMMYFUNCTION("""COMPUTED_VALUE"""),"SUMBAGTENG")</f>
        <v>SUMBAGTENG</v>
      </c>
      <c r="H931" s="222" t="str">
        <f>IFERROR(__xludf.DUMMYFUNCTION("""COMPUTED_VALUE"""),"BATAM")</f>
        <v>BATAM</v>
      </c>
      <c r="I931" s="222" t="str">
        <f>IFERROR(__xludf.DUMMYFUNCTION("""COMPUTED_VALUE"""),"Batch 2")</f>
        <v>Batch 2</v>
      </c>
      <c r="J931" s="225">
        <f>IFERROR(__xludf.DUMMYFUNCTION("""COMPUTED_VALUE"""),4.0)</f>
        <v>4</v>
      </c>
      <c r="K931" s="224">
        <f>IFERROR(__xludf.DUMMYFUNCTION("""COMPUTED_VALUE"""),32.0)</f>
        <v>32</v>
      </c>
      <c r="L931" s="226">
        <f>IFERROR(__xludf.DUMMYFUNCTION("""COMPUTED_VALUE"""),1009321.0)</f>
        <v>1009321</v>
      </c>
      <c r="M931" s="227">
        <f>IFERROR(__xludf.DUMMYFUNCTION("""COMPUTED_VALUE"""),3.2298254E7)</f>
        <v>32298254</v>
      </c>
      <c r="N931" s="222" t="str">
        <f>IFERROR(__xludf.DUMMYFUNCTION("""COMPUTED_VALUE"""),"PT HDUA PUTRA PRAJODA")</f>
        <v>PT HDUA PUTRA PRAJODA</v>
      </c>
      <c r="O931" s="222" t="str">
        <f>IFERROR(__xludf.DUMMYFUNCTION("""COMPUTED_VALUE"""),"0. DROP")</f>
        <v>0. DROP</v>
      </c>
      <c r="P931" s="222" t="str">
        <f>IFERROR(__xludf.DUMMYFUNCTION("""COMPUTED_VALUE"""),"0.2 Tidak Dapat Izin Warga/Kades/Lurah/Developer")</f>
        <v>0.2 Tidak Dapat Izin Warga/Kades/Lurah/Developer</v>
      </c>
      <c r="Q931" s="222" t="str">
        <f>IFERROR(__xludf.DUMMYFUNCTION("""COMPUTED_VALUE"""),"27/01 4 RT meminta masing masing 10 lampu panel surya dan pemasangan nya dari kita, total 40 panel. 21/01 Plan survey 29 Jan")</f>
        <v>27/01 4 RT meminta masing masing 10 lampu panel surya dan pemasangan nya dari kita, total 40 panel. 21/01 Plan survey 29 Jan</v>
      </c>
      <c r="R931" s="228"/>
      <c r="S931" s="11"/>
      <c r="T931" s="11"/>
      <c r="U931" s="11"/>
      <c r="V931" s="229" t="str">
        <f>IFERROR(__xludf.DUMMYFUNCTION("""COMPUTED_VALUE"""),"GANI PRASTYO")</f>
        <v>GANI PRASTYO</v>
      </c>
      <c r="W931" s="229" t="str">
        <f>IFERROR(__xludf.DUMMYFUNCTION("""COMPUTED_VALUE"""),"LEVITA INDRIYANI")</f>
        <v>LEVITA INDRIYANI</v>
      </c>
      <c r="X931" s="229" t="str">
        <f>IFERROR(__xludf.DUMMYFUNCTION("""COMPUTED_VALUE"""),"BELUM GOLIVE")</f>
        <v>BELUM GOLIVE</v>
      </c>
      <c r="Y931" s="229"/>
      <c r="Z931" s="229" t="str">
        <f>IFERROR(__xludf.DUMMYFUNCTION("""COMPUTED_VALUE"""),"#N/A")</f>
        <v>#N/A</v>
      </c>
      <c r="AA931" s="229"/>
      <c r="AB931" s="229"/>
      <c r="AC931" s="229"/>
      <c r="AD931" s="232"/>
      <c r="AE931" s="233"/>
      <c r="AF931" s="54" t="str">
        <f>IFERROR(__xludf.DUMMYFUNCTION("""COMPUTED_VALUE"""),"Draft BA DROP")</f>
        <v>Draft BA DROP</v>
      </c>
      <c r="AG931" s="54"/>
      <c r="AH931" s="54"/>
      <c r="AI931" s="55" t="str">
        <f t="shared" si="99"/>
        <v/>
      </c>
      <c r="AW931" s="234"/>
      <c r="BP931" s="11"/>
      <c r="BQ931" s="11"/>
      <c r="BR931" s="235"/>
      <c r="BV931" s="158"/>
      <c r="BY931" s="158"/>
      <c r="CB931" s="158"/>
    </row>
    <row r="932" ht="18.0" hidden="1" customHeight="1">
      <c r="A932" s="222">
        <f>IFERROR(__xludf.DUMMYFUNCTION("""COMPUTED_VALUE"""),2026.0)</f>
        <v>2026</v>
      </c>
      <c r="B932" s="221">
        <f>IFERROR(__xludf.DUMMYFUNCTION("""COMPUTED_VALUE"""),1.1986645E7)</f>
        <v>11986645</v>
      </c>
      <c r="C932" s="222" t="str">
        <f>IFERROR(__xludf.DUMMYFUNCTION("""COMPUTED_VALUE"""),"ACH SMM PT3 SMM-FA SEULIMUM KOTA")</f>
        <v>ACH SMM PT3 SMM-FA SEULIMUM KOTA</v>
      </c>
      <c r="D932" s="222" t="str">
        <f>IFERROR(__xludf.DUMMYFUNCTION("""COMPUTED_VALUE"""),"REGIONAL I")</f>
        <v>REGIONAL I</v>
      </c>
      <c r="E932" s="222" t="str">
        <f>IFERROR(__xludf.DUMMYFUNCTION("""COMPUTED_VALUE"""),"ACEH")</f>
        <v>ACEH</v>
      </c>
      <c r="F932" s="222" t="str">
        <f>IFERROR(__xludf.DUMMYFUNCTION("""COMPUTED_VALUE"""),"SMM")</f>
        <v>SMM</v>
      </c>
      <c r="G932" s="222" t="str">
        <f>IFERROR(__xludf.DUMMYFUNCTION("""COMPUTED_VALUE"""),"SUMBAGUT")</f>
        <v>SUMBAGUT</v>
      </c>
      <c r="H932" s="222" t="str">
        <f>IFERROR(__xludf.DUMMYFUNCTION("""COMPUTED_VALUE"""),"BANDA ACEH")</f>
        <v>BANDA ACEH</v>
      </c>
      <c r="I932" s="222" t="str">
        <f>IFERROR(__xludf.DUMMYFUNCTION("""COMPUTED_VALUE"""),"Batch 2")</f>
        <v>Batch 2</v>
      </c>
      <c r="J932" s="225">
        <f>IFERROR(__xludf.DUMMYFUNCTION("""COMPUTED_VALUE"""),13.0)</f>
        <v>13</v>
      </c>
      <c r="K932" s="224">
        <f>IFERROR(__xludf.DUMMYFUNCTION("""COMPUTED_VALUE"""),104.0)</f>
        <v>104</v>
      </c>
      <c r="L932" s="226">
        <f>IFERROR(__xludf.DUMMYFUNCTION("""COMPUTED_VALUE"""),1008789.0)</f>
        <v>1008789</v>
      </c>
      <c r="M932" s="227">
        <f>IFERROR(__xludf.DUMMYFUNCTION("""COMPUTED_VALUE"""),1.04914013E8)</f>
        <v>104914013</v>
      </c>
      <c r="N932" s="222" t="str">
        <f>IFERROR(__xludf.DUMMYFUNCTION("""COMPUTED_VALUE"""),"PT TRIPOLA PANATA")</f>
        <v>PT TRIPOLA PANATA</v>
      </c>
      <c r="O932" s="222" t="str">
        <f>IFERROR(__xludf.DUMMYFUNCTION("""COMPUTED_VALUE"""),"7. GOLIVE")</f>
        <v>7. GOLIVE</v>
      </c>
      <c r="P932" s="222" t="str">
        <f>IFERROR(__xludf.DUMMYFUNCTION("""COMPUTED_VALUE"""),"7.2 Golive Full / OA / DONE OTB")</f>
        <v>7.2 Golive Full / OA / DONE OTB</v>
      </c>
      <c r="Q932" s="222" t="str">
        <f>IFERROR(__xludf.DUMMYFUNCTION("""COMPUTED_VALUE"""),"(19/02) Proses Valins (11/02)terminasi (07/02) Penarikan Kabel (02/02) Tanam Tiang (23/01) PO Material (21/01) DelMat (07/01) Persiapan")</f>
        <v>(19/02) Proses Valins (11/02)terminasi (07/02) Penarikan Kabel (02/02) Tanam Tiang (23/01) PO Material (21/01) DelMat (07/01) Persiapan</v>
      </c>
      <c r="R932" s="228"/>
      <c r="S932" s="11"/>
      <c r="T932" s="11"/>
      <c r="U932" s="11" t="str">
        <f>IFERROR(__xludf.DUMMYFUNCTION("""COMPUTED_VALUE"""),"W04-982/2025")</f>
        <v>W04-982/2025</v>
      </c>
      <c r="V932" s="229"/>
      <c r="W932" s="229"/>
      <c r="X932" s="229" t="str">
        <f>IFERROR(__xludf.DUMMYFUNCTION("""COMPUTED_VALUE"""),"GOLIVE")</f>
        <v>GOLIVE</v>
      </c>
      <c r="Y932" s="229" t="str">
        <f>IFERROR(__xludf.DUMMYFUNCTION("""COMPUTED_VALUE"""),"DONE")</f>
        <v>DONE</v>
      </c>
      <c r="Z932" s="229" t="str">
        <f>IFERROR(__xludf.DUMMYFUNCTION("""COMPUTED_VALUE"""),"#N/A")</f>
        <v>#N/A</v>
      </c>
      <c r="AA932" s="229">
        <f>IFERROR(__xludf.DUMMYFUNCTION("""COMPUTED_VALUE"""),13.0)</f>
        <v>13</v>
      </c>
      <c r="AB932" s="229"/>
      <c r="AC932" s="229" t="str">
        <f>IFERROR(__xludf.DUMMYFUNCTION("""COMPUTED_VALUE"""),"9133811#9133816")</f>
        <v>9133811#9133816</v>
      </c>
      <c r="AD932" s="232">
        <f>IFERROR(__xludf.DUMMYFUNCTION("""COMPUTED_VALUE"""),104.0)</f>
        <v>104</v>
      </c>
      <c r="AE932" s="233">
        <f>IFERROR(__xludf.DUMMYFUNCTION("""COMPUTED_VALUE"""),46077.0)</f>
        <v>46077</v>
      </c>
      <c r="AF932" s="54"/>
      <c r="AG932" s="54"/>
      <c r="AH932" s="54"/>
      <c r="AI932" s="55" t="str">
        <f t="shared" si="99"/>
        <v/>
      </c>
      <c r="AW932" s="234"/>
      <c r="BP932" s="11"/>
      <c r="BQ932" s="11"/>
      <c r="BR932" s="235"/>
      <c r="BV932" s="158"/>
      <c r="BY932" s="158"/>
      <c r="CB932" s="158"/>
    </row>
    <row r="933" ht="18.0" hidden="1" customHeight="1">
      <c r="A933" s="222">
        <f>IFERROR(__xludf.DUMMYFUNCTION("""COMPUTED_VALUE"""),2026.0)</f>
        <v>2026</v>
      </c>
      <c r="B933" s="221">
        <f>IFERROR(__xludf.DUMMYFUNCTION("""COMPUTED_VALUE"""),1.1194135E7)</f>
        <v>11194135</v>
      </c>
      <c r="C933" s="222" t="str">
        <f>IFERROR(__xludf.DUMMYFUNCTION("""COMPUTED_VALUE"""),"MDN PT3 P7I9 LBP-FF GG.SURYA II")</f>
        <v>MDN PT3 P7I9 LBP-FF GG.SURYA II</v>
      </c>
      <c r="D933" s="222" t="str">
        <f>IFERROR(__xludf.DUMMYFUNCTION("""COMPUTED_VALUE"""),"REGIONAL I")</f>
        <v>REGIONAL I</v>
      </c>
      <c r="E933" s="222" t="str">
        <f>IFERROR(__xludf.DUMMYFUNCTION("""COMPUTED_VALUE"""),"MEDAN")</f>
        <v>MEDAN</v>
      </c>
      <c r="F933" s="222" t="str">
        <f>IFERROR(__xludf.DUMMYFUNCTION("""COMPUTED_VALUE"""),"LBP")</f>
        <v>LBP</v>
      </c>
      <c r="G933" s="222" t="str">
        <f>IFERROR(__xludf.DUMMYFUNCTION("""COMPUTED_VALUE"""),"SUMBAGUT")</f>
        <v>SUMBAGUT</v>
      </c>
      <c r="H933" s="222" t="str">
        <f>IFERROR(__xludf.DUMMYFUNCTION("""COMPUTED_VALUE"""),"MEDAN")</f>
        <v>MEDAN</v>
      </c>
      <c r="I933" s="222" t="str">
        <f>IFERROR(__xludf.DUMMYFUNCTION("""COMPUTED_VALUE"""),"Batch 2")</f>
        <v>Batch 2</v>
      </c>
      <c r="J933" s="225">
        <f>IFERROR(__xludf.DUMMYFUNCTION("""COMPUTED_VALUE"""),8.0)</f>
        <v>8</v>
      </c>
      <c r="K933" s="224">
        <f>IFERROR(__xludf.DUMMYFUNCTION("""COMPUTED_VALUE"""),64.0)</f>
        <v>64</v>
      </c>
      <c r="L933" s="226">
        <f>IFERROR(__xludf.DUMMYFUNCTION("""COMPUTED_VALUE"""),1411346.0)</f>
        <v>1411346</v>
      </c>
      <c r="M933" s="227">
        <f>IFERROR(__xludf.DUMMYFUNCTION("""COMPUTED_VALUE"""),9.0326086E7)</f>
        <v>90326086</v>
      </c>
      <c r="N933" s="222" t="str">
        <f>IFERROR(__xludf.DUMMYFUNCTION("""COMPUTED_VALUE"""),"PT BONGKAR SEJATI ANDALAN")</f>
        <v>PT BONGKAR SEJATI ANDALAN</v>
      </c>
      <c r="O933" s="222" t="str">
        <f>IFERROR(__xludf.DUMMYFUNCTION("""COMPUTED_VALUE"""),"0. DROP")</f>
        <v>0. DROP</v>
      </c>
      <c r="P933" s="222" t="str">
        <f>IFERROR(__xludf.DUMMYFUNCTION("""COMPUTED_VALUE"""),"0.4 CPP Tinggi Acc ED TIF")</f>
        <v>0.4 CPP Tinggi Acc ED TIF</v>
      </c>
      <c r="Q933" s="222" t="str">
        <f>IFERROR(__xludf.DUMMYFUNCTION("""COMPUTED_VALUE"""),"11/02 depedensi lop MDN PT4 LBP-FF JL.MESJID I
26/01 proses perizinan kades comcase 20 JT
(07/01) Persiapan")</f>
        <v>11/02 depedensi lop MDN PT4 LBP-FF JL.MESJID I
26/01 proses perizinan kades comcase 20 JT
(07/01) Persiapan</v>
      </c>
      <c r="R933" s="228"/>
      <c r="S933" s="11"/>
      <c r="T933" s="11"/>
      <c r="U933" s="11"/>
      <c r="V933" s="229"/>
      <c r="W933" s="229"/>
      <c r="X933" s="229" t="str">
        <f>IFERROR(__xludf.DUMMYFUNCTION("""COMPUTED_VALUE"""),"BELUM GOLIVE")</f>
        <v>BELUM GOLIVE</v>
      </c>
      <c r="Y933" s="229"/>
      <c r="Z933" s="229" t="str">
        <f>IFERROR(__xludf.DUMMYFUNCTION("""COMPUTED_VALUE"""),"#N/A")</f>
        <v>#N/A</v>
      </c>
      <c r="AA933" s="229"/>
      <c r="AB933" s="229"/>
      <c r="AC933" s="229"/>
      <c r="AD933" s="232"/>
      <c r="AE933" s="233"/>
      <c r="AF933" s="54" t="str">
        <f>IFERROR(__xludf.DUMMYFUNCTION("""COMPUTED_VALUE"""),"Draft BA DROP")</f>
        <v>Draft BA DROP</v>
      </c>
      <c r="AG933" s="54"/>
      <c r="AH933" s="54"/>
      <c r="AI933" s="55" t="str">
        <f t="shared" si="99"/>
        <v/>
      </c>
      <c r="AW933" s="234"/>
      <c r="BP933" s="11"/>
      <c r="BQ933" s="11"/>
      <c r="BR933" s="235"/>
      <c r="BV933" s="158"/>
      <c r="BY933" s="158"/>
      <c r="CB933" s="158"/>
    </row>
    <row r="934" ht="18.0" customHeight="1">
      <c r="A934" s="222">
        <f>IFERROR(__xludf.DUMMYFUNCTION("""COMPUTED_VALUE"""),2026.0)</f>
        <v>2026</v>
      </c>
      <c r="B934" s="221">
        <f>IFERROR(__xludf.DUMMYFUNCTION("""COMPUTED_VALUE"""),1.1128965E7)</f>
        <v>11128965</v>
      </c>
      <c r="C934" s="222" t="str">
        <f>IFERROR(__xludf.DUMMYFUNCTION("""COMPUTED_VALUE"""),"RKP PT3 JPP SGT-FC BLOK T PARIT BARU")</f>
        <v>RKP PT3 JPP SGT-FC BLOK T PARIT BARU</v>
      </c>
      <c r="D934" s="222" t="str">
        <f>IFERROR(__xludf.DUMMYFUNCTION("""COMPUTED_VALUE"""),"REGIONAL I")</f>
        <v>REGIONAL I</v>
      </c>
      <c r="E934" s="222" t="str">
        <f>IFERROR(__xludf.DUMMYFUNCTION("""COMPUTED_VALUE"""),"RIKEP")</f>
        <v>RIKEP</v>
      </c>
      <c r="F934" s="222" t="str">
        <f>IFERROR(__xludf.DUMMYFUNCTION("""COMPUTED_VALUE"""),"SGT")</f>
        <v>SGT</v>
      </c>
      <c r="G934" s="222" t="str">
        <f>IFERROR(__xludf.DUMMYFUNCTION("""COMPUTED_VALUE"""),"SUMBAGTENG")</f>
        <v>SUMBAGTENG</v>
      </c>
      <c r="H934" s="222" t="str">
        <f>IFERROR(__xludf.DUMMYFUNCTION("""COMPUTED_VALUE"""),"BATAM")</f>
        <v>BATAM</v>
      </c>
      <c r="I934" s="222" t="str">
        <f>IFERROR(__xludf.DUMMYFUNCTION("""COMPUTED_VALUE"""),"Batch 2")</f>
        <v>Batch 2</v>
      </c>
      <c r="J934" s="225">
        <f>IFERROR(__xludf.DUMMYFUNCTION("""COMPUTED_VALUE"""),3.0)</f>
        <v>3</v>
      </c>
      <c r="K934" s="224">
        <f>IFERROR(__xludf.DUMMYFUNCTION("""COMPUTED_VALUE"""),24.0)</f>
        <v>24</v>
      </c>
      <c r="L934" s="226">
        <f>IFERROR(__xludf.DUMMYFUNCTION("""COMPUTED_VALUE"""),1008188.0)</f>
        <v>1008188</v>
      </c>
      <c r="M934" s="227">
        <f>IFERROR(__xludf.DUMMYFUNCTION("""COMPUTED_VALUE"""),2.4196495E7)</f>
        <v>24196495</v>
      </c>
      <c r="N934" s="222" t="str">
        <f>IFERROR(__xludf.DUMMYFUNCTION("""COMPUTED_VALUE"""),"SWAKELOLA")</f>
        <v>SWAKELOLA</v>
      </c>
      <c r="O934" s="222" t="str">
        <f>IFERROR(__xludf.DUMMYFUNCTION("""COMPUTED_VALUE"""),"0. DROP")</f>
        <v>0. DROP</v>
      </c>
      <c r="P934" s="222" t="str">
        <f>IFERROR(__xludf.DUMMYFUNCTION("""COMPUTED_VALUE"""),"0.3 Feeder Full")</f>
        <v>0.3 Feeder Full</v>
      </c>
      <c r="Q934" s="222" t="str">
        <f>IFERROR(__xludf.DUMMYFUNCTION("""COMPUTED_VALUE"""),"21/01 Hold karena SGT-FC feeder full, butuh PT4 narik dari mini OLT namun pihak RSUP meminta legal dari telkom, sudah di infokan ke AOM namun blm ada kejelasan dari pihak RSUP pulau burung, case sudah dari 2024.")</f>
        <v>21/01 Hold karena SGT-FC feeder full, butuh PT4 narik dari mini OLT namun pihak RSUP meminta legal dari telkom, sudah di infokan ke AOM namun blm ada kejelasan dari pihak RSUP pulau burung, case sudah dari 2024.</v>
      </c>
      <c r="R934" s="228"/>
      <c r="S934" s="11"/>
      <c r="T934" s="11"/>
      <c r="U934" s="11"/>
      <c r="V934" s="229" t="str">
        <f>IFERROR(__xludf.DUMMYFUNCTION("""COMPUTED_VALUE"""),"MOHAMMAD FAUZY")</f>
        <v>MOHAMMAD FAUZY</v>
      </c>
      <c r="W934" s="229" t="str">
        <f>IFERROR(__xludf.DUMMYFUNCTION("""COMPUTED_VALUE"""),"LEVITA INDRIYANI")</f>
        <v>LEVITA INDRIYANI</v>
      </c>
      <c r="X934" s="229" t="str">
        <f>IFERROR(__xludf.DUMMYFUNCTION("""COMPUTED_VALUE"""),"BELUM GOLIVE")</f>
        <v>BELUM GOLIVE</v>
      </c>
      <c r="Y934" s="229"/>
      <c r="Z934" s="229" t="str">
        <f>IFERROR(__xludf.DUMMYFUNCTION("""COMPUTED_VALUE"""),"#N/A")</f>
        <v>#N/A</v>
      </c>
      <c r="AA934" s="229"/>
      <c r="AB934" s="229"/>
      <c r="AC934" s="229"/>
      <c r="AD934" s="232"/>
      <c r="AE934" s="233"/>
      <c r="AF934" s="54" t="str">
        <f>IFERROR(__xludf.DUMMYFUNCTION("""COMPUTED_VALUE"""),"Draft BA DROP")</f>
        <v>Draft BA DROP</v>
      </c>
      <c r="AG934" s="54"/>
      <c r="AH934" s="54"/>
      <c r="AI934" s="55" t="str">
        <f t="shared" si="99"/>
        <v/>
      </c>
      <c r="AW934" s="234"/>
      <c r="BP934" s="11"/>
      <c r="BQ934" s="11"/>
      <c r="BR934" s="235"/>
      <c r="BV934" s="158"/>
      <c r="BY934" s="158"/>
      <c r="CB934" s="158"/>
    </row>
    <row r="935" ht="18.0" hidden="1" customHeight="1">
      <c r="A935" s="222">
        <f>IFERROR(__xludf.DUMMYFUNCTION("""COMPUTED_VALUE"""),2026.0)</f>
        <v>2026</v>
      </c>
      <c r="B935" s="221">
        <f>IFERROR(__xludf.DUMMYFUNCTION("""COMPUTED_VALUE"""),1.2128924E7)</f>
        <v>12128924</v>
      </c>
      <c r="C935" s="222" t="str">
        <f>IFERROR(__xludf.DUMMYFUNCTION("""COMPUTED_VALUE"""),"LPG PT3 JPP JL PECOH INDAH TJK")</f>
        <v>LPG PT3 JPP JL PECOH INDAH TJK</v>
      </c>
      <c r="D935" s="222" t="str">
        <f>IFERROR(__xludf.DUMMYFUNCTION("""COMPUTED_VALUE"""),"REGIONAL I")</f>
        <v>REGIONAL I</v>
      </c>
      <c r="E935" s="222" t="str">
        <f>IFERROR(__xludf.DUMMYFUNCTION("""COMPUTED_VALUE"""),"LAMPUNG")</f>
        <v>LAMPUNG</v>
      </c>
      <c r="F935" s="222" t="str">
        <f>IFERROR(__xludf.DUMMYFUNCTION("""COMPUTED_VALUE"""),"TJK")</f>
        <v>TJK</v>
      </c>
      <c r="G935" s="222" t="str">
        <f>IFERROR(__xludf.DUMMYFUNCTION("""COMPUTED_VALUE"""),"SUMBAGSEL")</f>
        <v>SUMBAGSEL</v>
      </c>
      <c r="H935" s="222" t="str">
        <f>IFERROR(__xludf.DUMMYFUNCTION("""COMPUTED_VALUE"""),"LAMPUNG")</f>
        <v>LAMPUNG</v>
      </c>
      <c r="I935" s="222" t="str">
        <f>IFERROR(__xludf.DUMMYFUNCTION("""COMPUTED_VALUE"""),"Batch 2")</f>
        <v>Batch 2</v>
      </c>
      <c r="J935" s="225">
        <f>IFERROR(__xludf.DUMMYFUNCTION("""COMPUTED_VALUE"""),4.0)</f>
        <v>4</v>
      </c>
      <c r="K935" s="224">
        <f>IFERROR(__xludf.DUMMYFUNCTION("""COMPUTED_VALUE"""),32.0)</f>
        <v>32</v>
      </c>
      <c r="L935" s="226">
        <f>IFERROR(__xludf.DUMMYFUNCTION("""COMPUTED_VALUE"""),1008188.0)</f>
        <v>1008188</v>
      </c>
      <c r="M935" s="227">
        <f>IFERROR(__xludf.DUMMYFUNCTION("""COMPUTED_VALUE"""),3.2261987E7)</f>
        <v>32261987</v>
      </c>
      <c r="N935" s="222" t="str">
        <f>IFERROR(__xludf.DUMMYFUNCTION("""COMPUTED_VALUE"""),"PT CINA COMSERVICE INDONESIA")</f>
        <v>PT CINA COMSERVICE INDONESIA</v>
      </c>
      <c r="O935" s="222" t="str">
        <f>IFERROR(__xludf.DUMMYFUNCTION("""COMPUTED_VALUE"""),"4. MATDEL")</f>
        <v>4. MATDEL</v>
      </c>
      <c r="P935" s="222" t="str">
        <f>IFERROR(__xludf.DUMMYFUNCTION("""COMPUTED_VALUE"""),"4.1 Belum Request Material (Alista)")</f>
        <v>4.1 Belum Request Material (Alista)</v>
      </c>
      <c r="Q935" s="222" t="str">
        <f>IFERROR(__xludf.DUMMYFUNCTION("""COMPUTED_VALUE"""),"24/4 plan matdel 25/4, 22/4 plan matdel 24/4,, proses pengajuan pr/po bisa (ba manual), 13/04 belum ada feedback dari lurah dan perkim , sudah kelokasi 8 Apr.  8/4 proses perizinan pihak lurah 
06/04 Proses Perizinan piha Kelurahan &amp; perkim 2/4  progres p"&amp;"erizinan dan pengecekan core
31/3  progres perizinan dan pengecekan core")</f>
        <v>24/4 plan matdel 25/4, 22/4 plan matdel 24/4,, proses pengajuan pr/po bisa (ba manual), 13/04 belum ada feedback dari lurah dan perkim , sudah kelokasi 8 Apr.  8/4 proses perizinan pihak lurah 
06/04 Proses Perizinan piha Kelurahan &amp; perkim 2/4  progres perizinan dan pengecekan core
31/3  progres perizinan dan pengecekan core</v>
      </c>
      <c r="R935" s="228"/>
      <c r="S935" s="11"/>
      <c r="T935" s="11" t="str">
        <f>IFERROR(__xludf.DUMMYFUNCTION("""COMPUTED_VALUE"""),"P1")</f>
        <v>P1</v>
      </c>
      <c r="U935" s="11"/>
      <c r="V935" s="229"/>
      <c r="W935" s="229"/>
      <c r="X935" s="229" t="str">
        <f>IFERROR(__xludf.DUMMYFUNCTION("""COMPUTED_VALUE"""),"BELUM GOLIVE")</f>
        <v>BELUM GOLIVE</v>
      </c>
      <c r="Y935" s="229"/>
      <c r="Z935" s="229" t="str">
        <f>IFERROR(__xludf.DUMMYFUNCTION("""COMPUTED_VALUE"""),"#N/A")</f>
        <v>#N/A</v>
      </c>
      <c r="AA935" s="229"/>
      <c r="AB935" s="229"/>
      <c r="AC935" s="229"/>
      <c r="AD935" s="232"/>
      <c r="AE935" s="233"/>
      <c r="AF935" s="54"/>
      <c r="AG935" s="54"/>
      <c r="AH935" s="54"/>
      <c r="AI935" s="55" t="str">
        <f t="shared" si="99"/>
        <v/>
      </c>
      <c r="AW935" s="234"/>
      <c r="BP935" s="11"/>
      <c r="BQ935" s="11"/>
      <c r="BR935" s="235"/>
      <c r="BV935" s="158"/>
      <c r="BY935" s="158"/>
      <c r="CB935" s="158"/>
    </row>
    <row r="936" ht="18.0" hidden="1" customHeight="1">
      <c r="A936" s="222">
        <f>IFERROR(__xludf.DUMMYFUNCTION("""COMPUTED_VALUE"""),2026.0)</f>
        <v>2026</v>
      </c>
      <c r="B936" s="221">
        <f>IFERROR(__xludf.DUMMYFUNCTION("""COMPUTED_VALUE"""),1.1581079E7)</f>
        <v>11581079</v>
      </c>
      <c r="C936" s="222" t="str">
        <f>IFERROR(__xludf.DUMMYFUNCTION("""COMPUTED_VALUE"""),"SMS P3I1 PT3 BKS FAK D04 ASY SYIFA BRNGN")</f>
        <v>SMS P3I1 PT3 BKS FAK D04 ASY SYIFA BRNGN</v>
      </c>
      <c r="D936" s="222" t="str">
        <f>IFERROR(__xludf.DUMMYFUNCTION("""COMPUTED_VALUE"""),"REGIONAL I")</f>
        <v>REGIONAL I</v>
      </c>
      <c r="E936" s="222" t="str">
        <f>IFERROR(__xludf.DUMMYFUNCTION("""COMPUTED_VALUE"""),"SUMSEL")</f>
        <v>SUMSEL</v>
      </c>
      <c r="F936" s="222" t="str">
        <f>IFERROR(__xludf.DUMMYFUNCTION("""COMPUTED_VALUE"""),"BKS")</f>
        <v>BKS</v>
      </c>
      <c r="G936" s="222" t="str">
        <f>IFERROR(__xludf.DUMMYFUNCTION("""COMPUTED_VALUE"""),"SUMBAGSEL")</f>
        <v>SUMBAGSEL</v>
      </c>
      <c r="H936" s="222" t="str">
        <f>IFERROR(__xludf.DUMMYFUNCTION("""COMPUTED_VALUE"""),"PALEMBANG")</f>
        <v>PALEMBANG</v>
      </c>
      <c r="I936" s="222" t="str">
        <f>IFERROR(__xludf.DUMMYFUNCTION("""COMPUTED_VALUE"""),"Batch 2")</f>
        <v>Batch 2</v>
      </c>
      <c r="J936" s="225">
        <f>IFERROR(__xludf.DUMMYFUNCTION("""COMPUTED_VALUE"""),2.0)</f>
        <v>2</v>
      </c>
      <c r="K936" s="224">
        <f>IFERROR(__xludf.DUMMYFUNCTION("""COMPUTED_VALUE"""),16.0)</f>
        <v>16</v>
      </c>
      <c r="L936" s="226">
        <f>IFERROR(__xludf.DUMMYFUNCTION("""COMPUTED_VALUE"""),1007099.0)</f>
        <v>1007099</v>
      </c>
      <c r="M936" s="227">
        <f>IFERROR(__xludf.DUMMYFUNCTION("""COMPUTED_VALUE"""),1.6113583E7)</f>
        <v>16113583</v>
      </c>
      <c r="N936" s="222" t="str">
        <f>IFERROR(__xludf.DUMMYFUNCTION("""COMPUTED_VALUE"""),"PT GARINDO TECHNO MANDIRI")</f>
        <v>PT GARINDO TECHNO MANDIRI</v>
      </c>
      <c r="O936" s="222" t="str">
        <f>IFERROR(__xludf.DUMMYFUNCTION("""COMPUTED_VALUE"""),"8. UJI TERIMA")</f>
        <v>8. UJI TERIMA</v>
      </c>
      <c r="P936" s="222" t="str">
        <f>IFERROR(__xludf.DUMMYFUNCTION("""COMPUTED_VALUE"""),"8.1 Proses UT")</f>
        <v>8.1 Proses UT</v>
      </c>
      <c r="Q936" s="222" t="str">
        <f>IFERROR(__xludf.DUMMYFUNCTION("""COMPUTED_VALUE"""),"(21/01) GOLIVE, tgl 19/01/26, 14/01 GOLIVE, (24/11) SISA INSTAL ODP (23/11) tarik kabel 1000/1000 (18/11) OGP menunggu antrian matdel, 13/11 masih menunggu jadwal aanwidjzing, 5/11 menunggu jadwal aanwidzjing  23/10 penunjukan mitra")</f>
        <v>(21/01) GOLIVE, tgl 19/01/26, 14/01 GOLIVE, (24/11) SISA INSTAL ODP (23/11) tarik kabel 1000/1000 (18/11) OGP menunggu antrian matdel, 13/11 masih menunggu jadwal aanwidjzing, 5/11 menunggu jadwal aanwidzjing  23/10 penunjukan mitra</v>
      </c>
      <c r="R936" s="228"/>
      <c r="S936" s="11"/>
      <c r="T936" s="11"/>
      <c r="U936" s="11"/>
      <c r="V936" s="229" t="str">
        <f>IFERROR(__xludf.DUMMYFUNCTION("""COMPUTED_VALUE"""),"PRIGUS")</f>
        <v>PRIGUS</v>
      </c>
      <c r="W936" s="229"/>
      <c r="X936" s="229" t="str">
        <f>IFERROR(__xludf.DUMMYFUNCTION("""COMPUTED_VALUE"""),"GOLIVE")</f>
        <v>GOLIVE</v>
      </c>
      <c r="Y936" s="229" t="str">
        <f>IFERROR(__xludf.DUMMYFUNCTION("""COMPUTED_VALUE"""),"DONE")</f>
        <v>DONE</v>
      </c>
      <c r="Z936" s="229" t="str">
        <f>IFERROR(__xludf.DUMMYFUNCTION("""COMPUTED_VALUE"""),"#N/A")</f>
        <v>#N/A</v>
      </c>
      <c r="AA936" s="229">
        <f>IFERROR(__xludf.DUMMYFUNCTION("""COMPUTED_VALUE"""),2.0)</f>
        <v>2</v>
      </c>
      <c r="AB936" s="229"/>
      <c r="AC936" s="229" t="str">
        <f>IFERROR(__xludf.DUMMYFUNCTION("""COMPUTED_VALUE"""),"8532983#8532988")</f>
        <v>8532983#8532988</v>
      </c>
      <c r="AD936" s="232">
        <f>IFERROR(__xludf.DUMMYFUNCTION("""COMPUTED_VALUE"""),16.0)</f>
        <v>16</v>
      </c>
      <c r="AE936" s="233">
        <f>IFERROR(__xludf.DUMMYFUNCTION("""COMPUTED_VALUE"""),46036.0)</f>
        <v>46036</v>
      </c>
      <c r="AF936" s="54"/>
      <c r="AG936" s="54"/>
      <c r="AH936" s="54"/>
      <c r="AI936" s="55" t="str">
        <f t="shared" si="99"/>
        <v/>
      </c>
      <c r="AW936" s="234"/>
      <c r="BP936" s="11"/>
      <c r="BQ936" s="11"/>
      <c r="BR936" s="235"/>
      <c r="BV936" s="158"/>
      <c r="BY936" s="158"/>
      <c r="CB936" s="158"/>
    </row>
    <row r="937" ht="18.0" hidden="1" customHeight="1">
      <c r="A937" s="222">
        <f>IFERROR(__xludf.DUMMYFUNCTION("""COMPUTED_VALUE"""),2026.0)</f>
        <v>2026</v>
      </c>
      <c r="B937" s="221">
        <f>IFERROR(__xludf.DUMMYFUNCTION("""COMPUTED_VALUE"""),1.1477477E7)</f>
        <v>11477477</v>
      </c>
      <c r="C937" s="222" t="str">
        <f>IFERROR(__xludf.DUMMYFUNCTION("""COMPUTED_VALUE"""),"BNK-PT3-JPPTSEL-PEKAN SABTU-PDW-FE")</f>
        <v>BNK-PT3-JPPTSEL-PEKAN SABTU-PDW-FE</v>
      </c>
      <c r="D937" s="222" t="str">
        <f>IFERROR(__xludf.DUMMYFUNCTION("""COMPUTED_VALUE"""),"REGIONAL I")</f>
        <v>REGIONAL I</v>
      </c>
      <c r="E937" s="222" t="str">
        <f>IFERROR(__xludf.DUMMYFUNCTION("""COMPUTED_VALUE"""),"BENGKULU")</f>
        <v>BENGKULU</v>
      </c>
      <c r="F937" s="222" t="str">
        <f>IFERROR(__xludf.DUMMYFUNCTION("""COMPUTED_VALUE"""),"PDW")</f>
        <v>PDW</v>
      </c>
      <c r="G937" s="222" t="str">
        <f>IFERROR(__xludf.DUMMYFUNCTION("""COMPUTED_VALUE"""),"SUMBAGSEL")</f>
        <v>SUMBAGSEL</v>
      </c>
      <c r="H937" s="222" t="str">
        <f>IFERROR(__xludf.DUMMYFUNCTION("""COMPUTED_VALUE"""),"BENGKULU")</f>
        <v>BENGKULU</v>
      </c>
      <c r="I937" s="222" t="str">
        <f>IFERROR(__xludf.DUMMYFUNCTION("""COMPUTED_VALUE"""),"Batch 2")</f>
        <v>Batch 2</v>
      </c>
      <c r="J937" s="225">
        <f>IFERROR(__xludf.DUMMYFUNCTION("""COMPUTED_VALUE"""),22.0)</f>
        <v>22</v>
      </c>
      <c r="K937" s="224">
        <f>IFERROR(__xludf.DUMMYFUNCTION("""COMPUTED_VALUE"""),176.0)</f>
        <v>176</v>
      </c>
      <c r="L937" s="226">
        <f>IFERROR(__xludf.DUMMYFUNCTION("""COMPUTED_VALUE"""),1007060.0)</f>
        <v>1007060</v>
      </c>
      <c r="M937" s="227">
        <f>IFERROR(__xludf.DUMMYFUNCTION("""COMPUTED_VALUE"""),1.77242427E8)</f>
        <v>177242427</v>
      </c>
      <c r="N937" s="222" t="str">
        <f>IFERROR(__xludf.DUMMYFUNCTION("""COMPUTED_VALUE"""),"PT HASSANAH MULIA JAYA")</f>
        <v>PT HASSANAH MULIA JAYA</v>
      </c>
      <c r="O937" s="222" t="str">
        <f>IFERROR(__xludf.DUMMYFUNCTION("""COMPUTED_VALUE"""),"0. DROP")</f>
        <v>0. DROP</v>
      </c>
      <c r="P937" s="222" t="str">
        <f>IFERROR(__xludf.DUMMYFUNCTION("""COMPUTED_VALUE"""),"0.2 Tidak Dapat Izin Warga/Kades/Lurah/Developer")</f>
        <v>0.2 Tidak Dapat Izin Warga/Kades/Lurah/Developer</v>
      </c>
      <c r="Q937" s="222" t="str">
        <f>IFERROR(__xludf.DUMMYFUNCTION("""COMPUTED_VALUE"""),"22/01 : Tidak dapat izin RT dan warga permintaan lampu tenaga surya sebanyak 5 buah")</f>
        <v>22/01 : Tidak dapat izin RT dan warga permintaan lampu tenaga surya sebanyak 5 buah</v>
      </c>
      <c r="R937" s="228"/>
      <c r="S937" s="11"/>
      <c r="T937" s="11"/>
      <c r="U937" s="11"/>
      <c r="V937" s="229"/>
      <c r="W937" s="229"/>
      <c r="X937" s="229" t="str">
        <f>IFERROR(__xludf.DUMMYFUNCTION("""COMPUTED_VALUE"""),"BELUM GOLIVE")</f>
        <v>BELUM GOLIVE</v>
      </c>
      <c r="Y937" s="229"/>
      <c r="Z937" s="229" t="str">
        <f>IFERROR(__xludf.DUMMYFUNCTION("""COMPUTED_VALUE"""),"#N/A")</f>
        <v>#N/A</v>
      </c>
      <c r="AA937" s="229"/>
      <c r="AB937" s="229"/>
      <c r="AC937" s="229"/>
      <c r="AD937" s="232"/>
      <c r="AE937" s="233"/>
      <c r="AF937" s="54" t="str">
        <f>IFERROR(__xludf.DUMMYFUNCTION("""COMPUTED_VALUE"""),"Draft BA DROP")</f>
        <v>Draft BA DROP</v>
      </c>
      <c r="AG937" s="54"/>
      <c r="AH937" s="54"/>
      <c r="AI937" s="55" t="str">
        <f t="shared" si="99"/>
        <v/>
      </c>
      <c r="AW937" s="234"/>
      <c r="BP937" s="11"/>
      <c r="BQ937" s="11"/>
      <c r="BR937" s="235"/>
      <c r="BV937" s="158"/>
      <c r="BY937" s="158"/>
      <c r="CB937" s="158"/>
    </row>
    <row r="938" ht="18.0" customHeight="1">
      <c r="A938" s="222">
        <f>IFERROR(__xludf.DUMMYFUNCTION("""COMPUTED_VALUE"""),2026.0)</f>
        <v>2026</v>
      </c>
      <c r="B938" s="221">
        <f>IFERROR(__xludf.DUMMYFUNCTION("""COMPUTED_VALUE"""),1.1516264E7)</f>
        <v>11516264</v>
      </c>
      <c r="C938" s="222" t="str">
        <f>IFERROR(__xludf.DUMMYFUNCTION("""COMPUTED_VALUE"""),"RKP PT3 TSEL SKN-FH KAV PATAM INDAH_")</f>
        <v>RKP PT3 TSEL SKN-FH KAV PATAM INDAH_</v>
      </c>
      <c r="D938" s="222" t="str">
        <f>IFERROR(__xludf.DUMMYFUNCTION("""COMPUTED_VALUE"""),"REGIONAL I")</f>
        <v>REGIONAL I</v>
      </c>
      <c r="E938" s="222" t="str">
        <f>IFERROR(__xludf.DUMMYFUNCTION("""COMPUTED_VALUE"""),"RIKEP")</f>
        <v>RIKEP</v>
      </c>
      <c r="F938" s="222" t="str">
        <f>IFERROR(__xludf.DUMMYFUNCTION("""COMPUTED_VALUE"""),"SKN")</f>
        <v>SKN</v>
      </c>
      <c r="G938" s="222" t="str">
        <f>IFERROR(__xludf.DUMMYFUNCTION("""COMPUTED_VALUE"""),"SUMBAGTENG")</f>
        <v>SUMBAGTENG</v>
      </c>
      <c r="H938" s="222" t="str">
        <f>IFERROR(__xludf.DUMMYFUNCTION("""COMPUTED_VALUE"""),"BATAM")</f>
        <v>BATAM</v>
      </c>
      <c r="I938" s="222" t="str">
        <f>IFERROR(__xludf.DUMMYFUNCTION("""COMPUTED_VALUE"""),"Batch 2")</f>
        <v>Batch 2</v>
      </c>
      <c r="J938" s="225">
        <f>IFERROR(__xludf.DUMMYFUNCTION("""COMPUTED_VALUE"""),3.0)</f>
        <v>3</v>
      </c>
      <c r="K938" s="224">
        <f>IFERROR(__xludf.DUMMYFUNCTION("""COMPUTED_VALUE"""),24.0)</f>
        <v>24</v>
      </c>
      <c r="L938" s="226">
        <f>IFERROR(__xludf.DUMMYFUNCTION("""COMPUTED_VALUE"""),1006069.0)</f>
        <v>1006069</v>
      </c>
      <c r="M938" s="227">
        <f>IFERROR(__xludf.DUMMYFUNCTION("""COMPUTED_VALUE"""),2.4145636E7)</f>
        <v>24145636</v>
      </c>
      <c r="N938" s="222" t="str">
        <f>IFERROR(__xludf.DUMMYFUNCTION("""COMPUTED_VALUE"""),"PT MITRA SETIA INDONESIA")</f>
        <v>PT MITRA SETIA INDONESIA</v>
      </c>
      <c r="O938" s="222" t="str">
        <f>IFERROR(__xludf.DUMMYFUNCTION("""COMPUTED_VALUE"""),"0. DROP")</f>
        <v>0. DROP</v>
      </c>
      <c r="P938" s="222" t="str">
        <f>IFERROR(__xludf.DUMMYFUNCTION("""COMPUTED_VALUE"""),"0.2 Tidak Dapat Izin Warga/Kades/Lurah/Developer")</f>
        <v>0.2 Tidak Dapat Izin Warga/Kades/Lurah/Developer</v>
      </c>
      <c r="Q938" s="222" t="str">
        <f>IFERROR(__xludf.DUMMYFUNCTION("""COMPUTED_VALUE"""),"13/02 Izin di tolak karena sudah ada provider lain. 09/02 LOP belum di sruvey. 28/01 Plan survey 29 Jan. 21/01 plan survey minggu depan tgl 26")</f>
        <v>13/02 Izin di tolak karena sudah ada provider lain. 09/02 LOP belum di sruvey. 28/01 Plan survey 29 Jan. 21/01 plan survey minggu depan tgl 26</v>
      </c>
      <c r="R938" s="228"/>
      <c r="S938" s="11"/>
      <c r="T938" s="11"/>
      <c r="U938" s="11"/>
      <c r="V938" s="229" t="str">
        <f>IFERROR(__xludf.DUMMYFUNCTION("""COMPUTED_VALUE"""),"MUHAMMAD RIDHO FALFO")</f>
        <v>MUHAMMAD RIDHO FALFO</v>
      </c>
      <c r="W938" s="229" t="str">
        <f>IFERROR(__xludf.DUMMYFUNCTION("""COMPUTED_VALUE"""),"LEVITA INDRIYANI")</f>
        <v>LEVITA INDRIYANI</v>
      </c>
      <c r="X938" s="229" t="str">
        <f>IFERROR(__xludf.DUMMYFUNCTION("""COMPUTED_VALUE"""),"BELUM GOLIVE")</f>
        <v>BELUM GOLIVE</v>
      </c>
      <c r="Y938" s="229"/>
      <c r="Z938" s="229" t="str">
        <f>IFERROR(__xludf.DUMMYFUNCTION("""COMPUTED_VALUE"""),"#N/A")</f>
        <v>#N/A</v>
      </c>
      <c r="AA938" s="229"/>
      <c r="AB938" s="229"/>
      <c r="AC938" s="229"/>
      <c r="AD938" s="232"/>
      <c r="AE938" s="233"/>
      <c r="AF938" s="54" t="str">
        <f>IFERROR(__xludf.DUMMYFUNCTION("""COMPUTED_VALUE"""),"Draft BA DROP")</f>
        <v>Draft BA DROP</v>
      </c>
      <c r="AG938" s="54"/>
      <c r="AH938" s="54"/>
      <c r="AI938" s="55" t="str">
        <f t="shared" si="99"/>
        <v/>
      </c>
      <c r="AW938" s="234"/>
      <c r="BP938" s="11"/>
      <c r="BQ938" s="11"/>
      <c r="BR938" s="235"/>
      <c r="BV938" s="158"/>
      <c r="BY938" s="158"/>
      <c r="CB938" s="158"/>
    </row>
    <row r="939" ht="18.0" hidden="1" customHeight="1">
      <c r="A939" s="222">
        <f>IFERROR(__xludf.DUMMYFUNCTION("""COMPUTED_VALUE"""),2026.0)</f>
        <v>2026</v>
      </c>
      <c r="B939" s="221">
        <f>IFERROR(__xludf.DUMMYFUNCTION("""COMPUTED_VALUE"""),1.137741E7)</f>
        <v>11377410</v>
      </c>
      <c r="C939" s="222" t="str">
        <f>IFERROR(__xludf.DUMMYFUNCTION("""COMPUTED_VALUE"""),"MDN PT3 TTG-FCA JL.PALES 1 SC-541935789")</f>
        <v>MDN PT3 TTG-FCA JL.PALES 1 SC-541935789</v>
      </c>
      <c r="D939" s="222" t="str">
        <f>IFERROR(__xludf.DUMMYFUNCTION("""COMPUTED_VALUE"""),"REGIONAL I")</f>
        <v>REGIONAL I</v>
      </c>
      <c r="E939" s="222" t="str">
        <f>IFERROR(__xludf.DUMMYFUNCTION("""COMPUTED_VALUE"""),"MEDAN")</f>
        <v>MEDAN</v>
      </c>
      <c r="F939" s="222" t="str">
        <f>IFERROR(__xludf.DUMMYFUNCTION("""COMPUTED_VALUE"""),"TTG")</f>
        <v>TTG</v>
      </c>
      <c r="G939" s="222" t="str">
        <f>IFERROR(__xludf.DUMMYFUNCTION("""COMPUTED_VALUE"""),"SUMBAGUT")</f>
        <v>SUMBAGUT</v>
      </c>
      <c r="H939" s="222" t="str">
        <f>IFERROR(__xludf.DUMMYFUNCTION("""COMPUTED_VALUE"""),"MEDAN")</f>
        <v>MEDAN</v>
      </c>
      <c r="I939" s="222" t="str">
        <f>IFERROR(__xludf.DUMMYFUNCTION("""COMPUTED_VALUE"""),"Batch 2")</f>
        <v>Batch 2</v>
      </c>
      <c r="J939" s="225">
        <f>IFERROR(__xludf.DUMMYFUNCTION("""COMPUTED_VALUE"""),2.0)</f>
        <v>2</v>
      </c>
      <c r="K939" s="224">
        <f>IFERROR(__xludf.DUMMYFUNCTION("""COMPUTED_VALUE"""),16.0)</f>
        <v>16</v>
      </c>
      <c r="L939" s="226">
        <f>IFERROR(__xludf.DUMMYFUNCTION("""COMPUTED_VALUE"""),1211425.0)</f>
        <v>1211425</v>
      </c>
      <c r="M939" s="227">
        <f>IFERROR(__xludf.DUMMYFUNCTION("""COMPUTED_VALUE"""),1.9382792E7)</f>
        <v>19382792</v>
      </c>
      <c r="N939" s="222" t="str">
        <f>IFERROR(__xludf.DUMMYFUNCTION("""COMPUTED_VALUE"""),"PT FAJAR MITRA KRIDA ABADI")</f>
        <v>PT FAJAR MITRA KRIDA ABADI</v>
      </c>
      <c r="O939" s="222" t="str">
        <f>IFERROR(__xludf.DUMMYFUNCTION("""COMPUTED_VALUE"""),"0. DROP")</f>
        <v>0. DROP</v>
      </c>
      <c r="P939" s="222" t="str">
        <f>IFERROR(__xludf.DUMMYFUNCTION("""COMPUTED_VALUE"""),"0.4 CPP Tinggi Acc ED TIF")</f>
        <v>0.4 CPP Tinggi Acc ED TIF</v>
      </c>
      <c r="Q939" s="222" t="str">
        <f>IFERROR(__xludf.DUMMYFUNCTION("""COMPUTED_VALUE"""),"19/01 pengecekan info redesign ke SDI")</f>
        <v>19/01 pengecekan info redesign ke SDI</v>
      </c>
      <c r="R939" s="228"/>
      <c r="S939" s="11"/>
      <c r="T939" s="11"/>
      <c r="U939" s="11"/>
      <c r="V939" s="229"/>
      <c r="W939" s="229"/>
      <c r="X939" s="229" t="str">
        <f>IFERROR(__xludf.DUMMYFUNCTION("""COMPUTED_VALUE"""),"BELUM GOLIVE")</f>
        <v>BELUM GOLIVE</v>
      </c>
      <c r="Y939" s="229"/>
      <c r="Z939" s="229" t="str">
        <f>IFERROR(__xludf.DUMMYFUNCTION("""COMPUTED_VALUE"""),"#N/A")</f>
        <v>#N/A</v>
      </c>
      <c r="AA939" s="229"/>
      <c r="AB939" s="229"/>
      <c r="AC939" s="229"/>
      <c r="AD939" s="232"/>
      <c r="AE939" s="233"/>
      <c r="AF939" s="54" t="str">
        <f>IFERROR(__xludf.DUMMYFUNCTION("""COMPUTED_VALUE"""),"Draft BA DROP")</f>
        <v>Draft BA DROP</v>
      </c>
      <c r="AG939" s="54"/>
      <c r="AH939" s="54"/>
      <c r="AI939" s="55" t="str">
        <f t="shared" si="99"/>
        <v/>
      </c>
      <c r="AW939" s="234"/>
      <c r="BP939" s="11"/>
      <c r="BQ939" s="11"/>
      <c r="BR939" s="235"/>
      <c r="BV939" s="158"/>
      <c r="BY939" s="158"/>
      <c r="CB939" s="158"/>
    </row>
    <row r="940" ht="18.0" hidden="1" customHeight="1">
      <c r="A940" s="222">
        <f>IFERROR(__xludf.DUMMYFUNCTION("""COMPUTED_VALUE"""),2026.0)</f>
        <v>2026</v>
      </c>
      <c r="B940" s="221">
        <f>IFERROR(__xludf.DUMMYFUNCTION("""COMPUTED_VALUE"""),1.2493757E7)</f>
        <v>12493757</v>
      </c>
      <c r="C940" s="222" t="str">
        <f>IFERROR(__xludf.DUMMYFUNCTION("""COMPUTED_VALUE"""),"MDN PT3 LBP-FB 250_1583_1742_")</f>
        <v>MDN PT3 LBP-FB 250_1583_1742_</v>
      </c>
      <c r="D940" s="222" t="str">
        <f>IFERROR(__xludf.DUMMYFUNCTION("""COMPUTED_VALUE"""),"REGIONAL I")</f>
        <v>REGIONAL I</v>
      </c>
      <c r="E940" s="222" t="str">
        <f>IFERROR(__xludf.DUMMYFUNCTION("""COMPUTED_VALUE"""),"MEDAN")</f>
        <v>MEDAN</v>
      </c>
      <c r="F940" s="222" t="str">
        <f>IFERROR(__xludf.DUMMYFUNCTION("""COMPUTED_VALUE"""),"LBP")</f>
        <v>LBP</v>
      </c>
      <c r="G940" s="222" t="str">
        <f>IFERROR(__xludf.DUMMYFUNCTION("""COMPUTED_VALUE"""),"SUMBAGUT")</f>
        <v>SUMBAGUT</v>
      </c>
      <c r="H940" s="222" t="str">
        <f>IFERROR(__xludf.DUMMYFUNCTION("""COMPUTED_VALUE"""),"MEDAN")</f>
        <v>MEDAN</v>
      </c>
      <c r="I940" s="222" t="str">
        <f>IFERROR(__xludf.DUMMYFUNCTION("""COMPUTED_VALUE"""),"Batch 2")</f>
        <v>Batch 2</v>
      </c>
      <c r="J940" s="225">
        <f>IFERROR(__xludf.DUMMYFUNCTION("""COMPUTED_VALUE"""),1.0)</f>
        <v>1</v>
      </c>
      <c r="K940" s="224">
        <f>IFERROR(__xludf.DUMMYFUNCTION("""COMPUTED_VALUE"""),8.0)</f>
        <v>8</v>
      </c>
      <c r="L940" s="226">
        <f>IFERROR(__xludf.DUMMYFUNCTION("""COMPUTED_VALUE"""),1004760.0)</f>
        <v>1004760</v>
      </c>
      <c r="M940" s="227">
        <f>IFERROR(__xludf.DUMMYFUNCTION("""COMPUTED_VALUE"""),8038073.0)</f>
        <v>8038073</v>
      </c>
      <c r="N940" s="222" t="str">
        <f>IFERROR(__xludf.DUMMYFUNCTION("""COMPUTED_VALUE"""),"PT UPAYA TEKNIK")</f>
        <v>PT UPAYA TEKNIK</v>
      </c>
      <c r="O940" s="222" t="str">
        <f>IFERROR(__xludf.DUMMYFUNCTION("""COMPUTED_VALUE"""),"5. INSTALASI")</f>
        <v>5. INSTALASI</v>
      </c>
      <c r="P940" s="222" t="str">
        <f>IFERROR(__xludf.DUMMYFUNCTION("""COMPUTED_VALUE"""),"5.7 Proses Penarikan Kabel - Paralel Comcase/Perjinan PU")</f>
        <v>5.7 Proses Penarikan Kabel - Paralel Comcase/Perjinan PU</v>
      </c>
      <c r="Q940" s="222" t="str">
        <f>IFERROR(__xludf.DUMMYFUNCTION("""COMPUTED_VALUE"""),"22/04 penarikan kabel
(20/04) OGP tanam tiang
09/04 proses input matrial
31/03 komitmen perizinan 02/04
12/02 proses perizinan
(07/01) Persiapan")</f>
        <v>22/04 penarikan kabel
(20/04) OGP tanam tiang
09/04 proses input matrial
31/03 komitmen perizinan 02/04
12/02 proses perizinan
(07/01) Persiapan</v>
      </c>
      <c r="R940" s="228">
        <f>IFERROR(__xludf.DUMMYFUNCTION("""COMPUTED_VALUE"""),46138.0)</f>
        <v>46138</v>
      </c>
      <c r="S940" s="11" t="str">
        <f>IFERROR(__xludf.DUMMYFUNCTION("""COMPUTED_VALUE"""),"APR")</f>
        <v>APR</v>
      </c>
      <c r="T940" s="73"/>
      <c r="U940" s="11"/>
      <c r="V940" s="229" t="str">
        <f>IFERROR(__xludf.DUMMYFUNCTION("""COMPUTED_VALUE"""),"28/Apr/2026")</f>
        <v>28/Apr/2026</v>
      </c>
      <c r="W940" s="229"/>
      <c r="X940" s="229" t="str">
        <f>IFERROR(__xludf.DUMMYFUNCTION("""COMPUTED_VALUE"""),"BELUM GOLIVE")</f>
        <v>BELUM GOLIVE</v>
      </c>
      <c r="Y940" s="229"/>
      <c r="Z940" s="229" t="str">
        <f>IFERROR(__xludf.DUMMYFUNCTION("""COMPUTED_VALUE"""),"#N/A")</f>
        <v>#N/A</v>
      </c>
      <c r="AA940" s="229"/>
      <c r="AB940" s="229"/>
      <c r="AC940" s="229"/>
      <c r="AD940" s="232"/>
      <c r="AE940" s="233"/>
      <c r="AF940" s="54"/>
      <c r="AG940" s="54"/>
      <c r="AH940" s="54">
        <v>46138.0</v>
      </c>
      <c r="AI940" s="55" t="str">
        <f t="shared" si="99"/>
        <v/>
      </c>
      <c r="AW940" s="234"/>
      <c r="BP940" s="11"/>
      <c r="BQ940" s="11"/>
      <c r="BR940" s="235"/>
      <c r="BV940" s="158"/>
      <c r="BY940" s="158"/>
      <c r="CB940" s="158"/>
    </row>
    <row r="941" ht="18.0" hidden="1" customHeight="1">
      <c r="A941" s="222">
        <f>IFERROR(__xludf.DUMMYFUNCTION("""COMPUTED_VALUE"""),2026.0)</f>
        <v>2026</v>
      </c>
      <c r="B941" s="221">
        <f>IFERROR(__xludf.DUMMYFUNCTION("""COMPUTED_VALUE"""),1.2480635E7)</f>
        <v>12480635</v>
      </c>
      <c r="C941" s="222" t="str">
        <f>IFERROR(__xludf.DUMMYFUNCTION("""COMPUTED_VALUE"""),"MDN PT3 TTG-FGF 250_1551_1640")</f>
        <v>MDN PT3 TTG-FGF 250_1551_1640</v>
      </c>
      <c r="D941" s="222" t="str">
        <f>IFERROR(__xludf.DUMMYFUNCTION("""COMPUTED_VALUE"""),"REGIONAL I")</f>
        <v>REGIONAL I</v>
      </c>
      <c r="E941" s="222" t="str">
        <f>IFERROR(__xludf.DUMMYFUNCTION("""COMPUTED_VALUE"""),"MEDAN")</f>
        <v>MEDAN</v>
      </c>
      <c r="F941" s="222" t="str">
        <f>IFERROR(__xludf.DUMMYFUNCTION("""COMPUTED_VALUE"""),"TTG")</f>
        <v>TTG</v>
      </c>
      <c r="G941" s="222" t="str">
        <f>IFERROR(__xludf.DUMMYFUNCTION("""COMPUTED_VALUE"""),"SUMBAGUT")</f>
        <v>SUMBAGUT</v>
      </c>
      <c r="H941" s="222" t="str">
        <f>IFERROR(__xludf.DUMMYFUNCTION("""COMPUTED_VALUE"""),"MEDAN")</f>
        <v>MEDAN</v>
      </c>
      <c r="I941" s="222" t="str">
        <f>IFERROR(__xludf.DUMMYFUNCTION("""COMPUTED_VALUE"""),"Batch 2")</f>
        <v>Batch 2</v>
      </c>
      <c r="J941" s="225">
        <f>IFERROR(__xludf.DUMMYFUNCTION("""COMPUTED_VALUE"""),1.0)</f>
        <v>1</v>
      </c>
      <c r="K941" s="224">
        <f>IFERROR(__xludf.DUMMYFUNCTION("""COMPUTED_VALUE"""),8.0)</f>
        <v>8</v>
      </c>
      <c r="L941" s="226">
        <f>IFERROR(__xludf.DUMMYFUNCTION("""COMPUTED_VALUE"""),1004347.0)</f>
        <v>1004347</v>
      </c>
      <c r="M941" s="227">
        <f>IFERROR(__xludf.DUMMYFUNCTION("""COMPUTED_VALUE"""),8034776.0)</f>
        <v>8034776</v>
      </c>
      <c r="N941" s="222" t="str">
        <f>IFERROR(__xludf.DUMMYFUNCTION("""COMPUTED_VALUE"""),"SWAKELOLA")</f>
        <v>SWAKELOLA</v>
      </c>
      <c r="O941" s="222" t="str">
        <f>IFERROR(__xludf.DUMMYFUNCTION("""COMPUTED_VALUE"""),"1. AANWIJZING")</f>
        <v>1. AANWIJZING</v>
      </c>
      <c r="P941" s="222" t="str">
        <f>IFERROR(__xludf.DUMMYFUNCTION("""COMPUTED_VALUE"""),"1.6 Ongoing Aanwidjzing")</f>
        <v>1.6 Ongoing Aanwidjzing</v>
      </c>
      <c r="Q941" s="222" t="str">
        <f>IFERROR(__xludf.DUMMYFUNCTION("""COMPUTED_VALUE"""),"20/04 ODC sudah upgrade pengecekan ulang core ")</f>
        <v>20/04 ODC sudah upgrade pengecekan ulang core </v>
      </c>
      <c r="R941" s="228"/>
      <c r="S941" s="11"/>
      <c r="T941" s="11"/>
      <c r="U941" s="11"/>
      <c r="V941" s="229"/>
      <c r="W941" s="229"/>
      <c r="X941" s="229" t="str">
        <f>IFERROR(__xludf.DUMMYFUNCTION("""COMPUTED_VALUE"""),"BELUM GOLIVE")</f>
        <v>BELUM GOLIVE</v>
      </c>
      <c r="Y941" s="229"/>
      <c r="Z941" s="229" t="str">
        <f>IFERROR(__xludf.DUMMYFUNCTION("""COMPUTED_VALUE"""),"#N/A")</f>
        <v>#N/A</v>
      </c>
      <c r="AA941" s="229"/>
      <c r="AB941" s="229"/>
      <c r="AC941" s="229"/>
      <c r="AD941" s="232"/>
      <c r="AE941" s="233"/>
      <c r="AF941" s="54"/>
      <c r="AG941" s="54"/>
      <c r="AH941" s="54"/>
      <c r="AI941" s="55" t="str">
        <f t="shared" si="99"/>
        <v/>
      </c>
      <c r="AW941" s="234"/>
      <c r="BP941" s="11"/>
      <c r="BQ941" s="11"/>
      <c r="BR941" s="235"/>
      <c r="BV941" s="158"/>
      <c r="BY941" s="158"/>
      <c r="CB941" s="158"/>
    </row>
    <row r="942" ht="18.0" customHeight="1">
      <c r="A942" s="222">
        <f>IFERROR(__xludf.DUMMYFUNCTION("""COMPUTED_VALUE"""),2026.0)</f>
        <v>2026</v>
      </c>
      <c r="B942" s="221">
        <f>IFERROR(__xludf.DUMMYFUNCTION("""COMPUTED_VALUE"""),1.1802702E7)</f>
        <v>11802702</v>
      </c>
      <c r="C942" s="222" t="str">
        <f>IFERROR(__xludf.DUMMYFUNCTION("""COMPUTED_VALUE"""),"SMB PT3 MD PDG sungai tambang")</f>
        <v>SMB PT3 MD PDG sungai tambang</v>
      </c>
      <c r="D942" s="222" t="str">
        <f>IFERROR(__xludf.DUMMYFUNCTION("""COMPUTED_VALUE"""),"REGIONAL I")</f>
        <v>REGIONAL I</v>
      </c>
      <c r="E942" s="222" t="str">
        <f>IFERROR(__xludf.DUMMYFUNCTION("""COMPUTED_VALUE"""),"SUMBAR")</f>
        <v>SUMBAR</v>
      </c>
      <c r="F942" s="222" t="str">
        <f>IFERROR(__xludf.DUMMYFUNCTION("""COMPUTED_VALUE"""),"SGD")</f>
        <v>SGD</v>
      </c>
      <c r="G942" s="222" t="str">
        <f>IFERROR(__xludf.DUMMYFUNCTION("""COMPUTED_VALUE"""),"SUMBAGTENG")</f>
        <v>SUMBAGTENG</v>
      </c>
      <c r="H942" s="222" t="str">
        <f>IFERROR(__xludf.DUMMYFUNCTION("""COMPUTED_VALUE"""),"PADANG")</f>
        <v>PADANG</v>
      </c>
      <c r="I942" s="222" t="str">
        <f>IFERROR(__xludf.DUMMYFUNCTION("""COMPUTED_VALUE"""),"Batch 2")</f>
        <v>Batch 2</v>
      </c>
      <c r="J942" s="225">
        <f>IFERROR(__xludf.DUMMYFUNCTION("""COMPUTED_VALUE"""),4.0)</f>
        <v>4</v>
      </c>
      <c r="K942" s="224">
        <f>IFERROR(__xludf.DUMMYFUNCTION("""COMPUTED_VALUE"""),32.0)</f>
        <v>32</v>
      </c>
      <c r="L942" s="226">
        <f>IFERROR(__xludf.DUMMYFUNCTION("""COMPUTED_VALUE"""),1003935.0)</f>
        <v>1003935</v>
      </c>
      <c r="M942" s="227">
        <f>IFERROR(__xludf.DUMMYFUNCTION("""COMPUTED_VALUE"""),3.2125901E7)</f>
        <v>32125901</v>
      </c>
      <c r="N942" s="222" t="str">
        <f>IFERROR(__xludf.DUMMYFUNCTION("""COMPUTED_VALUE"""),"PT TIGA AKSES MANDIRI")</f>
        <v>PT TIGA AKSES MANDIRI</v>
      </c>
      <c r="O942" s="222" t="str">
        <f>IFERROR(__xludf.DUMMYFUNCTION("""COMPUTED_VALUE"""),"0. DROP")</f>
        <v>0. DROP</v>
      </c>
      <c r="P942" s="222" t="str">
        <f>IFERROR(__xludf.DUMMYFUNCTION("""COMPUTED_VALUE"""),"0.3 Feeder Full")</f>
        <v>0.3 Feeder Full</v>
      </c>
      <c r="Q942" s="222" t="str">
        <f>IFERROR(__xludf.DUMMYFUNCTION("""COMPUTED_VALUE"""),"(26/01) kendala feeder SGD-FL FULL")</f>
        <v>(26/01) kendala feeder SGD-FL FULL</v>
      </c>
      <c r="R942" s="228"/>
      <c r="S942" s="11"/>
      <c r="T942" s="11"/>
      <c r="U942" s="11"/>
      <c r="V942" s="229"/>
      <c r="W942" s="229"/>
      <c r="X942" s="229" t="str">
        <f>IFERROR(__xludf.DUMMYFUNCTION("""COMPUTED_VALUE"""),"BELUM GOLIVE")</f>
        <v>BELUM GOLIVE</v>
      </c>
      <c r="Y942" s="229"/>
      <c r="Z942" s="229" t="str">
        <f>IFERROR(__xludf.DUMMYFUNCTION("""COMPUTED_VALUE"""),"#N/A")</f>
        <v>#N/A</v>
      </c>
      <c r="AA942" s="229"/>
      <c r="AB942" s="229"/>
      <c r="AC942" s="229"/>
      <c r="AD942" s="232"/>
      <c r="AE942" s="233"/>
      <c r="AF942" s="54" t="str">
        <f>IFERROR(__xludf.DUMMYFUNCTION("""COMPUTED_VALUE"""),"Draft BA DROP")</f>
        <v>Draft BA DROP</v>
      </c>
      <c r="AG942" s="54"/>
      <c r="AH942" s="54"/>
      <c r="AI942" s="55" t="str">
        <f t="shared" si="99"/>
        <v/>
      </c>
      <c r="AW942" s="234"/>
      <c r="BP942" s="11"/>
      <c r="BQ942" s="11"/>
      <c r="BR942" s="235"/>
      <c r="BV942" s="158"/>
      <c r="BY942" s="158"/>
      <c r="CB942" s="158"/>
    </row>
    <row r="943" ht="18.0" hidden="1" customHeight="1">
      <c r="A943" s="222">
        <f>IFERROR(__xludf.DUMMYFUNCTION("""COMPUTED_VALUE"""),2026.0)</f>
        <v>2026</v>
      </c>
      <c r="B943" s="221">
        <f>IFERROR(__xludf.DUMMYFUNCTION("""COMPUTED_VALUE"""),1.2307632E7)</f>
        <v>12307632</v>
      </c>
      <c r="C943" s="222" t="str">
        <f>IFERROR(__xludf.DUMMYFUNCTION("""COMPUTED_VALUE"""),"JBI-PT3-JPP-PAP-FAZ-ID548431")</f>
        <v>JBI-PT3-JPP-PAP-FAZ-ID548431</v>
      </c>
      <c r="D943" s="222" t="str">
        <f>IFERROR(__xludf.DUMMYFUNCTION("""COMPUTED_VALUE"""),"REGIONAL I")</f>
        <v>REGIONAL I</v>
      </c>
      <c r="E943" s="222" t="str">
        <f>IFERROR(__xludf.DUMMYFUNCTION("""COMPUTED_VALUE"""),"JAMBI")</f>
        <v>JAMBI</v>
      </c>
      <c r="F943" s="222" t="str">
        <f>IFERROR(__xludf.DUMMYFUNCTION("""COMPUTED_VALUE"""),"PAP")</f>
        <v>PAP</v>
      </c>
      <c r="G943" s="222" t="str">
        <f>IFERROR(__xludf.DUMMYFUNCTION("""COMPUTED_VALUE"""),"SUMBAGSEL")</f>
        <v>SUMBAGSEL</v>
      </c>
      <c r="H943" s="222" t="str">
        <f>IFERROR(__xludf.DUMMYFUNCTION("""COMPUTED_VALUE"""),"JAMBI")</f>
        <v>JAMBI</v>
      </c>
      <c r="I943" s="222" t="str">
        <f>IFERROR(__xludf.DUMMYFUNCTION("""COMPUTED_VALUE"""),"Batch 2")</f>
        <v>Batch 2</v>
      </c>
      <c r="J943" s="225">
        <f>IFERROR(__xludf.DUMMYFUNCTION("""COMPUTED_VALUE"""),3.0)</f>
        <v>3</v>
      </c>
      <c r="K943" s="224">
        <f>IFERROR(__xludf.DUMMYFUNCTION("""COMPUTED_VALUE"""),24.0)</f>
        <v>24</v>
      </c>
      <c r="L943" s="226">
        <f>IFERROR(__xludf.DUMMYFUNCTION("""COMPUTED_VALUE"""),1003674.0)</f>
        <v>1003674</v>
      </c>
      <c r="M943" s="227">
        <f>IFERROR(__xludf.DUMMYFUNCTION("""COMPUTED_VALUE"""),2.4088167E7)</f>
        <v>24088167</v>
      </c>
      <c r="N943" s="222" t="str">
        <f>IFERROR(__xludf.DUMMYFUNCTION("""COMPUTED_VALUE"""),"SWAKELOLA")</f>
        <v>SWAKELOLA</v>
      </c>
      <c r="O943" s="222" t="str">
        <f>IFERROR(__xludf.DUMMYFUNCTION("""COMPUTED_VALUE"""),"0. DROP")</f>
        <v>0. DROP</v>
      </c>
      <c r="P943" s="222" t="str">
        <f>IFERROR(__xludf.DUMMYFUNCTION("""COMPUTED_VALUE"""),"0.5 DROP TSEL - Acc ED TIF")</f>
        <v>0.5 DROP TSEL - Acc ED TIF</v>
      </c>
      <c r="Q943" s="222" t="str">
        <f>IFERROR(__xludf.DUMMYFUNCTION("""COMPUTED_VALUE"""),"(12/1) BA Drop Sirkulir - Permintaan Tsel Market tidak OK  (06/01)order JPP batch-2 2026 (17/11 drop permintaan Tsel 10/11 draf pengajuan pp (21/10) Mapping Mitra")</f>
        <v>(12/1) BA Drop Sirkulir - Permintaan Tsel Market tidak OK  (06/01)order JPP batch-2 2026 (17/11 drop permintaan Tsel 10/11 draf pengajuan pp (21/10) Mapping Mitra</v>
      </c>
      <c r="R943" s="228"/>
      <c r="S943" s="11"/>
      <c r="T943" s="11"/>
      <c r="U943" s="11"/>
      <c r="V943" s="229"/>
      <c r="W943" s="229"/>
      <c r="X943" s="229" t="str">
        <f>IFERROR(__xludf.DUMMYFUNCTION("""COMPUTED_VALUE"""),"BELUM GOLIVE")</f>
        <v>BELUM GOLIVE</v>
      </c>
      <c r="Y943" s="229"/>
      <c r="Z943" s="229" t="str">
        <f>IFERROR(__xludf.DUMMYFUNCTION("""COMPUTED_VALUE"""),"#N/A")</f>
        <v>#N/A</v>
      </c>
      <c r="AA943" s="229"/>
      <c r="AB943" s="229"/>
      <c r="AC943" s="229"/>
      <c r="AD943" s="232"/>
      <c r="AE943" s="233"/>
      <c r="AF943" s="54"/>
      <c r="AG943" s="54"/>
      <c r="AH943" s="54"/>
      <c r="AI943" s="55" t="str">
        <f t="shared" si="99"/>
        <v/>
      </c>
      <c r="AW943" s="234"/>
      <c r="BP943" s="11"/>
      <c r="BQ943" s="11"/>
      <c r="BR943" s="235"/>
      <c r="BV943" s="158"/>
      <c r="BY943" s="158"/>
      <c r="CB943" s="158"/>
    </row>
    <row r="944" ht="18.0" customHeight="1">
      <c r="A944" s="222">
        <f>IFERROR(__xludf.DUMMYFUNCTION("""COMPUTED_VALUE"""),2026.0)</f>
        <v>2026</v>
      </c>
      <c r="B944" s="221">
        <f>IFERROR(__xludf.DUMMYFUNCTION("""COMPUTED_VALUE"""),1.1313296E7)</f>
        <v>11313296</v>
      </c>
      <c r="C944" s="222" t="str">
        <f>IFERROR(__xludf.DUMMYFUNCTION("""COMPUTED_VALUE"""),"RKP PT3 TSEL BDS-FH KAMPUNG TENGAH")</f>
        <v>RKP PT3 TSEL BDS-FH KAMPUNG TENGAH</v>
      </c>
      <c r="D944" s="222" t="str">
        <f>IFERROR(__xludf.DUMMYFUNCTION("""COMPUTED_VALUE"""),"REGIONAL I")</f>
        <v>REGIONAL I</v>
      </c>
      <c r="E944" s="222" t="str">
        <f>IFERROR(__xludf.DUMMYFUNCTION("""COMPUTED_VALUE"""),"RIKEP")</f>
        <v>RIKEP</v>
      </c>
      <c r="F944" s="222" t="str">
        <f>IFERROR(__xludf.DUMMYFUNCTION("""COMPUTED_VALUE"""),"DGS")</f>
        <v>DGS</v>
      </c>
      <c r="G944" s="222" t="str">
        <f>IFERROR(__xludf.DUMMYFUNCTION("""COMPUTED_VALUE"""),"SUMBAGTENG")</f>
        <v>SUMBAGTENG</v>
      </c>
      <c r="H944" s="222" t="str">
        <f>IFERROR(__xludf.DUMMYFUNCTION("""COMPUTED_VALUE"""),"BATAM")</f>
        <v>BATAM</v>
      </c>
      <c r="I944" s="222" t="str">
        <f>IFERROR(__xludf.DUMMYFUNCTION("""COMPUTED_VALUE"""),"Batch 2")</f>
        <v>Batch 2</v>
      </c>
      <c r="J944" s="225">
        <f>IFERROR(__xludf.DUMMYFUNCTION("""COMPUTED_VALUE"""),2.0)</f>
        <v>2</v>
      </c>
      <c r="K944" s="224">
        <f>IFERROR(__xludf.DUMMYFUNCTION("""COMPUTED_VALUE"""),16.0)</f>
        <v>16</v>
      </c>
      <c r="L944" s="226">
        <f>IFERROR(__xludf.DUMMYFUNCTION("""COMPUTED_VALUE"""),1003149.0)</f>
        <v>1003149</v>
      </c>
      <c r="M944" s="227">
        <f>IFERROR(__xludf.DUMMYFUNCTION("""COMPUTED_VALUE"""),1.6050378E7)</f>
        <v>16050378</v>
      </c>
      <c r="N944" s="222" t="str">
        <f>IFERROR(__xludf.DUMMYFUNCTION("""COMPUTED_VALUE"""),"PT MITRA SETIA INDONESIA")</f>
        <v>PT MITRA SETIA INDONESIA</v>
      </c>
      <c r="O944" s="222" t="str">
        <f>IFERROR(__xludf.DUMMYFUNCTION("""COMPUTED_VALUE"""),"0. DROP")</f>
        <v>0. DROP</v>
      </c>
      <c r="P944" s="222" t="str">
        <f>IFERROR(__xludf.DUMMYFUNCTION("""COMPUTED_VALUE"""),"0.2 Tidak Dapat Izin Warga/Kades/Lurah/Developer")</f>
        <v>0.2 Tidak Dapat Izin Warga/Kades/Lurah/Developer</v>
      </c>
      <c r="Q944" s="222" t="str">
        <f>IFERROR(__xludf.DUMMYFUNCTION("""COMPUTED_VALUE"""),"28/01 Izin di tolak karena sudah bekerja sama dengan provider lain. 21/01 Plan survey 29 Jan")</f>
        <v>28/01 Izin di tolak karena sudah bekerja sama dengan provider lain. 21/01 Plan survey 29 Jan</v>
      </c>
      <c r="R944" s="228"/>
      <c r="S944" s="11"/>
      <c r="T944" s="11"/>
      <c r="U944" s="11"/>
      <c r="V944" s="229" t="str">
        <f>IFERROR(__xludf.DUMMYFUNCTION("""COMPUTED_VALUE"""),"GANI PRASTYO")</f>
        <v>GANI PRASTYO</v>
      </c>
      <c r="W944" s="229" t="str">
        <f>IFERROR(__xludf.DUMMYFUNCTION("""COMPUTED_VALUE"""),"LEVITA INDRIYANI")</f>
        <v>LEVITA INDRIYANI</v>
      </c>
      <c r="X944" s="229" t="str">
        <f>IFERROR(__xludf.DUMMYFUNCTION("""COMPUTED_VALUE"""),"BELUM GOLIVE")</f>
        <v>BELUM GOLIVE</v>
      </c>
      <c r="Y944" s="229"/>
      <c r="Z944" s="229" t="str">
        <f>IFERROR(__xludf.DUMMYFUNCTION("""COMPUTED_VALUE"""),"#N/A")</f>
        <v>#N/A</v>
      </c>
      <c r="AA944" s="229"/>
      <c r="AB944" s="229"/>
      <c r="AC944" s="229"/>
      <c r="AD944" s="232"/>
      <c r="AE944" s="233"/>
      <c r="AF944" s="54" t="str">
        <f>IFERROR(__xludf.DUMMYFUNCTION("""COMPUTED_VALUE"""),"Draft BA DROP")</f>
        <v>Draft BA DROP</v>
      </c>
      <c r="AG944" s="54"/>
      <c r="AH944" s="54"/>
      <c r="AI944" s="55" t="str">
        <f t="shared" si="99"/>
        <v/>
      </c>
      <c r="AW944" s="234"/>
      <c r="BP944" s="11"/>
      <c r="BQ944" s="11"/>
      <c r="BR944" s="235"/>
      <c r="BV944" s="158"/>
      <c r="BY944" s="158"/>
      <c r="CB944" s="158"/>
    </row>
    <row r="945" ht="18.0" hidden="1" customHeight="1">
      <c r="A945" s="222">
        <f>IFERROR(__xludf.DUMMYFUNCTION("""COMPUTED_VALUE"""),2026.0)</f>
        <v>2026</v>
      </c>
      <c r="B945" s="221">
        <f>IFERROR(__xludf.DUMMYFUNCTION("""COMPUTED_VALUE"""),1.2261009E7)</f>
        <v>12261009</v>
      </c>
      <c r="C945" s="222" t="str">
        <f>IFERROR(__xludf.DUMMYFUNCTION("""COMPUTED_VALUE"""),"ACH PT3 LSM-FBG D01 BR PANGGOI")</f>
        <v>ACH PT3 LSM-FBG D01 BR PANGGOI</v>
      </c>
      <c r="D945" s="222" t="str">
        <f>IFERROR(__xludf.DUMMYFUNCTION("""COMPUTED_VALUE"""),"REGIONAL I")</f>
        <v>REGIONAL I</v>
      </c>
      <c r="E945" s="222" t="str">
        <f>IFERROR(__xludf.DUMMYFUNCTION("""COMPUTED_VALUE"""),"ACEH")</f>
        <v>ACEH</v>
      </c>
      <c r="F945" s="222" t="str">
        <f>IFERROR(__xludf.DUMMYFUNCTION("""COMPUTED_VALUE"""),"LSM")</f>
        <v>LSM</v>
      </c>
      <c r="G945" s="222" t="str">
        <f>IFERROR(__xludf.DUMMYFUNCTION("""COMPUTED_VALUE"""),"SUMBAGUT")</f>
        <v>SUMBAGUT</v>
      </c>
      <c r="H945" s="222" t="str">
        <f>IFERROR(__xludf.DUMMYFUNCTION("""COMPUTED_VALUE"""),"BINJAI")</f>
        <v>BINJAI</v>
      </c>
      <c r="I945" s="222" t="str">
        <f>IFERROR(__xludf.DUMMYFUNCTION("""COMPUTED_VALUE"""),"Batch 2")</f>
        <v>Batch 2</v>
      </c>
      <c r="J945" s="225">
        <f>IFERROR(__xludf.DUMMYFUNCTION("""COMPUTED_VALUE"""),1.0)</f>
        <v>1</v>
      </c>
      <c r="K945" s="224">
        <f>IFERROR(__xludf.DUMMYFUNCTION("""COMPUTED_VALUE"""),8.0)</f>
        <v>8</v>
      </c>
      <c r="L945" s="226">
        <f>IFERROR(__xludf.DUMMYFUNCTION("""COMPUTED_VALUE"""),1002894.0)</f>
        <v>1002894</v>
      </c>
      <c r="M945" s="227">
        <f>IFERROR(__xludf.DUMMYFUNCTION("""COMPUTED_VALUE"""),8023146.0)</f>
        <v>8023146</v>
      </c>
      <c r="N945" s="222" t="str">
        <f>IFERROR(__xludf.DUMMYFUNCTION("""COMPUTED_VALUE"""),"PT TRIPOLA PANATA")</f>
        <v>PT TRIPOLA PANATA</v>
      </c>
      <c r="O945" s="222" t="str">
        <f>IFERROR(__xludf.DUMMYFUNCTION("""COMPUTED_VALUE"""),"7. GOLIVE")</f>
        <v>7. GOLIVE</v>
      </c>
      <c r="P945" s="222" t="str">
        <f>IFERROR(__xludf.DUMMYFUNCTION("""COMPUTED_VALUE"""),"7.2 Golive Full / OA / DONE OTB")</f>
        <v>7.2 Golive Full / OA / DONE OTB</v>
      </c>
      <c r="Q945" s="222" t="str">
        <f>IFERROR(__xludf.DUMMYFUNCTION("""COMPUTED_VALUE"""),"(02/03) Penarikan Kabel (27/02) Tanam Tiang (18/02) Request Material (07/01) Persiapan")</f>
        <v>(02/03) Penarikan Kabel (27/02) Tanam Tiang (18/02) Request Material (07/01) Persiapan</v>
      </c>
      <c r="R945" s="228">
        <f>IFERROR(__xludf.DUMMYFUNCTION("""COMPUTED_VALUE"""),46087.0)</f>
        <v>46087</v>
      </c>
      <c r="S945" s="11" t="str">
        <f>IFERROR(__xludf.DUMMYFUNCTION("""COMPUTED_VALUE"""),"MAR")</f>
        <v>MAR</v>
      </c>
      <c r="T945" s="11"/>
      <c r="U945" s="11" t="str">
        <f>IFERROR(__xludf.DUMMYFUNCTION("""COMPUTED_VALUE"""),"W04-930/2025")</f>
        <v>W04-930/2025</v>
      </c>
      <c r="V945" s="229"/>
      <c r="W945" s="229"/>
      <c r="X945" s="229" t="str">
        <f>IFERROR(__xludf.DUMMYFUNCTION("""COMPUTED_VALUE"""),"GOLIVE")</f>
        <v>GOLIVE</v>
      </c>
      <c r="Y945" s="229" t="str">
        <f>IFERROR(__xludf.DUMMYFUNCTION("""COMPUTED_VALUE"""),"DONE")</f>
        <v>DONE</v>
      </c>
      <c r="Z945" s="229" t="str">
        <f>IFERROR(__xludf.DUMMYFUNCTION("""COMPUTED_VALUE"""),"#N/A")</f>
        <v>#N/A</v>
      </c>
      <c r="AA945" s="229">
        <f>IFERROR(__xludf.DUMMYFUNCTION("""COMPUTED_VALUE"""),1.0)</f>
        <v>1</v>
      </c>
      <c r="AB945" s="229"/>
      <c r="AC945" s="229" t="str">
        <f>IFERROR(__xludf.DUMMYFUNCTION("""COMPUTED_VALUE"""),"9172743#9172754")</f>
        <v>9172743#9172754</v>
      </c>
      <c r="AD945" s="232">
        <f>IFERROR(__xludf.DUMMYFUNCTION("""COMPUTED_VALUE"""),8.0)</f>
        <v>8</v>
      </c>
      <c r="AE945" s="233">
        <f>IFERROR(__xludf.DUMMYFUNCTION("""COMPUTED_VALUE"""),46087.0)</f>
        <v>46087</v>
      </c>
      <c r="AF945" s="54"/>
      <c r="AG945" s="54"/>
      <c r="AH945" s="54">
        <v>46087.0</v>
      </c>
      <c r="AI945" s="55">
        <f t="shared" si="99"/>
        <v>0</v>
      </c>
      <c r="AW945" s="234"/>
      <c r="BP945" s="11"/>
      <c r="BQ945" s="11"/>
      <c r="BR945" s="235"/>
      <c r="BV945" s="158"/>
      <c r="BY945" s="158"/>
      <c r="CB945" s="158"/>
    </row>
    <row r="946" ht="18.0" hidden="1" customHeight="1">
      <c r="A946" s="222">
        <f>IFERROR(__xludf.DUMMYFUNCTION("""COMPUTED_VALUE"""),2026.0)</f>
        <v>2026</v>
      </c>
      <c r="B946" s="221">
        <f>IFERROR(__xludf.DUMMYFUNCTION("""COMPUTED_VALUE"""),1.1487316E7)</f>
        <v>11487316</v>
      </c>
      <c r="C946" s="222" t="str">
        <f>IFERROR(__xludf.DUMMYFUNCTION("""COMPUTED_VALUE"""),"BNK-PT4-BNC-JPPTSEL- BAJAK")</f>
        <v>BNK-PT4-BNC-JPPTSEL- BAJAK</v>
      </c>
      <c r="D946" s="222" t="str">
        <f>IFERROR(__xludf.DUMMYFUNCTION("""COMPUTED_VALUE"""),"REGIONAL I")</f>
        <v>REGIONAL I</v>
      </c>
      <c r="E946" s="222" t="str">
        <f>IFERROR(__xludf.DUMMYFUNCTION("""COMPUTED_VALUE"""),"BENGKULU")</f>
        <v>BENGKULU</v>
      </c>
      <c r="F946" s="222" t="str">
        <f>IFERROR(__xludf.DUMMYFUNCTION("""COMPUTED_VALUE"""),"BNC")</f>
        <v>BNC</v>
      </c>
      <c r="G946" s="222" t="str">
        <f>IFERROR(__xludf.DUMMYFUNCTION("""COMPUTED_VALUE"""),"SUMBAGSEL")</f>
        <v>SUMBAGSEL</v>
      </c>
      <c r="H946" s="222" t="str">
        <f>IFERROR(__xludf.DUMMYFUNCTION("""COMPUTED_VALUE"""),"BENGKULU")</f>
        <v>BENGKULU</v>
      </c>
      <c r="I946" s="222" t="str">
        <f>IFERROR(__xludf.DUMMYFUNCTION("""COMPUTED_VALUE"""),"Batch 2")</f>
        <v>Batch 2</v>
      </c>
      <c r="J946" s="225">
        <f>IFERROR(__xludf.DUMMYFUNCTION("""COMPUTED_VALUE"""),41.0)</f>
        <v>41</v>
      </c>
      <c r="K946" s="224">
        <f>IFERROR(__xludf.DUMMYFUNCTION("""COMPUTED_VALUE"""),328.0)</f>
        <v>328</v>
      </c>
      <c r="L946" s="226">
        <f>IFERROR(__xludf.DUMMYFUNCTION("""COMPUTED_VALUE"""),1002646.0)</f>
        <v>1002646</v>
      </c>
      <c r="M946" s="227">
        <f>IFERROR(__xludf.DUMMYFUNCTION("""COMPUTED_VALUE"""),3.28867824E8)</f>
        <v>328867824</v>
      </c>
      <c r="N946" s="222" t="str">
        <f>IFERROR(__xludf.DUMMYFUNCTION("""COMPUTED_VALUE"""),"PT Raharja Prakarsa Nusantara")</f>
        <v>PT Raharja Prakarsa Nusantara</v>
      </c>
      <c r="O946" s="222" t="str">
        <f>IFERROR(__xludf.DUMMYFUNCTION("""COMPUTED_VALUE"""),"0. DROP")</f>
        <v>0. DROP</v>
      </c>
      <c r="P946" s="222" t="str">
        <f>IFERROR(__xludf.DUMMYFUNCTION("""COMPUTED_VALUE"""),"0.3 Feeder Full")</f>
        <v>0.3 Feeder Full</v>
      </c>
      <c r="Q946" s="222" t="str">
        <f>IFERROR(__xludf.DUMMYFUNCTION("""COMPUTED_VALUE"""),"03/03 :  Feeder Full // 08/01 : proses eval hasil aanwijziing  ,plan aanwijziing ,, plan selesai annwijziing ,aanwijziing HI 19 sept, peralihan mitra krna mitra lama tdk menyanggupi pekerjaan (07/01) Persiapan")</f>
        <v>03/03 :  Feeder Full // 08/01 : proses eval hasil aanwijziing  ,plan aanwijziing ,, plan selesai annwijziing ,aanwijziing HI 19 sept, peralihan mitra krna mitra lama tdk menyanggupi pekerjaan (07/01) Persiapan</v>
      </c>
      <c r="R946" s="228"/>
      <c r="S946" s="11"/>
      <c r="T946" s="11"/>
      <c r="U946" s="11"/>
      <c r="V946" s="229"/>
      <c r="W946" s="229"/>
      <c r="X946" s="229" t="str">
        <f>IFERROR(__xludf.DUMMYFUNCTION("""COMPUTED_VALUE"""),"BELUM GOLIVE")</f>
        <v>BELUM GOLIVE</v>
      </c>
      <c r="Y946" s="229"/>
      <c r="Z946" s="229" t="str">
        <f>IFERROR(__xludf.DUMMYFUNCTION("""COMPUTED_VALUE"""),"#N/A")</f>
        <v>#N/A</v>
      </c>
      <c r="AA946" s="229"/>
      <c r="AB946" s="229"/>
      <c r="AC946" s="229"/>
      <c r="AD946" s="232"/>
      <c r="AE946" s="233"/>
      <c r="AF946" s="54" t="str">
        <f>IFERROR(__xludf.DUMMYFUNCTION("""COMPUTED_VALUE"""),"Draft BA DROP")</f>
        <v>Draft BA DROP</v>
      </c>
      <c r="AG946" s="54"/>
      <c r="AH946" s="54"/>
      <c r="AI946" s="55" t="str">
        <f t="shared" si="99"/>
        <v/>
      </c>
      <c r="AW946" s="234"/>
      <c r="BP946" s="11"/>
      <c r="BQ946" s="11"/>
      <c r="BR946" s="235"/>
      <c r="BV946" s="158"/>
      <c r="BY946" s="158"/>
      <c r="CB946" s="158"/>
    </row>
    <row r="947" ht="18.0" customHeight="1">
      <c r="A947" s="222">
        <f>IFERROR(__xludf.DUMMYFUNCTION("""COMPUTED_VALUE"""),2026.0)</f>
        <v>2026</v>
      </c>
      <c r="B947" s="221">
        <f>IFERROR(__xludf.DUMMYFUNCTION("""COMPUTED_VALUE"""),1.1399334E7)</f>
        <v>11399334</v>
      </c>
      <c r="C947" s="222" t="str">
        <f>IFERROR(__xludf.DUMMYFUNCTION("""COMPUTED_VALUE"""),"SMB P3I1 Perumahan Bougenville Anak Air")</f>
        <v>SMB P3I1 Perumahan Bougenville Anak Air</v>
      </c>
      <c r="D947" s="222" t="str">
        <f>IFERROR(__xludf.DUMMYFUNCTION("""COMPUTED_VALUE"""),"REGIONAL I")</f>
        <v>REGIONAL I</v>
      </c>
      <c r="E947" s="222" t="str">
        <f>IFERROR(__xludf.DUMMYFUNCTION("""COMPUTED_VALUE"""),"SUMBAR")</f>
        <v>SUMBAR</v>
      </c>
      <c r="F947" s="222" t="str">
        <f>IFERROR(__xludf.DUMMYFUNCTION("""COMPUTED_VALUE"""),"LBY")</f>
        <v>LBY</v>
      </c>
      <c r="G947" s="222" t="str">
        <f>IFERROR(__xludf.DUMMYFUNCTION("""COMPUTED_VALUE"""),"SUMBAGTENG")</f>
        <v>SUMBAGTENG</v>
      </c>
      <c r="H947" s="222" t="str">
        <f>IFERROR(__xludf.DUMMYFUNCTION("""COMPUTED_VALUE"""),"PADANG")</f>
        <v>PADANG</v>
      </c>
      <c r="I947" s="222" t="str">
        <f>IFERROR(__xludf.DUMMYFUNCTION("""COMPUTED_VALUE"""),"Batch 2")</f>
        <v>Batch 2</v>
      </c>
      <c r="J947" s="225">
        <f>IFERROR(__xludf.DUMMYFUNCTION("""COMPUTED_VALUE"""),15.0)</f>
        <v>15</v>
      </c>
      <c r="K947" s="224">
        <f>IFERROR(__xludf.DUMMYFUNCTION("""COMPUTED_VALUE"""),120.0)</f>
        <v>120</v>
      </c>
      <c r="L947" s="226">
        <f>IFERROR(__xludf.DUMMYFUNCTION("""COMPUTED_VALUE"""),1002406.0)</f>
        <v>1002406</v>
      </c>
      <c r="M947" s="227">
        <f>IFERROR(__xludf.DUMMYFUNCTION("""COMPUTED_VALUE"""),1.20288709E8)</f>
        <v>120288709</v>
      </c>
      <c r="N947" s="222" t="str">
        <f>IFERROR(__xludf.DUMMYFUNCTION("""COMPUTED_VALUE"""),"PT TRI LESMA INDONESIA")</f>
        <v>PT TRI LESMA INDONESIA</v>
      </c>
      <c r="O947" s="222" t="str">
        <f>IFERROR(__xludf.DUMMYFUNCTION("""COMPUTED_VALUE"""),"0. DROP")</f>
        <v>0. DROP</v>
      </c>
      <c r="P947" s="222" t="str">
        <f>IFERROR(__xludf.DUMMYFUNCTION("""COMPUTED_VALUE"""),"0.3 Feeder Full")</f>
        <v>0.3 Feeder Full</v>
      </c>
      <c r="Q947" s="222" t="str">
        <f>IFERROR(__xludf.DUMMYFUNCTION("""COMPUTED_VALUE"""),"(26/01) Kendala feeder LBY-FH FULL")</f>
        <v>(26/01) Kendala feeder LBY-FH FULL</v>
      </c>
      <c r="R947" s="228"/>
      <c r="S947" s="11"/>
      <c r="T947" s="11"/>
      <c r="U947" s="11"/>
      <c r="V947" s="229"/>
      <c r="W947" s="229"/>
      <c r="X947" s="229" t="str">
        <f>IFERROR(__xludf.DUMMYFUNCTION("""COMPUTED_VALUE"""),"BELUM GOLIVE")</f>
        <v>BELUM GOLIVE</v>
      </c>
      <c r="Y947" s="229"/>
      <c r="Z947" s="229" t="str">
        <f>IFERROR(__xludf.DUMMYFUNCTION("""COMPUTED_VALUE"""),"#N/A")</f>
        <v>#N/A</v>
      </c>
      <c r="AA947" s="229"/>
      <c r="AB947" s="229"/>
      <c r="AC947" s="229"/>
      <c r="AD947" s="232"/>
      <c r="AE947" s="233"/>
      <c r="AF947" s="54" t="str">
        <f>IFERROR(__xludf.DUMMYFUNCTION("""COMPUTED_VALUE"""),"Draft BA DROP")</f>
        <v>Draft BA DROP</v>
      </c>
      <c r="AG947" s="54"/>
      <c r="AH947" s="54"/>
      <c r="AI947" s="55" t="str">
        <f t="shared" si="99"/>
        <v/>
      </c>
      <c r="AW947" s="234"/>
      <c r="BP947" s="11"/>
      <c r="BQ947" s="11"/>
      <c r="BR947" s="235"/>
      <c r="BV947" s="158"/>
      <c r="BY947" s="158"/>
      <c r="CB947" s="158"/>
    </row>
    <row r="948" ht="18.0" customHeight="1">
      <c r="A948" s="222">
        <f>IFERROR(__xludf.DUMMYFUNCTION("""COMPUTED_VALUE"""),2026.0)</f>
        <v>2026</v>
      </c>
      <c r="B948" s="221">
        <f>IFERROR(__xludf.DUMMYFUNCTION("""COMPUTED_VALUE"""),1.1553621E7)</f>
        <v>11553621</v>
      </c>
      <c r="C948" s="222" t="str">
        <f>IFERROR(__xludf.DUMMYFUNCTION("""COMPUTED_VALUE"""),"RDR RBI PT3 P3I1 Jl.CacatVeteranRumbai")</f>
        <v>RDR RBI PT3 P3I1 Jl.CacatVeteranRumbai</v>
      </c>
      <c r="D948" s="222" t="str">
        <f>IFERROR(__xludf.DUMMYFUNCTION("""COMPUTED_VALUE"""),"REGIONAL I")</f>
        <v>REGIONAL I</v>
      </c>
      <c r="E948" s="222" t="str">
        <f>IFERROR(__xludf.DUMMYFUNCTION("""COMPUTED_VALUE"""),"RIDAR")</f>
        <v>RIDAR</v>
      </c>
      <c r="F948" s="222" t="str">
        <f>IFERROR(__xludf.DUMMYFUNCTION("""COMPUTED_VALUE"""),"RBI")</f>
        <v>RBI</v>
      </c>
      <c r="G948" s="222" t="str">
        <f>IFERROR(__xludf.DUMMYFUNCTION("""COMPUTED_VALUE"""),"SUMBAGTENG")</f>
        <v>SUMBAGTENG</v>
      </c>
      <c r="H948" s="222" t="str">
        <f>IFERROR(__xludf.DUMMYFUNCTION("""COMPUTED_VALUE"""),"PEKANBARU")</f>
        <v>PEKANBARU</v>
      </c>
      <c r="I948" s="222" t="str">
        <f>IFERROR(__xludf.DUMMYFUNCTION("""COMPUTED_VALUE"""),"Batch 2")</f>
        <v>Batch 2</v>
      </c>
      <c r="J948" s="225">
        <f>IFERROR(__xludf.DUMMYFUNCTION("""COMPUTED_VALUE"""),10.0)</f>
        <v>10</v>
      </c>
      <c r="K948" s="224">
        <f>IFERROR(__xludf.DUMMYFUNCTION("""COMPUTED_VALUE"""),80.0)</f>
        <v>80</v>
      </c>
      <c r="L948" s="226">
        <f>IFERROR(__xludf.DUMMYFUNCTION("""COMPUTED_VALUE"""),1002237.0)</f>
        <v>1002237</v>
      </c>
      <c r="M948" s="227">
        <f>IFERROR(__xludf.DUMMYFUNCTION("""COMPUTED_VALUE"""),8.01789E7)</f>
        <v>80178900</v>
      </c>
      <c r="N948" s="222" t="str">
        <f>IFERROR(__xludf.DUMMYFUNCTION("""COMPUTED_VALUE"""),"PT LIBER PERSADA MANDIRI")</f>
        <v>PT LIBER PERSADA MANDIRI</v>
      </c>
      <c r="O948" s="222" t="str">
        <f>IFERROR(__xludf.DUMMYFUNCTION("""COMPUTED_VALUE"""),"2. DONE AANWIJZING")</f>
        <v>2. DONE AANWIJZING</v>
      </c>
      <c r="P948" s="222" t="str">
        <f>IFERROR(__xludf.DUMMYFUNCTION("""COMPUTED_VALUE"""),"2.10 Kendala - Feeder Rusak")</f>
        <v>2.10 Kendala - Feeder Rusak</v>
      </c>
      <c r="Q948" s="222" t="str">
        <f>IFERROR(__xludf.DUMMYFUNCTION("""COMPUTED_VALUE"""),"20/04 Pengambilan ulang hasil ukur OTDR 13/04 Kendala Feeder rusak, ogp pengecekan ulang untuk hasil ukur 08/04 Kendala Feeder rusak, ogp pengecekan ulang untuk hasil ukur 03/03 Kendala Feeder rusak 29/01 Menunggu kelengkapan hasil anwidzing 21/01 Terget "&amp;"selesai survey 24 Jan (07/01) Persiapan")</f>
        <v>20/04 Pengambilan ulang hasil ukur OTDR 13/04 Kendala Feeder rusak, ogp pengecekan ulang untuk hasil ukur 08/04 Kendala Feeder rusak, ogp pengecekan ulang untuk hasil ukur 03/03 Kendala Feeder rusak 29/01 Menunggu kelengkapan hasil anwidzing 21/01 Terget selesai survey 24 Jan (07/01) Persiapan</v>
      </c>
      <c r="R948" s="228"/>
      <c r="S948" s="11"/>
      <c r="T948" s="11"/>
      <c r="U948" s="11" t="str">
        <f>IFERROR(__xludf.DUMMYFUNCTION("""COMPUTED_VALUE"""),"W08-1374/2025")</f>
        <v>W08-1374/2025</v>
      </c>
      <c r="V948" s="229" t="str">
        <f>IFERROR(__xludf.DUMMYFUNCTION("""COMPUTED_VALUE"""),"ONDI EKA SAPUTRA")</f>
        <v>ONDI EKA SAPUTRA</v>
      </c>
      <c r="W948" s="229" t="str">
        <f>IFERROR(__xludf.DUMMYFUNCTION("""COMPUTED_VALUE"""),"DESLITA RAHMADANI")</f>
        <v>DESLITA RAHMADANI</v>
      </c>
      <c r="X948" s="229" t="str">
        <f>IFERROR(__xludf.DUMMYFUNCTION("""COMPUTED_VALUE"""),"BELUM GOLIVE")</f>
        <v>BELUM GOLIVE</v>
      </c>
      <c r="Y948" s="229"/>
      <c r="Z948" s="229" t="str">
        <f>IFERROR(__xludf.DUMMYFUNCTION("""COMPUTED_VALUE"""),"#N/A")</f>
        <v>#N/A</v>
      </c>
      <c r="AA948" s="229"/>
      <c r="AB948" s="229"/>
      <c r="AC948" s="229"/>
      <c r="AD948" s="232"/>
      <c r="AE948" s="233"/>
      <c r="AF948" s="54"/>
      <c r="AG948" s="54"/>
      <c r="AH948" s="54"/>
      <c r="AI948" s="55" t="str">
        <f t="shared" si="99"/>
        <v/>
      </c>
      <c r="AW948" s="234"/>
      <c r="BP948" s="11"/>
      <c r="BQ948" s="11"/>
      <c r="BR948" s="235"/>
      <c r="BV948" s="158"/>
      <c r="BY948" s="158"/>
      <c r="CB948" s="158"/>
    </row>
    <row r="949" ht="18.0" hidden="1" customHeight="1">
      <c r="A949" s="222">
        <f>IFERROR(__xludf.DUMMYFUNCTION("""COMPUTED_VALUE"""),2026.0)</f>
        <v>2026</v>
      </c>
      <c r="B949" s="221">
        <f>IFERROR(__xludf.DUMMYFUNCTION("""COMPUTED_VALUE"""),1.1408689E7)</f>
        <v>11408689</v>
      </c>
      <c r="C949" s="222" t="str">
        <f>IFERROR(__xludf.DUMMYFUNCTION("""COMPUTED_VALUE"""),"MDN PT3 CTD-FBG DELI SERDANG_15713")</f>
        <v>MDN PT3 CTD-FBG DELI SERDANG_15713</v>
      </c>
      <c r="D949" s="222" t="str">
        <f>IFERROR(__xludf.DUMMYFUNCTION("""COMPUTED_VALUE"""),"REGIONAL I")</f>
        <v>REGIONAL I</v>
      </c>
      <c r="E949" s="222" t="str">
        <f>IFERROR(__xludf.DUMMYFUNCTION("""COMPUTED_VALUE"""),"MEDAN")</f>
        <v>MEDAN</v>
      </c>
      <c r="F949" s="222" t="str">
        <f>IFERROR(__xludf.DUMMYFUNCTION("""COMPUTED_VALUE"""),"CTD")</f>
        <v>CTD</v>
      </c>
      <c r="G949" s="222" t="str">
        <f>IFERROR(__xludf.DUMMYFUNCTION("""COMPUTED_VALUE"""),"SUMBAGUT")</f>
        <v>SUMBAGUT</v>
      </c>
      <c r="H949" s="222" t="str">
        <f>IFERROR(__xludf.DUMMYFUNCTION("""COMPUTED_VALUE"""),"MEDAN")</f>
        <v>MEDAN</v>
      </c>
      <c r="I949" s="222" t="str">
        <f>IFERROR(__xludf.DUMMYFUNCTION("""COMPUTED_VALUE"""),"Batch 2")</f>
        <v>Batch 2</v>
      </c>
      <c r="J949" s="225">
        <f>IFERROR(__xludf.DUMMYFUNCTION("""COMPUTED_VALUE"""),3.0)</f>
        <v>3</v>
      </c>
      <c r="K949" s="224">
        <f>IFERROR(__xludf.DUMMYFUNCTION("""COMPUTED_VALUE"""),24.0)</f>
        <v>24</v>
      </c>
      <c r="L949" s="226">
        <f>IFERROR(__xludf.DUMMYFUNCTION("""COMPUTED_VALUE"""),1216229.0)</f>
        <v>1216229</v>
      </c>
      <c r="M949" s="227">
        <f>IFERROR(__xludf.DUMMYFUNCTION("""COMPUTED_VALUE"""),2.9189482E7)</f>
        <v>29189482</v>
      </c>
      <c r="N949" s="222" t="str">
        <f>IFERROR(__xludf.DUMMYFUNCTION("""COMPUTED_VALUE"""),"PT TRIPOLA PANATA")</f>
        <v>PT TRIPOLA PANATA</v>
      </c>
      <c r="O949" s="222" t="str">
        <f>IFERROR(__xludf.DUMMYFUNCTION("""COMPUTED_VALUE"""),"0. DROP")</f>
        <v>0. DROP</v>
      </c>
      <c r="P949" s="222" t="str">
        <f>IFERROR(__xludf.DUMMYFUNCTION("""COMPUTED_VALUE"""),"0.2 Tidak Dapat Izin Warga/Kades/Lurah/Developer")</f>
        <v>0.2 Tidak Dapat Izin Warga/Kades/Lurah/Developer</v>
      </c>
      <c r="Q949" s="222" t="str">
        <f>IFERROR(__xludf.DUMMYFUNCTION("""COMPUTED_VALUE"""),"20/11Tidak ada izin KADUS")</f>
        <v>20/11Tidak ada izin KADUS</v>
      </c>
      <c r="R949" s="228"/>
      <c r="S949" s="11"/>
      <c r="T949" s="11"/>
      <c r="U949" s="11"/>
      <c r="V949" s="229"/>
      <c r="W949" s="229"/>
      <c r="X949" s="229" t="str">
        <f>IFERROR(__xludf.DUMMYFUNCTION("""COMPUTED_VALUE"""),"BELUM GOLIVE")</f>
        <v>BELUM GOLIVE</v>
      </c>
      <c r="Y949" s="229"/>
      <c r="Z949" s="229" t="str">
        <f>IFERROR(__xludf.DUMMYFUNCTION("""COMPUTED_VALUE"""),"#N/A")</f>
        <v>#N/A</v>
      </c>
      <c r="AA949" s="229"/>
      <c r="AB949" s="229"/>
      <c r="AC949" s="229"/>
      <c r="AD949" s="232"/>
      <c r="AE949" s="233"/>
      <c r="AF949" s="54" t="str">
        <f>IFERROR(__xludf.DUMMYFUNCTION("""COMPUTED_VALUE"""),"Draft BA DROP")</f>
        <v>Draft BA DROP</v>
      </c>
      <c r="AG949" s="54"/>
      <c r="AH949" s="54"/>
      <c r="AI949" s="55" t="str">
        <f t="shared" si="99"/>
        <v/>
      </c>
      <c r="AW949" s="234"/>
      <c r="BP949" s="11"/>
      <c r="BQ949" s="11"/>
      <c r="BR949" s="235"/>
      <c r="BV949" s="158"/>
      <c r="BY949" s="158"/>
      <c r="CB949" s="158"/>
    </row>
    <row r="950" ht="18.0" hidden="1" customHeight="1">
      <c r="A950" s="222">
        <f>IFERROR(__xludf.DUMMYFUNCTION("""COMPUTED_VALUE"""),2026.0)</f>
        <v>2026</v>
      </c>
      <c r="B950" s="221">
        <f>IFERROR(__xludf.DUMMYFUNCTION("""COMPUTED_VALUE"""),1.2385966E7)</f>
        <v>12385966</v>
      </c>
      <c r="C950" s="222" t="str">
        <f>IFERROR(__xludf.DUMMYFUNCTION("""COMPUTED_VALUE"""),"SMS P4I3 PT3 BTA FAT D02 NARAYA RIDHO")</f>
        <v>SMS P4I3 PT3 BTA FAT D02 NARAYA RIDHO</v>
      </c>
      <c r="D950" s="222" t="str">
        <f>IFERROR(__xludf.DUMMYFUNCTION("""COMPUTED_VALUE"""),"REGIONAL I")</f>
        <v>REGIONAL I</v>
      </c>
      <c r="E950" s="222" t="str">
        <f>IFERROR(__xludf.DUMMYFUNCTION("""COMPUTED_VALUE"""),"SUMSEL")</f>
        <v>SUMSEL</v>
      </c>
      <c r="F950" s="222" t="str">
        <f>IFERROR(__xludf.DUMMYFUNCTION("""COMPUTED_VALUE"""),"BTA")</f>
        <v>BTA</v>
      </c>
      <c r="G950" s="222" t="str">
        <f>IFERROR(__xludf.DUMMYFUNCTION("""COMPUTED_VALUE"""),"SUMBAGSEL")</f>
        <v>SUMBAGSEL</v>
      </c>
      <c r="H950" s="222" t="str">
        <f>IFERROR(__xludf.DUMMYFUNCTION("""COMPUTED_VALUE"""),"PALEMBANG")</f>
        <v>PALEMBANG</v>
      </c>
      <c r="I950" s="222" t="str">
        <f>IFERROR(__xludf.DUMMYFUNCTION("""COMPUTED_VALUE"""),"Batch 2")</f>
        <v>Batch 2</v>
      </c>
      <c r="J950" s="225">
        <f>IFERROR(__xludf.DUMMYFUNCTION("""COMPUTED_VALUE"""),3.0)</f>
        <v>3</v>
      </c>
      <c r="K950" s="224">
        <f>IFERROR(__xludf.DUMMYFUNCTION("""COMPUTED_VALUE"""),24.0)</f>
        <v>24</v>
      </c>
      <c r="L950" s="226">
        <f>IFERROR(__xludf.DUMMYFUNCTION("""COMPUTED_VALUE"""),1000330.0)</f>
        <v>1000330</v>
      </c>
      <c r="M950" s="227">
        <f>IFERROR(__xludf.DUMMYFUNCTION("""COMPUTED_VALUE"""),2.4007905E7)</f>
        <v>24007905</v>
      </c>
      <c r="N950" s="222" t="str">
        <f>IFERROR(__xludf.DUMMYFUNCTION("""COMPUTED_VALUE"""),"PT GARINDO TECHNO MANDIRI")</f>
        <v>PT GARINDO TECHNO MANDIRI</v>
      </c>
      <c r="O950" s="222" t="str">
        <f>IFERROR(__xludf.DUMMYFUNCTION("""COMPUTED_VALUE"""),"7. GOLIVE")</f>
        <v>7. GOLIVE</v>
      </c>
      <c r="P950" s="222" t="str">
        <f>IFERROR(__xludf.DUMMYFUNCTION("""COMPUTED_VALUE"""),"7.2 Golive Full / OA / DONE OTB")</f>
        <v>7.2 Golive Full / OA / DONE OTB</v>
      </c>
      <c r="Q950" s="222" t="str">
        <f>IFERROR(__xludf.DUMMYFUNCTION("""COMPUTED_VALUE"""),"16/03 GOLIVE, 15/03 DONE SUBMIT ABD KE SDI, 14/03 VALINS -  DONE PENARIKAN KABEL 540M, 13/03 DONE TANAM TIANG, 12/03 PROGRESS TANAM TIANG DAN PEMASANGAN AKSESORIS, 11/03 MASIH MENUNGGU ANTRIAN PEKERJAAN, 06/03 MENUNGGU ANTRIAN PEKERJAAN, 04/03 MATERIAL ON"&amp;"SITE, 03/03 MATDEL, 02/03 HARI INI AMBIL TIANG, 27/02 DONE RFC,OGP AMBIL MATERIAL EST TGL 02/03, 26/02 MENUNGGU RFC UTK PENGAMBILAN MATERIAL, 25/02 MASIH MENUNGGU TIANG, 24/02 LANJUT PROGRESS SDH ADA RFC DAN MENUNGGU TIANG, 23/02 BELUM INPUT MATERIAL TIAN"&amp;"G KRNA TIANG HABIS, 22/2 menunggu material TIANG  20/02 DONE INPUT MATERIAL, 18/02 PROGRESS INPUT MATERIAL - KENDALA OVER BUDGET, 18/02 BELUM BISA INPUT MATERIAL - MSH MENUNGGU PA, 11/2 menunggu PRPO  10/02 MASIH PROGRESS DRM, 06/02 HASIL REVIEW TSEL LANJ"&amp;"UT PROGRESS LAPANGAN, 03/02 DONE EVAL, HOLD, ADA KENAIKAN BOQ SEBESAR 1% DAN CPP 1,0 JT 30/01 MENUNGGU EVAL - PLAN TGL 02 FEB, (24/1) done Aawnwijdzing , menunggu update hasil (21/01) menunggu antrian aanwizjing, (15/1) ORDER DITERIMA MITRA 14/1,MENUNGGU "&amp;"PLAN AANWIJDZING")</f>
        <v>16/03 GOLIVE, 15/03 DONE SUBMIT ABD KE SDI, 14/03 VALINS -  DONE PENARIKAN KABEL 540M, 13/03 DONE TANAM TIANG, 12/03 PROGRESS TANAM TIANG DAN PEMASANGAN AKSESORIS, 11/03 MASIH MENUNGGU ANTRIAN PEKERJAAN, 06/03 MENUNGGU ANTRIAN PEKERJAAN, 04/03 MATERIAL ONSITE, 03/03 MATDEL, 02/03 HARI INI AMBIL TIANG, 27/02 DONE RFC,OGP AMBIL MATERIAL EST TGL 02/03, 26/02 MENUNGGU RFC UTK PENGAMBILAN MATERIAL, 25/02 MASIH MENUNGGU TIANG, 24/02 LANJUT PROGRESS SDH ADA RFC DAN MENUNGGU TIANG, 23/02 BELUM INPUT MATERIAL TIANG KRNA TIANG HABIS, 22/2 menunggu material TIANG  20/02 DONE INPUT MATERIAL, 18/02 PROGRESS INPUT MATERIAL - KENDALA OVER BUDGET, 18/02 BELUM BISA INPUT MATERIAL - MSH MENUNGGU PA, 11/2 menunggu PRPO  10/02 MASIH PROGRESS DRM, 06/02 HASIL REVIEW TSEL LANJUT PROGRESS LAPANGAN, 03/02 DONE EVAL, HOLD, ADA KENAIKAN BOQ SEBESAR 1% DAN CPP 1,0 JT 30/01 MENUNGGU EVAL - PLAN TGL 02 FEB, (24/1) done Aawnwijdzing , menunggu update hasil (21/01) menunggu antrian aanwizjing, (15/1) ORDER DITERIMA MITRA 14/1,MENUNGGU PLAN AANWIJDZING</v>
      </c>
      <c r="R950" s="228">
        <f>IFERROR(__xludf.DUMMYFUNCTION("""COMPUTED_VALUE"""),46111.0)</f>
        <v>46111</v>
      </c>
      <c r="S950" s="11" t="str">
        <f>IFERROR(__xludf.DUMMYFUNCTION("""COMPUTED_VALUE"""),"MAR")</f>
        <v>MAR</v>
      </c>
      <c r="T950" s="11" t="str">
        <f>IFERROR(__xludf.DUMMYFUNCTION("""COMPUTED_VALUE"""),"P1")</f>
        <v>P1</v>
      </c>
      <c r="U950" s="11"/>
      <c r="V950" s="229" t="str">
        <f>IFERROR(__xludf.DUMMYFUNCTION("""COMPUTED_VALUE"""),"TANTOWI")</f>
        <v>TANTOWI</v>
      </c>
      <c r="W950" s="229"/>
      <c r="X950" s="229" t="str">
        <f>IFERROR(__xludf.DUMMYFUNCTION("""COMPUTED_VALUE"""),"GOLIVE")</f>
        <v>GOLIVE</v>
      </c>
      <c r="Y950" s="229" t="str">
        <f>IFERROR(__xludf.DUMMYFUNCTION("""COMPUTED_VALUE"""),"DONE")</f>
        <v>DONE</v>
      </c>
      <c r="Z950" s="229" t="str">
        <f>IFERROR(__xludf.DUMMYFUNCTION("""COMPUTED_VALUE"""),"#N/A")</f>
        <v>#N/A</v>
      </c>
      <c r="AA950" s="229">
        <f>IFERROR(__xludf.DUMMYFUNCTION("""COMPUTED_VALUE"""),3.0)</f>
        <v>3</v>
      </c>
      <c r="AB950" s="229"/>
      <c r="AC950" s="229" t="str">
        <f>IFERROR(__xludf.DUMMYFUNCTION("""COMPUTED_VALUE"""),"8944049#8944055")</f>
        <v>8944049#8944055</v>
      </c>
      <c r="AD950" s="232">
        <f>IFERROR(__xludf.DUMMYFUNCTION("""COMPUTED_VALUE"""),24.0)</f>
        <v>24</v>
      </c>
      <c r="AE950" s="233">
        <f>IFERROR(__xludf.DUMMYFUNCTION("""COMPUTED_VALUE"""),46095.0)</f>
        <v>46095</v>
      </c>
      <c r="AF950" s="54"/>
      <c r="AG950" s="54"/>
      <c r="AH950" s="54">
        <v>46111.0</v>
      </c>
      <c r="AI950" s="55">
        <f t="shared" si="99"/>
        <v>16</v>
      </c>
      <c r="AW950" s="234"/>
      <c r="BP950" s="11"/>
      <c r="BQ950" s="11"/>
      <c r="BR950" s="235"/>
      <c r="BV950" s="158"/>
      <c r="BY950" s="158"/>
      <c r="CB950" s="158"/>
    </row>
    <row r="951" ht="18.0" hidden="1" customHeight="1">
      <c r="A951" s="222">
        <f>IFERROR(__xludf.DUMMYFUNCTION("""COMPUTED_VALUE"""),2026.0)</f>
        <v>2026</v>
      </c>
      <c r="B951" s="221">
        <f>IFERROR(__xludf.DUMMYFUNCTION("""COMPUTED_VALUE"""),1.2386047E7)</f>
        <v>12386047</v>
      </c>
      <c r="C951" s="222" t="str">
        <f>IFERROR(__xludf.DUMMYFUNCTION("""COMPUTED_VALUE"""),"ACH PT3 SGI-FA ROYAL RESIDENCE")</f>
        <v>ACH PT3 SGI-FA ROYAL RESIDENCE</v>
      </c>
      <c r="D951" s="222" t="str">
        <f>IFERROR(__xludf.DUMMYFUNCTION("""COMPUTED_VALUE"""),"REGIONAL I")</f>
        <v>REGIONAL I</v>
      </c>
      <c r="E951" s="222" t="str">
        <f>IFERROR(__xludf.DUMMYFUNCTION("""COMPUTED_VALUE"""),"ACEH")</f>
        <v>ACEH</v>
      </c>
      <c r="F951" s="222" t="str">
        <f>IFERROR(__xludf.DUMMYFUNCTION("""COMPUTED_VALUE"""),"SGI")</f>
        <v>SGI</v>
      </c>
      <c r="G951" s="222" t="str">
        <f>IFERROR(__xludf.DUMMYFUNCTION("""COMPUTED_VALUE"""),"SUMBAGUT")</f>
        <v>SUMBAGUT</v>
      </c>
      <c r="H951" s="222" t="str">
        <f>IFERROR(__xludf.DUMMYFUNCTION("""COMPUTED_VALUE"""),"BANDA ACEH")</f>
        <v>BANDA ACEH</v>
      </c>
      <c r="I951" s="222" t="str">
        <f>IFERROR(__xludf.DUMMYFUNCTION("""COMPUTED_VALUE"""),"Batch 2")</f>
        <v>Batch 2</v>
      </c>
      <c r="J951" s="225">
        <f>IFERROR(__xludf.DUMMYFUNCTION("""COMPUTED_VALUE"""),5.0)</f>
        <v>5</v>
      </c>
      <c r="K951" s="224">
        <f>IFERROR(__xludf.DUMMYFUNCTION("""COMPUTED_VALUE"""),40.0)</f>
        <v>40</v>
      </c>
      <c r="L951" s="226">
        <f>IFERROR(__xludf.DUMMYFUNCTION("""COMPUTED_VALUE"""),1000093.0)</f>
        <v>1000093</v>
      </c>
      <c r="M951" s="227">
        <f>IFERROR(__xludf.DUMMYFUNCTION("""COMPUTED_VALUE"""),4.0003708E7)</f>
        <v>40003708</v>
      </c>
      <c r="N951" s="222" t="str">
        <f>IFERROR(__xludf.DUMMYFUNCTION("""COMPUTED_VALUE"""),"PT TRIPOLA PANATA")</f>
        <v>PT TRIPOLA PANATA</v>
      </c>
      <c r="O951" s="222" t="str">
        <f>IFERROR(__xludf.DUMMYFUNCTION("""COMPUTED_VALUE"""),"7. GOLIVE")</f>
        <v>7. GOLIVE</v>
      </c>
      <c r="P951" s="222" t="str">
        <f>IFERROR(__xludf.DUMMYFUNCTION("""COMPUTED_VALUE"""),"7.2 Golive Full / OA / DONE OTB")</f>
        <v>7.2 Golive Full / OA / DONE OTB</v>
      </c>
      <c r="Q951" s="222" t="str">
        <f>IFERROR(__xludf.DUMMYFUNCTION("""COMPUTED_VALUE"""),"(11/02) perizinan pu nasional (07/01) Persiapan")</f>
        <v>(11/02) perizinan pu nasional (07/01) Persiapan</v>
      </c>
      <c r="R951" s="228">
        <f>IFERROR(__xludf.DUMMYFUNCTION("""COMPUTED_VALUE"""),46091.0)</f>
        <v>46091</v>
      </c>
      <c r="S951" s="11" t="str">
        <f>IFERROR(__xludf.DUMMYFUNCTION("""COMPUTED_VALUE"""),"MAR")</f>
        <v>MAR</v>
      </c>
      <c r="T951" s="11"/>
      <c r="U951" s="11"/>
      <c r="V951" s="229"/>
      <c r="W951" s="229"/>
      <c r="X951" s="229" t="str">
        <f>IFERROR(__xludf.DUMMYFUNCTION("""COMPUTED_VALUE"""),"GOLIVE")</f>
        <v>GOLIVE</v>
      </c>
      <c r="Y951" s="229" t="str">
        <f>IFERROR(__xludf.DUMMYFUNCTION("""COMPUTED_VALUE"""),"DONE")</f>
        <v>DONE</v>
      </c>
      <c r="Z951" s="229" t="str">
        <f>IFERROR(__xludf.DUMMYFUNCTION("""COMPUTED_VALUE"""),"#N/A")</f>
        <v>#N/A</v>
      </c>
      <c r="AA951" s="229">
        <f>IFERROR(__xludf.DUMMYFUNCTION("""COMPUTED_VALUE"""),5.0)</f>
        <v>5</v>
      </c>
      <c r="AB951" s="229"/>
      <c r="AC951" s="229" t="str">
        <f>IFERROR(__xludf.DUMMYFUNCTION("""COMPUTED_VALUE"""),"9188127#9188132")</f>
        <v>9188127#9188132</v>
      </c>
      <c r="AD951" s="232">
        <f>IFERROR(__xludf.DUMMYFUNCTION("""COMPUTED_VALUE"""),40.0)</f>
        <v>40</v>
      </c>
      <c r="AE951" s="233">
        <f>IFERROR(__xludf.DUMMYFUNCTION("""COMPUTED_VALUE"""),46090.0)</f>
        <v>46090</v>
      </c>
      <c r="AF951" s="54"/>
      <c r="AG951" s="54"/>
      <c r="AH951" s="54">
        <v>46091.0</v>
      </c>
      <c r="AI951" s="55">
        <f t="shared" si="99"/>
        <v>1</v>
      </c>
      <c r="AW951" s="234"/>
      <c r="BP951" s="11"/>
      <c r="BQ951" s="11"/>
      <c r="BR951" s="235"/>
      <c r="BV951" s="158"/>
      <c r="BY951" s="158"/>
      <c r="CB951" s="158"/>
    </row>
    <row r="952" ht="18.0" hidden="1" customHeight="1">
      <c r="A952" s="222">
        <f>IFERROR(__xludf.DUMMYFUNCTION("""COMPUTED_VALUE"""),2026.0)</f>
        <v>2026</v>
      </c>
      <c r="B952" s="221">
        <f>IFERROR(__xludf.DUMMYFUNCTION("""COMPUTED_VALUE"""),1.1272478E7)</f>
        <v>11272478</v>
      </c>
      <c r="C952" s="222" t="str">
        <f>IFERROR(__xludf.DUMMYFUNCTION("""COMPUTED_VALUE"""),"MDN PT3 P1I1 CTD-FP PALM MILALA INDAH 1")</f>
        <v>MDN PT3 P1I1 CTD-FP PALM MILALA INDAH 1</v>
      </c>
      <c r="D952" s="222" t="str">
        <f>IFERROR(__xludf.DUMMYFUNCTION("""COMPUTED_VALUE"""),"REGIONAL I")</f>
        <v>REGIONAL I</v>
      </c>
      <c r="E952" s="222" t="str">
        <f>IFERROR(__xludf.DUMMYFUNCTION("""COMPUTED_VALUE"""),"MEDAN")</f>
        <v>MEDAN</v>
      </c>
      <c r="F952" s="222" t="str">
        <f>IFERROR(__xludf.DUMMYFUNCTION("""COMPUTED_VALUE"""),"CTD")</f>
        <v>CTD</v>
      </c>
      <c r="G952" s="222" t="str">
        <f>IFERROR(__xludf.DUMMYFUNCTION("""COMPUTED_VALUE"""),"SUMBAGUT")</f>
        <v>SUMBAGUT</v>
      </c>
      <c r="H952" s="222" t="str">
        <f>IFERROR(__xludf.DUMMYFUNCTION("""COMPUTED_VALUE"""),"MEDAN")</f>
        <v>MEDAN</v>
      </c>
      <c r="I952" s="222" t="str">
        <f>IFERROR(__xludf.DUMMYFUNCTION("""COMPUTED_VALUE"""),"Batch 2")</f>
        <v>Batch 2</v>
      </c>
      <c r="J952" s="225">
        <f>IFERROR(__xludf.DUMMYFUNCTION("""COMPUTED_VALUE"""),5.0)</f>
        <v>5</v>
      </c>
      <c r="K952" s="224">
        <f>IFERROR(__xludf.DUMMYFUNCTION("""COMPUTED_VALUE"""),40.0)</f>
        <v>40</v>
      </c>
      <c r="L952" s="226">
        <f>IFERROR(__xludf.DUMMYFUNCTION("""COMPUTED_VALUE"""),1136908.0)</f>
        <v>1136908</v>
      </c>
      <c r="M952" s="227">
        <f>IFERROR(__xludf.DUMMYFUNCTION("""COMPUTED_VALUE"""),4.5476307E7)</f>
        <v>45476307</v>
      </c>
      <c r="N952" s="222" t="str">
        <f>IFERROR(__xludf.DUMMYFUNCTION("""COMPUTED_VALUE"""),"PT MILFHA MUTIARA PRIMA")</f>
        <v>PT MILFHA MUTIARA PRIMA</v>
      </c>
      <c r="O952" s="222" t="str">
        <f>IFERROR(__xludf.DUMMYFUNCTION("""COMPUTED_VALUE"""),"0. DROP")</f>
        <v>0. DROP</v>
      </c>
      <c r="P952" s="222" t="str">
        <f>IFERROR(__xludf.DUMMYFUNCTION("""COMPUTED_VALUE"""),"0.2 Tidak Dapat Izin Warga/Kades/Lurah/Developer")</f>
        <v>0.2 Tidak Dapat Izin Warga/Kades/Lurah/Developer</v>
      </c>
      <c r="Q952" s="222" t="str">
        <f>IFERROR(__xludf.DUMMYFUNCTION("""COMPUTED_VALUE"""),"17/05 belum dapat izin dari devloper
09/04 menunggu info prelim dari CHAM est 10/04 01/04 info CHAM (dody) masih mau di visit ulang 
03/03 FU Pengurusan izin by CHAM (Dody) 20/11 Ketua komplek sosialisasi ke warga")</f>
        <v>17/05 belum dapat izin dari devloper
09/04 menunggu info prelim dari CHAM est 10/04 01/04 info CHAM (dody) masih mau di visit ulang 
03/03 FU Pengurusan izin by CHAM (Dody) 20/11 Ketua komplek sosialisasi ke warga</v>
      </c>
      <c r="R952" s="228"/>
      <c r="S952" s="11"/>
      <c r="T952" s="73"/>
      <c r="U952" s="11"/>
      <c r="V952" s="229" t="str">
        <f>IFERROR(__xludf.DUMMYFUNCTION("""COMPUTED_VALUE"""),"27/Apr/2026")</f>
        <v>27/Apr/2026</v>
      </c>
      <c r="W952" s="229"/>
      <c r="X952" s="229" t="str">
        <f>IFERROR(__xludf.DUMMYFUNCTION("""COMPUTED_VALUE"""),"BELUM GOLIVE")</f>
        <v>BELUM GOLIVE</v>
      </c>
      <c r="Y952" s="229"/>
      <c r="Z952" s="229" t="str">
        <f>IFERROR(__xludf.DUMMYFUNCTION("""COMPUTED_VALUE"""),"#N/A")</f>
        <v>#N/A</v>
      </c>
      <c r="AA952" s="229"/>
      <c r="AB952" s="229"/>
      <c r="AC952" s="229"/>
      <c r="AD952" s="232"/>
      <c r="AE952" s="233"/>
      <c r="AF952" s="54"/>
      <c r="AG952" s="54"/>
      <c r="AH952" s="54"/>
      <c r="AI952" s="55" t="str">
        <f t="shared" si="99"/>
        <v/>
      </c>
      <c r="AW952" s="234"/>
      <c r="BP952" s="11"/>
      <c r="BQ952" s="11"/>
      <c r="BR952" s="235"/>
      <c r="BV952" s="158"/>
      <c r="BY952" s="158"/>
      <c r="CB952" s="158"/>
    </row>
    <row r="953" ht="18.0" hidden="1" customHeight="1">
      <c r="A953" s="222">
        <f>IFERROR(__xludf.DUMMYFUNCTION("""COMPUTED_VALUE"""),2026.0)</f>
        <v>2026</v>
      </c>
      <c r="B953" s="221">
        <f>IFERROR(__xludf.DUMMYFUNCTION("""COMPUTED_VALUE"""),1.1131361E7)</f>
        <v>11131361</v>
      </c>
      <c r="C953" s="222" t="str">
        <f>IFERROR(__xludf.DUMMYFUNCTION("""COMPUTED_VALUE"""),"MDN PT3 P7I8 TMU-FK GG.PISANG 30")</f>
        <v>MDN PT3 P7I8 TMU-FK GG.PISANG 30</v>
      </c>
      <c r="D953" s="222" t="str">
        <f>IFERROR(__xludf.DUMMYFUNCTION("""COMPUTED_VALUE"""),"REGIONAL I")</f>
        <v>REGIONAL I</v>
      </c>
      <c r="E953" s="222" t="str">
        <f>IFERROR(__xludf.DUMMYFUNCTION("""COMPUTED_VALUE"""),"MEDAN")</f>
        <v>MEDAN</v>
      </c>
      <c r="F953" s="222" t="str">
        <f>IFERROR(__xludf.DUMMYFUNCTION("""COMPUTED_VALUE"""),"TMU")</f>
        <v>TMU</v>
      </c>
      <c r="G953" s="222" t="str">
        <f>IFERROR(__xludf.DUMMYFUNCTION("""COMPUTED_VALUE"""),"SUMBAGUT")</f>
        <v>SUMBAGUT</v>
      </c>
      <c r="H953" s="222" t="str">
        <f>IFERROR(__xludf.DUMMYFUNCTION("""COMPUTED_VALUE"""),"MEDAN")</f>
        <v>MEDAN</v>
      </c>
      <c r="I953" s="222" t="str">
        <f>IFERROR(__xludf.DUMMYFUNCTION("""COMPUTED_VALUE"""),"Batch 2")</f>
        <v>Batch 2</v>
      </c>
      <c r="J953" s="225">
        <f>IFERROR(__xludf.DUMMYFUNCTION("""COMPUTED_VALUE"""),2.0)</f>
        <v>2</v>
      </c>
      <c r="K953" s="224">
        <f>IFERROR(__xludf.DUMMYFUNCTION("""COMPUTED_VALUE"""),16.0)</f>
        <v>16</v>
      </c>
      <c r="L953" s="226">
        <f>IFERROR(__xludf.DUMMYFUNCTION("""COMPUTED_VALUE"""),999525.0)</f>
        <v>999525</v>
      </c>
      <c r="M953" s="227">
        <f>IFERROR(__xludf.DUMMYFUNCTION("""COMPUTED_VALUE"""),1.599239E7)</f>
        <v>15992390</v>
      </c>
      <c r="N953" s="222" t="str">
        <f>IFERROR(__xludf.DUMMYFUNCTION("""COMPUTED_VALUE"""),"PT KANA PRISMA AKSES")</f>
        <v>PT KANA PRISMA AKSES</v>
      </c>
      <c r="O953" s="222" t="str">
        <f>IFERROR(__xludf.DUMMYFUNCTION("""COMPUTED_VALUE"""),"2. DONE AANWIJZING")</f>
        <v>2. DONE AANWIJZING</v>
      </c>
      <c r="P953" s="222" t="str">
        <f>IFERROR(__xludf.DUMMYFUNCTION("""COMPUTED_VALUE"""),"2.10 Kendala - Feeder Rusak")</f>
        <v>2.10 Kendala - Feeder Rusak</v>
      </c>
      <c r="Q953" s="222" t="str">
        <f>IFERROR(__xludf.DUMMYFUNCTION("""COMPUTED_VALUE"""),"21/04 pengecekan tipus / butuh qe
08/03 Feeder Redti 5/11 Feeder Habis
01/11proses aanwijzing")</f>
        <v>21/04 pengecekan tipus / butuh qe
08/03 Feeder Redti 5/11 Feeder Habis
01/11proses aanwijzing</v>
      </c>
      <c r="R953" s="228"/>
      <c r="S953" s="11"/>
      <c r="T953" s="11"/>
      <c r="U953" s="11"/>
      <c r="V953" s="229"/>
      <c r="W953" s="229"/>
      <c r="X953" s="229" t="str">
        <f>IFERROR(__xludf.DUMMYFUNCTION("""COMPUTED_VALUE"""),"BELUM GOLIVE")</f>
        <v>BELUM GOLIVE</v>
      </c>
      <c r="Y953" s="229"/>
      <c r="Z953" s="229" t="str">
        <f>IFERROR(__xludf.DUMMYFUNCTION("""COMPUTED_VALUE"""),"#N/A")</f>
        <v>#N/A</v>
      </c>
      <c r="AA953" s="229"/>
      <c r="AB953" s="229"/>
      <c r="AC953" s="229"/>
      <c r="AD953" s="232"/>
      <c r="AE953" s="233"/>
      <c r="AF953" s="54"/>
      <c r="AG953" s="54"/>
      <c r="AH953" s="54"/>
      <c r="AI953" s="55" t="str">
        <f t="shared" si="99"/>
        <v/>
      </c>
      <c r="AW953" s="234"/>
      <c r="BP953" s="11"/>
      <c r="BQ953" s="11"/>
      <c r="BR953" s="235"/>
      <c r="BV953" s="158"/>
      <c r="BY953" s="158"/>
      <c r="CB953" s="158"/>
    </row>
    <row r="954" ht="18.0" hidden="1" customHeight="1">
      <c r="A954" s="222">
        <f>IFERROR(__xludf.DUMMYFUNCTION("""COMPUTED_VALUE"""),2026.0)</f>
        <v>2026</v>
      </c>
      <c r="B954" s="221">
        <f>IFERROR(__xludf.DUMMYFUNCTION("""COMPUTED_VALUE"""),1.1129958E7)</f>
        <v>11129958</v>
      </c>
      <c r="C954" s="222" t="str">
        <f>IFERROR(__xludf.DUMMYFUNCTION("""COMPUTED_VALUE"""),"MDN PT3 P7I4 LBP-FC SCATER GG.UKIR")</f>
        <v>MDN PT3 P7I4 LBP-FC SCATER GG.UKIR</v>
      </c>
      <c r="D954" s="222" t="str">
        <f>IFERROR(__xludf.DUMMYFUNCTION("""COMPUTED_VALUE"""),"REGIONAL I")</f>
        <v>REGIONAL I</v>
      </c>
      <c r="E954" s="222" t="str">
        <f>IFERROR(__xludf.DUMMYFUNCTION("""COMPUTED_VALUE"""),"MEDAN")</f>
        <v>MEDAN</v>
      </c>
      <c r="F954" s="222" t="str">
        <f>IFERROR(__xludf.DUMMYFUNCTION("""COMPUTED_VALUE"""),"LBP")</f>
        <v>LBP</v>
      </c>
      <c r="G954" s="222" t="str">
        <f>IFERROR(__xludf.DUMMYFUNCTION("""COMPUTED_VALUE"""),"SUMBAGUT")</f>
        <v>SUMBAGUT</v>
      </c>
      <c r="H954" s="222" t="str">
        <f>IFERROR(__xludf.DUMMYFUNCTION("""COMPUTED_VALUE"""),"MEDAN")</f>
        <v>MEDAN</v>
      </c>
      <c r="I954" s="222" t="str">
        <f>IFERROR(__xludf.DUMMYFUNCTION("""COMPUTED_VALUE"""),"Batch 2")</f>
        <v>Batch 2</v>
      </c>
      <c r="J954" s="225">
        <f>IFERROR(__xludf.DUMMYFUNCTION("""COMPUTED_VALUE"""),2.0)</f>
        <v>2</v>
      </c>
      <c r="K954" s="224">
        <f>IFERROR(__xludf.DUMMYFUNCTION("""COMPUTED_VALUE"""),16.0)</f>
        <v>16</v>
      </c>
      <c r="L954" s="226">
        <f>IFERROR(__xludf.DUMMYFUNCTION("""COMPUTED_VALUE"""),999493.0)</f>
        <v>999493</v>
      </c>
      <c r="M954" s="227">
        <f>IFERROR(__xludf.DUMMYFUNCTION("""COMPUTED_VALUE"""),1.5991888E7)</f>
        <v>15991888</v>
      </c>
      <c r="N954" s="222" t="str">
        <f>IFERROR(__xludf.DUMMYFUNCTION("""COMPUTED_VALUE"""),"PT NIAGA NUSANTARA DIVA")</f>
        <v>PT NIAGA NUSANTARA DIVA</v>
      </c>
      <c r="O954" s="222" t="str">
        <f>IFERROR(__xludf.DUMMYFUNCTION("""COMPUTED_VALUE"""),"0. DROP")</f>
        <v>0. DROP</v>
      </c>
      <c r="P954" s="222" t="str">
        <f>IFERROR(__xludf.DUMMYFUNCTION("""COMPUTED_VALUE"""),"0.2 Tidak Dapat Izin Warga/Kades/Lurah/Developer")</f>
        <v>0.2 Tidak Dapat Izin Warga/Kades/Lurah/Developer</v>
      </c>
      <c r="Q954" s="222" t="str">
        <f>IFERROR(__xludf.DUMMYFUNCTION("""COMPUTED_VALUE"""),"02/04 tanam tiang tdk dapat izin dari warga
31/03 komitmen anwijzing 01/04
(07/01) Persiapan")</f>
        <v>02/04 tanam tiang tdk dapat izin dari warga
31/03 komitmen anwijzing 01/04
(07/01) Persiapan</v>
      </c>
      <c r="R954" s="228"/>
      <c r="S954" s="11"/>
      <c r="T954" s="11"/>
      <c r="U954" s="11"/>
      <c r="V954" s="229"/>
      <c r="W954" s="229"/>
      <c r="X954" s="229" t="str">
        <f>IFERROR(__xludf.DUMMYFUNCTION("""COMPUTED_VALUE"""),"BELUM GOLIVE")</f>
        <v>BELUM GOLIVE</v>
      </c>
      <c r="Y954" s="229"/>
      <c r="Z954" s="229" t="str">
        <f>IFERROR(__xludf.DUMMYFUNCTION("""COMPUTED_VALUE"""),"#N/A")</f>
        <v>#N/A</v>
      </c>
      <c r="AA954" s="229"/>
      <c r="AB954" s="229"/>
      <c r="AC954" s="229"/>
      <c r="AD954" s="232"/>
      <c r="AE954" s="233"/>
      <c r="AF954" s="54"/>
      <c r="AG954" s="54"/>
      <c r="AH954" s="54"/>
      <c r="AI954" s="55" t="str">
        <f t="shared" si="99"/>
        <v/>
      </c>
      <c r="AW954" s="234"/>
      <c r="BP954" s="11"/>
      <c r="BQ954" s="11"/>
      <c r="BR954" s="235"/>
      <c r="BV954" s="158"/>
      <c r="BY954" s="158"/>
      <c r="CB954" s="158"/>
    </row>
    <row r="955" ht="18.0" customHeight="1">
      <c r="A955" s="222">
        <f>IFERROR(__xludf.DUMMYFUNCTION("""COMPUTED_VALUE"""),2026.0)</f>
        <v>2026</v>
      </c>
      <c r="B955" s="221">
        <f>IFERROR(__xludf.DUMMYFUNCTION("""COMPUTED_VALUE"""),1.1094296E7)</f>
        <v>11094296</v>
      </c>
      <c r="C955" s="222" t="str">
        <f>IFERROR(__xludf.DUMMYFUNCTION("""COMPUTED_VALUE"""),"RKP PT3 JPPTSEL KMS-FXX PERUM. DUTAMA_PARAGON")</f>
        <v>RKP PT3 JPPTSEL KMS-FXX PERUM. DUTAMA_PARAGON</v>
      </c>
      <c r="D955" s="222" t="str">
        <f>IFERROR(__xludf.DUMMYFUNCTION("""COMPUTED_VALUE"""),"REGIONAL I")</f>
        <v>REGIONAL I</v>
      </c>
      <c r="E955" s="222" t="str">
        <f>IFERROR(__xludf.DUMMYFUNCTION("""COMPUTED_VALUE"""),"RIKEP")</f>
        <v>RIKEP</v>
      </c>
      <c r="F955" s="222" t="str">
        <f>IFERROR(__xludf.DUMMYFUNCTION("""COMPUTED_VALUE"""),"KMS")</f>
        <v>KMS</v>
      </c>
      <c r="G955" s="222" t="str">
        <f>IFERROR(__xludf.DUMMYFUNCTION("""COMPUTED_VALUE"""),"SUMBAGTENG")</f>
        <v>SUMBAGTENG</v>
      </c>
      <c r="H955" s="222" t="str">
        <f>IFERROR(__xludf.DUMMYFUNCTION("""COMPUTED_VALUE"""),"BATAM")</f>
        <v>BATAM</v>
      </c>
      <c r="I955" s="222" t="str">
        <f>IFERROR(__xludf.DUMMYFUNCTION("""COMPUTED_VALUE"""),"Batch 2")</f>
        <v>Batch 2</v>
      </c>
      <c r="J955" s="225">
        <f>IFERROR(__xludf.DUMMYFUNCTION("""COMPUTED_VALUE"""),4.0)</f>
        <v>4</v>
      </c>
      <c r="K955" s="224">
        <f>IFERROR(__xludf.DUMMYFUNCTION("""COMPUTED_VALUE"""),32.0)</f>
        <v>32</v>
      </c>
      <c r="L955" s="226">
        <f>IFERROR(__xludf.DUMMYFUNCTION("""COMPUTED_VALUE"""),999401.0)</f>
        <v>999401</v>
      </c>
      <c r="M955" s="227">
        <f>IFERROR(__xludf.DUMMYFUNCTION("""COMPUTED_VALUE"""),3.1980832E7)</f>
        <v>31980832</v>
      </c>
      <c r="N955" s="222" t="str">
        <f>IFERROR(__xludf.DUMMYFUNCTION("""COMPUTED_VALUE"""),"PT SALTTEK DUMPANG JAYA")</f>
        <v>PT SALTTEK DUMPANG JAYA</v>
      </c>
      <c r="O955" s="222" t="str">
        <f>IFERROR(__xludf.DUMMYFUNCTION("""COMPUTED_VALUE"""),"0. DROP")</f>
        <v>0. DROP</v>
      </c>
      <c r="P955" s="222" t="str">
        <f>IFERROR(__xludf.DUMMYFUNCTION("""COMPUTED_VALUE"""),"0.2 Tidak Dapat Izin Warga/Kades/Lurah/Developer")</f>
        <v>0.2 Tidak Dapat Izin Warga/Kades/Lurah/Developer</v>
      </c>
      <c r="Q955" s="222" t="str">
        <f>IFERROR(__xludf.DUMMYFUNCTION("""COMPUTED_VALUE"""),"12/02 Korlap tidak dapat di jumpai. 09/02 FU kembali perizinan ke korlap perumahan. 04/01 korlap perumahan belum bisa di jumpai.22/01 Feeder OK, proses perizinan, FU kembali HI.. 21/01 Proses anwijzing tanggal 22 Jan 2026")</f>
        <v>12/02 Korlap tidak dapat di jumpai. 09/02 FU kembali perizinan ke korlap perumahan. 04/01 korlap perumahan belum bisa di jumpai.22/01 Feeder OK, proses perizinan, FU kembali HI.. 21/01 Proses anwijzing tanggal 22 Jan 2026</v>
      </c>
      <c r="R955" s="228"/>
      <c r="S955" s="11"/>
      <c r="T955" s="11"/>
      <c r="U955" s="11"/>
      <c r="V955" s="229" t="str">
        <f>IFERROR(__xludf.DUMMYFUNCTION("""COMPUTED_VALUE"""),"DEDY IRAWAN")</f>
        <v>DEDY IRAWAN</v>
      </c>
      <c r="W955" s="229" t="str">
        <f>IFERROR(__xludf.DUMMYFUNCTION("""COMPUTED_VALUE"""),"LEVITA INDRIYANI")</f>
        <v>LEVITA INDRIYANI</v>
      </c>
      <c r="X955" s="229" t="str">
        <f>IFERROR(__xludf.DUMMYFUNCTION("""COMPUTED_VALUE"""),"BELUM GOLIVE")</f>
        <v>BELUM GOLIVE</v>
      </c>
      <c r="Y955" s="229"/>
      <c r="Z955" s="229" t="str">
        <f>IFERROR(__xludf.DUMMYFUNCTION("""COMPUTED_VALUE"""),"#N/A")</f>
        <v>#N/A</v>
      </c>
      <c r="AA955" s="229"/>
      <c r="AB955" s="229"/>
      <c r="AC955" s="229"/>
      <c r="AD955" s="232"/>
      <c r="AE955" s="233"/>
      <c r="AF955" s="54" t="str">
        <f>IFERROR(__xludf.DUMMYFUNCTION("""COMPUTED_VALUE"""),"Draft BA DROP")</f>
        <v>Draft BA DROP</v>
      </c>
      <c r="AG955" s="54"/>
      <c r="AH955" s="54">
        <v>46128.0</v>
      </c>
      <c r="AI955" s="237">
        <f>AH955-NOW()</f>
        <v>-12.37798991</v>
      </c>
      <c r="AJ955" s="229" t="str">
        <f t="shared" ref="AJ955:AJ956" si="100">if(AI955&gt;=0,"In Komitmen","Out Komitmen")</f>
        <v>Out Komitmen</v>
      </c>
      <c r="AW955" s="234"/>
      <c r="BP955" s="11"/>
      <c r="BQ955" s="11"/>
      <c r="BR955" s="235"/>
      <c r="BV955" s="158"/>
      <c r="BY955" s="158"/>
      <c r="CB955" s="158"/>
    </row>
    <row r="956" ht="18.0" customHeight="1">
      <c r="A956" s="222">
        <f>IFERROR(__xludf.DUMMYFUNCTION("""COMPUTED_VALUE"""),2026.0)</f>
        <v>2026</v>
      </c>
      <c r="B956" s="221">
        <f>IFERROR(__xludf.DUMMYFUNCTION("""COMPUTED_VALUE"""),1.1266552E7)</f>
        <v>11266552</v>
      </c>
      <c r="C956" s="222" t="str">
        <f>IFERROR(__xludf.DUMMYFUNCTION("""COMPUTED_VALUE"""),"RKP PT3 TSEL TBK-FAB SEI AYAM KAPLING")</f>
        <v>RKP PT3 TSEL TBK-FAB SEI AYAM KAPLING</v>
      </c>
      <c r="D956" s="222" t="str">
        <f>IFERROR(__xludf.DUMMYFUNCTION("""COMPUTED_VALUE"""),"REGIONAL I")</f>
        <v>REGIONAL I</v>
      </c>
      <c r="E956" s="222" t="str">
        <f>IFERROR(__xludf.DUMMYFUNCTION("""COMPUTED_VALUE"""),"RIKEP")</f>
        <v>RIKEP</v>
      </c>
      <c r="F956" s="222" t="str">
        <f>IFERROR(__xludf.DUMMYFUNCTION("""COMPUTED_VALUE"""),"TBK")</f>
        <v>TBK</v>
      </c>
      <c r="G956" s="222" t="str">
        <f>IFERROR(__xludf.DUMMYFUNCTION("""COMPUTED_VALUE"""),"SUMBAGTENG")</f>
        <v>SUMBAGTENG</v>
      </c>
      <c r="H956" s="222" t="str">
        <f>IFERROR(__xludf.DUMMYFUNCTION("""COMPUTED_VALUE"""),"BATAM")</f>
        <v>BATAM</v>
      </c>
      <c r="I956" s="222" t="str">
        <f>IFERROR(__xludf.DUMMYFUNCTION("""COMPUTED_VALUE"""),"Batch 2")</f>
        <v>Batch 2</v>
      </c>
      <c r="J956" s="225">
        <f>IFERROR(__xludf.DUMMYFUNCTION("""COMPUTED_VALUE"""),6.0)</f>
        <v>6</v>
      </c>
      <c r="K956" s="224">
        <f>IFERROR(__xludf.DUMMYFUNCTION("""COMPUTED_VALUE"""),48.0)</f>
        <v>48</v>
      </c>
      <c r="L956" s="226">
        <f>IFERROR(__xludf.DUMMYFUNCTION("""COMPUTED_VALUE"""),997932.0)</f>
        <v>997932</v>
      </c>
      <c r="M956" s="227">
        <f>IFERROR(__xludf.DUMMYFUNCTION("""COMPUTED_VALUE"""),4.7900706E7)</f>
        <v>47900706</v>
      </c>
      <c r="N956" s="222" t="str">
        <f>IFERROR(__xludf.DUMMYFUNCTION("""COMPUTED_VALUE"""),"PT DWI MITRA JAYA UTAMA")</f>
        <v>PT DWI MITRA JAYA UTAMA</v>
      </c>
      <c r="O956" s="222" t="str">
        <f>IFERROR(__xludf.DUMMYFUNCTION("""COMPUTED_VALUE"""),"3. PERIZINAN")</f>
        <v>3. PERIZINAN</v>
      </c>
      <c r="P956" s="222" t="str">
        <f>IFERROR(__xludf.DUMMYFUNCTION("""COMPUTED_VALUE"""),"3.11 Pemilik lahan / warga")</f>
        <v>3.11 Pemilik lahan / warga</v>
      </c>
      <c r="Q956" s="222" t="str">
        <f>IFERROR(__xludf.DUMMYFUNCTION("""COMPUTED_VALUE"""),"24/04 janjian ketemu dengan tuan tanah hari ini.
20/04 dari 3 tuan tanah sisa 1 yang belum bisa di jumpai, di FU kembali hari ini.
17/04 Perizinan ke tuan tanah. 
 06/04 Plan Install tgl 08 apr, Plan GL 14 apr. 27/03 menunggu pelunasan prelim, tim serial "&amp;"cuma 1. 09/03 Plan perizinan kembali besok 10 mar, dan pembayaran prelim. 
03/03 Proses pembayaran prelim. 27/02 Menunggu pembayaran prelim. 16/02 4 Batang tiang tuan tanah meminta kompensasi, 4 batang tiang 1.2 jt. 09/02 FU kembali izin besok 10 Feb kare"&amp;"na PIC sedang fokus installasi. 28/01 Plan survey tanggal 29 Jan.  21/01 plan anwijzing 26 jan, peralihan mitra")</f>
        <v>24/04 janjian ketemu dengan tuan tanah hari ini.
20/04 dari 3 tuan tanah sisa 1 yang belum bisa di jumpai, di FU kembali hari ini.
17/04 Perizinan ke tuan tanah. 
 06/04 Plan Install tgl 08 apr, Plan GL 14 apr. 27/03 menunggu pelunasan prelim, tim serial cuma 1. 09/03 Plan perizinan kembali besok 10 mar, dan pembayaran prelim. 
03/03 Proses pembayaran prelim. 27/02 Menunggu pembayaran prelim. 16/02 4 Batang tiang tuan tanah meminta kompensasi, 4 batang tiang 1.2 jt. 09/02 FU kembali izin besok 10 Feb karena PIC sedang fokus installasi. 28/01 Plan survey tanggal 29 Jan.  21/01 plan anwijzing 26 jan, peralihan mitra</v>
      </c>
      <c r="R956" s="228"/>
      <c r="S956" s="11"/>
      <c r="T956" s="73"/>
      <c r="U956" s="11" t="str">
        <f>IFERROR(__xludf.DUMMYFUNCTION("""COMPUTED_VALUE"""),"TIF-8272/2026")</f>
        <v>TIF-8272/2026</v>
      </c>
      <c r="V956" s="229" t="str">
        <f>IFERROR(__xludf.DUMMYFUNCTION("""COMPUTED_VALUE"""),"MOHAMMAD FAUZY")</f>
        <v>MOHAMMAD FAUZY</v>
      </c>
      <c r="W956" s="229" t="str">
        <f>IFERROR(__xludf.DUMMYFUNCTION("""COMPUTED_VALUE"""),"LEVITA INDRIYANI")</f>
        <v>LEVITA INDRIYANI</v>
      </c>
      <c r="X956" s="229" t="str">
        <f>IFERROR(__xludf.DUMMYFUNCTION("""COMPUTED_VALUE"""),"BELUM GOLIVE")</f>
        <v>BELUM GOLIVE</v>
      </c>
      <c r="Y956" s="229"/>
      <c r="Z956" s="229" t="str">
        <f>IFERROR(__xludf.DUMMYFUNCTION("""COMPUTED_VALUE"""),"#N/A")</f>
        <v>#N/A</v>
      </c>
      <c r="AA956" s="229"/>
      <c r="AB956" s="229"/>
      <c r="AC956" s="229"/>
      <c r="AD956" s="232"/>
      <c r="AE956" s="233"/>
      <c r="AF956" s="54"/>
      <c r="AG956" s="54"/>
      <c r="AH956" s="54">
        <v>46128.0</v>
      </c>
      <c r="AI956" s="55">
        <f>AH956-TODAY()</f>
        <v>-12</v>
      </c>
      <c r="AJ956" s="229" t="str">
        <f t="shared" si="100"/>
        <v>Out Komitmen</v>
      </c>
      <c r="AK956" s="231" t="s">
        <v>199</v>
      </c>
      <c r="AW956" s="234"/>
      <c r="BP956" s="11"/>
      <c r="BQ956" s="11"/>
      <c r="BR956" s="235"/>
      <c r="BV956" s="158"/>
      <c r="BY956" s="158"/>
      <c r="CB956" s="158"/>
    </row>
    <row r="957" ht="18.0" hidden="1" customHeight="1">
      <c r="A957" s="222">
        <f>IFERROR(__xludf.DUMMYFUNCTION("""COMPUTED_VALUE"""),2026.0)</f>
        <v>2026</v>
      </c>
      <c r="B957" s="221">
        <f>IFERROR(__xludf.DUMMYFUNCTION("""COMPUTED_VALUE"""),1.1442667E7)</f>
        <v>11442667</v>
      </c>
      <c r="C957" s="222" t="str">
        <f>IFERROR(__xludf.DUMMYFUNCTION("""COMPUTED_VALUE"""),"BNK-PT3-PDW-JPPTSEL- PADANG PELAWI")</f>
        <v>BNK-PT3-PDW-JPPTSEL- PADANG PELAWI</v>
      </c>
      <c r="D957" s="222" t="str">
        <f>IFERROR(__xludf.DUMMYFUNCTION("""COMPUTED_VALUE"""),"REGIONAL I")</f>
        <v>REGIONAL I</v>
      </c>
      <c r="E957" s="222" t="str">
        <f>IFERROR(__xludf.DUMMYFUNCTION("""COMPUTED_VALUE"""),"BENGKULU")</f>
        <v>BENGKULU</v>
      </c>
      <c r="F957" s="222" t="str">
        <f>IFERROR(__xludf.DUMMYFUNCTION("""COMPUTED_VALUE"""),"PDW")</f>
        <v>PDW</v>
      </c>
      <c r="G957" s="222" t="str">
        <f>IFERROR(__xludf.DUMMYFUNCTION("""COMPUTED_VALUE"""),"SUMBAGSEL")</f>
        <v>SUMBAGSEL</v>
      </c>
      <c r="H957" s="222" t="str">
        <f>IFERROR(__xludf.DUMMYFUNCTION("""COMPUTED_VALUE"""),"BENGKULU")</f>
        <v>BENGKULU</v>
      </c>
      <c r="I957" s="222" t="str">
        <f>IFERROR(__xludf.DUMMYFUNCTION("""COMPUTED_VALUE"""),"Batch 2")</f>
        <v>Batch 2</v>
      </c>
      <c r="J957" s="225">
        <f>IFERROR(__xludf.DUMMYFUNCTION("""COMPUTED_VALUE"""),22.0)</f>
        <v>22</v>
      </c>
      <c r="K957" s="224">
        <f>IFERROR(__xludf.DUMMYFUNCTION("""COMPUTED_VALUE"""),176.0)</f>
        <v>176</v>
      </c>
      <c r="L957" s="226">
        <f>IFERROR(__xludf.DUMMYFUNCTION("""COMPUTED_VALUE"""),1020902.0)</f>
        <v>1020902</v>
      </c>
      <c r="M957" s="227">
        <f>IFERROR(__xludf.DUMMYFUNCTION("""COMPUTED_VALUE"""),1.79678678E8)</f>
        <v>179678678</v>
      </c>
      <c r="N957" s="222" t="str">
        <f>IFERROR(__xludf.DUMMYFUNCTION("""COMPUTED_VALUE"""),"PT JAGO MULTI DIMENSI")</f>
        <v>PT JAGO MULTI DIMENSI</v>
      </c>
      <c r="O957" s="222" t="str">
        <f>IFERROR(__xludf.DUMMYFUNCTION("""COMPUTED_VALUE"""),"7. GOLIVE")</f>
        <v>7. GOLIVE</v>
      </c>
      <c r="P957" s="222" t="str">
        <f>IFERROR(__xludf.DUMMYFUNCTION("""COMPUTED_VALUE"""),"7.2 Golive Full / OA / DONE OTB")</f>
        <v>7.2 Golive Full / OA / DONE OTB</v>
      </c>
      <c r="Q957" s="222" t="str">
        <f>IFERROR(__xludf.DUMMYFUNCTION("""COMPUTED_VALUE"""),"27/02 : Pembuatan ABD // 26/02: proses valins dan pembuatan ABD // 25/02: Progres terminasi odc, kendala menunggu modul olt // 24/02: termnasi ODC port 8 masih loss //21/02://20/02 : proses Jumper, ( butuh penambahan modul OLT ) // 19/02: finish penarikan"&amp;" kabel, lanjut terminasi odc // 18/02:"" dengan ""18/2"", dalam ""21/02://20/02 : proses Jumper, ( butuh penambahan modul mini olt ) // 19/02: finish penarikan kabel, lanjut terminasi odc // 18/02: proses joint closure - odp done 11/2: tarik kabel 8000/90"&amp;"65, tiang 34/34 09/02: lanjut proses penarikan kabel // 07/02: proses penarikan kabel // 06/02: Proses tanam tiang // 05/02: plan delivery material ke lokasi pada tanggal 06/02 // 03/02: Proses PR PO // 22/01 : hasil anwijzing sudah di setor // 13/01 : do"&amp;"ne anwidjzing, Survey Lapangan // (07/01) Persiapan")</f>
        <v>27/02 : Pembuatan ABD // 26/02: proses valins dan pembuatan ABD // 25/02: Progres terminasi odc, kendala menunggu modul olt // 24/02: termnasi ODC port 8 masih loss //21/02://20/02 : proses Jumper, ( butuh penambahan modul OLT ) // 19/02: finish penarikan kabel, lanjut terminasi odc // 18/02:" dengan "18/2", dalam "21/02://20/02 : proses Jumper, ( butuh penambahan modul mini olt ) // 19/02: finish penarikan kabel, lanjut terminasi odc // 18/02: proses joint closure - odp done 11/2: tarik kabel 8000/9065, tiang 34/34 09/02: lanjut proses penarikan kabel // 07/02: proses penarikan kabel // 06/02: Proses tanam tiang // 05/02: plan delivery material ke lokasi pada tanggal 06/02 // 03/02: Proses PR PO // 22/01 : hasil anwijzing sudah di setor // 13/01 : done anwidjzing, Survey Lapangan // (07/01) Persiapan</v>
      </c>
      <c r="R957" s="228">
        <f>IFERROR(__xludf.DUMMYFUNCTION("""COMPUTED_VALUE"""),46080.0)</f>
        <v>46080</v>
      </c>
      <c r="S957" s="11"/>
      <c r="T957" s="11"/>
      <c r="U957" s="11" t="str">
        <f>IFERROR(__xludf.DUMMYFUNCTION("""COMPUTED_VALUE"""),"TIF-2265/2026")</f>
        <v>TIF-2265/2026</v>
      </c>
      <c r="V957" s="229"/>
      <c r="W957" s="229"/>
      <c r="X957" s="229" t="str">
        <f>IFERROR(__xludf.DUMMYFUNCTION("""COMPUTED_VALUE"""),"GOLIVE")</f>
        <v>GOLIVE</v>
      </c>
      <c r="Y957" s="229" t="str">
        <f>IFERROR(__xludf.DUMMYFUNCTION("""COMPUTED_VALUE"""),"DONE")</f>
        <v>DONE</v>
      </c>
      <c r="Z957" s="229" t="str">
        <f>IFERROR(__xludf.DUMMYFUNCTION("""COMPUTED_VALUE"""),"#N/A")</f>
        <v>#N/A</v>
      </c>
      <c r="AA957" s="229">
        <f>IFERROR(__xludf.DUMMYFUNCTION("""COMPUTED_VALUE"""),22.0)</f>
        <v>22</v>
      </c>
      <c r="AB957" s="229"/>
      <c r="AC957" s="229" t="str">
        <f>IFERROR(__xludf.DUMMYFUNCTION("""COMPUTED_VALUE"""),"9160712#9160717")</f>
        <v>9160712#9160717</v>
      </c>
      <c r="AD957" s="232">
        <f>IFERROR(__xludf.DUMMYFUNCTION("""COMPUTED_VALUE"""),176.0)</f>
        <v>176</v>
      </c>
      <c r="AE957" s="233">
        <f>IFERROR(__xludf.DUMMYFUNCTION("""COMPUTED_VALUE"""),46080.0)</f>
        <v>46080</v>
      </c>
      <c r="AF957" s="54"/>
      <c r="AG957" s="54"/>
      <c r="AH957" s="54">
        <v>46080.0</v>
      </c>
      <c r="AI957" s="55">
        <f>IF(OR(R957="",AE957=""),"",R957-AE957)</f>
        <v>0</v>
      </c>
      <c r="AW957" s="234"/>
      <c r="BP957" s="11"/>
      <c r="BQ957" s="11"/>
      <c r="BR957" s="235"/>
      <c r="BV957" s="158"/>
      <c r="BY957" s="158"/>
      <c r="CB957" s="158"/>
    </row>
    <row r="958" ht="18.0" customHeight="1">
      <c r="A958" s="222">
        <f>IFERROR(__xludf.DUMMYFUNCTION("""COMPUTED_VALUE"""),2026.0)</f>
        <v>2026</v>
      </c>
      <c r="B958" s="221">
        <f>IFERROR(__xludf.DUMMYFUNCTION("""COMPUTED_VALUE"""),1.1902804E7)</f>
        <v>11902804</v>
      </c>
      <c r="C958" s="222" t="str">
        <f>IFERROR(__xludf.DUMMYFUNCTION("""COMPUTED_VALUE"""),"RKP TSEL PT3 SLU-FAS KOTA BATAM_18520")</f>
        <v>RKP TSEL PT3 SLU-FAS KOTA BATAM_18520</v>
      </c>
      <c r="D958" s="222" t="str">
        <f>IFERROR(__xludf.DUMMYFUNCTION("""COMPUTED_VALUE"""),"REGIONAL I")</f>
        <v>REGIONAL I</v>
      </c>
      <c r="E958" s="222" t="str">
        <f>IFERROR(__xludf.DUMMYFUNCTION("""COMPUTED_VALUE"""),"RIKEP")</f>
        <v>RIKEP</v>
      </c>
      <c r="F958" s="222" t="str">
        <f>IFERROR(__xludf.DUMMYFUNCTION("""COMPUTED_VALUE"""),"SLU")</f>
        <v>SLU</v>
      </c>
      <c r="G958" s="222" t="str">
        <f>IFERROR(__xludf.DUMMYFUNCTION("""COMPUTED_VALUE"""),"SUMBAGTENG")</f>
        <v>SUMBAGTENG</v>
      </c>
      <c r="H958" s="222" t="str">
        <f>IFERROR(__xludf.DUMMYFUNCTION("""COMPUTED_VALUE"""),"BATAM")</f>
        <v>BATAM</v>
      </c>
      <c r="I958" s="222" t="str">
        <f>IFERROR(__xludf.DUMMYFUNCTION("""COMPUTED_VALUE"""),"Batch 2")</f>
        <v>Batch 2</v>
      </c>
      <c r="J958" s="225">
        <f>IFERROR(__xludf.DUMMYFUNCTION("""COMPUTED_VALUE"""),1.0)</f>
        <v>1</v>
      </c>
      <c r="K958" s="224">
        <f>IFERROR(__xludf.DUMMYFUNCTION("""COMPUTED_VALUE"""),8.0)</f>
        <v>8</v>
      </c>
      <c r="L958" s="226">
        <f>IFERROR(__xludf.DUMMYFUNCTION("""COMPUTED_VALUE"""),997334.0)</f>
        <v>997334</v>
      </c>
      <c r="M958" s="227">
        <f>IFERROR(__xludf.DUMMYFUNCTION("""COMPUTED_VALUE"""),7978670.0)</f>
        <v>7978670</v>
      </c>
      <c r="N958" s="222" t="str">
        <f>IFERROR(__xludf.DUMMYFUNCTION("""COMPUTED_VALUE"""),"PT MITRA HOSINDO SEJAHTERA")</f>
        <v>PT MITRA HOSINDO SEJAHTERA</v>
      </c>
      <c r="O958" s="222" t="str">
        <f>IFERROR(__xludf.DUMMYFUNCTION("""COMPUTED_VALUE"""),"7. GOLIVE")</f>
        <v>7. GOLIVE</v>
      </c>
      <c r="P958" s="222" t="str">
        <f>IFERROR(__xludf.DUMMYFUNCTION("""COMPUTED_VALUE"""),"7.2 Golive Full / OA / DONE OTB")</f>
        <v>7.2 Golive Full / OA / DONE OTB</v>
      </c>
      <c r="Q958" s="222" t="str">
        <f>IFERROR(__xludf.DUMMYFUNCTION("""COMPUTED_VALUE"""),"12/03 pembuatan ABD valid 4
11/03 Terminasi ODP. 09/03 Plan progres 10 Mar.05/03 Proses req material setelah eval redesign. 16/02 CPP eval OK, progres deliv material. 11/02 Done survey. izin OK. 09/02 sudah anwijzing dan perizinan, plan pembuatan BOQ dan "&amp;"KML survey. 29/01 anwijzing OK, proses perizinan. 28/01 Plan survey HI.. 21/01 plansurvey 28 Jan")</f>
        <v>12/03 pembuatan ABD valid 4
11/03 Terminasi ODP. 09/03 Plan progres 10 Mar.05/03 Proses req material setelah eval redesign. 16/02 CPP eval OK, progres deliv material. 11/02 Done survey. izin OK. 09/02 sudah anwijzing dan perizinan, plan pembuatan BOQ dan KML survey. 29/01 anwijzing OK, proses perizinan. 28/01 Plan survey HI.. 21/01 plansurvey 28 Jan</v>
      </c>
      <c r="R958" s="228">
        <f>IFERROR(__xludf.DUMMYFUNCTION("""COMPUTED_VALUE"""),46089.0)</f>
        <v>46089</v>
      </c>
      <c r="S958" s="11" t="str">
        <f>IFERROR(__xludf.DUMMYFUNCTION("""COMPUTED_VALUE"""),"MAR")</f>
        <v>MAR</v>
      </c>
      <c r="T958" s="11"/>
      <c r="U958" s="11" t="str">
        <f>IFERROR(__xludf.DUMMYFUNCTION("""COMPUTED_VALUE"""),"W09-163/2026")</f>
        <v>W09-163/2026</v>
      </c>
      <c r="V958" s="229" t="str">
        <f>IFERROR(__xludf.DUMMYFUNCTION("""COMPUTED_VALUE"""),"MUHAMMAD RIDHO FALFO")</f>
        <v>MUHAMMAD RIDHO FALFO</v>
      </c>
      <c r="W958" s="229" t="str">
        <f>IFERROR(__xludf.DUMMYFUNCTION("""COMPUTED_VALUE"""),"LEVITA INDRIYANI")</f>
        <v>LEVITA INDRIYANI</v>
      </c>
      <c r="X958" s="229" t="str">
        <f>IFERROR(__xludf.DUMMYFUNCTION("""COMPUTED_VALUE"""),"GOLIVE")</f>
        <v>GOLIVE</v>
      </c>
      <c r="Y958" s="229" t="str">
        <f>IFERROR(__xludf.DUMMYFUNCTION("""COMPUTED_VALUE"""),"DONE")</f>
        <v>DONE</v>
      </c>
      <c r="Z958" s="229" t="str">
        <f>IFERROR(__xludf.DUMMYFUNCTION("""COMPUTED_VALUE"""),"#N/A")</f>
        <v>#N/A</v>
      </c>
      <c r="AA958" s="229">
        <f>IFERROR(__xludf.DUMMYFUNCTION("""COMPUTED_VALUE"""),1.0)</f>
        <v>1</v>
      </c>
      <c r="AB958" s="229"/>
      <c r="AC958" s="229" t="str">
        <f>IFERROR(__xludf.DUMMYFUNCTION("""COMPUTED_VALUE"""),"9142777#9142782")</f>
        <v>9142777#9142782</v>
      </c>
      <c r="AD958" s="232">
        <f>IFERROR(__xludf.DUMMYFUNCTION("""COMPUTED_VALUE"""),8.0)</f>
        <v>8</v>
      </c>
      <c r="AE958" s="233">
        <f>IFERROR(__xludf.DUMMYFUNCTION("""COMPUTED_VALUE"""),46094.0)</f>
        <v>46094</v>
      </c>
      <c r="AF958" s="54"/>
      <c r="AG958" s="54"/>
      <c r="AH958" s="54">
        <v>46089.0</v>
      </c>
      <c r="AI958" s="55">
        <f>IF(OR(AH958="",AE958=""),"",AH958-AE958)</f>
        <v>-5</v>
      </c>
      <c r="AW958" s="234"/>
      <c r="BP958" s="11"/>
      <c r="BQ958" s="11"/>
      <c r="BR958" s="235"/>
      <c r="BV958" s="158"/>
      <c r="BY958" s="158"/>
      <c r="CB958" s="158"/>
    </row>
    <row r="959" ht="18.0" hidden="1" customHeight="1">
      <c r="A959" s="222">
        <f>IFERROR(__xludf.DUMMYFUNCTION("""COMPUTED_VALUE"""),2026.0)</f>
        <v>2026</v>
      </c>
      <c r="B959" s="221">
        <f>IFERROR(__xludf.DUMMYFUNCTION("""COMPUTED_VALUE"""),1.1488265E7)</f>
        <v>11488265</v>
      </c>
      <c r="C959" s="222" t="str">
        <f>IFERROR(__xludf.DUMMYFUNCTION("""COMPUTED_VALUE"""),"BBL PT3 Air Kelik Dalam")</f>
        <v>BBL PT3 Air Kelik Dalam</v>
      </c>
      <c r="D959" s="222" t="str">
        <f>IFERROR(__xludf.DUMMYFUNCTION("""COMPUTED_VALUE"""),"REGIONAL I")</f>
        <v>REGIONAL I</v>
      </c>
      <c r="E959" s="222" t="str">
        <f>IFERROR(__xludf.DUMMYFUNCTION("""COMPUTED_VALUE"""),"BABEL")</f>
        <v>BABEL</v>
      </c>
      <c r="F959" s="222" t="str">
        <f>IFERROR(__xludf.DUMMYFUNCTION("""COMPUTED_VALUE"""),"MGR")</f>
        <v>MGR</v>
      </c>
      <c r="G959" s="222" t="str">
        <f>IFERROR(__xludf.DUMMYFUNCTION("""COMPUTED_VALUE"""),"SUMBAGSEL")</f>
        <v>SUMBAGSEL</v>
      </c>
      <c r="H959" s="222" t="str">
        <f>IFERROR(__xludf.DUMMYFUNCTION("""COMPUTED_VALUE"""),"PANGKAL PINANG")</f>
        <v>PANGKAL PINANG</v>
      </c>
      <c r="I959" s="222" t="str">
        <f>IFERROR(__xludf.DUMMYFUNCTION("""COMPUTED_VALUE"""),"Batch 2")</f>
        <v>Batch 2</v>
      </c>
      <c r="J959" s="225">
        <f>IFERROR(__xludf.DUMMYFUNCTION("""COMPUTED_VALUE"""),3.0)</f>
        <v>3</v>
      </c>
      <c r="K959" s="224">
        <f>IFERROR(__xludf.DUMMYFUNCTION("""COMPUTED_VALUE"""),24.0)</f>
        <v>24</v>
      </c>
      <c r="L959" s="226">
        <f>IFERROR(__xludf.DUMMYFUNCTION("""COMPUTED_VALUE"""),997083.0)</f>
        <v>997083</v>
      </c>
      <c r="M959" s="227">
        <f>IFERROR(__xludf.DUMMYFUNCTION("""COMPUTED_VALUE"""),2.3929992E7)</f>
        <v>23929992</v>
      </c>
      <c r="N959" s="222" t="str">
        <f>IFERROR(__xludf.DUMMYFUNCTION("""COMPUTED_VALUE"""),"SWAKELOLA")</f>
        <v>SWAKELOLA</v>
      </c>
      <c r="O959" s="222" t="str">
        <f>IFERROR(__xludf.DUMMYFUNCTION("""COMPUTED_VALUE"""),"7. GOLIVE")</f>
        <v>7. GOLIVE</v>
      </c>
      <c r="P959" s="222" t="str">
        <f>IFERROR(__xludf.DUMMYFUNCTION("""COMPUTED_VALUE"""),"7.2 Golive Full / OA / DONE OTB")</f>
        <v>7.2 Golive Full / OA / DONE OTB</v>
      </c>
      <c r="Q959" s="222" t="str">
        <f>IFERROR(__xludf.DUMMYFUNCTION("""COMPUTED_VALUE"""),"(08/01) Done Go Live (07/1)  SUDAH READY ABD V4 NYA 31/12 Finish Instalasi 16/12 hold, plan matdel besok 28/11 pengecekan panjar regional 10/11 pp pengecekan regional (07/11) PP masih revisi ulang (04/11) penganjuan PP kendala belm ttd pak HOREG(06/10) Pr"&amp;"oses TTD PP || 01/10 Pengambilan material kendala Project plan Mandor proses Evaluasi finance Area (19/09)Pengambilan material kendala Project plan Mandor proses Evaluasi finance Area(16/9) Pengajuan pp(15/9) proses penarikan kabel (10/09) Matdel WH ke Si"&amp;"te")</f>
        <v>(08/01) Done Go Live (07/1)  SUDAH READY ABD V4 NYA 31/12 Finish Instalasi 16/12 hold, plan matdel besok 28/11 pengecekan panjar regional 10/11 pp pengecekan regional (07/11) PP masih revisi ulang (04/11) penganjuan PP kendala belm ttd pak HOREG(06/10) Proses TTD PP || 01/10 Pengambilan material kendala Project plan Mandor proses Evaluasi finance Area (19/09)Pengambilan material kendala Project plan Mandor proses Evaluasi finance Area(16/9) Pengajuan pp(15/9) proses penarikan kabel (10/09) Matdel WH ke Site</v>
      </c>
      <c r="R959" s="228"/>
      <c r="S959" s="11"/>
      <c r="T959" s="11"/>
      <c r="U959" s="11"/>
      <c r="V959" s="229"/>
      <c r="W959" s="229"/>
      <c r="X959" s="229" t="str">
        <f>IFERROR(__xludf.DUMMYFUNCTION("""COMPUTED_VALUE"""),"GOLIVE")</f>
        <v>GOLIVE</v>
      </c>
      <c r="Y959" s="229" t="str">
        <f>IFERROR(__xludf.DUMMYFUNCTION("""COMPUTED_VALUE"""),"DONE")</f>
        <v>DONE</v>
      </c>
      <c r="Z959" s="229" t="str">
        <f>IFERROR(__xludf.DUMMYFUNCTION("""COMPUTED_VALUE"""),"#N/A")</f>
        <v>#N/A</v>
      </c>
      <c r="AA959" s="229">
        <f>IFERROR(__xludf.DUMMYFUNCTION("""COMPUTED_VALUE"""),1.0)</f>
        <v>1</v>
      </c>
      <c r="AB959" s="229">
        <f>IFERROR(__xludf.DUMMYFUNCTION("""COMPUTED_VALUE"""),1.0)</f>
        <v>1</v>
      </c>
      <c r="AC959" s="229" t="str">
        <f>IFERROR(__xludf.DUMMYFUNCTION("""COMPUTED_VALUE"""),"8931205#8931210")</f>
        <v>8931205#8931210</v>
      </c>
      <c r="AD959" s="232">
        <f>IFERROR(__xludf.DUMMYFUNCTION("""COMPUTED_VALUE"""),24.0)</f>
        <v>24</v>
      </c>
      <c r="AE959" s="233">
        <f>IFERROR(__xludf.DUMMYFUNCTION("""COMPUTED_VALUE"""),46030.0)</f>
        <v>46030</v>
      </c>
      <c r="AF959" s="54" t="str">
        <f>IFERROR(__xludf.DUMMYFUNCTION("""COMPUTED_VALUE"""),"DONE")</f>
        <v>DONE</v>
      </c>
      <c r="AG959" s="54"/>
      <c r="AH959" s="54">
        <v>46137.0</v>
      </c>
      <c r="AI959" s="237">
        <f>AH959-NOW()</f>
        <v>-3.377989907</v>
      </c>
      <c r="AJ959" s="229" t="str">
        <f>if(AI959&gt;=0,"In Komitmen","Out Komitmen")</f>
        <v>Out Komitmen</v>
      </c>
      <c r="AK959" s="229" t="e">
        <v>#N/A</v>
      </c>
      <c r="AW959" s="234"/>
      <c r="BP959" s="11"/>
      <c r="BQ959" s="11"/>
      <c r="BR959" s="235"/>
      <c r="BV959" s="158"/>
      <c r="BY959" s="158"/>
      <c r="CB959" s="158"/>
    </row>
    <row r="960" ht="18.0" customHeight="1">
      <c r="A960" s="222">
        <f>IFERROR(__xludf.DUMMYFUNCTION("""COMPUTED_VALUE"""),2026.0)</f>
        <v>2026</v>
      </c>
      <c r="B960" s="221">
        <f>IFERROR(__xludf.DUMMYFUNCTION("""COMPUTED_VALUE"""),1.1364974E7)</f>
        <v>11364974</v>
      </c>
      <c r="C960" s="222" t="str">
        <f>IFERROR(__xludf.DUMMYFUNCTION("""COMPUTED_VALUE"""),"RKP PT3 TSEL DBS-FAE JL. KARTINI DABO")</f>
        <v>RKP PT3 TSEL DBS-FAE JL. KARTINI DABO</v>
      </c>
      <c r="D960" s="222" t="str">
        <f>IFERROR(__xludf.DUMMYFUNCTION("""COMPUTED_VALUE"""),"REGIONAL I")</f>
        <v>REGIONAL I</v>
      </c>
      <c r="E960" s="222" t="str">
        <f>IFERROR(__xludf.DUMMYFUNCTION("""COMPUTED_VALUE"""),"RIKEP")</f>
        <v>RIKEP</v>
      </c>
      <c r="F960" s="222" t="str">
        <f>IFERROR(__xludf.DUMMYFUNCTION("""COMPUTED_VALUE"""),"DBS")</f>
        <v>DBS</v>
      </c>
      <c r="G960" s="222" t="str">
        <f>IFERROR(__xludf.DUMMYFUNCTION("""COMPUTED_VALUE"""),"SUMBAGTENG")</f>
        <v>SUMBAGTENG</v>
      </c>
      <c r="H960" s="222" t="str">
        <f>IFERROR(__xludf.DUMMYFUNCTION("""COMPUTED_VALUE"""),"BATAM")</f>
        <v>BATAM</v>
      </c>
      <c r="I960" s="222" t="str">
        <f>IFERROR(__xludf.DUMMYFUNCTION("""COMPUTED_VALUE"""),"Batch 2")</f>
        <v>Batch 2</v>
      </c>
      <c r="J960" s="225">
        <f>IFERROR(__xludf.DUMMYFUNCTION("""COMPUTED_VALUE"""),1.0)</f>
        <v>1</v>
      </c>
      <c r="K960" s="224">
        <f>IFERROR(__xludf.DUMMYFUNCTION("""COMPUTED_VALUE"""),8.0)</f>
        <v>8</v>
      </c>
      <c r="L960" s="226">
        <f>IFERROR(__xludf.DUMMYFUNCTION("""COMPUTED_VALUE"""),996690.0)</f>
        <v>996690</v>
      </c>
      <c r="M960" s="227">
        <f>IFERROR(__xludf.DUMMYFUNCTION("""COMPUTED_VALUE"""),7973516.0)</f>
        <v>7973516</v>
      </c>
      <c r="N960" s="222" t="str">
        <f>IFERROR(__xludf.DUMMYFUNCTION("""COMPUTED_VALUE"""),"SWAKELOLA")</f>
        <v>SWAKELOLA</v>
      </c>
      <c r="O960" s="222" t="str">
        <f>IFERROR(__xludf.DUMMYFUNCTION("""COMPUTED_VALUE"""),"4. MATDEL")</f>
        <v>4. MATDEL</v>
      </c>
      <c r="P960" s="222" t="str">
        <f>IFERROR(__xludf.DUMMYFUNCTION("""COMPUTED_VALUE"""),"4.3 Proses Kirim Mateial Kelokasi")</f>
        <v>4.3 Proses Kirim Mateial Kelokasi</v>
      </c>
      <c r="Q960"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960" s="228"/>
      <c r="S960" s="11"/>
      <c r="T960" s="11"/>
      <c r="U960" s="11" t="str">
        <f>IFERROR(__xludf.DUMMYFUNCTION("""COMPUTED_VALUE"""),"W09-308/2026")</f>
        <v>W09-308/2026</v>
      </c>
      <c r="V960" s="229" t="str">
        <f>IFERROR(__xludf.DUMMYFUNCTION("""COMPUTED_VALUE"""),"DEDY IRAWAN")</f>
        <v>DEDY IRAWAN</v>
      </c>
      <c r="W960" s="229" t="str">
        <f>IFERROR(__xludf.DUMMYFUNCTION("""COMPUTED_VALUE"""),"LEVITA INDRIYANI")</f>
        <v>LEVITA INDRIYANI</v>
      </c>
      <c r="X960" s="229" t="str">
        <f>IFERROR(__xludf.DUMMYFUNCTION("""COMPUTED_VALUE"""),"BELUM GOLIVE")</f>
        <v>BELUM GOLIVE</v>
      </c>
      <c r="Y960" s="229"/>
      <c r="Z960" s="229" t="str">
        <f>IFERROR(__xludf.DUMMYFUNCTION("""COMPUTED_VALUE"""),"#N/A")</f>
        <v>#N/A</v>
      </c>
      <c r="AA960" s="229"/>
      <c r="AB960" s="229"/>
      <c r="AC960" s="229"/>
      <c r="AD960" s="232"/>
      <c r="AE960" s="233"/>
      <c r="AF960" s="54"/>
      <c r="AG960" s="54"/>
      <c r="AH960" s="54"/>
      <c r="AI960" s="55" t="str">
        <f t="shared" ref="AI960:AI976" si="101">IF(OR(R960="",AE960=""),"",R960-AE960)</f>
        <v/>
      </c>
      <c r="AW960" s="234"/>
      <c r="BP960" s="11"/>
      <c r="BQ960" s="11"/>
      <c r="BR960" s="235"/>
      <c r="BV960" s="158"/>
      <c r="BY960" s="158"/>
      <c r="CB960" s="158"/>
    </row>
    <row r="961" ht="18.0" customHeight="1">
      <c r="A961" s="222">
        <f>IFERROR(__xludf.DUMMYFUNCTION("""COMPUTED_VALUE"""),2026.0)</f>
        <v>2026</v>
      </c>
      <c r="B961" s="221">
        <f>IFERROR(__xludf.DUMMYFUNCTION("""COMPUTED_VALUE"""),1.1418923E7)</f>
        <v>11418923</v>
      </c>
      <c r="C961" s="222" t="str">
        <f>IFERROR(__xludf.DUMMYFUNCTION("""COMPUTED_VALUE"""),"SMB P3I1 MD - DARWIN EFENDI 14 LOP")</f>
        <v>SMB P3I1 MD - DARWIN EFENDI 14 LOP</v>
      </c>
      <c r="D961" s="222" t="str">
        <f>IFERROR(__xludf.DUMMYFUNCTION("""COMPUTED_VALUE"""),"REGIONAL I")</f>
        <v>REGIONAL I</v>
      </c>
      <c r="E961" s="222" t="str">
        <f>IFERROR(__xludf.DUMMYFUNCTION("""COMPUTED_VALUE"""),"SUMBAR")</f>
        <v>SUMBAR</v>
      </c>
      <c r="F961" s="222" t="str">
        <f>IFERROR(__xludf.DUMMYFUNCTION("""COMPUTED_VALUE"""),"TPN")</f>
        <v>TPN</v>
      </c>
      <c r="G961" s="222" t="str">
        <f>IFERROR(__xludf.DUMMYFUNCTION("""COMPUTED_VALUE"""),"SUMBAGTENG")</f>
        <v>SUMBAGTENG</v>
      </c>
      <c r="H961" s="222" t="str">
        <f>IFERROR(__xludf.DUMMYFUNCTION("""COMPUTED_VALUE"""),"PADANG")</f>
        <v>PADANG</v>
      </c>
      <c r="I961" s="222" t="str">
        <f>IFERROR(__xludf.DUMMYFUNCTION("""COMPUTED_VALUE"""),"Batch 2")</f>
        <v>Batch 2</v>
      </c>
      <c r="J961" s="225">
        <f>IFERROR(__xludf.DUMMYFUNCTION("""COMPUTED_VALUE"""),21.0)</f>
        <v>21</v>
      </c>
      <c r="K961" s="224">
        <f>IFERROR(__xludf.DUMMYFUNCTION("""COMPUTED_VALUE"""),168.0)</f>
        <v>168</v>
      </c>
      <c r="L961" s="226">
        <f>IFERROR(__xludf.DUMMYFUNCTION("""COMPUTED_VALUE"""),996519.0)</f>
        <v>996519</v>
      </c>
      <c r="M961" s="227">
        <f>IFERROR(__xludf.DUMMYFUNCTION("""COMPUTED_VALUE"""),1.67415091E8)</f>
        <v>167415091</v>
      </c>
      <c r="N961" s="222" t="str">
        <f>IFERROR(__xludf.DUMMYFUNCTION("""COMPUTED_VALUE"""),"PT ACERO CETHA METALINDO")</f>
        <v>PT ACERO CETHA METALINDO</v>
      </c>
      <c r="O961" s="222" t="str">
        <f>IFERROR(__xludf.DUMMYFUNCTION("""COMPUTED_VALUE"""),"4. MATDEL")</f>
        <v>4. MATDEL</v>
      </c>
      <c r="P961" s="222" t="str">
        <f>IFERROR(__xludf.DUMMYFUNCTION("""COMPUTED_VALUE"""),"4.4 Proses Pengiriman Pabribak ke WH")</f>
        <v>4.4 Proses Pengiriman Pabribak ke WH</v>
      </c>
      <c r="Q961" s="222" t="str">
        <f>IFERROR(__xludf.DUMMYFUNCTION("""COMPUTED_VALUE"""),"(27/04) menunggu PO kabel 24 ADSS (20/04) Proses create PID  (10/04) Proses aanwijziing , LOP HOLD FEEDER FULL ACC GO (26/01) KENDALA FEEDER TPN-FA FULL")</f>
        <v>(27/04) menunggu PO kabel 24 ADSS (20/04) Proses create PID  (10/04) Proses aanwijziing , LOP HOLD FEEDER FULL ACC GO (26/01) KENDALA FEEDER TPN-FA FULL</v>
      </c>
      <c r="R961" s="228"/>
      <c r="S961" s="11"/>
      <c r="T961" s="11"/>
      <c r="U961" s="11"/>
      <c r="V961" s="229" t="str">
        <f>IFERROR(__xludf.DUMMYFUNCTION("""COMPUTED_VALUE"""),"PRAMADIO SEPWILMAN")</f>
        <v>PRAMADIO SEPWILMAN</v>
      </c>
      <c r="W961" s="229" t="str">
        <f>IFERROR(__xludf.DUMMYFUNCTION("""COMPUTED_VALUE"""),"MELKO NARWADI")</f>
        <v>MELKO NARWADI</v>
      </c>
      <c r="X961" s="229" t="str">
        <f>IFERROR(__xludf.DUMMYFUNCTION("""COMPUTED_VALUE"""),"BELUM GOLIVE")</f>
        <v>BELUM GOLIVE</v>
      </c>
      <c r="Y961" s="229"/>
      <c r="Z961" s="229" t="str">
        <f>IFERROR(__xludf.DUMMYFUNCTION("""COMPUTED_VALUE"""),"#N/A")</f>
        <v>#N/A</v>
      </c>
      <c r="AA961" s="229"/>
      <c r="AB961" s="229"/>
      <c r="AC961" s="229"/>
      <c r="AD961" s="232"/>
      <c r="AE961" s="233"/>
      <c r="AF961" s="54" t="str">
        <f>IFERROR(__xludf.DUMMYFUNCTION("""COMPUTED_VALUE"""),"Draft BA DROP")</f>
        <v>Draft BA DROP</v>
      </c>
      <c r="AG961" s="54"/>
      <c r="AH961" s="54"/>
      <c r="AI961" s="55" t="str">
        <f t="shared" si="101"/>
        <v/>
      </c>
      <c r="AW961" s="234"/>
      <c r="BP961" s="11"/>
      <c r="BQ961" s="11"/>
      <c r="BR961" s="235"/>
      <c r="BV961" s="158"/>
      <c r="BY961" s="158"/>
      <c r="CB961" s="158"/>
    </row>
    <row r="962" ht="18.0" customHeight="1">
      <c r="A962" s="222">
        <f>IFERROR(__xludf.DUMMYFUNCTION("""COMPUTED_VALUE"""),2026.0)</f>
        <v>2026</v>
      </c>
      <c r="B962" s="221">
        <f>IFERROR(__xludf.DUMMYFUNCTION("""COMPUTED_VALUE"""),1.1313118E7)</f>
        <v>11313118</v>
      </c>
      <c r="C962" s="222" t="str">
        <f>IFERROR(__xludf.DUMMYFUNCTION("""COMPUTED_VALUE"""),"SMB P2I1 Gereja Calvery Sawahlunto")</f>
        <v>SMB P2I1 Gereja Calvery Sawahlunto</v>
      </c>
      <c r="D962" s="222" t="str">
        <f>IFERROR(__xludf.DUMMYFUNCTION("""COMPUTED_VALUE"""),"REGIONAL I")</f>
        <v>REGIONAL I</v>
      </c>
      <c r="E962" s="222" t="str">
        <f>IFERROR(__xludf.DUMMYFUNCTION("""COMPUTED_VALUE"""),"SUMBAR")</f>
        <v>SUMBAR</v>
      </c>
      <c r="F962" s="222" t="str">
        <f>IFERROR(__xludf.DUMMYFUNCTION("""COMPUTED_VALUE"""),"SWL")</f>
        <v>SWL</v>
      </c>
      <c r="G962" s="222" t="str">
        <f>IFERROR(__xludf.DUMMYFUNCTION("""COMPUTED_VALUE"""),"SUMBAGTENG")</f>
        <v>SUMBAGTENG</v>
      </c>
      <c r="H962" s="222" t="str">
        <f>IFERROR(__xludf.DUMMYFUNCTION("""COMPUTED_VALUE"""),"PADANG")</f>
        <v>PADANG</v>
      </c>
      <c r="I962" s="222" t="str">
        <f>IFERROR(__xludf.DUMMYFUNCTION("""COMPUTED_VALUE"""),"Batch 2")</f>
        <v>Batch 2</v>
      </c>
      <c r="J962" s="225">
        <f>IFERROR(__xludf.DUMMYFUNCTION("""COMPUTED_VALUE"""),12.0)</f>
        <v>12</v>
      </c>
      <c r="K962" s="224">
        <f>IFERROR(__xludf.DUMMYFUNCTION("""COMPUTED_VALUE"""),96.0)</f>
        <v>96</v>
      </c>
      <c r="L962" s="226">
        <f>IFERROR(__xludf.DUMMYFUNCTION("""COMPUTED_VALUE"""),995273.0)</f>
        <v>995273</v>
      </c>
      <c r="M962" s="227">
        <f>IFERROR(__xludf.DUMMYFUNCTION("""COMPUTED_VALUE"""),9.5546171E7)</f>
        <v>95546171</v>
      </c>
      <c r="N962" s="222" t="str">
        <f>IFERROR(__xludf.DUMMYFUNCTION("""COMPUTED_VALUE"""),"PT TANJUNG PUTRA PRIMA")</f>
        <v>PT TANJUNG PUTRA PRIMA</v>
      </c>
      <c r="O962" s="222" t="str">
        <f>IFERROR(__xludf.DUMMYFUNCTION("""COMPUTED_VALUE"""),"8. UJI TERIMA")</f>
        <v>8. UJI TERIMA</v>
      </c>
      <c r="P962" s="222" t="str">
        <f>IFERROR(__xludf.DUMMYFUNCTION("""COMPUTED_VALUE"""),"8.1 Proses UT")</f>
        <v>8.1 Proses UT</v>
      </c>
      <c r="Q962" s="222" t="str">
        <f>IFERROR(__xludf.DUMMYFUNCTION("""COMPUTED_VALUE"""),"(18/02) Terminasi odp PLAN FI 18/02 (29/01) proses delivery material  (21/01) proses CReate PID (07/01) Persiapan")</f>
        <v>(18/02) Terminasi odp PLAN FI 18/02 (29/01) proses delivery material  (21/01) proses CReate PID (07/01) Persiapan</v>
      </c>
      <c r="R962" s="228">
        <f>IFERROR(__xludf.DUMMYFUNCTION("""COMPUTED_VALUE"""),46063.0)</f>
        <v>46063</v>
      </c>
      <c r="S962" s="11"/>
      <c r="T962" s="11"/>
      <c r="U962" s="11" t="str">
        <f>IFERROR(__xludf.DUMMYFUNCTION("""COMPUTED_VALUE"""),"TIF-1815/2026 26KT03R158-0005")</f>
        <v>TIF-1815/2026 26KT03R158-0005</v>
      </c>
      <c r="V962" s="229" t="str">
        <f>IFERROR(__xludf.DUMMYFUNCTION("""COMPUTED_VALUE"""),"YULIO NOVIKO")</f>
        <v>YULIO NOVIKO</v>
      </c>
      <c r="W962" s="229" t="str">
        <f>IFERROR(__xludf.DUMMYFUNCTION("""COMPUTED_VALUE"""),"MELKO NARWADI")</f>
        <v>MELKO NARWADI</v>
      </c>
      <c r="X962" s="229" t="str">
        <f>IFERROR(__xludf.DUMMYFUNCTION("""COMPUTED_VALUE"""),"GOLIVE")</f>
        <v>GOLIVE</v>
      </c>
      <c r="Y962" s="229" t="str">
        <f>IFERROR(__xludf.DUMMYFUNCTION("""COMPUTED_VALUE"""),"DONE")</f>
        <v>DONE</v>
      </c>
      <c r="Z962" s="229" t="str">
        <f>IFERROR(__xludf.DUMMYFUNCTION("""COMPUTED_VALUE"""),"#N/A")</f>
        <v>#N/A</v>
      </c>
      <c r="AA962" s="229">
        <f>IFERROR(__xludf.DUMMYFUNCTION("""COMPUTED_VALUE"""),12.0)</f>
        <v>12</v>
      </c>
      <c r="AB962" s="229"/>
      <c r="AC962" s="229" t="str">
        <f>IFERROR(__xludf.DUMMYFUNCTION("""COMPUTED_VALUE"""),"9147265#9147270")</f>
        <v>9147265#9147270</v>
      </c>
      <c r="AD962" s="232">
        <f>IFERROR(__xludf.DUMMYFUNCTION("""COMPUTED_VALUE"""),96.0)</f>
        <v>96</v>
      </c>
      <c r="AE962" s="233">
        <f>IFERROR(__xludf.DUMMYFUNCTION("""COMPUTED_VALUE"""),46079.0)</f>
        <v>46079</v>
      </c>
      <c r="AF962" s="54"/>
      <c r="AG962" s="54"/>
      <c r="AH962" s="54">
        <v>46063.0</v>
      </c>
      <c r="AI962" s="55">
        <f t="shared" si="101"/>
        <v>-16</v>
      </c>
      <c r="AW962" s="234"/>
      <c r="BP962" s="11"/>
      <c r="BQ962" s="11"/>
      <c r="BR962" s="235"/>
      <c r="BV962" s="158"/>
      <c r="BY962" s="158"/>
      <c r="CB962" s="158"/>
    </row>
    <row r="963" ht="18.0" hidden="1" customHeight="1">
      <c r="A963" s="222">
        <f>IFERROR(__xludf.DUMMYFUNCTION("""COMPUTED_VALUE"""),2026.0)</f>
        <v>2026</v>
      </c>
      <c r="B963" s="221">
        <f>IFERROR(__xludf.DUMMYFUNCTION("""COMPUTED_VALUE"""),1.2384231E7)</f>
        <v>12384231</v>
      </c>
      <c r="C963" s="222" t="str">
        <f>IFERROR(__xludf.DUMMYFUNCTION("""COMPUTED_VALUE"""),"MDN PT3 GLG-FB 250_1521_1758")</f>
        <v>MDN PT3 GLG-FB 250_1521_1758</v>
      </c>
      <c r="D963" s="222" t="str">
        <f>IFERROR(__xludf.DUMMYFUNCTION("""COMPUTED_VALUE"""),"REGIONAL I")</f>
        <v>REGIONAL I</v>
      </c>
      <c r="E963" s="222" t="str">
        <f>IFERROR(__xludf.DUMMYFUNCTION("""COMPUTED_VALUE"""),"MEDAN")</f>
        <v>MEDAN</v>
      </c>
      <c r="F963" s="222" t="str">
        <f>IFERROR(__xludf.DUMMYFUNCTION("""COMPUTED_VALUE"""),"GLG")</f>
        <v>GLG</v>
      </c>
      <c r="G963" s="222" t="str">
        <f>IFERROR(__xludf.DUMMYFUNCTION("""COMPUTED_VALUE"""),"SUMBAGUT")</f>
        <v>SUMBAGUT</v>
      </c>
      <c r="H963" s="222" t="str">
        <f>IFERROR(__xludf.DUMMYFUNCTION("""COMPUTED_VALUE"""),"MEDAN")</f>
        <v>MEDAN</v>
      </c>
      <c r="I963" s="222" t="str">
        <f>IFERROR(__xludf.DUMMYFUNCTION("""COMPUTED_VALUE"""),"Batch 2")</f>
        <v>Batch 2</v>
      </c>
      <c r="J963" s="225">
        <f>IFERROR(__xludf.DUMMYFUNCTION("""COMPUTED_VALUE"""),2.0)</f>
        <v>2</v>
      </c>
      <c r="K963" s="224">
        <f>IFERROR(__xludf.DUMMYFUNCTION("""COMPUTED_VALUE"""),16.0)</f>
        <v>16</v>
      </c>
      <c r="L963" s="226">
        <f>IFERROR(__xludf.DUMMYFUNCTION("""COMPUTED_VALUE"""),995191.0)</f>
        <v>995191</v>
      </c>
      <c r="M963" s="227">
        <f>IFERROR(__xludf.DUMMYFUNCTION("""COMPUTED_VALUE"""),1.5923041E7)</f>
        <v>15923041</v>
      </c>
      <c r="N963" s="222" t="str">
        <f>IFERROR(__xludf.DUMMYFUNCTION("""COMPUTED_VALUE"""),"PT NIAGA NUSANTARA DIVA")</f>
        <v>PT NIAGA NUSANTARA DIVA</v>
      </c>
      <c r="O963" s="222" t="str">
        <f>IFERROR(__xludf.DUMMYFUNCTION("""COMPUTED_VALUE"""),"0. DROP")</f>
        <v>0. DROP</v>
      </c>
      <c r="P963" s="222" t="str">
        <f>IFERROR(__xludf.DUMMYFUNCTION("""COMPUTED_VALUE"""),"0.2 Tidak Dapat Izin Warga/Kades/Lurah/Developer")</f>
        <v>0.2 Tidak Dapat Izin Warga/Kades/Lurah/Developer</v>
      </c>
      <c r="Q963" s="222" t="str">
        <f>IFERROR(__xludf.DUMMYFUNCTION("""COMPUTED_VALUE"""),"20/04 tidak ada space tanam tiang , warga tdk mengizinkan
31/03 komitmen perizinan (01/04) 06/02 perizinan di lahan warga
05/02 feeder/dist ok
(07/01) Persiapan")</f>
        <v>20/04 tidak ada space tanam tiang , warga tdk mengizinkan
31/03 komitmen perizinan (01/04) 06/02 perizinan di lahan warga
05/02 feeder/dist ok
(07/01) Persiapan</v>
      </c>
      <c r="R963" s="228"/>
      <c r="S963" s="11"/>
      <c r="T963" s="11"/>
      <c r="U963" s="11"/>
      <c r="V963" s="229"/>
      <c r="W963" s="229"/>
      <c r="X963" s="229" t="str">
        <f>IFERROR(__xludf.DUMMYFUNCTION("""COMPUTED_VALUE"""),"BELUM GOLIVE")</f>
        <v>BELUM GOLIVE</v>
      </c>
      <c r="Y963" s="229"/>
      <c r="Z963" s="229" t="str">
        <f>IFERROR(__xludf.DUMMYFUNCTION("""COMPUTED_VALUE"""),"#N/A")</f>
        <v>#N/A</v>
      </c>
      <c r="AA963" s="229"/>
      <c r="AB963" s="229"/>
      <c r="AC963" s="229"/>
      <c r="AD963" s="232"/>
      <c r="AE963" s="233"/>
      <c r="AF963" s="54"/>
      <c r="AG963" s="54"/>
      <c r="AH963" s="54"/>
      <c r="AI963" s="55" t="str">
        <f t="shared" si="101"/>
        <v/>
      </c>
      <c r="AW963" s="234"/>
      <c r="BP963" s="11"/>
      <c r="BQ963" s="11"/>
      <c r="BR963" s="235"/>
      <c r="BV963" s="158"/>
      <c r="BY963" s="158"/>
      <c r="CB963" s="158"/>
    </row>
    <row r="964" ht="18.0" customHeight="1">
      <c r="A964" s="222">
        <f>IFERROR(__xludf.DUMMYFUNCTION("""COMPUTED_VALUE"""),2026.0)</f>
        <v>2026</v>
      </c>
      <c r="B964" s="221">
        <f>IFERROR(__xludf.DUMMYFUNCTION("""COMPUTED_VALUE"""),1.189151E7)</f>
        <v>11891510</v>
      </c>
      <c r="C964" s="222" t="str">
        <f>IFERROR(__xludf.DUMMYFUNCTION("""COMPUTED_VALUE"""),"RDR JPP PT3 UBT FD")</f>
        <v>RDR JPP PT3 UBT FD</v>
      </c>
      <c r="D964" s="222" t="str">
        <f>IFERROR(__xludf.DUMMYFUNCTION("""COMPUTED_VALUE"""),"REGIONAL I")</f>
        <v>REGIONAL I</v>
      </c>
      <c r="E964" s="222" t="str">
        <f>IFERROR(__xludf.DUMMYFUNCTION("""COMPUTED_VALUE"""),"RIDAR")</f>
        <v>RIDAR</v>
      </c>
      <c r="F964" s="222" t="str">
        <f>IFERROR(__xludf.DUMMYFUNCTION("""COMPUTED_VALUE"""),"UBT")</f>
        <v>UBT</v>
      </c>
      <c r="G964" s="222" t="str">
        <f>IFERROR(__xludf.DUMMYFUNCTION("""COMPUTED_VALUE"""),"SUMBAGTENG")</f>
        <v>SUMBAGTENG</v>
      </c>
      <c r="H964" s="222" t="str">
        <f>IFERROR(__xludf.DUMMYFUNCTION("""COMPUTED_VALUE"""),"DUMAI")</f>
        <v>DUMAI</v>
      </c>
      <c r="I964" s="222" t="str">
        <f>IFERROR(__xludf.DUMMYFUNCTION("""COMPUTED_VALUE"""),"Batch 2")</f>
        <v>Batch 2</v>
      </c>
      <c r="J964" s="225">
        <f>IFERROR(__xludf.DUMMYFUNCTION("""COMPUTED_VALUE"""),2.0)</f>
        <v>2</v>
      </c>
      <c r="K964" s="224">
        <f>IFERROR(__xludf.DUMMYFUNCTION("""COMPUTED_VALUE"""),16.0)</f>
        <v>16</v>
      </c>
      <c r="L964" s="226">
        <f>IFERROR(__xludf.DUMMYFUNCTION("""COMPUTED_VALUE"""),995173.0)</f>
        <v>995173</v>
      </c>
      <c r="M964" s="227">
        <f>IFERROR(__xludf.DUMMYFUNCTION("""COMPUTED_VALUE"""),1.5922761E7)</f>
        <v>15922761</v>
      </c>
      <c r="N964" s="222" t="str">
        <f>IFERROR(__xludf.DUMMYFUNCTION("""COMPUTED_VALUE"""),"PT ALAM UTAMA MULIA")</f>
        <v>PT ALAM UTAMA MULIA</v>
      </c>
      <c r="O964" s="222" t="str">
        <f>IFERROR(__xludf.DUMMYFUNCTION("""COMPUTED_VALUE"""),"2. DONE AANWIJZING")</f>
        <v>2. DONE AANWIJZING</v>
      </c>
      <c r="P964" s="222" t="str">
        <f>IFERROR(__xludf.DUMMYFUNCTION("""COMPUTED_VALUE"""),"2.9 Kendala - Distribusi Penuh / Rusak")</f>
        <v>2.9 Kendala - Distribusi Penuh / Rusak</v>
      </c>
      <c r="Q964" s="222" t="str">
        <f>IFERROR(__xludf.DUMMYFUNCTION("""COMPUTED_VALUE"""),"13/04 Dist eksisting tidak tembus 20/01 Kendala dist tidak tembus (07/01) Persiapan")</f>
        <v>13/04 Dist eksisting tidak tembus 20/01 Kendala dist tidak tembus (07/01) Persiapan</v>
      </c>
      <c r="R964" s="228"/>
      <c r="S964" s="11"/>
      <c r="T964" s="11"/>
      <c r="U964" s="11"/>
      <c r="V964" s="229" t="str">
        <f>IFERROR(__xludf.DUMMYFUNCTION("""COMPUTED_VALUE"""),"ADIL WAHYUDI")</f>
        <v>ADIL WAHYUDI</v>
      </c>
      <c r="W964" s="229" t="str">
        <f>IFERROR(__xludf.DUMMYFUNCTION("""COMPUTED_VALUE"""),"ANZALA SAKINAH")</f>
        <v>ANZALA SAKINAH</v>
      </c>
      <c r="X964" s="229" t="str">
        <f>IFERROR(__xludf.DUMMYFUNCTION("""COMPUTED_VALUE"""),"BELUM GOLIVE")</f>
        <v>BELUM GOLIVE</v>
      </c>
      <c r="Y964" s="229"/>
      <c r="Z964" s="229" t="str">
        <f>IFERROR(__xludf.DUMMYFUNCTION("""COMPUTED_VALUE"""),"#N/A")</f>
        <v>#N/A</v>
      </c>
      <c r="AA964" s="229"/>
      <c r="AB964" s="229"/>
      <c r="AC964" s="229"/>
      <c r="AD964" s="232"/>
      <c r="AE964" s="233"/>
      <c r="AF964" s="54"/>
      <c r="AG964" s="54"/>
      <c r="AH964" s="54"/>
      <c r="AI964" s="55" t="str">
        <f t="shared" si="101"/>
        <v/>
      </c>
      <c r="AW964" s="234"/>
      <c r="BP964" s="11"/>
      <c r="BQ964" s="11"/>
      <c r="BR964" s="235"/>
      <c r="BV964" s="158"/>
      <c r="BY964" s="158"/>
      <c r="CB964" s="158"/>
    </row>
    <row r="965" ht="18.0" hidden="1" customHeight="1">
      <c r="A965" s="222">
        <f>IFERROR(__xludf.DUMMYFUNCTION("""COMPUTED_VALUE"""),2026.0)</f>
        <v>2026</v>
      </c>
      <c r="B965" s="221">
        <f>IFERROR(__xludf.DUMMYFUNCTION("""COMPUTED_VALUE"""),1.2084549E7)</f>
        <v>12084549</v>
      </c>
      <c r="C965" s="222" t="str">
        <f>IFERROR(__xludf.DUMMYFUNCTION("""COMPUTED_VALUE"""),"LPG PT3 JPP MATARAM PJN")</f>
        <v>LPG PT3 JPP MATARAM PJN</v>
      </c>
      <c r="D965" s="222" t="str">
        <f>IFERROR(__xludf.DUMMYFUNCTION("""COMPUTED_VALUE"""),"REGIONAL I")</f>
        <v>REGIONAL I</v>
      </c>
      <c r="E965" s="222" t="str">
        <f>IFERROR(__xludf.DUMMYFUNCTION("""COMPUTED_VALUE"""),"LAMPUNG")</f>
        <v>LAMPUNG</v>
      </c>
      <c r="F965" s="222" t="str">
        <f>IFERROR(__xludf.DUMMYFUNCTION("""COMPUTED_VALUE"""),"PJN")</f>
        <v>PJN</v>
      </c>
      <c r="G965" s="222" t="str">
        <f>IFERROR(__xludf.DUMMYFUNCTION("""COMPUTED_VALUE"""),"SUMBAGSEL")</f>
        <v>SUMBAGSEL</v>
      </c>
      <c r="H965" s="222" t="str">
        <f>IFERROR(__xludf.DUMMYFUNCTION("""COMPUTED_VALUE"""),"LAMPUNG")</f>
        <v>LAMPUNG</v>
      </c>
      <c r="I965" s="222" t="str">
        <f>IFERROR(__xludf.DUMMYFUNCTION("""COMPUTED_VALUE"""),"Batch 2")</f>
        <v>Batch 2</v>
      </c>
      <c r="J965" s="225">
        <f>IFERROR(__xludf.DUMMYFUNCTION("""COMPUTED_VALUE"""),5.0)</f>
        <v>5</v>
      </c>
      <c r="K965" s="224">
        <f>IFERROR(__xludf.DUMMYFUNCTION("""COMPUTED_VALUE"""),40.0)</f>
        <v>40</v>
      </c>
      <c r="L965" s="226">
        <f>IFERROR(__xludf.DUMMYFUNCTION("""COMPUTED_VALUE"""),993647.0)</f>
        <v>993647</v>
      </c>
      <c r="M965" s="227">
        <f>IFERROR(__xludf.DUMMYFUNCTION("""COMPUTED_VALUE"""),3.9745863E7)</f>
        <v>39745863</v>
      </c>
      <c r="N965" s="222" t="str">
        <f>IFERROR(__xludf.DUMMYFUNCTION("""COMPUTED_VALUE"""),"PT BANGTELINDO")</f>
        <v>PT BANGTELINDO</v>
      </c>
      <c r="O965" s="222" t="str">
        <f>IFERROR(__xludf.DUMMYFUNCTION("""COMPUTED_VALUE"""),"0. DROP")</f>
        <v>0. DROP</v>
      </c>
      <c r="P965" s="222" t="str">
        <f>IFERROR(__xludf.DUMMYFUNCTION("""COMPUTED_VALUE"""),"0.5 DROP TSEL - Acc ED TIF")</f>
        <v>0.5 DROP TSEL - Acc ED TIF</v>
      </c>
      <c r="Q965" s="222" t="str">
        <f>IFERROR(__xludf.DUMMYFUNCTION("""COMPUTED_VALUE""")," 2/3 new disgn karna bergabung dengan LOP lain menjadi PT 4
27/2  odc penuh dan feeder rusak konfir k tift
29/01 Feeder rusak &amp; perlu penambahan biq OLT 
19/01 Butuh Penambahan FEEDER &amp; MINI OLT ")</f>
        <v> 2/3 new disgn karna bergabung dengan LOP lain menjadi PT 4
27/2  odc penuh dan feeder rusak konfir k tift
29/01 Feeder rusak &amp; perlu penambahan biq OLT 
19/01 Butuh Penambahan FEEDER &amp; MINI OLT </v>
      </c>
      <c r="R965" s="228"/>
      <c r="S965" s="11"/>
      <c r="T965" s="11"/>
      <c r="U965" s="11"/>
      <c r="V965" s="229"/>
      <c r="W965" s="229"/>
      <c r="X965" s="229" t="str">
        <f>IFERROR(__xludf.DUMMYFUNCTION("""COMPUTED_VALUE"""),"BELUM GOLIVE")</f>
        <v>BELUM GOLIVE</v>
      </c>
      <c r="Y965" s="229"/>
      <c r="Z965" s="229" t="str">
        <f>IFERROR(__xludf.DUMMYFUNCTION("""COMPUTED_VALUE"""),"#N/A")</f>
        <v>#N/A</v>
      </c>
      <c r="AA965" s="229"/>
      <c r="AB965" s="229"/>
      <c r="AC965" s="229"/>
      <c r="AD965" s="232"/>
      <c r="AE965" s="233"/>
      <c r="AF965" s="54" t="str">
        <f>IFERROR(__xludf.DUMMYFUNCTION("""COMPUTED_VALUE"""),"Draft BA DROP")</f>
        <v>Draft BA DROP</v>
      </c>
      <c r="AG965" s="54"/>
      <c r="AH965" s="54"/>
      <c r="AI965" s="55" t="str">
        <f t="shared" si="101"/>
        <v/>
      </c>
      <c r="AW965" s="234"/>
      <c r="BP965" s="11"/>
      <c r="BQ965" s="11"/>
      <c r="BR965" s="235"/>
      <c r="BV965" s="158"/>
      <c r="BY965" s="158"/>
      <c r="CB965" s="158"/>
    </row>
    <row r="966" ht="18.0" customHeight="1">
      <c r="A966" s="222">
        <f>IFERROR(__xludf.DUMMYFUNCTION("""COMPUTED_VALUE"""),2026.0)</f>
        <v>2026</v>
      </c>
      <c r="B966" s="221">
        <f>IFERROR(__xludf.DUMMYFUNCTION("""COMPUTED_VALUE"""),1.1192208E7)</f>
        <v>11192208</v>
      </c>
      <c r="C966" s="222" t="str">
        <f>IFERROR(__xludf.DUMMYFUNCTION("""COMPUTED_VALUE"""),"SMB P1I1 Cluster Amora")</f>
        <v>SMB P1I1 Cluster Amora</v>
      </c>
      <c r="D966" s="222" t="str">
        <f>IFERROR(__xludf.DUMMYFUNCTION("""COMPUTED_VALUE"""),"REGIONAL I")</f>
        <v>REGIONAL I</v>
      </c>
      <c r="E966" s="222" t="str">
        <f>IFERROR(__xludf.DUMMYFUNCTION("""COMPUTED_VALUE"""),"SUMBAR")</f>
        <v>SUMBAR</v>
      </c>
      <c r="F966" s="222" t="str">
        <f>IFERROR(__xludf.DUMMYFUNCTION("""COMPUTED_VALUE"""),"PDC")</f>
        <v>PDC</v>
      </c>
      <c r="G966" s="222" t="str">
        <f>IFERROR(__xludf.DUMMYFUNCTION("""COMPUTED_VALUE"""),"SUMBAGTENG")</f>
        <v>SUMBAGTENG</v>
      </c>
      <c r="H966" s="222" t="str">
        <f>IFERROR(__xludf.DUMMYFUNCTION("""COMPUTED_VALUE"""),"PADANG")</f>
        <v>PADANG</v>
      </c>
      <c r="I966" s="222" t="str">
        <f>IFERROR(__xludf.DUMMYFUNCTION("""COMPUTED_VALUE"""),"Batch 2")</f>
        <v>Batch 2</v>
      </c>
      <c r="J966" s="225">
        <f>IFERROR(__xludf.DUMMYFUNCTION("""COMPUTED_VALUE"""),7.0)</f>
        <v>7</v>
      </c>
      <c r="K966" s="224">
        <f>IFERROR(__xludf.DUMMYFUNCTION("""COMPUTED_VALUE"""),56.0)</f>
        <v>56</v>
      </c>
      <c r="L966" s="226">
        <f>IFERROR(__xludf.DUMMYFUNCTION("""COMPUTED_VALUE"""),993575.0)</f>
        <v>993575</v>
      </c>
      <c r="M966" s="227">
        <f>IFERROR(__xludf.DUMMYFUNCTION("""COMPUTED_VALUE"""),5.5640162E7)</f>
        <v>55640162</v>
      </c>
      <c r="N966" s="222" t="str">
        <f>IFERROR(__xludf.DUMMYFUNCTION("""COMPUTED_VALUE"""),"PT GARINDO TECHNO MANDIRI")</f>
        <v>PT GARINDO TECHNO MANDIRI</v>
      </c>
      <c r="O966" s="222" t="str">
        <f>IFERROR(__xludf.DUMMYFUNCTION("""COMPUTED_VALUE"""),"8. UJI TERIMA")</f>
        <v>8. UJI TERIMA</v>
      </c>
      <c r="P966" s="222" t="str">
        <f>IFERROR(__xludf.DUMMYFUNCTION("""COMPUTED_VALUE"""),"8.1 Proses UT")</f>
        <v>8.1 Proses UT</v>
      </c>
      <c r="Q966" s="222" t="str">
        <f>IFERROR(__xludf.DUMMYFUNCTION("""COMPUTED_VALUE"""),"(21/01) ABD mancore / plan UT 22/01/2026  (07/01) Persiapan")</f>
        <v>(21/01) ABD mancore / plan UT 22/01/2026  (07/01) Persiapan</v>
      </c>
      <c r="R966" s="228"/>
      <c r="S966" s="11"/>
      <c r="T966" s="11"/>
      <c r="U966" s="11" t="str">
        <f>IFERROR(__xludf.DUMMYFUNCTION("""COMPUTED_VALUE"""),"W10-1771/2025 25KT03R158-0546")</f>
        <v>W10-1771/2025 25KT03R158-0546</v>
      </c>
      <c r="V966" s="229" t="str">
        <f>IFERROR(__xludf.DUMMYFUNCTION("""COMPUTED_VALUE"""),"ALDI EFENDI")</f>
        <v>ALDI EFENDI</v>
      </c>
      <c r="W966" s="229" t="str">
        <f>IFERROR(__xludf.DUMMYFUNCTION("""COMPUTED_VALUE"""),"MELKO NARWADI")</f>
        <v>MELKO NARWADI</v>
      </c>
      <c r="X966" s="229" t="str">
        <f>IFERROR(__xludf.DUMMYFUNCTION("""COMPUTED_VALUE"""),"GOLIVE")</f>
        <v>GOLIVE</v>
      </c>
      <c r="Y966" s="229" t="str">
        <f>IFERROR(__xludf.DUMMYFUNCTION("""COMPUTED_VALUE"""),"DONE")</f>
        <v>DONE</v>
      </c>
      <c r="Z966" s="229" t="str">
        <f>IFERROR(__xludf.DUMMYFUNCTION("""COMPUTED_VALUE"""),"#N/A")</f>
        <v>#N/A</v>
      </c>
      <c r="AA966" s="229">
        <f>IFERROR(__xludf.DUMMYFUNCTION("""COMPUTED_VALUE"""),7.0)</f>
        <v>7</v>
      </c>
      <c r="AB966" s="229"/>
      <c r="AC966" s="229" t="str">
        <f>IFERROR(__xludf.DUMMYFUNCTION("""COMPUTED_VALUE"""),"9020079#9020084")</f>
        <v>9020079#9020084</v>
      </c>
      <c r="AD966" s="232">
        <f>IFERROR(__xludf.DUMMYFUNCTION("""COMPUTED_VALUE"""),56.0)</f>
        <v>56</v>
      </c>
      <c r="AE966" s="233">
        <f>IFERROR(__xludf.DUMMYFUNCTION("""COMPUTED_VALUE"""),46048.0)</f>
        <v>46048</v>
      </c>
      <c r="AF966" s="54"/>
      <c r="AG966" s="54"/>
      <c r="AH966" s="54"/>
      <c r="AI966" s="55" t="str">
        <f t="shared" si="101"/>
        <v/>
      </c>
      <c r="AW966" s="234"/>
      <c r="BP966" s="11"/>
      <c r="BQ966" s="11"/>
      <c r="BR966" s="235"/>
      <c r="BV966" s="158"/>
      <c r="BY966" s="158"/>
      <c r="CB966" s="158"/>
    </row>
    <row r="967" ht="18.0" hidden="1" customHeight="1">
      <c r="A967" s="222">
        <f>IFERROR(__xludf.DUMMYFUNCTION("""COMPUTED_VALUE"""),2026.0)</f>
        <v>2026</v>
      </c>
      <c r="B967" s="221">
        <f>IFERROR(__xludf.DUMMYFUNCTION("""COMPUTED_VALUE"""),1.2082438E7)</f>
        <v>12082438</v>
      </c>
      <c r="C967" s="222" t="str">
        <f>IFERROR(__xludf.DUMMYFUNCTION("""COMPUTED_VALUE"""),"MDN PT3 PUB-FF DELI SERDANG_81915")</f>
        <v>MDN PT3 PUB-FF DELI SERDANG_81915</v>
      </c>
      <c r="D967" s="222" t="str">
        <f>IFERROR(__xludf.DUMMYFUNCTION("""COMPUTED_VALUE"""),"REGIONAL I")</f>
        <v>REGIONAL I</v>
      </c>
      <c r="E967" s="222" t="str">
        <f>IFERROR(__xludf.DUMMYFUNCTION("""COMPUTED_VALUE"""),"MEDAN")</f>
        <v>MEDAN</v>
      </c>
      <c r="F967" s="222" t="str">
        <f>IFERROR(__xludf.DUMMYFUNCTION("""COMPUTED_VALUE"""),"PUB")</f>
        <v>PUB</v>
      </c>
      <c r="G967" s="222" t="str">
        <f>IFERROR(__xludf.DUMMYFUNCTION("""COMPUTED_VALUE"""),"SUMBAGUT")</f>
        <v>SUMBAGUT</v>
      </c>
      <c r="H967" s="222" t="str">
        <f>IFERROR(__xludf.DUMMYFUNCTION("""COMPUTED_VALUE"""),"MEDAN")</f>
        <v>MEDAN</v>
      </c>
      <c r="I967" s="222" t="str">
        <f>IFERROR(__xludf.DUMMYFUNCTION("""COMPUTED_VALUE"""),"Batch 2")</f>
        <v>Batch 2</v>
      </c>
      <c r="J967" s="225">
        <f>IFERROR(__xludf.DUMMYFUNCTION("""COMPUTED_VALUE"""),2.0)</f>
        <v>2</v>
      </c>
      <c r="K967" s="224">
        <f>IFERROR(__xludf.DUMMYFUNCTION("""COMPUTED_VALUE"""),16.0)</f>
        <v>16</v>
      </c>
      <c r="L967" s="226">
        <f>IFERROR(__xludf.DUMMYFUNCTION("""COMPUTED_VALUE"""),993105.0)</f>
        <v>993105</v>
      </c>
      <c r="M967" s="227">
        <f>IFERROR(__xludf.DUMMYFUNCTION("""COMPUTED_VALUE"""),1.5889667E7)</f>
        <v>15889667</v>
      </c>
      <c r="N967" s="222" t="str">
        <f>IFERROR(__xludf.DUMMYFUNCTION("""COMPUTED_VALUE"""),"PT WALET SOLUSINDO")</f>
        <v>PT WALET SOLUSINDO</v>
      </c>
      <c r="O967" s="222" t="str">
        <f>IFERROR(__xludf.DUMMYFUNCTION("""COMPUTED_VALUE"""),"2. DONE AANWIJZING")</f>
        <v>2. DONE AANWIJZING</v>
      </c>
      <c r="P967" s="222" t="str">
        <f>IFERROR(__xludf.DUMMYFUNCTION("""COMPUTED_VALUE"""),"2.10 Kendala - Feeder Rusak")</f>
        <v>2.10 Kendala - Feeder Rusak</v>
      </c>
      <c r="Q967" s="222" t="str">
        <f>IFERROR(__xludf.DUMMYFUNCTION("""COMPUTED_VALUE"""),"30/01 Feeder Redti")</f>
        <v>30/01 Feeder Redti</v>
      </c>
      <c r="R967" s="228"/>
      <c r="S967" s="11"/>
      <c r="T967" s="11"/>
      <c r="U967" s="11"/>
      <c r="V967" s="229"/>
      <c r="W967" s="229"/>
      <c r="X967" s="229" t="str">
        <f>IFERROR(__xludf.DUMMYFUNCTION("""COMPUTED_VALUE"""),"BELUM GOLIVE")</f>
        <v>BELUM GOLIVE</v>
      </c>
      <c r="Y967" s="229"/>
      <c r="Z967" s="229" t="str">
        <f>IFERROR(__xludf.DUMMYFUNCTION("""COMPUTED_VALUE"""),"#N/A")</f>
        <v>#N/A</v>
      </c>
      <c r="AA967" s="229"/>
      <c r="AB967" s="229"/>
      <c r="AC967" s="229"/>
      <c r="AD967" s="232"/>
      <c r="AE967" s="233"/>
      <c r="AF967" s="54"/>
      <c r="AG967" s="54"/>
      <c r="AH967" s="54"/>
      <c r="AI967" s="55" t="str">
        <f t="shared" si="101"/>
        <v/>
      </c>
      <c r="AW967" s="234"/>
      <c r="BP967" s="11"/>
      <c r="BQ967" s="11"/>
      <c r="BR967" s="235"/>
      <c r="BV967" s="158"/>
      <c r="BY967" s="158"/>
      <c r="CB967" s="158"/>
    </row>
    <row r="968" ht="18.0" hidden="1" customHeight="1">
      <c r="A968" s="222">
        <f>IFERROR(__xludf.DUMMYFUNCTION("""COMPUTED_VALUE"""),2026.0)</f>
        <v>2026</v>
      </c>
      <c r="B968" s="221">
        <f>IFERROR(__xludf.DUMMYFUNCTION("""COMPUTED_VALUE"""),1.1843303E7)</f>
        <v>11843303</v>
      </c>
      <c r="C968" s="222" t="str">
        <f>IFERROR(__xludf.DUMMYFUNCTION("""COMPUTED_VALUE"""),"MDN PT3 TJR-FQ GG.MANGGA_MD25")</f>
        <v>MDN PT3 TJR-FQ GG.MANGGA_MD25</v>
      </c>
      <c r="D968" s="222" t="str">
        <f>IFERROR(__xludf.DUMMYFUNCTION("""COMPUTED_VALUE"""),"REGIONAL I")</f>
        <v>REGIONAL I</v>
      </c>
      <c r="E968" s="222" t="str">
        <f>IFERROR(__xludf.DUMMYFUNCTION("""COMPUTED_VALUE"""),"MEDAN")</f>
        <v>MEDAN</v>
      </c>
      <c r="F968" s="222" t="str">
        <f>IFERROR(__xludf.DUMMYFUNCTION("""COMPUTED_VALUE"""),"TJR")</f>
        <v>TJR</v>
      </c>
      <c r="G968" s="222" t="str">
        <f>IFERROR(__xludf.DUMMYFUNCTION("""COMPUTED_VALUE"""),"SUMBAGUT")</f>
        <v>SUMBAGUT</v>
      </c>
      <c r="H968" s="222" t="str">
        <f>IFERROR(__xludf.DUMMYFUNCTION("""COMPUTED_VALUE"""),"MEDAN")</f>
        <v>MEDAN</v>
      </c>
      <c r="I968" s="222" t="str">
        <f>IFERROR(__xludf.DUMMYFUNCTION("""COMPUTED_VALUE"""),"Batch 2")</f>
        <v>Batch 2</v>
      </c>
      <c r="J968" s="225">
        <f>IFERROR(__xludf.DUMMYFUNCTION("""COMPUTED_VALUE"""),1.0)</f>
        <v>1</v>
      </c>
      <c r="K968" s="224">
        <f>IFERROR(__xludf.DUMMYFUNCTION("""COMPUTED_VALUE"""),8.0)</f>
        <v>8</v>
      </c>
      <c r="L968" s="226">
        <f>IFERROR(__xludf.DUMMYFUNCTION("""COMPUTED_VALUE"""),1197488.0)</f>
        <v>1197488</v>
      </c>
      <c r="M968" s="227">
        <f>IFERROR(__xludf.DUMMYFUNCTION("""COMPUTED_VALUE"""),9579898.0)</f>
        <v>9579898</v>
      </c>
      <c r="N968" s="222" t="str">
        <f>IFERROR(__xludf.DUMMYFUNCTION("""COMPUTED_VALUE"""),"PT MEDCOM SOLUTION")</f>
        <v>PT MEDCOM SOLUTION</v>
      </c>
      <c r="O968" s="222" t="str">
        <f>IFERROR(__xludf.DUMMYFUNCTION("""COMPUTED_VALUE"""),"2. DONE AANWIJZING")</f>
        <v>2. DONE AANWIJZING</v>
      </c>
      <c r="P968" s="222" t="str">
        <f>IFERROR(__xludf.DUMMYFUNCTION("""COMPUTED_VALUE"""),"2.9 Kendala - Distribusi Penuh / Rusak")</f>
        <v>2.9 Kendala - Distribusi Penuh / Rusak</v>
      </c>
      <c r="Q968" s="222" t="str">
        <f>IFERROR(__xludf.DUMMYFUNCTION("""COMPUTED_VALUE"""),"21/04 pengukuran ulg / butuh qe
14/11 dist tdk tembus
11/11 Tidak dapat izin Kades
(24/09) Perizinan Warga dan Kades / Lurah
(23/09) Perizinan Warga dan Kades / Lurah
15/09 proses aanwijzing")</f>
        <v>21/04 pengukuran ulg / butuh qe
14/11 dist tdk tembus
11/11 Tidak dapat izin Kades
(24/09) Perizinan Warga dan Kades / Lurah
(23/09) Perizinan Warga dan Kades / Lurah
15/09 proses aanwijzing</v>
      </c>
      <c r="R968" s="228"/>
      <c r="S968" s="11"/>
      <c r="T968" s="11"/>
      <c r="U968" s="11"/>
      <c r="V968" s="229"/>
      <c r="W968" s="229"/>
      <c r="X968" s="229" t="str">
        <f>IFERROR(__xludf.DUMMYFUNCTION("""COMPUTED_VALUE"""),"BELUM GOLIVE")</f>
        <v>BELUM GOLIVE</v>
      </c>
      <c r="Y968" s="229"/>
      <c r="Z968" s="229" t="str">
        <f>IFERROR(__xludf.DUMMYFUNCTION("""COMPUTED_VALUE"""),"#N/A")</f>
        <v>#N/A</v>
      </c>
      <c r="AA968" s="229"/>
      <c r="AB968" s="229"/>
      <c r="AC968" s="229"/>
      <c r="AD968" s="232"/>
      <c r="AE968" s="233"/>
      <c r="AF968" s="54"/>
      <c r="AG968" s="54"/>
      <c r="AH968" s="54"/>
      <c r="AI968" s="55" t="str">
        <f t="shared" si="101"/>
        <v/>
      </c>
      <c r="AW968" s="234"/>
      <c r="BP968" s="11"/>
      <c r="BQ968" s="11"/>
      <c r="BR968" s="235"/>
      <c r="BV968" s="158"/>
      <c r="BY968" s="158"/>
      <c r="CB968" s="158"/>
    </row>
    <row r="969" ht="18.0" customHeight="1">
      <c r="A969" s="222">
        <f>IFERROR(__xludf.DUMMYFUNCTION("""COMPUTED_VALUE"""),2026.0)</f>
        <v>2026</v>
      </c>
      <c r="B969" s="221">
        <f>IFERROR(__xludf.DUMMYFUNCTION("""COMPUTED_VALUE"""),1.151665E7)</f>
        <v>11516650</v>
      </c>
      <c r="C969" s="222" t="str">
        <f>IFERROR(__xludf.DUMMYFUNCTION("""COMPUTED_VALUE"""),"RKP PT3 TSEL BDS-FF TIBAN DIAMOND")</f>
        <v>RKP PT3 TSEL BDS-FF TIBAN DIAMOND</v>
      </c>
      <c r="D969" s="222" t="str">
        <f>IFERROR(__xludf.DUMMYFUNCTION("""COMPUTED_VALUE"""),"REGIONAL I")</f>
        <v>REGIONAL I</v>
      </c>
      <c r="E969" s="222" t="str">
        <f>IFERROR(__xludf.DUMMYFUNCTION("""COMPUTED_VALUE"""),"RIKEP")</f>
        <v>RIKEP</v>
      </c>
      <c r="F969" s="222" t="str">
        <f>IFERROR(__xludf.DUMMYFUNCTION("""COMPUTED_VALUE"""),"DGS")</f>
        <v>DGS</v>
      </c>
      <c r="G969" s="222" t="str">
        <f>IFERROR(__xludf.DUMMYFUNCTION("""COMPUTED_VALUE"""),"SUMBAGTENG")</f>
        <v>SUMBAGTENG</v>
      </c>
      <c r="H969" s="222" t="str">
        <f>IFERROR(__xludf.DUMMYFUNCTION("""COMPUTED_VALUE"""),"BATAM")</f>
        <v>BATAM</v>
      </c>
      <c r="I969" s="222" t="str">
        <f>IFERROR(__xludf.DUMMYFUNCTION("""COMPUTED_VALUE"""),"Batch 2")</f>
        <v>Batch 2</v>
      </c>
      <c r="J969" s="225">
        <f>IFERROR(__xludf.DUMMYFUNCTION("""COMPUTED_VALUE"""),2.0)</f>
        <v>2</v>
      </c>
      <c r="K969" s="224">
        <f>IFERROR(__xludf.DUMMYFUNCTION("""COMPUTED_VALUE"""),16.0)</f>
        <v>16</v>
      </c>
      <c r="L969" s="226">
        <f>IFERROR(__xludf.DUMMYFUNCTION("""COMPUTED_VALUE"""),991555.0)</f>
        <v>991555</v>
      </c>
      <c r="M969" s="227">
        <f>IFERROR(__xludf.DUMMYFUNCTION("""COMPUTED_VALUE"""),1.586487E7)</f>
        <v>15864870</v>
      </c>
      <c r="N969" s="222" t="str">
        <f>IFERROR(__xludf.DUMMYFUNCTION("""COMPUTED_VALUE"""),"PT MITRA SETIA INDONESIA")</f>
        <v>PT MITRA SETIA INDONESIA</v>
      </c>
      <c r="O969" s="222" t="str">
        <f>IFERROR(__xludf.DUMMYFUNCTION("""COMPUTED_VALUE"""),"0. DROP")</f>
        <v>0. DROP</v>
      </c>
      <c r="P969" s="222" t="str">
        <f>IFERROR(__xludf.DUMMYFUNCTION("""COMPUTED_VALUE"""),"0.2 Tidak Dapat Izin Warga/Kades/Lurah/Developer")</f>
        <v>0.2 Tidak Dapat Izin Warga/Kades/Lurah/Developer</v>
      </c>
      <c r="Q969" s="222" t="str">
        <f>IFERROR(__xludf.DUMMYFUNCTION("""COMPUTED_VALUE"""),"13/02 Izin di tolak karena sudah ada provider lain di perumahan. 09/02 LOP belum di sruvey. 28/01 Plan survey 29 Jan. 21/01 plan survey minggu depan tgl 26")</f>
        <v>13/02 Izin di tolak karena sudah ada provider lain di perumahan. 09/02 LOP belum di sruvey. 28/01 Plan survey 29 Jan. 21/01 plan survey minggu depan tgl 26</v>
      </c>
      <c r="R969" s="228"/>
      <c r="S969" s="11"/>
      <c r="T969" s="11"/>
      <c r="U969" s="11"/>
      <c r="V969" s="229" t="str">
        <f>IFERROR(__xludf.DUMMYFUNCTION("""COMPUTED_VALUE"""),"GANI PRASTYO")</f>
        <v>GANI PRASTYO</v>
      </c>
      <c r="W969" s="229" t="str">
        <f>IFERROR(__xludf.DUMMYFUNCTION("""COMPUTED_VALUE"""),"LEVITA INDRIYANI")</f>
        <v>LEVITA INDRIYANI</v>
      </c>
      <c r="X969" s="229" t="str">
        <f>IFERROR(__xludf.DUMMYFUNCTION("""COMPUTED_VALUE"""),"BELUM GOLIVE")</f>
        <v>BELUM GOLIVE</v>
      </c>
      <c r="Y969" s="229"/>
      <c r="Z969" s="229" t="str">
        <f>IFERROR(__xludf.DUMMYFUNCTION("""COMPUTED_VALUE"""),"#N/A")</f>
        <v>#N/A</v>
      </c>
      <c r="AA969" s="229"/>
      <c r="AB969" s="229"/>
      <c r="AC969" s="229"/>
      <c r="AD969" s="232"/>
      <c r="AE969" s="233"/>
      <c r="AF969" s="54" t="str">
        <f>IFERROR(__xludf.DUMMYFUNCTION("""COMPUTED_VALUE"""),"Draft BA DROP")</f>
        <v>Draft BA DROP</v>
      </c>
      <c r="AG969" s="54"/>
      <c r="AH969" s="54"/>
      <c r="AI969" s="55" t="str">
        <f t="shared" si="101"/>
        <v/>
      </c>
      <c r="AW969" s="234"/>
      <c r="BP969" s="11"/>
      <c r="BQ969" s="11"/>
      <c r="BR969" s="235"/>
      <c r="BV969" s="158"/>
      <c r="BY969" s="158"/>
      <c r="CB969" s="158"/>
    </row>
    <row r="970" ht="18.0" hidden="1" customHeight="1">
      <c r="A970" s="222">
        <f>IFERROR(__xludf.DUMMYFUNCTION("""COMPUTED_VALUE"""),2026.0)</f>
        <v>2026</v>
      </c>
      <c r="B970" s="221">
        <f>IFERROR(__xludf.DUMMYFUNCTION("""COMPUTED_VALUE"""),1.1131339E7)</f>
        <v>11131339</v>
      </c>
      <c r="C970" s="222" t="str">
        <f>IFERROR(__xludf.DUMMYFUNCTION("""COMPUTED_VALUE"""),"MDN PT3 P7I6 TMU-FV GG.MELUR 17")</f>
        <v>MDN PT3 P7I6 TMU-FV GG.MELUR 17</v>
      </c>
      <c r="D970" s="222" t="str">
        <f>IFERROR(__xludf.DUMMYFUNCTION("""COMPUTED_VALUE"""),"REGIONAL I")</f>
        <v>REGIONAL I</v>
      </c>
      <c r="E970" s="222" t="str">
        <f>IFERROR(__xludf.DUMMYFUNCTION("""COMPUTED_VALUE"""),"MEDAN")</f>
        <v>MEDAN</v>
      </c>
      <c r="F970" s="222" t="str">
        <f>IFERROR(__xludf.DUMMYFUNCTION("""COMPUTED_VALUE"""),"TMU")</f>
        <v>TMU</v>
      </c>
      <c r="G970" s="222" t="str">
        <f>IFERROR(__xludf.DUMMYFUNCTION("""COMPUTED_VALUE"""),"SUMBAGUT")</f>
        <v>SUMBAGUT</v>
      </c>
      <c r="H970" s="222" t="str">
        <f>IFERROR(__xludf.DUMMYFUNCTION("""COMPUTED_VALUE"""),"MEDAN")</f>
        <v>MEDAN</v>
      </c>
      <c r="I970" s="222" t="str">
        <f>IFERROR(__xludf.DUMMYFUNCTION("""COMPUTED_VALUE"""),"Batch 2")</f>
        <v>Batch 2</v>
      </c>
      <c r="J970" s="225">
        <f>IFERROR(__xludf.DUMMYFUNCTION("""COMPUTED_VALUE"""),3.0)</f>
        <v>3</v>
      </c>
      <c r="K970" s="224">
        <f>IFERROR(__xludf.DUMMYFUNCTION("""COMPUTED_VALUE"""),24.0)</f>
        <v>24</v>
      </c>
      <c r="L970" s="226">
        <f>IFERROR(__xludf.DUMMYFUNCTION("""COMPUTED_VALUE"""),990409.0)</f>
        <v>990409</v>
      </c>
      <c r="M970" s="227">
        <f>IFERROR(__xludf.DUMMYFUNCTION("""COMPUTED_VALUE"""),2.3769807E7)</f>
        <v>23769807</v>
      </c>
      <c r="N970" s="222" t="str">
        <f>IFERROR(__xludf.DUMMYFUNCTION("""COMPUTED_VALUE"""),"PT SINAR KEPRI SEJAHTERA")</f>
        <v>PT SINAR KEPRI SEJAHTERA</v>
      </c>
      <c r="O970" s="222" t="str">
        <f>IFERROR(__xludf.DUMMYFUNCTION("""COMPUTED_VALUE"""),"0. DROP")</f>
        <v>0. DROP</v>
      </c>
      <c r="P970" s="222" t="str">
        <f>IFERROR(__xludf.DUMMYFUNCTION("""COMPUTED_VALUE"""),"0.3 Feeder Full")</f>
        <v>0.3 Feeder Full</v>
      </c>
      <c r="Q970" s="222" t="str">
        <f>IFERROR(__xludf.DUMMYFUNCTION("""COMPUTED_VALUE"""),"5/11 Feeder Habis
01/11proses aanwijzing")</f>
        <v>5/11 Feeder Habis
01/11proses aanwijzing</v>
      </c>
      <c r="R970" s="228"/>
      <c r="S970" s="11"/>
      <c r="T970" s="11"/>
      <c r="U970" s="11"/>
      <c r="V970" s="229"/>
      <c r="W970" s="229"/>
      <c r="X970" s="229" t="str">
        <f>IFERROR(__xludf.DUMMYFUNCTION("""COMPUTED_VALUE"""),"BELUM GOLIVE")</f>
        <v>BELUM GOLIVE</v>
      </c>
      <c r="Y970" s="229"/>
      <c r="Z970" s="229" t="str">
        <f>IFERROR(__xludf.DUMMYFUNCTION("""COMPUTED_VALUE"""),"#N/A")</f>
        <v>#N/A</v>
      </c>
      <c r="AA970" s="229"/>
      <c r="AB970" s="229"/>
      <c r="AC970" s="229"/>
      <c r="AD970" s="232"/>
      <c r="AE970" s="233"/>
      <c r="AF970" s="54"/>
      <c r="AG970" s="54"/>
      <c r="AH970" s="54"/>
      <c r="AI970" s="55" t="str">
        <f t="shared" si="101"/>
        <v/>
      </c>
      <c r="AW970" s="234"/>
      <c r="BP970" s="11"/>
      <c r="BQ970" s="11"/>
      <c r="BR970" s="235"/>
      <c r="BV970" s="158"/>
      <c r="BY970" s="158"/>
      <c r="CB970" s="158"/>
    </row>
    <row r="971" ht="18.0" hidden="1" customHeight="1">
      <c r="A971" s="222">
        <f>IFERROR(__xludf.DUMMYFUNCTION("""COMPUTED_VALUE"""),2026.0)</f>
        <v>2026</v>
      </c>
      <c r="B971" s="221">
        <f>IFERROR(__xludf.DUMMYFUNCTION("""COMPUTED_VALUE"""),1.2128953E7)</f>
        <v>12128953</v>
      </c>
      <c r="C971" s="222" t="str">
        <f>IFERROR(__xludf.DUMMYFUNCTION("""COMPUTED_VALUE"""),"LPG PT3 JPP GG Abdul Karim KDT")</f>
        <v>LPG PT3 JPP GG Abdul Karim KDT</v>
      </c>
      <c r="D971" s="222" t="str">
        <f>IFERROR(__xludf.DUMMYFUNCTION("""COMPUTED_VALUE"""),"REGIONAL I")</f>
        <v>REGIONAL I</v>
      </c>
      <c r="E971" s="222" t="str">
        <f>IFERROR(__xludf.DUMMYFUNCTION("""COMPUTED_VALUE"""),"LAMPUNG")</f>
        <v>LAMPUNG</v>
      </c>
      <c r="F971" s="222" t="str">
        <f>IFERROR(__xludf.DUMMYFUNCTION("""COMPUTED_VALUE"""),"KDT")</f>
        <v>KDT</v>
      </c>
      <c r="G971" s="222" t="str">
        <f>IFERROR(__xludf.DUMMYFUNCTION("""COMPUTED_VALUE"""),"SUMBAGSEL")</f>
        <v>SUMBAGSEL</v>
      </c>
      <c r="H971" s="222" t="str">
        <f>IFERROR(__xludf.DUMMYFUNCTION("""COMPUTED_VALUE"""),"LAMPUNG")</f>
        <v>LAMPUNG</v>
      </c>
      <c r="I971" s="222" t="str">
        <f>IFERROR(__xludf.DUMMYFUNCTION("""COMPUTED_VALUE"""),"Batch 2")</f>
        <v>Batch 2</v>
      </c>
      <c r="J971" s="225">
        <f>IFERROR(__xludf.DUMMYFUNCTION("""COMPUTED_VALUE"""),3.0)</f>
        <v>3</v>
      </c>
      <c r="K971" s="224">
        <f>IFERROR(__xludf.DUMMYFUNCTION("""COMPUTED_VALUE"""),24.0)</f>
        <v>24</v>
      </c>
      <c r="L971" s="226">
        <f>IFERROR(__xludf.DUMMYFUNCTION("""COMPUTED_VALUE"""),989991.0)</f>
        <v>989991</v>
      </c>
      <c r="M971" s="227">
        <f>IFERROR(__xludf.DUMMYFUNCTION("""COMPUTED_VALUE"""),2.3759765E7)</f>
        <v>23759765</v>
      </c>
      <c r="N971" s="222" t="str">
        <f>IFERROR(__xludf.DUMMYFUNCTION("""COMPUTED_VALUE"""),"PT BANGTELINDO")</f>
        <v>PT BANGTELINDO</v>
      </c>
      <c r="O971" s="222" t="str">
        <f>IFERROR(__xludf.DUMMYFUNCTION("""COMPUTED_VALUE"""),"0. DROP")</f>
        <v>0. DROP</v>
      </c>
      <c r="P971" s="222" t="str">
        <f>IFERROR(__xludf.DUMMYFUNCTION("""COMPUTED_VALUE"""),"0.2 Tidak Dapat Izin Warga/Kades/Lurah/Developer")</f>
        <v>0.2 Tidak Dapat Izin Warga/Kades/Lurah/Developer</v>
      </c>
      <c r="Q971" s="222" t="str">
        <f>IFERROR(__xludf.DUMMYFUNCTION("""COMPUTED_VALUE"""),"6/2 tidak dapat izin dari warga,, 4/2 menunggu konfirmasi balik dari lurah terkiat perizinan 
28/1progres cek eletrical 
21/progres cek eletrical odc dan olt 
19/1 proses pengacekan core dan perizinan")</f>
        <v>6/2 tidak dapat izin dari warga,, 4/2 menunggu konfirmasi balik dari lurah terkiat perizinan 
28/1progres cek eletrical 
21/progres cek eletrical odc dan olt 
19/1 proses pengacekan core dan perizinan</v>
      </c>
      <c r="R971" s="228"/>
      <c r="S971" s="11"/>
      <c r="T971" s="11"/>
      <c r="U971" s="11"/>
      <c r="V971" s="229"/>
      <c r="W971" s="229"/>
      <c r="X971" s="229" t="str">
        <f>IFERROR(__xludf.DUMMYFUNCTION("""COMPUTED_VALUE"""),"BELUM GOLIVE")</f>
        <v>BELUM GOLIVE</v>
      </c>
      <c r="Y971" s="229"/>
      <c r="Z971" s="229" t="str">
        <f>IFERROR(__xludf.DUMMYFUNCTION("""COMPUTED_VALUE"""),"#N/A")</f>
        <v>#N/A</v>
      </c>
      <c r="AA971" s="229"/>
      <c r="AB971" s="229"/>
      <c r="AC971" s="229"/>
      <c r="AD971" s="232"/>
      <c r="AE971" s="233"/>
      <c r="AF971" s="54" t="str">
        <f>IFERROR(__xludf.DUMMYFUNCTION("""COMPUTED_VALUE"""),"Draft BA DROP")</f>
        <v>Draft BA DROP</v>
      </c>
      <c r="AG971" s="54"/>
      <c r="AH971" s="54"/>
      <c r="AI971" s="55" t="str">
        <f t="shared" si="101"/>
        <v/>
      </c>
      <c r="AW971" s="234"/>
      <c r="BP971" s="11"/>
      <c r="BQ971" s="11"/>
      <c r="BR971" s="235"/>
      <c r="BV971" s="158"/>
      <c r="BY971" s="158"/>
      <c r="CB971" s="158"/>
    </row>
    <row r="972" ht="18.0" hidden="1" customHeight="1">
      <c r="A972" s="222">
        <f>IFERROR(__xludf.DUMMYFUNCTION("""COMPUTED_VALUE"""),2026.0)</f>
        <v>2026</v>
      </c>
      <c r="B972" s="221">
        <f>IFERROR(__xludf.DUMMYFUNCTION("""COMPUTED_VALUE"""),1.2438532E7)</f>
        <v>12438532</v>
      </c>
      <c r="C972" s="222" t="str">
        <f>IFERROR(__xludf.DUMMYFUNCTION("""COMPUTED_VALUE"""),"SMS P4I4 PT3 LHT FAB D09 ASAH MANGGUL")</f>
        <v>SMS P4I4 PT3 LHT FAB D09 ASAH MANGGUL</v>
      </c>
      <c r="D972" s="222" t="str">
        <f>IFERROR(__xludf.DUMMYFUNCTION("""COMPUTED_VALUE"""),"REGIONAL I")</f>
        <v>REGIONAL I</v>
      </c>
      <c r="E972" s="222" t="str">
        <f>IFERROR(__xludf.DUMMYFUNCTION("""COMPUTED_VALUE"""),"SUMSEL")</f>
        <v>SUMSEL</v>
      </c>
      <c r="F972" s="222" t="str">
        <f>IFERROR(__xludf.DUMMYFUNCTION("""COMPUTED_VALUE"""),"LHT")</f>
        <v>LHT</v>
      </c>
      <c r="G972" s="222" t="str">
        <f>IFERROR(__xludf.DUMMYFUNCTION("""COMPUTED_VALUE"""),"SUMBAGSEL")</f>
        <v>SUMBAGSEL</v>
      </c>
      <c r="H972" s="222" t="str">
        <f>IFERROR(__xludf.DUMMYFUNCTION("""COMPUTED_VALUE"""),"BENGKULU")</f>
        <v>BENGKULU</v>
      </c>
      <c r="I972" s="222" t="str">
        <f>IFERROR(__xludf.DUMMYFUNCTION("""COMPUTED_VALUE"""),"Batch 2")</f>
        <v>Batch 2</v>
      </c>
      <c r="J972" s="225">
        <f>IFERROR(__xludf.DUMMYFUNCTION("""COMPUTED_VALUE"""),5.0)</f>
        <v>5</v>
      </c>
      <c r="K972" s="224">
        <f>IFERROR(__xludf.DUMMYFUNCTION("""COMPUTED_VALUE"""),40.0)</f>
        <v>40</v>
      </c>
      <c r="L972" s="226">
        <f>IFERROR(__xludf.DUMMYFUNCTION("""COMPUTED_VALUE"""),987176.0)</f>
        <v>987176</v>
      </c>
      <c r="M972" s="227">
        <f>IFERROR(__xludf.DUMMYFUNCTION("""COMPUTED_VALUE"""),3.9487008E7)</f>
        <v>39487008</v>
      </c>
      <c r="N972" s="222" t="str">
        <f>IFERROR(__xludf.DUMMYFUNCTION("""COMPUTED_VALUE"""),"PT SALTTEK DUMPANG JAYA")</f>
        <v>PT SALTTEK DUMPANG JAYA</v>
      </c>
      <c r="O972" s="222" t="str">
        <f>IFERROR(__xludf.DUMMYFUNCTION("""COMPUTED_VALUE"""),"2. DONE AANWIJZING")</f>
        <v>2. DONE AANWIJZING</v>
      </c>
      <c r="P972" s="222" t="str">
        <f>IFERROR(__xludf.DUMMYFUNCTION("""COMPUTED_VALUE"""),"2.5 Proses Create PID")</f>
        <v>2.5 Proses Create PID</v>
      </c>
      <c r="Q972" s="222" t="str">
        <f>IFERROR(__xludf.DUMMYFUNCTION("""COMPUTED_VALUE"""),"27/04 : Proses PR PO // 13/04 Sudah di kunjungi belum ada feedback 09/04 kepala desa belum ada FEEDBACK , plan 10 apr visit ulang  08/04 Proses perizinan kepala desa, belum ada feedback 26/03 proses pergantian mitra dri raharja ke GPTP, 25/03 PROGRESS UPD"&amp;"ATE BOQ DAN KML SETELAH AANWIDJZING - MASIH MENUNGGU INFO TSEL MENGENAI PENGURANGAN ODP,  16/03 HASIL AANWIDJZING TDK PERLU IZIN KRNA HANYA TARIK KABEL SAJA (BISA DIKERJAKAN), 12/03 DONE AANWIDJZING, 10/03 PROGRESS AANWIJDZING ULANG, 09/03 DIALIHKAN KE MI"&amp;"TRA GPTP, 09/03 DATA UPDATE BLM DI KIRIM MITRA, 06/03 SDH DI FU TERUS TP BELUM ADA INFO DARI MITRA, 02/03 SDH DI FU TERUS TP BELUM ADA INFO DARI MITRA, 27/02 BELUM EVAL, 23/02 LANJUT EVAL, 22/2  menunggu hasil perhitungan QE dan review TIF  19/02 HASIL AA"&amp;"NWIDJZING BISA DIKERJAKAN SESUAI PLAN DAN TIDAK BUTUH IZIN DIKARENAKAN HANYA PENARIKAN KABEL PENDEK, 10/02 DONE AANWIDJZING - MITRA BELUM KIRIM HASIL AANWIDJZING, 04/02 PROSES AANWIDJZING, 30/01 PROSES AANWIDJZING, (23/1) Proses Aanwijdzing - Est 27 Setor"&amp;" ke Pak wijaya  (21/01) menunggu antrian untuk aanwizjing, (15/1) ORDER DITERIMA MITRA 14/1, masih menunngu confirm- kepastian 19 jan (14/11)HOLD-  tidak masuk target Optimis 2025 (13/11)  penunjukkan mitra raharja, 10/11 penunjukkan mitra raharja 3/11 mi"&amp;"tra raharja ditunjuk sbagai mitra lop ini 23/10 belum di lakukan oleh mitra ke lokasi
15/10 plan aanwiznig tgl 17/10
(08/10) menunggu jadwal aanwijizng
(01/10) menunggu jadwal aanwijizng
(19/09) pejadwalan aanwijzing
14/01 sudah penunjukan mitra oleh proc"&amp;"urement")</f>
        <v>27/04 : Proses PR PO // 13/04 Sudah di kunjungi belum ada feedback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972" s="228"/>
      <c r="S972" s="11"/>
      <c r="T972" s="11"/>
      <c r="U972" s="11"/>
      <c r="V972" s="229" t="str">
        <f>IFERROR(__xludf.DUMMYFUNCTION("""COMPUTED_VALUE"""),"PUTRA")</f>
        <v>PUTRA</v>
      </c>
      <c r="W972" s="229"/>
      <c r="X972" s="229" t="str">
        <f>IFERROR(__xludf.DUMMYFUNCTION("""COMPUTED_VALUE"""),"BELUM GOLIVE")</f>
        <v>BELUM GOLIVE</v>
      </c>
      <c r="Y972" s="229"/>
      <c r="Z972" s="229" t="str">
        <f>IFERROR(__xludf.DUMMYFUNCTION("""COMPUTED_VALUE"""),"#N/A")</f>
        <v>#N/A</v>
      </c>
      <c r="AA972" s="229"/>
      <c r="AB972" s="229"/>
      <c r="AC972" s="229"/>
      <c r="AD972" s="232"/>
      <c r="AE972" s="233"/>
      <c r="AF972" s="54"/>
      <c r="AG972" s="54"/>
      <c r="AH972" s="54"/>
      <c r="AI972" s="55" t="str">
        <f t="shared" si="101"/>
        <v/>
      </c>
      <c r="AW972" s="234"/>
      <c r="BP972" s="11"/>
      <c r="BQ972" s="11"/>
      <c r="BR972" s="235"/>
      <c r="BV972" s="158"/>
      <c r="BY972" s="158"/>
      <c r="CB972" s="158"/>
    </row>
    <row r="973" ht="18.0" hidden="1" customHeight="1">
      <c r="A973" s="222">
        <f>IFERROR(__xludf.DUMMYFUNCTION("""COMPUTED_VALUE"""),2026.0)</f>
        <v>2026</v>
      </c>
      <c r="B973" s="221">
        <f>IFERROR(__xludf.DUMMYFUNCTION("""COMPUTED_VALUE"""),1.1265662E7)</f>
        <v>11265662</v>
      </c>
      <c r="C973" s="222" t="str">
        <f>IFERROR(__xludf.DUMMYFUNCTION("""COMPUTED_VALUE"""),"SMS P1I2 PT4 ODC MEM GRIYA RAPEN")</f>
        <v>SMS P1I2 PT4 ODC MEM GRIYA RAPEN</v>
      </c>
      <c r="D973" s="222" t="str">
        <f>IFERROR(__xludf.DUMMYFUNCTION("""COMPUTED_VALUE"""),"REGIONAL I")</f>
        <v>REGIONAL I</v>
      </c>
      <c r="E973" s="222" t="str">
        <f>IFERROR(__xludf.DUMMYFUNCTION("""COMPUTED_VALUE"""),"SUMSEL")</f>
        <v>SUMSEL</v>
      </c>
      <c r="F973" s="222" t="str">
        <f>IFERROR(__xludf.DUMMYFUNCTION("""COMPUTED_VALUE"""),"MEM")</f>
        <v>MEM</v>
      </c>
      <c r="G973" s="222" t="str">
        <f>IFERROR(__xludf.DUMMYFUNCTION("""COMPUTED_VALUE"""),"SUMBAGSEL")</f>
        <v>SUMBAGSEL</v>
      </c>
      <c r="H973" s="222" t="str">
        <f>IFERROR(__xludf.DUMMYFUNCTION("""COMPUTED_VALUE"""),"PALEMBANG")</f>
        <v>PALEMBANG</v>
      </c>
      <c r="I973" s="222" t="str">
        <f>IFERROR(__xludf.DUMMYFUNCTION("""COMPUTED_VALUE"""),"Batch 2")</f>
        <v>Batch 2</v>
      </c>
      <c r="J973" s="225">
        <f>IFERROR(__xludf.DUMMYFUNCTION("""COMPUTED_VALUE"""),29.0)</f>
        <v>29</v>
      </c>
      <c r="K973" s="224">
        <f>IFERROR(__xludf.DUMMYFUNCTION("""COMPUTED_VALUE"""),232.0)</f>
        <v>232</v>
      </c>
      <c r="L973" s="226">
        <f>IFERROR(__xludf.DUMMYFUNCTION("""COMPUTED_VALUE"""),986370.0)</f>
        <v>986370</v>
      </c>
      <c r="M973" s="227">
        <f>IFERROR(__xludf.DUMMYFUNCTION("""COMPUTED_VALUE"""),2.2883781E8)</f>
        <v>228837810</v>
      </c>
      <c r="N973" s="222" t="str">
        <f>IFERROR(__xludf.DUMMYFUNCTION("""COMPUTED_VALUE"""),"PT ACERO CETHA METALINDO")</f>
        <v>PT ACERO CETHA METALINDO</v>
      </c>
      <c r="O973" s="222" t="str">
        <f>IFERROR(__xludf.DUMMYFUNCTION("""COMPUTED_VALUE"""),"4. MATDEL")</f>
        <v>4. MATDEL</v>
      </c>
      <c r="P973" s="222" t="str">
        <f>IFERROR(__xludf.DUMMYFUNCTION("""COMPUTED_VALUE"""),"4.1 Belum Request Material (Alista)")</f>
        <v>4.1 Belum Request Material (Alista)</v>
      </c>
      <c r="Q973" s="222" t="str">
        <f>IFERROR(__xludf.DUMMYFUNCTION("""COMPUTED_VALUE"""),"27/04 PROSES INPUT MATERIAL, 27/04 lagi berkoordinasi dg tif untuk perubahan desain jalur feeder, 13/04 masih proses perizinan dengan PIHAK RT setempat  08/04 MENUNGGU PR PO, 06/04 PROSES PR PO, 04/04 MASIH MENUNGGU PID LOP DIMAS PPPA MEM 2 UTK DILANJUTKA"&amp;"N KE PR PO, 30/03 MENUNGGU PR PO, 28/03 DONE DRM, 27/03 PROSES DRM, 26/03 OGP DRM (PERUBAHAN DRI SWAKELOLA KE KEMITRAAN), 24/03 EST TGL 30 MAR INPUT MATERIAL, 21/03 EST TGL 30 MAR INPUT MATERIAL, 16/03 EST TGL 30 MAR INPUT MATERIAL, 13/03 OGP DRM, 10/03 O"&amp;"GP DRM, 03/03 LANJUT DRM, 02/03 OGP REVIEW TIF, 27/02 HOLD CPP NAIK 22/2 pencarian site telkom Group terdekat untuk peletakan mini OLT 10/02 MASIH HOLD KRNA HRUS DIPASTIKAN TERKAIT STUB FEEDER DAN MINI OLT, 06/02 HASIL REVIEW TSEL - BLM ADA KEPASTIAN, 04/"&amp;"02 OGP EVAL, 02/02 PROSES PERIZINAN, 30/01 DONE AAAWIDJZING - PERIZINAN, (20/01) plan pekerjaan swakelola TA, HI otw aanwijzing (15/1)  MITRA GTM OVERLOAD (06/01)order JPP batch-2 2026 ((14/11)HOLD-  tidak masuk target Optimis 2025 ((08/11) upgrade ODC 14"&amp;"4-288 ,hold tif karena uplink masih mini olt (04/11) proses confrim ke mitra 3/11 proses confrim ke mitra13/10 SUDAH ANJIWZING, TUNGGU EVAL PED 08/10 progres aanwizjing
(01/10) menunggu jadwal aanwizjing
25/09/menunggu jadwal survey")</f>
        <v>27/04 PROSES INPUT MATERIAL, 27/04 lagi berkoordinasi dg tif untuk perubahan desain jalur feeder, 13/04 masih proses perizinan dengan PIHAK RT setempat  08/04 MENUNGGU PR PO, 06/04 PROSES PR PO, 04/04 MASIH MENUNGGU PID LOP DIMAS PPPA MEM 2 UTK DILANJUTKAN KE PR PO, 30/03 MENUNGGU PR PO, 28/03 DONE DRM, 27/03 PROSES DRM, 26/03 OGP DRM (PERUBAHAN DRI SWAKELOLA KE KEMITRAAN), 24/03 EST TGL 30 MAR INPUT MATERIAL, 21/03 EST TGL 30 MAR INPUT MATERIAL, 16/03 EST TGL 30 MAR INPUT MATERIAL, 13/03 OGP DRM, 10/03 OGP DRM, 03/03 LANJUT DRM, 02/03 OGP REVIEW TIF, 27/02 HOLD CPP NAIK 22/2 pencarian site telkom Group terdekat untuk peletakan mini OLT 10/02 MASIH HOLD KRNA HRUS DIPASTIKAN TERKAIT STUB FEEDER DAN MINI OLT, 06/02 HASIL REVIEW TSEL - BLM ADA KEPASTIAN, 04/02 OGP EVAL, 02/02 PROSES PERIZINAN, 30/01 DONE AAAWIDJZING - PERIZINAN, (20/01) plan pekerjaan swakelola TA, HI otw aanwijzing (15/1)  MITRA GTM OVERLOAD (06/01)order JPP batch-2 2026 ((14/11)HOLD-  tidak masuk target Optimis 2025 ((08/11) upgrade ODC 144-288 ,hold tif karena uplink masih mini olt (04/11) proses confrim ke mitra 3/11 proses confrim ke mitra13/10 SUDAH ANJIWZING, TUNGGU EVAL PED 08/10 progres aanwizjing
(01/10) menunggu jadwal aanwizjing
25/09/menunggu jadwal survey</v>
      </c>
      <c r="R973" s="228"/>
      <c r="S973" s="11"/>
      <c r="T973" s="11" t="str">
        <f>IFERROR(__xludf.DUMMYFUNCTION("""COMPUTED_VALUE"""),"P1")</f>
        <v>P1</v>
      </c>
      <c r="U973" s="11"/>
      <c r="V973" s="229" t="str">
        <f>IFERROR(__xludf.DUMMYFUNCTION("""COMPUTED_VALUE"""),"ILHAM")</f>
        <v>ILHAM</v>
      </c>
      <c r="W973" s="229"/>
      <c r="X973" s="229" t="str">
        <f>IFERROR(__xludf.DUMMYFUNCTION("""COMPUTED_VALUE"""),"BELUM GOLIVE")</f>
        <v>BELUM GOLIVE</v>
      </c>
      <c r="Y973" s="229" t="str">
        <f>IFERROR(__xludf.DUMMYFUNCTION("""COMPUTED_VALUE"""),"Mini OLT Not Ready")</f>
        <v>Mini OLT Not Ready</v>
      </c>
      <c r="Z973" s="229"/>
      <c r="AA973" s="229"/>
      <c r="AB973" s="229"/>
      <c r="AC973" s="229"/>
      <c r="AD973" s="232"/>
      <c r="AE973" s="233"/>
      <c r="AF973" s="54"/>
      <c r="AG973" s="54"/>
      <c r="AH973" s="54"/>
      <c r="AI973" s="55" t="str">
        <f t="shared" si="101"/>
        <v/>
      </c>
      <c r="AW973" s="234"/>
      <c r="BP973" s="11"/>
      <c r="BQ973" s="11"/>
      <c r="BR973" s="235"/>
      <c r="BV973" s="158"/>
      <c r="BY973" s="158"/>
      <c r="CB973" s="158"/>
    </row>
    <row r="974" ht="18.0" hidden="1" customHeight="1">
      <c r="A974" s="222">
        <f>IFERROR(__xludf.DUMMYFUNCTION("""COMPUTED_VALUE"""),2026.0)</f>
        <v>2026</v>
      </c>
      <c r="B974" s="221">
        <f>IFERROR(__xludf.DUMMYFUNCTION("""COMPUTED_VALUE"""),1.1129846E7)</f>
        <v>11129846</v>
      </c>
      <c r="C974" s="222" t="str">
        <f>IFERROR(__xludf.DUMMYFUNCTION("""COMPUTED_VALUE"""),"MDN PT3 P7I5 TJR-FJ SCATER GG.BERSAMA")</f>
        <v>MDN PT3 P7I5 TJR-FJ SCATER GG.BERSAMA</v>
      </c>
      <c r="D974" s="222" t="str">
        <f>IFERROR(__xludf.DUMMYFUNCTION("""COMPUTED_VALUE"""),"REGIONAL I")</f>
        <v>REGIONAL I</v>
      </c>
      <c r="E974" s="222" t="str">
        <f>IFERROR(__xludf.DUMMYFUNCTION("""COMPUTED_VALUE"""),"MEDAN")</f>
        <v>MEDAN</v>
      </c>
      <c r="F974" s="222" t="str">
        <f>IFERROR(__xludf.DUMMYFUNCTION("""COMPUTED_VALUE"""),"TJR")</f>
        <v>TJR</v>
      </c>
      <c r="G974" s="222" t="str">
        <f>IFERROR(__xludf.DUMMYFUNCTION("""COMPUTED_VALUE"""),"SUMBAGUT")</f>
        <v>SUMBAGUT</v>
      </c>
      <c r="H974" s="222" t="str">
        <f>IFERROR(__xludf.DUMMYFUNCTION("""COMPUTED_VALUE"""),"MEDAN")</f>
        <v>MEDAN</v>
      </c>
      <c r="I974" s="222" t="str">
        <f>IFERROR(__xludf.DUMMYFUNCTION("""COMPUTED_VALUE"""),"Batch 2")</f>
        <v>Batch 2</v>
      </c>
      <c r="J974" s="225">
        <f>IFERROR(__xludf.DUMMYFUNCTION("""COMPUTED_VALUE"""),2.0)</f>
        <v>2</v>
      </c>
      <c r="K974" s="224">
        <f>IFERROR(__xludf.DUMMYFUNCTION("""COMPUTED_VALUE"""),16.0)</f>
        <v>16</v>
      </c>
      <c r="L974" s="226">
        <f>IFERROR(__xludf.DUMMYFUNCTION("""COMPUTED_VALUE"""),985053.0)</f>
        <v>985053</v>
      </c>
      <c r="M974" s="227">
        <f>IFERROR(__xludf.DUMMYFUNCTION("""COMPUTED_VALUE"""),1.5760838E7)</f>
        <v>15760838</v>
      </c>
      <c r="N974" s="222" t="str">
        <f>IFERROR(__xludf.DUMMYFUNCTION("""COMPUTED_VALUE"""),"PT UPAYA TEKNIK")</f>
        <v>PT UPAYA TEKNIK</v>
      </c>
      <c r="O974" s="222" t="str">
        <f>IFERROR(__xludf.DUMMYFUNCTION("""COMPUTED_VALUE"""),"2. DONE AANWIJZING")</f>
        <v>2. DONE AANWIJZING</v>
      </c>
      <c r="P974" s="222" t="str">
        <f>IFERROR(__xludf.DUMMYFUNCTION("""COMPUTED_VALUE"""),"2.10 Kendala - Feeder Rusak")</f>
        <v>2.10 Kendala - Feeder Rusak</v>
      </c>
      <c r="Q974" s="222" t="str">
        <f>IFERROR(__xludf.DUMMYFUNCTION("""COMPUTED_VALUE"""),"21/04 pengecekan tipus / butuh qe &amp; redisng 
01/04 TJR-FJ feeder redti
31/03 komitmen aanwidzing (01/04) (07/01) Persiapan")</f>
        <v>21/04 pengecekan tipus / butuh qe &amp; redisng 
01/04 TJR-FJ feeder redti
31/03 komitmen aanwidzing (01/04) (07/01) Persiapan</v>
      </c>
      <c r="R974" s="228"/>
      <c r="S974" s="11"/>
      <c r="T974" s="11"/>
      <c r="U974" s="11"/>
      <c r="V974" s="229"/>
      <c r="W974" s="229"/>
      <c r="X974" s="229" t="str">
        <f>IFERROR(__xludf.DUMMYFUNCTION("""COMPUTED_VALUE"""),"BELUM GOLIVE")</f>
        <v>BELUM GOLIVE</v>
      </c>
      <c r="Y974" s="229"/>
      <c r="Z974" s="229" t="str">
        <f>IFERROR(__xludf.DUMMYFUNCTION("""COMPUTED_VALUE"""),"#N/A")</f>
        <v>#N/A</v>
      </c>
      <c r="AA974" s="229"/>
      <c r="AB974" s="229"/>
      <c r="AC974" s="229"/>
      <c r="AD974" s="232"/>
      <c r="AE974" s="233"/>
      <c r="AF974" s="54"/>
      <c r="AG974" s="54"/>
      <c r="AH974" s="54"/>
      <c r="AI974" s="55" t="str">
        <f t="shared" si="101"/>
        <v/>
      </c>
      <c r="AW974" s="234"/>
      <c r="BP974" s="11"/>
      <c r="BQ974" s="11"/>
      <c r="BR974" s="235"/>
      <c r="BV974" s="158"/>
      <c r="BY974" s="158"/>
      <c r="CB974" s="158"/>
    </row>
    <row r="975" ht="18.0" hidden="1" customHeight="1">
      <c r="A975" s="222">
        <f>IFERROR(__xludf.DUMMYFUNCTION("""COMPUTED_VALUE"""),2026.0)</f>
        <v>2026</v>
      </c>
      <c r="B975" s="221">
        <f>IFERROR(__xludf.DUMMYFUNCTION("""COMPUTED_VALUE"""),1.2082493E7)</f>
        <v>12082493</v>
      </c>
      <c r="C975" s="222" t="str">
        <f>IFERROR(__xludf.DUMMYFUNCTION("""COMPUTED_VALUE"""),"MDN PT3 SPM-FBZ DELI SERDANG_142329")</f>
        <v>MDN PT3 SPM-FBZ DELI SERDANG_142329</v>
      </c>
      <c r="D975" s="222" t="str">
        <f>IFERROR(__xludf.DUMMYFUNCTION("""COMPUTED_VALUE"""),"REGIONAL I")</f>
        <v>REGIONAL I</v>
      </c>
      <c r="E975" s="222" t="str">
        <f>IFERROR(__xludf.DUMMYFUNCTION("""COMPUTED_VALUE"""),"MEDAN")</f>
        <v>MEDAN</v>
      </c>
      <c r="F975" s="222" t="str">
        <f>IFERROR(__xludf.DUMMYFUNCTION("""COMPUTED_VALUE"""),"SPM")</f>
        <v>SPM</v>
      </c>
      <c r="G975" s="222" t="str">
        <f>IFERROR(__xludf.DUMMYFUNCTION("""COMPUTED_VALUE"""),"SUMBAGUT")</f>
        <v>SUMBAGUT</v>
      </c>
      <c r="H975" s="222" t="str">
        <f>IFERROR(__xludf.DUMMYFUNCTION("""COMPUTED_VALUE"""),"MEDAN")</f>
        <v>MEDAN</v>
      </c>
      <c r="I975" s="222" t="str">
        <f>IFERROR(__xludf.DUMMYFUNCTION("""COMPUTED_VALUE"""),"Batch 2")</f>
        <v>Batch 2</v>
      </c>
      <c r="J975" s="225">
        <f>IFERROR(__xludf.DUMMYFUNCTION("""COMPUTED_VALUE"""),2.0)</f>
        <v>2</v>
      </c>
      <c r="K975" s="224">
        <f>IFERROR(__xludf.DUMMYFUNCTION("""COMPUTED_VALUE"""),16.0)</f>
        <v>16</v>
      </c>
      <c r="L975" s="226">
        <f>IFERROR(__xludf.DUMMYFUNCTION("""COMPUTED_VALUE"""),984908.0)</f>
        <v>984908</v>
      </c>
      <c r="M975" s="227">
        <f>IFERROR(__xludf.DUMMYFUNCTION("""COMPUTED_VALUE"""),1.5758526E7)</f>
        <v>15758526</v>
      </c>
      <c r="N975" s="222" t="str">
        <f>IFERROR(__xludf.DUMMYFUNCTION("""COMPUTED_VALUE"""),"PT WALET SOLUSINDO")</f>
        <v>PT WALET SOLUSINDO</v>
      </c>
      <c r="O975" s="222" t="str">
        <f>IFERROR(__xludf.DUMMYFUNCTION("""COMPUTED_VALUE"""),"0. DROP")</f>
        <v>0. DROP</v>
      </c>
      <c r="P975" s="222" t="str">
        <f>IFERROR(__xludf.DUMMYFUNCTION("""COMPUTED_VALUE"""),"0.3 Feeder Full")</f>
        <v>0.3 Feeder Full</v>
      </c>
      <c r="Q975" s="222" t="str">
        <f>IFERROR(__xludf.DUMMYFUNCTION("""COMPUTED_VALUE"""),"07/02 Feeder Habis, sisa kaki splitter FE sisa 2")</f>
        <v>07/02 Feeder Habis, sisa kaki splitter FE sisa 2</v>
      </c>
      <c r="R975" s="228"/>
      <c r="S975" s="11"/>
      <c r="T975" s="11"/>
      <c r="U975" s="11"/>
      <c r="V975" s="229"/>
      <c r="W975" s="229"/>
      <c r="X975" s="229" t="str">
        <f>IFERROR(__xludf.DUMMYFUNCTION("""COMPUTED_VALUE"""),"BELUM GOLIVE")</f>
        <v>BELUM GOLIVE</v>
      </c>
      <c r="Y975" s="229"/>
      <c r="Z975" s="229" t="str">
        <f>IFERROR(__xludf.DUMMYFUNCTION("""COMPUTED_VALUE"""),"#N/A")</f>
        <v>#N/A</v>
      </c>
      <c r="AA975" s="229"/>
      <c r="AB975" s="229"/>
      <c r="AC975" s="229"/>
      <c r="AD975" s="232"/>
      <c r="AE975" s="233"/>
      <c r="AF975" s="54"/>
      <c r="AG975" s="54"/>
      <c r="AH975" s="54"/>
      <c r="AI975" s="55" t="str">
        <f t="shared" si="101"/>
        <v/>
      </c>
      <c r="AW975" s="234"/>
      <c r="BP975" s="11"/>
      <c r="BQ975" s="11"/>
      <c r="BR975" s="235"/>
      <c r="BV975" s="158"/>
      <c r="BY975" s="158"/>
      <c r="CB975" s="158"/>
    </row>
    <row r="976" ht="18.0" customHeight="1">
      <c r="A976" s="222">
        <f>IFERROR(__xludf.DUMMYFUNCTION("""COMPUTED_VALUE"""),2026.0)</f>
        <v>2026</v>
      </c>
      <c r="B976" s="221">
        <f>IFERROR(__xludf.DUMMYFUNCTION("""COMPUTED_VALUE"""),1.1094749E7)</f>
        <v>11094749</v>
      </c>
      <c r="C976" s="222" t="str">
        <f>IFERROR(__xludf.DUMMYFUNCTION("""COMPUTED_VALUE"""),"RKP PT3 JPPTSEL KMS-FK PERUM. MEKAR SARI_INDAH")</f>
        <v>RKP PT3 JPPTSEL KMS-FK PERUM. MEKAR SARI_INDAH</v>
      </c>
      <c r="D976" s="222" t="str">
        <f>IFERROR(__xludf.DUMMYFUNCTION("""COMPUTED_VALUE"""),"REGIONAL I")</f>
        <v>REGIONAL I</v>
      </c>
      <c r="E976" s="222" t="str">
        <f>IFERROR(__xludf.DUMMYFUNCTION("""COMPUTED_VALUE"""),"RIKEP")</f>
        <v>RIKEP</v>
      </c>
      <c r="F976" s="222" t="str">
        <f>IFERROR(__xludf.DUMMYFUNCTION("""COMPUTED_VALUE"""),"KMS")</f>
        <v>KMS</v>
      </c>
      <c r="G976" s="222" t="str">
        <f>IFERROR(__xludf.DUMMYFUNCTION("""COMPUTED_VALUE"""),"SUMBAGTENG")</f>
        <v>SUMBAGTENG</v>
      </c>
      <c r="H976" s="222" t="str">
        <f>IFERROR(__xludf.DUMMYFUNCTION("""COMPUTED_VALUE"""),"BATAM")</f>
        <v>BATAM</v>
      </c>
      <c r="I976" s="222" t="str">
        <f>IFERROR(__xludf.DUMMYFUNCTION("""COMPUTED_VALUE"""),"Batch 2")</f>
        <v>Batch 2</v>
      </c>
      <c r="J976" s="225">
        <f>IFERROR(__xludf.DUMMYFUNCTION("""COMPUTED_VALUE"""),4.0)</f>
        <v>4</v>
      </c>
      <c r="K976" s="224">
        <f>IFERROR(__xludf.DUMMYFUNCTION("""COMPUTED_VALUE"""),32.0)</f>
        <v>32</v>
      </c>
      <c r="L976" s="226">
        <f>IFERROR(__xludf.DUMMYFUNCTION("""COMPUTED_VALUE"""),984598.0)</f>
        <v>984598</v>
      </c>
      <c r="M976" s="227">
        <f>IFERROR(__xludf.DUMMYFUNCTION("""COMPUTED_VALUE"""),3.1507118E7)</f>
        <v>31507118</v>
      </c>
      <c r="N976" s="222" t="str">
        <f>IFERROR(__xludf.DUMMYFUNCTION("""COMPUTED_VALUE"""),"PT SALTTEK DUMPANG JAYA")</f>
        <v>PT SALTTEK DUMPANG JAYA</v>
      </c>
      <c r="O976" s="222" t="str">
        <f>IFERROR(__xludf.DUMMYFUNCTION("""COMPUTED_VALUE"""),"0. DROP")</f>
        <v>0. DROP</v>
      </c>
      <c r="P976" s="222" t="str">
        <f>IFERROR(__xludf.DUMMYFUNCTION("""COMPUTED_VALUE"""),"0.2 Tidak Dapat Izin Warga/Kades/Lurah/Developer")</f>
        <v>0.2 Tidak Dapat Izin Warga/Kades/Lurah/Developer</v>
      </c>
      <c r="Q976" s="222" t="str">
        <f>IFERROR(__xludf.DUMMYFUNCTION("""COMPUTED_VALUE"""),"12/02 Sudah ada provider lain. 09/02 belum ada feedback dari RT. 04/01 RT masih mau berunding dengan warga dahulu. 22/01 Feeder OK, proses perizinan, FU kembali HI.. 21/01 Proses anwijzing tanggal 22 Jan 2026")</f>
        <v>12/02 Sudah ada provider lain. 09/02 belum ada feedback dari RT. 04/01 RT masih mau berunding dengan warga dahulu. 22/01 Feeder OK, proses perizinan, FU kembali HI.. 21/01 Proses anwijzing tanggal 22 Jan 2026</v>
      </c>
      <c r="R976" s="228"/>
      <c r="S976" s="11"/>
      <c r="T976" s="11"/>
      <c r="U976" s="11"/>
      <c r="V976" s="229" t="str">
        <f>IFERROR(__xludf.DUMMYFUNCTION("""COMPUTED_VALUE"""),"DEDY IRAWAN")</f>
        <v>DEDY IRAWAN</v>
      </c>
      <c r="W976" s="229" t="str">
        <f>IFERROR(__xludf.DUMMYFUNCTION("""COMPUTED_VALUE"""),"LEVITA INDRIYANI")</f>
        <v>LEVITA INDRIYANI</v>
      </c>
      <c r="X976" s="229" t="str">
        <f>IFERROR(__xludf.DUMMYFUNCTION("""COMPUTED_VALUE"""),"BELUM GOLIVE")</f>
        <v>BELUM GOLIVE</v>
      </c>
      <c r="Y976" s="229"/>
      <c r="Z976" s="229" t="str">
        <f>IFERROR(__xludf.DUMMYFUNCTION("""COMPUTED_VALUE"""),"#N/A")</f>
        <v>#N/A</v>
      </c>
      <c r="AA976" s="229"/>
      <c r="AB976" s="229"/>
      <c r="AC976" s="229"/>
      <c r="AD976" s="232"/>
      <c r="AE976" s="233"/>
      <c r="AF976" s="54" t="str">
        <f>IFERROR(__xludf.DUMMYFUNCTION("""COMPUTED_VALUE"""),"Draft BA DROP")</f>
        <v>Draft BA DROP</v>
      </c>
      <c r="AG976" s="54"/>
      <c r="AH976" s="54"/>
      <c r="AI976" s="55" t="str">
        <f t="shared" si="101"/>
        <v/>
      </c>
      <c r="AW976" s="234"/>
      <c r="BP976" s="11"/>
      <c r="BQ976" s="11"/>
      <c r="BR976" s="235"/>
      <c r="BV976" s="158"/>
      <c r="BY976" s="158"/>
      <c r="CB976" s="158"/>
    </row>
    <row r="977" ht="18.0" customHeight="1">
      <c r="A977" s="222">
        <f>IFERROR(__xludf.DUMMYFUNCTION("""COMPUTED_VALUE"""),2026.0)</f>
        <v>2026</v>
      </c>
      <c r="B977" s="221">
        <f>IFERROR(__xludf.DUMMYFUNCTION("""COMPUTED_VALUE"""),1.1498676E7)</f>
        <v>11498676</v>
      </c>
      <c r="C977" s="222" t="str">
        <f>IFERROR(__xludf.DUMMYFUNCTION("""COMPUTED_VALUE"""),"RKP PT3 TSEL BDS-FB JL. KARTINI (2)")</f>
        <v>RKP PT3 TSEL BDS-FB JL. KARTINI (2)</v>
      </c>
      <c r="D977" s="222" t="str">
        <f>IFERROR(__xludf.DUMMYFUNCTION("""COMPUTED_VALUE"""),"REGIONAL I")</f>
        <v>REGIONAL I</v>
      </c>
      <c r="E977" s="222" t="str">
        <f>IFERROR(__xludf.DUMMYFUNCTION("""COMPUTED_VALUE"""),"RIKEP")</f>
        <v>RIKEP</v>
      </c>
      <c r="F977" s="222" t="str">
        <f>IFERROR(__xludf.DUMMYFUNCTION("""COMPUTED_VALUE"""),"DGS")</f>
        <v>DGS</v>
      </c>
      <c r="G977" s="222" t="str">
        <f>IFERROR(__xludf.DUMMYFUNCTION("""COMPUTED_VALUE"""),"SUMBAGTENG")</f>
        <v>SUMBAGTENG</v>
      </c>
      <c r="H977" s="222" t="str">
        <f>IFERROR(__xludf.DUMMYFUNCTION("""COMPUTED_VALUE"""),"BATAM")</f>
        <v>BATAM</v>
      </c>
      <c r="I977" s="222" t="str">
        <f>IFERROR(__xludf.DUMMYFUNCTION("""COMPUTED_VALUE"""),"Batch 2")</f>
        <v>Batch 2</v>
      </c>
      <c r="J977" s="225">
        <f>IFERROR(__xludf.DUMMYFUNCTION("""COMPUTED_VALUE"""),2.0)</f>
        <v>2</v>
      </c>
      <c r="K977" s="224">
        <f>IFERROR(__xludf.DUMMYFUNCTION("""COMPUTED_VALUE"""),16.0)</f>
        <v>16</v>
      </c>
      <c r="L977" s="226">
        <f>IFERROR(__xludf.DUMMYFUNCTION("""COMPUTED_VALUE"""),983733.0)</f>
        <v>983733</v>
      </c>
      <c r="M977" s="227">
        <f>IFERROR(__xludf.DUMMYFUNCTION("""COMPUTED_VALUE"""),1.5739724E7)</f>
        <v>15739724</v>
      </c>
      <c r="N977" s="222" t="str">
        <f>IFERROR(__xludf.DUMMYFUNCTION("""COMPUTED_VALUE"""),"PT HDUA PUTRA PRAJODA")</f>
        <v>PT HDUA PUTRA PRAJODA</v>
      </c>
      <c r="O977" s="222" t="str">
        <f>IFERROR(__xludf.DUMMYFUNCTION("""COMPUTED_VALUE"""),"7. GOLIVE")</f>
        <v>7. GOLIVE</v>
      </c>
      <c r="P977" s="222" t="str">
        <f>IFERROR(__xludf.DUMMYFUNCTION("""COMPUTED_VALUE"""),"7.2 Golive Full / OA / DONE OTB")</f>
        <v>7.2 Golive Full / OA / DONE OTB</v>
      </c>
      <c r="Q977" s="222" t="str">
        <f>IFERROR(__xludf.DUMMYFUNCTION("""COMPUTED_VALUE"""),"04/03 done benjar, proses req tiang. 16/02 Proses benjar perumahan. 09/02 Proses benjar masih di jadwalkan oleh HSA Sektor. 29/01 info benjar ke HSA sektor. 28/01 RT meminta jaringan di seluruh perumahan di benjar dahulu. 21/01 Plan survey 30 Jan")</f>
        <v>04/03 done benjar, proses req tiang. 16/02 Proses benjar perumahan. 09/02 Proses benjar masih di jadwalkan oleh HSA Sektor. 29/01 info benjar ke HSA sektor. 28/01 RT meminta jaringan di seluruh perumahan di benjar dahulu. 21/01 Plan survey 30 Jan</v>
      </c>
      <c r="R977" s="228"/>
      <c r="S977" s="11"/>
      <c r="T977" s="11"/>
      <c r="U977" s="11" t="str">
        <f>IFERROR(__xludf.DUMMYFUNCTION("""COMPUTED_VALUE"""),"W09-277/2026")</f>
        <v>W09-277/2026</v>
      </c>
      <c r="V977" s="229" t="str">
        <f>IFERROR(__xludf.DUMMYFUNCTION("""COMPUTED_VALUE"""),"GANI PRASTYO")</f>
        <v>GANI PRASTYO</v>
      </c>
      <c r="W977" s="229" t="str">
        <f>IFERROR(__xludf.DUMMYFUNCTION("""COMPUTED_VALUE"""),"LEVITA INDRIYANI")</f>
        <v>LEVITA INDRIYANI</v>
      </c>
      <c r="X977" s="229" t="str">
        <f>IFERROR(__xludf.DUMMYFUNCTION("""COMPUTED_VALUE"""),"GOLIVE")</f>
        <v>GOLIVE</v>
      </c>
      <c r="Y977" s="229" t="str">
        <f>IFERROR(__xludf.DUMMYFUNCTION("""COMPUTED_VALUE"""),"DONE")</f>
        <v>DONE</v>
      </c>
      <c r="Z977" s="229" t="str">
        <f>IFERROR(__xludf.DUMMYFUNCTION("""COMPUTED_VALUE"""),"#N/A")</f>
        <v>#N/A</v>
      </c>
      <c r="AA977" s="229">
        <f>IFERROR(__xludf.DUMMYFUNCTION("""COMPUTED_VALUE"""),2.0)</f>
        <v>2</v>
      </c>
      <c r="AB977" s="229"/>
      <c r="AC977" s="229" t="str">
        <f>IFERROR(__xludf.DUMMYFUNCTION("""COMPUTED_VALUE"""),"9197765#9197770")</f>
        <v>9197765#9197770</v>
      </c>
      <c r="AD977" s="232">
        <f>IFERROR(__xludf.DUMMYFUNCTION("""COMPUTED_VALUE"""),16.0)</f>
        <v>16</v>
      </c>
      <c r="AE977" s="233">
        <f>IFERROR(__xludf.DUMMYFUNCTION("""COMPUTED_VALUE"""),46101.0)</f>
        <v>46101</v>
      </c>
      <c r="AF977" s="54"/>
      <c r="AG977" s="54"/>
      <c r="AH977" s="54">
        <v>46139.0</v>
      </c>
      <c r="AI977" s="237">
        <f>AH977-NOW()</f>
        <v>-1.377989907</v>
      </c>
      <c r="AJ977" s="229" t="str">
        <f t="shared" ref="AJ977:AJ978" si="102">if(AI977&gt;=0,"In Komitmen","Out Komitmen")</f>
        <v>Out Komitmen</v>
      </c>
      <c r="AW977" s="234"/>
      <c r="BP977" s="11"/>
      <c r="BQ977" s="11"/>
      <c r="BR977" s="235"/>
      <c r="BV977" s="158"/>
      <c r="BY977" s="158"/>
      <c r="CB977" s="158"/>
    </row>
    <row r="978" ht="18.0" customHeight="1">
      <c r="A978" s="222">
        <f>IFERROR(__xludf.DUMMYFUNCTION("""COMPUTED_VALUE"""),2026.0)</f>
        <v>2026</v>
      </c>
      <c r="B978" s="221">
        <f>IFERROR(__xludf.DUMMYFUNCTION("""COMPUTED_VALUE"""),1.1200561E7)</f>
        <v>11200561</v>
      </c>
      <c r="C978" s="222" t="str">
        <f>IFERROR(__xludf.DUMMYFUNCTION("""COMPUTED_VALUE"""),"RKP PT3 TSEL SLU-FEA GRIYA BATU AJI ASRI")</f>
        <v>RKP PT3 TSEL SLU-FEA GRIYA BATU AJI ASRI</v>
      </c>
      <c r="D978" s="222" t="str">
        <f>IFERROR(__xludf.DUMMYFUNCTION("""COMPUTED_VALUE"""),"REGIONAL I")</f>
        <v>REGIONAL I</v>
      </c>
      <c r="E978" s="222" t="str">
        <f>IFERROR(__xludf.DUMMYFUNCTION("""COMPUTED_VALUE"""),"RIKEP")</f>
        <v>RIKEP</v>
      </c>
      <c r="F978" s="222" t="str">
        <f>IFERROR(__xludf.DUMMYFUNCTION("""COMPUTED_VALUE"""),"SLU")</f>
        <v>SLU</v>
      </c>
      <c r="G978" s="222" t="str">
        <f>IFERROR(__xludf.DUMMYFUNCTION("""COMPUTED_VALUE"""),"SUMBAGTENG")</f>
        <v>SUMBAGTENG</v>
      </c>
      <c r="H978" s="222" t="str">
        <f>IFERROR(__xludf.DUMMYFUNCTION("""COMPUTED_VALUE"""),"BATAM")</f>
        <v>BATAM</v>
      </c>
      <c r="I978" s="222" t="str">
        <f>IFERROR(__xludf.DUMMYFUNCTION("""COMPUTED_VALUE"""),"Batch 2")</f>
        <v>Batch 2</v>
      </c>
      <c r="J978" s="225">
        <f>IFERROR(__xludf.DUMMYFUNCTION("""COMPUTED_VALUE"""),8.0)</f>
        <v>8</v>
      </c>
      <c r="K978" s="224">
        <f>IFERROR(__xludf.DUMMYFUNCTION("""COMPUTED_VALUE"""),64.0)</f>
        <v>64</v>
      </c>
      <c r="L978" s="226">
        <f>IFERROR(__xludf.DUMMYFUNCTION("""COMPUTED_VALUE"""),983559.0)</f>
        <v>983559</v>
      </c>
      <c r="M978" s="227">
        <f>IFERROR(__xludf.DUMMYFUNCTION("""COMPUTED_VALUE"""),6.2947749E7)</f>
        <v>62947749</v>
      </c>
      <c r="N978" s="222" t="str">
        <f>IFERROR(__xludf.DUMMYFUNCTION("""COMPUTED_VALUE"""),"PT MITRA HOSINDO SEJAHTERA")</f>
        <v>PT MITRA HOSINDO SEJAHTERA</v>
      </c>
      <c r="O978" s="222" t="str">
        <f>IFERROR(__xludf.DUMMYFUNCTION("""COMPUTED_VALUE"""),"5. INSTALASI")</f>
        <v>5. INSTALASI</v>
      </c>
      <c r="P978" s="222" t="str">
        <f>IFERROR(__xludf.DUMMYFUNCTION("""COMPUTED_VALUE"""),"5.3 Proses Gali/Rojok - Paralel Comcase/Perjinan PU")</f>
        <v>5.3 Proses Gali/Rojok - Paralel Comcase/Perjinan PU</v>
      </c>
      <c r="Q978" s="222" t="str">
        <f>IFERROR(__xludf.DUMMYFUNCTION("""COMPUTED_VALUE"""),"24/04 Pergantian mitra, proses galian distribusi, kabel KU DONE Penarikan.
20/04 Baru peralihan mitra, plan progres selasa 21 Apr, plan GL best effort 30 apr.  13/04 Proses Galian Rojok &amp; Open 
27/03 Proses galian open dan rojok ke arah ODC. 05/03 Proses "&amp;"galian dan lubang tiang. 19/02 anwijzing OK, perizinan OK. 28/01 butuh izin cutting dari arah ODC perumahan sebelah gardenia, plan perizinan tanggal 30 Jan.  21/03 plan survey minggu ini 25 Jan")</f>
        <v>24/04 Pergantian mitra, proses galian distribusi, kabel KU DONE Penarikan.
20/04 Baru peralihan mitra, plan progres selasa 21 Apr, plan GL best effort 30 apr.  13/04 Proses Galian Rojok &amp; Open 
27/03 Proses galian open dan rojok ke arah ODC. 05/03 Proses galian dan lubang tiang. 19/02 anwijzing OK, perizinan OK. 28/01 butuh izin cutting dari arah ODC perumahan sebelah gardenia, plan perizinan tanggal 30 Jan.  21/03 plan survey minggu ini 25 Jan</v>
      </c>
      <c r="R978" s="228">
        <f>IFERROR(__xludf.DUMMYFUNCTION("""COMPUTED_VALUE"""),46142.0)</f>
        <v>46142</v>
      </c>
      <c r="S978" s="11"/>
      <c r="T978" s="73"/>
      <c r="U978" s="11" t="str">
        <f>IFERROR(__xludf.DUMMYFUNCTION("""COMPUTED_VALUE"""),"W09-229/2026")</f>
        <v>W09-229/2026</v>
      </c>
      <c r="V978" s="229" t="str">
        <f>IFERROR(__xludf.DUMMYFUNCTION("""COMPUTED_VALUE"""),"MUHAMMAD RIDHO FALFO")</f>
        <v>MUHAMMAD RIDHO FALFO</v>
      </c>
      <c r="W978" s="229" t="str">
        <f>IFERROR(__xludf.DUMMYFUNCTION("""COMPUTED_VALUE"""),"LEVITA INDRIYANI")</f>
        <v>LEVITA INDRIYANI</v>
      </c>
      <c r="X978" s="229" t="str">
        <f>IFERROR(__xludf.DUMMYFUNCTION("""COMPUTED_VALUE"""),"BELUM GOLIVE")</f>
        <v>BELUM GOLIVE</v>
      </c>
      <c r="Y978" s="229"/>
      <c r="Z978" s="229" t="str">
        <f>IFERROR(__xludf.DUMMYFUNCTION("""COMPUTED_VALUE"""),"#N/A")</f>
        <v>#N/A</v>
      </c>
      <c r="AA978" s="229"/>
      <c r="AB978" s="229"/>
      <c r="AC978" s="229"/>
      <c r="AD978" s="232"/>
      <c r="AE978" s="233"/>
      <c r="AF978" s="54"/>
      <c r="AG978" s="54"/>
      <c r="AH978" s="54">
        <v>46139.0</v>
      </c>
      <c r="AI978" s="55">
        <f>AH978-TODAY()</f>
        <v>-1</v>
      </c>
      <c r="AJ978" s="229" t="str">
        <f t="shared" si="102"/>
        <v>Out Komitmen</v>
      </c>
      <c r="AK978" s="231" t="s">
        <v>199</v>
      </c>
      <c r="AW978" s="234"/>
      <c r="BP978" s="11"/>
      <c r="BQ978" s="11"/>
      <c r="BR978" s="235"/>
      <c r="BV978" s="158"/>
      <c r="BY978" s="158"/>
      <c r="CB978" s="158"/>
    </row>
    <row r="979" ht="18.0" hidden="1" customHeight="1">
      <c r="A979" s="222">
        <f>IFERROR(__xludf.DUMMYFUNCTION("""COMPUTED_VALUE"""),2026.0)</f>
        <v>2026</v>
      </c>
      <c r="B979" s="221">
        <f>IFERROR(__xludf.DUMMYFUNCTION("""COMPUTED_VALUE"""),1.2213821E7)</f>
        <v>12213821</v>
      </c>
      <c r="C979" s="222" t="str">
        <f>IFERROR(__xludf.DUMMYFUNCTION("""COMPUTED_VALUE"""),"SMS P3I4 PT3 MPA FP D02 OKU TIMUR_37923")</f>
        <v>SMS P3I4 PT3 MPA FP D02 OKU TIMUR_37923</v>
      </c>
      <c r="D979" s="222" t="str">
        <f>IFERROR(__xludf.DUMMYFUNCTION("""COMPUTED_VALUE"""),"REGIONAL I")</f>
        <v>REGIONAL I</v>
      </c>
      <c r="E979" s="222" t="str">
        <f>IFERROR(__xludf.DUMMYFUNCTION("""COMPUTED_VALUE"""),"SUMSEL")</f>
        <v>SUMSEL</v>
      </c>
      <c r="F979" s="222" t="str">
        <f>IFERROR(__xludf.DUMMYFUNCTION("""COMPUTED_VALUE"""),"MPA")</f>
        <v>MPA</v>
      </c>
      <c r="G979" s="222" t="str">
        <f>IFERROR(__xludf.DUMMYFUNCTION("""COMPUTED_VALUE"""),"SUMBAGSEL")</f>
        <v>SUMBAGSEL</v>
      </c>
      <c r="H979" s="222" t="str">
        <f>IFERROR(__xludf.DUMMYFUNCTION("""COMPUTED_VALUE"""),"PALEMBANG")</f>
        <v>PALEMBANG</v>
      </c>
      <c r="I979" s="222" t="str">
        <f>IFERROR(__xludf.DUMMYFUNCTION("""COMPUTED_VALUE"""),"Batch 2")</f>
        <v>Batch 2</v>
      </c>
      <c r="J979" s="225">
        <f>IFERROR(__xludf.DUMMYFUNCTION("""COMPUTED_VALUE"""),6.0)</f>
        <v>6</v>
      </c>
      <c r="K979" s="224">
        <f>IFERROR(__xludf.DUMMYFUNCTION("""COMPUTED_VALUE"""),96.0)</f>
        <v>96</v>
      </c>
      <c r="L979" s="226">
        <f>IFERROR(__xludf.DUMMYFUNCTION("""COMPUTED_VALUE"""),982107.0)</f>
        <v>982107</v>
      </c>
      <c r="M979" s="227">
        <f>IFERROR(__xludf.DUMMYFUNCTION("""COMPUTED_VALUE"""),9.4282249E7)</f>
        <v>94282249</v>
      </c>
      <c r="N979" s="222" t="str">
        <f>IFERROR(__xludf.DUMMYFUNCTION("""COMPUTED_VALUE"""),"PT GARINDO TECHNO MANDIRI")</f>
        <v>PT GARINDO TECHNO MANDIRI</v>
      </c>
      <c r="O979" s="222" t="str">
        <f>IFERROR(__xludf.DUMMYFUNCTION("""COMPUTED_VALUE"""),"7. GOLIVE")</f>
        <v>7. GOLIVE</v>
      </c>
      <c r="P979" s="222" t="str">
        <f>IFERROR(__xludf.DUMMYFUNCTION("""COMPUTED_VALUE"""),"7.2 Golive Full / OA / DONE OTB")</f>
        <v>7.2 Golive Full / OA / DONE OTB</v>
      </c>
      <c r="Q979" s="222" t="str">
        <f>IFERROR(__xludf.DUMMYFUNCTION("""COMPUTED_VALUE"""),"28/04 GOLIVE , 27/04 PROSES PENARIKAN KABEL 1170M/2170M, 24/04 DONE TANAM TIANG 41BTG, 23/04 PARALEL PROSES TANAM TIANG, 22/04 MENUNGGU ANTRIAN PEKERJAAN, 21/04 tim masih progres di lokasi lain , material sdh di lokasi,, 17/04 MENUNGGU ANTRIAN PEKERJAAN, "&amp;"13/04 kirim material 13 Apr 9/04 proses input material 07/04 DONE PR PO, LANJUT PROSES INPUT MATERIAL - KENDALA OVER BUDGET, 06/04 PROSES AMANDEMEN BUDGET, 04/04 MASIH MENUNGGU PR PO, 30/03 MENUNGGU PR PO, 28/03 DONE DRM, 27/03 PROSES DRM, 25/03 EST TGL 3"&amp;"0 MAR DRM, 24/03 EST TGL 30 MAR DRM, 21/03 EST TGL 30 MAR DRM, 16/03 MASIH PROGRESS DRM, 13/03 OGP DRM 11/03 LANJUT DRM,  04/03 OGP DRM, 03/03 HASIL REVIEW TIF LANJUT DRM, 02/03 OGP REVIEW TIF, 27/02 HOLD - CPP NAIK 3JT, 06/02 DONE EVAL, HOLD ADA KENAIKAN"&amp;" BOQ SEBESAR 5% , CPP 3,0 JT, KARENA 30/01 DONE AANWIDJZING TH 2025 - MENUNGGU HASIL EVAL, (26/1) tim TIF belum bisa EVAL hasil anwijzing karena lagi diluar kota , estimasi 29 jan baru kembali ke Palembang(25/01) DONE AANWIDJZING, (21/01) menunggu antrian"&amp;" untuk aanwizjing lapangan, (15/1) SUDAH AANWIDJZING, MENUNGGU HASIL EVAL PALIM LAMBAT TANGGAL 23 JAN (15/1) ORDER DITERIMA MITRA 14/1, SUDAH AANDWIJDZING (06/01)order JPP batch-2 2026 (16/12 HOLD, (07/12) masih eval (18/11) done eval lanjut matdel, 17/11"&amp;" MENUNGGU EVAL TIF -TA (08/11) SUDAH ANWIJZING , TUNGGU EVAL TIF -TA (5/11) menunggu jadwal aanwidzjing 23/10 penunjukan mitra")</f>
        <v>28/04 GOLIVE , 27/04 PROSES PENARIKAN KABEL 1170M/2170M, 24/04 DONE TANAM TIANG 41BTG, 23/04 PARALEL PROSES TANAM TIANG, 22/04 MENUNGGU ANTRIAN PEKERJAAN, 21/04 tim masih progres di lokasi lain , material sdh di lokasi,, 17/04 MENUNGGU ANTRIAN PEKERJAAN, 13/04 kirim material 13 Apr 9/04 proses input material 07/04 DONE PR PO, LANJUT PROSES INPUT MATERIAL - KENDALA OVER BUDGET, 06/04 PROSES AMANDEMEN BUDGET, 04/04 MASIH MENUNGGU PR PO, 30/03 MENUNGGU PR PO, 28/03 DONE DRM, 27/03 PROSES DRM, 25/03 EST TGL 30 MAR DRM, 24/03 EST TGL 30 MAR DRM, 21/03 EST TGL 30 MAR DRM, 16/03 MASIH PROGRESS DRM, 13/03 OGP DRM 11/03 LANJUT DRM,  04/03 OGP DRM, 03/03 HASIL REVIEW TIF LANJUT DRM, 02/03 OGP REVIEW TIF, 27/02 HOLD - CPP NAIK 3JT, 06/02 DONE EVAL, HOLD ADA KENAIKAN BOQ SEBESAR 5% , CPP 3,0 JT, KARENA 30/01 DONE AANWIDJZING TH 2025 - MENUNGGU HASIL EVAL, (26/1) tim TIF belum bisa EVAL hasil anwijzing karena lagi diluar kota , estimasi 29 jan baru kembali ke Palembang(25/01) DONE AANWIDJZING, (21/01) menunggu antrian untuk aanwizjing lapangan, (15/1) SUDAH AANWIDJZING, MENUNGGU HASIL EVAL PALIM LAMBAT TANGGAL 23 JAN (15/1) ORDER DITERIMA MITRA 14/1, SUDAH AANDWIJDZING (06/01)order JPP batch-2 2026 (16/12 HOLD, (07/12) masih eval (18/11) done eval lanjut matdel, 17/11 MENUNGGU EVAL TIF -TA (08/11) SUDAH ANWIJZING , TUNGGU EVAL TIF -TA (5/11) menunggu jadwal aanwidzjing 23/10 penunjukan mitra</v>
      </c>
      <c r="R979" s="228">
        <f>IFERROR(__xludf.DUMMYFUNCTION("""COMPUTED_VALUE"""),46139.0)</f>
        <v>46139</v>
      </c>
      <c r="S979" s="11" t="str">
        <f>IFERROR(__xludf.DUMMYFUNCTION("""COMPUTED_VALUE"""),"APR")</f>
        <v>APR</v>
      </c>
      <c r="T979" s="73"/>
      <c r="U979" s="11"/>
      <c r="V979" s="229" t="str">
        <f>IFERROR(__xludf.DUMMYFUNCTION("""COMPUTED_VALUE"""),"TANTOWI")</f>
        <v>TANTOWI</v>
      </c>
      <c r="W979" s="229"/>
      <c r="X979" s="229" t="str">
        <f>IFERROR(__xludf.DUMMYFUNCTION("""COMPUTED_VALUE"""),"GOLIVE")</f>
        <v>GOLIVE</v>
      </c>
      <c r="Y979" s="229" t="str">
        <f>IFERROR(__xludf.DUMMYFUNCTION("""COMPUTED_VALUE"""),"DONE")</f>
        <v>DONE</v>
      </c>
      <c r="Z979" s="229" t="str">
        <f>IFERROR(__xludf.DUMMYFUNCTION("""COMPUTED_VALUE"""),"#N/A")</f>
        <v>#N/A</v>
      </c>
      <c r="AA979" s="229">
        <f>IFERROR(__xludf.DUMMYFUNCTION("""COMPUTED_VALUE"""),6.0)</f>
        <v>6</v>
      </c>
      <c r="AB979" s="229"/>
      <c r="AC979" s="229" t="str">
        <f>IFERROR(__xludf.DUMMYFUNCTION("""COMPUTED_VALUE"""),"8944137#8944149")</f>
        <v>8944137#8944149</v>
      </c>
      <c r="AD979" s="232">
        <f>IFERROR(__xludf.DUMMYFUNCTION("""COMPUTED_VALUE"""),48.0)</f>
        <v>48</v>
      </c>
      <c r="AE979" s="233">
        <f>IFERROR(__xludf.DUMMYFUNCTION("""COMPUTED_VALUE"""),46139.0)</f>
        <v>46139</v>
      </c>
      <c r="AF979" s="54"/>
      <c r="AG979" s="54"/>
      <c r="AH979" s="54">
        <v>46138.0</v>
      </c>
      <c r="AI979" s="55">
        <f t="shared" ref="AI979:AI984" si="103">IF(OR(R979="",AE979=""),"",R979-AE979)</f>
        <v>0</v>
      </c>
      <c r="AW979" s="234"/>
      <c r="BP979" s="11"/>
      <c r="BQ979" s="11"/>
      <c r="BR979" s="235"/>
      <c r="BV979" s="158"/>
      <c r="BY979" s="158"/>
      <c r="CB979" s="158"/>
    </row>
    <row r="980" ht="18.0" customHeight="1">
      <c r="A980" s="222">
        <f>IFERROR(__xludf.DUMMYFUNCTION("""COMPUTED_VALUE"""),2026.0)</f>
        <v>2026</v>
      </c>
      <c r="B980" s="221">
        <f>IFERROR(__xludf.DUMMYFUNCTION("""COMPUTED_VALUE"""),1.1243138E7)</f>
        <v>11243138</v>
      </c>
      <c r="C980" s="222" t="str">
        <f>IFERROR(__xludf.DUMMYFUNCTION("""COMPUTED_VALUE"""),"SMB P2I1 CARLIE SALDIAN")</f>
        <v>SMB P2I1 CARLIE SALDIAN</v>
      </c>
      <c r="D980" s="222" t="str">
        <f>IFERROR(__xludf.DUMMYFUNCTION("""COMPUTED_VALUE"""),"REGIONAL I")</f>
        <v>REGIONAL I</v>
      </c>
      <c r="E980" s="222" t="str">
        <f>IFERROR(__xludf.DUMMYFUNCTION("""COMPUTED_VALUE"""),"SUMBAR")</f>
        <v>SUMBAR</v>
      </c>
      <c r="F980" s="222" t="str">
        <f>IFERROR(__xludf.DUMMYFUNCTION("""COMPUTED_VALUE"""),"TKU")</f>
        <v>TKU</v>
      </c>
      <c r="G980" s="222" t="str">
        <f>IFERROR(__xludf.DUMMYFUNCTION("""COMPUTED_VALUE"""),"SUMBAGTENG")</f>
        <v>SUMBAGTENG</v>
      </c>
      <c r="H980" s="222" t="str">
        <f>IFERROR(__xludf.DUMMYFUNCTION("""COMPUTED_VALUE"""),"BUKIT TINGGI")</f>
        <v>BUKIT TINGGI</v>
      </c>
      <c r="I980" s="222" t="str">
        <f>IFERROR(__xludf.DUMMYFUNCTION("""COMPUTED_VALUE"""),"Batch 2")</f>
        <v>Batch 2</v>
      </c>
      <c r="J980" s="225">
        <f>IFERROR(__xludf.DUMMYFUNCTION("""COMPUTED_VALUE"""),1.0)</f>
        <v>1</v>
      </c>
      <c r="K980" s="224">
        <f>IFERROR(__xludf.DUMMYFUNCTION("""COMPUTED_VALUE"""),8.0)</f>
        <v>8</v>
      </c>
      <c r="L980" s="226">
        <f>IFERROR(__xludf.DUMMYFUNCTION("""COMPUTED_VALUE"""),979840.0)</f>
        <v>979840</v>
      </c>
      <c r="M980" s="227">
        <f>IFERROR(__xludf.DUMMYFUNCTION("""COMPUTED_VALUE"""),7838716.0)</f>
        <v>7838716</v>
      </c>
      <c r="N980" s="222" t="str">
        <f>IFERROR(__xludf.DUMMYFUNCTION("""COMPUTED_VALUE"""),"PT PUTRI JAYA AKSES")</f>
        <v>PT PUTRI JAYA AKSES</v>
      </c>
      <c r="O980" s="222" t="str">
        <f>IFERROR(__xludf.DUMMYFUNCTION("""COMPUTED_VALUE"""),"0. DROP")</f>
        <v>0. DROP</v>
      </c>
      <c r="P980" s="222" t="str">
        <f>IFERROR(__xludf.DUMMYFUNCTION("""COMPUTED_VALUE"""),"0.3 Feeder Full")</f>
        <v>0.3 Feeder Full</v>
      </c>
      <c r="Q980" s="222" t="str">
        <f>IFERROR(__xludf.DUMMYFUNCTION("""COMPUTED_VALUE"""),"(26/01) Kendala feeder SPE-FA FULL , proses aanwijziing  , Proses mapping mitra (07/01) Persiapan")</f>
        <v>(26/01) Kendala feeder SPE-FA FULL , proses aanwijziing  , Proses mapping mitra (07/01) Persiapan</v>
      </c>
      <c r="R980" s="228"/>
      <c r="S980" s="11"/>
      <c r="T980" s="11"/>
      <c r="U980" s="11"/>
      <c r="V980" s="229"/>
      <c r="W980" s="229"/>
      <c r="X980" s="229" t="str">
        <f>IFERROR(__xludf.DUMMYFUNCTION("""COMPUTED_VALUE"""),"BELUM GOLIVE")</f>
        <v>BELUM GOLIVE</v>
      </c>
      <c r="Y980" s="229"/>
      <c r="Z980" s="229" t="str">
        <f>IFERROR(__xludf.DUMMYFUNCTION("""COMPUTED_VALUE"""),"#N/A")</f>
        <v>#N/A</v>
      </c>
      <c r="AA980" s="229"/>
      <c r="AB980" s="229"/>
      <c r="AC980" s="229"/>
      <c r="AD980" s="232"/>
      <c r="AE980" s="233"/>
      <c r="AF980" s="54" t="str">
        <f>IFERROR(__xludf.DUMMYFUNCTION("""COMPUTED_VALUE"""),"Draft BA DROP")</f>
        <v>Draft BA DROP</v>
      </c>
      <c r="AG980" s="54"/>
      <c r="AH980" s="54"/>
      <c r="AI980" s="55" t="str">
        <f t="shared" si="103"/>
        <v/>
      </c>
      <c r="AW980" s="234"/>
      <c r="BP980" s="11"/>
      <c r="BQ980" s="11"/>
      <c r="BR980" s="235"/>
      <c r="BV980" s="158"/>
      <c r="BY980" s="158"/>
      <c r="CB980" s="158"/>
    </row>
    <row r="981" ht="18.0" customHeight="1">
      <c r="A981" s="222">
        <f>IFERROR(__xludf.DUMMYFUNCTION("""COMPUTED_VALUE"""),2026.0)</f>
        <v>2026</v>
      </c>
      <c r="B981" s="221">
        <f>IFERROR(__xludf.DUMMYFUNCTION("""COMPUTED_VALUE"""),1.1100232E7)</f>
        <v>11100232</v>
      </c>
      <c r="C981" s="222" t="str">
        <f>IFERROR(__xludf.DUMMYFUNCTION("""COMPUTED_VALUE"""),"SMB JPP PT3 MD PDG_SUMATERA BARAT_15126_new")</f>
        <v>SMB JPP PT3 MD PDG_SUMATERA BARAT_15126_new</v>
      </c>
      <c r="D981" s="222" t="str">
        <f>IFERROR(__xludf.DUMMYFUNCTION("""COMPUTED_VALUE"""),"REGIONAL I")</f>
        <v>REGIONAL I</v>
      </c>
      <c r="E981" s="222" t="str">
        <f>IFERROR(__xludf.DUMMYFUNCTION("""COMPUTED_VALUE"""),"SUMBAR")</f>
        <v>SUMBAR</v>
      </c>
      <c r="F981" s="222" t="str">
        <f>IFERROR(__xludf.DUMMYFUNCTION("""COMPUTED_VALUE"""),"KJI")</f>
        <v>KJI</v>
      </c>
      <c r="G981" s="222" t="str">
        <f>IFERROR(__xludf.DUMMYFUNCTION("""COMPUTED_VALUE"""),"SUMBAGTENG")</f>
        <v>SUMBAGTENG</v>
      </c>
      <c r="H981" s="222" t="str">
        <f>IFERROR(__xludf.DUMMYFUNCTION("""COMPUTED_VALUE"""),"PADANG")</f>
        <v>PADANG</v>
      </c>
      <c r="I981" s="222" t="str">
        <f>IFERROR(__xludf.DUMMYFUNCTION("""COMPUTED_VALUE"""),"Batch 2")</f>
        <v>Batch 2</v>
      </c>
      <c r="J981" s="225">
        <f>IFERROR(__xludf.DUMMYFUNCTION("""COMPUTED_VALUE"""),4.0)</f>
        <v>4</v>
      </c>
      <c r="K981" s="224">
        <f>IFERROR(__xludf.DUMMYFUNCTION("""COMPUTED_VALUE"""),32.0)</f>
        <v>32</v>
      </c>
      <c r="L981" s="226">
        <f>IFERROR(__xludf.DUMMYFUNCTION("""COMPUTED_VALUE"""),979735.0)</f>
        <v>979735</v>
      </c>
      <c r="M981" s="227">
        <f>IFERROR(__xludf.DUMMYFUNCTION("""COMPUTED_VALUE"""),3.1351515E7)</f>
        <v>31351515</v>
      </c>
      <c r="N981" s="222" t="str">
        <f>IFERROR(__xludf.DUMMYFUNCTION("""COMPUTED_VALUE"""),"PT TRI PENAMAS")</f>
        <v>PT TRI PENAMAS</v>
      </c>
      <c r="O981" s="222" t="str">
        <f>IFERROR(__xludf.DUMMYFUNCTION("""COMPUTED_VALUE"""),"4. MATDEL")</f>
        <v>4. MATDEL</v>
      </c>
      <c r="P981" s="222" t="str">
        <f>IFERROR(__xludf.DUMMYFUNCTION("""COMPUTED_VALUE"""),"4.4 Proses Pengiriman Pabribak ke WH")</f>
        <v>4.4 Proses Pengiriman Pabribak ke WH</v>
      </c>
      <c r="Q981" s="222" t="str">
        <f>IFERROR(__xludf.DUMMYFUNCTION("""COMPUTED_VALUE"""),"(27/04) menunggu PO kabel 24 ADSS (20/04) sudah aanwijziing, proses eval  (10/04) Proses aanwijziing , LOP HOLD FEEDER FULL ACC GO (26/01) Kendala feeder KJI-FL FULL")</f>
        <v>(27/04) menunggu PO kabel 24 ADSS (20/04) sudah aanwijziing, proses eval  (10/04) Proses aanwijziing , LOP HOLD FEEDER FULL ACC GO (26/01) Kendala feeder KJI-FL FULL</v>
      </c>
      <c r="R981" s="228"/>
      <c r="S981" s="11"/>
      <c r="T981" s="11"/>
      <c r="U981" s="11"/>
      <c r="V981" s="229" t="str">
        <f>IFERROR(__xludf.DUMMYFUNCTION("""COMPUTED_VALUE"""),"FABIO RAHMAN")</f>
        <v>FABIO RAHMAN</v>
      </c>
      <c r="W981" s="229" t="str">
        <f>IFERROR(__xludf.DUMMYFUNCTION("""COMPUTED_VALUE"""),"MELKO NARWADI")</f>
        <v>MELKO NARWADI</v>
      </c>
      <c r="X981" s="229" t="str">
        <f>IFERROR(__xludf.DUMMYFUNCTION("""COMPUTED_VALUE"""),"BELUM GOLIVE")</f>
        <v>BELUM GOLIVE</v>
      </c>
      <c r="Y981" s="229"/>
      <c r="Z981" s="229" t="str">
        <f>IFERROR(__xludf.DUMMYFUNCTION("""COMPUTED_VALUE"""),"#N/A")</f>
        <v>#N/A</v>
      </c>
      <c r="AA981" s="229"/>
      <c r="AB981" s="229"/>
      <c r="AC981" s="229"/>
      <c r="AD981" s="232"/>
      <c r="AE981" s="233"/>
      <c r="AF981" s="54"/>
      <c r="AG981" s="54"/>
      <c r="AH981" s="54"/>
      <c r="AI981" s="55" t="str">
        <f t="shared" si="103"/>
        <v/>
      </c>
      <c r="AW981" s="234"/>
      <c r="BP981" s="11"/>
      <c r="BQ981" s="11"/>
      <c r="BR981" s="235"/>
      <c r="BV981" s="158"/>
      <c r="BY981" s="158"/>
      <c r="CB981" s="158"/>
    </row>
    <row r="982" ht="18.0" hidden="1" customHeight="1">
      <c r="A982" s="222">
        <f>IFERROR(__xludf.DUMMYFUNCTION("""COMPUTED_VALUE"""),2026.0)</f>
        <v>2026</v>
      </c>
      <c r="B982" s="221">
        <f>IFERROR(__xludf.DUMMYFUNCTION("""COMPUTED_VALUE"""),1.227455E7)</f>
        <v>12274550</v>
      </c>
      <c r="C982" s="222" t="str">
        <f>IFERROR(__xludf.DUMMYFUNCTION("""COMPUTED_VALUE"""),"LPG PT3 TULANG BAWANG_143470_H2_2025 UNT")</f>
        <v>LPG PT3 TULANG BAWANG_143470_H2_2025 UNT</v>
      </c>
      <c r="D982" s="222" t="str">
        <f>IFERROR(__xludf.DUMMYFUNCTION("""COMPUTED_VALUE"""),"REGIONAL I")</f>
        <v>REGIONAL I</v>
      </c>
      <c r="E982" s="222" t="str">
        <f>IFERROR(__xludf.DUMMYFUNCTION("""COMPUTED_VALUE"""),"LAMPUNG")</f>
        <v>LAMPUNG</v>
      </c>
      <c r="F982" s="222" t="str">
        <f>IFERROR(__xludf.DUMMYFUNCTION("""COMPUTED_VALUE"""),"UNT")</f>
        <v>UNT</v>
      </c>
      <c r="G982" s="222" t="str">
        <f>IFERROR(__xludf.DUMMYFUNCTION("""COMPUTED_VALUE"""),"SUMBAGSEL")</f>
        <v>SUMBAGSEL</v>
      </c>
      <c r="H982" s="222" t="str">
        <f>IFERROR(__xludf.DUMMYFUNCTION("""COMPUTED_VALUE"""),"PALEMBANG")</f>
        <v>PALEMBANG</v>
      </c>
      <c r="I982" s="222" t="str">
        <f>IFERROR(__xludf.DUMMYFUNCTION("""COMPUTED_VALUE"""),"Batch 2")</f>
        <v>Batch 2</v>
      </c>
      <c r="J982" s="225">
        <f>IFERROR(__xludf.DUMMYFUNCTION("""COMPUTED_VALUE"""),2.0)</f>
        <v>2</v>
      </c>
      <c r="K982" s="224">
        <f>IFERROR(__xludf.DUMMYFUNCTION("""COMPUTED_VALUE"""),16.0)</f>
        <v>16</v>
      </c>
      <c r="L982" s="226">
        <f>IFERROR(__xludf.DUMMYFUNCTION("""COMPUTED_VALUE"""),979466.0)</f>
        <v>979466</v>
      </c>
      <c r="M982" s="227">
        <f>IFERROR(__xludf.DUMMYFUNCTION("""COMPUTED_VALUE"""),1.5671453E7)</f>
        <v>15671453</v>
      </c>
      <c r="N982" s="222" t="str">
        <f>IFERROR(__xludf.DUMMYFUNCTION("""COMPUTED_VALUE"""),"PT KOPRASI PILAR UTAMA")</f>
        <v>PT KOPRASI PILAR UTAMA</v>
      </c>
      <c r="O982" s="222" t="str">
        <f>IFERROR(__xludf.DUMMYFUNCTION("""COMPUTED_VALUE"""),"7. GOLIVE")</f>
        <v>7. GOLIVE</v>
      </c>
      <c r="P982" s="222" t="str">
        <f>IFERROR(__xludf.DUMMYFUNCTION("""COMPUTED_VALUE"""),"7.2 Golive Full / OA / DONE OTB")</f>
        <v>7.2 Golive Full / OA / DONE OTB</v>
      </c>
      <c r="Q982" s="222" t="str">
        <f>IFERROR(__xludf.DUMMYFUNCTION("""COMPUTED_VALUE"""),"18/2 sudah GOlive - 17 FEB  11/2 SUDAH FI, TINGGAL TERMINASI ODP -PLAN ABD MASUK 13 FEB 9/2 MATDEL  6/2 proses ambil material 9/2,golive 14/2
5/2 ada 5 port modul kosong bisa di lanjut ,estimasi prizinan selesai 9/2 
14/1 Slot Modul OLT Penuh ")</f>
        <v>18/2 sudah GOlive - 17 FEB  11/2 SUDAH FI, TINGGAL TERMINASI ODP -PLAN ABD MASUK 13 FEB 9/2 MATDEL  6/2 proses ambil material 9/2,golive 14/2
5/2 ada 5 port modul kosong bisa di lanjut ,estimasi prizinan selesai 9/2 
14/1 Slot Modul OLT Penuh </v>
      </c>
      <c r="R982" s="228">
        <f>IFERROR(__xludf.DUMMYFUNCTION("""COMPUTED_VALUE"""),46070.0)</f>
        <v>46070</v>
      </c>
      <c r="S982" s="11"/>
      <c r="T982" s="11"/>
      <c r="U982" s="11"/>
      <c r="V982" s="229"/>
      <c r="W982" s="229"/>
      <c r="X982" s="229" t="str">
        <f>IFERROR(__xludf.DUMMYFUNCTION("""COMPUTED_VALUE"""),"GOLIVE")</f>
        <v>GOLIVE</v>
      </c>
      <c r="Y982" s="229" t="str">
        <f>IFERROR(__xludf.DUMMYFUNCTION("""COMPUTED_VALUE"""),"DONE")</f>
        <v>DONE</v>
      </c>
      <c r="Z982" s="229" t="str">
        <f>IFERROR(__xludf.DUMMYFUNCTION("""COMPUTED_VALUE"""),"#N/A")</f>
        <v>#N/A</v>
      </c>
      <c r="AA982" s="229">
        <f>IFERROR(__xludf.DUMMYFUNCTION("""COMPUTED_VALUE"""),2.0)</f>
        <v>2</v>
      </c>
      <c r="AB982" s="229"/>
      <c r="AC982" s="229" t="str">
        <f>IFERROR(__xludf.DUMMYFUNCTION("""COMPUTED_VALUE"""),"9088894#9088899")</f>
        <v>9088894#9088899</v>
      </c>
      <c r="AD982" s="232">
        <f>IFERROR(__xludf.DUMMYFUNCTION("""COMPUTED_VALUE"""),16.0)</f>
        <v>16</v>
      </c>
      <c r="AE982" s="233">
        <f>IFERROR(__xludf.DUMMYFUNCTION("""COMPUTED_VALUE"""),46070.0)</f>
        <v>46070</v>
      </c>
      <c r="AF982" s="54"/>
      <c r="AG982" s="54"/>
      <c r="AH982" s="54">
        <v>46070.0</v>
      </c>
      <c r="AI982" s="55">
        <f t="shared" si="103"/>
        <v>0</v>
      </c>
      <c r="AW982" s="234"/>
      <c r="BP982" s="11"/>
      <c r="BQ982" s="11"/>
      <c r="BR982" s="235"/>
      <c r="BV982" s="158"/>
      <c r="BY982" s="158"/>
      <c r="CB982" s="158"/>
    </row>
    <row r="983" ht="18.0" hidden="1" customHeight="1">
      <c r="A983" s="222">
        <f>IFERROR(__xludf.DUMMYFUNCTION("""COMPUTED_VALUE"""),2026.0)</f>
        <v>2026</v>
      </c>
      <c r="B983" s="221">
        <f>IFERROR(__xludf.DUMMYFUNCTION("""COMPUTED_VALUE"""),1.1960229E7)</f>
        <v>11960229</v>
      </c>
      <c r="C983" s="222" t="str">
        <f>IFERROR(__xludf.DUMMYFUNCTION("""COMPUTED_VALUE"""),"LPG PT3 KOTA METRO_168858_H2_2025 MET")</f>
        <v>LPG PT3 KOTA METRO_168858_H2_2025 MET</v>
      </c>
      <c r="D983" s="222" t="str">
        <f>IFERROR(__xludf.DUMMYFUNCTION("""COMPUTED_VALUE"""),"REGIONAL I")</f>
        <v>REGIONAL I</v>
      </c>
      <c r="E983" s="222" t="str">
        <f>IFERROR(__xludf.DUMMYFUNCTION("""COMPUTED_VALUE"""),"LAMPUNG")</f>
        <v>LAMPUNG</v>
      </c>
      <c r="F983" s="222" t="str">
        <f>IFERROR(__xludf.DUMMYFUNCTION("""COMPUTED_VALUE"""),"MET")</f>
        <v>MET</v>
      </c>
      <c r="G983" s="222" t="str">
        <f>IFERROR(__xludf.DUMMYFUNCTION("""COMPUTED_VALUE"""),"SUMBAGSEL")</f>
        <v>SUMBAGSEL</v>
      </c>
      <c r="H983" s="222" t="str">
        <f>IFERROR(__xludf.DUMMYFUNCTION("""COMPUTED_VALUE"""),"LAMPUNG")</f>
        <v>LAMPUNG</v>
      </c>
      <c r="I983" s="222" t="str">
        <f>IFERROR(__xludf.DUMMYFUNCTION("""COMPUTED_VALUE"""),"Batch 2")</f>
        <v>Batch 2</v>
      </c>
      <c r="J983" s="225">
        <f>IFERROR(__xludf.DUMMYFUNCTION("""COMPUTED_VALUE"""),7.0)</f>
        <v>7</v>
      </c>
      <c r="K983" s="224">
        <f>IFERROR(__xludf.DUMMYFUNCTION("""COMPUTED_VALUE"""),56.0)</f>
        <v>56</v>
      </c>
      <c r="L983" s="226">
        <f>IFERROR(__xludf.DUMMYFUNCTION("""COMPUTED_VALUE"""),979267.0)</f>
        <v>979267</v>
      </c>
      <c r="M983" s="227">
        <f>IFERROR(__xludf.DUMMYFUNCTION("""COMPUTED_VALUE"""),5.4838903E7)</f>
        <v>54838903</v>
      </c>
      <c r="N983" s="222" t="str">
        <f>IFERROR(__xludf.DUMMYFUNCTION("""COMPUTED_VALUE"""),"PT FAJAR MITRA KRIDA ABADI")</f>
        <v>PT FAJAR MITRA KRIDA ABADI</v>
      </c>
      <c r="O983" s="222" t="str">
        <f>IFERROR(__xludf.DUMMYFUNCTION("""COMPUTED_VALUE"""),"0. DROP")</f>
        <v>0. DROP</v>
      </c>
      <c r="P983" s="222" t="str">
        <f>IFERROR(__xludf.DUMMYFUNCTION("""COMPUTED_VALUE"""),"0.4 CPP Tinggi Acc ED TIF")</f>
        <v>0.4 CPP Tinggi Acc ED TIF</v>
      </c>
      <c r="Q983" s="222" t="str">
        <f>IFERROR(__xludf.DUMMYFUNCTION("""COMPUTED_VALUE"""),"3/3 drop - Kenaikan BOQ tinggi ( redesign jadi PT4) 6/2  redesain penarikan fedeer new ,hitung cpp ,upgarade odc 
29/01 fedeer tidak bisa di repair perlu penarikan distribusi baru, 
proses perhitungan BOQ &amp; CPP (BOQ disetor maks 30 Jan) 
21/tidak bisa dir"&amp;"epair lagi 
15/1 butuh repair feeder exsisting")</f>
        <v>3/3 drop - Kenaikan BOQ tinggi ( redesign jadi PT4) 6/2  redesain penarikan fedeer new ,hitung cpp ,upgarade odc 
29/01 fedeer tidak bisa di repair perlu penarikan distribusi baru, 
proses perhitungan BOQ &amp; CPP (BOQ disetor maks 30 Jan) 
21/tidak bisa direpair lagi 
15/1 butuh repair feeder exsisting</v>
      </c>
      <c r="R983" s="228"/>
      <c r="S983" s="11"/>
      <c r="T983" s="11"/>
      <c r="U983" s="11"/>
      <c r="V983" s="229"/>
      <c r="W983" s="229"/>
      <c r="X983" s="229" t="str">
        <f>IFERROR(__xludf.DUMMYFUNCTION("""COMPUTED_VALUE"""),"BELUM GOLIVE")</f>
        <v>BELUM GOLIVE</v>
      </c>
      <c r="Y983" s="229"/>
      <c r="Z983" s="229" t="str">
        <f>IFERROR(__xludf.DUMMYFUNCTION("""COMPUTED_VALUE"""),"#N/A")</f>
        <v>#N/A</v>
      </c>
      <c r="AA983" s="229"/>
      <c r="AB983" s="229"/>
      <c r="AC983" s="229"/>
      <c r="AD983" s="232"/>
      <c r="AE983" s="233"/>
      <c r="AF983" s="54" t="str">
        <f>IFERROR(__xludf.DUMMYFUNCTION("""COMPUTED_VALUE"""),"Draft BA DROP")</f>
        <v>Draft BA DROP</v>
      </c>
      <c r="AG983" s="54"/>
      <c r="AH983" s="54"/>
      <c r="AI983" s="55" t="str">
        <f t="shared" si="103"/>
        <v/>
      </c>
      <c r="AW983" s="234"/>
      <c r="BP983" s="11"/>
      <c r="BQ983" s="11"/>
      <c r="BR983" s="235"/>
      <c r="BV983" s="158"/>
      <c r="BY983" s="158"/>
      <c r="CB983" s="158"/>
    </row>
    <row r="984" ht="18.0" hidden="1" customHeight="1">
      <c r="A984" s="222">
        <f>IFERROR(__xludf.DUMMYFUNCTION("""COMPUTED_VALUE"""),2026.0)</f>
        <v>2026</v>
      </c>
      <c r="B984" s="221">
        <f>IFERROR(__xludf.DUMMYFUNCTION("""COMPUTED_VALUE"""),1.1843467E7)</f>
        <v>11843467</v>
      </c>
      <c r="C984" s="222" t="str">
        <f>IFERROR(__xludf.DUMMYFUNCTION("""COMPUTED_VALUE"""),"MDN PT3 TJR-FK GG.REBUNG II")</f>
        <v>MDN PT3 TJR-FK GG.REBUNG II</v>
      </c>
      <c r="D984" s="222" t="str">
        <f>IFERROR(__xludf.DUMMYFUNCTION("""COMPUTED_VALUE"""),"REGIONAL I")</f>
        <v>REGIONAL I</v>
      </c>
      <c r="E984" s="222" t="str">
        <f>IFERROR(__xludf.DUMMYFUNCTION("""COMPUTED_VALUE"""),"MEDAN")</f>
        <v>MEDAN</v>
      </c>
      <c r="F984" s="222" t="str">
        <f>IFERROR(__xludf.DUMMYFUNCTION("""COMPUTED_VALUE"""),"TJR")</f>
        <v>TJR</v>
      </c>
      <c r="G984" s="222" t="str">
        <f>IFERROR(__xludf.DUMMYFUNCTION("""COMPUTED_VALUE"""),"SUMBAGUT")</f>
        <v>SUMBAGUT</v>
      </c>
      <c r="H984" s="222" t="str">
        <f>IFERROR(__xludf.DUMMYFUNCTION("""COMPUTED_VALUE"""),"MEDAN")</f>
        <v>MEDAN</v>
      </c>
      <c r="I984" s="222" t="str">
        <f>IFERROR(__xludf.DUMMYFUNCTION("""COMPUTED_VALUE"""),"Batch 2")</f>
        <v>Batch 2</v>
      </c>
      <c r="J984" s="225">
        <f>IFERROR(__xludf.DUMMYFUNCTION("""COMPUTED_VALUE"""),3.0)</f>
        <v>3</v>
      </c>
      <c r="K984" s="224">
        <f>IFERROR(__xludf.DUMMYFUNCTION("""COMPUTED_VALUE"""),24.0)</f>
        <v>24</v>
      </c>
      <c r="L984" s="226">
        <f>IFERROR(__xludf.DUMMYFUNCTION("""COMPUTED_VALUE"""),1191699.0)</f>
        <v>1191699</v>
      </c>
      <c r="M984" s="227">
        <f>IFERROR(__xludf.DUMMYFUNCTION("""COMPUTED_VALUE"""),2.8600763E7)</f>
        <v>28600763</v>
      </c>
      <c r="N984" s="222" t="str">
        <f>IFERROR(__xludf.DUMMYFUNCTION("""COMPUTED_VALUE"""),"PT MEDCOM SOLUTION")</f>
        <v>PT MEDCOM SOLUTION</v>
      </c>
      <c r="O984" s="222" t="str">
        <f>IFERROR(__xludf.DUMMYFUNCTION("""COMPUTED_VALUE"""),"0. DROP")</f>
        <v>0. DROP</v>
      </c>
      <c r="P984" s="222" t="str">
        <f>IFERROR(__xludf.DUMMYFUNCTION("""COMPUTED_VALUE"""),"0.2 Tidak Dapat Izin Warga/Kades/Lurah/Developer")</f>
        <v>0.2 Tidak Dapat Izin Warga/Kades/Lurah/Developer</v>
      </c>
      <c r="Q984" s="222" t="str">
        <f>IFERROR(__xludf.DUMMYFUNCTION("""COMPUTED_VALUE"""),"19/01 Tidak ada space Tanam tiang tdk izin warga
(07/01) Persiapan")</f>
        <v>19/01 Tidak ada space Tanam tiang tdk izin warga
(07/01) Persiapan</v>
      </c>
      <c r="R984" s="228"/>
      <c r="S984" s="11"/>
      <c r="T984" s="11"/>
      <c r="U984" s="11"/>
      <c r="V984" s="229"/>
      <c r="W984" s="229"/>
      <c r="X984" s="229" t="str">
        <f>IFERROR(__xludf.DUMMYFUNCTION("""COMPUTED_VALUE"""),"BELUM GOLIVE")</f>
        <v>BELUM GOLIVE</v>
      </c>
      <c r="Y984" s="229"/>
      <c r="Z984" s="229" t="str">
        <f>IFERROR(__xludf.DUMMYFUNCTION("""COMPUTED_VALUE"""),"#N/A")</f>
        <v>#N/A</v>
      </c>
      <c r="AA984" s="229"/>
      <c r="AB984" s="229"/>
      <c r="AC984" s="229"/>
      <c r="AD984" s="232"/>
      <c r="AE984" s="233"/>
      <c r="AF984" s="54" t="str">
        <f>IFERROR(__xludf.DUMMYFUNCTION("""COMPUTED_VALUE"""),"Draft BA DROP")</f>
        <v>Draft BA DROP</v>
      </c>
      <c r="AG984" s="54"/>
      <c r="AH984" s="54"/>
      <c r="AI984" s="55" t="str">
        <f t="shared" si="103"/>
        <v/>
      </c>
      <c r="AW984" s="234"/>
      <c r="BP984" s="11"/>
      <c r="BQ984" s="11"/>
      <c r="BR984" s="235"/>
      <c r="BV984" s="158"/>
      <c r="BY984" s="158"/>
      <c r="CB984" s="158"/>
    </row>
    <row r="985" ht="18.0" hidden="1" customHeight="1">
      <c r="A985" s="222">
        <f>IFERROR(__xludf.DUMMYFUNCTION("""COMPUTED_VALUE"""),2026.0)</f>
        <v>2026</v>
      </c>
      <c r="B985" s="221">
        <f>IFERROR(__xludf.DUMMYFUNCTION("""COMPUTED_VALUE"""),1.2416549E7)</f>
        <v>12416549</v>
      </c>
      <c r="C985" s="222" t="str">
        <f>IFERROR(__xludf.DUMMYFUNCTION("""COMPUTED_VALUE"""),"JBI-PT3 BRANCH-MAB-FE-LANGIT RESIDENCE")</f>
        <v>JBI-PT3 BRANCH-MAB-FE-LANGIT RESIDENCE</v>
      </c>
      <c r="D985" s="222" t="str">
        <f>IFERROR(__xludf.DUMMYFUNCTION("""COMPUTED_VALUE"""),"REGIONAL I")</f>
        <v>REGIONAL I</v>
      </c>
      <c r="E985" s="222" t="str">
        <f>IFERROR(__xludf.DUMMYFUNCTION("""COMPUTED_VALUE"""),"JAMBI")</f>
        <v>JAMBI</v>
      </c>
      <c r="F985" s="222" t="str">
        <f>IFERROR(__xludf.DUMMYFUNCTION("""COMPUTED_VALUE"""),"MAB")</f>
        <v>MAB</v>
      </c>
      <c r="G985" s="222" t="str">
        <f>IFERROR(__xludf.DUMMYFUNCTION("""COMPUTED_VALUE"""),"SUMBAGSEL")</f>
        <v>SUMBAGSEL</v>
      </c>
      <c r="H985" s="222" t="str">
        <f>IFERROR(__xludf.DUMMYFUNCTION("""COMPUTED_VALUE"""),"JAMBI")</f>
        <v>JAMBI</v>
      </c>
      <c r="I985" s="222" t="str">
        <f>IFERROR(__xludf.DUMMYFUNCTION("""COMPUTED_VALUE"""),"Batch 2")</f>
        <v>Batch 2</v>
      </c>
      <c r="J985" s="225">
        <f>IFERROR(__xludf.DUMMYFUNCTION("""COMPUTED_VALUE"""),3.0)</f>
        <v>3</v>
      </c>
      <c r="K985" s="224">
        <f>IFERROR(__xludf.DUMMYFUNCTION("""COMPUTED_VALUE"""),24.0)</f>
        <v>24</v>
      </c>
      <c r="L985" s="226">
        <f>IFERROR(__xludf.DUMMYFUNCTION("""COMPUTED_VALUE"""),978125.0)</f>
        <v>978125</v>
      </c>
      <c r="M985" s="227">
        <f>IFERROR(__xludf.DUMMYFUNCTION("""COMPUTED_VALUE"""),2.3474978E7)</f>
        <v>23474978</v>
      </c>
      <c r="N985" s="222" t="str">
        <f>IFERROR(__xludf.DUMMYFUNCTION("""COMPUTED_VALUE"""),"PT HAN SUNG INDONESIA")</f>
        <v>PT HAN SUNG INDONESIA</v>
      </c>
      <c r="O985" s="222" t="str">
        <f>IFERROR(__xludf.DUMMYFUNCTION("""COMPUTED_VALUE"""),"7. GOLIVE")</f>
        <v>7. GOLIVE</v>
      </c>
      <c r="P985" s="222" t="str">
        <f>IFERROR(__xludf.DUMMYFUNCTION("""COMPUTED_VALUE"""),"7.2 Golive Full / OA / DONE OTB")</f>
        <v>7.2 Golive Full / OA / DONE OTB</v>
      </c>
      <c r="Q985" s="222" t="str">
        <f>IFERROR(__xludf.DUMMYFUNCTION("""COMPUTED_VALUE"""),"(16/2)golive sdi 12 feb (5/2) INSTALASI ODP 3/3 (29/1) MATDEL (22/01) PID Done ogp Apv PM Area (12/1) Proses aanwidjizing 7/1 DRM  (06/01)order JPP batch-2 2026 (17/11 create PID 10/11 mapping mitra")</f>
        <v>(16/2)golive sdi 12 feb (5/2) INSTALASI ODP 3/3 (29/1) MATDEL (22/01) PID Done ogp Apv PM Area (12/1) Proses aanwidjizing 7/1 DRM  (06/01)order JPP batch-2 2026 (17/11 create PID 10/11 mapping mitra</v>
      </c>
      <c r="R985" s="228">
        <f>IFERROR(__xludf.DUMMYFUNCTION("""COMPUTED_VALUE"""),46067.0)</f>
        <v>46067</v>
      </c>
      <c r="S985" s="11"/>
      <c r="T985" s="11"/>
      <c r="U985" s="11"/>
      <c r="V985" s="229"/>
      <c r="W985" s="229"/>
      <c r="X985" s="229" t="str">
        <f>IFERROR(__xludf.DUMMYFUNCTION("""COMPUTED_VALUE"""),"GOLIVE")</f>
        <v>GOLIVE</v>
      </c>
      <c r="Y985" s="229" t="str">
        <f>IFERROR(__xludf.DUMMYFUNCTION("""COMPUTED_VALUE"""),"DONE")</f>
        <v>DONE</v>
      </c>
      <c r="Z985" s="229" t="str">
        <f>IFERROR(__xludf.DUMMYFUNCTION("""COMPUTED_VALUE"""),"#N/A")</f>
        <v>#N/A</v>
      </c>
      <c r="AA985" s="229">
        <f>IFERROR(__xludf.DUMMYFUNCTION("""COMPUTED_VALUE"""),3.0)</f>
        <v>3</v>
      </c>
      <c r="AB985" s="229"/>
      <c r="AC985" s="229" t="str">
        <f>IFERROR(__xludf.DUMMYFUNCTION("""COMPUTED_VALUE"""),"9103704#9103709")</f>
        <v>9103704#9103709</v>
      </c>
      <c r="AD985" s="232">
        <f>IFERROR(__xludf.DUMMYFUNCTION("""COMPUTED_VALUE"""),24.0)</f>
        <v>24</v>
      </c>
      <c r="AE985" s="233">
        <f>IFERROR(__xludf.DUMMYFUNCTION("""COMPUTED_VALUE"""),46065.0)</f>
        <v>46065</v>
      </c>
      <c r="AF985" s="54"/>
      <c r="AG985" s="54"/>
      <c r="AH985" s="54">
        <v>46137.0</v>
      </c>
      <c r="AI985" s="237">
        <f t="shared" ref="AI985:AI986" si="104">AH985-NOW()</f>
        <v>-3.377989907</v>
      </c>
      <c r="AJ985" s="229" t="str">
        <f t="shared" ref="AJ985:AJ986" si="105">if(AI985&gt;=0,"In Komitmen","Out Komitmen")</f>
        <v>Out Komitmen</v>
      </c>
      <c r="AK985" s="229" t="e">
        <v>#N/A</v>
      </c>
      <c r="AW985" s="234"/>
      <c r="BP985" s="11"/>
      <c r="BQ985" s="11"/>
      <c r="BR985" s="235"/>
      <c r="BV985" s="158"/>
      <c r="BY985" s="158"/>
      <c r="CB985" s="158"/>
    </row>
    <row r="986" ht="18.0" customHeight="1">
      <c r="A986" s="222">
        <f>IFERROR(__xludf.DUMMYFUNCTION("""COMPUTED_VALUE"""),2026.0)</f>
        <v>2026</v>
      </c>
      <c r="B986" s="221">
        <f>IFERROR(__xludf.DUMMYFUNCTION("""COMPUTED_VALUE"""),1.2089478E7)</f>
        <v>12089478</v>
      </c>
      <c r="C986" s="222" t="str">
        <f>IFERROR(__xludf.DUMMYFUNCTION("""COMPUTED_VALUE"""),"RKP TSEL PT3 RAI-FR SOEBRANTAS 2")</f>
        <v>RKP TSEL PT3 RAI-FR SOEBRANTAS 2</v>
      </c>
      <c r="D986" s="222" t="str">
        <f>IFERROR(__xludf.DUMMYFUNCTION("""COMPUTED_VALUE"""),"REGIONAL I")</f>
        <v>REGIONAL I</v>
      </c>
      <c r="E986" s="222" t="str">
        <f>IFERROR(__xludf.DUMMYFUNCTION("""COMPUTED_VALUE"""),"RIKEP")</f>
        <v>RIKEP</v>
      </c>
      <c r="F986" s="222" t="str">
        <f>IFERROR(__xludf.DUMMYFUNCTION("""COMPUTED_VALUE"""),"RAI")</f>
        <v>RAI</v>
      </c>
      <c r="G986" s="222" t="str">
        <f>IFERROR(__xludf.DUMMYFUNCTION("""COMPUTED_VALUE"""),"SUMBAGTENG")</f>
        <v>SUMBAGTENG</v>
      </c>
      <c r="H986" s="222" t="str">
        <f>IFERROR(__xludf.DUMMYFUNCTION("""COMPUTED_VALUE"""),"BATAM")</f>
        <v>BATAM</v>
      </c>
      <c r="I986" s="222" t="str">
        <f>IFERROR(__xludf.DUMMYFUNCTION("""COMPUTED_VALUE"""),"Batch 2")</f>
        <v>Batch 2</v>
      </c>
      <c r="J986" s="225">
        <f>IFERROR(__xludf.DUMMYFUNCTION("""COMPUTED_VALUE"""),4.0)</f>
        <v>4</v>
      </c>
      <c r="K986" s="224">
        <f>IFERROR(__xludf.DUMMYFUNCTION("""COMPUTED_VALUE"""),32.0)</f>
        <v>32</v>
      </c>
      <c r="L986" s="226">
        <f>IFERROR(__xludf.DUMMYFUNCTION("""COMPUTED_VALUE"""),977732.0)</f>
        <v>977732</v>
      </c>
      <c r="M986" s="227">
        <f>IFERROR(__xludf.DUMMYFUNCTION("""COMPUTED_VALUE"""),3.1287423E7)</f>
        <v>31287423</v>
      </c>
      <c r="N986" s="222" t="str">
        <f>IFERROR(__xludf.DUMMYFUNCTION("""COMPUTED_VALUE"""),"SWAKELOLA")</f>
        <v>SWAKELOLA</v>
      </c>
      <c r="O986" s="222" t="str">
        <f>IFERROR(__xludf.DUMMYFUNCTION("""COMPUTED_VALUE"""),"4. MATDEL")</f>
        <v>4. MATDEL</v>
      </c>
      <c r="P986" s="222" t="str">
        <f>IFERROR(__xludf.DUMMYFUNCTION("""COMPUTED_VALUE"""),"4.3 Proses Kirim Mateial Kelokasi")</f>
        <v>4.3 Proses Kirim Mateial Kelokasi</v>
      </c>
      <c r="Q986"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986" s="228"/>
      <c r="S986" s="11"/>
      <c r="T986" s="11"/>
      <c r="U986" s="11" t="str">
        <f>IFERROR(__xludf.DUMMYFUNCTION("""COMPUTED_VALUE"""),"W09-230/2026")</f>
        <v>W09-230/2026</v>
      </c>
      <c r="V986" s="229" t="str">
        <f>IFERROR(__xludf.DUMMYFUNCTION("""COMPUTED_VALUE"""),"DEDY IRAWAN")</f>
        <v>DEDY IRAWAN</v>
      </c>
      <c r="W986" s="229" t="str">
        <f>IFERROR(__xludf.DUMMYFUNCTION("""COMPUTED_VALUE"""),"LEVITA INDRIYANI")</f>
        <v>LEVITA INDRIYANI</v>
      </c>
      <c r="X986" s="229" t="str">
        <f>IFERROR(__xludf.DUMMYFUNCTION("""COMPUTED_VALUE"""),"BELUM GOLIVE")</f>
        <v>BELUM GOLIVE</v>
      </c>
      <c r="Y986" s="229"/>
      <c r="Z986" s="229" t="str">
        <f>IFERROR(__xludf.DUMMYFUNCTION("""COMPUTED_VALUE"""),"#N/A")</f>
        <v>#N/A</v>
      </c>
      <c r="AA986" s="229"/>
      <c r="AB986" s="229"/>
      <c r="AC986" s="229"/>
      <c r="AD986" s="232"/>
      <c r="AE986" s="233"/>
      <c r="AF986" s="54"/>
      <c r="AG986" s="54"/>
      <c r="AH986" s="54">
        <v>46137.0</v>
      </c>
      <c r="AI986" s="237">
        <f t="shared" si="104"/>
        <v>-3.377989907</v>
      </c>
      <c r="AJ986" s="229" t="str">
        <f t="shared" si="105"/>
        <v>Out Komitmen</v>
      </c>
      <c r="AW986" s="234"/>
      <c r="BP986" s="11"/>
      <c r="BQ986" s="11"/>
      <c r="BR986" s="235"/>
      <c r="BV986" s="158"/>
      <c r="BY986" s="158"/>
      <c r="CB986" s="158"/>
    </row>
    <row r="987" ht="18.0" customHeight="1">
      <c r="A987" s="222">
        <f>IFERROR(__xludf.DUMMYFUNCTION("""COMPUTED_VALUE"""),2026.0)</f>
        <v>2026</v>
      </c>
      <c r="B987" s="221">
        <f>IFERROR(__xludf.DUMMYFUNCTION("""COMPUTED_VALUE"""),1.1364799E7)</f>
        <v>11364799</v>
      </c>
      <c r="C987" s="222" t="str">
        <f>IFERROR(__xludf.DUMMYFUNCTION("""COMPUTED_VALUE"""),"RDR BKN PT3 P2I1 Pantai Cermin")</f>
        <v>RDR BKN PT3 P2I1 Pantai Cermin</v>
      </c>
      <c r="D987" s="222" t="str">
        <f>IFERROR(__xludf.DUMMYFUNCTION("""COMPUTED_VALUE"""),"REGIONAL I")</f>
        <v>REGIONAL I</v>
      </c>
      <c r="E987" s="222" t="str">
        <f>IFERROR(__xludf.DUMMYFUNCTION("""COMPUTED_VALUE"""),"RIDAR")</f>
        <v>RIDAR</v>
      </c>
      <c r="F987" s="222" t="str">
        <f>IFERROR(__xludf.DUMMYFUNCTION("""COMPUTED_VALUE"""),"BKN")</f>
        <v>BKN</v>
      </c>
      <c r="G987" s="222" t="str">
        <f>IFERROR(__xludf.DUMMYFUNCTION("""COMPUTED_VALUE"""),"SUMBAGTENG")</f>
        <v>SUMBAGTENG</v>
      </c>
      <c r="H987" s="222" t="str">
        <f>IFERROR(__xludf.DUMMYFUNCTION("""COMPUTED_VALUE"""),"DUMAI")</f>
        <v>DUMAI</v>
      </c>
      <c r="I987" s="222" t="str">
        <f>IFERROR(__xludf.DUMMYFUNCTION("""COMPUTED_VALUE"""),"Batch 2")</f>
        <v>Batch 2</v>
      </c>
      <c r="J987" s="225">
        <f>IFERROR(__xludf.DUMMYFUNCTION("""COMPUTED_VALUE"""),4.0)</f>
        <v>4</v>
      </c>
      <c r="K987" s="224">
        <f>IFERROR(__xludf.DUMMYFUNCTION("""COMPUTED_VALUE"""),32.0)</f>
        <v>32</v>
      </c>
      <c r="L987" s="226">
        <f>IFERROR(__xludf.DUMMYFUNCTION("""COMPUTED_VALUE"""),1244409.0)</f>
        <v>1244409</v>
      </c>
      <c r="M987" s="227">
        <f>IFERROR(__xludf.DUMMYFUNCTION("""COMPUTED_VALUE"""),3.982107E7)</f>
        <v>39821070</v>
      </c>
      <c r="N987" s="222" t="str">
        <f>IFERROR(__xludf.DUMMYFUNCTION("""COMPUTED_VALUE"""),"PT LIBER PERSADA MANDIRI")</f>
        <v>PT LIBER PERSADA MANDIRI</v>
      </c>
      <c r="O987" s="222" t="str">
        <f>IFERROR(__xludf.DUMMYFUNCTION("""COMPUTED_VALUE"""),"5. INSTALASI")</f>
        <v>5. INSTALASI</v>
      </c>
      <c r="P987" s="222" t="str">
        <f>IFERROR(__xludf.DUMMYFUNCTION("""COMPUTED_VALUE"""),"5.5 Proses Penanaman Tiang - Paralel Comcase/Perjinan PU")</f>
        <v>5.5 Proses Penanaman Tiang - Paralel Comcase/Perjinan PU</v>
      </c>
      <c r="Q987" s="222" t="str">
        <f>IFERROR(__xludf.DUMMYFUNCTION("""COMPUTED_VALUE"""),"20/04 Pengiriman material ke Lokasi 13/04 Menunggu Jadwal Review 08/04 Kendala Feeder rusak, ogp pengecekan ulang untuk hasil ukur 03/03 Kendala Feeder rusak 20/01 Kendala feeder rusak (07/01) Persiapan")</f>
        <v>20/04 Pengiriman material ke Lokasi 13/04 Menunggu Jadwal Review 08/04 Kendala Feeder rusak, ogp pengecekan ulang untuk hasil ukur 03/03 Kendala Feeder rusak 20/01 Kendala feeder rusak (07/01) Persiapan</v>
      </c>
      <c r="R987" s="228">
        <f>IFERROR(__xludf.DUMMYFUNCTION("""COMPUTED_VALUE"""),46138.0)</f>
        <v>46138</v>
      </c>
      <c r="S987" s="11" t="str">
        <f>IFERROR(__xludf.DUMMYFUNCTION("""COMPUTED_VALUE"""),"APR")</f>
        <v>APR</v>
      </c>
      <c r="T987" s="11"/>
      <c r="U987" s="11"/>
      <c r="V987" s="229" t="str">
        <f>IFERROR(__xludf.DUMMYFUNCTION("""COMPUTED_VALUE"""),"ONDI EKA SAPUTRA")</f>
        <v>ONDI EKA SAPUTRA</v>
      </c>
      <c r="W987" s="229" t="str">
        <f>IFERROR(__xludf.DUMMYFUNCTION("""COMPUTED_VALUE"""),"ANZALA SAKINAH")</f>
        <v>ANZALA SAKINAH</v>
      </c>
      <c r="X987" s="229" t="str">
        <f>IFERROR(__xludf.DUMMYFUNCTION("""COMPUTED_VALUE"""),"BELUM GOLIVE")</f>
        <v>BELUM GOLIVE</v>
      </c>
      <c r="Y987" s="229"/>
      <c r="Z987" s="229" t="str">
        <f>IFERROR(__xludf.DUMMYFUNCTION("""COMPUTED_VALUE"""),"#N/A")</f>
        <v>#N/A</v>
      </c>
      <c r="AA987" s="229"/>
      <c r="AB987" s="229"/>
      <c r="AC987" s="229"/>
      <c r="AD987" s="232"/>
      <c r="AE987" s="233"/>
      <c r="AF987" s="54"/>
      <c r="AG987" s="54"/>
      <c r="AH987" s="54"/>
      <c r="AI987" s="55" t="str">
        <f t="shared" ref="AI987:AI990" si="106">IF(OR(R987="",AE987=""),"",R987-AE987)</f>
        <v/>
      </c>
      <c r="AW987" s="234"/>
      <c r="BP987" s="11"/>
      <c r="BQ987" s="11"/>
      <c r="BR987" s="235"/>
      <c r="BV987" s="158"/>
      <c r="BY987" s="158"/>
      <c r="CB987" s="158"/>
    </row>
    <row r="988" ht="18.0" hidden="1" customHeight="1">
      <c r="A988" s="222">
        <f>IFERROR(__xludf.DUMMYFUNCTION("""COMPUTED_VALUE"""),2026.0)</f>
        <v>2026</v>
      </c>
      <c r="B988" s="221">
        <f>IFERROR(__xludf.DUMMYFUNCTION("""COMPUTED_VALUE"""),1.1137531E7)</f>
        <v>11137531</v>
      </c>
      <c r="C988" s="222" t="str">
        <f>IFERROR(__xludf.DUMMYFUNCTION("""COMPUTED_VALUE"""),"MDN PT3 P7I8 SKI-FAP JL.BANGUN SARI II")</f>
        <v>MDN PT3 P7I8 SKI-FAP JL.BANGUN SARI II</v>
      </c>
      <c r="D988" s="222" t="str">
        <f>IFERROR(__xludf.DUMMYFUNCTION("""COMPUTED_VALUE"""),"REGIONAL I")</f>
        <v>REGIONAL I</v>
      </c>
      <c r="E988" s="222" t="str">
        <f>IFERROR(__xludf.DUMMYFUNCTION("""COMPUTED_VALUE"""),"MEDAN")</f>
        <v>MEDAN</v>
      </c>
      <c r="F988" s="222" t="str">
        <f>IFERROR(__xludf.DUMMYFUNCTION("""COMPUTED_VALUE"""),"SKI")</f>
        <v>SKI</v>
      </c>
      <c r="G988" s="222" t="str">
        <f>IFERROR(__xludf.DUMMYFUNCTION("""COMPUTED_VALUE"""),"SUMBAGUT")</f>
        <v>SUMBAGUT</v>
      </c>
      <c r="H988" s="222" t="str">
        <f>IFERROR(__xludf.DUMMYFUNCTION("""COMPUTED_VALUE"""),"MEDAN")</f>
        <v>MEDAN</v>
      </c>
      <c r="I988" s="222" t="str">
        <f>IFERROR(__xludf.DUMMYFUNCTION("""COMPUTED_VALUE"""),"Batch 2")</f>
        <v>Batch 2</v>
      </c>
      <c r="J988" s="225">
        <f>IFERROR(__xludf.DUMMYFUNCTION("""COMPUTED_VALUE"""),2.0)</f>
        <v>2</v>
      </c>
      <c r="K988" s="224">
        <f>IFERROR(__xludf.DUMMYFUNCTION("""COMPUTED_VALUE"""),16.0)</f>
        <v>16</v>
      </c>
      <c r="L988" s="226">
        <f>IFERROR(__xludf.DUMMYFUNCTION("""COMPUTED_VALUE"""),976946.0)</f>
        <v>976946</v>
      </c>
      <c r="M988" s="227">
        <f>IFERROR(__xludf.DUMMYFUNCTION("""COMPUTED_VALUE"""),1.5631127E7)</f>
        <v>15631127</v>
      </c>
      <c r="N988" s="222" t="str">
        <f>IFERROR(__xludf.DUMMYFUNCTION("""COMPUTED_VALUE"""),"PT MEDCOM SOLUTION")</f>
        <v>PT MEDCOM SOLUTION</v>
      </c>
      <c r="O988" s="222" t="str">
        <f>IFERROR(__xludf.DUMMYFUNCTION("""COMPUTED_VALUE"""),"2. DONE AANWIJZING")</f>
        <v>2. DONE AANWIJZING</v>
      </c>
      <c r="P988" s="222" t="str">
        <f>IFERROR(__xludf.DUMMYFUNCTION("""COMPUTED_VALUE"""),"2.10 Kendala - Feeder Rusak")</f>
        <v>2.10 Kendala - Feeder Rusak</v>
      </c>
      <c r="Q988" s="222" t="str">
        <f>IFERROR(__xludf.DUMMYFUNCTION("""COMPUTED_VALUE"""),"21/04 pengecekan tipus / butuh qe
08/03 Feeder Redti 16/10 Feeder Habis
16/10 Mapping Mitra")</f>
        <v>21/04 pengecekan tipus / butuh qe
08/03 Feeder Redti 16/10 Feeder Habis
16/10 Mapping Mitra</v>
      </c>
      <c r="R988" s="228"/>
      <c r="S988" s="11"/>
      <c r="T988" s="11"/>
      <c r="U988" s="11"/>
      <c r="V988" s="229"/>
      <c r="W988" s="229"/>
      <c r="X988" s="229" t="str">
        <f>IFERROR(__xludf.DUMMYFUNCTION("""COMPUTED_VALUE"""),"BELUM GOLIVE")</f>
        <v>BELUM GOLIVE</v>
      </c>
      <c r="Y988" s="229"/>
      <c r="Z988" s="229" t="str">
        <f>IFERROR(__xludf.DUMMYFUNCTION("""COMPUTED_VALUE"""),"#N/A")</f>
        <v>#N/A</v>
      </c>
      <c r="AA988" s="229"/>
      <c r="AB988" s="229"/>
      <c r="AC988" s="229"/>
      <c r="AD988" s="232"/>
      <c r="AE988" s="233"/>
      <c r="AF988" s="54"/>
      <c r="AG988" s="54"/>
      <c r="AH988" s="54"/>
      <c r="AI988" s="55" t="str">
        <f t="shared" si="106"/>
        <v/>
      </c>
      <c r="AW988" s="234"/>
      <c r="BP988" s="11"/>
      <c r="BQ988" s="11"/>
      <c r="BR988" s="235"/>
      <c r="BV988" s="158"/>
      <c r="BY988" s="158"/>
      <c r="CB988" s="158"/>
    </row>
    <row r="989" ht="18.0" customHeight="1">
      <c r="A989" s="222">
        <f>IFERROR(__xludf.DUMMYFUNCTION("""COMPUTED_VALUE"""),2026.0)</f>
        <v>2026</v>
      </c>
      <c r="B989" s="221">
        <f>IFERROR(__xludf.DUMMYFUNCTION("""COMPUTED_VALUE"""),1.1119954E7)</f>
        <v>11119954</v>
      </c>
      <c r="C989" s="222" t="str">
        <f>IFERROR(__xludf.DUMMYFUNCTION("""COMPUTED_VALUE"""),"RKP PT3 JPP SYA-FC SUNGAI PASIR_MERAL")</f>
        <v>RKP PT3 JPP SYA-FC SUNGAI PASIR_MERAL</v>
      </c>
      <c r="D989" s="222" t="str">
        <f>IFERROR(__xludf.DUMMYFUNCTION("""COMPUTED_VALUE"""),"REGIONAL I")</f>
        <v>REGIONAL I</v>
      </c>
      <c r="E989" s="222" t="str">
        <f>IFERROR(__xludf.DUMMYFUNCTION("""COMPUTED_VALUE"""),"RIKEP")</f>
        <v>RIKEP</v>
      </c>
      <c r="F989" s="222" t="str">
        <f>IFERROR(__xludf.DUMMYFUNCTION("""COMPUTED_VALUE"""),"SYA")</f>
        <v>SYA</v>
      </c>
      <c r="G989" s="222" t="str">
        <f>IFERROR(__xludf.DUMMYFUNCTION("""COMPUTED_VALUE"""),"SUMBAGTENG")</f>
        <v>SUMBAGTENG</v>
      </c>
      <c r="H989" s="222" t="str">
        <f>IFERROR(__xludf.DUMMYFUNCTION("""COMPUTED_VALUE"""),"BATAM")</f>
        <v>BATAM</v>
      </c>
      <c r="I989" s="222" t="str">
        <f>IFERROR(__xludf.DUMMYFUNCTION("""COMPUTED_VALUE"""),"Batch 2")</f>
        <v>Batch 2</v>
      </c>
      <c r="J989" s="225">
        <f>IFERROR(__xludf.DUMMYFUNCTION("""COMPUTED_VALUE"""),5.0)</f>
        <v>5</v>
      </c>
      <c r="K989" s="224">
        <f>IFERROR(__xludf.DUMMYFUNCTION("""COMPUTED_VALUE"""),40.0)</f>
        <v>40</v>
      </c>
      <c r="L989" s="226">
        <f>IFERROR(__xludf.DUMMYFUNCTION("""COMPUTED_VALUE"""),975878.0)</f>
        <v>975878</v>
      </c>
      <c r="M989" s="227">
        <f>IFERROR(__xludf.DUMMYFUNCTION("""COMPUTED_VALUE"""),3.9035108E7)</f>
        <v>39035108</v>
      </c>
      <c r="N989" s="222" t="str">
        <f>IFERROR(__xludf.DUMMYFUNCTION("""COMPUTED_VALUE"""),"PT DWI MITRA JAYA UTAMA")</f>
        <v>PT DWI MITRA JAYA UTAMA</v>
      </c>
      <c r="O989" s="222" t="str">
        <f>IFERROR(__xludf.DUMMYFUNCTION("""COMPUTED_VALUE"""),"2. DONE AANWIJZING")</f>
        <v>2. DONE AANWIJZING</v>
      </c>
      <c r="P989" s="222" t="str">
        <f>IFERROR(__xludf.DUMMYFUNCTION("""COMPUTED_VALUE"""),"2.10 Kendala - Feeder Rusak")</f>
        <v>2.10 Kendala - Feeder Rusak</v>
      </c>
      <c r="Q989" s="222" t="str">
        <f>IFERROR(__xludf.DUMMYFUNCTION("""COMPUTED_VALUE"""),"09/03 pengambilan ulang eviden feeder full hari ini. 
04/03 Feeder rusak butuh eviden OTDR ulang. 28/01 Feeder Habis pengambilan ulang eviden. 21/01 plan anwijzing 26 jan, peralihan mitra")</f>
        <v>09/03 pengambilan ulang eviden feeder full hari ini. 
04/03 Feeder rusak butuh eviden OTDR ulang. 28/01 Feeder Habis pengambilan ulang eviden. 21/01 plan anwijzing 26 jan, peralihan mitra</v>
      </c>
      <c r="R989" s="228"/>
      <c r="S989" s="11"/>
      <c r="T989" s="11"/>
      <c r="U989" s="11"/>
      <c r="V989" s="229" t="str">
        <f>IFERROR(__xludf.DUMMYFUNCTION("""COMPUTED_VALUE"""),"MOHAMMAD FAUZY")</f>
        <v>MOHAMMAD FAUZY</v>
      </c>
      <c r="W989" s="229" t="str">
        <f>IFERROR(__xludf.DUMMYFUNCTION("""COMPUTED_VALUE"""),"LEVITA INDRIYANI")</f>
        <v>LEVITA INDRIYANI</v>
      </c>
      <c r="X989" s="229" t="str">
        <f>IFERROR(__xludf.DUMMYFUNCTION("""COMPUTED_VALUE"""),"BELUM GOLIVE")</f>
        <v>BELUM GOLIVE</v>
      </c>
      <c r="Y989" s="229"/>
      <c r="Z989" s="229" t="str">
        <f>IFERROR(__xludf.DUMMYFUNCTION("""COMPUTED_VALUE"""),"#N/A")</f>
        <v>#N/A</v>
      </c>
      <c r="AA989" s="229"/>
      <c r="AB989" s="229"/>
      <c r="AC989" s="229"/>
      <c r="AD989" s="232"/>
      <c r="AE989" s="233"/>
      <c r="AF989" s="54"/>
      <c r="AG989" s="54"/>
      <c r="AH989" s="54"/>
      <c r="AI989" s="55" t="str">
        <f t="shared" si="106"/>
        <v/>
      </c>
      <c r="AW989" s="234"/>
      <c r="BP989" s="11"/>
      <c r="BQ989" s="11"/>
      <c r="BR989" s="235"/>
      <c r="BV989" s="158"/>
      <c r="BY989" s="158"/>
      <c r="CB989" s="158"/>
    </row>
    <row r="990" ht="18.0" customHeight="1">
      <c r="A990" s="222">
        <f>IFERROR(__xludf.DUMMYFUNCTION("""COMPUTED_VALUE"""),2026.0)</f>
        <v>2026</v>
      </c>
      <c r="B990" s="221">
        <f>IFERROR(__xludf.DUMMYFUNCTION("""COMPUTED_VALUE"""),1.2422588E7)</f>
        <v>12422588</v>
      </c>
      <c r="C990" s="222" t="str">
        <f>IFERROR(__xludf.DUMMYFUNCTION("""COMPUTED_VALUE"""),"RDR JPP PT3 Dumai barat")</f>
        <v>RDR JPP PT3 Dumai barat</v>
      </c>
      <c r="D990" s="222" t="str">
        <f>IFERROR(__xludf.DUMMYFUNCTION("""COMPUTED_VALUE"""),"REGIONAL I")</f>
        <v>REGIONAL I</v>
      </c>
      <c r="E990" s="222" t="str">
        <f>IFERROR(__xludf.DUMMYFUNCTION("""COMPUTED_VALUE"""),"RIDAR")</f>
        <v>RIDAR</v>
      </c>
      <c r="F990" s="222" t="str">
        <f>IFERROR(__xludf.DUMMYFUNCTION("""COMPUTED_VALUE"""),"DUM")</f>
        <v>DUM</v>
      </c>
      <c r="G990" s="222" t="str">
        <f>IFERROR(__xludf.DUMMYFUNCTION("""COMPUTED_VALUE"""),"SUMBAGTENG")</f>
        <v>SUMBAGTENG</v>
      </c>
      <c r="H990" s="222" t="str">
        <f>IFERROR(__xludf.DUMMYFUNCTION("""COMPUTED_VALUE"""),"DUMAI")</f>
        <v>DUMAI</v>
      </c>
      <c r="I990" s="222" t="str">
        <f>IFERROR(__xludf.DUMMYFUNCTION("""COMPUTED_VALUE"""),"Batch 2")</f>
        <v>Batch 2</v>
      </c>
      <c r="J990" s="225">
        <f>IFERROR(__xludf.DUMMYFUNCTION("""COMPUTED_VALUE"""),8.0)</f>
        <v>8</v>
      </c>
      <c r="K990" s="224">
        <f>IFERROR(__xludf.DUMMYFUNCTION("""COMPUTED_VALUE"""),64.0)</f>
        <v>64</v>
      </c>
      <c r="L990" s="226">
        <f>IFERROR(__xludf.DUMMYFUNCTION("""COMPUTED_VALUE"""),975499.0)</f>
        <v>975499</v>
      </c>
      <c r="M990" s="227">
        <f>IFERROR(__xludf.DUMMYFUNCTION("""COMPUTED_VALUE"""),6.2431915E7)</f>
        <v>62431915</v>
      </c>
      <c r="N990" s="222" t="str">
        <f>IFERROR(__xludf.DUMMYFUNCTION("""COMPUTED_VALUE"""),"PT LIBER PERSADA MANDIRI")</f>
        <v>PT LIBER PERSADA MANDIRI</v>
      </c>
      <c r="O990" s="222" t="str">
        <f>IFERROR(__xludf.DUMMYFUNCTION("""COMPUTED_VALUE"""),"0. DROP")</f>
        <v>0. DROP</v>
      </c>
      <c r="P990" s="222" t="str">
        <f>IFERROR(__xludf.DUMMYFUNCTION("""COMPUTED_VALUE"""),"0.2 Tidak Dapat Izin Warga/Kades/Lurah/Developer")</f>
        <v>0.2 Tidak Dapat Izin Warga/Kades/Lurah/Developer</v>
      </c>
      <c r="Q990" s="222" t="str">
        <f>IFERROR(__xludf.DUMMYFUNCTION("""COMPUTED_VALUE"""),"29/01 Tidak dapat izin tanam tiang (07/01) Persiapan")</f>
        <v>29/01 Tidak dapat izin tanam tiang (07/01) Persiapan</v>
      </c>
      <c r="R990" s="228"/>
      <c r="S990" s="11"/>
      <c r="T990" s="11"/>
      <c r="U990" s="11" t="str">
        <f>IFERROR(__xludf.DUMMYFUNCTION("""COMPUTED_VALUE"""),"W08-1989/2025")</f>
        <v>W08-1989/2025</v>
      </c>
      <c r="V990" s="229" t="str">
        <f>IFERROR(__xludf.DUMMYFUNCTION("""COMPUTED_VALUE"""),"ONDI EKA SAPUTRA")</f>
        <v>ONDI EKA SAPUTRA</v>
      </c>
      <c r="W990" s="229" t="str">
        <f>IFERROR(__xludf.DUMMYFUNCTION("""COMPUTED_VALUE"""),"DESLITA RAHMADANI")</f>
        <v>DESLITA RAHMADANI</v>
      </c>
      <c r="X990" s="229" t="str">
        <f>IFERROR(__xludf.DUMMYFUNCTION("""COMPUTED_VALUE"""),"BELUM GOLIVE")</f>
        <v>BELUM GOLIVE</v>
      </c>
      <c r="Y990" s="229"/>
      <c r="Z990" s="229" t="str">
        <f>IFERROR(__xludf.DUMMYFUNCTION("""COMPUTED_VALUE"""),"#N/A")</f>
        <v>#N/A</v>
      </c>
      <c r="AA990" s="229"/>
      <c r="AB990" s="229"/>
      <c r="AC990" s="229"/>
      <c r="AD990" s="232"/>
      <c r="AE990" s="233"/>
      <c r="AF990" s="54" t="str">
        <f>IFERROR(__xludf.DUMMYFUNCTION("""COMPUTED_VALUE"""),"Draft BA DROP")</f>
        <v>Draft BA DROP</v>
      </c>
      <c r="AG990" s="54"/>
      <c r="AH990" s="54"/>
      <c r="AI990" s="55" t="str">
        <f t="shared" si="106"/>
        <v/>
      </c>
      <c r="AW990" s="234"/>
      <c r="BP990" s="11"/>
      <c r="BQ990" s="11"/>
      <c r="BR990" s="235"/>
      <c r="BV990" s="158"/>
      <c r="BY990" s="158"/>
      <c r="CB990" s="158"/>
    </row>
    <row r="991" ht="18.0" customHeight="1">
      <c r="A991" s="222">
        <f>IFERROR(__xludf.DUMMYFUNCTION("""COMPUTED_VALUE"""),2026.0)</f>
        <v>2026</v>
      </c>
      <c r="B991" s="221">
        <f>IFERROR(__xludf.DUMMYFUNCTION("""COMPUTED_VALUE"""),1.1128957E7)</f>
        <v>11128957</v>
      </c>
      <c r="C991" s="222" t="str">
        <f>IFERROR(__xludf.DUMMYFUNCTION("""COMPUTED_VALUE"""),"RKP PT3 JPP SGT-FC BLOK H RSUP")</f>
        <v>RKP PT3 JPP SGT-FC BLOK H RSUP</v>
      </c>
      <c r="D991" s="222" t="str">
        <f>IFERROR(__xludf.DUMMYFUNCTION("""COMPUTED_VALUE"""),"REGIONAL I")</f>
        <v>REGIONAL I</v>
      </c>
      <c r="E991" s="222" t="str">
        <f>IFERROR(__xludf.DUMMYFUNCTION("""COMPUTED_VALUE"""),"RIKEP")</f>
        <v>RIKEP</v>
      </c>
      <c r="F991" s="222" t="str">
        <f>IFERROR(__xludf.DUMMYFUNCTION("""COMPUTED_VALUE"""),"SGT")</f>
        <v>SGT</v>
      </c>
      <c r="G991" s="222" t="str">
        <f>IFERROR(__xludf.DUMMYFUNCTION("""COMPUTED_VALUE"""),"SUMBAGTENG")</f>
        <v>SUMBAGTENG</v>
      </c>
      <c r="H991" s="222" t="str">
        <f>IFERROR(__xludf.DUMMYFUNCTION("""COMPUTED_VALUE"""),"BATAM")</f>
        <v>BATAM</v>
      </c>
      <c r="I991" s="222" t="str">
        <f>IFERROR(__xludf.DUMMYFUNCTION("""COMPUTED_VALUE"""),"Batch 2")</f>
        <v>Batch 2</v>
      </c>
      <c r="J991" s="225">
        <f>IFERROR(__xludf.DUMMYFUNCTION("""COMPUTED_VALUE"""),2.0)</f>
        <v>2</v>
      </c>
      <c r="K991" s="224">
        <f>IFERROR(__xludf.DUMMYFUNCTION("""COMPUTED_VALUE"""),16.0)</f>
        <v>16</v>
      </c>
      <c r="L991" s="226">
        <f>IFERROR(__xludf.DUMMYFUNCTION("""COMPUTED_VALUE"""),975072.0)</f>
        <v>975072</v>
      </c>
      <c r="M991" s="227">
        <f>IFERROR(__xludf.DUMMYFUNCTION("""COMPUTED_VALUE"""),1.5601152E7)</f>
        <v>15601152</v>
      </c>
      <c r="N991" s="222" t="str">
        <f>IFERROR(__xludf.DUMMYFUNCTION("""COMPUTED_VALUE"""),"SWAKELOLA")</f>
        <v>SWAKELOLA</v>
      </c>
      <c r="O991" s="222" t="str">
        <f>IFERROR(__xludf.DUMMYFUNCTION("""COMPUTED_VALUE"""),"0. DROP")</f>
        <v>0. DROP</v>
      </c>
      <c r="P991" s="222" t="str">
        <f>IFERROR(__xludf.DUMMYFUNCTION("""COMPUTED_VALUE"""),"0.3 Feeder Full")</f>
        <v>0.3 Feeder Full</v>
      </c>
      <c r="Q991" s="222" t="str">
        <f>IFERROR(__xludf.DUMMYFUNCTION("""COMPUTED_VALUE"""),"21/01 Hold karena SGT-FC feeder full, butuh PT4 narik dari mini OLT namun pihak RSUP meminta legal dari telkom, sudah di infokan ke AOM namun blm ada kejelasan dari pihak RSUP pulau burung, case sudah dari 2024.")</f>
        <v>21/01 Hold karena SGT-FC feeder full, butuh PT4 narik dari mini OLT namun pihak RSUP meminta legal dari telkom, sudah di infokan ke AOM namun blm ada kejelasan dari pihak RSUP pulau burung, case sudah dari 2024.</v>
      </c>
      <c r="R991" s="228"/>
      <c r="S991" s="11"/>
      <c r="T991" s="11"/>
      <c r="U991" s="11"/>
      <c r="V991" s="229" t="str">
        <f>IFERROR(__xludf.DUMMYFUNCTION("""COMPUTED_VALUE"""),"MOHAMMAD FAUZY")</f>
        <v>MOHAMMAD FAUZY</v>
      </c>
      <c r="W991" s="229" t="str">
        <f>IFERROR(__xludf.DUMMYFUNCTION("""COMPUTED_VALUE"""),"LEVITA INDRIYANI")</f>
        <v>LEVITA INDRIYANI</v>
      </c>
      <c r="X991" s="229" t="str">
        <f>IFERROR(__xludf.DUMMYFUNCTION("""COMPUTED_VALUE"""),"BELUM GOLIVE")</f>
        <v>BELUM GOLIVE</v>
      </c>
      <c r="Y991" s="229"/>
      <c r="Z991" s="229" t="str">
        <f>IFERROR(__xludf.DUMMYFUNCTION("""COMPUTED_VALUE"""),"#N/A")</f>
        <v>#N/A</v>
      </c>
      <c r="AA991" s="229"/>
      <c r="AB991" s="229"/>
      <c r="AC991" s="229"/>
      <c r="AD991" s="232"/>
      <c r="AE991" s="233"/>
      <c r="AF991" s="54" t="str">
        <f>IFERROR(__xludf.DUMMYFUNCTION("""COMPUTED_VALUE"""),"Draft BA DROP")</f>
        <v>Draft BA DROP</v>
      </c>
      <c r="AG991" s="54"/>
      <c r="AH991" s="54">
        <v>46141.0</v>
      </c>
      <c r="AI991" s="237">
        <f>AH991-NOW()</f>
        <v>0.6220100926</v>
      </c>
      <c r="AJ991" s="229" t="str">
        <f t="shared" ref="AJ991:AJ992" si="107">if(AI991&gt;=0,"In Komitmen","Out Komitmen")</f>
        <v>In Komitmen</v>
      </c>
      <c r="AW991" s="234"/>
      <c r="BP991" s="11"/>
      <c r="BQ991" s="11"/>
      <c r="BR991" s="235"/>
      <c r="BV991" s="158"/>
      <c r="BY991" s="158"/>
      <c r="CB991" s="158"/>
    </row>
    <row r="992" ht="18.0" customHeight="1">
      <c r="A992" s="222">
        <f>IFERROR(__xludf.DUMMYFUNCTION("""COMPUTED_VALUE"""),2026.0)</f>
        <v>2026</v>
      </c>
      <c r="B992" s="221">
        <f>IFERROR(__xludf.DUMMYFUNCTION("""COMPUTED_VALUE"""),1.1512941E7)</f>
        <v>11512941</v>
      </c>
      <c r="C992" s="222" t="str">
        <f>IFERROR(__xludf.DUMMYFUNCTION("""COMPUTED_VALUE"""),"RKP PT3 TSEL NGS-FG CITRA INDAH")</f>
        <v>RKP PT3 TSEL NGS-FG CITRA INDAH</v>
      </c>
      <c r="D992" s="222" t="str">
        <f>IFERROR(__xludf.DUMMYFUNCTION("""COMPUTED_VALUE"""),"REGIONAL I")</f>
        <v>REGIONAL I</v>
      </c>
      <c r="E992" s="222" t="str">
        <f>IFERROR(__xludf.DUMMYFUNCTION("""COMPUTED_VALUE"""),"RIKEP")</f>
        <v>RIKEP</v>
      </c>
      <c r="F992" s="222" t="str">
        <f>IFERROR(__xludf.DUMMYFUNCTION("""COMPUTED_VALUE"""),"NGS")</f>
        <v>NGS</v>
      </c>
      <c r="G992" s="222" t="str">
        <f>IFERROR(__xludf.DUMMYFUNCTION("""COMPUTED_VALUE"""),"SUMBAGTENG")</f>
        <v>SUMBAGTENG</v>
      </c>
      <c r="H992" s="222" t="str">
        <f>IFERROR(__xludf.DUMMYFUNCTION("""COMPUTED_VALUE"""),"BATAM")</f>
        <v>BATAM</v>
      </c>
      <c r="I992" s="222" t="str">
        <f>IFERROR(__xludf.DUMMYFUNCTION("""COMPUTED_VALUE"""),"Batch 2")</f>
        <v>Batch 2</v>
      </c>
      <c r="J992" s="225">
        <f>IFERROR(__xludf.DUMMYFUNCTION("""COMPUTED_VALUE"""),4.0)</f>
        <v>4</v>
      </c>
      <c r="K992" s="224">
        <f>IFERROR(__xludf.DUMMYFUNCTION("""COMPUTED_VALUE"""),32.0)</f>
        <v>32</v>
      </c>
      <c r="L992" s="226">
        <f>IFERROR(__xludf.DUMMYFUNCTION("""COMPUTED_VALUE"""),974366.0)</f>
        <v>974366</v>
      </c>
      <c r="M992" s="227">
        <f>IFERROR(__xludf.DUMMYFUNCTION("""COMPUTED_VALUE"""),3.11797E7)</f>
        <v>31179700</v>
      </c>
      <c r="N992" s="222" t="str">
        <f>IFERROR(__xludf.DUMMYFUNCTION("""COMPUTED_VALUE"""),"PT MITRA AKSES INSANI")</f>
        <v>PT MITRA AKSES INSANI</v>
      </c>
      <c r="O992" s="222" t="str">
        <f>IFERROR(__xludf.DUMMYFUNCTION("""COMPUTED_VALUE"""),"3. PERIZINAN")</f>
        <v>3. PERIZINAN</v>
      </c>
      <c r="P992" s="222" t="str">
        <f>IFERROR(__xludf.DUMMYFUNCTION("""COMPUTED_VALUE"""),"3.9 Izin Kades / Lurah / RTRW")</f>
        <v>3.9 Izin Kades / Lurah / RTRW</v>
      </c>
      <c r="Q992" s="222" t="str">
        <f>IFERROR(__xludf.DUMMYFUNCTION("""COMPUTED_VALUE"""),"22/04 nominal prelim 2 juta sudah di acc, menunggu konfirmasi RT kembali.
20/04 RT meminta rundingan dahulu karena meminta kompensasi 2jt. 17/04 RT meminta 5 juta untuk lampu solar panel. 13/04 RT meminta izin ke warga jika tanam tiang dekat rumah warga. "&amp;"07/04 Plan progres tanggal 21 april karena tim mitra serial. 31/03 Tim KU dari jawa sampai ke batam tanggal 03 april, plan progres, 21 april, plan GL 23 april. 30/03 RT meminta kompensasi tapi masih belum menyebutkan jumlah nominal, di datangi RT masih di"&amp;" kampung. 03/03 izin OK tim KU masih di pulau tanjung batu, RT meminta kompensasi namun blm menyebutkan nominal. 20/02 Survey OK, proses perizinan. 16/02 Plan FU perizinan besok 17 Feb.09/02 belum di survey karena, PIC mitra masih fokus di installasi dan "&amp;"LOP butuh percepatan dari Telkomsel. 29/01 Plan survey tanggal 30 karena PIC mitra sdg berhalangan. 28/01 Plan survey 29 Jan. 22/01 Plan survey 24 Jan """)</f>
        <v>22/04 nominal prelim 2 juta sudah di acc, menunggu konfirmasi RT kembali.
20/04 RT meminta rundingan dahulu karena meminta kompensasi 2jt. 17/04 RT meminta 5 juta untuk lampu solar panel. 13/04 RT meminta izin ke warga jika tanam tiang dekat rumah warga. 07/04 Plan progres tanggal 21 april karena tim mitra serial. 31/03 Tim KU dari jawa sampai ke batam tanggal 03 april, plan progres, 21 april, plan GL 23 april. 30/03 RT meminta kompensasi tapi masih belum menyebutkan jumlah nominal, di datangi RT masih di kampung. 03/03 izin OK tim KU masih di pulau tanjung batu, RT meminta kompensasi namun blm menyebutkan nominal. 20/02 Survey OK, proses perizinan. 16/02 Plan FU perizinan besok 17 Feb.09/02 belum di survey karena, PIC mitra masih fokus di installasi dan LOP butuh percepatan dari Telkomsel. 29/01 Plan survey tanggal 30 karena PIC mitra sdg berhalangan. 28/01 Plan survey 29 Jan. 22/01 Plan survey 24 Jan "</v>
      </c>
      <c r="R992" s="228"/>
      <c r="S992" s="11"/>
      <c r="T992" s="73"/>
      <c r="U992" s="11" t="str">
        <f>IFERROR(__xludf.DUMMYFUNCTION("""COMPUTED_VALUE"""),"TIF-7806/2026")</f>
        <v>TIF-7806/2026</v>
      </c>
      <c r="V992" s="229" t="str">
        <f>IFERROR(__xludf.DUMMYFUNCTION("""COMPUTED_VALUE"""),"GANI PRASTYO")</f>
        <v>GANI PRASTYO</v>
      </c>
      <c r="W992" s="229" t="str">
        <f>IFERROR(__xludf.DUMMYFUNCTION("""COMPUTED_VALUE"""),"LEVITA INDRIYANI")</f>
        <v>LEVITA INDRIYANI</v>
      </c>
      <c r="X992" s="229" t="str">
        <f>IFERROR(__xludf.DUMMYFUNCTION("""COMPUTED_VALUE"""),"BELUM GOLIVE")</f>
        <v>BELUM GOLIVE</v>
      </c>
      <c r="Y992" s="229"/>
      <c r="Z992" s="229" t="str">
        <f>IFERROR(__xludf.DUMMYFUNCTION("""COMPUTED_VALUE"""),"#N/A")</f>
        <v>#N/A</v>
      </c>
      <c r="AA992" s="229"/>
      <c r="AB992" s="229"/>
      <c r="AC992" s="229"/>
      <c r="AD992" s="232"/>
      <c r="AE992" s="233"/>
      <c r="AF992" s="54"/>
      <c r="AG992" s="54"/>
      <c r="AH992" s="54">
        <v>46137.0</v>
      </c>
      <c r="AI992" s="55">
        <f>AH992-TODAY()</f>
        <v>-3</v>
      </c>
      <c r="AJ992" s="229" t="str">
        <f t="shared" si="107"/>
        <v>Out Komitmen</v>
      </c>
      <c r="AK992" s="231" t="s">
        <v>199</v>
      </c>
      <c r="AW992" s="234"/>
      <c r="BP992" s="11"/>
      <c r="BQ992" s="11"/>
      <c r="BR992" s="235"/>
      <c r="BV992" s="158"/>
      <c r="BY992" s="158"/>
      <c r="CB992" s="158"/>
    </row>
    <row r="993" ht="18.0" hidden="1" customHeight="1">
      <c r="A993" s="222">
        <f>IFERROR(__xludf.DUMMYFUNCTION("""COMPUTED_VALUE"""),2026.0)</f>
        <v>2026</v>
      </c>
      <c r="B993" s="221">
        <f>IFERROR(__xludf.DUMMYFUNCTION("""COMPUTED_VALUE"""),1.1414323E7)</f>
        <v>11414323</v>
      </c>
      <c r="C993" s="222" t="str">
        <f>IFERROR(__xludf.DUMMYFUNCTION("""COMPUTED_VALUE"""),"MDN PT3 BJI-FEC SUMATERA UTARA_15878_new")</f>
        <v>MDN PT3 BJI-FEC SUMATERA UTARA_15878_new</v>
      </c>
      <c r="D993" s="222" t="str">
        <f>IFERROR(__xludf.DUMMYFUNCTION("""COMPUTED_VALUE"""),"REGIONAL I")</f>
        <v>REGIONAL I</v>
      </c>
      <c r="E993" s="222" t="str">
        <f>IFERROR(__xludf.DUMMYFUNCTION("""COMPUTED_VALUE"""),"MEDAN")</f>
        <v>MEDAN</v>
      </c>
      <c r="F993" s="222" t="str">
        <f>IFERROR(__xludf.DUMMYFUNCTION("""COMPUTED_VALUE"""),"BJI")</f>
        <v>BJI</v>
      </c>
      <c r="G993" s="222" t="str">
        <f>IFERROR(__xludf.DUMMYFUNCTION("""COMPUTED_VALUE"""),"SUMBAGUT")</f>
        <v>SUMBAGUT</v>
      </c>
      <c r="H993" s="222" t="str">
        <f>IFERROR(__xludf.DUMMYFUNCTION("""COMPUTED_VALUE"""),"BINJAI")</f>
        <v>BINJAI</v>
      </c>
      <c r="I993" s="222" t="str">
        <f>IFERROR(__xludf.DUMMYFUNCTION("""COMPUTED_VALUE"""),"Batch 2")</f>
        <v>Batch 2</v>
      </c>
      <c r="J993" s="225">
        <f>IFERROR(__xludf.DUMMYFUNCTION("""COMPUTED_VALUE"""),1.0)</f>
        <v>1</v>
      </c>
      <c r="K993" s="224">
        <f>IFERROR(__xludf.DUMMYFUNCTION("""COMPUTED_VALUE"""),8.0)</f>
        <v>8</v>
      </c>
      <c r="L993" s="226">
        <f>IFERROR(__xludf.DUMMYFUNCTION("""COMPUTED_VALUE"""),1099182.0)</f>
        <v>1099182</v>
      </c>
      <c r="M993" s="227">
        <f>IFERROR(__xludf.DUMMYFUNCTION("""COMPUTED_VALUE"""),8793452.0)</f>
        <v>8793452</v>
      </c>
      <c r="N993" s="222" t="str">
        <f>IFERROR(__xludf.DUMMYFUNCTION("""COMPUTED_VALUE"""),"PT KENCANA RAYA INDONESIA")</f>
        <v>PT KENCANA RAYA INDONESIA</v>
      </c>
      <c r="O993" s="222" t="str">
        <f>IFERROR(__xludf.DUMMYFUNCTION("""COMPUTED_VALUE"""),"8. UJI TERIMA")</f>
        <v>8. UJI TERIMA</v>
      </c>
      <c r="P993" s="222" t="str">
        <f>IFERROR(__xludf.DUMMYFUNCTION("""COMPUTED_VALUE"""),"8.1 Proses UT")</f>
        <v>8.1 Proses UT</v>
      </c>
      <c r="Q993" s="222" t="str">
        <f>IFERROR(__xludf.DUMMYFUNCTION("""COMPUTED_VALUE"""),"20/02 golive
20/02 submit ABD ke SDI
19/02 penarikan dan instalasi odp done
17/02 penarikan kabel dan pasang acc done 
16/02 pengambilan material 
14/02 feeder dist ready 
(07/01) Persiapan")</f>
        <v>20/02 golive
20/02 submit ABD ke SDI
19/02 penarikan dan instalasi odp done
17/02 penarikan kabel dan pasang acc done 
16/02 pengambilan material 
14/02 feeder dist ready 
(07/01) Persiapan</v>
      </c>
      <c r="R993" s="228"/>
      <c r="S993" s="11"/>
      <c r="T993" s="11"/>
      <c r="U993" s="11" t="str">
        <f>IFERROR(__xludf.DUMMYFUNCTION("""COMPUTED_VALUE"""),"FALSE")</f>
        <v>FALSE</v>
      </c>
      <c r="V993" s="229"/>
      <c r="W993" s="229"/>
      <c r="X993" s="229" t="str">
        <f>IFERROR(__xludf.DUMMYFUNCTION("""COMPUTED_VALUE"""),"GOLIVE")</f>
        <v>GOLIVE</v>
      </c>
      <c r="Y993" s="229" t="str">
        <f>IFERROR(__xludf.DUMMYFUNCTION("""COMPUTED_VALUE"""),"DONE")</f>
        <v>DONE</v>
      </c>
      <c r="Z993" s="229" t="str">
        <f>IFERROR(__xludf.DUMMYFUNCTION("""COMPUTED_VALUE"""),"#N/A")</f>
        <v>#N/A</v>
      </c>
      <c r="AA993" s="229">
        <f>IFERROR(__xludf.DUMMYFUNCTION("""COMPUTED_VALUE"""),1.0)</f>
        <v>1</v>
      </c>
      <c r="AB993" s="229"/>
      <c r="AC993" s="229" t="str">
        <f>IFERROR(__xludf.DUMMYFUNCTION("""COMPUTED_VALUE"""),"9128891#9128896")</f>
        <v>9128891#9128896</v>
      </c>
      <c r="AD993" s="232">
        <f>IFERROR(__xludf.DUMMYFUNCTION("""COMPUTED_VALUE"""),8.0)</f>
        <v>8</v>
      </c>
      <c r="AE993" s="233">
        <f>IFERROR(__xludf.DUMMYFUNCTION("""COMPUTED_VALUE"""),46073.0)</f>
        <v>46073</v>
      </c>
      <c r="AF993" s="54"/>
      <c r="AG993" s="54"/>
      <c r="AH993" s="54"/>
      <c r="AI993" s="55" t="str">
        <f>IF(OR(R993="",AE993=""),"",R993-AE993)</f>
        <v/>
      </c>
      <c r="AW993" s="234"/>
      <c r="BP993" s="11"/>
      <c r="BQ993" s="11"/>
      <c r="BR993" s="235"/>
      <c r="BV993" s="158"/>
      <c r="BY993" s="158"/>
      <c r="CB993" s="158"/>
    </row>
    <row r="994" ht="18.0" customHeight="1">
      <c r="A994" s="222">
        <f>IFERROR(__xludf.DUMMYFUNCTION("""COMPUTED_VALUE"""),2026.0)</f>
        <v>2026</v>
      </c>
      <c r="B994" s="221">
        <f>IFERROR(__xludf.DUMMYFUNCTION("""COMPUTED_VALUE"""),1.1408315E7)</f>
        <v>11408315</v>
      </c>
      <c r="C994" s="222" t="str">
        <f>IFERROR(__xludf.DUMMYFUNCTION("""COMPUTED_VALUE"""),"RDR ARK PT3 P3I1 PERUM MUTIARA KARMILA 4")</f>
        <v>RDR ARK PT3 P3I1 PERUM MUTIARA KARMILA 4</v>
      </c>
      <c r="D994" s="222" t="str">
        <f>IFERROR(__xludf.DUMMYFUNCTION("""COMPUTED_VALUE"""),"REGIONAL I")</f>
        <v>REGIONAL I</v>
      </c>
      <c r="E994" s="222" t="str">
        <f>IFERROR(__xludf.DUMMYFUNCTION("""COMPUTED_VALUE"""),"RIDAR")</f>
        <v>RIDAR</v>
      </c>
      <c r="F994" s="222" t="str">
        <f>IFERROR(__xludf.DUMMYFUNCTION("""COMPUTED_VALUE"""),"ARK")</f>
        <v>ARK</v>
      </c>
      <c r="G994" s="222" t="str">
        <f>IFERROR(__xludf.DUMMYFUNCTION("""COMPUTED_VALUE"""),"SUMBAGTENG")</f>
        <v>SUMBAGTENG</v>
      </c>
      <c r="H994" s="222" t="str">
        <f>IFERROR(__xludf.DUMMYFUNCTION("""COMPUTED_VALUE"""),"PEKANBARU")</f>
        <v>PEKANBARU</v>
      </c>
      <c r="I994" s="222" t="str">
        <f>IFERROR(__xludf.DUMMYFUNCTION("""COMPUTED_VALUE"""),"Batch 2")</f>
        <v>Batch 2</v>
      </c>
      <c r="J994" s="225">
        <f>IFERROR(__xludf.DUMMYFUNCTION("""COMPUTED_VALUE"""),10.0)</f>
        <v>10</v>
      </c>
      <c r="K994" s="224">
        <f>IFERROR(__xludf.DUMMYFUNCTION("""COMPUTED_VALUE"""),80.0)</f>
        <v>80</v>
      </c>
      <c r="L994" s="226">
        <f>IFERROR(__xludf.DUMMYFUNCTION("""COMPUTED_VALUE"""),971983.0)</f>
        <v>971983</v>
      </c>
      <c r="M994" s="227">
        <f>IFERROR(__xludf.DUMMYFUNCTION("""COMPUTED_VALUE"""),7.7758599E7)</f>
        <v>77758599</v>
      </c>
      <c r="N994" s="222" t="str">
        <f>IFERROR(__xludf.DUMMYFUNCTION("""COMPUTED_VALUE"""),"PT UPAYA TEKNIK")</f>
        <v>PT UPAYA TEKNIK</v>
      </c>
      <c r="O994" s="222" t="str">
        <f>IFERROR(__xludf.DUMMYFUNCTION("""COMPUTED_VALUE"""),"0. DROP")</f>
        <v>0. DROP</v>
      </c>
      <c r="P994" s="222" t="str">
        <f>IFERROR(__xludf.DUMMYFUNCTION("""COMPUTED_VALUE"""),"0.2 Tidak Dapat Izin Warga/Kades/Lurah/Developer")</f>
        <v>0.2 Tidak Dapat Izin Warga/Kades/Lurah/Developer</v>
      </c>
      <c r="Q994" s="222" t="str">
        <f>IFERROR(__xludf.DUMMYFUNCTION("""COMPUTED_VALUE"""),"20/01 Drop hasil anwidzing menyebabkan cpp tinggi (07/01) Persiapan")</f>
        <v>20/01 Drop hasil anwidzing menyebabkan cpp tinggi (07/01) Persiapan</v>
      </c>
      <c r="R994" s="228"/>
      <c r="S994" s="11"/>
      <c r="T994" s="11"/>
      <c r="U994" s="11"/>
      <c r="V994" s="229" t="str">
        <f>IFERROR(__xludf.DUMMYFUNCTION("""COMPUTED_VALUE"""),"FIRDAUS ZULKARNAIEN")</f>
        <v>FIRDAUS ZULKARNAIEN</v>
      </c>
      <c r="W994" s="229" t="str">
        <f>IFERROR(__xludf.DUMMYFUNCTION("""COMPUTED_VALUE"""),"ANZALA SAKINAH")</f>
        <v>ANZALA SAKINAH</v>
      </c>
      <c r="X994" s="229" t="str">
        <f>IFERROR(__xludf.DUMMYFUNCTION("""COMPUTED_VALUE"""),"BELUM GOLIVE")</f>
        <v>BELUM GOLIVE</v>
      </c>
      <c r="Y994" s="229"/>
      <c r="Z994" s="229" t="str">
        <f>IFERROR(__xludf.DUMMYFUNCTION("""COMPUTED_VALUE"""),"#N/A")</f>
        <v>#N/A</v>
      </c>
      <c r="AA994" s="229"/>
      <c r="AB994" s="229"/>
      <c r="AC994" s="229"/>
      <c r="AD994" s="232"/>
      <c r="AE994" s="233"/>
      <c r="AF994" s="54"/>
      <c r="AG994" s="54"/>
      <c r="AH994" s="54">
        <v>46134.0</v>
      </c>
      <c r="AI994" s="237">
        <f t="shared" ref="AI994:AI995" si="108">AH994-NOW()</f>
        <v>-6.377989907</v>
      </c>
      <c r="AJ994" s="229" t="str">
        <f t="shared" ref="AJ994:AJ995" si="109">if(AI994&gt;=0,"In Komitmen","Out Komitmen")</f>
        <v>Out Komitmen</v>
      </c>
      <c r="AW994" s="234"/>
      <c r="BP994" s="11"/>
      <c r="BQ994" s="11"/>
      <c r="BR994" s="235"/>
      <c r="BV994" s="158"/>
      <c r="BY994" s="158"/>
      <c r="CB994" s="158"/>
    </row>
    <row r="995" ht="18.0" customHeight="1">
      <c r="A995" s="222">
        <f>IFERROR(__xludf.DUMMYFUNCTION("""COMPUTED_VALUE"""),2026.0)</f>
        <v>2026</v>
      </c>
      <c r="B995" s="221">
        <f>IFERROR(__xludf.DUMMYFUNCTION("""COMPUTED_VALUE"""),1.207793E7)</f>
        <v>12077930</v>
      </c>
      <c r="C995" s="222" t="str">
        <f>IFERROR(__xludf.DUMMYFUNCTION("""COMPUTED_VALUE"""),"RKP TSEL PT3 KAI-FW KOTA BATAM_151103")</f>
        <v>RKP TSEL PT3 KAI-FW KOTA BATAM_151103</v>
      </c>
      <c r="D995" s="222" t="str">
        <f>IFERROR(__xludf.DUMMYFUNCTION("""COMPUTED_VALUE"""),"REGIONAL I")</f>
        <v>REGIONAL I</v>
      </c>
      <c r="E995" s="222" t="str">
        <f>IFERROR(__xludf.DUMMYFUNCTION("""COMPUTED_VALUE"""),"RIKEP")</f>
        <v>RIKEP</v>
      </c>
      <c r="F995" s="222" t="str">
        <f>IFERROR(__xludf.DUMMYFUNCTION("""COMPUTED_VALUE"""),"KAI")</f>
        <v>KAI</v>
      </c>
      <c r="G995" s="222" t="str">
        <f>IFERROR(__xludf.DUMMYFUNCTION("""COMPUTED_VALUE"""),"SUMBAGTENG")</f>
        <v>SUMBAGTENG</v>
      </c>
      <c r="H995" s="222" t="str">
        <f>IFERROR(__xludf.DUMMYFUNCTION("""COMPUTED_VALUE"""),"BATAM")</f>
        <v>BATAM</v>
      </c>
      <c r="I995" s="222" t="str">
        <f>IFERROR(__xludf.DUMMYFUNCTION("""COMPUTED_VALUE"""),"Batch 2")</f>
        <v>Batch 2</v>
      </c>
      <c r="J995" s="225">
        <f>IFERROR(__xludf.DUMMYFUNCTION("""COMPUTED_VALUE"""),2.0)</f>
        <v>2</v>
      </c>
      <c r="K995" s="224">
        <f>IFERROR(__xludf.DUMMYFUNCTION("""COMPUTED_VALUE"""),16.0)</f>
        <v>16</v>
      </c>
      <c r="L995" s="226">
        <f>IFERROR(__xludf.DUMMYFUNCTION("""COMPUTED_VALUE"""),970325.0)</f>
        <v>970325</v>
      </c>
      <c r="M995" s="227">
        <f>IFERROR(__xludf.DUMMYFUNCTION("""COMPUTED_VALUE"""),1.5525188E7)</f>
        <v>15525188</v>
      </c>
      <c r="N995" s="222" t="str">
        <f>IFERROR(__xludf.DUMMYFUNCTION("""COMPUTED_VALUE"""),"PT MITRA AKSES INSANI")</f>
        <v>PT MITRA AKSES INSANI</v>
      </c>
      <c r="O995" s="222" t="str">
        <f>IFERROR(__xludf.DUMMYFUNCTION("""COMPUTED_VALUE"""),"5. INSTALASI")</f>
        <v>5. INSTALASI</v>
      </c>
      <c r="P995" s="222" t="str">
        <f>IFERROR(__xludf.DUMMYFUNCTION("""COMPUTED_VALUE"""),"5.6 Proses Penarikan Kabel")</f>
        <v>5.6 Proses Penarikan Kabel</v>
      </c>
      <c r="Q995" s="222" t="str">
        <f>IFERROR(__xludf.DUMMYFUNCTION("""COMPUTED_VALUE"""),"22/04 Lanjut penarikan kabel.
21/04 Penarikan KU, kendala hujan. 
20/04 RT meminta uang kas 1 jt rupiah. proses eval. 
17/04 RT meminta kontribusi Kas 3 jt rupiah. 17/04 RT meminta kontribusi tapi belum menyebutkan nominal.
06/04 Tim KU dari jawa sampai k"&amp;"e batam tanggal 03 april, plan progres, 18 april, plan GL 20 april. 30/03 Tim mitra masih di pulau tanjung batu dan belum bisa balik ke pulau batam. 03/03 izin OK tim KU masih di pulau tanjung batu. 16/02 Plan FU perizinan besok 17 Feb.09/02 perizinan blm"&amp;" di FU mitra. 26/01 Anwijzing OK, Proses perizinan ke RW. 22/01 Plan survey 24 Jan ")</f>
        <v>22/04 Lanjut penarikan kabel.
21/04 Penarikan KU, kendala hujan. 
20/04 RT meminta uang kas 1 jt rupiah. proses eval. 
17/04 RT meminta kontribusi Kas 3 jt rupiah. 17/04 RT meminta kontribusi tapi belum menyebutkan nominal.
06/04 Tim KU dari jawa sampai ke batam tanggal 03 april, plan progres, 18 april, plan GL 20 april. 30/03 Tim mitra masih di pulau tanjung batu dan belum bisa balik ke pulau batam. 03/03 izin OK tim KU masih di pulau tanjung batu. 16/02 Plan FU perizinan besok 17 Feb.09/02 perizinan blm di FU mitra. 26/01 Anwijzing OK, Proses perizinan ke RW. 22/01 Plan survey 24 Jan </v>
      </c>
      <c r="R995" s="228">
        <f>IFERROR(__xludf.DUMMYFUNCTION("""COMPUTED_VALUE"""),46137.0)</f>
        <v>46137</v>
      </c>
      <c r="S995" s="11" t="str">
        <f>IFERROR(__xludf.DUMMYFUNCTION("""COMPUTED_VALUE"""),"APR")</f>
        <v>APR</v>
      </c>
      <c r="T995" s="73"/>
      <c r="U995" s="11" t="str">
        <f>IFERROR(__xludf.DUMMYFUNCTION("""COMPUTED_VALUE"""),"W09-231/2026")</f>
        <v>W09-231/2026</v>
      </c>
      <c r="V995" s="229" t="str">
        <f>IFERROR(__xludf.DUMMYFUNCTION("""COMPUTED_VALUE"""),"GANI PRASTYO")</f>
        <v>GANI PRASTYO</v>
      </c>
      <c r="W995" s="229" t="str">
        <f>IFERROR(__xludf.DUMMYFUNCTION("""COMPUTED_VALUE"""),"LEVITA INDRIYANI")</f>
        <v>LEVITA INDRIYANI</v>
      </c>
      <c r="X995" s="229" t="str">
        <f>IFERROR(__xludf.DUMMYFUNCTION("""COMPUTED_VALUE"""),"BELUM GOLIVE")</f>
        <v>BELUM GOLIVE</v>
      </c>
      <c r="Y995" s="229"/>
      <c r="Z995" s="229" t="str">
        <f>IFERROR(__xludf.DUMMYFUNCTION("""COMPUTED_VALUE"""),"#N/A")</f>
        <v>#N/A</v>
      </c>
      <c r="AA995" s="229"/>
      <c r="AB995" s="229"/>
      <c r="AC995" s="229"/>
      <c r="AD995" s="232"/>
      <c r="AE995" s="233"/>
      <c r="AF995" s="54"/>
      <c r="AG995" s="54"/>
      <c r="AH995" s="54">
        <v>46137.0</v>
      </c>
      <c r="AI995" s="237">
        <f t="shared" si="108"/>
        <v>-3.377989907</v>
      </c>
      <c r="AJ995" s="229" t="str">
        <f t="shared" si="109"/>
        <v>Out Komitmen</v>
      </c>
      <c r="AK995" s="231" t="s">
        <v>199</v>
      </c>
      <c r="AW995" s="234"/>
      <c r="BP995" s="11"/>
      <c r="BQ995" s="11"/>
      <c r="BR995" s="235"/>
      <c r="BV995" s="158"/>
      <c r="BY995" s="158"/>
      <c r="CB995" s="158"/>
    </row>
    <row r="996" ht="18.0" customHeight="1">
      <c r="A996" s="222">
        <f>IFERROR(__xludf.DUMMYFUNCTION("""COMPUTED_VALUE"""),2026.0)</f>
        <v>2026</v>
      </c>
      <c r="B996" s="221">
        <f>IFERROR(__xludf.DUMMYFUNCTION("""COMPUTED_VALUE"""),1.1196617E7)</f>
        <v>11196617</v>
      </c>
      <c r="C996" s="222" t="str">
        <f>IFERROR(__xludf.DUMMYFUNCTION("""COMPUTED_VALUE"""),"RKP PT3 TSEL SGT-FB JL. AIR KATEMAN")</f>
        <v>RKP PT3 TSEL SGT-FB JL. AIR KATEMAN</v>
      </c>
      <c r="D996" s="222" t="str">
        <f>IFERROR(__xludf.DUMMYFUNCTION("""COMPUTED_VALUE"""),"REGIONAL I")</f>
        <v>REGIONAL I</v>
      </c>
      <c r="E996" s="222" t="str">
        <f>IFERROR(__xludf.DUMMYFUNCTION("""COMPUTED_VALUE"""),"RIKEP")</f>
        <v>RIKEP</v>
      </c>
      <c r="F996" s="222" t="str">
        <f>IFERROR(__xludf.DUMMYFUNCTION("""COMPUTED_VALUE"""),"SGT")</f>
        <v>SGT</v>
      </c>
      <c r="G996" s="222" t="str">
        <f>IFERROR(__xludf.DUMMYFUNCTION("""COMPUTED_VALUE"""),"SUMBAGTENG")</f>
        <v>SUMBAGTENG</v>
      </c>
      <c r="H996" s="222" t="str">
        <f>IFERROR(__xludf.DUMMYFUNCTION("""COMPUTED_VALUE"""),"BATAM")</f>
        <v>BATAM</v>
      </c>
      <c r="I996" s="222" t="str">
        <f>IFERROR(__xludf.DUMMYFUNCTION("""COMPUTED_VALUE"""),"Batch 2")</f>
        <v>Batch 2</v>
      </c>
      <c r="J996" s="225">
        <f>IFERROR(__xludf.DUMMYFUNCTION("""COMPUTED_VALUE"""),1.0)</f>
        <v>1</v>
      </c>
      <c r="K996" s="224">
        <f>IFERROR(__xludf.DUMMYFUNCTION("""COMPUTED_VALUE"""),8.0)</f>
        <v>8</v>
      </c>
      <c r="L996" s="226">
        <f>IFERROR(__xludf.DUMMYFUNCTION("""COMPUTED_VALUE"""),968960.0)</f>
        <v>968960</v>
      </c>
      <c r="M996" s="227">
        <f>IFERROR(__xludf.DUMMYFUNCTION("""COMPUTED_VALUE"""),7751679.0)</f>
        <v>7751679</v>
      </c>
      <c r="N996" s="222" t="str">
        <f>IFERROR(__xludf.DUMMYFUNCTION("""COMPUTED_VALUE"""),"PT MITRA AKSES INSANI")</f>
        <v>PT MITRA AKSES INSANI</v>
      </c>
      <c r="O996" s="222" t="str">
        <f>IFERROR(__xludf.DUMMYFUNCTION("""COMPUTED_VALUE"""),"4. MATDEL")</f>
        <v>4. MATDEL</v>
      </c>
      <c r="P996" s="222" t="str">
        <f>IFERROR(__xludf.DUMMYFUNCTION("""COMPUTED_VALUE"""),"4.3 Proses Kirim Mateial Kelokasi")</f>
        <v>4.3 Proses Kirim Mateial Kelokasi</v>
      </c>
      <c r="Q996" s="222" t="str">
        <f>IFERROR(__xludf.DUMMYFUNCTION("""COMPUTED_VALUE"""),"24/04 Take Over mitra, plan pengiriman material dan MP, tbc tanggal 20 Apr.
13/04 Menunggu pengiriman material dan prepare MP ke pulau sei guntung.
27/03 menunggu delivery material
05/03 menunggu delivery material
26/02 Pengiriman material 21/01 Proses pe"&amp;"rizinan")</f>
        <v>24/04 Take Over mitra, plan pengiriman material dan MP, tbc tanggal 20 Apr.
13/04 Menunggu pengiriman material dan prepare MP ke pulau sei guntung.
27/03 menunggu delivery material
05/03 menunggu delivery material
26/02 Pengiriman material 21/01 Proses perizinan</v>
      </c>
      <c r="R996" s="228"/>
      <c r="S996" s="11"/>
      <c r="T996" s="11"/>
      <c r="U996" s="11" t="str">
        <f>IFERROR(__xludf.DUMMYFUNCTION("""COMPUTED_VALUE"""),"W09-190/2026")</f>
        <v>W09-190/2026</v>
      </c>
      <c r="V996" s="229" t="str">
        <f>IFERROR(__xludf.DUMMYFUNCTION("""COMPUTED_VALUE"""),"MOHAMMAD FAUZY")</f>
        <v>MOHAMMAD FAUZY</v>
      </c>
      <c r="W996" s="229" t="str">
        <f>IFERROR(__xludf.DUMMYFUNCTION("""COMPUTED_VALUE"""),"LEVITA INDRIYANI")</f>
        <v>LEVITA INDRIYANI</v>
      </c>
      <c r="X996" s="229" t="str">
        <f>IFERROR(__xludf.DUMMYFUNCTION("""COMPUTED_VALUE"""),"BELUM GOLIVE")</f>
        <v>BELUM GOLIVE</v>
      </c>
      <c r="Y996" s="229"/>
      <c r="Z996" s="229" t="str">
        <f>IFERROR(__xludf.DUMMYFUNCTION("""COMPUTED_VALUE"""),"#N/A")</f>
        <v>#N/A</v>
      </c>
      <c r="AA996" s="229"/>
      <c r="AB996" s="229"/>
      <c r="AC996" s="229"/>
      <c r="AD996" s="232"/>
      <c r="AE996" s="233"/>
      <c r="AF996" s="54"/>
      <c r="AG996" s="54"/>
      <c r="AH996" s="54"/>
      <c r="AI996" s="55" t="str">
        <f>IF(OR(R996="",AE996=""),"",R996-AE996)</f>
        <v/>
      </c>
      <c r="AW996" s="234"/>
      <c r="BP996" s="11"/>
      <c r="BQ996" s="11"/>
      <c r="BR996" s="235"/>
      <c r="BV996" s="158"/>
      <c r="BY996" s="158"/>
      <c r="CB996" s="158"/>
    </row>
    <row r="997" ht="18.0" hidden="1" customHeight="1">
      <c r="A997" s="222">
        <f>IFERROR(__xludf.DUMMYFUNCTION("""COMPUTED_VALUE"""),2026.0)</f>
        <v>2026</v>
      </c>
      <c r="B997" s="221">
        <f>IFERROR(__xludf.DUMMYFUNCTION("""COMPUTED_VALUE"""),1.21289E7)</f>
        <v>12128900</v>
      </c>
      <c r="C997" s="222" t="str">
        <f>IFERROR(__xludf.DUMMYFUNCTION("""COMPUTED_VALUE"""),"LPG PT3 JPP PERUM TAWAI AJIP LKP")</f>
        <v>LPG PT3 JPP PERUM TAWAI AJIP LKP</v>
      </c>
      <c r="D997" s="222" t="str">
        <f>IFERROR(__xludf.DUMMYFUNCTION("""COMPUTED_VALUE"""),"REGIONAL I")</f>
        <v>REGIONAL I</v>
      </c>
      <c r="E997" s="222" t="str">
        <f>IFERROR(__xludf.DUMMYFUNCTION("""COMPUTED_VALUE"""),"LAMPUNG")</f>
        <v>LAMPUNG</v>
      </c>
      <c r="F997" s="222" t="str">
        <f>IFERROR(__xludf.DUMMYFUNCTION("""COMPUTED_VALUE"""),"LKP")</f>
        <v>LKP</v>
      </c>
      <c r="G997" s="222" t="str">
        <f>IFERROR(__xludf.DUMMYFUNCTION("""COMPUTED_VALUE"""),"SUMBAGSEL")</f>
        <v>SUMBAGSEL</v>
      </c>
      <c r="H997" s="222" t="str">
        <f>IFERROR(__xludf.DUMMYFUNCTION("""COMPUTED_VALUE"""),"LAMPUNG")</f>
        <v>LAMPUNG</v>
      </c>
      <c r="I997" s="222" t="str">
        <f>IFERROR(__xludf.DUMMYFUNCTION("""COMPUTED_VALUE"""),"Batch 2")</f>
        <v>Batch 2</v>
      </c>
      <c r="J997" s="225">
        <f>IFERROR(__xludf.DUMMYFUNCTION("""COMPUTED_VALUE"""),10.0)</f>
        <v>10</v>
      </c>
      <c r="K997" s="224">
        <f>IFERROR(__xludf.DUMMYFUNCTION("""COMPUTED_VALUE"""),80.0)</f>
        <v>80</v>
      </c>
      <c r="L997" s="226">
        <f>IFERROR(__xludf.DUMMYFUNCTION("""COMPUTED_VALUE"""),967488.0)</f>
        <v>967488</v>
      </c>
      <c r="M997" s="227">
        <f>IFERROR(__xludf.DUMMYFUNCTION("""COMPUTED_VALUE"""),7.7399019E7)</f>
        <v>77399019</v>
      </c>
      <c r="N997" s="222" t="str">
        <f>IFERROR(__xludf.DUMMYFUNCTION("""COMPUTED_VALUE"""),"SWAKELOLA")</f>
        <v>SWAKELOLA</v>
      </c>
      <c r="O997" s="222" t="str">
        <f>IFERROR(__xludf.DUMMYFUNCTION("""COMPUTED_VALUE"""),"0. DROP")</f>
        <v>0. DROP</v>
      </c>
      <c r="P997" s="222" t="str">
        <f>IFERROR(__xludf.DUMMYFUNCTION("""COMPUTED_VALUE"""),"0.2 Tidak Dapat Izin Warga/Kades/Lurah/Developer")</f>
        <v>0.2 Tidak Dapat Izin Warga/Kades/Lurah/Developer</v>
      </c>
      <c r="Q997" s="222" t="str">
        <f>IFERROR(__xludf.DUMMYFUNCTION("""COMPUTED_VALUE"""),"23/01 hight comcase daerah redzone 
14/1 proses pengacekan core dan perizinan")</f>
        <v>23/01 hight comcase daerah redzone 
14/1 proses pengacekan core dan perizinan</v>
      </c>
      <c r="R997" s="228"/>
      <c r="S997" s="11"/>
      <c r="T997" s="11"/>
      <c r="U997" s="11"/>
      <c r="V997" s="229"/>
      <c r="W997" s="229"/>
      <c r="X997" s="229" t="str">
        <f>IFERROR(__xludf.DUMMYFUNCTION("""COMPUTED_VALUE"""),"BELUM GOLIVE")</f>
        <v>BELUM GOLIVE</v>
      </c>
      <c r="Y997" s="229"/>
      <c r="Z997" s="229" t="str">
        <f>IFERROR(__xludf.DUMMYFUNCTION("""COMPUTED_VALUE"""),"#N/A")</f>
        <v>#N/A</v>
      </c>
      <c r="AA997" s="229"/>
      <c r="AB997" s="229"/>
      <c r="AC997" s="229"/>
      <c r="AD997" s="232"/>
      <c r="AE997" s="233"/>
      <c r="AF997" s="54" t="str">
        <f>IFERROR(__xludf.DUMMYFUNCTION("""COMPUTED_VALUE"""),"Draft BA DROP")</f>
        <v>Draft BA DROP</v>
      </c>
      <c r="AG997" s="54"/>
      <c r="AH997" s="54">
        <v>46138.0</v>
      </c>
      <c r="AI997" s="237">
        <f>AH997-NOW()</f>
        <v>-2.377989907</v>
      </c>
      <c r="AJ997" s="229" t="str">
        <f>if(AI997&gt;=0,"In Komitmen","Out Komitmen")</f>
        <v>Out Komitmen</v>
      </c>
      <c r="AK997" s="229" t="e">
        <v>#N/A</v>
      </c>
      <c r="AW997" s="234"/>
      <c r="BP997" s="11"/>
      <c r="BQ997" s="11"/>
      <c r="BR997" s="235"/>
      <c r="BV997" s="158"/>
      <c r="BY997" s="158"/>
      <c r="CB997" s="158"/>
    </row>
    <row r="998" ht="18.0" customHeight="1">
      <c r="A998" s="222">
        <f>IFERROR(__xludf.DUMMYFUNCTION("""COMPUTED_VALUE"""),2026.0)</f>
        <v>2026</v>
      </c>
      <c r="B998" s="221">
        <f>IFERROR(__xludf.DUMMYFUNCTION("""COMPUTED_VALUE"""),1.1095978E7)</f>
        <v>11095978</v>
      </c>
      <c r="C998" s="222" t="str">
        <f>IFERROR(__xludf.DUMMYFUNCTION("""COMPUTED_VALUE"""),"RKP PT3 JPPTSEL DBS-FA DESA CENING LINGGA")</f>
        <v>RKP PT3 JPPTSEL DBS-FA DESA CENING LINGGA</v>
      </c>
      <c r="D998" s="222" t="str">
        <f>IFERROR(__xludf.DUMMYFUNCTION("""COMPUTED_VALUE"""),"REGIONAL I")</f>
        <v>REGIONAL I</v>
      </c>
      <c r="E998" s="222" t="str">
        <f>IFERROR(__xludf.DUMMYFUNCTION("""COMPUTED_VALUE"""),"RIKEP")</f>
        <v>RIKEP</v>
      </c>
      <c r="F998" s="222" t="str">
        <f>IFERROR(__xludf.DUMMYFUNCTION("""COMPUTED_VALUE"""),"DBS")</f>
        <v>DBS</v>
      </c>
      <c r="G998" s="222" t="str">
        <f>IFERROR(__xludf.DUMMYFUNCTION("""COMPUTED_VALUE"""),"SUMBAGTENG")</f>
        <v>SUMBAGTENG</v>
      </c>
      <c r="H998" s="222" t="str">
        <f>IFERROR(__xludf.DUMMYFUNCTION("""COMPUTED_VALUE"""),"BATAM")</f>
        <v>BATAM</v>
      </c>
      <c r="I998" s="222" t="str">
        <f>IFERROR(__xludf.DUMMYFUNCTION("""COMPUTED_VALUE"""),"Batch 2")</f>
        <v>Batch 2</v>
      </c>
      <c r="J998" s="225">
        <f>IFERROR(__xludf.DUMMYFUNCTION("""COMPUTED_VALUE"""),9.0)</f>
        <v>9</v>
      </c>
      <c r="K998" s="224">
        <f>IFERROR(__xludf.DUMMYFUNCTION("""COMPUTED_VALUE"""),72.0)</f>
        <v>72</v>
      </c>
      <c r="L998" s="226">
        <f>IFERROR(__xludf.DUMMYFUNCTION("""COMPUTED_VALUE"""),967270.0)</f>
        <v>967270</v>
      </c>
      <c r="M998" s="227">
        <f>IFERROR(__xludf.DUMMYFUNCTION("""COMPUTED_VALUE"""),6.9643403E7)</f>
        <v>69643403</v>
      </c>
      <c r="N998" s="222" t="str">
        <f>IFERROR(__xludf.DUMMYFUNCTION("""COMPUTED_VALUE"""),"SWAKELOLA")</f>
        <v>SWAKELOLA</v>
      </c>
      <c r="O998" s="222" t="str">
        <f>IFERROR(__xludf.DUMMYFUNCTION("""COMPUTED_VALUE"""),"4. MATDEL")</f>
        <v>4. MATDEL</v>
      </c>
      <c r="P998" s="222" t="str">
        <f>IFERROR(__xludf.DUMMYFUNCTION("""COMPUTED_VALUE"""),"4.3 Proses Kirim Mateial Kelokasi")</f>
        <v>4.3 Proses Kirim Mateial Kelokasi</v>
      </c>
      <c r="Q998"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998" s="228"/>
      <c r="S998" s="11"/>
      <c r="T998" s="11"/>
      <c r="U998" s="11" t="str">
        <f>IFERROR(__xludf.DUMMYFUNCTION("""COMPUTED_VALUE"""),"W09-309/2026")</f>
        <v>W09-309/2026</v>
      </c>
      <c r="V998" s="229" t="str">
        <f>IFERROR(__xludf.DUMMYFUNCTION("""COMPUTED_VALUE"""),"DEDY IRAWAN")</f>
        <v>DEDY IRAWAN</v>
      </c>
      <c r="W998" s="229" t="str">
        <f>IFERROR(__xludf.DUMMYFUNCTION("""COMPUTED_VALUE"""),"LEVITA INDRIYANI")</f>
        <v>LEVITA INDRIYANI</v>
      </c>
      <c r="X998" s="229" t="str">
        <f>IFERROR(__xludf.DUMMYFUNCTION("""COMPUTED_VALUE"""),"BELUM GOLIVE")</f>
        <v>BELUM GOLIVE</v>
      </c>
      <c r="Y998" s="229"/>
      <c r="Z998" s="229" t="str">
        <f>IFERROR(__xludf.DUMMYFUNCTION("""COMPUTED_VALUE"""),"#N/A")</f>
        <v>#N/A</v>
      </c>
      <c r="AA998" s="229"/>
      <c r="AB998" s="229"/>
      <c r="AC998" s="229"/>
      <c r="AD998" s="232"/>
      <c r="AE998" s="233"/>
      <c r="AF998" s="54"/>
      <c r="AG998" s="54"/>
      <c r="AH998" s="54"/>
      <c r="AI998" s="55" t="str">
        <f t="shared" ref="AI998:AI1005" si="110">IF(OR(R998="",AE998=""),"",R998-AE998)</f>
        <v/>
      </c>
      <c r="AW998" s="234"/>
      <c r="BP998" s="11"/>
      <c r="BQ998" s="11"/>
      <c r="BR998" s="235"/>
      <c r="BV998" s="158"/>
      <c r="BY998" s="158"/>
      <c r="CB998" s="158"/>
    </row>
    <row r="999" ht="18.0" hidden="1" customHeight="1">
      <c r="A999" s="222">
        <f>IFERROR(__xludf.DUMMYFUNCTION("""COMPUTED_VALUE"""),2026.0)</f>
        <v>2026</v>
      </c>
      <c r="B999" s="221">
        <f>IFERROR(__xludf.DUMMYFUNCTION("""COMPUTED_VALUE"""),1.2430002E7)</f>
        <v>12430002</v>
      </c>
      <c r="C999" s="222" t="str">
        <f>IFERROR(__xludf.DUMMYFUNCTION("""COMPUTED_VALUE"""),"SMU PYB-FAJ D04 CLUST 90988_H2_2025")</f>
        <v>SMU PYB-FAJ D04 CLUST 90988_H2_2025</v>
      </c>
      <c r="D999" s="222" t="str">
        <f>IFERROR(__xludf.DUMMYFUNCTION("""COMPUTED_VALUE"""),"REGIONAL I")</f>
        <v>REGIONAL I</v>
      </c>
      <c r="E999" s="222" t="str">
        <f>IFERROR(__xludf.DUMMYFUNCTION("""COMPUTED_VALUE"""),"SUMUT")</f>
        <v>SUMUT</v>
      </c>
      <c r="F999" s="222" t="str">
        <f>IFERROR(__xludf.DUMMYFUNCTION("""COMPUTED_VALUE"""),"PYB")</f>
        <v>PYB</v>
      </c>
      <c r="G999" s="222" t="str">
        <f>IFERROR(__xludf.DUMMYFUNCTION("""COMPUTED_VALUE"""),"SUMBAGUT")</f>
        <v>SUMBAGUT</v>
      </c>
      <c r="H999" s="222" t="str">
        <f>IFERROR(__xludf.DUMMYFUNCTION("""COMPUTED_VALUE"""),"PADANG SIDEMPUAN")</f>
        <v>PADANG SIDEMPUAN</v>
      </c>
      <c r="I999" s="222" t="str">
        <f>IFERROR(__xludf.DUMMYFUNCTION("""COMPUTED_VALUE"""),"Batch 2")</f>
        <v>Batch 2</v>
      </c>
      <c r="J999" s="225">
        <f>IFERROR(__xludf.DUMMYFUNCTION("""COMPUTED_VALUE"""),6.0)</f>
        <v>6</v>
      </c>
      <c r="K999" s="224">
        <f>IFERROR(__xludf.DUMMYFUNCTION("""COMPUTED_VALUE"""),48.0)</f>
        <v>48</v>
      </c>
      <c r="L999" s="226">
        <f>IFERROR(__xludf.DUMMYFUNCTION("""COMPUTED_VALUE"""),966641.0)</f>
        <v>966641</v>
      </c>
      <c r="M999" s="227">
        <f>IFERROR(__xludf.DUMMYFUNCTION("""COMPUTED_VALUE"""),4.639873E7)</f>
        <v>46398730</v>
      </c>
      <c r="N999" s="222" t="str">
        <f>IFERROR(__xludf.DUMMYFUNCTION("""COMPUTED_VALUE"""),"PT SALTTEK DUMPANG JAYA")</f>
        <v>PT SALTTEK DUMPANG JAYA</v>
      </c>
      <c r="O999" s="222" t="str">
        <f>IFERROR(__xludf.DUMMYFUNCTION("""COMPUTED_VALUE"""),"7. GOLIVE")</f>
        <v>7. GOLIVE</v>
      </c>
      <c r="P999" s="222" t="str">
        <f>IFERROR(__xludf.DUMMYFUNCTION("""COMPUTED_VALUE"""),"7.2 Golive Full / OA / DONE OTB")</f>
        <v>7.2 Golive Full / OA / DONE OTB</v>
      </c>
      <c r="Q999" s="222" t="str">
        <f>IFERROR(__xludf.DUMMYFUNCTION("""COMPUTED_VALUE"""),"6/3 proses abd mancore 8 odp, 5/3 penarikan ku 12 (1041 sisa 191), tanam tiang 18 selesai, odp 6 blm ada progres, 4/3 penarikan ku 12 (1041 sisa 191), tanam tiang 18 selesai, odp 6 blm ada progres, 3/3 plan tanam tiang hri ini, 2/3 plan tanam tiang hri in"&amp;"i, 25/2 plan delivery besok  dari gudang ke site,  24/2 prepair team untuk deliver matrial dari gudang ke site, 23/2 plan pengujuan penambahan 1 odp ke tsel agar cpp masuk di 1,1.   20/2 prepair team untuk pengambilan matrial ke wh, 19/2 menunggu ba preli"&amp;"m dari lapangan paralel appprove terkait biaya prelim 6.5 jt. 18/2 menunggu appprove terkait biaya prelim 6.5 jt.  16/2 menunggu appprove terkait biaya prelim 6.5 jt. 13/2  prepair team untuk deliv matrial dari gudang, comcase 6,5 jt, 11/2  prepair team u"&amp;"ntuk deliv matrial dari gudang, comcase 6,5 jt,  10/2  prepair team untuk deliv matrial dari gudang, comcase 6,5 jt, 9/2  prepair team untuk deliv matrial dari gudang, comcase 6,5 jt, 6/2 prepare tim untuk progres di lokasi, 5/2 proses input matrial,  3/2"&amp;" proses input matrial, 2/2 done req material, 1/2 menunggu req matrial, 30/1 menunggu req matrial, 28/1 menunggu req matrial, 27/1 ,enunggu req matrial, 26/1 menunggu report hasil survey dan boq kml survey, 23/1 menunggu boq kml survey, 22/1 menunggu boq "&amp;"kml hasil survey paralel ijin ke desa, 21/1 menunggu boq kml hasil survey paralel ijin ke desa, 20/1 menunggu boq kml hasil survey paralel ijin ke desa, 19/1 plan survey 22/1,  15/1 plan survey 22/1, 14/1 plan survey 21/1, 13/1 penunjukan mitra, (07/01) P"&amp;"ersiapan")</f>
        <v>6/3 proses abd mancore 8 odp, 5/3 penarikan ku 12 (1041 sisa 191), tanam tiang 18 selesai, odp 6 blm ada progres, 4/3 penarikan ku 12 (1041 sisa 191), tanam tiang 18 selesai, odp 6 blm ada progres, 3/3 plan tanam tiang hri ini, 2/3 plan tanam tiang hri ini, 25/2 plan delivery besok  dari gudang ke site,  24/2 prepair team untuk deliver matrial dari gudang ke site, 23/2 plan pengujuan penambahan 1 odp ke tsel agar cpp masuk di 1,1.   20/2 prepair team untuk pengambilan matrial ke wh, 19/2 menunggu ba prelim dari lapangan paralel appprove terkait biaya prelim 6.5 jt. 18/2 menunggu appprove terkait biaya prelim 6.5 jt.  16/2 menunggu appprove terkait biaya prelim 6.5 jt. 13/2  prepair team untuk deliv matrial dari gudang, comcase 6,5 jt, 11/2  prepair team untuk deliv matrial dari gudang, comcase 6,5 jt,  10/2  prepair team untuk deliv matrial dari gudang, comcase 6,5 jt, 9/2  prepair team untuk deliv matrial dari gudang, comcase 6,5 jt, 6/2 prepare tim untuk progres di lokasi, 5/2 proses input matrial,  3/2 proses input matrial, 2/2 done req material, 1/2 menunggu req matrial, 30/1 menunggu req matrial, 28/1 menunggu req matrial, 27/1 ,enunggu req matrial, 26/1 menunggu report hasil survey dan boq kml survey, 23/1 menunggu boq kml survey, 22/1 menunggu boq kml hasil survey paralel ijin ke desa, 21/1 menunggu boq kml hasil survey paralel ijin ke desa, 20/1 menunggu boq kml hasil survey paralel ijin ke desa, 19/1 plan survey 22/1,  15/1 plan survey 22/1, 14/1 plan survey 21/1, 13/1 penunjukan mitra, (07/01) Persiapan</v>
      </c>
      <c r="R999" s="228">
        <f>IFERROR(__xludf.DUMMYFUNCTION("""COMPUTED_VALUE"""),46090.0)</f>
        <v>46090</v>
      </c>
      <c r="S999" s="11" t="str">
        <f>IFERROR(__xludf.DUMMYFUNCTION("""COMPUTED_VALUE"""),"MAR")</f>
        <v>MAR</v>
      </c>
      <c r="T999" s="11"/>
      <c r="U999" s="11" t="str">
        <f>IFERROR(__xludf.DUMMYFUNCTION("""COMPUTED_VALUE"""),"TIF-1380/2026")</f>
        <v>TIF-1380/2026</v>
      </c>
      <c r="V999" s="229"/>
      <c r="W999" s="229"/>
      <c r="X999" s="229" t="str">
        <f>IFERROR(__xludf.DUMMYFUNCTION("""COMPUTED_VALUE"""),"GOLIVE")</f>
        <v>GOLIVE</v>
      </c>
      <c r="Y999" s="229" t="str">
        <f>IFERROR(__xludf.DUMMYFUNCTION("""COMPUTED_VALUE"""),"DONE")</f>
        <v>DONE</v>
      </c>
      <c r="Z999" s="229" t="str">
        <f>IFERROR(__xludf.DUMMYFUNCTION("""COMPUTED_VALUE"""),"#N/A")</f>
        <v>#N/A</v>
      </c>
      <c r="AA999" s="229">
        <f>IFERROR(__xludf.DUMMYFUNCTION("""COMPUTED_VALUE"""),7.0)</f>
        <v>7</v>
      </c>
      <c r="AB999" s="229"/>
      <c r="AC999" s="229" t="str">
        <f>IFERROR(__xludf.DUMMYFUNCTION("""COMPUTED_VALUE"""),"9187896#9187901")</f>
        <v>9187896#9187901</v>
      </c>
      <c r="AD999" s="232">
        <f>IFERROR(__xludf.DUMMYFUNCTION("""COMPUTED_VALUE"""),56.0)</f>
        <v>56</v>
      </c>
      <c r="AE999" s="233">
        <f>IFERROR(__xludf.DUMMYFUNCTION("""COMPUTED_VALUE"""),46090.0)</f>
        <v>46090</v>
      </c>
      <c r="AF999" s="54"/>
      <c r="AG999" s="54"/>
      <c r="AH999" s="54">
        <v>46090.0</v>
      </c>
      <c r="AI999" s="55">
        <f t="shared" si="110"/>
        <v>0</v>
      </c>
      <c r="AW999" s="234"/>
      <c r="BP999" s="11"/>
      <c r="BQ999" s="11"/>
      <c r="BR999" s="235"/>
      <c r="BV999" s="158"/>
      <c r="BY999" s="158"/>
      <c r="CB999" s="158"/>
    </row>
    <row r="1000" ht="18.0" hidden="1" customHeight="1">
      <c r="A1000" s="222">
        <f>IFERROR(__xludf.DUMMYFUNCTION("""COMPUTED_VALUE"""),2026.0)</f>
        <v>2026</v>
      </c>
      <c r="B1000" s="221">
        <f>IFERROR(__xludf.DUMMYFUNCTION("""COMPUTED_VALUE"""),1.1533265E7)</f>
        <v>11533265</v>
      </c>
      <c r="C1000" s="222" t="str">
        <f>IFERROR(__xludf.DUMMYFUNCTION("""COMPUTED_VALUE"""),"MDN PT3 DLT-FZ GRAHA INDAH JAYA 3")</f>
        <v>MDN PT3 DLT-FZ GRAHA INDAH JAYA 3</v>
      </c>
      <c r="D1000" s="222" t="str">
        <f>IFERROR(__xludf.DUMMYFUNCTION("""COMPUTED_VALUE"""),"REGIONAL I")</f>
        <v>REGIONAL I</v>
      </c>
      <c r="E1000" s="222" t="str">
        <f>IFERROR(__xludf.DUMMYFUNCTION("""COMPUTED_VALUE"""),"MEDAN")</f>
        <v>MEDAN</v>
      </c>
      <c r="F1000" s="222" t="str">
        <f>IFERROR(__xludf.DUMMYFUNCTION("""COMPUTED_VALUE"""),"DLT")</f>
        <v>DLT</v>
      </c>
      <c r="G1000" s="222" t="str">
        <f>IFERROR(__xludf.DUMMYFUNCTION("""COMPUTED_VALUE"""),"SUMBAGUT")</f>
        <v>SUMBAGUT</v>
      </c>
      <c r="H1000" s="222" t="str">
        <f>IFERROR(__xludf.DUMMYFUNCTION("""COMPUTED_VALUE"""),"MEDAN")</f>
        <v>MEDAN</v>
      </c>
      <c r="I1000" s="222" t="str">
        <f>IFERROR(__xludf.DUMMYFUNCTION("""COMPUTED_VALUE"""),"Batch 2")</f>
        <v>Batch 2</v>
      </c>
      <c r="J1000" s="225">
        <f>IFERROR(__xludf.DUMMYFUNCTION("""COMPUTED_VALUE"""),6.0)</f>
        <v>6</v>
      </c>
      <c r="K1000" s="224">
        <f>IFERROR(__xludf.DUMMYFUNCTION("""COMPUTED_VALUE"""),48.0)</f>
        <v>48</v>
      </c>
      <c r="L1000" s="226">
        <f>IFERROR(__xludf.DUMMYFUNCTION("""COMPUTED_VALUE"""),966552.0)</f>
        <v>966552</v>
      </c>
      <c r="M1000" s="227">
        <f>IFERROR(__xludf.DUMMYFUNCTION("""COMPUTED_VALUE"""),4.6394489E7)</f>
        <v>46394489</v>
      </c>
      <c r="N1000" s="222" t="str">
        <f>IFERROR(__xludf.DUMMYFUNCTION("""COMPUTED_VALUE"""),"PT UPENTEL INTERNASIONAL")</f>
        <v>PT UPENTEL INTERNASIONAL</v>
      </c>
      <c r="O1000" s="222" t="str">
        <f>IFERROR(__xludf.DUMMYFUNCTION("""COMPUTED_VALUE"""),"0. DROP")</f>
        <v>0. DROP</v>
      </c>
      <c r="P1000" s="222" t="str">
        <f>IFERROR(__xludf.DUMMYFUNCTION("""COMPUTED_VALUE"""),"0.2 Tidak Dapat Izin Warga/Kades/Lurah/Developer")</f>
        <v>0.2 Tidak Dapat Izin Warga/Kades/Lurah/Developer</v>
      </c>
      <c r="Q1000" s="222" t="str">
        <f>IFERROR(__xludf.DUMMYFUNCTION("""COMPUTED_VALUE"""),"11/03 tidak ada izin drop info CHAM (Fitri) 04/03 FE ok, perizinan by CHAM 27/02 done order")</f>
        <v>11/03 tidak ada izin drop info CHAM (Fitri) 04/03 FE ok, perizinan by CHAM 27/02 done order</v>
      </c>
      <c r="R1000" s="228"/>
      <c r="S1000" s="11"/>
      <c r="T1000" s="11"/>
      <c r="U1000" s="11"/>
      <c r="V1000" s="229"/>
      <c r="W1000" s="229"/>
      <c r="X1000" s="229" t="str">
        <f>IFERROR(__xludf.DUMMYFUNCTION("""COMPUTED_VALUE"""),"BELUM GOLIVE")</f>
        <v>BELUM GOLIVE</v>
      </c>
      <c r="Y1000" s="229"/>
      <c r="Z1000" s="229" t="str">
        <f>IFERROR(__xludf.DUMMYFUNCTION("""COMPUTED_VALUE"""),"#N/A")</f>
        <v>#N/A</v>
      </c>
      <c r="AA1000" s="229"/>
      <c r="AB1000" s="229"/>
      <c r="AC1000" s="229"/>
      <c r="AD1000" s="232"/>
      <c r="AE1000" s="233"/>
      <c r="AF1000" s="54"/>
      <c r="AG1000" s="54"/>
      <c r="AH1000" s="54"/>
      <c r="AI1000" s="55" t="str">
        <f t="shared" si="110"/>
        <v/>
      </c>
      <c r="AW1000" s="234"/>
      <c r="BP1000" s="11"/>
      <c r="BQ1000" s="11"/>
      <c r="BR1000" s="235"/>
      <c r="BV1000" s="158"/>
      <c r="BY1000" s="158"/>
      <c r="CB1000" s="158"/>
    </row>
    <row r="1001" ht="18.0" hidden="1" customHeight="1">
      <c r="A1001" s="222">
        <f>IFERROR(__xludf.DUMMYFUNCTION("""COMPUTED_VALUE"""),2026.0)</f>
        <v>2026</v>
      </c>
      <c r="B1001" s="221">
        <f>IFERROR(__xludf.DUMMYFUNCTION("""COMPUTED_VALUE"""),1.2133254E7)</f>
        <v>12133254</v>
      </c>
      <c r="C1001" s="222" t="str">
        <f>IFERROR(__xludf.DUMMYFUNCTION("""COMPUTED_VALUE"""),"LPG PT3 JPP PERUM ANUGERAH AGUNG KDT")</f>
        <v>LPG PT3 JPP PERUM ANUGERAH AGUNG KDT</v>
      </c>
      <c r="D1001" s="222" t="str">
        <f>IFERROR(__xludf.DUMMYFUNCTION("""COMPUTED_VALUE"""),"REGIONAL I")</f>
        <v>REGIONAL I</v>
      </c>
      <c r="E1001" s="222" t="str">
        <f>IFERROR(__xludf.DUMMYFUNCTION("""COMPUTED_VALUE"""),"LAMPUNG")</f>
        <v>LAMPUNG</v>
      </c>
      <c r="F1001" s="222" t="str">
        <f>IFERROR(__xludf.DUMMYFUNCTION("""COMPUTED_VALUE"""),"KDT")</f>
        <v>KDT</v>
      </c>
      <c r="G1001" s="222" t="str">
        <f>IFERROR(__xludf.DUMMYFUNCTION("""COMPUTED_VALUE"""),"SUMBAGSEL")</f>
        <v>SUMBAGSEL</v>
      </c>
      <c r="H1001" s="222" t="str">
        <f>IFERROR(__xludf.DUMMYFUNCTION("""COMPUTED_VALUE"""),"LAMPUNG")</f>
        <v>LAMPUNG</v>
      </c>
      <c r="I1001" s="222" t="str">
        <f>IFERROR(__xludf.DUMMYFUNCTION("""COMPUTED_VALUE"""),"Batch 2")</f>
        <v>Batch 2</v>
      </c>
      <c r="J1001" s="225">
        <f>IFERROR(__xludf.DUMMYFUNCTION("""COMPUTED_VALUE"""),13.0)</f>
        <v>13</v>
      </c>
      <c r="K1001" s="224">
        <f>IFERROR(__xludf.DUMMYFUNCTION("""COMPUTED_VALUE"""),104.0)</f>
        <v>104</v>
      </c>
      <c r="L1001" s="226">
        <f>IFERROR(__xludf.DUMMYFUNCTION("""COMPUTED_VALUE"""),965074.0)</f>
        <v>965074</v>
      </c>
      <c r="M1001" s="227">
        <f>IFERROR(__xludf.DUMMYFUNCTION("""COMPUTED_VALUE"""),1.00367646E8)</f>
        <v>100367646</v>
      </c>
      <c r="N1001" s="222" t="str">
        <f>IFERROR(__xludf.DUMMYFUNCTION("""COMPUTED_VALUE"""),"PT BANGTELINDO")</f>
        <v>PT BANGTELINDO</v>
      </c>
      <c r="O1001" s="222" t="str">
        <f>IFERROR(__xludf.DUMMYFUNCTION("""COMPUTED_VALUE"""),"0. DROP")</f>
        <v>0. DROP</v>
      </c>
      <c r="P1001" s="222" t="str">
        <f>IFERROR(__xludf.DUMMYFUNCTION("""COMPUTED_VALUE"""),"0.4 CPP Tinggi Acc ED TIF")</f>
        <v>0.4 CPP Tinggi Acc ED TIF</v>
      </c>
      <c r="Q1001" s="222" t="str">
        <f>IFERROR(__xludf.DUMMYFUNCTION("""COMPUTED_VALUE"""),"10/3 CPP tinggi,  5/3 menunggu new design  27/2 menunggu disgn baru,, 23/2 hold kendala OLT di status Terakhir 18/2 6/2 siap matdel ,olt itera habis 4/2 perhitungan cpp redesain jalur 28/1 redesain jalur 21/01 redesain dan progres prizinan lurah lagi umro"&amp;"h 19/1 BUTUH REDISGN ")</f>
        <v>10/3 CPP tinggi,  5/3 menunggu new design  27/2 menunggu disgn baru,, 23/2 hold kendala OLT di status Terakhir 18/2 6/2 siap matdel ,olt itera habis 4/2 perhitungan cpp redesain jalur 28/1 redesain jalur 21/01 redesain dan progres prizinan lurah lagi umroh 19/1 BUTUH REDISGN </v>
      </c>
      <c r="R1001" s="228"/>
      <c r="S1001" s="11"/>
      <c r="T1001" s="11"/>
      <c r="U1001" s="11"/>
      <c r="V1001" s="229"/>
      <c r="W1001" s="229"/>
      <c r="X1001" s="229" t="str">
        <f>IFERROR(__xludf.DUMMYFUNCTION("""COMPUTED_VALUE"""),"BELUM GOLIVE")</f>
        <v>BELUM GOLIVE</v>
      </c>
      <c r="Y1001" s="229" t="str">
        <f>IFERROR(__xludf.DUMMYFUNCTION("""COMPUTED_VALUE"""),"PORT OLT Penuh")</f>
        <v>PORT OLT Penuh</v>
      </c>
      <c r="Z1001" s="229" t="str">
        <f>IFERROR(__xludf.DUMMYFUNCTION("""COMPUTED_VALUE"""),"#N/A")</f>
        <v>#N/A</v>
      </c>
      <c r="AA1001" s="229"/>
      <c r="AB1001" s="229"/>
      <c r="AC1001" s="229"/>
      <c r="AD1001" s="232"/>
      <c r="AE1001" s="233"/>
      <c r="AF1001" s="54"/>
      <c r="AG1001" s="54"/>
      <c r="AH1001" s="54"/>
      <c r="AI1001" s="55" t="str">
        <f t="shared" si="110"/>
        <v/>
      </c>
      <c r="AW1001" s="234"/>
      <c r="BP1001" s="11"/>
      <c r="BQ1001" s="11"/>
      <c r="BR1001" s="235"/>
      <c r="BV1001" s="158"/>
      <c r="BY1001" s="158"/>
      <c r="CB1001" s="158"/>
    </row>
    <row r="1002" ht="18.0" hidden="1" customHeight="1">
      <c r="A1002" s="222">
        <f>IFERROR(__xludf.DUMMYFUNCTION("""COMPUTED_VALUE"""),2026.0)</f>
        <v>2026</v>
      </c>
      <c r="B1002" s="221">
        <f>IFERROR(__xludf.DUMMYFUNCTION("""COMPUTED_VALUE"""),1.1131292E7)</f>
        <v>11131292</v>
      </c>
      <c r="C1002" s="222" t="str">
        <f>IFERROR(__xludf.DUMMYFUNCTION("""COMPUTED_VALUE"""),"MDN PT3 P7I6 TMU-FCB GG.GARUDA")</f>
        <v>MDN PT3 P7I6 TMU-FCB GG.GARUDA</v>
      </c>
      <c r="D1002" s="222" t="str">
        <f>IFERROR(__xludf.DUMMYFUNCTION("""COMPUTED_VALUE"""),"REGIONAL I")</f>
        <v>REGIONAL I</v>
      </c>
      <c r="E1002" s="222" t="str">
        <f>IFERROR(__xludf.DUMMYFUNCTION("""COMPUTED_VALUE"""),"MEDAN")</f>
        <v>MEDAN</v>
      </c>
      <c r="F1002" s="222" t="str">
        <f>IFERROR(__xludf.DUMMYFUNCTION("""COMPUTED_VALUE"""),"TMU")</f>
        <v>TMU</v>
      </c>
      <c r="G1002" s="222" t="str">
        <f>IFERROR(__xludf.DUMMYFUNCTION("""COMPUTED_VALUE"""),"SUMBAGUT")</f>
        <v>SUMBAGUT</v>
      </c>
      <c r="H1002" s="222" t="str">
        <f>IFERROR(__xludf.DUMMYFUNCTION("""COMPUTED_VALUE"""),"MEDAN")</f>
        <v>MEDAN</v>
      </c>
      <c r="I1002" s="222" t="str">
        <f>IFERROR(__xludf.DUMMYFUNCTION("""COMPUTED_VALUE"""),"Batch 2")</f>
        <v>Batch 2</v>
      </c>
      <c r="J1002" s="225">
        <f>IFERROR(__xludf.DUMMYFUNCTION("""COMPUTED_VALUE"""),2.0)</f>
        <v>2</v>
      </c>
      <c r="K1002" s="224">
        <f>IFERROR(__xludf.DUMMYFUNCTION("""COMPUTED_VALUE"""),16.0)</f>
        <v>16</v>
      </c>
      <c r="L1002" s="226">
        <f>IFERROR(__xludf.DUMMYFUNCTION("""COMPUTED_VALUE"""),964008.0)</f>
        <v>964008</v>
      </c>
      <c r="M1002" s="227">
        <f>IFERROR(__xludf.DUMMYFUNCTION("""COMPUTED_VALUE"""),1.5424127E7)</f>
        <v>15424127</v>
      </c>
      <c r="N1002" s="222" t="str">
        <f>IFERROR(__xludf.DUMMYFUNCTION("""COMPUTED_VALUE"""),"PT GLOBAL KARYA WANDA")</f>
        <v>PT GLOBAL KARYA WANDA</v>
      </c>
      <c r="O1002" s="222" t="str">
        <f>IFERROR(__xludf.DUMMYFUNCTION("""COMPUTED_VALUE"""),"0. DROP")</f>
        <v>0. DROP</v>
      </c>
      <c r="P1002" s="222" t="str">
        <f>IFERROR(__xludf.DUMMYFUNCTION("""COMPUTED_VALUE"""),"0.3 Feeder Full")</f>
        <v>0.3 Feeder Full</v>
      </c>
      <c r="Q1002" s="222" t="str">
        <f>IFERROR(__xludf.DUMMYFUNCTION("""COMPUTED_VALUE"""),"5/11 Feeder Habis
01/11proses aanwijzing")</f>
        <v>5/11 Feeder Habis
01/11proses aanwijzing</v>
      </c>
      <c r="R1002" s="228"/>
      <c r="S1002" s="11"/>
      <c r="T1002" s="11"/>
      <c r="U1002" s="11"/>
      <c r="V1002" s="229"/>
      <c r="W1002" s="229"/>
      <c r="X1002" s="229" t="str">
        <f>IFERROR(__xludf.DUMMYFUNCTION("""COMPUTED_VALUE"""),"BELUM GOLIVE")</f>
        <v>BELUM GOLIVE</v>
      </c>
      <c r="Y1002" s="229"/>
      <c r="Z1002" s="229" t="str">
        <f>IFERROR(__xludf.DUMMYFUNCTION("""COMPUTED_VALUE"""),"#N/A")</f>
        <v>#N/A</v>
      </c>
      <c r="AA1002" s="229"/>
      <c r="AB1002" s="229"/>
      <c r="AC1002" s="229"/>
      <c r="AD1002" s="232"/>
      <c r="AE1002" s="233"/>
      <c r="AF1002" s="54"/>
      <c r="AG1002" s="54"/>
      <c r="AH1002" s="54"/>
      <c r="AI1002" s="55" t="str">
        <f t="shared" si="110"/>
        <v/>
      </c>
      <c r="AW1002" s="234"/>
      <c r="BP1002" s="11"/>
      <c r="BQ1002" s="11"/>
      <c r="BR1002" s="235"/>
      <c r="BV1002" s="158"/>
      <c r="BY1002" s="158"/>
      <c r="CB1002" s="158"/>
    </row>
    <row r="1003" ht="18.0" hidden="1" customHeight="1">
      <c r="A1003" s="222">
        <f>IFERROR(__xludf.DUMMYFUNCTION("""COMPUTED_VALUE"""),2026.0)</f>
        <v>2026</v>
      </c>
      <c r="B1003" s="221">
        <f>IFERROR(__xludf.DUMMYFUNCTION("""COMPUTED_VALUE"""),1.1137679E7)</f>
        <v>11137679</v>
      </c>
      <c r="C1003" s="222" t="str">
        <f>IFERROR(__xludf.DUMMYFUNCTION("""COMPUTED_VALUE"""),"PT3 P7I3 PDB-FBD PERUMAHAN CLASSIC 3")</f>
        <v>PT3 P7I3 PDB-FBD PERUMAHAN CLASSIC 3</v>
      </c>
      <c r="D1003" s="222" t="str">
        <f>IFERROR(__xludf.DUMMYFUNCTION("""COMPUTED_VALUE"""),"REGIONAL I")</f>
        <v>REGIONAL I</v>
      </c>
      <c r="E1003" s="222" t="str">
        <f>IFERROR(__xludf.DUMMYFUNCTION("""COMPUTED_VALUE"""),"MEDAN")</f>
        <v>MEDAN</v>
      </c>
      <c r="F1003" s="222" t="str">
        <f>IFERROR(__xludf.DUMMYFUNCTION("""COMPUTED_VALUE"""),"PDB")</f>
        <v>PDB</v>
      </c>
      <c r="G1003" s="222" t="str">
        <f>IFERROR(__xludf.DUMMYFUNCTION("""COMPUTED_VALUE"""),"SUMBAGUT")</f>
        <v>SUMBAGUT</v>
      </c>
      <c r="H1003" s="222" t="str">
        <f>IFERROR(__xludf.DUMMYFUNCTION("""COMPUTED_VALUE"""),"MEDAN")</f>
        <v>MEDAN</v>
      </c>
      <c r="I1003" s="222" t="str">
        <f>IFERROR(__xludf.DUMMYFUNCTION("""COMPUTED_VALUE"""),"Batch 2")</f>
        <v>Batch 2</v>
      </c>
      <c r="J1003" s="225">
        <f>IFERROR(__xludf.DUMMYFUNCTION("""COMPUTED_VALUE"""),3.0)</f>
        <v>3</v>
      </c>
      <c r="K1003" s="224">
        <f>IFERROR(__xludf.DUMMYFUNCTION("""COMPUTED_VALUE"""),24.0)</f>
        <v>24</v>
      </c>
      <c r="L1003" s="226">
        <f>IFERROR(__xludf.DUMMYFUNCTION("""COMPUTED_VALUE"""),963924.0)</f>
        <v>963924</v>
      </c>
      <c r="M1003" s="227">
        <f>IFERROR(__xludf.DUMMYFUNCTION("""COMPUTED_VALUE"""),2.3134157E7)</f>
        <v>23134157</v>
      </c>
      <c r="N1003" s="222" t="str">
        <f>IFERROR(__xludf.DUMMYFUNCTION("""COMPUTED_VALUE"""),"PT MILFHA MUTIARA PRIMA")</f>
        <v>PT MILFHA MUTIARA PRIMA</v>
      </c>
      <c r="O1003" s="222" t="str">
        <f>IFERROR(__xludf.DUMMYFUNCTION("""COMPUTED_VALUE"""),"0. DROP")</f>
        <v>0. DROP</v>
      </c>
      <c r="P1003" s="222" t="str">
        <f>IFERROR(__xludf.DUMMYFUNCTION("""COMPUTED_VALUE"""),"0.2 Tidak Dapat Izin Warga/Kades/Lurah/Developer")</f>
        <v>0.2 Tidak Dapat Izin Warga/Kades/Lurah/Developer</v>
      </c>
      <c r="Q1003" s="222" t="str">
        <f>IFERROR(__xludf.DUMMYFUNCTION("""COMPUTED_VALUE"""),"17/05 belum dapat izin dari devloper
09/04 menunggu req material 09/04 menunggu konfirmasi dari CHAM
04/03 FE ok, DS oncek, Perizinan Proses 26/02 done order")</f>
        <v>17/05 belum dapat izin dari devloper
09/04 menunggu req material 09/04 menunggu konfirmasi dari CHAM
04/03 FE ok, DS oncek, Perizinan Proses 26/02 done order</v>
      </c>
      <c r="R1003" s="228"/>
      <c r="S1003" s="11"/>
      <c r="T1003" s="73"/>
      <c r="U1003" s="11"/>
      <c r="V1003" s="229" t="str">
        <f>IFERROR(__xludf.DUMMYFUNCTION("""COMPUTED_VALUE"""),"17/Apr/2026")</f>
        <v>17/Apr/2026</v>
      </c>
      <c r="W1003" s="229"/>
      <c r="X1003" s="229" t="str">
        <f>IFERROR(__xludf.DUMMYFUNCTION("""COMPUTED_VALUE"""),"BELUM GOLIVE")</f>
        <v>BELUM GOLIVE</v>
      </c>
      <c r="Y1003" s="229"/>
      <c r="Z1003" s="229" t="str">
        <f>IFERROR(__xludf.DUMMYFUNCTION("""COMPUTED_VALUE"""),"#N/A")</f>
        <v>#N/A</v>
      </c>
      <c r="AA1003" s="229"/>
      <c r="AB1003" s="229"/>
      <c r="AC1003" s="229"/>
      <c r="AD1003" s="232"/>
      <c r="AE1003" s="233"/>
      <c r="AF1003" s="54"/>
      <c r="AG1003" s="54"/>
      <c r="AH1003" s="54"/>
      <c r="AI1003" s="55" t="str">
        <f t="shared" si="110"/>
        <v/>
      </c>
      <c r="AW1003" s="234"/>
      <c r="BP1003" s="11"/>
      <c r="BQ1003" s="11"/>
      <c r="BR1003" s="235"/>
      <c r="BV1003" s="158"/>
      <c r="BY1003" s="158"/>
      <c r="CB1003" s="158"/>
    </row>
    <row r="1004" ht="18.0" customHeight="1">
      <c r="A1004" s="222">
        <f>IFERROR(__xludf.DUMMYFUNCTION("""COMPUTED_VALUE"""),2026.0)</f>
        <v>2026</v>
      </c>
      <c r="B1004" s="221">
        <f>IFERROR(__xludf.DUMMYFUNCTION("""COMPUTED_VALUE"""),1.2219457E7)</f>
        <v>12219457</v>
      </c>
      <c r="C1004" s="222" t="str">
        <f>IFERROR(__xludf.DUMMYFUNCTION("""COMPUTED_VALUE"""),"RKP TSEL PT3 KAI-FV KAVLING SENJULUNG")</f>
        <v>RKP TSEL PT3 KAI-FV KAVLING SENJULUNG</v>
      </c>
      <c r="D1004" s="222" t="str">
        <f>IFERROR(__xludf.DUMMYFUNCTION("""COMPUTED_VALUE"""),"REGIONAL I")</f>
        <v>REGIONAL I</v>
      </c>
      <c r="E1004" s="222" t="str">
        <f>IFERROR(__xludf.DUMMYFUNCTION("""COMPUTED_VALUE"""),"RIKEP")</f>
        <v>RIKEP</v>
      </c>
      <c r="F1004" s="222" t="str">
        <f>IFERROR(__xludf.DUMMYFUNCTION("""COMPUTED_VALUE"""),"KAI")</f>
        <v>KAI</v>
      </c>
      <c r="G1004" s="222" t="str">
        <f>IFERROR(__xludf.DUMMYFUNCTION("""COMPUTED_VALUE"""),"SUMBAGTENG")</f>
        <v>SUMBAGTENG</v>
      </c>
      <c r="H1004" s="222" t="str">
        <f>IFERROR(__xludf.DUMMYFUNCTION("""COMPUTED_VALUE"""),"BATAM")</f>
        <v>BATAM</v>
      </c>
      <c r="I1004" s="222" t="str">
        <f>IFERROR(__xludf.DUMMYFUNCTION("""COMPUTED_VALUE"""),"Batch 2")</f>
        <v>Batch 2</v>
      </c>
      <c r="J1004" s="225">
        <f>IFERROR(__xludf.DUMMYFUNCTION("""COMPUTED_VALUE"""),3.0)</f>
        <v>3</v>
      </c>
      <c r="K1004" s="224">
        <f>IFERROR(__xludf.DUMMYFUNCTION("""COMPUTED_VALUE"""),24.0)</f>
        <v>24</v>
      </c>
      <c r="L1004" s="226">
        <f>IFERROR(__xludf.DUMMYFUNCTION("""COMPUTED_VALUE"""),963688.0)</f>
        <v>963688</v>
      </c>
      <c r="M1004" s="227">
        <f>IFERROR(__xludf.DUMMYFUNCTION("""COMPUTED_VALUE"""),2.3128498E7)</f>
        <v>23128498</v>
      </c>
      <c r="N1004" s="222" t="str">
        <f>IFERROR(__xludf.DUMMYFUNCTION("""COMPUTED_VALUE"""),"PT HDUA PUTRA PRAJODA")</f>
        <v>PT HDUA PUTRA PRAJODA</v>
      </c>
      <c r="O1004" s="222" t="str">
        <f>IFERROR(__xludf.DUMMYFUNCTION("""COMPUTED_VALUE"""),"0. DROP")</f>
        <v>0. DROP</v>
      </c>
      <c r="P1004" s="222" t="str">
        <f>IFERROR(__xludf.DUMMYFUNCTION("""COMPUTED_VALUE"""),"0.2 Tidak Dapat Izin Warga/Kades/Lurah/Developer")</f>
        <v>0.2 Tidak Dapat Izin Warga/Kades/Lurah/Developer</v>
      </c>
      <c r="Q1004" s="222" t="str">
        <f>IFERROR(__xludf.DUMMYFUNCTION("""COMPUTED_VALUE"""),"05/02 Izin tanam tiang di tolak RT. 28/01 izin blm ada balasan. pengecekan core feeder, dan ada 2 titik tiang harus ketemu dengan warga di dampingi RT hari ini.. 26/01 RT meminta kompensasi 1.5 Jt, eval ke AOM. 22/01 Plan survey 24 Jan ")</f>
        <v>05/02 Izin tanam tiang di tolak RT. 28/01 izin blm ada balasan. pengecekan core feeder, dan ada 2 titik tiang harus ketemu dengan warga di dampingi RT hari ini.. 26/01 RT meminta kompensasi 1.5 Jt, eval ke AOM. 22/01 Plan survey 24 Jan </v>
      </c>
      <c r="R1004" s="228"/>
      <c r="S1004" s="11"/>
      <c r="T1004" s="11"/>
      <c r="U1004" s="11"/>
      <c r="V1004" s="229" t="str">
        <f>IFERROR(__xludf.DUMMYFUNCTION("""COMPUTED_VALUE"""),"GANI PRASTYO")</f>
        <v>GANI PRASTYO</v>
      </c>
      <c r="W1004" s="229" t="str">
        <f>IFERROR(__xludf.DUMMYFUNCTION("""COMPUTED_VALUE"""),"LEVITA INDRIYANI")</f>
        <v>LEVITA INDRIYANI</v>
      </c>
      <c r="X1004" s="229" t="str">
        <f>IFERROR(__xludf.DUMMYFUNCTION("""COMPUTED_VALUE"""),"BELUM GOLIVE")</f>
        <v>BELUM GOLIVE</v>
      </c>
      <c r="Y1004" s="229"/>
      <c r="Z1004" s="229" t="str">
        <f>IFERROR(__xludf.DUMMYFUNCTION("""COMPUTED_VALUE"""),"#N/A")</f>
        <v>#N/A</v>
      </c>
      <c r="AA1004" s="229"/>
      <c r="AB1004" s="229"/>
      <c r="AC1004" s="229"/>
      <c r="AD1004" s="232"/>
      <c r="AE1004" s="233"/>
      <c r="AF1004" s="54" t="str">
        <f>IFERROR(__xludf.DUMMYFUNCTION("""COMPUTED_VALUE"""),"Draft BA DROP")</f>
        <v>Draft BA DROP</v>
      </c>
      <c r="AG1004" s="54"/>
      <c r="AH1004" s="54"/>
      <c r="AI1004" s="55" t="str">
        <f t="shared" si="110"/>
        <v/>
      </c>
      <c r="AW1004" s="234"/>
      <c r="BP1004" s="11"/>
      <c r="BQ1004" s="11"/>
      <c r="BR1004" s="235"/>
      <c r="BV1004" s="158"/>
      <c r="BY1004" s="158"/>
      <c r="CB1004" s="158"/>
    </row>
    <row r="1005" ht="18.0" customHeight="1">
      <c r="A1005" s="222">
        <f>IFERROR(__xludf.DUMMYFUNCTION("""COMPUTED_VALUE"""),2026.0)</f>
        <v>2026</v>
      </c>
      <c r="B1005" s="221">
        <f>IFERROR(__xludf.DUMMYFUNCTION("""COMPUTED_VALUE"""),1.0746175E7)</f>
        <v>10746175</v>
      </c>
      <c r="C1005" s="222" t="str">
        <f>IFERROR(__xludf.DUMMYFUNCTION("""COMPUTED_VALUE"""),"SMB P1I1 PERUM PADANGRAJO LAND HRU SIS")</f>
        <v>SMB P1I1 PERUM PADANGRAJO LAND HRU SIS</v>
      </c>
      <c r="D1005" s="222" t="str">
        <f>IFERROR(__xludf.DUMMYFUNCTION("""COMPUTED_VALUE"""),"REGIONAL I")</f>
        <v>REGIONAL I</v>
      </c>
      <c r="E1005" s="222" t="str">
        <f>IFERROR(__xludf.DUMMYFUNCTION("""COMPUTED_VALUE"""),"SUMBAR")</f>
        <v>SUMBAR</v>
      </c>
      <c r="F1005" s="222" t="str">
        <f>IFERROR(__xludf.DUMMYFUNCTION("""COMPUTED_VALUE"""),"HRU")</f>
        <v>HRU</v>
      </c>
      <c r="G1005" s="222" t="str">
        <f>IFERROR(__xludf.DUMMYFUNCTION("""COMPUTED_VALUE"""),"SUMBAGTENG")</f>
        <v>SUMBAGTENG</v>
      </c>
      <c r="H1005" s="222" t="str">
        <f>IFERROR(__xludf.DUMMYFUNCTION("""COMPUTED_VALUE"""),"BUKIT TINGGI")</f>
        <v>BUKIT TINGGI</v>
      </c>
      <c r="I1005" s="222" t="str">
        <f>IFERROR(__xludf.DUMMYFUNCTION("""COMPUTED_VALUE"""),"Batch 2")</f>
        <v>Batch 2</v>
      </c>
      <c r="J1005" s="225">
        <f>IFERROR(__xludf.DUMMYFUNCTION("""COMPUTED_VALUE"""),3.0)</f>
        <v>3</v>
      </c>
      <c r="K1005" s="224">
        <f>IFERROR(__xludf.DUMMYFUNCTION("""COMPUTED_VALUE"""),24.0)</f>
        <v>24</v>
      </c>
      <c r="L1005" s="226">
        <f>IFERROR(__xludf.DUMMYFUNCTION("""COMPUTED_VALUE"""),963373.0)</f>
        <v>963373</v>
      </c>
      <c r="M1005" s="227">
        <f>IFERROR(__xludf.DUMMYFUNCTION("""COMPUTED_VALUE"""),2.3120944E7)</f>
        <v>23120944</v>
      </c>
      <c r="N1005" s="222" t="str">
        <f>IFERROR(__xludf.DUMMYFUNCTION("""COMPUTED_VALUE"""),"PT RATRI PRIMA MANDIRI")</f>
        <v>PT RATRI PRIMA MANDIRI</v>
      </c>
      <c r="O1005" s="222" t="str">
        <f>IFERROR(__xludf.DUMMYFUNCTION("""COMPUTED_VALUE"""),"0. DROP")</f>
        <v>0. DROP</v>
      </c>
      <c r="P1005" s="222" t="str">
        <f>IFERROR(__xludf.DUMMYFUNCTION("""COMPUTED_VALUE"""),"0.3 Feeder Full")</f>
        <v>0.3 Feeder Full</v>
      </c>
      <c r="Q1005" s="222" t="str">
        <f>IFERROR(__xludf.DUMMYFUNCTION("""COMPUTED_VALUE"""),"(26/01) PKendala feeder HRU-FG full ")</f>
        <v>(26/01) PKendala feeder HRU-FG full </v>
      </c>
      <c r="R1005" s="228"/>
      <c r="S1005" s="11"/>
      <c r="T1005" s="11"/>
      <c r="U1005" s="11"/>
      <c r="V1005" s="229"/>
      <c r="W1005" s="229"/>
      <c r="X1005" s="229" t="str">
        <f>IFERROR(__xludf.DUMMYFUNCTION("""COMPUTED_VALUE"""),"BELUM GOLIVE")</f>
        <v>BELUM GOLIVE</v>
      </c>
      <c r="Y1005" s="229"/>
      <c r="Z1005" s="229" t="str">
        <f>IFERROR(__xludf.DUMMYFUNCTION("""COMPUTED_VALUE"""),"#N/A")</f>
        <v>#N/A</v>
      </c>
      <c r="AA1005" s="229"/>
      <c r="AB1005" s="229"/>
      <c r="AC1005" s="229"/>
      <c r="AD1005" s="232"/>
      <c r="AE1005" s="233"/>
      <c r="AF1005" s="54" t="str">
        <f>IFERROR(__xludf.DUMMYFUNCTION("""COMPUTED_VALUE"""),"Draft BA DROP")</f>
        <v>Draft BA DROP</v>
      </c>
      <c r="AG1005" s="54"/>
      <c r="AH1005" s="54"/>
      <c r="AI1005" s="55" t="str">
        <f t="shared" si="110"/>
        <v/>
      </c>
      <c r="AW1005" s="234"/>
      <c r="BP1005" s="11"/>
      <c r="BQ1005" s="11"/>
      <c r="BR1005" s="235"/>
      <c r="BV1005" s="158"/>
      <c r="BY1005" s="158"/>
      <c r="CB1005" s="158"/>
    </row>
    <row r="1006" ht="18.0" customHeight="1">
      <c r="A1006" s="222">
        <f>IFERROR(__xludf.DUMMYFUNCTION("""COMPUTED_VALUE"""),2026.0)</f>
        <v>2026</v>
      </c>
      <c r="B1006" s="221">
        <f>IFERROR(__xludf.DUMMYFUNCTION("""COMPUTED_VALUE"""),1.2092907E7)</f>
        <v>12092907</v>
      </c>
      <c r="C1006" s="222" t="str">
        <f>IFERROR(__xludf.DUMMYFUNCTION("""COMPUTED_VALUE"""),"RDR JPP PT3 TAMBAHAN UBT FAC")</f>
        <v>RDR JPP PT3 TAMBAHAN UBT FAC</v>
      </c>
      <c r="D1006" s="222" t="str">
        <f>IFERROR(__xludf.DUMMYFUNCTION("""COMPUTED_VALUE"""),"REGIONAL I")</f>
        <v>REGIONAL I</v>
      </c>
      <c r="E1006" s="222" t="str">
        <f>IFERROR(__xludf.DUMMYFUNCTION("""COMPUTED_VALUE"""),"RIDAR")</f>
        <v>RIDAR</v>
      </c>
      <c r="F1006" s="222" t="str">
        <f>IFERROR(__xludf.DUMMYFUNCTION("""COMPUTED_VALUE"""),"UBT")</f>
        <v>UBT</v>
      </c>
      <c r="G1006" s="222" t="str">
        <f>IFERROR(__xludf.DUMMYFUNCTION("""COMPUTED_VALUE"""),"SUMBAGTENG")</f>
        <v>SUMBAGTENG</v>
      </c>
      <c r="H1006" s="222" t="str">
        <f>IFERROR(__xludf.DUMMYFUNCTION("""COMPUTED_VALUE"""),"DUMAI")</f>
        <v>DUMAI</v>
      </c>
      <c r="I1006" s="222" t="str">
        <f>IFERROR(__xludf.DUMMYFUNCTION("""COMPUTED_VALUE"""),"Batch 2")</f>
        <v>Batch 2</v>
      </c>
      <c r="J1006" s="225">
        <f>IFERROR(__xludf.DUMMYFUNCTION("""COMPUTED_VALUE"""),19.0)</f>
        <v>19</v>
      </c>
      <c r="K1006" s="224">
        <f>IFERROR(__xludf.DUMMYFUNCTION("""COMPUTED_VALUE"""),152.0)</f>
        <v>152</v>
      </c>
      <c r="L1006" s="226">
        <f>IFERROR(__xludf.DUMMYFUNCTION("""COMPUTED_VALUE"""),1247967.0)</f>
        <v>1247967</v>
      </c>
      <c r="M1006" s="227">
        <f>IFERROR(__xludf.DUMMYFUNCTION("""COMPUTED_VALUE"""),1.89690916E8)</f>
        <v>189690916</v>
      </c>
      <c r="N1006" s="222" t="str">
        <f>IFERROR(__xludf.DUMMYFUNCTION("""COMPUTED_VALUE"""),"PT LIBER PERSADA MANDIRI")</f>
        <v>PT LIBER PERSADA MANDIRI</v>
      </c>
      <c r="O1006" s="222" t="str">
        <f>IFERROR(__xludf.DUMMYFUNCTION("""COMPUTED_VALUE"""),"7. GOLIVE")</f>
        <v>7. GOLIVE</v>
      </c>
      <c r="P1006" s="222" t="str">
        <f>IFERROR(__xludf.DUMMYFUNCTION("""COMPUTED_VALUE"""),"7.2 Golive Full / OA / DONE OTB")</f>
        <v>7.2 Golive Full / OA / DONE OTB</v>
      </c>
      <c r="Q1006" s="222" t="str">
        <f>IFERROR(__xludf.DUMMYFUNCTION("""COMPUTED_VALUE"""),"29/01 Terminasi ODP, Butuh penambahan Modul OLT Suka Ramai 20/01 Penanaman tiang (07/01) Persiapan")</f>
        <v>29/01 Terminasi ODP, Butuh penambahan Modul OLT Suka Ramai 20/01 Penanaman tiang (07/01) Persiapan</v>
      </c>
      <c r="R1006" s="228">
        <f>IFERROR(__xludf.DUMMYFUNCTION("""COMPUTED_VALUE"""),46080.0)</f>
        <v>46080</v>
      </c>
      <c r="S1006" s="11"/>
      <c r="T1006" s="11"/>
      <c r="U1006" s="11" t="str">
        <f>IFERROR(__xludf.DUMMYFUNCTION("""COMPUTED_VALUE"""),"W08-1832/2025")</f>
        <v>W08-1832/2025</v>
      </c>
      <c r="V1006" s="229" t="str">
        <f>IFERROR(__xludf.DUMMYFUNCTION("""COMPUTED_VALUE"""),"ONDI EKA SAPUTRA")</f>
        <v>ONDI EKA SAPUTRA</v>
      </c>
      <c r="W1006" s="229" t="str">
        <f>IFERROR(__xludf.DUMMYFUNCTION("""COMPUTED_VALUE"""),"DESLITA RAHMADANI")</f>
        <v>DESLITA RAHMADANI</v>
      </c>
      <c r="X1006" s="229" t="str">
        <f>IFERROR(__xludf.DUMMYFUNCTION("""COMPUTED_VALUE"""),"GOLIVE")</f>
        <v>GOLIVE</v>
      </c>
      <c r="Y1006" s="229" t="str">
        <f>IFERROR(__xludf.DUMMYFUNCTION("""COMPUTED_VALUE"""),"DONE")</f>
        <v>DONE</v>
      </c>
      <c r="Z1006" s="229" t="str">
        <f>IFERROR(__xludf.DUMMYFUNCTION("""COMPUTED_VALUE"""),"#N/A")</f>
        <v>#N/A</v>
      </c>
      <c r="AA1006" s="229">
        <f>IFERROR(__xludf.DUMMYFUNCTION("""COMPUTED_VALUE"""),19.0)</f>
        <v>19</v>
      </c>
      <c r="AB1006" s="229"/>
      <c r="AC1006" s="229" t="str">
        <f>IFERROR(__xludf.DUMMYFUNCTION("""COMPUTED_VALUE"""),"8513725#8513730")</f>
        <v>8513725#8513730</v>
      </c>
      <c r="AD1006" s="232">
        <f>IFERROR(__xludf.DUMMYFUNCTION("""COMPUTED_VALUE"""),152.0)</f>
        <v>152</v>
      </c>
      <c r="AE1006" s="233">
        <f>IFERROR(__xludf.DUMMYFUNCTION("""COMPUTED_VALUE"""),46058.0)</f>
        <v>46058</v>
      </c>
      <c r="AF1006" s="54"/>
      <c r="AG1006" s="54"/>
      <c r="AH1006" s="54">
        <v>46080.0</v>
      </c>
      <c r="AI1006" s="55">
        <f>IF(OR(AH1006="",AE1006=""),"",AH1006-AE1006)</f>
        <v>22</v>
      </c>
      <c r="AW1006" s="234"/>
      <c r="BP1006" s="11"/>
      <c r="BQ1006" s="11"/>
      <c r="BR1006" s="235"/>
      <c r="BV1006" s="158"/>
      <c r="BY1006" s="158"/>
      <c r="CB1006" s="158"/>
    </row>
    <row r="1007" ht="18.0" hidden="1" customHeight="1">
      <c r="A1007" s="222">
        <f>IFERROR(__xludf.DUMMYFUNCTION("""COMPUTED_VALUE"""),2026.0)</f>
        <v>2026</v>
      </c>
      <c r="B1007" s="221">
        <f>IFERROR(__xludf.DUMMYFUNCTION("""COMPUTED_VALUE"""),1.2133031E7)</f>
        <v>12133031</v>
      </c>
      <c r="C1007" s="222" t="str">
        <f>IFERROR(__xludf.DUMMYFUNCTION("""COMPUTED_VALUE"""),"LPG PT3 JPP JL Kramat Jaya KDT")</f>
        <v>LPG PT3 JPP JL Kramat Jaya KDT</v>
      </c>
      <c r="D1007" s="222" t="str">
        <f>IFERROR(__xludf.DUMMYFUNCTION("""COMPUTED_VALUE"""),"REGIONAL I")</f>
        <v>REGIONAL I</v>
      </c>
      <c r="E1007" s="222" t="str">
        <f>IFERROR(__xludf.DUMMYFUNCTION("""COMPUTED_VALUE"""),"LAMPUNG")</f>
        <v>LAMPUNG</v>
      </c>
      <c r="F1007" s="222" t="str">
        <f>IFERROR(__xludf.DUMMYFUNCTION("""COMPUTED_VALUE"""),"KDT")</f>
        <v>KDT</v>
      </c>
      <c r="G1007" s="222" t="str">
        <f>IFERROR(__xludf.DUMMYFUNCTION("""COMPUTED_VALUE"""),"SUMBAGSEL")</f>
        <v>SUMBAGSEL</v>
      </c>
      <c r="H1007" s="222" t="str">
        <f>IFERROR(__xludf.DUMMYFUNCTION("""COMPUTED_VALUE"""),"LAMPUNG")</f>
        <v>LAMPUNG</v>
      </c>
      <c r="I1007" s="222" t="str">
        <f>IFERROR(__xludf.DUMMYFUNCTION("""COMPUTED_VALUE"""),"Batch 2")</f>
        <v>Batch 2</v>
      </c>
      <c r="J1007" s="225">
        <f>IFERROR(__xludf.DUMMYFUNCTION("""COMPUTED_VALUE"""),1.0)</f>
        <v>1</v>
      </c>
      <c r="K1007" s="224">
        <f>IFERROR(__xludf.DUMMYFUNCTION("""COMPUTED_VALUE"""),8.0)</f>
        <v>8</v>
      </c>
      <c r="L1007" s="226">
        <f>IFERROR(__xludf.DUMMYFUNCTION("""COMPUTED_VALUE"""),961349.0)</f>
        <v>961349</v>
      </c>
      <c r="M1007" s="227">
        <f>IFERROR(__xludf.DUMMYFUNCTION("""COMPUTED_VALUE"""),7690791.0)</f>
        <v>7690791</v>
      </c>
      <c r="N1007" s="222" t="str">
        <f>IFERROR(__xludf.DUMMYFUNCTION("""COMPUTED_VALUE"""),"PT BANGTELINDO")</f>
        <v>PT BANGTELINDO</v>
      </c>
      <c r="O1007" s="222" t="str">
        <f>IFERROR(__xludf.DUMMYFUNCTION("""COMPUTED_VALUE"""),"7. GOLIVE")</f>
        <v>7. GOLIVE</v>
      </c>
      <c r="P1007" s="222" t="str">
        <f>IFERROR(__xludf.DUMMYFUNCTION("""COMPUTED_VALUE"""),"7.2 Golive Full / OA / DONE OTB")</f>
        <v>7.2 Golive Full / OA / DONE OTB</v>
      </c>
      <c r="Q1007" s="222" t="str">
        <f>IFERROR(__xludf.DUMMYFUNCTION("""COMPUTED_VALUE"""),"24/2 prose valid 4 dan abd mencore 
23/2 PROSES VALIN 4 
20/2 proses matdel , plan fi 28/2
19/2 Proses PR-PO 11/2 perubahan BA Manual pengambilan material   (6.2) plan matdel ,estimasi ambil material 10/2 ,plan fi 15/2 
4/2 stok material kosong ,estimasi "&amp;"tiba 07/2 
3/2 menunggu konfirmasi balik dari lurah terkiat perizinan 
28/1progres cek mencore odc dan olt
21/progres cek eletrical odc dan olt
19/1 proses pengacekan core dan perizinan")</f>
        <v>24/2 prose valid 4 dan abd mencore 
23/2 PROSES VALIN 4 
20/2 proses matdel , plan fi 28/2
19/2 Proses PR-PO 11/2 perubahan BA Manual pengambilan material   (6.2) plan matdel ,estimasi ambil material 10/2 ,plan fi 15/2 
4/2 stok material kosong ,estimasi tiba 07/2 
3/2 menunggu konfirmasi balik dari lurah terkiat perizinan 
28/1progres cek mencore odc dan olt
21/progres cek eletrical odc dan olt
19/1 proses pengacekan core dan perizinan</v>
      </c>
      <c r="R1007" s="228"/>
      <c r="S1007" s="11"/>
      <c r="T1007" s="11"/>
      <c r="U1007" s="11" t="str">
        <f>IFERROR(__xludf.DUMMYFUNCTION("""COMPUTED_VALUE"""),"TIF-3393/2026")</f>
        <v>TIF-3393/2026</v>
      </c>
      <c r="V1007" s="229"/>
      <c r="W1007" s="229"/>
      <c r="X1007" s="229" t="str">
        <f>IFERROR(__xludf.DUMMYFUNCTION("""COMPUTED_VALUE"""),"GOLIVE")</f>
        <v>GOLIVE</v>
      </c>
      <c r="Y1007" s="229" t="str">
        <f>IFERROR(__xludf.DUMMYFUNCTION("""COMPUTED_VALUE"""),"DONE")</f>
        <v>DONE</v>
      </c>
      <c r="Z1007" s="229" t="str">
        <f>IFERROR(__xludf.DUMMYFUNCTION("""COMPUTED_VALUE"""),"#N/A")</f>
        <v>#N/A</v>
      </c>
      <c r="AA1007" s="229">
        <f>IFERROR(__xludf.DUMMYFUNCTION("""COMPUTED_VALUE"""),1.0)</f>
        <v>1</v>
      </c>
      <c r="AB1007" s="229"/>
      <c r="AC1007" s="229" t="str">
        <f>IFERROR(__xludf.DUMMYFUNCTION("""COMPUTED_VALUE"""),"9080125#9080137")</f>
        <v>9080125#9080137</v>
      </c>
      <c r="AD1007" s="232">
        <f>IFERROR(__xludf.DUMMYFUNCTION("""COMPUTED_VALUE"""),8.0)</f>
        <v>8</v>
      </c>
      <c r="AE1007" s="233">
        <f>IFERROR(__xludf.DUMMYFUNCTION("""COMPUTED_VALUE"""),46078.0)</f>
        <v>46078</v>
      </c>
      <c r="AF1007" s="54"/>
      <c r="AG1007" s="54"/>
      <c r="AH1007" s="54"/>
      <c r="AI1007" s="55" t="str">
        <f t="shared" ref="AI1007:AI1019" si="111">IF(OR(R1007="",AE1007=""),"",R1007-AE1007)</f>
        <v/>
      </c>
      <c r="AW1007" s="234"/>
      <c r="BP1007" s="11"/>
      <c r="BQ1007" s="11"/>
      <c r="BR1007" s="235"/>
      <c r="BV1007" s="158"/>
      <c r="BY1007" s="158"/>
      <c r="CB1007" s="158"/>
    </row>
    <row r="1008" ht="18.0" hidden="1" customHeight="1">
      <c r="A1008" s="222">
        <f>IFERROR(__xludf.DUMMYFUNCTION("""COMPUTED_VALUE"""),2026.0)</f>
        <v>2026</v>
      </c>
      <c r="B1008" s="221">
        <f>IFERROR(__xludf.DUMMYFUNCTION("""COMPUTED_VALUE"""),1.1483255E7)</f>
        <v>11483255</v>
      </c>
      <c r="C1008" s="222" t="str">
        <f>IFERROR(__xludf.DUMMYFUNCTION("""COMPUTED_VALUE"""),"BNK-PT3-BNC-JPPTSEL- ANGGUT ATAS 2")</f>
        <v>BNK-PT3-BNC-JPPTSEL- ANGGUT ATAS 2</v>
      </c>
      <c r="D1008" s="222" t="str">
        <f>IFERROR(__xludf.DUMMYFUNCTION("""COMPUTED_VALUE"""),"REGIONAL I")</f>
        <v>REGIONAL I</v>
      </c>
      <c r="E1008" s="222" t="str">
        <f>IFERROR(__xludf.DUMMYFUNCTION("""COMPUTED_VALUE"""),"BENGKULU")</f>
        <v>BENGKULU</v>
      </c>
      <c r="F1008" s="222" t="str">
        <f>IFERROR(__xludf.DUMMYFUNCTION("""COMPUTED_VALUE"""),"BNC")</f>
        <v>BNC</v>
      </c>
      <c r="G1008" s="222" t="str">
        <f>IFERROR(__xludf.DUMMYFUNCTION("""COMPUTED_VALUE"""),"SUMBAGSEL")</f>
        <v>SUMBAGSEL</v>
      </c>
      <c r="H1008" s="222" t="str">
        <f>IFERROR(__xludf.DUMMYFUNCTION("""COMPUTED_VALUE"""),"BENGKULU")</f>
        <v>BENGKULU</v>
      </c>
      <c r="I1008" s="222" t="str">
        <f>IFERROR(__xludf.DUMMYFUNCTION("""COMPUTED_VALUE"""),"Batch 2")</f>
        <v>Batch 2</v>
      </c>
      <c r="J1008" s="225">
        <f>IFERROR(__xludf.DUMMYFUNCTION("""COMPUTED_VALUE"""),15.0)</f>
        <v>15</v>
      </c>
      <c r="K1008" s="224">
        <f>IFERROR(__xludf.DUMMYFUNCTION("""COMPUTED_VALUE"""),120.0)</f>
        <v>120</v>
      </c>
      <c r="L1008" s="226">
        <f>IFERROR(__xludf.DUMMYFUNCTION("""COMPUTED_VALUE"""),1248553.0)</f>
        <v>1248553</v>
      </c>
      <c r="M1008" s="227">
        <f>IFERROR(__xludf.DUMMYFUNCTION("""COMPUTED_VALUE"""),1.49826343E8)</f>
        <v>149826343</v>
      </c>
      <c r="N1008" s="222" t="str">
        <f>IFERROR(__xludf.DUMMYFUNCTION("""COMPUTED_VALUE"""),"SWAKELOLA")</f>
        <v>SWAKELOLA</v>
      </c>
      <c r="O1008" s="222" t="str">
        <f>IFERROR(__xludf.DUMMYFUNCTION("""COMPUTED_VALUE"""),"0. DROP")</f>
        <v>0. DROP</v>
      </c>
      <c r="P1008" s="222" t="str">
        <f>IFERROR(__xludf.DUMMYFUNCTION("""COMPUTED_VALUE"""),"0.2 Tidak Dapat Izin Warga/Kades/Lurah/Developer")</f>
        <v>0.2 Tidak Dapat Izin Warga/Kades/Lurah/Developer</v>
      </c>
      <c r="Q1008" s="222" t="str">
        <f>IFERROR(__xludf.DUMMYFUNCTION("""COMPUTED_VALUE"""),"22/2 tidak mendapat IZIN 22/01 : Drop by tsel // 12/01 : Survey Lapangan // (07/01) Persiapan")</f>
        <v>22/2 tidak mendapat IZIN 22/01 : Drop by tsel // 12/01 : Survey Lapangan // (07/01) Persiapan</v>
      </c>
      <c r="R1008" s="228"/>
      <c r="S1008" s="11"/>
      <c r="T1008" s="11"/>
      <c r="U1008" s="11"/>
      <c r="V1008" s="229"/>
      <c r="W1008" s="229"/>
      <c r="X1008" s="229" t="str">
        <f>IFERROR(__xludf.DUMMYFUNCTION("""COMPUTED_VALUE"""),"BELUM GOLIVE")</f>
        <v>BELUM GOLIVE</v>
      </c>
      <c r="Y1008" s="229"/>
      <c r="Z1008" s="229" t="str">
        <f>IFERROR(__xludf.DUMMYFUNCTION("""COMPUTED_VALUE"""),"#N/A")</f>
        <v>#N/A</v>
      </c>
      <c r="AA1008" s="229"/>
      <c r="AB1008" s="229"/>
      <c r="AC1008" s="229"/>
      <c r="AD1008" s="232"/>
      <c r="AE1008" s="233"/>
      <c r="AF1008" s="54" t="str">
        <f>IFERROR(__xludf.DUMMYFUNCTION("""COMPUTED_VALUE"""),"Draft BA DROP")</f>
        <v>Draft BA DROP</v>
      </c>
      <c r="AG1008" s="54"/>
      <c r="AH1008" s="54"/>
      <c r="AI1008" s="55" t="str">
        <f t="shared" si="111"/>
        <v/>
      </c>
      <c r="AW1008" s="234"/>
      <c r="BP1008" s="11"/>
      <c r="BQ1008" s="11"/>
      <c r="BR1008" s="235"/>
      <c r="BV1008" s="158"/>
      <c r="BY1008" s="158"/>
      <c r="CB1008" s="158"/>
    </row>
    <row r="1009" ht="18.0" hidden="1" customHeight="1">
      <c r="A1009" s="222">
        <f>IFERROR(__xludf.DUMMYFUNCTION("""COMPUTED_VALUE"""),2026.0)</f>
        <v>2026</v>
      </c>
      <c r="B1009" s="221">
        <f>IFERROR(__xludf.DUMMYFUNCTION("""COMPUTED_VALUE"""),1.1442357E7)</f>
        <v>11442357</v>
      </c>
      <c r="C1009" s="222" t="str">
        <f>IFERROR(__xludf.DUMMYFUNCTION("""COMPUTED_VALUE"""),"BNK-PT3-PDW-JPPTSEL- SIDOSARI")</f>
        <v>BNK-PT3-PDW-JPPTSEL- SIDOSARI</v>
      </c>
      <c r="D1009" s="222" t="str">
        <f>IFERROR(__xludf.DUMMYFUNCTION("""COMPUTED_VALUE"""),"REGIONAL I")</f>
        <v>REGIONAL I</v>
      </c>
      <c r="E1009" s="222" t="str">
        <f>IFERROR(__xludf.DUMMYFUNCTION("""COMPUTED_VALUE"""),"BENGKULU")</f>
        <v>BENGKULU</v>
      </c>
      <c r="F1009" s="222" t="str">
        <f>IFERROR(__xludf.DUMMYFUNCTION("""COMPUTED_VALUE"""),"PDW")</f>
        <v>PDW</v>
      </c>
      <c r="G1009" s="222" t="str">
        <f>IFERROR(__xludf.DUMMYFUNCTION("""COMPUTED_VALUE"""),"SUMBAGSEL")</f>
        <v>SUMBAGSEL</v>
      </c>
      <c r="H1009" s="222" t="str">
        <f>IFERROR(__xludf.DUMMYFUNCTION("""COMPUTED_VALUE"""),"BENGKULU")</f>
        <v>BENGKULU</v>
      </c>
      <c r="I1009" s="222" t="str">
        <f>IFERROR(__xludf.DUMMYFUNCTION("""COMPUTED_VALUE"""),"Batch 2")</f>
        <v>Batch 2</v>
      </c>
      <c r="J1009" s="225">
        <f>IFERROR(__xludf.DUMMYFUNCTION("""COMPUTED_VALUE"""),20.0)</f>
        <v>20</v>
      </c>
      <c r="K1009" s="224">
        <f>IFERROR(__xludf.DUMMYFUNCTION("""COMPUTED_VALUE"""),160.0)</f>
        <v>160</v>
      </c>
      <c r="L1009" s="226">
        <f>IFERROR(__xludf.DUMMYFUNCTION("""COMPUTED_VALUE"""),955610.0)</f>
        <v>955610</v>
      </c>
      <c r="M1009" s="227">
        <f>IFERROR(__xludf.DUMMYFUNCTION("""COMPUTED_VALUE"""),1.52897581E8)</f>
        <v>152897581</v>
      </c>
      <c r="N1009" s="222" t="str">
        <f>IFERROR(__xludf.DUMMYFUNCTION("""COMPUTED_VALUE"""),"PT HASSANAH MULIA JAYA")</f>
        <v>PT HASSANAH MULIA JAYA</v>
      </c>
      <c r="O1009" s="222" t="str">
        <f>IFERROR(__xludf.DUMMYFUNCTION("""COMPUTED_VALUE"""),"7. GOLIVE")</f>
        <v>7. GOLIVE</v>
      </c>
      <c r="P1009" s="222" t="str">
        <f>IFERROR(__xludf.DUMMYFUNCTION("""COMPUTED_VALUE"""),"7.2 Golive Full / OA / DONE OTB")</f>
        <v>7.2 Golive Full / OA / DONE OTB</v>
      </c>
      <c r="Q1009" s="222" t="str">
        <f>IFERROR(__xludf.DUMMYFUNCTION("""COMPUTED_VALUE"""),"(13/2) PROSES VALINS , PLAN SUBMIT ABD 14 FB  (12/2) Instalasi ODP 10/20 (09/02): pengecoran tiang // 08/02: penarikan kabel 12 core= 1010m // 07/02: penanaman tiang 17 batang // 07/02: proses tanam tiang // 06/02: penarikan kabel adss 12 : 1500M,  termin"&amp;"asi ODC // 05/02: penarikan kabel sepanjang  2.400m //04/02: Penanaman tiang // 03/02: Penarikan kabel dan pengecatan tiang // 02/02 : Pengambilan material ke gudang dan delivery ke lokasi // 30/01 : PO material, pengiriman material dr pabrik ke gudang //"&amp;" 26/01 : proses PR PO ( menunggu Material Kabel ADSS 24 ready di gudang) // 20/01 : Done Anwidzing // 15/01 : Msh nego sm 2 kades.masalah konpensasi // 13/01 : Survey Lapangan // (07/01) Persiapan")</f>
        <v>(13/2) PROSES VALINS , PLAN SUBMIT ABD 14 FB  (12/2) Instalasi ODP 10/20 (09/02): pengecoran tiang // 08/02: penarikan kabel 12 core= 1010m // 07/02: penanaman tiang 17 batang // 07/02: proses tanam tiang // 06/02: penarikan kabel adss 12 : 1500M,  terminasi ODC // 05/02: penarikan kabel sepanjang  2.400m //04/02: Penanaman tiang // 03/02: Penarikan kabel dan pengecatan tiang // 02/02 : Pengambilan material ke gudang dan delivery ke lokasi // 30/01 : PO material, pengiriman material dr pabrik ke gudang // 26/01 : proses PR PO ( menunggu Material Kabel ADSS 24 ready di gudang) // 20/01 : Done Anwidzing // 15/01 : Msh nego sm 2 kades.masalah konpensasi // 13/01 : Survey Lapangan // (07/01) Persiapan</v>
      </c>
      <c r="R1009" s="228">
        <f>IFERROR(__xludf.DUMMYFUNCTION("""COMPUTED_VALUE"""),46070.0)</f>
        <v>46070</v>
      </c>
      <c r="S1009" s="11"/>
      <c r="T1009" s="11"/>
      <c r="U1009" s="11" t="str">
        <f>IFERROR(__xludf.DUMMYFUNCTION("""COMPUTED_VALUE"""),"TIF-1277/2026")</f>
        <v>TIF-1277/2026</v>
      </c>
      <c r="V1009" s="229" t="str">
        <f>IFERROR(__xludf.DUMMYFUNCTION("""COMPUTED_VALUE"""),"Bobbi Jalu")</f>
        <v>Bobbi Jalu</v>
      </c>
      <c r="W1009" s="229"/>
      <c r="X1009" s="229" t="str">
        <f>IFERROR(__xludf.DUMMYFUNCTION("""COMPUTED_VALUE"""),"GOLIVE")</f>
        <v>GOLIVE</v>
      </c>
      <c r="Y1009" s="229" t="str">
        <f>IFERROR(__xludf.DUMMYFUNCTION("""COMPUTED_VALUE"""),"DONE")</f>
        <v>DONE</v>
      </c>
      <c r="Z1009" s="229" t="str">
        <f>IFERROR(__xludf.DUMMYFUNCTION("""COMPUTED_VALUE"""),"#N/A")</f>
        <v>#N/A</v>
      </c>
      <c r="AA1009" s="229">
        <f>IFERROR(__xludf.DUMMYFUNCTION("""COMPUTED_VALUE"""),20.0)</f>
        <v>20</v>
      </c>
      <c r="AB1009" s="229"/>
      <c r="AC1009" s="229" t="str">
        <f>IFERROR(__xludf.DUMMYFUNCTION("""COMPUTED_VALUE"""),"9117251#9117256")</f>
        <v>9117251#9117256</v>
      </c>
      <c r="AD1009" s="232">
        <f>IFERROR(__xludf.DUMMYFUNCTION("""COMPUTED_VALUE"""),160.0)</f>
        <v>160</v>
      </c>
      <c r="AE1009" s="233">
        <f>IFERROR(__xludf.DUMMYFUNCTION("""COMPUTED_VALUE"""),46070.0)</f>
        <v>46070</v>
      </c>
      <c r="AF1009" s="54"/>
      <c r="AG1009" s="54"/>
      <c r="AH1009" s="54">
        <v>46070.0</v>
      </c>
      <c r="AI1009" s="55">
        <f t="shared" si="111"/>
        <v>0</v>
      </c>
      <c r="AW1009" s="234"/>
      <c r="BP1009" s="11"/>
      <c r="BQ1009" s="11"/>
      <c r="BR1009" s="235"/>
      <c r="BV1009" s="158"/>
      <c r="BY1009" s="158"/>
      <c r="CB1009" s="158"/>
    </row>
    <row r="1010" ht="18.0" hidden="1" customHeight="1">
      <c r="A1010" s="222">
        <f>IFERROR(__xludf.DUMMYFUNCTION("""COMPUTED_VALUE"""),2026.0)</f>
        <v>2026</v>
      </c>
      <c r="B1010" s="221">
        <f>IFERROR(__xludf.DUMMYFUNCTION("""COMPUTED_VALUE"""),1.1271821E7)</f>
        <v>11271821</v>
      </c>
      <c r="C1010" s="222" t="str">
        <f>IFERROR(__xludf.DUMMYFUNCTION("""COMPUTED_VALUE"""),"MDN PT3 LBP-FAE JL.PANTAI LABU GG.BESI")</f>
        <v>MDN PT3 LBP-FAE JL.PANTAI LABU GG.BESI</v>
      </c>
      <c r="D1010" s="222" t="str">
        <f>IFERROR(__xludf.DUMMYFUNCTION("""COMPUTED_VALUE"""),"REGIONAL I")</f>
        <v>REGIONAL I</v>
      </c>
      <c r="E1010" s="222" t="str">
        <f>IFERROR(__xludf.DUMMYFUNCTION("""COMPUTED_VALUE"""),"MEDAN")</f>
        <v>MEDAN</v>
      </c>
      <c r="F1010" s="222" t="str">
        <f>IFERROR(__xludf.DUMMYFUNCTION("""COMPUTED_VALUE"""),"LBP")</f>
        <v>LBP</v>
      </c>
      <c r="G1010" s="222" t="str">
        <f>IFERROR(__xludf.DUMMYFUNCTION("""COMPUTED_VALUE"""),"SUMBAGUT")</f>
        <v>SUMBAGUT</v>
      </c>
      <c r="H1010" s="222" t="str">
        <f>IFERROR(__xludf.DUMMYFUNCTION("""COMPUTED_VALUE"""),"MEDAN")</f>
        <v>MEDAN</v>
      </c>
      <c r="I1010" s="222" t="str">
        <f>IFERROR(__xludf.DUMMYFUNCTION("""COMPUTED_VALUE"""),"Batch 2")</f>
        <v>Batch 2</v>
      </c>
      <c r="J1010" s="225">
        <f>IFERROR(__xludf.DUMMYFUNCTION("""COMPUTED_VALUE"""),13.0)</f>
        <v>13</v>
      </c>
      <c r="K1010" s="224">
        <f>IFERROR(__xludf.DUMMYFUNCTION("""COMPUTED_VALUE"""),104.0)</f>
        <v>104</v>
      </c>
      <c r="L1010" s="226">
        <f>IFERROR(__xludf.DUMMYFUNCTION("""COMPUTED_VALUE"""),1248588.0)</f>
        <v>1248588</v>
      </c>
      <c r="M1010" s="227">
        <f>IFERROR(__xludf.DUMMYFUNCTION("""COMPUTED_VALUE"""),1.29853095E8)</f>
        <v>129853095</v>
      </c>
      <c r="N1010" s="222" t="str">
        <f>IFERROR(__xludf.DUMMYFUNCTION("""COMPUTED_VALUE"""),"PT BONGKAR SEJATI ANDALAN")</f>
        <v>PT BONGKAR SEJATI ANDALAN</v>
      </c>
      <c r="O1010" s="222" t="str">
        <f>IFERROR(__xludf.DUMMYFUNCTION("""COMPUTED_VALUE"""),"4. MATDEL")</f>
        <v>4. MATDEL</v>
      </c>
      <c r="P1010" s="222" t="str">
        <f>IFERROR(__xludf.DUMMYFUNCTION("""COMPUTED_VALUE"""),"4.3 Proses Kirim Mateial Kelokasi")</f>
        <v>4.3 Proses Kirim Mateial Kelokasi</v>
      </c>
      <c r="Q1010" s="222" t="str">
        <f>IFERROR(__xludf.DUMMYFUNCTION("""COMPUTED_VALUE"""),"(20/04) ada commcase tarmbahan 2,5jt, total 9jt (confirm app)
09/04 req material 10/03 proses matrial
04/02 redisgn sdi
(07/01) Persiapan")</f>
        <v>(20/04) ada commcase tarmbahan 2,5jt, total 9jt (confirm app)
09/04 req material 10/03 proses matrial
04/02 redisgn sdi
(07/01) Persiapan</v>
      </c>
      <c r="R1010" s="228">
        <f>IFERROR(__xludf.DUMMYFUNCTION("""COMPUTED_VALUE"""),46150.0)</f>
        <v>46150</v>
      </c>
      <c r="S1010" s="11"/>
      <c r="T1010" s="73"/>
      <c r="U1010" s="11"/>
      <c r="V1010" s="229" t="str">
        <f>IFERROR(__xludf.DUMMYFUNCTION("""COMPUTED_VALUE"""),"25/Apr/2026")</f>
        <v>25/Apr/2026</v>
      </c>
      <c r="W1010" s="229"/>
      <c r="X1010" s="229" t="str">
        <f>IFERROR(__xludf.DUMMYFUNCTION("""COMPUTED_VALUE"""),"BELUM GOLIVE")</f>
        <v>BELUM GOLIVE</v>
      </c>
      <c r="Y1010" s="229"/>
      <c r="Z1010" s="229" t="str">
        <f>IFERROR(__xludf.DUMMYFUNCTION("""COMPUTED_VALUE"""),"#N/A")</f>
        <v>#N/A</v>
      </c>
      <c r="AA1010" s="229"/>
      <c r="AB1010" s="229"/>
      <c r="AC1010" s="229"/>
      <c r="AD1010" s="232"/>
      <c r="AE1010" s="233"/>
      <c r="AF1010" s="54" t="str">
        <f>IFERROR(__xludf.DUMMYFUNCTION("""COMPUTED_VALUE"""),"Draft BA DROP")</f>
        <v>Draft BA DROP</v>
      </c>
      <c r="AG1010" s="54"/>
      <c r="AH1010" s="54">
        <v>46137.0</v>
      </c>
      <c r="AI1010" s="55" t="str">
        <f t="shared" si="111"/>
        <v/>
      </c>
      <c r="AW1010" s="234"/>
      <c r="BP1010" s="11"/>
      <c r="BQ1010" s="11"/>
      <c r="BR1010" s="235"/>
      <c r="BV1010" s="158"/>
      <c r="BY1010" s="158"/>
      <c r="CB1010" s="158"/>
    </row>
    <row r="1011" ht="18.0" hidden="1" customHeight="1">
      <c r="A1011" s="222">
        <f>IFERROR(__xludf.DUMMYFUNCTION("""COMPUTED_VALUE"""),2026.0)</f>
        <v>2026</v>
      </c>
      <c r="B1011" s="221">
        <f>IFERROR(__xludf.DUMMYFUNCTION("""COMPUTED_VALUE"""),1.1562657E7)</f>
        <v>11562657</v>
      </c>
      <c r="C1011" s="222" t="str">
        <f>IFERROR(__xludf.DUMMYFUNCTION("""COMPUTED_VALUE"""),"SMS P3I1 PT3 SKY FAB D01 SDN SRIMULYO")</f>
        <v>SMS P3I1 PT3 SKY FAB D01 SDN SRIMULYO</v>
      </c>
      <c r="D1011" s="222" t="str">
        <f>IFERROR(__xludf.DUMMYFUNCTION("""COMPUTED_VALUE"""),"REGIONAL I")</f>
        <v>REGIONAL I</v>
      </c>
      <c r="E1011" s="222" t="str">
        <f>IFERROR(__xludf.DUMMYFUNCTION("""COMPUTED_VALUE"""),"SUMSEL")</f>
        <v>SUMSEL</v>
      </c>
      <c r="F1011" s="222" t="str">
        <f>IFERROR(__xludf.DUMMYFUNCTION("""COMPUTED_VALUE"""),"SKY")</f>
        <v>SKY</v>
      </c>
      <c r="G1011" s="222" t="str">
        <f>IFERROR(__xludf.DUMMYFUNCTION("""COMPUTED_VALUE"""),"SUMBAGSEL")</f>
        <v>SUMBAGSEL</v>
      </c>
      <c r="H1011" s="222" t="str">
        <f>IFERROR(__xludf.DUMMYFUNCTION("""COMPUTED_VALUE"""),"PALEMBANG")</f>
        <v>PALEMBANG</v>
      </c>
      <c r="I1011" s="222" t="str">
        <f>IFERROR(__xludf.DUMMYFUNCTION("""COMPUTED_VALUE"""),"Batch 2")</f>
        <v>Batch 2</v>
      </c>
      <c r="J1011" s="225">
        <f>IFERROR(__xludf.DUMMYFUNCTION("""COMPUTED_VALUE"""),4.0)</f>
        <v>4</v>
      </c>
      <c r="K1011" s="224">
        <f>IFERROR(__xludf.DUMMYFUNCTION("""COMPUTED_VALUE"""),32.0)</f>
        <v>32</v>
      </c>
      <c r="L1011" s="226">
        <f>IFERROR(__xludf.DUMMYFUNCTION("""COMPUTED_VALUE"""),959954.0)</f>
        <v>959954</v>
      </c>
      <c r="M1011" s="227">
        <f>IFERROR(__xludf.DUMMYFUNCTION("""COMPUTED_VALUE"""),3.0718512E7)</f>
        <v>30718512</v>
      </c>
      <c r="N1011" s="222" t="str">
        <f>IFERROR(__xludf.DUMMYFUNCTION("""COMPUTED_VALUE"""),"PT MAJU JAYA TEKNOLOGI")</f>
        <v>PT MAJU JAYA TEKNOLOGI</v>
      </c>
      <c r="O1011" s="222" t="str">
        <f>IFERROR(__xludf.DUMMYFUNCTION("""COMPUTED_VALUE"""),"0. DROP")</f>
        <v>0. DROP</v>
      </c>
      <c r="P1011" s="222" t="str">
        <f>IFERROR(__xludf.DUMMYFUNCTION("""COMPUTED_VALUE"""),"0.2 Tidak Dapat Izin Warga/Kades/Lurah/Developer")</f>
        <v>0.2 Tidak Dapat Izin Warga/Kades/Lurah/Developer</v>
      </c>
      <c r="Q1011" s="222" t="str">
        <f>IFERROR(__xludf.DUMMYFUNCTION("""COMPUTED_VALUE"""),"09/03 CPP NAIK, 27/02 CPP NAIK, 06/02 konfirm sales untuk redesain, 04/02 DONE EVAL, DROP KARENA STUB CORE FEEDER ODC HABIS, KARENA FEEDER EXT DI D ODC CUMA ADA 12 CORE , 15/01 menunggu jadwal aanwijzing dg mitra 04/02 DONE EVAL, DROP KARENA STUB CORE FEE"&amp;"DER ODC HABIS, KARENA FEEDER EXT DI D ODC CUMA ADA 12 CORE, 31/01 PROSES AANWIDJZING, 30/01 MENUNGGU JADWAL AANWIDJZING DG MITRA, (24/1) plan aawijdizng 27/1 (21/01) menunggu antrian untuk aanwizjing lapangan, (20/1) MJT setuju (15/1) ORDER DITERIMA 14/1 "&amp;",PLAN AANWIJDZING 21 JAN 26 (06/01)order JPP batch-2 2026 ((26/11) ORDER HOLD , FLAGGING ""TIDAK LANJUT DARI PED"" (25/11 MJT setuju, 24/11 penunjukkan mitra MJT, (14/11) MItra MJS blm ambil pekerjaan baru terkait close pekerjaan lama , LOP juga tidak mas"&amp;"uk list optimis close 2025 (11/11) Penunjukkan MITRA oleh Procurement 23/10 penunjukan mitra
 14/01 Surat lanjut kerja oleh procurement")</f>
        <v>09/03 CPP NAIK, 27/02 CPP NAIK, 06/02 konfirm sales untuk redesain, 04/02 DONE EVAL, DROP KARENA STUB CORE FEEDER ODC HABIS, KARENA FEEDER EXT DI D ODC CUMA ADA 12 CORE , 15/01 menunggu jadwal aanwijzing dg mitra 04/02 DONE EVAL, DROP KARENA STUB CORE FEEDER ODC HABIS, KARENA FEEDER EXT DI D ODC CUMA ADA 12 CORE, 31/01 PROSES AANWIDJZING, 30/01 MENUNGGU JADWAL AANWIDJZING DG MITRA, (24/1) plan aawijdizng 27/1 (21/01) menunggu antrian untuk aanwizjing lapangan, (20/1) MJT setuju (15/1) ORDER DITERIMA 14/1 ,PLAN AANWIJDZING 21 JAN 26 (06/01)order JPP batch-2 2026 ((26/11) ORDER HOLD , FLAGGING "TIDAK LANJUT DARI PED" (25/11 MJT setuju, 24/11 penunjukkan mitra MJT, (14/11) MItra MJS blm ambil pekerjaan baru terkait close pekerjaan lama , LOP juga tidak masuk list optimis close 2025 (11/11) Penunjukkan MITRA oleh Procurement 23/10 penunjukan mitra
 14/01 Surat lanjut kerja oleh procurement</v>
      </c>
      <c r="R1011" s="228"/>
      <c r="S1011" s="11"/>
      <c r="T1011" s="11"/>
      <c r="U1011" s="11"/>
      <c r="V1011" s="229" t="str">
        <f>IFERROR(__xludf.DUMMYFUNCTION("""COMPUTED_VALUE"""),"TEGAR")</f>
        <v>TEGAR</v>
      </c>
      <c r="W1011" s="229"/>
      <c r="X1011" s="229" t="str">
        <f>IFERROR(__xludf.DUMMYFUNCTION("""COMPUTED_VALUE"""),"BELUM GOLIVE")</f>
        <v>BELUM GOLIVE</v>
      </c>
      <c r="Y1011" s="229"/>
      <c r="Z1011" s="229" t="str">
        <f>IFERROR(__xludf.DUMMYFUNCTION("""COMPUTED_VALUE"""),"#N/A")</f>
        <v>#N/A</v>
      </c>
      <c r="AA1011" s="229"/>
      <c r="AB1011" s="229"/>
      <c r="AC1011" s="229"/>
      <c r="AD1011" s="232"/>
      <c r="AE1011" s="233"/>
      <c r="AF1011" s="54" t="str">
        <f>IFERROR(__xludf.DUMMYFUNCTION("""COMPUTED_VALUE"""),"Draft BA DROP")</f>
        <v>Draft BA DROP</v>
      </c>
      <c r="AG1011" s="54"/>
      <c r="AH1011" s="54"/>
      <c r="AI1011" s="55" t="str">
        <f t="shared" si="111"/>
        <v/>
      </c>
      <c r="AW1011" s="234"/>
      <c r="BP1011" s="11"/>
      <c r="BQ1011" s="11"/>
      <c r="BR1011" s="235"/>
      <c r="BV1011" s="158"/>
      <c r="BY1011" s="158"/>
      <c r="CB1011" s="158"/>
    </row>
    <row r="1012" ht="18.0" hidden="1" customHeight="1">
      <c r="A1012" s="222">
        <f>IFERROR(__xludf.DUMMYFUNCTION("""COMPUTED_VALUE"""),2026.0)</f>
        <v>2026</v>
      </c>
      <c r="B1012" s="221">
        <f>IFERROR(__xludf.DUMMYFUNCTION("""COMPUTED_VALUE"""),1.2438904E7)</f>
        <v>12438904</v>
      </c>
      <c r="C1012" s="222" t="str">
        <f>IFERROR(__xludf.DUMMYFUNCTION("""COMPUTED_VALUE"""),"SMS P4I4 PT3 MEM FJ D04 MAYOR RUSLAN")</f>
        <v>SMS P4I4 PT3 MEM FJ D04 MAYOR RUSLAN</v>
      </c>
      <c r="D1012" s="222" t="str">
        <f>IFERROR(__xludf.DUMMYFUNCTION("""COMPUTED_VALUE"""),"REGIONAL I")</f>
        <v>REGIONAL I</v>
      </c>
      <c r="E1012" s="222" t="str">
        <f>IFERROR(__xludf.DUMMYFUNCTION("""COMPUTED_VALUE"""),"SUMSEL")</f>
        <v>SUMSEL</v>
      </c>
      <c r="F1012" s="222" t="str">
        <f>IFERROR(__xludf.DUMMYFUNCTION("""COMPUTED_VALUE"""),"MEM")</f>
        <v>MEM</v>
      </c>
      <c r="G1012" s="222" t="str">
        <f>IFERROR(__xludf.DUMMYFUNCTION("""COMPUTED_VALUE"""),"SUMBAGSEL")</f>
        <v>SUMBAGSEL</v>
      </c>
      <c r="H1012" s="222" t="str">
        <f>IFERROR(__xludf.DUMMYFUNCTION("""COMPUTED_VALUE"""),"PALEMBANG")</f>
        <v>PALEMBANG</v>
      </c>
      <c r="I1012" s="222" t="str">
        <f>IFERROR(__xludf.DUMMYFUNCTION("""COMPUTED_VALUE"""),"Batch 2")</f>
        <v>Batch 2</v>
      </c>
      <c r="J1012" s="225">
        <f>IFERROR(__xludf.DUMMYFUNCTION("""COMPUTED_VALUE"""),5.0)</f>
        <v>5</v>
      </c>
      <c r="K1012" s="224">
        <f>IFERROR(__xludf.DUMMYFUNCTION("""COMPUTED_VALUE"""),40.0)</f>
        <v>40</v>
      </c>
      <c r="L1012" s="226">
        <f>IFERROR(__xludf.DUMMYFUNCTION("""COMPUTED_VALUE"""),958799.0)</f>
        <v>958799</v>
      </c>
      <c r="M1012" s="227">
        <f>IFERROR(__xludf.DUMMYFUNCTION("""COMPUTED_VALUE"""),3.8351925E7)</f>
        <v>38351925</v>
      </c>
      <c r="N1012" s="222" t="str">
        <f>IFERROR(__xludf.DUMMYFUNCTION("""COMPUTED_VALUE"""),"PT TELKOM AKSES")</f>
        <v>PT TELKOM AKSES</v>
      </c>
      <c r="O1012" s="222" t="str">
        <f>IFERROR(__xludf.DUMMYFUNCTION("""COMPUTED_VALUE"""),"7. GOLIVE")</f>
        <v>7. GOLIVE</v>
      </c>
      <c r="P1012" s="222" t="str">
        <f>IFERROR(__xludf.DUMMYFUNCTION("""COMPUTED_VALUE"""),"7.2 Golive Full / OA / DONE OTB")</f>
        <v>7.2 Golive Full / OA / DONE OTB</v>
      </c>
      <c r="Q1012" s="222" t="str">
        <f>IFERROR(__xludf.DUMMYFUNCTION("""COMPUTED_VALUE"""),"11/03 GOLIVE, 09/03 MENUNGGU GOLIVE, 04/03 DONE SUBMIT ABD KE SDI, 02/03 PROGRESS HARI INI, 28/2 pllan Progres 2 MAR 27/02 MATERIAL ONSITE, 26/02 AMBIL MATERIAL, 24/02 DONE RFC, PROGRESS PENGAMBILAN MATERIAL - MENUNGGU LOP ANDRIAN SUSANTO BIAR SEKALIAN, 2"&amp;"3/02 DONE AMD, 22/2 menunggu material TIANG  17/02 PROSES INPUT MATERIAL, 11/2 izin oke,  PR- PO  09/02 MENUNGGU PID UTK INPUT MATERIAL, 06/02 HASIL REVIEW TSEL LANJUT PROGRESS LAPANGAN, 03/02 DONE EVAL, DARI HASIL AANWIZJING ADA KENAIKAN SKTR 2% DARI PLA"&amp;"N, CPP 972 RB 04/02 DONE EVAL, DARI HASIL AANWIZJING ADA KENAIKAN SKTR 2% DARI PLAN, CPP 972 RB 02/02 PROSES PERIZINAN, 30/01 DONE AANWIDJZING, (20/01) Swakelola Pak Yopie Acero (15/1) MITRA GTM OVERLOAD (15/1) ORDER DITERIMA MITRA 14/1,MENUNGGU PLAN AANW"&amp;"IJDZING (06/01)order JPP batch-2 2026 ((14/11)HOLD- tidak masuk target Optimis 2025 ((11/11) Penunjukkan MITRA oleh Procurement")</f>
        <v>11/03 GOLIVE, 09/03 MENUNGGU GOLIVE, 04/03 DONE SUBMIT ABD KE SDI, 02/03 PROGRESS HARI INI, 28/2 pllan Progres 2 MAR 27/02 MATERIAL ONSITE, 26/02 AMBIL MATERIAL, 24/02 DONE RFC, PROGRESS PENGAMBILAN MATERIAL - MENUNGGU LOP ANDRIAN SUSANTO BIAR SEKALIAN, 23/02 DONE AMD, 22/2 menunggu material TIANG  17/02 PROSES INPUT MATERIAL, 11/2 izin oke,  PR- PO  09/02 MENUNGGU PID UTK INPUT MATERIAL, 06/02 HASIL REVIEW TSEL LANJUT PROGRESS LAPANGAN, 03/02 DONE EVAL, DARI HASIL AANWIZJING ADA KENAIKAN SKTR 2% DARI PLAN, CPP 972 RB 04/02 DONE EVAL, DARI HASIL AANWIZJING ADA KENAIKAN SKTR 2% DARI PLAN, CPP 972 RB 02/02 PROSES PERIZINAN, 30/01 DONE AANWIDJZING, (20/01) Swakelola Pak Yopie Acero (15/1) MITRA GTM OVERLOAD (15/1) ORDER DITERIMA MITRA 14/1,MENUNGGU PLAN AANWIJDZING (06/01)order JPP batch-2 2026 ((14/11)HOLD- tidak masuk target Optimis 2025 ((11/11) Penunjukkan MITRA oleh Procurement</v>
      </c>
      <c r="R1012" s="228">
        <f>IFERROR(__xludf.DUMMYFUNCTION("""COMPUTED_VALUE"""),46085.0)</f>
        <v>46085</v>
      </c>
      <c r="S1012" s="11" t="str">
        <f>IFERROR(__xludf.DUMMYFUNCTION("""COMPUTED_VALUE"""),"MAR")</f>
        <v>MAR</v>
      </c>
      <c r="T1012" s="11"/>
      <c r="U1012" s="11"/>
      <c r="V1012" s="229" t="str">
        <f>IFERROR(__xludf.DUMMYFUNCTION("""COMPUTED_VALUE"""),"ILHAM")</f>
        <v>ILHAM</v>
      </c>
      <c r="W1012" s="229"/>
      <c r="X1012" s="229" t="str">
        <f>IFERROR(__xludf.DUMMYFUNCTION("""COMPUTED_VALUE"""),"GOLIVE")</f>
        <v>GOLIVE</v>
      </c>
      <c r="Y1012" s="229" t="str">
        <f>IFERROR(__xludf.DUMMYFUNCTION("""COMPUTED_VALUE"""),"DONE")</f>
        <v>DONE</v>
      </c>
      <c r="Z1012" s="229" t="str">
        <f>IFERROR(__xludf.DUMMYFUNCTION("""COMPUTED_VALUE"""),"#N/A")</f>
        <v>#N/A</v>
      </c>
      <c r="AA1012" s="229">
        <f>IFERROR(__xludf.DUMMYFUNCTION("""COMPUTED_VALUE"""),5.0)</f>
        <v>5</v>
      </c>
      <c r="AB1012" s="229"/>
      <c r="AC1012" s="229" t="str">
        <f>IFERROR(__xludf.DUMMYFUNCTION("""COMPUTED_VALUE"""),"8971007#8971012")</f>
        <v>8971007#8971012</v>
      </c>
      <c r="AD1012" s="232">
        <f>IFERROR(__xludf.DUMMYFUNCTION("""COMPUTED_VALUE"""),40.0)</f>
        <v>40</v>
      </c>
      <c r="AE1012" s="233">
        <f>IFERROR(__xludf.DUMMYFUNCTION("""COMPUTED_VALUE"""),46085.0)</f>
        <v>46085</v>
      </c>
      <c r="AF1012" s="54"/>
      <c r="AG1012" s="54"/>
      <c r="AH1012" s="54">
        <v>46085.0</v>
      </c>
      <c r="AI1012" s="55">
        <f t="shared" si="111"/>
        <v>0</v>
      </c>
      <c r="AW1012" s="234"/>
      <c r="BP1012" s="11"/>
      <c r="BQ1012" s="11"/>
      <c r="BR1012" s="235"/>
      <c r="BV1012" s="158"/>
      <c r="BY1012" s="158"/>
      <c r="CB1012" s="158"/>
    </row>
    <row r="1013" ht="18.0" hidden="1" customHeight="1">
      <c r="A1013" s="222">
        <f>IFERROR(__xludf.DUMMYFUNCTION("""COMPUTED_VALUE"""),2026.0)</f>
        <v>2026</v>
      </c>
      <c r="B1013" s="221">
        <f>IFERROR(__xludf.DUMMYFUNCTION("""COMPUTED_VALUE"""),1.1535731E7)</f>
        <v>11535731</v>
      </c>
      <c r="C1013" s="222" t="str">
        <f>IFERROR(__xludf.DUMMYFUNCTION("""COMPUTED_VALUE"""),"MDN PT3 DLT-FC JL.PERJUANGAN IV")</f>
        <v>MDN PT3 DLT-FC JL.PERJUANGAN IV</v>
      </c>
      <c r="D1013" s="222" t="str">
        <f>IFERROR(__xludf.DUMMYFUNCTION("""COMPUTED_VALUE"""),"REGIONAL I")</f>
        <v>REGIONAL I</v>
      </c>
      <c r="E1013" s="222" t="str">
        <f>IFERROR(__xludf.DUMMYFUNCTION("""COMPUTED_VALUE"""),"MEDAN")</f>
        <v>MEDAN</v>
      </c>
      <c r="F1013" s="222" t="str">
        <f>IFERROR(__xludf.DUMMYFUNCTION("""COMPUTED_VALUE"""),"DLT")</f>
        <v>DLT</v>
      </c>
      <c r="G1013" s="222" t="str">
        <f>IFERROR(__xludf.DUMMYFUNCTION("""COMPUTED_VALUE"""),"SUMBAGUT")</f>
        <v>SUMBAGUT</v>
      </c>
      <c r="H1013" s="222" t="str">
        <f>IFERROR(__xludf.DUMMYFUNCTION("""COMPUTED_VALUE"""),"MEDAN")</f>
        <v>MEDAN</v>
      </c>
      <c r="I1013" s="222" t="str">
        <f>IFERROR(__xludf.DUMMYFUNCTION("""COMPUTED_VALUE"""),"Batch 2")</f>
        <v>Batch 2</v>
      </c>
      <c r="J1013" s="225">
        <f>IFERROR(__xludf.DUMMYFUNCTION("""COMPUTED_VALUE"""),4.0)</f>
        <v>4</v>
      </c>
      <c r="K1013" s="224">
        <f>IFERROR(__xludf.DUMMYFUNCTION("""COMPUTED_VALUE"""),32.0)</f>
        <v>32</v>
      </c>
      <c r="L1013" s="226">
        <f>IFERROR(__xludf.DUMMYFUNCTION("""COMPUTED_VALUE"""),1177389.0)</f>
        <v>1177389</v>
      </c>
      <c r="M1013" s="227">
        <f>IFERROR(__xludf.DUMMYFUNCTION("""COMPUTED_VALUE"""),3.7676433E7)</f>
        <v>37676433</v>
      </c>
      <c r="N1013" s="222" t="str">
        <f>IFERROR(__xludf.DUMMYFUNCTION("""COMPUTED_VALUE"""),"PT SALTTEK DUMPANG JAYA")</f>
        <v>PT SALTTEK DUMPANG JAYA</v>
      </c>
      <c r="O1013" s="222" t="str">
        <f>IFERROR(__xludf.DUMMYFUNCTION("""COMPUTED_VALUE"""),"0. DROP")</f>
        <v>0. DROP</v>
      </c>
      <c r="P1013" s="222" t="str">
        <f>IFERROR(__xludf.DUMMYFUNCTION("""COMPUTED_VALUE"""),"0.4 CPP Tinggi Acc ED TIF")</f>
        <v>0.4 CPP Tinggi Acc ED TIF</v>
      </c>
      <c r="Q1013" s="222" t="str">
        <f>IFERROR(__xludf.DUMMYFUNCTION("""COMPUTED_VALUE"""),"05/02 Feeder Redti, Plan repair by mitra (07/01) Persiapan")</f>
        <v>05/02 Feeder Redti, Plan repair by mitra (07/01) Persiapan</v>
      </c>
      <c r="R1013" s="228"/>
      <c r="S1013" s="11"/>
      <c r="T1013" s="11"/>
      <c r="U1013" s="11"/>
      <c r="V1013" s="229"/>
      <c r="W1013" s="229"/>
      <c r="X1013" s="229" t="str">
        <f>IFERROR(__xludf.DUMMYFUNCTION("""COMPUTED_VALUE"""),"BELUM GOLIVE")</f>
        <v>BELUM GOLIVE</v>
      </c>
      <c r="Y1013" s="229"/>
      <c r="Z1013" s="229" t="str">
        <f>IFERROR(__xludf.DUMMYFUNCTION("""COMPUTED_VALUE"""),"#N/A")</f>
        <v>#N/A</v>
      </c>
      <c r="AA1013" s="229"/>
      <c r="AB1013" s="229"/>
      <c r="AC1013" s="229"/>
      <c r="AD1013" s="232"/>
      <c r="AE1013" s="233"/>
      <c r="AF1013" s="54" t="str">
        <f>IFERROR(__xludf.DUMMYFUNCTION("""COMPUTED_VALUE"""),"Draft BA DROP")</f>
        <v>Draft BA DROP</v>
      </c>
      <c r="AG1013" s="54"/>
      <c r="AH1013" s="54"/>
      <c r="AI1013" s="55" t="str">
        <f t="shared" si="111"/>
        <v/>
      </c>
      <c r="AW1013" s="234"/>
      <c r="BP1013" s="11"/>
      <c r="BQ1013" s="11"/>
      <c r="BR1013" s="235"/>
      <c r="BV1013" s="158"/>
      <c r="BY1013" s="158"/>
      <c r="CB1013" s="158"/>
    </row>
    <row r="1014" ht="18.0" hidden="1" customHeight="1">
      <c r="A1014" s="222">
        <f>IFERROR(__xludf.DUMMYFUNCTION("""COMPUTED_VALUE"""),2026.0)</f>
        <v>2026</v>
      </c>
      <c r="B1014" s="221">
        <f>IFERROR(__xludf.DUMMYFUNCTION("""COMPUTED_VALUE"""),1.2212555E7)</f>
        <v>12212555</v>
      </c>
      <c r="C1014" s="222" t="str">
        <f>IFERROR(__xludf.DUMMYFUNCTION("""COMPUTED_VALUE"""),"ACH PT3 KGH-FAA D04 BATUPHAT TIMUR")</f>
        <v>ACH PT3 KGH-FAA D04 BATUPHAT TIMUR</v>
      </c>
      <c r="D1014" s="222" t="str">
        <f>IFERROR(__xludf.DUMMYFUNCTION("""COMPUTED_VALUE"""),"REGIONAL I")</f>
        <v>REGIONAL I</v>
      </c>
      <c r="E1014" s="222" t="str">
        <f>IFERROR(__xludf.DUMMYFUNCTION("""COMPUTED_VALUE"""),"ACEH")</f>
        <v>ACEH</v>
      </c>
      <c r="F1014" s="222" t="str">
        <f>IFERROR(__xludf.DUMMYFUNCTION("""COMPUTED_VALUE"""),"KGH")</f>
        <v>KGH</v>
      </c>
      <c r="G1014" s="222" t="str">
        <f>IFERROR(__xludf.DUMMYFUNCTION("""COMPUTED_VALUE"""),"SUMBAGUT")</f>
        <v>SUMBAGUT</v>
      </c>
      <c r="H1014" s="222" t="str">
        <f>IFERROR(__xludf.DUMMYFUNCTION("""COMPUTED_VALUE"""),"BINJAI")</f>
        <v>BINJAI</v>
      </c>
      <c r="I1014" s="222" t="str">
        <f>IFERROR(__xludf.DUMMYFUNCTION("""COMPUTED_VALUE"""),"Batch 2")</f>
        <v>Batch 2</v>
      </c>
      <c r="J1014" s="225">
        <f>IFERROR(__xludf.DUMMYFUNCTION("""COMPUTED_VALUE"""),10.0)</f>
        <v>10</v>
      </c>
      <c r="K1014" s="224">
        <f>IFERROR(__xludf.DUMMYFUNCTION("""COMPUTED_VALUE"""),80.0)</f>
        <v>80</v>
      </c>
      <c r="L1014" s="226">
        <f>IFERROR(__xludf.DUMMYFUNCTION("""COMPUTED_VALUE"""),958250.0)</f>
        <v>958250</v>
      </c>
      <c r="M1014" s="227">
        <f>IFERROR(__xludf.DUMMYFUNCTION("""COMPUTED_VALUE"""),7.6659982E7)</f>
        <v>76659982</v>
      </c>
      <c r="N1014" s="222" t="str">
        <f>IFERROR(__xludf.DUMMYFUNCTION("""COMPUTED_VALUE"""),"PT MITRA AKSES INSANI")</f>
        <v>PT MITRA AKSES INSANI</v>
      </c>
      <c r="O1014" s="222" t="str">
        <f>IFERROR(__xludf.DUMMYFUNCTION("""COMPUTED_VALUE"""),"7. GOLIVE")</f>
        <v>7. GOLIVE</v>
      </c>
      <c r="P1014" s="222" t="str">
        <f>IFERROR(__xludf.DUMMYFUNCTION("""COMPUTED_VALUE"""),"7.2 Golive Full / OA / DONE OTB")</f>
        <v>7.2 Golive Full / OA / DONE OTB</v>
      </c>
      <c r="Q1014" s="222" t="str">
        <f>IFERROR(__xludf.DUMMYFUNCTION("""COMPUTED_VALUE"""),"(10/03) Tanam Tiang (03/03) Tanam Tiang (12/02) Done Aanwijzing, Mapping Material (07/01) Persiapan")</f>
        <v>(10/03) Tanam Tiang (03/03) Tanam Tiang (12/02) Done Aanwijzing, Mapping Material (07/01) Persiapan</v>
      </c>
      <c r="R1014" s="228">
        <f>IFERROR(__xludf.DUMMYFUNCTION("""COMPUTED_VALUE"""),46111.0)</f>
        <v>46111</v>
      </c>
      <c r="S1014" s="11" t="str">
        <f>IFERROR(__xludf.DUMMYFUNCTION("""COMPUTED_VALUE"""),"MAR")</f>
        <v>MAR</v>
      </c>
      <c r="T1014" s="11"/>
      <c r="U1014" s="11"/>
      <c r="V1014" s="229"/>
      <c r="W1014" s="229" t="str">
        <f>IFERROR(__xludf.DUMMYFUNCTION("""COMPUTED_VALUE"""),"#N/A")</f>
        <v>#N/A</v>
      </c>
      <c r="X1014" s="229" t="str">
        <f>IFERROR(__xludf.DUMMYFUNCTION("""COMPUTED_VALUE"""),"GOLIVE")</f>
        <v>GOLIVE</v>
      </c>
      <c r="Y1014" s="229" t="str">
        <f>IFERROR(__xludf.DUMMYFUNCTION("""COMPUTED_VALUE"""),"DONE")</f>
        <v>DONE</v>
      </c>
      <c r="Z1014" s="229" t="str">
        <f>IFERROR(__xludf.DUMMYFUNCTION("""COMPUTED_VALUE"""),"#N/A")</f>
        <v>#N/A</v>
      </c>
      <c r="AA1014" s="229">
        <f>IFERROR(__xludf.DUMMYFUNCTION("""COMPUTED_VALUE"""),10.0)</f>
        <v>10</v>
      </c>
      <c r="AB1014" s="229"/>
      <c r="AC1014" s="229" t="str">
        <f>IFERROR(__xludf.DUMMYFUNCTION("""COMPUTED_VALUE"""),"9231130#9231135")</f>
        <v>9231130#9231135</v>
      </c>
      <c r="AD1014" s="232">
        <f>IFERROR(__xludf.DUMMYFUNCTION("""COMPUTED_VALUE"""),80.0)</f>
        <v>80</v>
      </c>
      <c r="AE1014" s="233">
        <f>IFERROR(__xludf.DUMMYFUNCTION("""COMPUTED_VALUE"""),46112.0)</f>
        <v>46112</v>
      </c>
      <c r="AF1014" s="54"/>
      <c r="AG1014" s="54"/>
      <c r="AH1014" s="54">
        <v>46111.0</v>
      </c>
      <c r="AI1014" s="55">
        <f t="shared" si="111"/>
        <v>-1</v>
      </c>
      <c r="AW1014" s="234"/>
      <c r="BP1014" s="11"/>
      <c r="BQ1014" s="11"/>
      <c r="BR1014" s="235"/>
      <c r="BV1014" s="158"/>
      <c r="BY1014" s="158"/>
      <c r="CB1014" s="158"/>
    </row>
    <row r="1015" ht="18.0" customHeight="1">
      <c r="A1015" s="222">
        <f>IFERROR(__xludf.DUMMYFUNCTION("""COMPUTED_VALUE"""),2026.0)</f>
        <v>2026</v>
      </c>
      <c r="B1015" s="221">
        <f>IFERROR(__xludf.DUMMYFUNCTION("""COMPUTED_VALUE"""),1.1098839E7)</f>
        <v>11098839</v>
      </c>
      <c r="C1015" s="222" t="str">
        <f>IFERROR(__xludf.DUMMYFUNCTION("""COMPUTED_VALUE"""),"RKP PT3 JPPTSEL KIJ-FL JL TANAH KUNING_KIJANG")</f>
        <v>RKP PT3 JPPTSEL KIJ-FL JL TANAH KUNING_KIJANG</v>
      </c>
      <c r="D1015" s="222" t="str">
        <f>IFERROR(__xludf.DUMMYFUNCTION("""COMPUTED_VALUE"""),"REGIONAL I")</f>
        <v>REGIONAL I</v>
      </c>
      <c r="E1015" s="222" t="str">
        <f>IFERROR(__xludf.DUMMYFUNCTION("""COMPUTED_VALUE"""),"RIKEP")</f>
        <v>RIKEP</v>
      </c>
      <c r="F1015" s="222" t="str">
        <f>IFERROR(__xludf.DUMMYFUNCTION("""COMPUTED_VALUE"""),"KIJ")</f>
        <v>KIJ</v>
      </c>
      <c r="G1015" s="222" t="str">
        <f>IFERROR(__xludf.DUMMYFUNCTION("""COMPUTED_VALUE"""),"SUMBAGTENG")</f>
        <v>SUMBAGTENG</v>
      </c>
      <c r="H1015" s="222" t="str">
        <f>IFERROR(__xludf.DUMMYFUNCTION("""COMPUTED_VALUE"""),"BATAM")</f>
        <v>BATAM</v>
      </c>
      <c r="I1015" s="222" t="str">
        <f>IFERROR(__xludf.DUMMYFUNCTION("""COMPUTED_VALUE"""),"Batch 2")</f>
        <v>Batch 2</v>
      </c>
      <c r="J1015" s="225">
        <f>IFERROR(__xludf.DUMMYFUNCTION("""COMPUTED_VALUE"""),11.0)</f>
        <v>11</v>
      </c>
      <c r="K1015" s="224">
        <f>IFERROR(__xludf.DUMMYFUNCTION("""COMPUTED_VALUE"""),88.0)</f>
        <v>88</v>
      </c>
      <c r="L1015" s="226">
        <f>IFERROR(__xludf.DUMMYFUNCTION("""COMPUTED_VALUE"""),958010.0)</f>
        <v>958010</v>
      </c>
      <c r="M1015" s="227">
        <f>IFERROR(__xludf.DUMMYFUNCTION("""COMPUTED_VALUE"""),8.4304876E7)</f>
        <v>84304876</v>
      </c>
      <c r="N1015" s="222" t="str">
        <f>IFERROR(__xludf.DUMMYFUNCTION("""COMPUTED_VALUE"""),"PT SALTTEK DUMPANG JAYA")</f>
        <v>PT SALTTEK DUMPANG JAYA</v>
      </c>
      <c r="O1015" s="222" t="str">
        <f>IFERROR(__xludf.DUMMYFUNCTION("""COMPUTED_VALUE"""),"0. DROP")</f>
        <v>0. DROP</v>
      </c>
      <c r="P1015" s="222" t="str">
        <f>IFERROR(__xludf.DUMMYFUNCTION("""COMPUTED_VALUE"""),"0.2 Tidak Dapat Izin Warga/Kades/Lurah/Developer")</f>
        <v>0.2 Tidak Dapat Izin Warga/Kades/Lurah/Developer</v>
      </c>
      <c r="Q1015" s="222" t="str">
        <f>IFERROR(__xludf.DUMMYFUNCTION("""COMPUTED_VALUE"""),"12/02 Jalur milik lahan PT antam. 09/02 RT belum berani meng acc jalur di lahan PT antam, karena pengurusan izin harus ke kantor pusat dan RT tidak tau tempatnya. 04/02 RT belum bisa di jumpai, banyak lahan Kosong milik PT Antam. 28/01 Anwijzing OK, prose"&amp;"s perizinan FU kembali 30 Jan. 21/02 Plan survey dalam minggu ini 25 jan 2026")</f>
        <v>12/02 Jalur milik lahan PT antam. 09/02 RT belum berani meng acc jalur di lahan PT antam, karena pengurusan izin harus ke kantor pusat dan RT tidak tau tempatnya. 04/02 RT belum bisa di jumpai, banyak lahan Kosong milik PT Antam. 28/01 Anwijzing OK, proses perizinan FU kembali 30 Jan. 21/02 Plan survey dalam minggu ini 25 jan 2026</v>
      </c>
      <c r="R1015" s="228"/>
      <c r="S1015" s="11"/>
      <c r="T1015" s="11"/>
      <c r="U1015" s="11"/>
      <c r="V1015" s="229" t="str">
        <f>IFERROR(__xludf.DUMMYFUNCTION("""COMPUTED_VALUE"""),"DEDY IRAWAN")</f>
        <v>DEDY IRAWAN</v>
      </c>
      <c r="W1015" s="229" t="str">
        <f>IFERROR(__xludf.DUMMYFUNCTION("""COMPUTED_VALUE"""),"LEVITA INDRIYANI")</f>
        <v>LEVITA INDRIYANI</v>
      </c>
      <c r="X1015" s="229" t="str">
        <f>IFERROR(__xludf.DUMMYFUNCTION("""COMPUTED_VALUE"""),"BELUM GOLIVE")</f>
        <v>BELUM GOLIVE</v>
      </c>
      <c r="Y1015" s="229"/>
      <c r="Z1015" s="229" t="str">
        <f>IFERROR(__xludf.DUMMYFUNCTION("""COMPUTED_VALUE"""),"#N/A")</f>
        <v>#N/A</v>
      </c>
      <c r="AA1015" s="229"/>
      <c r="AB1015" s="229"/>
      <c r="AC1015" s="229"/>
      <c r="AD1015" s="232"/>
      <c r="AE1015" s="233"/>
      <c r="AF1015" s="54" t="str">
        <f>IFERROR(__xludf.DUMMYFUNCTION("""COMPUTED_VALUE"""),"Draft BA DROP")</f>
        <v>Draft BA DROP</v>
      </c>
      <c r="AG1015" s="54"/>
      <c r="AH1015" s="54"/>
      <c r="AI1015" s="55" t="str">
        <f t="shared" si="111"/>
        <v/>
      </c>
      <c r="AW1015" s="234"/>
      <c r="BP1015" s="11"/>
      <c r="BQ1015" s="11"/>
      <c r="BR1015" s="235"/>
      <c r="BV1015" s="158"/>
      <c r="BY1015" s="158"/>
      <c r="CB1015" s="158"/>
    </row>
    <row r="1016" ht="18.0" customHeight="1">
      <c r="A1016" s="222">
        <f>IFERROR(__xludf.DUMMYFUNCTION("""COMPUTED_VALUE"""),2026.0)</f>
        <v>2026</v>
      </c>
      <c r="B1016" s="221">
        <f>IFERROR(__xludf.DUMMYFUNCTION("""COMPUTED_VALUE"""),1.2132051E7)</f>
        <v>12132051</v>
      </c>
      <c r="C1016" s="222" t="str">
        <f>IFERROR(__xludf.DUMMYFUNCTION("""COMPUTED_VALUE"""),"SMB P4I3 Abi Simpang 4 Berok Tengah")</f>
        <v>SMB P4I3 Abi Simpang 4 Berok Tengah</v>
      </c>
      <c r="D1016" s="222" t="str">
        <f>IFERROR(__xludf.DUMMYFUNCTION("""COMPUTED_VALUE"""),"REGIONAL I")</f>
        <v>REGIONAL I</v>
      </c>
      <c r="E1016" s="222" t="str">
        <f>IFERROR(__xludf.DUMMYFUNCTION("""COMPUTED_VALUE"""),"SUMBAR")</f>
        <v>SUMBAR</v>
      </c>
      <c r="F1016" s="222" t="str">
        <f>IFERROR(__xludf.DUMMYFUNCTION("""COMPUTED_VALUE"""),"KJI")</f>
        <v>KJI</v>
      </c>
      <c r="G1016" s="222" t="str">
        <f>IFERROR(__xludf.DUMMYFUNCTION("""COMPUTED_VALUE"""),"SUMBAGTENG")</f>
        <v>SUMBAGTENG</v>
      </c>
      <c r="H1016" s="222" t="str">
        <f>IFERROR(__xludf.DUMMYFUNCTION("""COMPUTED_VALUE"""),"PADANG")</f>
        <v>PADANG</v>
      </c>
      <c r="I1016" s="222" t="str">
        <f>IFERROR(__xludf.DUMMYFUNCTION("""COMPUTED_VALUE"""),"Batch 2")</f>
        <v>Batch 2</v>
      </c>
      <c r="J1016" s="225">
        <f>IFERROR(__xludf.DUMMYFUNCTION("""COMPUTED_VALUE"""),3.0)</f>
        <v>3</v>
      </c>
      <c r="K1016" s="224">
        <f>IFERROR(__xludf.DUMMYFUNCTION("""COMPUTED_VALUE"""),24.0)</f>
        <v>24</v>
      </c>
      <c r="L1016" s="226">
        <f>IFERROR(__xludf.DUMMYFUNCTION("""COMPUTED_VALUE"""),957941.0)</f>
        <v>957941</v>
      </c>
      <c r="M1016" s="227">
        <f>IFERROR(__xludf.DUMMYFUNCTION("""COMPUTED_VALUE"""),2.2990581E7)</f>
        <v>22990581</v>
      </c>
      <c r="N1016" s="222" t="str">
        <f>IFERROR(__xludf.DUMMYFUNCTION("""COMPUTED_VALUE"""),"PT TRI PENAMAS")</f>
        <v>PT TRI PENAMAS</v>
      </c>
      <c r="O1016" s="222" t="str">
        <f>IFERROR(__xludf.DUMMYFUNCTION("""COMPUTED_VALUE"""),"0. DROP")</f>
        <v>0. DROP</v>
      </c>
      <c r="P1016" s="222" t="str">
        <f>IFERROR(__xludf.DUMMYFUNCTION("""COMPUTED_VALUE"""),"0.3 Feeder Full")</f>
        <v>0.3 Feeder Full</v>
      </c>
      <c r="Q1016" s="222" t="str">
        <f>IFERROR(__xludf.DUMMYFUNCTION("""COMPUTED_VALUE"""),"(27/01) kendala core dist 7 full KJI-FF dan feeder KJI-FF full 23/10 : Proses mapping mitra (07/01) kendala core dist 7 full KJI-FF")</f>
        <v>(27/01) kendala core dist 7 full KJI-FF dan feeder KJI-FF full 23/10 : Proses mapping mitra (07/01) kendala core dist 7 full KJI-FF</v>
      </c>
      <c r="R1016" s="228"/>
      <c r="S1016" s="11"/>
      <c r="T1016" s="11"/>
      <c r="U1016" s="11"/>
      <c r="V1016" s="229"/>
      <c r="W1016" s="229"/>
      <c r="X1016" s="229" t="str">
        <f>IFERROR(__xludf.DUMMYFUNCTION("""COMPUTED_VALUE"""),"BELUM GOLIVE")</f>
        <v>BELUM GOLIVE</v>
      </c>
      <c r="Y1016" s="229"/>
      <c r="Z1016" s="229" t="str">
        <f>IFERROR(__xludf.DUMMYFUNCTION("""COMPUTED_VALUE"""),"#N/A")</f>
        <v>#N/A</v>
      </c>
      <c r="AA1016" s="229"/>
      <c r="AB1016" s="229"/>
      <c r="AC1016" s="229"/>
      <c r="AD1016" s="232"/>
      <c r="AE1016" s="233"/>
      <c r="AF1016" s="54" t="str">
        <f>IFERROR(__xludf.DUMMYFUNCTION("""COMPUTED_VALUE"""),"Draft BA DROP")</f>
        <v>Draft BA DROP</v>
      </c>
      <c r="AG1016" s="54"/>
      <c r="AH1016" s="54"/>
      <c r="AI1016" s="55" t="str">
        <f t="shared" si="111"/>
        <v/>
      </c>
      <c r="AW1016" s="234"/>
      <c r="BP1016" s="11"/>
      <c r="BQ1016" s="11"/>
      <c r="BR1016" s="235"/>
      <c r="BV1016" s="158"/>
      <c r="BY1016" s="158"/>
      <c r="CB1016" s="158"/>
    </row>
    <row r="1017" ht="18.0" hidden="1" customHeight="1">
      <c r="A1017" s="222">
        <f>IFERROR(__xludf.DUMMYFUNCTION("""COMPUTED_VALUE"""),2026.0)</f>
        <v>2026</v>
      </c>
      <c r="B1017" s="221">
        <f>IFERROR(__xludf.DUMMYFUNCTION("""COMPUTED_VALUE"""),1.1266236E7)</f>
        <v>11266236</v>
      </c>
      <c r="C1017" s="222" t="str">
        <f>IFERROR(__xludf.DUMMYFUNCTION("""COMPUTED_VALUE"""),"ACH PT3 LSM-FBH D02 BEUREUGHANG")</f>
        <v>ACH PT3 LSM-FBH D02 BEUREUGHANG</v>
      </c>
      <c r="D1017" s="222" t="str">
        <f>IFERROR(__xludf.DUMMYFUNCTION("""COMPUTED_VALUE"""),"REGIONAL I")</f>
        <v>REGIONAL I</v>
      </c>
      <c r="E1017" s="222" t="str">
        <f>IFERROR(__xludf.DUMMYFUNCTION("""COMPUTED_VALUE"""),"ACEH")</f>
        <v>ACEH</v>
      </c>
      <c r="F1017" s="222" t="str">
        <f>IFERROR(__xludf.DUMMYFUNCTION("""COMPUTED_VALUE"""),"LSM")</f>
        <v>LSM</v>
      </c>
      <c r="G1017" s="222" t="str">
        <f>IFERROR(__xludf.DUMMYFUNCTION("""COMPUTED_VALUE"""),"SUMBAGUT")</f>
        <v>SUMBAGUT</v>
      </c>
      <c r="H1017" s="222" t="str">
        <f>IFERROR(__xludf.DUMMYFUNCTION("""COMPUTED_VALUE"""),"BINJAI")</f>
        <v>BINJAI</v>
      </c>
      <c r="I1017" s="222" t="str">
        <f>IFERROR(__xludf.DUMMYFUNCTION("""COMPUTED_VALUE"""),"Batch 2")</f>
        <v>Batch 2</v>
      </c>
      <c r="J1017" s="225">
        <f>IFERROR(__xludf.DUMMYFUNCTION("""COMPUTED_VALUE"""),13.0)</f>
        <v>13</v>
      </c>
      <c r="K1017" s="224">
        <f>IFERROR(__xludf.DUMMYFUNCTION("""COMPUTED_VALUE"""),104.0)</f>
        <v>104</v>
      </c>
      <c r="L1017" s="226">
        <f>IFERROR(__xludf.DUMMYFUNCTION("""COMPUTED_VALUE"""),956699.0)</f>
        <v>956699</v>
      </c>
      <c r="M1017" s="227">
        <f>IFERROR(__xludf.DUMMYFUNCTION("""COMPUTED_VALUE"""),9.9496678E7)</f>
        <v>99496678</v>
      </c>
      <c r="N1017" s="222" t="str">
        <f>IFERROR(__xludf.DUMMYFUNCTION("""COMPUTED_VALUE"""),"PT TRIPOLA PANATA")</f>
        <v>PT TRIPOLA PANATA</v>
      </c>
      <c r="O1017" s="222" t="str">
        <f>IFERROR(__xludf.DUMMYFUNCTION("""COMPUTED_VALUE"""),"7. GOLIVE")</f>
        <v>7. GOLIVE</v>
      </c>
      <c r="P1017" s="222" t="str">
        <f>IFERROR(__xludf.DUMMYFUNCTION("""COMPUTED_VALUE"""),"7.2 Golive Full / OA / DONE OTB")</f>
        <v>7.2 Golive Full / OA / DONE OTB</v>
      </c>
      <c r="Q1017" s="222" t="str">
        <f>IFERROR(__xludf.DUMMYFUNCTION("""COMPUTED_VALUE"""),"(01/04) Tanam Tiang (14/02) Proses Negosiasi Izin (22/01) Done Aanwijzing (07/01) Persiapan")</f>
        <v>(01/04) Tanam Tiang (14/02) Proses Negosiasi Izin (22/01) Done Aanwijzing (07/01) Persiapan</v>
      </c>
      <c r="R1017" s="228">
        <f>IFERROR(__xludf.DUMMYFUNCTION("""COMPUTED_VALUE"""),46116.0)</f>
        <v>46116</v>
      </c>
      <c r="S1017" s="11"/>
      <c r="T1017" s="73"/>
      <c r="U1017" s="11"/>
      <c r="V1017" s="229"/>
      <c r="W1017" s="229"/>
      <c r="X1017" s="229" t="str">
        <f>IFERROR(__xludf.DUMMYFUNCTION("""COMPUTED_VALUE"""),"GOLIVE")</f>
        <v>GOLIVE</v>
      </c>
      <c r="Y1017" s="229" t="str">
        <f>IFERROR(__xludf.DUMMYFUNCTION("""COMPUTED_VALUE"""),"DONE")</f>
        <v>DONE</v>
      </c>
      <c r="Z1017" s="229" t="str">
        <f>IFERROR(__xludf.DUMMYFUNCTION("""COMPUTED_VALUE"""),"#N/A")</f>
        <v>#N/A</v>
      </c>
      <c r="AA1017" s="229">
        <f>IFERROR(__xludf.DUMMYFUNCTION("""COMPUTED_VALUE"""),13.0)</f>
        <v>13</v>
      </c>
      <c r="AB1017" s="229"/>
      <c r="AC1017" s="229" t="str">
        <f>IFERROR(__xludf.DUMMYFUNCTION("""COMPUTED_VALUE"""),"9241264#9241269")</f>
        <v>9241264#9241269</v>
      </c>
      <c r="AD1017" s="232">
        <f>IFERROR(__xludf.DUMMYFUNCTION("""COMPUTED_VALUE"""),104.0)</f>
        <v>104</v>
      </c>
      <c r="AE1017" s="233">
        <f>IFERROR(__xludf.DUMMYFUNCTION("""COMPUTED_VALUE"""),46116.0)</f>
        <v>46116</v>
      </c>
      <c r="AF1017" s="54"/>
      <c r="AG1017" s="54"/>
      <c r="AH1017" s="54">
        <v>46116.0</v>
      </c>
      <c r="AI1017" s="55">
        <f t="shared" si="111"/>
        <v>0</v>
      </c>
      <c r="AW1017" s="234"/>
      <c r="BP1017" s="11"/>
      <c r="BQ1017" s="11"/>
      <c r="BR1017" s="235"/>
      <c r="BV1017" s="158"/>
      <c r="BY1017" s="158"/>
      <c r="CB1017" s="158"/>
    </row>
    <row r="1018" ht="18.0" customHeight="1">
      <c r="A1018" s="222">
        <f>IFERROR(__xludf.DUMMYFUNCTION("""COMPUTED_VALUE"""),2026.0)</f>
        <v>2026</v>
      </c>
      <c r="B1018" s="221">
        <f>IFERROR(__xludf.DUMMYFUNCTION("""COMPUTED_VALUE"""),1.1811146E7)</f>
        <v>11811146</v>
      </c>
      <c r="C1018" s="222" t="str">
        <f>IFERROR(__xludf.DUMMYFUNCTION("""COMPUTED_VALUE"""),"SMB STTF Perumahan Nicholl Hill 2")</f>
        <v>SMB STTF Perumahan Nicholl Hill 2</v>
      </c>
      <c r="D1018" s="222" t="str">
        <f>IFERROR(__xludf.DUMMYFUNCTION("""COMPUTED_VALUE"""),"REGIONAL I")</f>
        <v>REGIONAL I</v>
      </c>
      <c r="E1018" s="222" t="str">
        <f>IFERROR(__xludf.DUMMYFUNCTION("""COMPUTED_VALUE"""),"SUMBAR")</f>
        <v>SUMBAR</v>
      </c>
      <c r="F1018" s="222" t="str">
        <f>IFERROR(__xludf.DUMMYFUNCTION("""COMPUTED_VALUE"""),"KJI")</f>
        <v>KJI</v>
      </c>
      <c r="G1018" s="222" t="str">
        <f>IFERROR(__xludf.DUMMYFUNCTION("""COMPUTED_VALUE"""),"SUMBAGTENG")</f>
        <v>SUMBAGTENG</v>
      </c>
      <c r="H1018" s="222" t="str">
        <f>IFERROR(__xludf.DUMMYFUNCTION("""COMPUTED_VALUE"""),"PADANG")</f>
        <v>PADANG</v>
      </c>
      <c r="I1018" s="222" t="str">
        <f>IFERROR(__xludf.DUMMYFUNCTION("""COMPUTED_VALUE"""),"Batch 2")</f>
        <v>Batch 2</v>
      </c>
      <c r="J1018" s="225">
        <f>IFERROR(__xludf.DUMMYFUNCTION("""COMPUTED_VALUE"""),3.0)</f>
        <v>3</v>
      </c>
      <c r="K1018" s="224">
        <f>IFERROR(__xludf.DUMMYFUNCTION("""COMPUTED_VALUE"""),24.0)</f>
        <v>24</v>
      </c>
      <c r="L1018" s="226">
        <f>IFERROR(__xludf.DUMMYFUNCTION("""COMPUTED_VALUE"""),956487.0)</f>
        <v>956487</v>
      </c>
      <c r="M1018" s="227">
        <f>IFERROR(__xludf.DUMMYFUNCTION("""COMPUTED_VALUE"""),2.2955668E7)</f>
        <v>22955668</v>
      </c>
      <c r="N1018" s="222" t="str">
        <f>IFERROR(__xludf.DUMMYFUNCTION("""COMPUTED_VALUE"""),"PT ALAM UTAMA MULIA")</f>
        <v>PT ALAM UTAMA MULIA</v>
      </c>
      <c r="O1018" s="222" t="str">
        <f>IFERROR(__xludf.DUMMYFUNCTION("""COMPUTED_VALUE"""),"8. UJI TERIMA")</f>
        <v>8. UJI TERIMA</v>
      </c>
      <c r="P1018" s="222" t="str">
        <f>IFERROR(__xludf.DUMMYFUNCTION("""COMPUTED_VALUE"""),"8.1 Proses UT")</f>
        <v>8.1 Proses UT</v>
      </c>
      <c r="Q1018" s="222" t="str">
        <f>IFERROR(__xludf.DUMMYFUNCTION("""COMPUTED_VALUE"""),"(21/01) ABD mancore  (07/01) Persiapan")</f>
        <v>(21/01) ABD mancore  (07/01) Persiapan</v>
      </c>
      <c r="R1018" s="228"/>
      <c r="S1018" s="11"/>
      <c r="T1018" s="11"/>
      <c r="U1018" s="11" t="str">
        <f>IFERROR(__xludf.DUMMYFUNCTION("""COMPUTED_VALUE"""),"W10-1793/2025 25KT03R158-0575")</f>
        <v>W10-1793/2025 25KT03R158-0575</v>
      </c>
      <c r="V1018" s="229" t="str">
        <f>IFERROR(__xludf.DUMMYFUNCTION("""COMPUTED_VALUE"""),"ALDI EFENDI")</f>
        <v>ALDI EFENDI</v>
      </c>
      <c r="W1018" s="229" t="str">
        <f>IFERROR(__xludf.DUMMYFUNCTION("""COMPUTED_VALUE"""),"MELKO NARWADI")</f>
        <v>MELKO NARWADI</v>
      </c>
      <c r="X1018" s="229" t="str">
        <f>IFERROR(__xludf.DUMMYFUNCTION("""COMPUTED_VALUE"""),"GOLIVE")</f>
        <v>GOLIVE</v>
      </c>
      <c r="Y1018" s="229" t="str">
        <f>IFERROR(__xludf.DUMMYFUNCTION("""COMPUTED_VALUE"""),"DONE")</f>
        <v>DONE</v>
      </c>
      <c r="Z1018" s="229" t="str">
        <f>IFERROR(__xludf.DUMMYFUNCTION("""COMPUTED_VALUE"""),"#N/A")</f>
        <v>#N/A</v>
      </c>
      <c r="AA1018" s="229">
        <f>IFERROR(__xludf.DUMMYFUNCTION("""COMPUTED_VALUE"""),3.0)</f>
        <v>3</v>
      </c>
      <c r="AB1018" s="229"/>
      <c r="AC1018" s="229" t="str">
        <f>IFERROR(__xludf.DUMMYFUNCTION("""COMPUTED_VALUE"""),"8996046#8996051")</f>
        <v>8996046#8996051</v>
      </c>
      <c r="AD1018" s="232">
        <f>IFERROR(__xludf.DUMMYFUNCTION("""COMPUTED_VALUE"""),24.0)</f>
        <v>24</v>
      </c>
      <c r="AE1018" s="233">
        <f>IFERROR(__xludf.DUMMYFUNCTION("""COMPUTED_VALUE"""),46044.0)</f>
        <v>46044</v>
      </c>
      <c r="AF1018" s="54"/>
      <c r="AG1018" s="54"/>
      <c r="AH1018" s="54"/>
      <c r="AI1018" s="55" t="str">
        <f t="shared" si="111"/>
        <v/>
      </c>
      <c r="AW1018" s="234"/>
      <c r="BP1018" s="11"/>
      <c r="BQ1018" s="11"/>
      <c r="BR1018" s="235"/>
      <c r="BV1018" s="158"/>
      <c r="BY1018" s="158"/>
      <c r="CB1018" s="158"/>
    </row>
    <row r="1019" ht="18.0" hidden="1" customHeight="1">
      <c r="A1019" s="222">
        <f>IFERROR(__xludf.DUMMYFUNCTION("""COMPUTED_VALUE"""),2026.0)</f>
        <v>2026</v>
      </c>
      <c r="B1019" s="221">
        <f>IFERROR(__xludf.DUMMYFUNCTION("""COMPUTED_VALUE"""),1.1572623E7)</f>
        <v>11572623</v>
      </c>
      <c r="C1019" s="222" t="str">
        <f>IFERROR(__xludf.DUMMYFUNCTION("""COMPUTED_VALUE"""),"SMS P3I1 PT3 MUB SDN 1 BERLIAN MAKMUR")</f>
        <v>SMS P3I1 PT3 MUB SDN 1 BERLIAN MAKMUR</v>
      </c>
      <c r="D1019" s="222" t="str">
        <f>IFERROR(__xludf.DUMMYFUNCTION("""COMPUTED_VALUE"""),"REGIONAL I")</f>
        <v>REGIONAL I</v>
      </c>
      <c r="E1019" s="222" t="str">
        <f>IFERROR(__xludf.DUMMYFUNCTION("""COMPUTED_VALUE"""),"SUMSEL")</f>
        <v>SUMSEL</v>
      </c>
      <c r="F1019" s="222" t="str">
        <f>IFERROR(__xludf.DUMMYFUNCTION("""COMPUTED_VALUE"""),"MUB")</f>
        <v>MUB</v>
      </c>
      <c r="G1019" s="222" t="str">
        <f>IFERROR(__xludf.DUMMYFUNCTION("""COMPUTED_VALUE"""),"SUMBAGSEL")</f>
        <v>SUMBAGSEL</v>
      </c>
      <c r="H1019" s="222" t="str">
        <f>IFERROR(__xludf.DUMMYFUNCTION("""COMPUTED_VALUE"""),"PALEMBANG")</f>
        <v>PALEMBANG</v>
      </c>
      <c r="I1019" s="222" t="str">
        <f>IFERROR(__xludf.DUMMYFUNCTION("""COMPUTED_VALUE"""),"Batch 2")</f>
        <v>Batch 2</v>
      </c>
      <c r="J1019" s="225">
        <f>IFERROR(__xludf.DUMMYFUNCTION("""COMPUTED_VALUE"""),5.0)</f>
        <v>5</v>
      </c>
      <c r="K1019" s="224">
        <f>IFERROR(__xludf.DUMMYFUNCTION("""COMPUTED_VALUE"""),40.0)</f>
        <v>40</v>
      </c>
      <c r="L1019" s="226">
        <f>IFERROR(__xludf.DUMMYFUNCTION("""COMPUTED_VALUE"""),955359.0)</f>
        <v>955359</v>
      </c>
      <c r="M1019" s="227">
        <f>IFERROR(__xludf.DUMMYFUNCTION("""COMPUTED_VALUE"""),3.8214355E7)</f>
        <v>38214355</v>
      </c>
      <c r="N1019" s="222" t="str">
        <f>IFERROR(__xludf.DUMMYFUNCTION("""COMPUTED_VALUE"""),"PT MAJU JAYA TEKNOLOGI")</f>
        <v>PT MAJU JAYA TEKNOLOGI</v>
      </c>
      <c r="O1019" s="222" t="str">
        <f>IFERROR(__xludf.DUMMYFUNCTION("""COMPUTED_VALUE"""),"7. GOLIVE")</f>
        <v>7. GOLIVE</v>
      </c>
      <c r="P1019" s="222" t="str">
        <f>IFERROR(__xludf.DUMMYFUNCTION("""COMPUTED_VALUE"""),"7.2 Golive Full / OA / DONE OTB")</f>
        <v>7.2 Golive Full / OA / DONE OTB</v>
      </c>
      <c r="Q1019" s="222" t="str">
        <f>IFERROR(__xludf.DUMMYFUNCTION("""COMPUTED_VALUE"""),"21/03 GOLIVE, 17/03 MENUNGGU GOLIVE, 13/03 DONE SUBMIT ABD KE SDI, 12/03 MENUNGGU DATA ABD, 11/03 DONE VALINS, MENUNGGU DATA ABD, 10/03 PROGRESS VALINS, 09/03 PROGRESS PEMASANGAN ODP, 06/03 PROGRESS GALI LOBANG, 05/03 MATERIAL ONSITE, 04/03 HARI INI AMBIL"&amp;" MATERIAL, 03/03 OGP AMBIL MATERIAL, 27/02 OGP AMBIL MATERIAL, 25/02 MASIH MENUNGGU TIANG, 22/2 menunggu material TIANG  18/02 DONE INPUT MATERIAL, 12/02 PROSES INPUT MATERIAL - KENDALA OVER BUDGET, OGP AMD BUDGET, 11/2 PID Done, PR-PO AMD on going  10/02"&amp;" LANJUT DRM - CREATE PID, 04/03 DONE EVAL, HOLD, ADA KENAIKAN SEBESAR 4% DARI BOQ PLAN DAN CPP 981 RB, 15/01 menunggu jadwal aanwijzing dg mitra 04/03 DONE EVAL, HOLD, ADA KENAIKAN SEBESAR 4% DARI BOQ PLAN DAN CPP 981 RB, 30/12 PROSES AANWIDJZING - 1 TIAN"&amp;"G PATAH DEKAT ODC, (24/1) plan aawijdizng 27/1 (21/01) menunggu antrian untuk aanwizjing lapangan, (20/1) MJT setuju (15/1) ORDER DITERIMA 14/1 ,PLAN AANWIJDZING 21 JAN 26 (06/01)order JPP batch-2 2026 ((26/11) ORDER HOLD , FLAGGING ""TIDAK LANJUT DARI PE"&amp;"D"" (25/11 MJT setuju, 24/11 penunjukkan mitra MJT, (14/11) MItra MJS blm ambil pekerjaan baru terkait close pekerjaan lama , LOP juga tidak masuk list optimis close 2025 ( (11/11) Penunjukkan MITRA oleh Procurement 5/11 mitra GPTP menolak ambil lop ini, "&amp;"saat ini lagi penunjukan mitra baru 23/10 penunjukan mitra
 14/01 Surat lanjut kerja oleh procurement")</f>
        <v>21/03 GOLIVE, 17/03 MENUNGGU GOLIVE, 13/03 DONE SUBMIT ABD KE SDI, 12/03 MENUNGGU DATA ABD, 11/03 DONE VALINS, MENUNGGU DATA ABD, 10/03 PROGRESS VALINS, 09/03 PROGRESS PEMASANGAN ODP, 06/03 PROGRESS GALI LOBANG, 05/03 MATERIAL ONSITE, 04/03 HARI INI AMBIL MATERIAL, 03/03 OGP AMBIL MATERIAL, 27/02 OGP AMBIL MATERIAL, 25/02 MASIH MENUNGGU TIANG, 22/2 menunggu material TIANG  18/02 DONE INPUT MATERIAL, 12/02 PROSES INPUT MATERIAL - KENDALA OVER BUDGET, OGP AMD BUDGET, 11/2 PID Done, PR-PO AMD on going  10/02 LANJUT DRM - CREATE PID, 04/03 DONE EVAL, HOLD, ADA KENAIKAN SEBESAR 4% DARI BOQ PLAN DAN CPP 981 RB, 15/01 menunggu jadwal aanwijzing dg mitra 04/03 DONE EVAL, HOLD, ADA KENAIKAN SEBESAR 4% DARI BOQ PLAN DAN CPP 981 RB, 30/12 PROSES AANWIDJZING - 1 TIANG PATAH DEKAT ODC, (24/1) plan aawijdizng 27/1 (21/01) menunggu antrian untuk aanwizjing lapangan, (20/1) MJT setuju (15/1) ORDER DITERIMA 14/1 ,PLAN AANWIJDZING 21 JAN 26 (06/01)order JPP batch-2 2026 ((26/11) ORDER HOLD , FLAGGING "TIDAK LANJUT DARI PED" (25/11 MJT setuju, 24/11 penunjukkan mitra MJT, (14/11) MItra MJS blm ambil pekerjaan baru terkait close pekerjaan lama , LOP juga tidak masuk list optimis close 2025 ( (11/11) Penunjukkan MITRA oleh Procurement 5/11 mitra GPTP menolak ambil lop ini, saat ini lagi penunjukan mitra baru 23/10 penunjukan mitra
 14/01 Surat lanjut kerja oleh procurement</v>
      </c>
      <c r="R1019" s="228">
        <f>IFERROR(__xludf.DUMMYFUNCTION("""COMPUTED_VALUE"""),46097.0)</f>
        <v>46097</v>
      </c>
      <c r="S1019" s="11" t="str">
        <f>IFERROR(__xludf.DUMMYFUNCTION("""COMPUTED_VALUE"""),"MAR")</f>
        <v>MAR</v>
      </c>
      <c r="T1019" s="11" t="str">
        <f>IFERROR(__xludf.DUMMYFUNCTION("""COMPUTED_VALUE"""),"P1")</f>
        <v>P1</v>
      </c>
      <c r="U1019" s="11"/>
      <c r="V1019" s="229" t="str">
        <f>IFERROR(__xludf.DUMMYFUNCTION("""COMPUTED_VALUE"""),"TEGAR")</f>
        <v>TEGAR</v>
      </c>
      <c r="W1019" s="229"/>
      <c r="X1019" s="229" t="str">
        <f>IFERROR(__xludf.DUMMYFUNCTION("""COMPUTED_VALUE"""),"GOLIVE")</f>
        <v>GOLIVE</v>
      </c>
      <c r="Y1019" s="229" t="str">
        <f>IFERROR(__xludf.DUMMYFUNCTION("""COMPUTED_VALUE"""),"DONE")</f>
        <v>DONE</v>
      </c>
      <c r="Z1019" s="229" t="str">
        <f>IFERROR(__xludf.DUMMYFUNCTION("""COMPUTED_VALUE"""),"#N/A")</f>
        <v>#N/A</v>
      </c>
      <c r="AA1019" s="229">
        <f>IFERROR(__xludf.DUMMYFUNCTION("""COMPUTED_VALUE"""),5.0)</f>
        <v>5</v>
      </c>
      <c r="AB1019" s="229"/>
      <c r="AC1019" s="229" t="str">
        <f>IFERROR(__xludf.DUMMYFUNCTION("""COMPUTED_VALUE"""),"8948635#8948640")</f>
        <v>8948635#8948640</v>
      </c>
      <c r="AD1019" s="232">
        <f>IFERROR(__xludf.DUMMYFUNCTION("""COMPUTED_VALUE"""),40.0)</f>
        <v>40</v>
      </c>
      <c r="AE1019" s="233">
        <f>IFERROR(__xludf.DUMMYFUNCTION("""COMPUTED_VALUE"""),46094.0)</f>
        <v>46094</v>
      </c>
      <c r="AF1019" s="54"/>
      <c r="AG1019" s="54"/>
      <c r="AH1019" s="54">
        <v>46119.0</v>
      </c>
      <c r="AI1019" s="55">
        <f t="shared" si="111"/>
        <v>3</v>
      </c>
      <c r="AJ1019" s="229" t="str">
        <f t="shared" ref="AJ1019:AJ1020" si="112">if(AI1019&gt;=0,"Gl in Komitmen","Gl out komitmen")</f>
        <v>Gl in Komitmen</v>
      </c>
      <c r="AK1019" s="229" t="s">
        <v>199</v>
      </c>
      <c r="AW1019" s="234"/>
      <c r="BP1019" s="11"/>
      <c r="BQ1019" s="11"/>
      <c r="BR1019" s="235"/>
      <c r="BV1019" s="158"/>
      <c r="BY1019" s="158"/>
      <c r="CB1019" s="158"/>
    </row>
    <row r="1020" ht="18.0" customHeight="1">
      <c r="A1020" s="222">
        <f>IFERROR(__xludf.DUMMYFUNCTION("""COMPUTED_VALUE"""),2026.0)</f>
        <v>2026</v>
      </c>
      <c r="B1020" s="221">
        <f>IFERROR(__xludf.DUMMYFUNCTION("""COMPUTED_VALUE"""),1.2430498E7)</f>
        <v>12430498</v>
      </c>
      <c r="C1020" s="222" t="str">
        <f>IFERROR(__xludf.DUMMYFUNCTION("""COMPUTED_VALUE"""),"RDR JPP PT3 ROKAN HULU_1006")</f>
        <v>RDR JPP PT3 ROKAN HULU_1006</v>
      </c>
      <c r="D1020" s="222" t="str">
        <f>IFERROR(__xludf.DUMMYFUNCTION("""COMPUTED_VALUE"""),"REGIONAL I")</f>
        <v>REGIONAL I</v>
      </c>
      <c r="E1020" s="222" t="str">
        <f>IFERROR(__xludf.DUMMYFUNCTION("""COMPUTED_VALUE"""),"RIDAR")</f>
        <v>RIDAR</v>
      </c>
      <c r="F1020" s="222" t="str">
        <f>IFERROR(__xludf.DUMMYFUNCTION("""COMPUTED_VALUE"""),"PPN")</f>
        <v>PPN</v>
      </c>
      <c r="G1020" s="222" t="str">
        <f>IFERROR(__xludf.DUMMYFUNCTION("""COMPUTED_VALUE"""),"SUMBAGTENG")</f>
        <v>SUMBAGTENG</v>
      </c>
      <c r="H1020" s="222" t="str">
        <f>IFERROR(__xludf.DUMMYFUNCTION("""COMPUTED_VALUE"""),"DUMAI")</f>
        <v>DUMAI</v>
      </c>
      <c r="I1020" s="222" t="str">
        <f>IFERROR(__xludf.DUMMYFUNCTION("""COMPUTED_VALUE"""),"Batch 2")</f>
        <v>Batch 2</v>
      </c>
      <c r="J1020" s="225">
        <f>IFERROR(__xludf.DUMMYFUNCTION("""COMPUTED_VALUE"""),5.0)</f>
        <v>5</v>
      </c>
      <c r="K1020" s="224">
        <f>IFERROR(__xludf.DUMMYFUNCTION("""COMPUTED_VALUE"""),40.0)</f>
        <v>40</v>
      </c>
      <c r="L1020" s="226">
        <f>IFERROR(__xludf.DUMMYFUNCTION("""COMPUTED_VALUE"""),955332.0)</f>
        <v>955332</v>
      </c>
      <c r="M1020" s="227">
        <f>IFERROR(__xludf.DUMMYFUNCTION("""COMPUTED_VALUE"""),3.8213269E7)</f>
        <v>38213269</v>
      </c>
      <c r="N1020" s="222" t="str">
        <f>IFERROR(__xludf.DUMMYFUNCTION("""COMPUTED_VALUE"""),"PT SAMUDERA PUTRA KENCANA")</f>
        <v>PT SAMUDERA PUTRA KENCANA</v>
      </c>
      <c r="O1020" s="222" t="str">
        <f>IFERROR(__xludf.DUMMYFUNCTION("""COMPUTED_VALUE"""),"7. GOLIVE")</f>
        <v>7. GOLIVE</v>
      </c>
      <c r="P1020" s="222" t="str">
        <f>IFERROR(__xludf.DUMMYFUNCTION("""COMPUTED_VALUE"""),"7.2 Golive Full / OA / DONE OTB")</f>
        <v>7.2 Golive Full / OA / DONE OTB</v>
      </c>
      <c r="Q1020" s="222" t="str">
        <f>IFERROR(__xludf.DUMMYFUNCTION("""COMPUTED_VALUE"""),"06/04 Proses Valins 27/03 Pekerjaan mulai progres senin 30 Mar 16/03 Pekerjaan dilanjut setelah RAFI 05/03 Menunggu PO Kabel ADSS sampai di WH Pekanbaru 29/01 Mini OLT Dalu dalu full (07/01) Persiapan")</f>
        <v>06/04 Proses Valins 27/03 Pekerjaan mulai progres senin 30 Mar 16/03 Pekerjaan dilanjut setelah RAFI 05/03 Menunggu PO Kabel ADSS sampai di WH Pekanbaru 29/01 Mini OLT Dalu dalu full (07/01) Persiapan</v>
      </c>
      <c r="R1020" s="228">
        <f>IFERROR(__xludf.DUMMYFUNCTION("""COMPUTED_VALUE"""),46119.0)</f>
        <v>46119</v>
      </c>
      <c r="S1020" s="11" t="str">
        <f>IFERROR(__xludf.DUMMYFUNCTION("""COMPUTED_VALUE"""),"MAR")</f>
        <v>MAR</v>
      </c>
      <c r="T1020" s="73"/>
      <c r="U1020" s="11" t="str">
        <f>IFERROR(__xludf.DUMMYFUNCTION("""COMPUTED_VALUE"""),"W08-2118/2025")</f>
        <v>W08-2118/2025</v>
      </c>
      <c r="V1020" s="229" t="str">
        <f>IFERROR(__xludf.DUMMYFUNCTION("""COMPUTED_VALUE"""),"TEGUH IMAM PERDANA")</f>
        <v>TEGUH IMAM PERDANA</v>
      </c>
      <c r="W1020" s="229" t="str">
        <f>IFERROR(__xludf.DUMMYFUNCTION("""COMPUTED_VALUE"""),"DESLITA RAHMADANI")</f>
        <v>DESLITA RAHMADANI</v>
      </c>
      <c r="X1020" s="229" t="str">
        <f>IFERROR(__xludf.DUMMYFUNCTION("""COMPUTED_VALUE"""),"GOLIVE")</f>
        <v>GOLIVE</v>
      </c>
      <c r="Y1020" s="229" t="str">
        <f>IFERROR(__xludf.DUMMYFUNCTION("""COMPUTED_VALUE"""),"DONE")</f>
        <v>DONE</v>
      </c>
      <c r="Z1020" s="229" t="str">
        <f>IFERROR(__xludf.DUMMYFUNCTION("""COMPUTED_VALUE"""),"#N/A")</f>
        <v>#N/A</v>
      </c>
      <c r="AA1020" s="229">
        <f>IFERROR(__xludf.DUMMYFUNCTION("""COMPUTED_VALUE"""),5.0)</f>
        <v>5</v>
      </c>
      <c r="AB1020" s="229"/>
      <c r="AC1020" s="229" t="str">
        <f>IFERROR(__xludf.DUMMYFUNCTION("""COMPUTED_VALUE"""),"9247622#9247633")</f>
        <v>9247622#9247633</v>
      </c>
      <c r="AD1020" s="232">
        <f>IFERROR(__xludf.DUMMYFUNCTION("""COMPUTED_VALUE"""),40.0)</f>
        <v>40</v>
      </c>
      <c r="AE1020" s="233">
        <f>IFERROR(__xludf.DUMMYFUNCTION("""COMPUTED_VALUE"""),46119.0)</f>
        <v>46119</v>
      </c>
      <c r="AF1020" s="54"/>
      <c r="AG1020" s="54"/>
      <c r="AH1020" s="54">
        <v>46119.0</v>
      </c>
      <c r="AI1020" s="55">
        <f>IF(OR(AH1020="",AE1020=""),"",AH1020-AE1020)</f>
        <v>0</v>
      </c>
      <c r="AJ1020" s="229" t="str">
        <f t="shared" si="112"/>
        <v>Gl in Komitmen</v>
      </c>
      <c r="AK1020" s="231" t="s">
        <v>199</v>
      </c>
      <c r="AW1020" s="234"/>
      <c r="BP1020" s="11"/>
      <c r="BQ1020" s="11"/>
      <c r="BR1020" s="235"/>
      <c r="BV1020" s="158"/>
      <c r="BY1020" s="158"/>
      <c r="CB1020" s="158"/>
    </row>
    <row r="1021" ht="18.0" hidden="1" customHeight="1">
      <c r="A1021" s="222">
        <f>IFERROR(__xludf.DUMMYFUNCTION("""COMPUTED_VALUE"""),2026.0)</f>
        <v>2026</v>
      </c>
      <c r="B1021" s="221">
        <f>IFERROR(__xludf.DUMMYFUNCTION("""COMPUTED_VALUE"""),1.1194194E7)</f>
        <v>11194194</v>
      </c>
      <c r="C1021" s="222" t="str">
        <f>IFERROR(__xludf.DUMMYFUNCTION("""COMPUTED_VALUE"""),"MDN PT3 TTG-FGA JL.ROTAN 8 SIMALINGKAR A")</f>
        <v>MDN PT3 TTG-FGA JL.ROTAN 8 SIMALINGKAR A</v>
      </c>
      <c r="D1021" s="222" t="str">
        <f>IFERROR(__xludf.DUMMYFUNCTION("""COMPUTED_VALUE"""),"REGIONAL I")</f>
        <v>REGIONAL I</v>
      </c>
      <c r="E1021" s="222" t="str">
        <f>IFERROR(__xludf.DUMMYFUNCTION("""COMPUTED_VALUE"""),"MEDAN")</f>
        <v>MEDAN</v>
      </c>
      <c r="F1021" s="222" t="str">
        <f>IFERROR(__xludf.DUMMYFUNCTION("""COMPUTED_VALUE"""),"TTG")</f>
        <v>TTG</v>
      </c>
      <c r="G1021" s="222" t="str">
        <f>IFERROR(__xludf.DUMMYFUNCTION("""COMPUTED_VALUE"""),"SUMBAGUT")</f>
        <v>SUMBAGUT</v>
      </c>
      <c r="H1021" s="222" t="str">
        <f>IFERROR(__xludf.DUMMYFUNCTION("""COMPUTED_VALUE"""),"MEDAN")</f>
        <v>MEDAN</v>
      </c>
      <c r="I1021" s="222" t="str">
        <f>IFERROR(__xludf.DUMMYFUNCTION("""COMPUTED_VALUE"""),"Batch 2")</f>
        <v>Batch 2</v>
      </c>
      <c r="J1021" s="225">
        <f>IFERROR(__xludf.DUMMYFUNCTION("""COMPUTED_VALUE"""),4.0)</f>
        <v>4</v>
      </c>
      <c r="K1021" s="224">
        <f>IFERROR(__xludf.DUMMYFUNCTION("""COMPUTED_VALUE"""),32.0)</f>
        <v>32</v>
      </c>
      <c r="L1021" s="226">
        <f>IFERROR(__xludf.DUMMYFUNCTION("""COMPUTED_VALUE"""),1183422.0)</f>
        <v>1183422</v>
      </c>
      <c r="M1021" s="227">
        <f>IFERROR(__xludf.DUMMYFUNCTION("""COMPUTED_VALUE"""),3.7869482E7)</f>
        <v>37869482</v>
      </c>
      <c r="N1021" s="222" t="str">
        <f>IFERROR(__xludf.DUMMYFUNCTION("""COMPUTED_VALUE"""),"SWAKELOLA")</f>
        <v>SWAKELOLA</v>
      </c>
      <c r="O1021" s="222" t="str">
        <f>IFERROR(__xludf.DUMMYFUNCTION("""COMPUTED_VALUE"""),"7. GOLIVE")</f>
        <v>7. GOLIVE</v>
      </c>
      <c r="P1021" s="222" t="str">
        <f>IFERROR(__xludf.DUMMYFUNCTION("""COMPUTED_VALUE"""),"7.2 Golive Full / OA / DONE OTB")</f>
        <v>7.2 Golive Full / OA / DONE OTB</v>
      </c>
      <c r="Q1021" s="222" t="str">
        <f>IFERROR(__xludf.DUMMYFUNCTION("""COMPUTED_VALUE"""),"30/03 submit abd 13/03 instalasi ODP 02/03 req material 12/02 Aanwidzing OK, lnjut perizinan")</f>
        <v>30/03 submit abd 13/03 instalasi ODP 02/03 req material 12/02 Aanwidzing OK, lnjut perizinan</v>
      </c>
      <c r="R1021" s="228"/>
      <c r="S1021" s="11"/>
      <c r="T1021" s="11"/>
      <c r="U1021" s="11"/>
      <c r="V1021" s="229"/>
      <c r="W1021" s="229"/>
      <c r="X1021" s="229" t="str">
        <f>IFERROR(__xludf.DUMMYFUNCTION("""COMPUTED_VALUE"""),"GOLIVE")</f>
        <v>GOLIVE</v>
      </c>
      <c r="Y1021" s="229" t="str">
        <f>IFERROR(__xludf.DUMMYFUNCTION("""COMPUTED_VALUE"""),"DONE")</f>
        <v>DONE</v>
      </c>
      <c r="Z1021" s="229" t="str">
        <f>IFERROR(__xludf.DUMMYFUNCTION("""COMPUTED_VALUE"""),"#N/A")</f>
        <v>#N/A</v>
      </c>
      <c r="AA1021" s="229">
        <f>IFERROR(__xludf.DUMMYFUNCTION("""COMPUTED_VALUE"""),4.0)</f>
        <v>4</v>
      </c>
      <c r="AB1021" s="229"/>
      <c r="AC1021" s="229" t="str">
        <f>IFERROR(__xludf.DUMMYFUNCTION("""COMPUTED_VALUE"""),"9231230#9231235")</f>
        <v>9231230#9231235</v>
      </c>
      <c r="AD1021" s="232">
        <f>IFERROR(__xludf.DUMMYFUNCTION("""COMPUTED_VALUE"""),32.0)</f>
        <v>32</v>
      </c>
      <c r="AE1021" s="233">
        <f>IFERROR(__xludf.DUMMYFUNCTION("""COMPUTED_VALUE"""),46112.0)</f>
        <v>46112</v>
      </c>
      <c r="AF1021" s="54" t="str">
        <f>IFERROR(__xludf.DUMMYFUNCTION("""COMPUTED_VALUE"""),"Draft BA DROP")</f>
        <v>Draft BA DROP</v>
      </c>
      <c r="AG1021" s="54"/>
      <c r="AH1021" s="54"/>
      <c r="AI1021" s="55" t="str">
        <f t="shared" ref="AI1021:AI1026" si="113">IF(OR(R1021="",AE1021=""),"",R1021-AE1021)</f>
        <v/>
      </c>
      <c r="AW1021" s="234"/>
      <c r="BP1021" s="11"/>
      <c r="BQ1021" s="11"/>
      <c r="BR1021" s="235"/>
      <c r="BV1021" s="158"/>
      <c r="BY1021" s="158"/>
      <c r="CB1021" s="158"/>
    </row>
    <row r="1022" ht="18.0" customHeight="1">
      <c r="A1022" s="222">
        <f>IFERROR(__xludf.DUMMYFUNCTION("""COMPUTED_VALUE"""),2026.0)</f>
        <v>2026</v>
      </c>
      <c r="B1022" s="221">
        <f>IFERROR(__xludf.DUMMYFUNCTION("""COMPUTED_VALUE"""),1.1277816E7)</f>
        <v>11277816</v>
      </c>
      <c r="C1022" s="222" t="str">
        <f>IFERROR(__xludf.DUMMYFUNCTION("""COMPUTED_VALUE"""),"RKP PT3 TSEL KAI-FV KAVLING SENJULUNG")</f>
        <v>RKP PT3 TSEL KAI-FV KAVLING SENJULUNG</v>
      </c>
      <c r="D1022" s="222" t="str">
        <f>IFERROR(__xludf.DUMMYFUNCTION("""COMPUTED_VALUE"""),"REGIONAL I")</f>
        <v>REGIONAL I</v>
      </c>
      <c r="E1022" s="222" t="str">
        <f>IFERROR(__xludf.DUMMYFUNCTION("""COMPUTED_VALUE"""),"RIKEP")</f>
        <v>RIKEP</v>
      </c>
      <c r="F1022" s="222" t="str">
        <f>IFERROR(__xludf.DUMMYFUNCTION("""COMPUTED_VALUE"""),"KAI")</f>
        <v>KAI</v>
      </c>
      <c r="G1022" s="222" t="str">
        <f>IFERROR(__xludf.DUMMYFUNCTION("""COMPUTED_VALUE"""),"SUMBAGTENG")</f>
        <v>SUMBAGTENG</v>
      </c>
      <c r="H1022" s="222" t="str">
        <f>IFERROR(__xludf.DUMMYFUNCTION("""COMPUTED_VALUE"""),"BATAM")</f>
        <v>BATAM</v>
      </c>
      <c r="I1022" s="222" t="str">
        <f>IFERROR(__xludf.DUMMYFUNCTION("""COMPUTED_VALUE"""),"Batch 2")</f>
        <v>Batch 2</v>
      </c>
      <c r="J1022" s="225">
        <f>IFERROR(__xludf.DUMMYFUNCTION("""COMPUTED_VALUE"""),3.0)</f>
        <v>3</v>
      </c>
      <c r="K1022" s="224">
        <f>IFERROR(__xludf.DUMMYFUNCTION("""COMPUTED_VALUE"""),24.0)</f>
        <v>24</v>
      </c>
      <c r="L1022" s="226">
        <f>IFERROR(__xludf.DUMMYFUNCTION("""COMPUTED_VALUE"""),953351.0)</f>
        <v>953351</v>
      </c>
      <c r="M1022" s="227">
        <f>IFERROR(__xludf.DUMMYFUNCTION("""COMPUTED_VALUE"""),2.2880418E7)</f>
        <v>22880418</v>
      </c>
      <c r="N1022" s="222" t="str">
        <f>IFERROR(__xludf.DUMMYFUNCTION("""COMPUTED_VALUE"""),"PT HDUA PUTRA PRAJODA")</f>
        <v>PT HDUA PUTRA PRAJODA</v>
      </c>
      <c r="O1022" s="222" t="str">
        <f>IFERROR(__xludf.DUMMYFUNCTION("""COMPUTED_VALUE"""),"0. DROP")</f>
        <v>0. DROP</v>
      </c>
      <c r="P1022" s="222" t="str">
        <f>IFERROR(__xludf.DUMMYFUNCTION("""COMPUTED_VALUE"""),"0.1 Double Order")</f>
        <v>0.1 Double Order</v>
      </c>
      <c r="Q1022" s="222" t="str">
        <f>IFERROR(__xludf.DUMMYFUNCTION("""COMPUTED_VALUE"""),"21/01 RKP TSEL PT3 KAI-FV KAVLING SENJULUNG double order")</f>
        <v>21/01 RKP TSEL PT3 KAI-FV KAVLING SENJULUNG double order</v>
      </c>
      <c r="R1022" s="228"/>
      <c r="S1022" s="11"/>
      <c r="T1022" s="11"/>
      <c r="U1022" s="11"/>
      <c r="V1022" s="229" t="str">
        <f>IFERROR(__xludf.DUMMYFUNCTION("""COMPUTED_VALUE"""),"GANI PRASTYO")</f>
        <v>GANI PRASTYO</v>
      </c>
      <c r="W1022" s="229" t="str">
        <f>IFERROR(__xludf.DUMMYFUNCTION("""COMPUTED_VALUE"""),"LEVITA INDRIYANI")</f>
        <v>LEVITA INDRIYANI</v>
      </c>
      <c r="X1022" s="229" t="str">
        <f>IFERROR(__xludf.DUMMYFUNCTION("""COMPUTED_VALUE"""),"BELUM GOLIVE")</f>
        <v>BELUM GOLIVE</v>
      </c>
      <c r="Y1022" s="229"/>
      <c r="Z1022" s="229" t="str">
        <f>IFERROR(__xludf.DUMMYFUNCTION("""COMPUTED_VALUE"""),"#N/A")</f>
        <v>#N/A</v>
      </c>
      <c r="AA1022" s="229"/>
      <c r="AB1022" s="229"/>
      <c r="AC1022" s="229"/>
      <c r="AD1022" s="232"/>
      <c r="AE1022" s="233"/>
      <c r="AF1022" s="54" t="str">
        <f>IFERROR(__xludf.DUMMYFUNCTION("""COMPUTED_VALUE"""),"Draft BA DROP")</f>
        <v>Draft BA DROP</v>
      </c>
      <c r="AG1022" s="54"/>
      <c r="AH1022" s="54"/>
      <c r="AI1022" s="55" t="str">
        <f t="shared" si="113"/>
        <v/>
      </c>
      <c r="AW1022" s="234"/>
      <c r="BP1022" s="11"/>
      <c r="BQ1022" s="11"/>
      <c r="BR1022" s="235"/>
      <c r="BV1022" s="158"/>
      <c r="BY1022" s="158"/>
      <c r="CB1022" s="158"/>
    </row>
    <row r="1023" ht="18.0" hidden="1" customHeight="1">
      <c r="A1023" s="222">
        <f>IFERROR(__xludf.DUMMYFUNCTION("""COMPUTED_VALUE"""),2026.0)</f>
        <v>2026</v>
      </c>
      <c r="B1023" s="221">
        <f>IFERROR(__xludf.DUMMYFUNCTION("""COMPUTED_VALUE"""),1.1264005E7)</f>
        <v>11264005</v>
      </c>
      <c r="C1023" s="222" t="str">
        <f>IFERROR(__xludf.DUMMYFUNCTION("""COMPUTED_VALUE"""),"ACH PT3 SGI-FP D04 BLANG PASEH")</f>
        <v>ACH PT3 SGI-FP D04 BLANG PASEH</v>
      </c>
      <c r="D1023" s="222" t="str">
        <f>IFERROR(__xludf.DUMMYFUNCTION("""COMPUTED_VALUE"""),"REGIONAL I")</f>
        <v>REGIONAL I</v>
      </c>
      <c r="E1023" s="222" t="str">
        <f>IFERROR(__xludf.DUMMYFUNCTION("""COMPUTED_VALUE"""),"ACEH")</f>
        <v>ACEH</v>
      </c>
      <c r="F1023" s="222" t="str">
        <f>IFERROR(__xludf.DUMMYFUNCTION("""COMPUTED_VALUE"""),"SGI")</f>
        <v>SGI</v>
      </c>
      <c r="G1023" s="222" t="str">
        <f>IFERROR(__xludf.DUMMYFUNCTION("""COMPUTED_VALUE"""),"SUMBAGUT")</f>
        <v>SUMBAGUT</v>
      </c>
      <c r="H1023" s="222" t="str">
        <f>IFERROR(__xludf.DUMMYFUNCTION("""COMPUTED_VALUE"""),"BANDA ACEH")</f>
        <v>BANDA ACEH</v>
      </c>
      <c r="I1023" s="222" t="str">
        <f>IFERROR(__xludf.DUMMYFUNCTION("""COMPUTED_VALUE"""),"Batch 2")</f>
        <v>Batch 2</v>
      </c>
      <c r="J1023" s="225">
        <f>IFERROR(__xludf.DUMMYFUNCTION("""COMPUTED_VALUE"""),21.0)</f>
        <v>21</v>
      </c>
      <c r="K1023" s="224">
        <f>IFERROR(__xludf.DUMMYFUNCTION("""COMPUTED_VALUE"""),168.0)</f>
        <v>168</v>
      </c>
      <c r="L1023" s="226">
        <f>IFERROR(__xludf.DUMMYFUNCTION("""COMPUTED_VALUE"""),952807.0)</f>
        <v>952807</v>
      </c>
      <c r="M1023" s="227">
        <f>IFERROR(__xludf.DUMMYFUNCTION("""COMPUTED_VALUE"""),1.60071456E8)</f>
        <v>160071456</v>
      </c>
      <c r="N1023" s="222" t="str">
        <f>IFERROR(__xludf.DUMMYFUNCTION("""COMPUTED_VALUE"""),"PT NIAGA NUSANTARA DIVA")</f>
        <v>PT NIAGA NUSANTARA DIVA</v>
      </c>
      <c r="O1023" s="222" t="str">
        <f>IFERROR(__xludf.DUMMYFUNCTION("""COMPUTED_VALUE"""),"7. GOLIVE")</f>
        <v>7. GOLIVE</v>
      </c>
      <c r="P1023" s="222" t="str">
        <f>IFERROR(__xludf.DUMMYFUNCTION("""COMPUTED_VALUE"""),"7.2 Golive Full / OA / DONE OTB")</f>
        <v>7.2 Golive Full / OA / DONE OTB</v>
      </c>
      <c r="Q1023" s="222" t="str">
        <f>IFERROR(__xludf.DUMMYFUNCTION("""COMPUTED_VALUE"""),"(04/02) ABD Mancore (02/02) Terminasi (29/01) Penarikan Kabel (07/01) Persiapan")</f>
        <v>(04/02) ABD Mancore (02/02) Terminasi (29/01) Penarikan Kabel (07/01) Persiapan</v>
      </c>
      <c r="R1023" s="228">
        <f>IFERROR(__xludf.DUMMYFUNCTION("""COMPUTED_VALUE"""),46058.0)</f>
        <v>46058</v>
      </c>
      <c r="S1023" s="11"/>
      <c r="T1023" s="11"/>
      <c r="U1023" s="11" t="str">
        <f>IFERROR(__xludf.DUMMYFUNCTION("""COMPUTED_VALUE"""),"W04-968/2025")</f>
        <v>W04-968/2025</v>
      </c>
      <c r="V1023" s="229"/>
      <c r="W1023" s="229"/>
      <c r="X1023" s="229" t="str">
        <f>IFERROR(__xludf.DUMMYFUNCTION("""COMPUTED_VALUE"""),"GOLIVE")</f>
        <v>GOLIVE</v>
      </c>
      <c r="Y1023" s="229" t="str">
        <f>IFERROR(__xludf.DUMMYFUNCTION("""COMPUTED_VALUE"""),"DONE")</f>
        <v>DONE</v>
      </c>
      <c r="Z1023" s="229" t="str">
        <f>IFERROR(__xludf.DUMMYFUNCTION("""COMPUTED_VALUE"""),"#N/A")</f>
        <v>#N/A</v>
      </c>
      <c r="AA1023" s="229">
        <f>IFERROR(__xludf.DUMMYFUNCTION("""COMPUTED_VALUE"""),21.0)</f>
        <v>21</v>
      </c>
      <c r="AB1023" s="229"/>
      <c r="AC1023" s="229" t="str">
        <f>IFERROR(__xludf.DUMMYFUNCTION("""COMPUTED_VALUE"""),"9060872#9060878")</f>
        <v>9060872#9060878</v>
      </c>
      <c r="AD1023" s="232">
        <f>IFERROR(__xludf.DUMMYFUNCTION("""COMPUTED_VALUE"""),168.0)</f>
        <v>168</v>
      </c>
      <c r="AE1023" s="233">
        <f>IFERROR(__xludf.DUMMYFUNCTION("""COMPUTED_VALUE"""),46058.0)</f>
        <v>46058</v>
      </c>
      <c r="AF1023" s="54"/>
      <c r="AG1023" s="54"/>
      <c r="AH1023" s="54">
        <v>46058.0</v>
      </c>
      <c r="AI1023" s="55">
        <f t="shared" si="113"/>
        <v>0</v>
      </c>
      <c r="AW1023" s="234"/>
      <c r="BP1023" s="11"/>
      <c r="BQ1023" s="11"/>
      <c r="BR1023" s="235"/>
      <c r="BV1023" s="158"/>
      <c r="BY1023" s="158"/>
      <c r="CB1023" s="158"/>
    </row>
    <row r="1024" ht="18.0" customHeight="1">
      <c r="A1024" s="222">
        <f>IFERROR(__xludf.DUMMYFUNCTION("""COMPUTED_VALUE"""),2026.0)</f>
        <v>2026</v>
      </c>
      <c r="B1024" s="221">
        <f>IFERROR(__xludf.DUMMYFUNCTION("""COMPUTED_VALUE"""),1.1506498E7)</f>
        <v>11506498</v>
      </c>
      <c r="C1024" s="222" t="str">
        <f>IFERROR(__xludf.DUMMYFUNCTION("""COMPUTED_VALUE"""),"RKP PT3 TSEL BTC-FEN TAMAN VALENCIA")</f>
        <v>RKP PT3 TSEL BTC-FEN TAMAN VALENCIA</v>
      </c>
      <c r="D1024" s="222" t="str">
        <f>IFERROR(__xludf.DUMMYFUNCTION("""COMPUTED_VALUE"""),"REGIONAL I")</f>
        <v>REGIONAL I</v>
      </c>
      <c r="E1024" s="222" t="str">
        <f>IFERROR(__xludf.DUMMYFUNCTION("""COMPUTED_VALUE"""),"RIKEP")</f>
        <v>RIKEP</v>
      </c>
      <c r="F1024" s="222" t="str">
        <f>IFERROR(__xludf.DUMMYFUNCTION("""COMPUTED_VALUE"""),"BTC")</f>
        <v>BTC</v>
      </c>
      <c r="G1024" s="222" t="str">
        <f>IFERROR(__xludf.DUMMYFUNCTION("""COMPUTED_VALUE"""),"SUMBAGTENG")</f>
        <v>SUMBAGTENG</v>
      </c>
      <c r="H1024" s="222" t="str">
        <f>IFERROR(__xludf.DUMMYFUNCTION("""COMPUTED_VALUE"""),"BATAM")</f>
        <v>BATAM</v>
      </c>
      <c r="I1024" s="222" t="str">
        <f>IFERROR(__xludf.DUMMYFUNCTION("""COMPUTED_VALUE"""),"Batch 2")</f>
        <v>Batch 2</v>
      </c>
      <c r="J1024" s="225">
        <f>IFERROR(__xludf.DUMMYFUNCTION("""COMPUTED_VALUE"""),2.0)</f>
        <v>2</v>
      </c>
      <c r="K1024" s="224">
        <f>IFERROR(__xludf.DUMMYFUNCTION("""COMPUTED_VALUE"""),16.0)</f>
        <v>16</v>
      </c>
      <c r="L1024" s="226">
        <f>IFERROR(__xludf.DUMMYFUNCTION("""COMPUTED_VALUE"""),1250765.0)</f>
        <v>1250765</v>
      </c>
      <c r="M1024" s="227">
        <f>IFERROR(__xludf.DUMMYFUNCTION("""COMPUTED_VALUE"""),2.0012227E7)</f>
        <v>20012227</v>
      </c>
      <c r="N1024" s="222" t="str">
        <f>IFERROR(__xludf.DUMMYFUNCTION("""COMPUTED_VALUE"""),"PT ALTONG JAYA ABADI")</f>
        <v>PT ALTONG JAYA ABADI</v>
      </c>
      <c r="O1024" s="222" t="str">
        <f>IFERROR(__xludf.DUMMYFUNCTION("""COMPUTED_VALUE"""),"0. DROP")</f>
        <v>0. DROP</v>
      </c>
      <c r="P1024" s="222" t="str">
        <f>IFERROR(__xludf.DUMMYFUNCTION("""COMPUTED_VALUE"""),"0.2 Tidak Dapat Izin Warga/Kades/Lurah/Developer")</f>
        <v>0.2 Tidak Dapat Izin Warga/Kades/Lurah/Developer</v>
      </c>
      <c r="Q1024" s="222" t="str">
        <f>IFERROR(__xludf.DUMMYFUNCTION("""COMPUTED_VALUE"""),"28/01 tidak di izinkan RT/RW. 26/01  Mitra PT Altong menolak order alasan MP, peralihan mitra. 21/01 plan fu perizinan tanggal 26 Jan")</f>
        <v>28/01 tidak di izinkan RT/RW. 26/01  Mitra PT Altong menolak order alasan MP, peralihan mitra. 21/01 plan fu perizinan tanggal 26 Jan</v>
      </c>
      <c r="R1024" s="228"/>
      <c r="S1024" s="11"/>
      <c r="T1024" s="11"/>
      <c r="U1024" s="11"/>
      <c r="V1024" s="229" t="str">
        <f>IFERROR(__xludf.DUMMYFUNCTION("""COMPUTED_VALUE"""),"GANI PRASTYO")</f>
        <v>GANI PRASTYO</v>
      </c>
      <c r="W1024" s="229" t="str">
        <f>IFERROR(__xludf.DUMMYFUNCTION("""COMPUTED_VALUE"""),"LEVITA INDRIYANI")</f>
        <v>LEVITA INDRIYANI</v>
      </c>
      <c r="X1024" s="229" t="str">
        <f>IFERROR(__xludf.DUMMYFUNCTION("""COMPUTED_VALUE"""),"BELUM GOLIVE")</f>
        <v>BELUM GOLIVE</v>
      </c>
      <c r="Y1024" s="229"/>
      <c r="Z1024" s="229" t="str">
        <f>IFERROR(__xludf.DUMMYFUNCTION("""COMPUTED_VALUE"""),"#N/A")</f>
        <v>#N/A</v>
      </c>
      <c r="AA1024" s="229"/>
      <c r="AB1024" s="229"/>
      <c r="AC1024" s="229"/>
      <c r="AD1024" s="232"/>
      <c r="AE1024" s="233"/>
      <c r="AF1024" s="54" t="str">
        <f>IFERROR(__xludf.DUMMYFUNCTION("""COMPUTED_VALUE"""),"Draft BA DROP")</f>
        <v>Draft BA DROP</v>
      </c>
      <c r="AG1024" s="54"/>
      <c r="AH1024" s="54"/>
      <c r="AI1024" s="55" t="str">
        <f t="shared" si="113"/>
        <v/>
      </c>
      <c r="AW1024" s="234"/>
      <c r="BP1024" s="11"/>
      <c r="BQ1024" s="11"/>
      <c r="BR1024" s="235"/>
      <c r="BV1024" s="158"/>
      <c r="BY1024" s="158"/>
      <c r="CB1024" s="158"/>
    </row>
    <row r="1025" ht="18.0" hidden="1" customHeight="1">
      <c r="A1025" s="222">
        <f>IFERROR(__xludf.DUMMYFUNCTION("""COMPUTED_VALUE"""),2026.0)</f>
        <v>2026</v>
      </c>
      <c r="B1025" s="221">
        <f>IFERROR(__xludf.DUMMYFUNCTION("""COMPUTED_VALUE"""),1.1843229E7)</f>
        <v>11843229</v>
      </c>
      <c r="C1025" s="222" t="str">
        <f>IFERROR(__xludf.DUMMYFUNCTION("""COMPUTED_VALUE"""),"MDN PT3 TMU-FK JL.SULTAN")</f>
        <v>MDN PT3 TMU-FK JL.SULTAN</v>
      </c>
      <c r="D1025" s="222" t="str">
        <f>IFERROR(__xludf.DUMMYFUNCTION("""COMPUTED_VALUE"""),"REGIONAL I")</f>
        <v>REGIONAL I</v>
      </c>
      <c r="E1025" s="222" t="str">
        <f>IFERROR(__xludf.DUMMYFUNCTION("""COMPUTED_VALUE"""),"MEDAN")</f>
        <v>MEDAN</v>
      </c>
      <c r="F1025" s="222" t="str">
        <f>IFERROR(__xludf.DUMMYFUNCTION("""COMPUTED_VALUE"""),"TMU")</f>
        <v>TMU</v>
      </c>
      <c r="G1025" s="222" t="str">
        <f>IFERROR(__xludf.DUMMYFUNCTION("""COMPUTED_VALUE"""),"SUMBAGUT")</f>
        <v>SUMBAGUT</v>
      </c>
      <c r="H1025" s="222" t="str">
        <f>IFERROR(__xludf.DUMMYFUNCTION("""COMPUTED_VALUE"""),"MEDAN")</f>
        <v>MEDAN</v>
      </c>
      <c r="I1025" s="222" t="str">
        <f>IFERROR(__xludf.DUMMYFUNCTION("""COMPUTED_VALUE"""),"Batch 2")</f>
        <v>Batch 2</v>
      </c>
      <c r="J1025" s="225">
        <f>IFERROR(__xludf.DUMMYFUNCTION("""COMPUTED_VALUE"""),3.0)</f>
        <v>3</v>
      </c>
      <c r="K1025" s="224">
        <f>IFERROR(__xludf.DUMMYFUNCTION("""COMPUTED_VALUE"""),24.0)</f>
        <v>24</v>
      </c>
      <c r="L1025" s="226">
        <f>IFERROR(__xludf.DUMMYFUNCTION("""COMPUTED_VALUE"""),1162014.0)</f>
        <v>1162014</v>
      </c>
      <c r="M1025" s="227">
        <f>IFERROR(__xludf.DUMMYFUNCTION("""COMPUTED_VALUE"""),2.7888319E7)</f>
        <v>27888319</v>
      </c>
      <c r="N1025" s="222" t="str">
        <f>IFERROR(__xludf.DUMMYFUNCTION("""COMPUTED_VALUE"""),"SWAKELOLA")</f>
        <v>SWAKELOLA</v>
      </c>
      <c r="O1025" s="222" t="str">
        <f>IFERROR(__xludf.DUMMYFUNCTION("""COMPUTED_VALUE"""),"0. DROP")</f>
        <v>0. DROP</v>
      </c>
      <c r="P1025" s="222" t="str">
        <f>IFERROR(__xludf.DUMMYFUNCTION("""COMPUTED_VALUE"""),"0.4 CPP Tinggi Acc ED TIF")</f>
        <v>0.4 CPP Tinggi Acc ED TIF</v>
      </c>
      <c r="Q1025" s="222" t="str">
        <f>IFERROR(__xludf.DUMMYFUNCTION("""COMPUTED_VALUE"""),"(07/01) Persiapan")</f>
        <v>(07/01) Persiapan</v>
      </c>
      <c r="R1025" s="228"/>
      <c r="S1025" s="11"/>
      <c r="T1025" s="11"/>
      <c r="U1025" s="11"/>
      <c r="V1025" s="229"/>
      <c r="W1025" s="229"/>
      <c r="X1025" s="229" t="str">
        <f>IFERROR(__xludf.DUMMYFUNCTION("""COMPUTED_VALUE"""),"BELUM GOLIVE")</f>
        <v>BELUM GOLIVE</v>
      </c>
      <c r="Y1025" s="229"/>
      <c r="Z1025" s="229" t="str">
        <f>IFERROR(__xludf.DUMMYFUNCTION("""COMPUTED_VALUE"""),"#N/A")</f>
        <v>#N/A</v>
      </c>
      <c r="AA1025" s="229"/>
      <c r="AB1025" s="229"/>
      <c r="AC1025" s="229"/>
      <c r="AD1025" s="232"/>
      <c r="AE1025" s="233"/>
      <c r="AF1025" s="54" t="str">
        <f>IFERROR(__xludf.DUMMYFUNCTION("""COMPUTED_VALUE"""),"Draft BA DROP")</f>
        <v>Draft BA DROP</v>
      </c>
      <c r="AG1025" s="54"/>
      <c r="AH1025" s="54"/>
      <c r="AI1025" s="55" t="str">
        <f t="shared" si="113"/>
        <v/>
      </c>
      <c r="AW1025" s="234"/>
      <c r="BP1025" s="11"/>
      <c r="BQ1025" s="11"/>
      <c r="BR1025" s="235"/>
      <c r="BV1025" s="158"/>
      <c r="BY1025" s="158"/>
      <c r="CB1025" s="158"/>
    </row>
    <row r="1026" ht="18.0" hidden="1" customHeight="1">
      <c r="A1026" s="222">
        <f>IFERROR(__xludf.DUMMYFUNCTION("""COMPUTED_VALUE"""),2026.0)</f>
        <v>2026</v>
      </c>
      <c r="B1026" s="221">
        <f>IFERROR(__xludf.DUMMYFUNCTION("""COMPUTED_VALUE"""),1.2299444E7)</f>
        <v>12299444</v>
      </c>
      <c r="C1026" s="222" t="str">
        <f>IFERROR(__xludf.DUMMYFUNCTION("""COMPUTED_VALUE"""),"BNK PT3 MUA FAD JPPTSEL 55786_H2_2025")</f>
        <v>BNK PT3 MUA FAD JPPTSEL 55786_H2_2025</v>
      </c>
      <c r="D1026" s="222" t="str">
        <f>IFERROR(__xludf.DUMMYFUNCTION("""COMPUTED_VALUE"""),"REGIONAL I")</f>
        <v>REGIONAL I</v>
      </c>
      <c r="E1026" s="222" t="str">
        <f>IFERROR(__xludf.DUMMYFUNCTION("""COMPUTED_VALUE"""),"BENGKULU")</f>
        <v>BENGKULU</v>
      </c>
      <c r="F1026" s="222" t="str">
        <f>IFERROR(__xludf.DUMMYFUNCTION("""COMPUTED_VALUE"""),"MUA")</f>
        <v>MUA</v>
      </c>
      <c r="G1026" s="222" t="str">
        <f>IFERROR(__xludf.DUMMYFUNCTION("""COMPUTED_VALUE"""),"SUMBAGSEL")</f>
        <v>SUMBAGSEL</v>
      </c>
      <c r="H1026" s="222" t="str">
        <f>IFERROR(__xludf.DUMMYFUNCTION("""COMPUTED_VALUE"""),"BENGKULU")</f>
        <v>BENGKULU</v>
      </c>
      <c r="I1026" s="222" t="str">
        <f>IFERROR(__xludf.DUMMYFUNCTION("""COMPUTED_VALUE"""),"Batch 2")</f>
        <v>Batch 2</v>
      </c>
      <c r="J1026" s="225">
        <f>IFERROR(__xludf.DUMMYFUNCTION("""COMPUTED_VALUE"""),7.0)</f>
        <v>7</v>
      </c>
      <c r="K1026" s="224">
        <f>IFERROR(__xludf.DUMMYFUNCTION("""COMPUTED_VALUE"""),56.0)</f>
        <v>56</v>
      </c>
      <c r="L1026" s="226">
        <f>IFERROR(__xludf.DUMMYFUNCTION("""COMPUTED_VALUE"""),916889.0)</f>
        <v>916889</v>
      </c>
      <c r="M1026" s="227">
        <f>IFERROR(__xludf.DUMMYFUNCTION("""COMPUTED_VALUE"""),5.1345756E7)</f>
        <v>51345756</v>
      </c>
      <c r="N1026" s="222" t="str">
        <f>IFERROR(__xludf.DUMMYFUNCTION("""COMPUTED_VALUE"""),"PT GARINDO TECHNO MANDIRI")</f>
        <v>PT GARINDO TECHNO MANDIRI</v>
      </c>
      <c r="O1026" s="222" t="str">
        <f>IFERROR(__xludf.DUMMYFUNCTION("""COMPUTED_VALUE"""),"5. INSTALASI")</f>
        <v>5. INSTALASI</v>
      </c>
      <c r="P1026" s="222" t="str">
        <f>IFERROR(__xludf.DUMMYFUNCTION("""COMPUTED_VALUE"""),"5.11 Jumper menunggu CO / Upgrade ODC")</f>
        <v>5.11 Jumper menunggu CO / Upgrade ODC</v>
      </c>
      <c r="Q1026" s="222" t="str">
        <f>IFERROR(__xludf.DUMMYFUNCTION("""COMPUTED_VALUE"""),"28/04: Dependensi dari lembong tambang, CO masih konfirmasi TIF // 12:04 : Done progres fisik, menunggu depedensi dari odc lebong tambang // 12/03: bangun ODC 288 // 09/03 Lebong Tambang masih Instalasi Penarikan Kabel 06/03 : finsih instalasi, depedensi "&amp;"dari lop Lebong Tambang // 04/03: pararel instalasi ODP, menunggu  CO ODC MUA FAD // 02/03 ada depedensi dari lop Lebong Tambang - instal odp 25/02: finish penarikan kabel adss 24c, lanjut penarikan kabel adss 12c // 24/02 : proses tarik kabel 24 c // 22/"&amp;"2 plan 23 FEB progres 18/2  menunggu antrian kerja dari lop 11994 , material Onsite (11/2) ODC perlu update, 9/2 : kendala UPgrade ODC//07/02: menunggu antrian pekerjaan // 06/02: bongkar material on site, pengecatan tiang (menunggu antrian pekerjaan) // "&amp;"05/02: pagi ini sedang dalam perjalanan delivery material ke lokasi // 03/02: proses PR/PO // 26/01 : hasil anwidjzing done // 22/01 : OGP pemuatan anwidzjing // 19/01 : Proses surevy dan BAKP // 13/01 : Proses BAKP dan survey // (07/01) Persiapan")</f>
        <v>28/04: Dependensi dari lembong tambang, CO masih konfirmasi TIF // 12:04 : Done progres fisik, menunggu depedensi dari odc lebong tambang // 12/03: bangun ODC 288 // 09/03 Lebong Tambang masih Instalasi Penarikan Kabel 06/03 : finsih instalasi, depedensi dari lop Lebong Tambang // 04/03: pararel instalasi ODP, menunggu  CO ODC MUA FAD // 02/03 ada depedensi dari lop Lebong Tambang - instal odp 25/02: finish penarikan kabel adss 24c, lanjut penarikan kabel adss 12c // 24/02 : proses tarik kabel 24 c // 22/2 plan 23 FEB progres 18/2  menunggu antrian kerja dari lop 11994 , material Onsite (11/2) ODC perlu update, 9/2 : kendala UPgrade ODC//07/02: menunggu antrian pekerjaan // 06/02: bongkar material on site, pengecatan tiang (menunggu antrian pekerjaan) // 05/02: pagi ini sedang dalam perjalanan delivery material ke lokasi // 03/02: proses PR/PO // 26/01 : hasil anwidjzing done // 22/01 : OGP pemuatan anwidzjing // 19/01 : Proses surevy dan BAKP // 13/01 : Proses BAKP dan survey // (07/01) Persiapan</v>
      </c>
      <c r="R1026" s="228">
        <f>IFERROR(__xludf.DUMMYFUNCTION("""COMPUTED_VALUE"""),46138.0)</f>
        <v>46138</v>
      </c>
      <c r="S1026" s="11" t="str">
        <f>IFERROR(__xludf.DUMMYFUNCTION("""COMPUTED_VALUE"""),"APR")</f>
        <v>APR</v>
      </c>
      <c r="T1026" s="73" t="str">
        <f>IFERROR(__xludf.DUMMYFUNCTION("""COMPUTED_VALUE"""),"P1")</f>
        <v>P1</v>
      </c>
      <c r="U1026" s="11" t="str">
        <f>IFERROR(__xludf.DUMMYFUNCTION("""COMPUTED_VALUE"""),"TIF-2188/2026")</f>
        <v>TIF-2188/2026</v>
      </c>
      <c r="V1026" s="229"/>
      <c r="W1026" s="229"/>
      <c r="X1026" s="229" t="str">
        <f>IFERROR(__xludf.DUMMYFUNCTION("""COMPUTED_VALUE"""),"BELUM GOLIVE")</f>
        <v>BELUM GOLIVE</v>
      </c>
      <c r="Y1026" s="229"/>
      <c r="Z1026" s="229" t="str">
        <f>IFERROR(__xludf.DUMMYFUNCTION("""COMPUTED_VALUE"""),"#N/A")</f>
        <v>#N/A</v>
      </c>
      <c r="AA1026" s="229"/>
      <c r="AB1026" s="229"/>
      <c r="AC1026" s="229"/>
      <c r="AD1026" s="232"/>
      <c r="AE1026" s="233"/>
      <c r="AF1026" s="54"/>
      <c r="AG1026" s="54"/>
      <c r="AH1026" s="54">
        <v>46138.0</v>
      </c>
      <c r="AI1026" s="55" t="str">
        <f t="shared" si="113"/>
        <v/>
      </c>
      <c r="AW1026" s="234"/>
      <c r="BP1026" s="11"/>
      <c r="BQ1026" s="11"/>
      <c r="BR1026" s="235"/>
      <c r="BV1026" s="158"/>
      <c r="BY1026" s="158"/>
      <c r="CB1026" s="158"/>
    </row>
    <row r="1027" ht="18.0" customHeight="1">
      <c r="A1027" s="222">
        <f>IFERROR(__xludf.DUMMYFUNCTION("""COMPUTED_VALUE"""),2026.0)</f>
        <v>2026</v>
      </c>
      <c r="B1027" s="221">
        <f>IFERROR(__xludf.DUMMYFUNCTION("""COMPUTED_VALUE"""),1.1100264E7)</f>
        <v>11100264</v>
      </c>
      <c r="C1027" s="222" t="str">
        <f>IFERROR(__xludf.DUMMYFUNCTION("""COMPUTED_VALUE"""),"RKP PT3 JPPTSEL KMS-FBJ GRAHA MAS RESIDENCE_")</f>
        <v>RKP PT3 JPPTSEL KMS-FBJ GRAHA MAS RESIDENCE_</v>
      </c>
      <c r="D1027" s="222" t="str">
        <f>IFERROR(__xludf.DUMMYFUNCTION("""COMPUTED_VALUE"""),"REGIONAL I")</f>
        <v>REGIONAL I</v>
      </c>
      <c r="E1027" s="222" t="str">
        <f>IFERROR(__xludf.DUMMYFUNCTION("""COMPUTED_VALUE"""),"RIKEP")</f>
        <v>RIKEP</v>
      </c>
      <c r="F1027" s="222" t="str">
        <f>IFERROR(__xludf.DUMMYFUNCTION("""COMPUTED_VALUE"""),"KIJ")</f>
        <v>KIJ</v>
      </c>
      <c r="G1027" s="222" t="str">
        <f>IFERROR(__xludf.DUMMYFUNCTION("""COMPUTED_VALUE"""),"SUMBAGTENG")</f>
        <v>SUMBAGTENG</v>
      </c>
      <c r="H1027" s="222" t="str">
        <f>IFERROR(__xludf.DUMMYFUNCTION("""COMPUTED_VALUE"""),"BATAM")</f>
        <v>BATAM</v>
      </c>
      <c r="I1027" s="222" t="str">
        <f>IFERROR(__xludf.DUMMYFUNCTION("""COMPUTED_VALUE"""),"Batch 2")</f>
        <v>Batch 2</v>
      </c>
      <c r="J1027" s="225">
        <f>IFERROR(__xludf.DUMMYFUNCTION("""COMPUTED_VALUE"""),6.0)</f>
        <v>6</v>
      </c>
      <c r="K1027" s="224">
        <f>IFERROR(__xludf.DUMMYFUNCTION("""COMPUTED_VALUE"""),48.0)</f>
        <v>48</v>
      </c>
      <c r="L1027" s="226">
        <f>IFERROR(__xludf.DUMMYFUNCTION("""COMPUTED_VALUE"""),951437.0)</f>
        <v>951437</v>
      </c>
      <c r="M1027" s="227">
        <f>IFERROR(__xludf.DUMMYFUNCTION("""COMPUTED_VALUE"""),4.5668975E7)</f>
        <v>45668975</v>
      </c>
      <c r="N1027" s="222" t="str">
        <f>IFERROR(__xludf.DUMMYFUNCTION("""COMPUTED_VALUE"""),"PT SALTTEK DUMPANG JAYA")</f>
        <v>PT SALTTEK DUMPANG JAYA</v>
      </c>
      <c r="O1027" s="222" t="str">
        <f>IFERROR(__xludf.DUMMYFUNCTION("""COMPUTED_VALUE"""),"7. GOLIVE")</f>
        <v>7. GOLIVE</v>
      </c>
      <c r="P1027" s="222" t="str">
        <f>IFERROR(__xludf.DUMMYFUNCTION("""COMPUTED_VALUE"""),"7.2 Golive Full / OA / DONE OTB")</f>
        <v>7.2 Golive Full / OA / DONE OTB</v>
      </c>
      <c r="Q1027" s="222" t="str">
        <f>IFERROR(__xludf.DUMMYFUNCTION("""COMPUTED_VALUE"""),"10/02 pembuatan ABD mitra. 09/02 Terminasi ODP. 04/02 Proses gali tiang, plan FI Tgl 9 Feb. 30/01 Izin OK, proses req material. 28/01 Anwijzing OK, proses perizinan, FU kembali HI. 21/02 Plan survey dalam minggu ini 25 jan 2026")</f>
        <v>10/02 pembuatan ABD mitra. 09/02 Terminasi ODP. 04/02 Proses gali tiang, plan FI Tgl 9 Feb. 30/01 Izin OK, proses req material. 28/01 Anwijzing OK, proses perizinan, FU kembali HI. 21/02 Plan survey dalam minggu ini 25 jan 2026</v>
      </c>
      <c r="R1027" s="228">
        <f>IFERROR(__xludf.DUMMYFUNCTION("""COMPUTED_VALUE"""),46067.0)</f>
        <v>46067</v>
      </c>
      <c r="S1027" s="11"/>
      <c r="T1027" s="11"/>
      <c r="U1027" s="11" t="str">
        <f>IFERROR(__xludf.DUMMYFUNCTION("""COMPUTED_VALUE"""),"W09-146/2026")</f>
        <v>W09-146/2026</v>
      </c>
      <c r="V1027" s="229" t="str">
        <f>IFERROR(__xludf.DUMMYFUNCTION("""COMPUTED_VALUE"""),"DEDY IRAWAN")</f>
        <v>DEDY IRAWAN</v>
      </c>
      <c r="W1027" s="229" t="str">
        <f>IFERROR(__xludf.DUMMYFUNCTION("""COMPUTED_VALUE"""),"LEVITA INDRIYANI")</f>
        <v>LEVITA INDRIYANI</v>
      </c>
      <c r="X1027" s="229" t="str">
        <f>IFERROR(__xludf.DUMMYFUNCTION("""COMPUTED_VALUE"""),"GOLIVE")</f>
        <v>GOLIVE</v>
      </c>
      <c r="Y1027" s="229" t="str">
        <f>IFERROR(__xludf.DUMMYFUNCTION("""COMPUTED_VALUE"""),"DONE")</f>
        <v>DONE</v>
      </c>
      <c r="Z1027" s="229" t="str">
        <f>IFERROR(__xludf.DUMMYFUNCTION("""COMPUTED_VALUE"""),"#N/A")</f>
        <v>#N/A</v>
      </c>
      <c r="AA1027" s="229">
        <f>IFERROR(__xludf.DUMMYFUNCTION("""COMPUTED_VALUE"""),6.0)</f>
        <v>6</v>
      </c>
      <c r="AB1027" s="229"/>
      <c r="AC1027" s="229" t="str">
        <f>IFERROR(__xludf.DUMMYFUNCTION("""COMPUTED_VALUE"""),"9097409#9097414")</f>
        <v>9097409#9097414</v>
      </c>
      <c r="AD1027" s="232">
        <f>IFERROR(__xludf.DUMMYFUNCTION("""COMPUTED_VALUE"""),48.0)</f>
        <v>48</v>
      </c>
      <c r="AE1027" s="233">
        <f>IFERROR(__xludf.DUMMYFUNCTION("""COMPUTED_VALUE"""),46064.0)</f>
        <v>46064</v>
      </c>
      <c r="AF1027" s="54"/>
      <c r="AG1027" s="54"/>
      <c r="AH1027" s="54">
        <v>46067.0</v>
      </c>
      <c r="AI1027" s="55">
        <f>IF(OR(AH1027="",AE1027=""),"",AH1027-AE1027)</f>
        <v>3</v>
      </c>
      <c r="AW1027" s="234"/>
      <c r="BP1027" s="11"/>
      <c r="BQ1027" s="11"/>
      <c r="BR1027" s="235"/>
      <c r="BV1027" s="158"/>
      <c r="BY1027" s="158"/>
      <c r="CB1027" s="158"/>
    </row>
    <row r="1028" ht="18.0" hidden="1" customHeight="1">
      <c r="A1028" s="222">
        <f>IFERROR(__xludf.DUMMYFUNCTION("""COMPUTED_VALUE"""),2026.0)</f>
        <v>2026</v>
      </c>
      <c r="B1028" s="221">
        <f>IFERROR(__xludf.DUMMYFUNCTION("""COMPUTED_VALUE"""),1.1227135E7)</f>
        <v>11227135</v>
      </c>
      <c r="C1028" s="222" t="str">
        <f>IFERROR(__xludf.DUMMYFUNCTION("""COMPUTED_VALUE"""),"MDN PT3 P7I12 BLW-FAD NELAYAN INDAH")</f>
        <v>MDN PT3 P7I12 BLW-FAD NELAYAN INDAH</v>
      </c>
      <c r="D1028" s="222" t="str">
        <f>IFERROR(__xludf.DUMMYFUNCTION("""COMPUTED_VALUE"""),"REGIONAL I")</f>
        <v>REGIONAL I</v>
      </c>
      <c r="E1028" s="222" t="str">
        <f>IFERROR(__xludf.DUMMYFUNCTION("""COMPUTED_VALUE"""),"MEDAN")</f>
        <v>MEDAN</v>
      </c>
      <c r="F1028" s="222" t="str">
        <f>IFERROR(__xludf.DUMMYFUNCTION("""COMPUTED_VALUE"""),"BLW")</f>
        <v>BLW</v>
      </c>
      <c r="G1028" s="222" t="str">
        <f>IFERROR(__xludf.DUMMYFUNCTION("""COMPUTED_VALUE"""),"SUMBAGUT")</f>
        <v>SUMBAGUT</v>
      </c>
      <c r="H1028" s="222" t="str">
        <f>IFERROR(__xludf.DUMMYFUNCTION("""COMPUTED_VALUE"""),"MEDAN")</f>
        <v>MEDAN</v>
      </c>
      <c r="I1028" s="222" t="str">
        <f>IFERROR(__xludf.DUMMYFUNCTION("""COMPUTED_VALUE"""),"Batch 2")</f>
        <v>Batch 2</v>
      </c>
      <c r="J1028" s="225">
        <f>IFERROR(__xludf.DUMMYFUNCTION("""COMPUTED_VALUE"""),7.0)</f>
        <v>7</v>
      </c>
      <c r="K1028" s="224">
        <f>IFERROR(__xludf.DUMMYFUNCTION("""COMPUTED_VALUE"""),56.0)</f>
        <v>56</v>
      </c>
      <c r="L1028" s="226">
        <f>IFERROR(__xludf.DUMMYFUNCTION("""COMPUTED_VALUE"""),950451.0)</f>
        <v>950451</v>
      </c>
      <c r="M1028" s="227">
        <f>IFERROR(__xludf.DUMMYFUNCTION("""COMPUTED_VALUE"""),5.3225256E7)</f>
        <v>53225256</v>
      </c>
      <c r="N1028" s="222" t="str">
        <f>IFERROR(__xludf.DUMMYFUNCTION("""COMPUTED_VALUE"""),"PT GLOBAL KARYA WANDA")</f>
        <v>PT GLOBAL KARYA WANDA</v>
      </c>
      <c r="O1028" s="222" t="str">
        <f>IFERROR(__xludf.DUMMYFUNCTION("""COMPUTED_VALUE"""),"2. DONE AANWIJZING")</f>
        <v>2. DONE AANWIJZING</v>
      </c>
      <c r="P1028" s="222" t="str">
        <f>IFERROR(__xludf.DUMMYFUNCTION("""COMPUTED_VALUE"""),"2.10 Kendala - Feeder Rusak")</f>
        <v>2.10 Kendala - Feeder Rusak</v>
      </c>
      <c r="Q1028" s="222" t="str">
        <f>IFERROR(__xludf.DUMMYFUNCTION("""COMPUTED_VALUE"""),"24/02 feeder redti")</f>
        <v>24/02 feeder redti</v>
      </c>
      <c r="R1028" s="228"/>
      <c r="S1028" s="11"/>
      <c r="T1028" s="11"/>
      <c r="U1028" s="11"/>
      <c r="V1028" s="229"/>
      <c r="W1028" s="229"/>
      <c r="X1028" s="229" t="str">
        <f>IFERROR(__xludf.DUMMYFUNCTION("""COMPUTED_VALUE"""),"BELUM GOLIVE")</f>
        <v>BELUM GOLIVE</v>
      </c>
      <c r="Y1028" s="229"/>
      <c r="Z1028" s="229" t="str">
        <f>IFERROR(__xludf.DUMMYFUNCTION("""COMPUTED_VALUE"""),"#N/A")</f>
        <v>#N/A</v>
      </c>
      <c r="AA1028" s="229"/>
      <c r="AB1028" s="229"/>
      <c r="AC1028" s="229"/>
      <c r="AD1028" s="232"/>
      <c r="AE1028" s="233"/>
      <c r="AF1028" s="54"/>
      <c r="AG1028" s="54"/>
      <c r="AH1028" s="54"/>
      <c r="AI1028" s="55" t="str">
        <f>IF(OR(R1028="",AE1028=""),"",R1028-AE1028)</f>
        <v/>
      </c>
      <c r="AW1028" s="234"/>
      <c r="BP1028" s="11"/>
      <c r="BQ1028" s="11"/>
      <c r="BR1028" s="235"/>
      <c r="BV1028" s="158"/>
      <c r="BY1028" s="158"/>
      <c r="CB1028" s="158"/>
    </row>
    <row r="1029" ht="18.0" customHeight="1">
      <c r="A1029" s="222">
        <f>IFERROR(__xludf.DUMMYFUNCTION("""COMPUTED_VALUE"""),2026.0)</f>
        <v>2026</v>
      </c>
      <c r="B1029" s="221">
        <f>IFERROR(__xludf.DUMMYFUNCTION("""COMPUTED_VALUE"""),1.1424094E7)</f>
        <v>11424094</v>
      </c>
      <c r="C1029" s="222" t="str">
        <f>IFERROR(__xludf.DUMMYFUNCTION("""COMPUTED_VALUE"""),"SMB PADANG PARIAMAN_9336")</f>
        <v>SMB PADANG PARIAMAN_9336</v>
      </c>
      <c r="D1029" s="222" t="str">
        <f>IFERROR(__xludf.DUMMYFUNCTION("""COMPUTED_VALUE"""),"REGIONAL I")</f>
        <v>REGIONAL I</v>
      </c>
      <c r="E1029" s="222" t="str">
        <f>IFERROR(__xludf.DUMMYFUNCTION("""COMPUTED_VALUE"""),"SUMBAR")</f>
        <v>SUMBAR</v>
      </c>
      <c r="F1029" s="222" t="str">
        <f>IFERROR(__xludf.DUMMYFUNCTION("""COMPUTED_VALUE"""),"PRS")</f>
        <v>PRS</v>
      </c>
      <c r="G1029" s="222" t="str">
        <f>IFERROR(__xludf.DUMMYFUNCTION("""COMPUTED_VALUE"""),"SUMBAGTENG")</f>
        <v>SUMBAGTENG</v>
      </c>
      <c r="H1029" s="222" t="str">
        <f>IFERROR(__xludf.DUMMYFUNCTION("""COMPUTED_VALUE"""),"BUKIT TINGGI")</f>
        <v>BUKIT TINGGI</v>
      </c>
      <c r="I1029" s="222" t="str">
        <f>IFERROR(__xludf.DUMMYFUNCTION("""COMPUTED_VALUE"""),"Batch 2")</f>
        <v>Batch 2</v>
      </c>
      <c r="J1029" s="225">
        <f>IFERROR(__xludf.DUMMYFUNCTION("""COMPUTED_VALUE"""),10.0)</f>
        <v>10</v>
      </c>
      <c r="K1029" s="224">
        <f>IFERROR(__xludf.DUMMYFUNCTION("""COMPUTED_VALUE"""),80.0)</f>
        <v>80</v>
      </c>
      <c r="L1029" s="226">
        <f>IFERROR(__xludf.DUMMYFUNCTION("""COMPUTED_VALUE"""),950387.0)</f>
        <v>950387</v>
      </c>
      <c r="M1029" s="227">
        <f>IFERROR(__xludf.DUMMYFUNCTION("""COMPUTED_VALUE"""),7.6030939E7)</f>
        <v>76030939</v>
      </c>
      <c r="N1029" s="222" t="str">
        <f>IFERROR(__xludf.DUMMYFUNCTION("""COMPUTED_VALUE"""),"PT PUTRI JAYA AKSES")</f>
        <v>PT PUTRI JAYA AKSES</v>
      </c>
      <c r="O1029" s="222" t="str">
        <f>IFERROR(__xludf.DUMMYFUNCTION("""COMPUTED_VALUE"""),"2. DONE AANWIJZING")</f>
        <v>2. DONE AANWIJZING</v>
      </c>
      <c r="P1029" s="222" t="str">
        <f>IFERROR(__xludf.DUMMYFUNCTION("""COMPUTED_VALUE"""),"2.10 Kendala - Feeder Rusak")</f>
        <v>2.10 Kendala - Feeder Rusak</v>
      </c>
      <c r="Q1029" s="222" t="str">
        <f>IFERROR(__xludf.DUMMYFUNCTION("""COMPUTED_VALUE"""),"(20/04Proses identifikasi QE feeder  (12/03) proses pengukuran tipus feeder PRS-FA (27/01) kendala core feeder PRS-FA rusak")</f>
        <v>(20/04Proses identifikasi QE feeder  (12/03) proses pengukuran tipus feeder PRS-FA (27/01) kendala core feeder PRS-FA rusak</v>
      </c>
      <c r="R1029" s="228"/>
      <c r="S1029" s="11"/>
      <c r="T1029" s="11"/>
      <c r="U1029" s="11"/>
      <c r="V1029" s="229" t="str">
        <f>IFERROR(__xludf.DUMMYFUNCTION("""COMPUTED_VALUE"""),"JANUAR RIZAL")</f>
        <v>JANUAR RIZAL</v>
      </c>
      <c r="W1029" s="229" t="str">
        <f>IFERROR(__xludf.DUMMYFUNCTION("""COMPUTED_VALUE"""),"MELKO NARWADI")</f>
        <v>MELKO NARWADI</v>
      </c>
      <c r="X1029" s="229" t="str">
        <f>IFERROR(__xludf.DUMMYFUNCTION("""COMPUTED_VALUE"""),"BELUM GOLIVE")</f>
        <v>BELUM GOLIVE</v>
      </c>
      <c r="Y1029" s="229"/>
      <c r="Z1029" s="229" t="str">
        <f>IFERROR(__xludf.DUMMYFUNCTION("""COMPUTED_VALUE"""),"#N/A")</f>
        <v>#N/A</v>
      </c>
      <c r="AA1029" s="229"/>
      <c r="AB1029" s="229"/>
      <c r="AC1029" s="229"/>
      <c r="AD1029" s="232"/>
      <c r="AE1029" s="233"/>
      <c r="AF1029" s="54"/>
      <c r="AG1029" s="54"/>
      <c r="AH1029" s="54">
        <v>46141.0</v>
      </c>
      <c r="AI1029" s="237">
        <f>AH1029-NOW()</f>
        <v>0.622010081</v>
      </c>
      <c r="AJ1029" s="229" t="str">
        <f t="shared" ref="AJ1029:AJ1030" si="114">if(AI1029&gt;=0,"In Komitmen","Out Komitmen")</f>
        <v>In Komitmen</v>
      </c>
      <c r="AW1029" s="234"/>
      <c r="BP1029" s="11"/>
      <c r="BQ1029" s="11"/>
      <c r="BR1029" s="235"/>
      <c r="BV1029" s="158"/>
      <c r="BY1029" s="158"/>
      <c r="CB1029" s="158"/>
    </row>
    <row r="1030" ht="18.0" customHeight="1">
      <c r="A1030" s="222">
        <f>IFERROR(__xludf.DUMMYFUNCTION("""COMPUTED_VALUE"""),2026.0)</f>
        <v>2026</v>
      </c>
      <c r="B1030" s="221">
        <f>IFERROR(__xludf.DUMMYFUNCTION("""COMPUTED_VALUE"""),1.142292E7)</f>
        <v>11422920</v>
      </c>
      <c r="C1030" s="222" t="str">
        <f>IFERROR(__xludf.DUMMYFUNCTION("""COMPUTED_VALUE"""),"RKP PT3 TSEL LBJ-FBQ BENGKONG HARAPAN 2")</f>
        <v>RKP PT3 TSEL LBJ-FBQ BENGKONG HARAPAN 2</v>
      </c>
      <c r="D1030" s="222" t="str">
        <f>IFERROR(__xludf.DUMMYFUNCTION("""COMPUTED_VALUE"""),"REGIONAL I")</f>
        <v>REGIONAL I</v>
      </c>
      <c r="E1030" s="222" t="str">
        <f>IFERROR(__xludf.DUMMYFUNCTION("""COMPUTED_VALUE"""),"RIKEP")</f>
        <v>RIKEP</v>
      </c>
      <c r="F1030" s="222" t="str">
        <f>IFERROR(__xludf.DUMMYFUNCTION("""COMPUTED_VALUE"""),"LBJ")</f>
        <v>LBJ</v>
      </c>
      <c r="G1030" s="222" t="str">
        <f>IFERROR(__xludf.DUMMYFUNCTION("""COMPUTED_VALUE"""),"SUMBAGTENG")</f>
        <v>SUMBAGTENG</v>
      </c>
      <c r="H1030" s="222" t="str">
        <f>IFERROR(__xludf.DUMMYFUNCTION("""COMPUTED_VALUE"""),"BATAM")</f>
        <v>BATAM</v>
      </c>
      <c r="I1030" s="222" t="str">
        <f>IFERROR(__xludf.DUMMYFUNCTION("""COMPUTED_VALUE"""),"Batch 2")</f>
        <v>Batch 2</v>
      </c>
      <c r="J1030" s="225">
        <f>IFERROR(__xludf.DUMMYFUNCTION("""COMPUTED_VALUE"""),3.0)</f>
        <v>3</v>
      </c>
      <c r="K1030" s="224">
        <f>IFERROR(__xludf.DUMMYFUNCTION("""COMPUTED_VALUE"""),24.0)</f>
        <v>24</v>
      </c>
      <c r="L1030" s="226">
        <f>IFERROR(__xludf.DUMMYFUNCTION("""COMPUTED_VALUE"""),948648.0)</f>
        <v>948648</v>
      </c>
      <c r="M1030" s="227">
        <f>IFERROR(__xludf.DUMMYFUNCTION("""COMPUTED_VALUE"""),2.2767547E7)</f>
        <v>22767547</v>
      </c>
      <c r="N1030" s="222" t="str">
        <f>IFERROR(__xludf.DUMMYFUNCTION("""COMPUTED_VALUE"""),"PT HDUA PUTRA PRAJODA")</f>
        <v>PT HDUA PUTRA PRAJODA</v>
      </c>
      <c r="O1030" s="222" t="str">
        <f>IFERROR(__xludf.DUMMYFUNCTION("""COMPUTED_VALUE"""),"5. INSTALASI")</f>
        <v>5. INSTALASI</v>
      </c>
      <c r="P1030" s="222" t="str">
        <f>IFERROR(__xludf.DUMMYFUNCTION("""COMPUTED_VALUE"""),"5.4 Proses Penanaman Tiang")</f>
        <v>5.4 Proses Penanaman Tiang</v>
      </c>
      <c r="Q1030" s="222" t="str">
        <f>IFERROR(__xludf.DUMMYFUNCTION("""COMPUTED_VALUE"""),"20/04 Galian dan tanam tiang. 
17/04 Plan progres tanggal 18 Apr, Plan GL sesuai komit. 
06/04 Plan Installasi tanggal, 22 april, Plan GL 27 apr  31/03 OGP pengecekan core feeder, izin OK. plan selesai pengecekan di hari rabu tanggal 01 april.  30/03 Eval"&amp;" prelim sudah di acc, tim mitra serial mengerjakan LOP lain. 25/03 EVAL PRELIM 2JT KE AOM. 04/03 Butuh BOQ KML survey untuk menghitung CPP karena ada prelim 2 jt. 16/02 RT meminta Kas 2 JT. 13/02 Anwijzing OK, izin belum di beri kepastian. 11/02 Peralihan"&amp;" mitra. 28/01 Plan survey 29 Jan. 28/01 Mitra tripola belum ada PIC untuk anwijzing. 23/01 Plan anwijzing 26 Jan, pic mitra ada pertanggal 25 jan. 21/01 proses penunjukan mitra ")</f>
        <v>20/04 Galian dan tanam tiang. 
17/04 Plan progres tanggal 18 Apr, Plan GL sesuai komit. 
06/04 Plan Installasi tanggal, 22 april, Plan GL 27 apr  31/03 OGP pengecekan core feeder, izin OK. plan selesai pengecekan di hari rabu tanggal 01 april.  30/03 Eval prelim sudah di acc, tim mitra serial mengerjakan LOP lain. 25/03 EVAL PRELIM 2JT KE AOM. 04/03 Butuh BOQ KML survey untuk menghitung CPP karena ada prelim 2 jt. 16/02 RT meminta Kas 2 JT. 13/02 Anwijzing OK, izin belum di beri kepastian. 11/02 Peralihan mitra. 28/01 Plan survey 29 Jan. 28/01 Mitra tripola belum ada PIC untuk anwijzing. 23/01 Plan anwijzing 26 Jan, pic mitra ada pertanggal 25 jan. 21/01 proses penunjukan mitra </v>
      </c>
      <c r="R1030" s="228">
        <f>IFERROR(__xludf.DUMMYFUNCTION("""COMPUTED_VALUE"""),46141.0)</f>
        <v>46141</v>
      </c>
      <c r="S1030" s="11" t="str">
        <f>IFERROR(__xludf.DUMMYFUNCTION("""COMPUTED_VALUE"""),"APR")</f>
        <v>APR</v>
      </c>
      <c r="T1030" s="73"/>
      <c r="U1030" s="11" t="str">
        <f>IFERROR(__xludf.DUMMYFUNCTION("""COMPUTED_VALUE"""),"W09-310/2026")</f>
        <v>W09-310/2026</v>
      </c>
      <c r="V1030" s="229" t="str">
        <f>IFERROR(__xludf.DUMMYFUNCTION("""COMPUTED_VALUE"""),"RONALDO LEO INFANTRI")</f>
        <v>RONALDO LEO INFANTRI</v>
      </c>
      <c r="W1030" s="229" t="str">
        <f>IFERROR(__xludf.DUMMYFUNCTION("""COMPUTED_VALUE"""),"LEVITA INDRIYANI")</f>
        <v>LEVITA INDRIYANI</v>
      </c>
      <c r="X1030" s="229" t="str">
        <f>IFERROR(__xludf.DUMMYFUNCTION("""COMPUTED_VALUE"""),"BELUM GOLIVE")</f>
        <v>BELUM GOLIVE</v>
      </c>
      <c r="Y1030" s="229"/>
      <c r="Z1030" s="229" t="str">
        <f>IFERROR(__xludf.DUMMYFUNCTION("""COMPUTED_VALUE"""),"#N/A")</f>
        <v>#N/A</v>
      </c>
      <c r="AA1030" s="229"/>
      <c r="AB1030" s="229"/>
      <c r="AC1030" s="229"/>
      <c r="AD1030" s="232"/>
      <c r="AE1030" s="233"/>
      <c r="AF1030" s="54"/>
      <c r="AG1030" s="54"/>
      <c r="AH1030" s="54">
        <v>46141.0</v>
      </c>
      <c r="AI1030" s="55">
        <f>AH1030-TODAY()</f>
        <v>1</v>
      </c>
      <c r="AJ1030" s="229" t="str">
        <f t="shared" si="114"/>
        <v>In Komitmen</v>
      </c>
      <c r="AK1030" s="231" t="s">
        <v>199</v>
      </c>
      <c r="AW1030" s="234"/>
      <c r="BP1030" s="11"/>
      <c r="BQ1030" s="11"/>
      <c r="BR1030" s="235"/>
      <c r="BV1030" s="158"/>
      <c r="BY1030" s="158"/>
      <c r="CB1030" s="158"/>
    </row>
    <row r="1031" ht="18.0" hidden="1" customHeight="1">
      <c r="A1031" s="222">
        <f>IFERROR(__xludf.DUMMYFUNCTION("""COMPUTED_VALUE"""),2026.0)</f>
        <v>2026</v>
      </c>
      <c r="B1031" s="221">
        <f>IFERROR(__xludf.DUMMYFUNCTION("""COMPUTED_VALUE"""),1.129608E7)</f>
        <v>11296080</v>
      </c>
      <c r="C1031" s="222" t="str">
        <f>IFERROR(__xludf.DUMMYFUNCTION("""COMPUTED_VALUE"""),"SMU ODC-PPT-FAA D04 PPT-TERMINAL SOSOR")</f>
        <v>SMU ODC-PPT-FAA D04 PPT-TERMINAL SOSOR</v>
      </c>
      <c r="D1031" s="222" t="str">
        <f>IFERROR(__xludf.DUMMYFUNCTION("""COMPUTED_VALUE"""),"REGIONAL I")</f>
        <v>REGIONAL I</v>
      </c>
      <c r="E1031" s="222" t="str">
        <f>IFERROR(__xludf.DUMMYFUNCTION("""COMPUTED_VALUE"""),"SUMUT")</f>
        <v>SUMUT</v>
      </c>
      <c r="F1031" s="222" t="str">
        <f>IFERROR(__xludf.DUMMYFUNCTION("""COMPUTED_VALUE"""),"PPT")</f>
        <v>PPT</v>
      </c>
      <c r="G1031" s="222" t="str">
        <f>IFERROR(__xludf.DUMMYFUNCTION("""COMPUTED_VALUE"""),"SUMBAGUT")</f>
        <v>SUMBAGUT</v>
      </c>
      <c r="H1031" s="222" t="str">
        <f>IFERROR(__xludf.DUMMYFUNCTION("""COMPUTED_VALUE"""),"PEMATANG SIANTAR")</f>
        <v>PEMATANG SIANTAR</v>
      </c>
      <c r="I1031" s="222" t="str">
        <f>IFERROR(__xludf.DUMMYFUNCTION("""COMPUTED_VALUE"""),"Batch 2")</f>
        <v>Batch 2</v>
      </c>
      <c r="J1031" s="225">
        <f>IFERROR(__xludf.DUMMYFUNCTION("""COMPUTED_VALUE"""),5.0)</f>
        <v>5</v>
      </c>
      <c r="K1031" s="224">
        <f>IFERROR(__xludf.DUMMYFUNCTION("""COMPUTED_VALUE"""),40.0)</f>
        <v>40</v>
      </c>
      <c r="L1031" s="226">
        <f>IFERROR(__xludf.DUMMYFUNCTION("""COMPUTED_VALUE"""),1252496.0)</f>
        <v>1252496</v>
      </c>
      <c r="M1031" s="227">
        <f>IFERROR(__xludf.DUMMYFUNCTION("""COMPUTED_VALUE"""),5.0099817E7)</f>
        <v>50099817</v>
      </c>
      <c r="N1031" s="222" t="str">
        <f>IFERROR(__xludf.DUMMYFUNCTION("""COMPUTED_VALUE"""),"PT MITRA SETIA INDONESIA")</f>
        <v>PT MITRA SETIA INDONESIA</v>
      </c>
      <c r="O1031" s="222" t="str">
        <f>IFERROR(__xludf.DUMMYFUNCTION("""COMPUTED_VALUE"""),"2. DONE AANWIJZING")</f>
        <v>2. DONE AANWIJZING</v>
      </c>
      <c r="P1031" s="222" t="str">
        <f>IFERROR(__xludf.DUMMYFUNCTION("""COMPUTED_VALUE"""),"2.7 Tunggu Hasil DRM - Perubahan design")</f>
        <v>2.7 Tunggu Hasil DRM - Perubahan design</v>
      </c>
      <c r="Q1031" s="222" t="str">
        <f>IFERROR(__xludf.DUMMYFUNCTION("""COMPUTED_VALUE"""),"27/4 menunggu hasil redesign  dari  tsel/sdi  terkait adanya penambahan odp dari 5 ke 22 odp,  24/4 menunggu hasil redesign  dari  tsel terkait adanya penambahan odp dari 5 ke 22 odp, 23/4 menunggu hasil redesign  dari  tsel terkait adanya penambahan odp "&amp;"dari 5 ke 22 odp,  22/4 menunggu approv ED terkait cpp plan tinggi 3 jt, 21/4 menunggu approv ED terkait cpp plan tinggi 3 jt, 20/4 menunggu approv ED terkait cpp plan tinggi 3 jt, 16/4 menunggu approv ED terkait cpp plan tinggi 3 jt, 15/4 menunggu approv"&amp;" ED terkait cpp plan tinggi 3 jt, 14/4 menunggu approv ED terkait cpp plan tinggi 3 jt, 13/4 menunggu approv ED terkait cpp plan tinggi 3 jt, 9/4 menunggu approv ED terkait cpp plan tinggi 3 jt, 8/4 menunggu approv ED terkait cpp plan tinggi 3 jt, 6/4 men"&amp;"unggu approv ED terkait cpp plan tinggi 3 jt, 
5/4 menunggu approv ED terkait cpp plan tinggi 3 jt, 31/3 menunggu approv ED terkait cpp plan tinggi 3 jt, 30/3 menunggu approv ED terkait cpp plan tinggi 3 jt, 27/3 menunggu approv ED terkait cpp plan tinggi"&amp;" 3 jt, 26/3 menunggu approv ED terkait cpp plan tinggi 3 jt, 22/3 menunggu approv ED terkait cpp plan tinggi 3 jt,  18/3 menunggu approv ED terkait cpp plan tinggi 3 jt,   16/3 menunggu approv ED terkait cpp plan tinggi 3 jt,  2/3 cpp plan tinggi 3 jt, 27"&amp;"/2 cpp plan tinggi 3 jt, 25/2 menunggu boq kml  dari sdi, 24/2 plan survey redesign, drop dari tsel, feeder habis butuah upg odc 288 (07/01) Persiapan")</f>
        <v>27/4 menunggu hasil redesign  dari  tsel/sdi  terkait adanya penambahan odp dari 5 ke 22 odp,  24/4 menunggu hasil redesign  dari  tsel terkait adanya penambahan odp dari 5 ke 22 odp, 23/4 menunggu hasil redesign  dari  tsel terkait adanya penambahan odp dari 5 ke 22 odp,  22/4 menunggu approv ED terkait cpp plan tinggi 3 jt, 21/4 menunggu approv ED terkait cpp plan tinggi 3 jt, 20/4 menunggu approv ED terkait cpp plan tinggi 3 jt, 16/4 menunggu approv ED terkait cpp plan tinggi 3 jt, 15/4 menunggu approv ED terkait cpp plan tinggi 3 jt, 14/4 menunggu approv ED terkait cpp plan tinggi 3 jt, 13/4 menunggu approv ED terkait cpp plan tinggi 3 jt, 9/4 menunggu approv ED terkait cpp plan tinggi 3 jt, 8/4 menunggu approv ED terkait cpp plan tinggi 3 jt, 6/4 menunggu approv ED terkait cpp plan tinggi 3 jt, 
5/4 menunggu approv ED terkait cpp plan tinggi 3 jt, 31/3 menunggu approv ED terkait cpp plan tinggi 3 jt, 30/3 menunggu approv ED terkait cpp plan tinggi 3 jt, 27/3 menunggu approv ED terkait cpp plan tinggi 3 jt, 26/3 menunggu approv ED terkait cpp plan tinggi 3 jt, 22/3 menunggu approv ED terkait cpp plan tinggi 3 jt,  18/3 menunggu approv ED terkait cpp plan tinggi 3 jt,   16/3 menunggu approv ED terkait cpp plan tinggi 3 jt,  2/3 cpp plan tinggi 3 jt, 27/2 cpp plan tinggi 3 jt, 25/2 menunggu boq kml  dari sdi, 24/2 plan survey redesign, drop dari tsel, feeder habis butuah upg odc 288 (07/01) Persiapan</v>
      </c>
      <c r="R1031" s="228"/>
      <c r="S1031" s="11"/>
      <c r="T1031" s="73"/>
      <c r="U1031" s="11" t="str">
        <f>IFERROR(__xludf.DUMMYFUNCTION("""COMPUTED_VALUE"""),"W03-1384/2025")</f>
        <v>W03-1384/2025</v>
      </c>
      <c r="V1031" s="229" t="str">
        <f>IFERROR(__xludf.DUMMYFUNCTION("""COMPUTED_VALUE"""),"27/Apr/2026")</f>
        <v>27/Apr/2026</v>
      </c>
      <c r="W1031" s="229"/>
      <c r="X1031" s="229" t="str">
        <f>IFERROR(__xludf.DUMMYFUNCTION("""COMPUTED_VALUE"""),"BELUM GOLIVE")</f>
        <v>BELUM GOLIVE</v>
      </c>
      <c r="Y1031" s="229"/>
      <c r="Z1031" s="229" t="str">
        <f>IFERROR(__xludf.DUMMYFUNCTION("""COMPUTED_VALUE"""),"#N/A")</f>
        <v>#N/A</v>
      </c>
      <c r="AA1031" s="229"/>
      <c r="AB1031" s="229"/>
      <c r="AC1031" s="229"/>
      <c r="AD1031" s="232"/>
      <c r="AE1031" s="233"/>
      <c r="AF1031" s="54" t="str">
        <f>IFERROR(__xludf.DUMMYFUNCTION("""COMPUTED_VALUE"""),"Draft BA DROP")</f>
        <v>Draft BA DROP</v>
      </c>
      <c r="AG1031" s="54"/>
      <c r="AH1031" s="54"/>
      <c r="AI1031" s="55" t="str">
        <f t="shared" ref="AI1031:AI1033" si="115">IF(OR(R1031="",AE1031=""),"",R1031-AE1031)</f>
        <v/>
      </c>
      <c r="AW1031" s="234"/>
      <c r="BP1031" s="11"/>
      <c r="BQ1031" s="11"/>
      <c r="BR1031" s="235"/>
      <c r="BV1031" s="158"/>
      <c r="BY1031" s="158"/>
      <c r="CB1031" s="158"/>
    </row>
    <row r="1032" ht="18.0" hidden="1" customHeight="1">
      <c r="A1032" s="222">
        <f>IFERROR(__xludf.DUMMYFUNCTION("""COMPUTED_VALUE"""),2026.0)</f>
        <v>2026</v>
      </c>
      <c r="B1032" s="221">
        <f>IFERROR(__xludf.DUMMYFUNCTION("""COMPUTED_VALUE"""),1.1187961E7)</f>
        <v>11187961</v>
      </c>
      <c r="C1032" s="222" t="str">
        <f>IFERROR(__xludf.DUMMYFUNCTION("""COMPUTED_VALUE"""),"MDN PT3 TTG-FGF JL.ROTAN GG.BUNGA KAKTUS")</f>
        <v>MDN PT3 TTG-FGF JL.ROTAN GG.BUNGA KAKTUS</v>
      </c>
      <c r="D1032" s="222" t="str">
        <f>IFERROR(__xludf.DUMMYFUNCTION("""COMPUTED_VALUE"""),"REGIONAL I")</f>
        <v>REGIONAL I</v>
      </c>
      <c r="E1032" s="222" t="str">
        <f>IFERROR(__xludf.DUMMYFUNCTION("""COMPUTED_VALUE"""),"MEDAN")</f>
        <v>MEDAN</v>
      </c>
      <c r="F1032" s="222" t="str">
        <f>IFERROR(__xludf.DUMMYFUNCTION("""COMPUTED_VALUE"""),"TTG")</f>
        <v>TTG</v>
      </c>
      <c r="G1032" s="222" t="str">
        <f>IFERROR(__xludf.DUMMYFUNCTION("""COMPUTED_VALUE"""),"SUMBAGUT")</f>
        <v>SUMBAGUT</v>
      </c>
      <c r="H1032" s="222" t="str">
        <f>IFERROR(__xludf.DUMMYFUNCTION("""COMPUTED_VALUE"""),"MEDAN")</f>
        <v>MEDAN</v>
      </c>
      <c r="I1032" s="222" t="str">
        <f>IFERROR(__xludf.DUMMYFUNCTION("""COMPUTED_VALUE"""),"Batch 2")</f>
        <v>Batch 2</v>
      </c>
      <c r="J1032" s="225">
        <f>IFERROR(__xludf.DUMMYFUNCTION("""COMPUTED_VALUE"""),1.0)</f>
        <v>1</v>
      </c>
      <c r="K1032" s="224">
        <f>IFERROR(__xludf.DUMMYFUNCTION("""COMPUTED_VALUE"""),8.0)</f>
        <v>8</v>
      </c>
      <c r="L1032" s="226">
        <f>IFERROR(__xludf.DUMMYFUNCTION("""COMPUTED_VALUE"""),1229013.0)</f>
        <v>1229013</v>
      </c>
      <c r="M1032" s="227">
        <f>IFERROR(__xludf.DUMMYFUNCTION("""COMPUTED_VALUE"""),9832099.0)</f>
        <v>9832099</v>
      </c>
      <c r="N1032" s="222" t="str">
        <f>IFERROR(__xludf.DUMMYFUNCTION("""COMPUTED_VALUE"""),"PT FAJAR MITRA KRIDA ABADI")</f>
        <v>PT FAJAR MITRA KRIDA ABADI</v>
      </c>
      <c r="O1032" s="222" t="str">
        <f>IFERROR(__xludf.DUMMYFUNCTION("""COMPUTED_VALUE"""),"0. DROP")</f>
        <v>0. DROP</v>
      </c>
      <c r="P1032" s="222" t="str">
        <f>IFERROR(__xludf.DUMMYFUNCTION("""COMPUTED_VALUE"""),"0.4 CPP Tinggi Acc ED TIF")</f>
        <v>0.4 CPP Tinggi Acc ED TIF</v>
      </c>
      <c r="Q1032" s="222" t="str">
        <f>IFERROR(__xludf.DUMMYFUNCTION("""COMPUTED_VALUE"""),"5/11 Feeder Habis
(24/09) Perizinan Warga dan Kades / Lurah
(23/09) Perizinan Warga dan Kades / Lurah
15/09 proses aanwijzing")</f>
        <v>5/11 Feeder Habis
(24/09) Perizinan Warga dan Kades / Lurah
(23/09) Perizinan Warga dan Kades / Lurah
15/09 proses aanwijzing</v>
      </c>
      <c r="R1032" s="228"/>
      <c r="S1032" s="11"/>
      <c r="T1032" s="11"/>
      <c r="U1032" s="11"/>
      <c r="V1032" s="229"/>
      <c r="W1032" s="229"/>
      <c r="X1032" s="229" t="str">
        <f>IFERROR(__xludf.DUMMYFUNCTION("""COMPUTED_VALUE"""),"BELUM GOLIVE")</f>
        <v>BELUM GOLIVE</v>
      </c>
      <c r="Y1032" s="229"/>
      <c r="Z1032" s="229" t="str">
        <f>IFERROR(__xludf.DUMMYFUNCTION("""COMPUTED_VALUE"""),"#N/A")</f>
        <v>#N/A</v>
      </c>
      <c r="AA1032" s="229"/>
      <c r="AB1032" s="229"/>
      <c r="AC1032" s="229"/>
      <c r="AD1032" s="232"/>
      <c r="AE1032" s="233"/>
      <c r="AF1032" s="54" t="str">
        <f>IFERROR(__xludf.DUMMYFUNCTION("""COMPUTED_VALUE"""),"Draft BA DROP")</f>
        <v>Draft BA DROP</v>
      </c>
      <c r="AG1032" s="54"/>
      <c r="AH1032" s="54"/>
      <c r="AI1032" s="55" t="str">
        <f t="shared" si="115"/>
        <v/>
      </c>
      <c r="AW1032" s="234"/>
      <c r="BP1032" s="11"/>
      <c r="BQ1032" s="11"/>
      <c r="BR1032" s="235"/>
      <c r="BV1032" s="158"/>
      <c r="BY1032" s="158"/>
      <c r="CB1032" s="158"/>
    </row>
    <row r="1033" ht="18.0" customHeight="1">
      <c r="A1033" s="222">
        <f>IFERROR(__xludf.DUMMYFUNCTION("""COMPUTED_VALUE"""),2026.0)</f>
        <v>2026</v>
      </c>
      <c r="B1033" s="221">
        <f>IFERROR(__xludf.DUMMYFUNCTION("""COMPUTED_VALUE"""),1.2082132E7)</f>
        <v>12082132</v>
      </c>
      <c r="C1033" s="222" t="str">
        <f>IFERROR(__xludf.DUMMYFUNCTION("""COMPUTED_VALUE"""),"RDR JPP PT3 250_574_2766")</f>
        <v>RDR JPP PT3 250_574_2766</v>
      </c>
      <c r="D1033" s="222" t="str">
        <f>IFERROR(__xludf.DUMMYFUNCTION("""COMPUTED_VALUE"""),"REGIONAL I")</f>
        <v>REGIONAL I</v>
      </c>
      <c r="E1033" s="222" t="str">
        <f>IFERROR(__xludf.DUMMYFUNCTION("""COMPUTED_VALUE"""),"RIDAR")</f>
        <v>RIDAR</v>
      </c>
      <c r="F1033" s="222" t="str">
        <f>IFERROR(__xludf.DUMMYFUNCTION("""COMPUTED_VALUE"""),"DRI")</f>
        <v>DRI</v>
      </c>
      <c r="G1033" s="222" t="str">
        <f>IFERROR(__xludf.DUMMYFUNCTION("""COMPUTED_VALUE"""),"SUMBAGTENG")</f>
        <v>SUMBAGTENG</v>
      </c>
      <c r="H1033" s="222" t="str">
        <f>IFERROR(__xludf.DUMMYFUNCTION("""COMPUTED_VALUE"""),"DUMAI")</f>
        <v>DUMAI</v>
      </c>
      <c r="I1033" s="222" t="str">
        <f>IFERROR(__xludf.DUMMYFUNCTION("""COMPUTED_VALUE"""),"Batch 2")</f>
        <v>Batch 2</v>
      </c>
      <c r="J1033" s="225">
        <f>IFERROR(__xludf.DUMMYFUNCTION("""COMPUTED_VALUE"""),16.0)</f>
        <v>16</v>
      </c>
      <c r="K1033" s="224">
        <f>IFERROR(__xludf.DUMMYFUNCTION("""COMPUTED_VALUE"""),128.0)</f>
        <v>128</v>
      </c>
      <c r="L1033" s="226">
        <f>IFERROR(__xludf.DUMMYFUNCTION("""COMPUTED_VALUE"""),1252803.0)</f>
        <v>1252803</v>
      </c>
      <c r="M1033" s="227">
        <f>IFERROR(__xludf.DUMMYFUNCTION("""COMPUTED_VALUE"""),1.60358779E8)</f>
        <v>160358779</v>
      </c>
      <c r="N1033" s="222" t="str">
        <f>IFERROR(__xludf.DUMMYFUNCTION("""COMPUTED_VALUE"""),"PT TRIPOLA PANATA")</f>
        <v>PT TRIPOLA PANATA</v>
      </c>
      <c r="O1033" s="222" t="str">
        <f>IFERROR(__xludf.DUMMYFUNCTION("""COMPUTED_VALUE"""),"0. DROP")</f>
        <v>0. DROP</v>
      </c>
      <c r="P1033" s="222" t="str">
        <f>IFERROR(__xludf.DUMMYFUNCTION("""COMPUTED_VALUE"""),"0.4 CPP Tinggi Acc ED TIF")</f>
        <v>0.4 CPP Tinggi Acc ED TIF</v>
      </c>
      <c r="Q1033" s="222" t="str">
        <f>IFERROR(__xludf.DUMMYFUNCTION("""COMPUTED_VALUE"""),"20/01 Drop CPP Tinggi (07/01) Persiapan")</f>
        <v>20/01 Drop CPP Tinggi (07/01) Persiapan</v>
      </c>
      <c r="R1033" s="228"/>
      <c r="S1033" s="11"/>
      <c r="T1033" s="11"/>
      <c r="U1033" s="11"/>
      <c r="V1033" s="229" t="str">
        <f>IFERROR(__xludf.DUMMYFUNCTION("""COMPUTED_VALUE"""),"ONDI EKA SAPUTRA")</f>
        <v>ONDI EKA SAPUTRA</v>
      </c>
      <c r="W1033" s="229" t="str">
        <f>IFERROR(__xludf.DUMMYFUNCTION("""COMPUTED_VALUE"""),"DESLITA RAHMADANI")</f>
        <v>DESLITA RAHMADANI</v>
      </c>
      <c r="X1033" s="229" t="str">
        <f>IFERROR(__xludf.DUMMYFUNCTION("""COMPUTED_VALUE"""),"BELUM GOLIVE")</f>
        <v>BELUM GOLIVE</v>
      </c>
      <c r="Y1033" s="229"/>
      <c r="Z1033" s="229" t="str">
        <f>IFERROR(__xludf.DUMMYFUNCTION("""COMPUTED_VALUE"""),"#N/A")</f>
        <v>#N/A</v>
      </c>
      <c r="AA1033" s="229"/>
      <c r="AB1033" s="229"/>
      <c r="AC1033" s="229"/>
      <c r="AD1033" s="232"/>
      <c r="AE1033" s="233"/>
      <c r="AF1033" s="54"/>
      <c r="AG1033" s="54"/>
      <c r="AH1033" s="54"/>
      <c r="AI1033" s="55" t="str">
        <f t="shared" si="115"/>
        <v/>
      </c>
      <c r="AW1033" s="234"/>
      <c r="BP1033" s="11"/>
      <c r="BQ1033" s="11"/>
      <c r="BR1033" s="235"/>
      <c r="BV1033" s="158"/>
      <c r="BY1033" s="158"/>
      <c r="CB1033" s="158"/>
    </row>
    <row r="1034" ht="18.0" customHeight="1">
      <c r="A1034" s="222">
        <f>IFERROR(__xludf.DUMMYFUNCTION("""COMPUTED_VALUE"""),2026.0)</f>
        <v>2026</v>
      </c>
      <c r="B1034" s="221">
        <f>IFERROR(__xludf.DUMMYFUNCTION("""COMPUTED_VALUE"""),1.2142977E7)</f>
        <v>12142977</v>
      </c>
      <c r="C1034" s="222" t="str">
        <f>IFERROR(__xludf.DUMMYFUNCTION("""COMPUTED_VALUE"""),"RDR JPP PT3 JL. MERAK BAGAN SINEMBAH")</f>
        <v>RDR JPP PT3 JL. MERAK BAGAN SINEMBAH</v>
      </c>
      <c r="D1034" s="222" t="str">
        <f>IFERROR(__xludf.DUMMYFUNCTION("""COMPUTED_VALUE"""),"REGIONAL I")</f>
        <v>REGIONAL I</v>
      </c>
      <c r="E1034" s="222" t="str">
        <f>IFERROR(__xludf.DUMMYFUNCTION("""COMPUTED_VALUE"""),"RIDAR")</f>
        <v>RIDAR</v>
      </c>
      <c r="F1034" s="222" t="str">
        <f>IFERROR(__xludf.DUMMYFUNCTION("""COMPUTED_VALUE"""),"BGU")</f>
        <v>BGU</v>
      </c>
      <c r="G1034" s="222" t="str">
        <f>IFERROR(__xludf.DUMMYFUNCTION("""COMPUTED_VALUE"""),"SUMBAGTENG")</f>
        <v>SUMBAGTENG</v>
      </c>
      <c r="H1034" s="222" t="str">
        <f>IFERROR(__xludf.DUMMYFUNCTION("""COMPUTED_VALUE"""),"DUMAI")</f>
        <v>DUMAI</v>
      </c>
      <c r="I1034" s="222" t="str">
        <f>IFERROR(__xludf.DUMMYFUNCTION("""COMPUTED_VALUE"""),"Batch 2")</f>
        <v>Batch 2</v>
      </c>
      <c r="J1034" s="225">
        <f>IFERROR(__xludf.DUMMYFUNCTION("""COMPUTED_VALUE"""),6.0)</f>
        <v>6</v>
      </c>
      <c r="K1034" s="224">
        <f>IFERROR(__xludf.DUMMYFUNCTION("""COMPUTED_VALUE"""),48.0)</f>
        <v>48</v>
      </c>
      <c r="L1034" s="226">
        <f>IFERROR(__xludf.DUMMYFUNCTION("""COMPUTED_VALUE"""),1252834.0)</f>
        <v>1252834</v>
      </c>
      <c r="M1034" s="227">
        <f>IFERROR(__xludf.DUMMYFUNCTION("""COMPUTED_VALUE"""),6.0135999E7)</f>
        <v>60135999</v>
      </c>
      <c r="N1034" s="222" t="str">
        <f>IFERROR(__xludf.DUMMYFUNCTION("""COMPUTED_VALUE"""),"PT ACERO CETHA METALINDO")</f>
        <v>PT ACERO CETHA METALINDO</v>
      </c>
      <c r="O1034" s="222" t="str">
        <f>IFERROR(__xludf.DUMMYFUNCTION("""COMPUTED_VALUE"""),"7. GOLIVE")</f>
        <v>7. GOLIVE</v>
      </c>
      <c r="P1034" s="222" t="str">
        <f>IFERROR(__xludf.DUMMYFUNCTION("""COMPUTED_VALUE"""),"7.2 Golive Full / OA / DONE OTB")</f>
        <v>7.2 Golive Full / OA / DONE OTB</v>
      </c>
      <c r="Q1034" s="222" t="str">
        <f>IFERROR(__xludf.DUMMYFUNCTION("""COMPUTED_VALUE"""),"10/02 Penanaman tiang Penarikan kabel 29/01 Pengiriman material ke Lokasi (07/01) Persiapan")</f>
        <v>10/02 Penanaman tiang Penarikan kabel 29/01 Pengiriman material ke Lokasi (07/01) Persiapan</v>
      </c>
      <c r="R1034" s="228">
        <f>IFERROR(__xludf.DUMMYFUNCTION("""COMPUTED_VALUE"""),46075.0)</f>
        <v>46075</v>
      </c>
      <c r="S1034" s="11"/>
      <c r="T1034" s="11"/>
      <c r="U1034" s="11" t="str">
        <f>IFERROR(__xludf.DUMMYFUNCTION("""COMPUTED_VALUE"""),"W08-1865/2025")</f>
        <v>W08-1865/2025</v>
      </c>
      <c r="V1034" s="229" t="str">
        <f>IFERROR(__xludf.DUMMYFUNCTION("""COMPUTED_VALUE"""),"ONDI EKA SAPUTRA")</f>
        <v>ONDI EKA SAPUTRA</v>
      </c>
      <c r="W1034" s="229" t="str">
        <f>IFERROR(__xludf.DUMMYFUNCTION("""COMPUTED_VALUE"""),"DESLITA RAHMADANI")</f>
        <v>DESLITA RAHMADANI</v>
      </c>
      <c r="X1034" s="229" t="str">
        <f>IFERROR(__xludf.DUMMYFUNCTION("""COMPUTED_VALUE"""),"GOLIVE")</f>
        <v>GOLIVE</v>
      </c>
      <c r="Y1034" s="229" t="str">
        <f>IFERROR(__xludf.DUMMYFUNCTION("""COMPUTED_VALUE"""),"DONE")</f>
        <v>DONE</v>
      </c>
      <c r="Z1034" s="229" t="str">
        <f>IFERROR(__xludf.DUMMYFUNCTION("""COMPUTED_VALUE"""),"#N/A")</f>
        <v>#N/A</v>
      </c>
      <c r="AA1034" s="229">
        <f>IFERROR(__xludf.DUMMYFUNCTION("""COMPUTED_VALUE"""),6.0)</f>
        <v>6</v>
      </c>
      <c r="AB1034" s="229"/>
      <c r="AC1034" s="229" t="str">
        <f>IFERROR(__xludf.DUMMYFUNCTION("""COMPUTED_VALUE"""),"9117092#9117097")</f>
        <v>9117092#9117097</v>
      </c>
      <c r="AD1034" s="232">
        <f>IFERROR(__xludf.DUMMYFUNCTION("""COMPUTED_VALUE"""),48.0)</f>
        <v>48</v>
      </c>
      <c r="AE1034" s="233">
        <f>IFERROR(__xludf.DUMMYFUNCTION("""COMPUTED_VALUE"""),46069.0)</f>
        <v>46069</v>
      </c>
      <c r="AF1034" s="54"/>
      <c r="AG1034" s="54"/>
      <c r="AH1034" s="54">
        <v>46075.0</v>
      </c>
      <c r="AI1034" s="55">
        <f t="shared" ref="AI1034:AI1035" si="116">IF(OR(AH1034="",AE1034=""),"",AH1034-AE1034)</f>
        <v>6</v>
      </c>
      <c r="AW1034" s="234"/>
      <c r="BP1034" s="11"/>
      <c r="BQ1034" s="11"/>
      <c r="BR1034" s="235"/>
      <c r="BV1034" s="158"/>
      <c r="BY1034" s="158"/>
      <c r="CB1034" s="158"/>
    </row>
    <row r="1035" ht="18.0" customHeight="1">
      <c r="A1035" s="222">
        <f>IFERROR(__xludf.DUMMYFUNCTION("""COMPUTED_VALUE"""),2026.0)</f>
        <v>2026</v>
      </c>
      <c r="B1035" s="221">
        <f>IFERROR(__xludf.DUMMYFUNCTION("""COMPUTED_VALUE"""),1.139723E7)</f>
        <v>11397230</v>
      </c>
      <c r="C1035" s="222" t="str">
        <f>IFERROR(__xludf.DUMMYFUNCTION("""COMPUTED_VALUE"""),"RKP PT3 TSEL TUB-FR JL TAMAN SARI BINTAN")</f>
        <v>RKP PT3 TSEL TUB-FR JL TAMAN SARI BINTAN</v>
      </c>
      <c r="D1035" s="222" t="str">
        <f>IFERROR(__xludf.DUMMYFUNCTION("""COMPUTED_VALUE"""),"REGIONAL I")</f>
        <v>REGIONAL I</v>
      </c>
      <c r="E1035" s="222" t="str">
        <f>IFERROR(__xludf.DUMMYFUNCTION("""COMPUTED_VALUE"""),"RIKEP")</f>
        <v>RIKEP</v>
      </c>
      <c r="F1035" s="222" t="str">
        <f>IFERROR(__xludf.DUMMYFUNCTION("""COMPUTED_VALUE"""),"TUB")</f>
        <v>TUB</v>
      </c>
      <c r="G1035" s="222" t="str">
        <f>IFERROR(__xludf.DUMMYFUNCTION("""COMPUTED_VALUE"""),"SUMBAGTENG")</f>
        <v>SUMBAGTENG</v>
      </c>
      <c r="H1035" s="222" t="str">
        <f>IFERROR(__xludf.DUMMYFUNCTION("""COMPUTED_VALUE"""),"BATAM")</f>
        <v>BATAM</v>
      </c>
      <c r="I1035" s="222" t="str">
        <f>IFERROR(__xludf.DUMMYFUNCTION("""COMPUTED_VALUE"""),"Batch 2")</f>
        <v>Batch 2</v>
      </c>
      <c r="J1035" s="225">
        <f>IFERROR(__xludf.DUMMYFUNCTION("""COMPUTED_VALUE"""),2.0)</f>
        <v>2</v>
      </c>
      <c r="K1035" s="224">
        <f>IFERROR(__xludf.DUMMYFUNCTION("""COMPUTED_VALUE"""),16.0)</f>
        <v>16</v>
      </c>
      <c r="L1035" s="226">
        <f>IFERROR(__xludf.DUMMYFUNCTION("""COMPUTED_VALUE"""),947602.0)</f>
        <v>947602</v>
      </c>
      <c r="M1035" s="227">
        <f>IFERROR(__xludf.DUMMYFUNCTION("""COMPUTED_VALUE"""),1.516163E7)</f>
        <v>15161630</v>
      </c>
      <c r="N1035" s="222" t="str">
        <f>IFERROR(__xludf.DUMMYFUNCTION("""COMPUTED_VALUE"""),"PT SALTTEK DUMPANG JAYA")</f>
        <v>PT SALTTEK DUMPANG JAYA</v>
      </c>
      <c r="O1035" s="222" t="str">
        <f>IFERROR(__xludf.DUMMYFUNCTION("""COMPUTED_VALUE"""),"7. GOLIVE")</f>
        <v>7. GOLIVE</v>
      </c>
      <c r="P1035" s="222" t="str">
        <f>IFERROR(__xludf.DUMMYFUNCTION("""COMPUTED_VALUE"""),"7.2 Golive Full / OA / DONE OTB")</f>
        <v>7.2 Golive Full / OA / DONE OTB</v>
      </c>
      <c r="Q1035" s="222" t="str">
        <f>IFERROR(__xludf.DUMMYFUNCTION("""COMPUTED_VALUE"""),"25/02 Plan installasi tanggal 27 Feb, Plan FI 3 Maret.  16/02 Plan progres tanjung uban tanggal 23 feb 2026, plan FI tanggal, 26 Feb.  04/02 Plan Progres, setelah selesai mengerjakan LOP di STO KMS. 28/01 Anwijzing OK nilai survey turun, proses perizinan."&amp;" 21/01 Plan anwijzing di minggu depan 27 jan")</f>
        <v>25/02 Plan installasi tanggal 27 Feb, Plan FI 3 Maret.  16/02 Plan progres tanjung uban tanggal 23 feb 2026, plan FI tanggal, 26 Feb.  04/02 Plan Progres, setelah selesai mengerjakan LOP di STO KMS. 28/01 Anwijzing OK nilai survey turun, proses perizinan. 21/01 Plan anwijzing di minggu depan 27 jan</v>
      </c>
      <c r="R1035" s="228">
        <f>IFERROR(__xludf.DUMMYFUNCTION("""COMPUTED_VALUE"""),46086.0)</f>
        <v>46086</v>
      </c>
      <c r="S1035" s="11" t="str">
        <f>IFERROR(__xludf.DUMMYFUNCTION("""COMPUTED_VALUE"""),"MAR")</f>
        <v>MAR</v>
      </c>
      <c r="T1035" s="11"/>
      <c r="U1035" s="11" t="str">
        <f>IFERROR(__xludf.DUMMYFUNCTION("""COMPUTED_VALUE"""),"W09-113/2026")</f>
        <v>W09-113/2026</v>
      </c>
      <c r="V1035" s="229" t="str">
        <f>IFERROR(__xludf.DUMMYFUNCTION("""COMPUTED_VALUE"""),"DEDY IRAWAN")</f>
        <v>DEDY IRAWAN</v>
      </c>
      <c r="W1035" s="229" t="str">
        <f>IFERROR(__xludf.DUMMYFUNCTION("""COMPUTED_VALUE"""),"LEVITA INDRIYANI")</f>
        <v>LEVITA INDRIYANI</v>
      </c>
      <c r="X1035" s="229" t="str">
        <f>IFERROR(__xludf.DUMMYFUNCTION("""COMPUTED_VALUE"""),"GOLIVE")</f>
        <v>GOLIVE</v>
      </c>
      <c r="Y1035" s="229" t="str">
        <f>IFERROR(__xludf.DUMMYFUNCTION("""COMPUTED_VALUE"""),"DONE")</f>
        <v>DONE</v>
      </c>
      <c r="Z1035" s="229" t="str">
        <f>IFERROR(__xludf.DUMMYFUNCTION("""COMPUTED_VALUE"""),"#N/A")</f>
        <v>#N/A</v>
      </c>
      <c r="AA1035" s="229">
        <f>IFERROR(__xludf.DUMMYFUNCTION("""COMPUTED_VALUE"""),2.0)</f>
        <v>2</v>
      </c>
      <c r="AB1035" s="229"/>
      <c r="AC1035" s="229" t="str">
        <f>IFERROR(__xludf.DUMMYFUNCTION("""COMPUTED_VALUE"""),"9039781#9039786")</f>
        <v>9039781#9039786</v>
      </c>
      <c r="AD1035" s="232">
        <f>IFERROR(__xludf.DUMMYFUNCTION("""COMPUTED_VALUE"""),16.0)</f>
        <v>16</v>
      </c>
      <c r="AE1035" s="233">
        <f>IFERROR(__xludf.DUMMYFUNCTION("""COMPUTED_VALUE"""),46085.0)</f>
        <v>46085</v>
      </c>
      <c r="AF1035" s="54"/>
      <c r="AG1035" s="54"/>
      <c r="AH1035" s="54">
        <v>46086.0</v>
      </c>
      <c r="AI1035" s="55">
        <f t="shared" si="116"/>
        <v>1</v>
      </c>
      <c r="AW1035" s="234"/>
      <c r="BP1035" s="11"/>
      <c r="BQ1035" s="11"/>
      <c r="BR1035" s="235"/>
      <c r="BV1035" s="158"/>
      <c r="BY1035" s="158"/>
      <c r="CB1035" s="158"/>
    </row>
    <row r="1036" ht="18.0" hidden="1" customHeight="1">
      <c r="A1036" s="222">
        <f>IFERROR(__xludf.DUMMYFUNCTION("""COMPUTED_VALUE"""),2026.0)</f>
        <v>2026</v>
      </c>
      <c r="B1036" s="221">
        <f>IFERROR(__xludf.DUMMYFUNCTION("""COMPUTED_VALUE"""),1.2128852E7)</f>
        <v>12128852</v>
      </c>
      <c r="C1036" s="222" t="str">
        <f>IFERROR(__xludf.DUMMYFUNCTION("""COMPUTED_VALUE"""),"LPG PT3 JPP PERUM ASKA RESIDENCE KDT")</f>
        <v>LPG PT3 JPP PERUM ASKA RESIDENCE KDT</v>
      </c>
      <c r="D1036" s="222" t="str">
        <f>IFERROR(__xludf.DUMMYFUNCTION("""COMPUTED_VALUE"""),"REGIONAL I")</f>
        <v>REGIONAL I</v>
      </c>
      <c r="E1036" s="222" t="str">
        <f>IFERROR(__xludf.DUMMYFUNCTION("""COMPUTED_VALUE"""),"LAMPUNG")</f>
        <v>LAMPUNG</v>
      </c>
      <c r="F1036" s="222" t="str">
        <f>IFERROR(__xludf.DUMMYFUNCTION("""COMPUTED_VALUE"""),"KDT")</f>
        <v>KDT</v>
      </c>
      <c r="G1036" s="222" t="str">
        <f>IFERROR(__xludf.DUMMYFUNCTION("""COMPUTED_VALUE"""),"SUMBAGSEL")</f>
        <v>SUMBAGSEL</v>
      </c>
      <c r="H1036" s="222" t="str">
        <f>IFERROR(__xludf.DUMMYFUNCTION("""COMPUTED_VALUE"""),"LAMPUNG")</f>
        <v>LAMPUNG</v>
      </c>
      <c r="I1036" s="222" t="str">
        <f>IFERROR(__xludf.DUMMYFUNCTION("""COMPUTED_VALUE"""),"Batch 2")</f>
        <v>Batch 2</v>
      </c>
      <c r="J1036" s="225">
        <f>IFERROR(__xludf.DUMMYFUNCTION("""COMPUTED_VALUE"""),4.0)</f>
        <v>4</v>
      </c>
      <c r="K1036" s="224">
        <f>IFERROR(__xludf.DUMMYFUNCTION("""COMPUTED_VALUE"""),32.0)</f>
        <v>32</v>
      </c>
      <c r="L1036" s="226">
        <f>IFERROR(__xludf.DUMMYFUNCTION("""COMPUTED_VALUE"""),946577.0)</f>
        <v>946577</v>
      </c>
      <c r="M1036" s="227">
        <f>IFERROR(__xludf.DUMMYFUNCTION("""COMPUTED_VALUE"""),3.0290445E7)</f>
        <v>30290445</v>
      </c>
      <c r="N1036" s="222" t="str">
        <f>IFERROR(__xludf.DUMMYFUNCTION("""COMPUTED_VALUE"""),"PT BANGTELINDO")</f>
        <v>PT BANGTELINDO</v>
      </c>
      <c r="O1036" s="222" t="str">
        <f>IFERROR(__xludf.DUMMYFUNCTION("""COMPUTED_VALUE"""),"0. DROP")</f>
        <v>0. DROP</v>
      </c>
      <c r="P1036" s="222" t="str">
        <f>IFERROR(__xludf.DUMMYFUNCTION("""COMPUTED_VALUE"""),"0.2 Tidak Dapat Izin Warga/Kades/Lurah/Developer")</f>
        <v>0.2 Tidak Dapat Izin Warga/Kades/Lurah/Developer</v>
      </c>
      <c r="Q1036" s="222" t="str">
        <f>IFERROR(__xludf.DUMMYFUNCTION("""COMPUTED_VALUE"""),"6/2 tidak di ijinkan oleh devloper 
4/2 Plan progres anwizing dan prizinan 
28/1lurah belum bisa di temui
21/progres cek eletrical odc dan olt
19/1 proses pengacekan core dan perizinan")</f>
        <v>6/2 tidak di ijinkan oleh devloper 
4/2 Plan progres anwizing dan prizinan 
28/1lurah belum bisa di temui
21/progres cek eletrical odc dan olt
19/1 proses pengacekan core dan perizinan</v>
      </c>
      <c r="R1036" s="228"/>
      <c r="S1036" s="11"/>
      <c r="T1036" s="11"/>
      <c r="U1036" s="11"/>
      <c r="V1036" s="229"/>
      <c r="W1036" s="229"/>
      <c r="X1036" s="229" t="str">
        <f>IFERROR(__xludf.DUMMYFUNCTION("""COMPUTED_VALUE"""),"BELUM GOLIVE")</f>
        <v>BELUM GOLIVE</v>
      </c>
      <c r="Y1036" s="229"/>
      <c r="Z1036" s="229" t="str">
        <f>IFERROR(__xludf.DUMMYFUNCTION("""COMPUTED_VALUE"""),"#N/A")</f>
        <v>#N/A</v>
      </c>
      <c r="AA1036" s="229"/>
      <c r="AB1036" s="229"/>
      <c r="AC1036" s="229"/>
      <c r="AD1036" s="232"/>
      <c r="AE1036" s="233"/>
      <c r="AF1036" s="54" t="str">
        <f>IFERROR(__xludf.DUMMYFUNCTION("""COMPUTED_VALUE"""),"Draft BA DROP")</f>
        <v>Draft BA DROP</v>
      </c>
      <c r="AG1036" s="54"/>
      <c r="AH1036" s="54">
        <v>46141.0</v>
      </c>
      <c r="AI1036" s="237">
        <f>AH1036-NOW()</f>
        <v>0.622010081</v>
      </c>
      <c r="AJ1036" s="229" t="str">
        <f t="shared" ref="AJ1036:AJ1037" si="117">if(AI1036&gt;=0,"In Komitmen","Out Komitmen")</f>
        <v>In Komitmen</v>
      </c>
      <c r="AK1036" s="229" t="s">
        <v>199</v>
      </c>
      <c r="AW1036" s="234"/>
      <c r="BP1036" s="11"/>
      <c r="BQ1036" s="11"/>
      <c r="BR1036" s="235"/>
      <c r="BV1036" s="158"/>
      <c r="BY1036" s="158"/>
      <c r="CB1036" s="158"/>
    </row>
    <row r="1037" ht="18.0" customHeight="1">
      <c r="A1037" s="222">
        <f>IFERROR(__xludf.DUMMYFUNCTION("""COMPUTED_VALUE"""),2026.0)</f>
        <v>2026</v>
      </c>
      <c r="B1037" s="221">
        <f>IFERROR(__xludf.DUMMYFUNCTION("""COMPUTED_VALUE"""),1.1447877E7)</f>
        <v>11447877</v>
      </c>
      <c r="C1037" s="222" t="str">
        <f>IFERROR(__xludf.DUMMYFUNCTION("""COMPUTED_VALUE"""),"RDR RBI PT3 P3I1 SRI MERANTI RUMBAI")</f>
        <v>RDR RBI PT3 P3I1 SRI MERANTI RUMBAI</v>
      </c>
      <c r="D1037" s="222" t="str">
        <f>IFERROR(__xludf.DUMMYFUNCTION("""COMPUTED_VALUE"""),"REGIONAL I")</f>
        <v>REGIONAL I</v>
      </c>
      <c r="E1037" s="222" t="str">
        <f>IFERROR(__xludf.DUMMYFUNCTION("""COMPUTED_VALUE"""),"RIDAR")</f>
        <v>RIDAR</v>
      </c>
      <c r="F1037" s="222" t="str">
        <f>IFERROR(__xludf.DUMMYFUNCTION("""COMPUTED_VALUE"""),"RBI")</f>
        <v>RBI</v>
      </c>
      <c r="G1037" s="222" t="str">
        <f>IFERROR(__xludf.DUMMYFUNCTION("""COMPUTED_VALUE"""),"SUMBAGTENG")</f>
        <v>SUMBAGTENG</v>
      </c>
      <c r="H1037" s="222" t="str">
        <f>IFERROR(__xludf.DUMMYFUNCTION("""COMPUTED_VALUE"""),"PEKANBARU")</f>
        <v>PEKANBARU</v>
      </c>
      <c r="I1037" s="222" t="str">
        <f>IFERROR(__xludf.DUMMYFUNCTION("""COMPUTED_VALUE"""),"Batch 2")</f>
        <v>Batch 2</v>
      </c>
      <c r="J1037" s="225">
        <f>IFERROR(__xludf.DUMMYFUNCTION("""COMPUTED_VALUE"""),14.0)</f>
        <v>14</v>
      </c>
      <c r="K1037" s="224">
        <f>IFERROR(__xludf.DUMMYFUNCTION("""COMPUTED_VALUE"""),112.0)</f>
        <v>112</v>
      </c>
      <c r="L1037" s="226">
        <f>IFERROR(__xludf.DUMMYFUNCTION("""COMPUTED_VALUE"""),1253874.0)</f>
        <v>1253874</v>
      </c>
      <c r="M1037" s="227">
        <f>IFERROR(__xludf.DUMMYFUNCTION("""COMPUTED_VALUE"""),1.40433833E8)</f>
        <v>140433833</v>
      </c>
      <c r="N1037" s="222" t="str">
        <f>IFERROR(__xludf.DUMMYFUNCTION("""COMPUTED_VALUE"""),"PT UPAYA TEKNIK")</f>
        <v>PT UPAYA TEKNIK</v>
      </c>
      <c r="O1037" s="222" t="str">
        <f>IFERROR(__xludf.DUMMYFUNCTION("""COMPUTED_VALUE"""),"5. INSTALASI")</f>
        <v>5. INSTALASI</v>
      </c>
      <c r="P1037" s="222" t="str">
        <f>IFERROR(__xludf.DUMMYFUNCTION("""COMPUTED_VALUE"""),"5.1 Kendala - Comcase")</f>
        <v>5.1 Kendala - Comcase</v>
      </c>
      <c r="Q1037" s="222" t="str">
        <f>IFERROR(__xludf.DUMMYFUNCTION("""COMPUTED_VALUE"""),"20/04 Masih proses negosiasi sitac ODC 06/04 Proses Negosiasi Comcase, Plan CO W3 April 27/03 Proses CO di Week 2 April 16/03 Proses CO Setelah RAFI 03/03 PRoses Validasi ODC 10/02 Penanaman tiang Penarikan kabel 29/01 Pengambilan material (07/01) Persiap"&amp;"an")</f>
        <v>20/04 Masih proses negosiasi sitac ODC 06/04 Proses Negosiasi Comcase, Plan CO W3 April 27/03 Proses CO di Week 2 April 16/03 Proses CO Setelah RAFI 03/03 PRoses Validasi ODC 10/02 Penanaman tiang Penarikan kabel 29/01 Pengambilan material (07/01) Persiapan</v>
      </c>
      <c r="R1037" s="228">
        <f>IFERROR(__xludf.DUMMYFUNCTION("""COMPUTED_VALUE"""),46141.0)</f>
        <v>46141</v>
      </c>
      <c r="S1037" s="11"/>
      <c r="T1037" s="73" t="str">
        <f>IFERROR(__xludf.DUMMYFUNCTION("""COMPUTED_VALUE"""),"P1")</f>
        <v>P1</v>
      </c>
      <c r="U1037" s="11" t="str">
        <f>IFERROR(__xludf.DUMMYFUNCTION("""COMPUTED_VALUE"""),"W08-1665/2025")</f>
        <v>W08-1665/2025</v>
      </c>
      <c r="V1037" s="229" t="str">
        <f>IFERROR(__xludf.DUMMYFUNCTION("""COMPUTED_VALUE"""),"GUSKAR DIYONAL")</f>
        <v>GUSKAR DIYONAL</v>
      </c>
      <c r="W1037" s="229" t="str">
        <f>IFERROR(__xludf.DUMMYFUNCTION("""COMPUTED_VALUE"""),"ANZALA SAKINAH")</f>
        <v>ANZALA SAKINAH</v>
      </c>
      <c r="X1037" s="229" t="str">
        <f>IFERROR(__xludf.DUMMYFUNCTION("""COMPUTED_VALUE"""),"BELUM GOLIVE")</f>
        <v>BELUM GOLIVE</v>
      </c>
      <c r="Y1037" s="229"/>
      <c r="Z1037" s="229" t="str">
        <f>IFERROR(__xludf.DUMMYFUNCTION("""COMPUTED_VALUE"""),"#N/A")</f>
        <v>#N/A</v>
      </c>
      <c r="AA1037" s="229"/>
      <c r="AB1037" s="229"/>
      <c r="AC1037" s="229"/>
      <c r="AD1037" s="232"/>
      <c r="AE1037" s="233"/>
      <c r="AF1037" s="54"/>
      <c r="AG1037" s="54"/>
      <c r="AH1037" s="54">
        <v>46141.0</v>
      </c>
      <c r="AI1037" s="55">
        <f>AH1037-TODAY()</f>
        <v>1</v>
      </c>
      <c r="AJ1037" s="229" t="str">
        <f t="shared" si="117"/>
        <v>In Komitmen</v>
      </c>
      <c r="AK1037" s="231" t="s">
        <v>199</v>
      </c>
      <c r="AW1037" s="234"/>
      <c r="BP1037" s="11"/>
      <c r="BQ1037" s="11"/>
      <c r="BR1037" s="235"/>
      <c r="BV1037" s="158"/>
      <c r="BY1037" s="158"/>
      <c r="CB1037" s="158"/>
    </row>
    <row r="1038" ht="18.0" hidden="1" customHeight="1">
      <c r="A1038" s="222">
        <f>IFERROR(__xludf.DUMMYFUNCTION("""COMPUTED_VALUE"""),2026.0)</f>
        <v>2026</v>
      </c>
      <c r="B1038" s="221">
        <f>IFERROR(__xludf.DUMMYFUNCTION("""COMPUTED_VALUE"""),1.1196955E7)</f>
        <v>11196955</v>
      </c>
      <c r="C1038" s="222" t="str">
        <f>IFERROR(__xludf.DUMMYFUNCTION("""COMPUTED_VALUE"""),"MDN PT3 TJR-FXX JL.RAMBUNGAN GG.MESJID")</f>
        <v>MDN PT3 TJR-FXX JL.RAMBUNGAN GG.MESJID</v>
      </c>
      <c r="D1038" s="222" t="str">
        <f>IFERROR(__xludf.DUMMYFUNCTION("""COMPUTED_VALUE"""),"REGIONAL I")</f>
        <v>REGIONAL I</v>
      </c>
      <c r="E1038" s="222" t="str">
        <f>IFERROR(__xludf.DUMMYFUNCTION("""COMPUTED_VALUE"""),"MEDAN")</f>
        <v>MEDAN</v>
      </c>
      <c r="F1038" s="222" t="str">
        <f>IFERROR(__xludf.DUMMYFUNCTION("""COMPUTED_VALUE"""),"TJR")</f>
        <v>TJR</v>
      </c>
      <c r="G1038" s="222" t="str">
        <f>IFERROR(__xludf.DUMMYFUNCTION("""COMPUTED_VALUE"""),"SUMBAGUT")</f>
        <v>SUMBAGUT</v>
      </c>
      <c r="H1038" s="222" t="str">
        <f>IFERROR(__xludf.DUMMYFUNCTION("""COMPUTED_VALUE"""),"MEDAN")</f>
        <v>MEDAN</v>
      </c>
      <c r="I1038" s="222" t="str">
        <f>IFERROR(__xludf.DUMMYFUNCTION("""COMPUTED_VALUE"""),"Batch 2")</f>
        <v>Batch 2</v>
      </c>
      <c r="J1038" s="225">
        <f>IFERROR(__xludf.DUMMYFUNCTION("""COMPUTED_VALUE"""),11.0)</f>
        <v>11</v>
      </c>
      <c r="K1038" s="224">
        <f>IFERROR(__xludf.DUMMYFUNCTION("""COMPUTED_VALUE"""),88.0)</f>
        <v>88</v>
      </c>
      <c r="L1038" s="226">
        <f>IFERROR(__xludf.DUMMYFUNCTION("""COMPUTED_VALUE"""),1442108.0)</f>
        <v>1442108</v>
      </c>
      <c r="M1038" s="227">
        <f>IFERROR(__xludf.DUMMYFUNCTION("""COMPUTED_VALUE"""),1.26905453E8)</f>
        <v>126905453</v>
      </c>
      <c r="N1038" s="222" t="str">
        <f>IFERROR(__xludf.DUMMYFUNCTION("""COMPUTED_VALUE"""),"PT FIBERHOME TECHNOLOGIES INDONESIA")</f>
        <v>PT FIBERHOME TECHNOLOGIES INDONESIA</v>
      </c>
      <c r="O1038" s="222" t="str">
        <f>IFERROR(__xludf.DUMMYFUNCTION("""COMPUTED_VALUE"""),"7. GOLIVE")</f>
        <v>7. GOLIVE</v>
      </c>
      <c r="P1038" s="222" t="str">
        <f>IFERROR(__xludf.DUMMYFUNCTION("""COMPUTED_VALUE"""),"7.2 Golive Full / OA / DONE OTB")</f>
        <v>7.2 Golive Full / OA / DONE OTB</v>
      </c>
      <c r="Q1038" s="222" t="str">
        <f>IFERROR(__xludf.DUMMYFUNCTION("""COMPUTED_VALUE"""),"07/04 golive sdi
06/04 pengecekan abd mancore
18/02 tanam tiang
(05/02) on going cluster permit, (08/01) kendala feeder penuh,  KENDALA FEEDER SPE-FE , CORE BB HABIS, BUTUH NEW FEEDER (07/01) Persiapan")</f>
        <v>07/04 golive sdi
06/04 pengecekan abd mancore
18/02 tanam tiang
(05/02) on going cluster permit, (08/01) kendala feeder penuh,  KENDALA FEEDER SPE-FE , CORE BB HABIS, BUTUH NEW FEEDER (07/01) Persiapan</v>
      </c>
      <c r="R1038" s="228">
        <f>IFERROR(__xludf.DUMMYFUNCTION("""COMPUTED_VALUE"""),46118.0)</f>
        <v>46118</v>
      </c>
      <c r="S1038" s="11"/>
      <c r="T1038" s="73"/>
      <c r="U1038" s="11"/>
      <c r="V1038" s="229"/>
      <c r="W1038" s="229" t="str">
        <f>IFERROR(__xludf.DUMMYFUNCTION("""COMPUTED_VALUE"""),"#N/A")</f>
        <v>#N/A</v>
      </c>
      <c r="X1038" s="229" t="str">
        <f>IFERROR(__xludf.DUMMYFUNCTION("""COMPUTED_VALUE"""),"GOLIVE")</f>
        <v>GOLIVE</v>
      </c>
      <c r="Y1038" s="229" t="str">
        <f>IFERROR(__xludf.DUMMYFUNCTION("""COMPUTED_VALUE"""),"DONE")</f>
        <v>DONE</v>
      </c>
      <c r="Z1038" s="229" t="str">
        <f>IFERROR(__xludf.DUMMYFUNCTION("""COMPUTED_VALUE"""),"#N/A")</f>
        <v>#N/A</v>
      </c>
      <c r="AA1038" s="229">
        <f>IFERROR(__xludf.DUMMYFUNCTION("""COMPUTED_VALUE"""),11.0)</f>
        <v>11</v>
      </c>
      <c r="AB1038" s="229"/>
      <c r="AC1038" s="229" t="str">
        <f>IFERROR(__xludf.DUMMYFUNCTION("""COMPUTED_VALUE"""),"9244218#9244223")</f>
        <v>9244218#9244223</v>
      </c>
      <c r="AD1038" s="232">
        <f>IFERROR(__xludf.DUMMYFUNCTION("""COMPUTED_VALUE"""),88.0)</f>
        <v>88</v>
      </c>
      <c r="AE1038" s="233">
        <f>IFERROR(__xludf.DUMMYFUNCTION("""COMPUTED_VALUE"""),46118.0)</f>
        <v>46118</v>
      </c>
      <c r="AF1038" s="54"/>
      <c r="AG1038" s="54"/>
      <c r="AH1038" s="54">
        <v>46118.0</v>
      </c>
      <c r="AI1038" s="55">
        <f t="shared" ref="AI1038:AI1044" si="118">IF(OR(R1038="",AE1038=""),"",R1038-AE1038)</f>
        <v>0</v>
      </c>
      <c r="AW1038" s="234"/>
      <c r="BP1038" s="11"/>
      <c r="BQ1038" s="11"/>
      <c r="BR1038" s="235"/>
      <c r="BV1038" s="158"/>
      <c r="BY1038" s="158"/>
      <c r="CB1038" s="158"/>
    </row>
    <row r="1039" ht="18.0" customHeight="1">
      <c r="A1039" s="222">
        <f>IFERROR(__xludf.DUMMYFUNCTION("""COMPUTED_VALUE"""),2026.0)</f>
        <v>2026</v>
      </c>
      <c r="B1039" s="221">
        <f>IFERROR(__xludf.DUMMYFUNCTION("""COMPUTED_VALUE"""),1.1521975E7)</f>
        <v>11521975</v>
      </c>
      <c r="C1039" s="222" t="str">
        <f>IFERROR(__xludf.DUMMYFUNCTION("""COMPUTED_VALUE"""),"SMB STTF AIA GADANG")</f>
        <v>SMB STTF AIA GADANG</v>
      </c>
      <c r="D1039" s="222" t="str">
        <f>IFERROR(__xludf.DUMMYFUNCTION("""COMPUTED_VALUE"""),"REGIONAL I")</f>
        <v>REGIONAL I</v>
      </c>
      <c r="E1039" s="222" t="str">
        <f>IFERROR(__xludf.DUMMYFUNCTION("""COMPUTED_VALUE"""),"SUMBAR")</f>
        <v>SUMBAR</v>
      </c>
      <c r="F1039" s="222" t="str">
        <f>IFERROR(__xludf.DUMMYFUNCTION("""COMPUTED_VALUE"""),"SPE")</f>
        <v>SPE</v>
      </c>
      <c r="G1039" s="222" t="str">
        <f>IFERROR(__xludf.DUMMYFUNCTION("""COMPUTED_VALUE"""),"SUMBAGTENG")</f>
        <v>SUMBAGTENG</v>
      </c>
      <c r="H1039" s="222" t="str">
        <f>IFERROR(__xludf.DUMMYFUNCTION("""COMPUTED_VALUE"""),"BUKIT TINGGI")</f>
        <v>BUKIT TINGGI</v>
      </c>
      <c r="I1039" s="222" t="str">
        <f>IFERROR(__xludf.DUMMYFUNCTION("""COMPUTED_VALUE"""),"Batch 2")</f>
        <v>Batch 2</v>
      </c>
      <c r="J1039" s="225">
        <f>IFERROR(__xludf.DUMMYFUNCTION("""COMPUTED_VALUE"""),9.0)</f>
        <v>9</v>
      </c>
      <c r="K1039" s="224">
        <f>IFERROR(__xludf.DUMMYFUNCTION("""COMPUTED_VALUE"""),72.0)</f>
        <v>72</v>
      </c>
      <c r="L1039" s="226">
        <f>IFERROR(__xludf.DUMMYFUNCTION("""COMPUTED_VALUE"""),946428.0)</f>
        <v>946428</v>
      </c>
      <c r="M1039" s="227">
        <f>IFERROR(__xludf.DUMMYFUNCTION("""COMPUTED_VALUE"""),6.8142775E7)</f>
        <v>68142775</v>
      </c>
      <c r="N1039" s="222" t="str">
        <f>IFERROR(__xludf.DUMMYFUNCTION("""COMPUTED_VALUE"""),"PT TIGA AKSES MANDIRI")</f>
        <v>PT TIGA AKSES MANDIRI</v>
      </c>
      <c r="O1039" s="222" t="str">
        <f>IFERROR(__xludf.DUMMYFUNCTION("""COMPUTED_VALUE"""),"0. DROP")</f>
        <v>0. DROP</v>
      </c>
      <c r="P1039" s="222" t="str">
        <f>IFERROR(__xludf.DUMMYFUNCTION("""COMPUTED_VALUE"""),"0.3 Feeder Full")</f>
        <v>0.3 Feeder Full</v>
      </c>
      <c r="Q1039" s="222" t="str">
        <f>IFERROR(__xludf.DUMMYFUNCTION("""COMPUTED_VALUE"""),"(26/01) KENDALA FEEDER SPE-FE , CORE BB HABIS, BUTUH NEW FEEDER")</f>
        <v>(26/01) KENDALA FEEDER SPE-FE , CORE BB HABIS, BUTUH NEW FEEDER</v>
      </c>
      <c r="R1039" s="228"/>
      <c r="S1039" s="11"/>
      <c r="T1039" s="11"/>
      <c r="U1039" s="11"/>
      <c r="V1039" s="229"/>
      <c r="W1039" s="229"/>
      <c r="X1039" s="229" t="str">
        <f>IFERROR(__xludf.DUMMYFUNCTION("""COMPUTED_VALUE"""),"BELUM GOLIVE")</f>
        <v>BELUM GOLIVE</v>
      </c>
      <c r="Y1039" s="229"/>
      <c r="Z1039" s="229" t="str">
        <f>IFERROR(__xludf.DUMMYFUNCTION("""COMPUTED_VALUE"""),"#N/A")</f>
        <v>#N/A</v>
      </c>
      <c r="AA1039" s="229"/>
      <c r="AB1039" s="229"/>
      <c r="AC1039" s="229"/>
      <c r="AD1039" s="232"/>
      <c r="AE1039" s="233"/>
      <c r="AF1039" s="54" t="str">
        <f>IFERROR(__xludf.DUMMYFUNCTION("""COMPUTED_VALUE"""),"Draft BA DROP")</f>
        <v>Draft BA DROP</v>
      </c>
      <c r="AG1039" s="54"/>
      <c r="AH1039" s="54"/>
      <c r="AI1039" s="55" t="str">
        <f t="shared" si="118"/>
        <v/>
      </c>
      <c r="AW1039" s="234"/>
      <c r="BP1039" s="11"/>
      <c r="BQ1039" s="11"/>
      <c r="BR1039" s="235"/>
      <c r="BV1039" s="158"/>
      <c r="BY1039" s="158"/>
      <c r="CB1039" s="158"/>
    </row>
    <row r="1040" ht="18.0" hidden="1" customHeight="1">
      <c r="A1040" s="222">
        <f>IFERROR(__xludf.DUMMYFUNCTION("""COMPUTED_VALUE"""),2026.0)</f>
        <v>2026</v>
      </c>
      <c r="B1040" s="221">
        <f>IFERROR(__xludf.DUMMYFUNCTION("""COMPUTED_VALUE"""),1.1678286E7)</f>
        <v>11678286</v>
      </c>
      <c r="C1040" s="222" t="str">
        <f>IFERROR(__xludf.DUMMYFUNCTION("""COMPUTED_VALUE"""),"SMU NEW ODC-PRR-SIMARMATA PARBABA")</f>
        <v>SMU NEW ODC-PRR-SIMARMATA PARBABA</v>
      </c>
      <c r="D1040" s="222" t="str">
        <f>IFERROR(__xludf.DUMMYFUNCTION("""COMPUTED_VALUE"""),"REGIONAL I")</f>
        <v>REGIONAL I</v>
      </c>
      <c r="E1040" s="222" t="str">
        <f>IFERROR(__xludf.DUMMYFUNCTION("""COMPUTED_VALUE"""),"SUMUT")</f>
        <v>SUMUT</v>
      </c>
      <c r="F1040" s="222" t="str">
        <f>IFERROR(__xludf.DUMMYFUNCTION("""COMPUTED_VALUE"""),"PRR")</f>
        <v>PRR</v>
      </c>
      <c r="G1040" s="222" t="str">
        <f>IFERROR(__xludf.DUMMYFUNCTION("""COMPUTED_VALUE"""),"SUMBAGUT")</f>
        <v>SUMBAGUT</v>
      </c>
      <c r="H1040" s="222" t="str">
        <f>IFERROR(__xludf.DUMMYFUNCTION("""COMPUTED_VALUE"""),"PEMATANG SIANTAR")</f>
        <v>PEMATANG SIANTAR</v>
      </c>
      <c r="I1040" s="222" t="str">
        <f>IFERROR(__xludf.DUMMYFUNCTION("""COMPUTED_VALUE"""),"Batch 2")</f>
        <v>Batch 2</v>
      </c>
      <c r="J1040" s="225">
        <f>IFERROR(__xludf.DUMMYFUNCTION("""COMPUTED_VALUE"""),60.0)</f>
        <v>60</v>
      </c>
      <c r="K1040" s="224">
        <f>IFERROR(__xludf.DUMMYFUNCTION("""COMPUTED_VALUE"""),480.0)</f>
        <v>480</v>
      </c>
      <c r="L1040" s="226">
        <f>IFERROR(__xludf.DUMMYFUNCTION("""COMPUTED_VALUE"""),946198.0)</f>
        <v>946198</v>
      </c>
      <c r="M1040" s="227">
        <f>IFERROR(__xludf.DUMMYFUNCTION("""COMPUTED_VALUE"""),4.54174749E8)</f>
        <v>454174749</v>
      </c>
      <c r="N1040" s="222" t="str">
        <f>IFERROR(__xludf.DUMMYFUNCTION("""COMPUTED_VALUE"""),"PT ARTHA MANDIRI BERSAMA")</f>
        <v>PT ARTHA MANDIRI BERSAMA</v>
      </c>
      <c r="O1040" s="222" t="str">
        <f>IFERROR(__xludf.DUMMYFUNCTION("""COMPUTED_VALUE"""),"5. INSTALASI")</f>
        <v>5. INSTALASI</v>
      </c>
      <c r="P1040" s="222" t="str">
        <f>IFERROR(__xludf.DUMMYFUNCTION("""COMPUTED_VALUE"""),"5.4 Proses Penanaman Tiang")</f>
        <v>5.4 Proses Penanaman Tiang</v>
      </c>
      <c r="Q1040" s="222" t="str">
        <f>IFERROR(__xludf.DUMMYFUNCTION("""COMPUTED_VALUE"""),"28/4 plan hari ini tanam tiang, 27/4 matrial on site , plan progres besok 28 april, 23/4 plan hari ini pengiriman matrial kelokasi, 22/4 prepair tim untuk pengambilan material, 21/4 proses input material, 16/4 proses input di alista kendala masih up budge"&amp;"t, 14/4 plan fu kembali terkait perizinan, 13/4 plan fu kembali terkait perizinan, 9/4 plan fu kembali terkait perizinan, 6/4 hari ini cek cpp hasil redesign, 5/4 plan survey ulang redesain hari senin 6 april, 1/4 plan survey ulang redesain hari kamis 2 a"&amp;"pril, 31/3 plan survey ulang redesain hari rabu 1 april, 30/3 plan survey ulang redesain hari rabu 1 april, 27/3 plan survey ulang redesain hari rabu 1 april, 26/3 plan lanjut progres setelah lebaran, 22/3 plan lanjut progres setelah lebaran,  18/3 plan l"&amp;"anjut progres setelah lebaran,  16/3 plan lanjut progres setelah lebaran, 3/3 meeting ED1-ED-RSBU-TA1: drop cpp tinggi 2/3 ada kenaikan cpp 1,4, ijin sitac odc 10jt/tahun 27/2 plan redesign cpp 1,4,  25/2 plan redesign cpp 1,4 menunggu update kml redesign"&amp;" dari sdi dan tsel terkait posisi penempatan new odp tambahan,  24/2 plan redesign cpp 1,4 menunggu update kml redesign dari sdi dan tsel terkait posisi penempatan new odp tambahan, 23/2 plan redesign cpp 1,4 menunggu update kml redesign dari sdi dan tsel"&amp;" terkait posisi penempatan new odp tambahan, 20/2 plan redesign cpp 1,4 menunggu update kml redesign dari sdi dan tsel terkait posisi penempatan new odp tambahan,19/2 plan redesign cpp 1,4 menunggu update kml redesign dari sdi dan tsel terkait posisi pene"&amp;"mpatan new odp tambahan,18/2 plan redesign cpp 1,4 menunggu update kml redesign dari sdi dan tsel terkait posisi penempatan new odp tambahan,16/2 plan redesign cpp 1,4 menunggu update kml redesign dari sdi dan tsel terkait posisi penempatan new odp tambah"&amp;"an, 13/2 plan redesign cpp 1,4 menunggu update kml redesign dari sdi dan tsel terkait posisi penempatan new odp tambahan, 12/2 plan redesign cpp 1,4 menunggu update kml redesign dari sdi dan tsel terkait posisi penempatan new odp tambahan, 11/2 plan redes"&amp;"ign cpp 1,4 menunggu update kml redesign dari sdi dan tsel terkait posisi penempatan new odp tambahan, 10/2 plan redesign cpp 1,4 menunggu update kml redesign dari sdi dan tsel terkait posisi penempatan new odp tambahan, 9/2 plan redesign cpp 1,4 menunggu"&amp;" update kml redesign dari sdi dan tsel terkait posisi penempatan new odp tambahan, 6/2 plan redesign cpp 1,4 menunggu update kml redesign dari sdi dan tsel terkait posisi penempatan new odp tambahan, 5/2 plan redesign cpp 1,4 menunggu update kml redesign "&amp;"dari sdi dan tsel terkait posisi penempatan new odp tambahan, 4/2 plan redesign cpp 1,4 menunggu update kml redesign dari sdi dan tsel terkait posisi penempatan new odp tambahan,  3/2 plan redesign cpp 1,4 menunggu update kml redesign dari sdi dan tsel te"&amp;"rkait posisi penempatan new odp tambahan, 2/2 menunggu boq kml survey, 1/2 menunggu boq kml survey, 30/1 menunggu boq kml survey,  28/1 menunggu boq kml survey, 27/1 plan submit boq kml hari ini 27/1, 26/1 menunggu boq kml survey, 23/1 menunggu boq kml su"&amp;"rvey,  22/1 menunggu boq kml survey, 21/1 menunggu boq kml survey, 20/1 menunggu report serta boq kml survey,19/1 plan survey besok, 18/1 plan survey 19/1, 15/1 plan survey 19/1, 14/01 prepare tim untuk survey, 13/01 prepare tim untuk survey, (07/01) Pers"&amp;"iapan")</f>
        <v>28/4 plan hari ini tanam tiang, 27/4 matrial on site , plan progres besok 28 april, 23/4 plan hari ini pengiriman matrial kelokasi, 22/4 prepair tim untuk pengambilan material, 21/4 proses input material, 16/4 proses input di alista kendala masih up budget, 14/4 plan fu kembali terkait perizinan, 13/4 plan fu kembali terkait perizinan, 9/4 plan fu kembali terkait perizinan, 6/4 hari ini cek cpp hasil redesign, 5/4 plan survey ulang redesain hari senin 6 april, 1/4 plan survey ulang redesain hari kamis 2 april, 31/3 plan survey ulang redesain hari rabu 1 april, 30/3 plan survey ulang redesain hari rabu 1 april, 27/3 plan survey ulang redesain hari rabu 1 april, 26/3 plan lanjut progres setelah lebaran, 22/3 plan lanjut progres setelah lebaran,  18/3 plan lanjut progres setelah lebaran,  16/3 plan lanjut progres setelah lebaran, 3/3 meeting ED1-ED-RSBU-TA1: drop cpp tinggi 2/3 ada kenaikan cpp 1,4, ijin sitac odc 10jt/tahun 27/2 plan redesign cpp 1,4,  25/2 plan redesign cpp 1,4 menunggu update kml redesign dari sdi dan tsel terkait posisi penempatan new odp tambahan,  24/2 plan redesign cpp 1,4 menunggu update kml redesign dari sdi dan tsel terkait posisi penempatan new odp tambahan, 23/2 plan redesign cpp 1,4 menunggu update kml redesign dari sdi dan tsel terkait posisi penempatan new odp tambahan, 20/2 plan redesign cpp 1,4 menunggu update kml redesign dari sdi dan tsel terkait posisi penempatan new odp tambahan,19/2 plan redesign cpp 1,4 menunggu update kml redesign dari sdi dan tsel terkait posisi penempatan new odp tambahan,18/2 plan redesign cpp 1,4 menunggu update kml redesign dari sdi dan tsel terkait posisi penempatan new odp tambahan,16/2 plan redesign cpp 1,4 menunggu update kml redesign dari sdi dan tsel terkait posisi penempatan new odp tambahan, 13/2 plan redesign cpp 1,4 menunggu update kml redesign dari sdi dan tsel terkait posisi penempatan new odp tambahan, 12/2 plan redesign cpp 1,4 menunggu update kml redesign dari sdi dan tsel terkait posisi penempatan new odp tambahan, 11/2 plan redesign cpp 1,4 menunggu update kml redesign dari sdi dan tsel terkait posisi penempatan new odp tambahan, 10/2 plan redesign cpp 1,4 menunggu update kml redesign dari sdi dan tsel terkait posisi penempatan new odp tambahan, 9/2 plan redesign cpp 1,4 menunggu update kml redesign dari sdi dan tsel terkait posisi penempatan new odp tambahan, 6/2 plan redesign cpp 1,4 menunggu update kml redesign dari sdi dan tsel terkait posisi penempatan new odp tambahan, 5/2 plan redesign cpp 1,4 menunggu update kml redesign dari sdi dan tsel terkait posisi penempatan new odp tambahan, 4/2 plan redesign cpp 1,4 menunggu update kml redesign dari sdi dan tsel terkait posisi penempatan new odp tambahan,  3/2 plan redesign cpp 1,4 menunggu update kml redesign dari sdi dan tsel terkait posisi penempatan new odp tambahan, 2/2 menunggu boq kml survey, 1/2 menunggu boq kml survey, 30/1 menunggu boq kml survey,  28/1 menunggu boq kml survey, 27/1 plan submit boq kml hari ini 27/1, 26/1 menunggu boq kml survey, 23/1 menunggu boq kml survey,  22/1 menunggu boq kml survey, 21/1 menunggu boq kml survey, 20/1 menunggu report serta boq kml survey,19/1 plan survey besok, 18/1 plan survey 19/1, 15/1 plan survey 19/1, 14/01 prepare tim untuk survey, 13/01 prepare tim untuk survey, (07/01) Persiapan</v>
      </c>
      <c r="R1040" s="228"/>
      <c r="S1040" s="11"/>
      <c r="T1040" s="11"/>
      <c r="U1040" s="11" t="str">
        <f>IFERROR(__xludf.DUMMYFUNCTION("""COMPUTED_VALUE"""),"TIF-1382/2026")</f>
        <v>TIF-1382/2026</v>
      </c>
      <c r="V1040" s="229"/>
      <c r="W1040" s="229"/>
      <c r="X1040" s="229" t="str">
        <f>IFERROR(__xludf.DUMMYFUNCTION("""COMPUTED_VALUE"""),"BELUM GOLIVE")</f>
        <v>BELUM GOLIVE</v>
      </c>
      <c r="Y1040" s="229"/>
      <c r="Z1040" s="229" t="str">
        <f>IFERROR(__xludf.DUMMYFUNCTION("""COMPUTED_VALUE"""),"#N/A")</f>
        <v>#N/A</v>
      </c>
      <c r="AA1040" s="229"/>
      <c r="AB1040" s="229"/>
      <c r="AC1040" s="229"/>
      <c r="AD1040" s="232"/>
      <c r="AE1040" s="233"/>
      <c r="AF1040" s="54" t="str">
        <f>IFERROR(__xludf.DUMMYFUNCTION("""COMPUTED_VALUE"""),"Draft BA DROP")</f>
        <v>Draft BA DROP</v>
      </c>
      <c r="AG1040" s="54"/>
      <c r="AH1040" s="54"/>
      <c r="AI1040" s="55" t="str">
        <f t="shared" si="118"/>
        <v/>
      </c>
      <c r="AW1040" s="234"/>
      <c r="BP1040" s="11"/>
      <c r="BQ1040" s="11"/>
      <c r="BR1040" s="235"/>
      <c r="BV1040" s="158"/>
      <c r="BY1040" s="158"/>
      <c r="CB1040" s="158"/>
    </row>
    <row r="1041" ht="18.0" hidden="1" customHeight="1">
      <c r="A1041" s="222">
        <f>IFERROR(__xludf.DUMMYFUNCTION("""COMPUTED_VALUE"""),2026.0)</f>
        <v>2026</v>
      </c>
      <c r="B1041" s="221">
        <f>IFERROR(__xludf.DUMMYFUNCTION("""COMPUTED_VALUE"""),1.182512E7)</f>
        <v>11825120</v>
      </c>
      <c r="C1041" s="222" t="str">
        <f>IFERROR(__xludf.DUMMYFUNCTION("""COMPUTED_VALUE"""),"BNK-PT3BRC-AGR-FDK-JPPTSEL-TALANG KERING")</f>
        <v>BNK-PT3BRC-AGR-FDK-JPPTSEL-TALANG KERING</v>
      </c>
      <c r="D1041" s="222" t="str">
        <f>IFERROR(__xludf.DUMMYFUNCTION("""COMPUTED_VALUE"""),"REGIONAL I")</f>
        <v>REGIONAL I</v>
      </c>
      <c r="E1041" s="222" t="str">
        <f>IFERROR(__xludf.DUMMYFUNCTION("""COMPUTED_VALUE"""),"BENGKULU")</f>
        <v>BENGKULU</v>
      </c>
      <c r="F1041" s="222" t="str">
        <f>IFERROR(__xludf.DUMMYFUNCTION("""COMPUTED_VALUE"""),"AGR")</f>
        <v>AGR</v>
      </c>
      <c r="G1041" s="222" t="str">
        <f>IFERROR(__xludf.DUMMYFUNCTION("""COMPUTED_VALUE"""),"SUMBAGSEL")</f>
        <v>SUMBAGSEL</v>
      </c>
      <c r="H1041" s="222" t="str">
        <f>IFERROR(__xludf.DUMMYFUNCTION("""COMPUTED_VALUE"""),"BENGKULU")</f>
        <v>BENGKULU</v>
      </c>
      <c r="I1041" s="222" t="str">
        <f>IFERROR(__xludf.DUMMYFUNCTION("""COMPUTED_VALUE"""),"Batch 2")</f>
        <v>Batch 2</v>
      </c>
      <c r="J1041" s="225">
        <f>IFERROR(__xludf.DUMMYFUNCTION("""COMPUTED_VALUE"""),9.0)</f>
        <v>9</v>
      </c>
      <c r="K1041" s="224">
        <f>IFERROR(__xludf.DUMMYFUNCTION("""COMPUTED_VALUE"""),72.0)</f>
        <v>72</v>
      </c>
      <c r="L1041" s="226">
        <f>IFERROR(__xludf.DUMMYFUNCTION("""COMPUTED_VALUE"""),1478772.0)</f>
        <v>1478772</v>
      </c>
      <c r="M1041" s="227">
        <f>IFERROR(__xludf.DUMMYFUNCTION("""COMPUTED_VALUE"""),1.06471572E8)</f>
        <v>106471572</v>
      </c>
      <c r="N1041" s="222" t="str">
        <f>IFERROR(__xludf.DUMMYFUNCTION("""COMPUTED_VALUE"""),"PT TELAGA RESTU ABADI")</f>
        <v>PT TELAGA RESTU ABADI</v>
      </c>
      <c r="O1041" s="222" t="str">
        <f>IFERROR(__xludf.DUMMYFUNCTION("""COMPUTED_VALUE"""),"7. GOLIVE")</f>
        <v>7. GOLIVE</v>
      </c>
      <c r="P1041" s="222" t="str">
        <f>IFERROR(__xludf.DUMMYFUNCTION("""COMPUTED_VALUE"""),"7.2 Golive Full / OA / DONE OTB")</f>
        <v>7.2 Golive Full / OA / DONE OTB</v>
      </c>
      <c r="Q1041" s="222" t="str">
        <f>IFERROR(__xludf.DUMMYFUNCTION("""COMPUTED_VALUE"""),"14/04: sudah setor ABD // 13/04 : Valins ODP // 13/04: Menunggu integrasi &amp; peroses valins ODP &amp; Pembuatan Pembuatan ABD  // 10/04: perapihan di ODC // 09/04 : pgrade ODC finish // 08/04 : Proses CO dan Upgrade ODC jadwal CO 9 April // 07/04 : jadwal CO t"&amp;"anggal 7 // 09/03 : lagi mencari MP buat pondasi, tarikan kabel 12 dan instalasi odp Finish // 06/03 : Progres Instal ODP // 05/03 : Proses penarikan kabel 12 // 02/03 : Finish Tanam tiang, GL butuh upgrade ODC // 27/02 : Proses Matdel, kabel 12 nya diamb"&amp;"il hari senin karena stok di gudang sudah habis. // 26/2 pararel penambahan TIM 24/02 // 22/2 proses matdel  18/2 menunggu antrian kerja padang jaya, butuh upgrade ODC  11/2 upgrade odc, PID proses create   09/02://08/02://07/02://06/02://05/02://03/02: k"&amp;"onfirmasi TIF, menunggu keputusan HO TIF terkait kenaikan cpp hasil anwizing senilai ( 1,478,772 ) // 30/01 : pembuatan hasil anwijzing kebutuhan upgrade odc // 28/01 : perizinan desa sebesar 1,5 juta // 26/01 : Done anwidjing // 22/01 : Lanjut progres Pe"&amp;"rizinan ke Kades // 19/01 : Proses Anwidjzing (Survey selesai, Comcase Kades Minta Bantuan Dana untuk BUMD) // 14/01 : Done Survey // 13/01 : Survey Lapangan (07/01) Persiapan")</f>
        <v>14/04: sudah setor ABD // 13/04 : Valins ODP // 13/04: Menunggu integrasi &amp; peroses valins ODP &amp; Pembuatan Pembuatan ABD  // 10/04: perapihan di ODC // 09/04 : pgrade ODC finish // 08/04 : Proses CO dan Upgrade ODC jadwal CO 9 April // 07/04 : jadwal CO tanggal 7 // 09/03 : lagi mencari MP buat pondasi, tarikan kabel 12 dan instalasi odp Finish // 06/03 : Progres Instal ODP // 05/03 : Proses penarikan kabel 12 // 02/03 : Finish Tanam tiang, GL butuh upgrade ODC // 27/02 : Proses Matdel, kabel 12 nya diambil hari senin karena stok di gudang sudah habis. // 26/2 pararel penambahan TIM 24/02 // 22/2 proses matdel  18/2 menunggu antrian kerja padang jaya, butuh upgrade ODC  11/2 upgrade odc, PID proses create   09/02://08/02://07/02://06/02://05/02://03/02: konfirmasi TIF, menunggu keputusan HO TIF terkait kenaikan cpp hasil anwizing senilai ( 1,478,772 ) // 30/01 : pembuatan hasil anwijzing kebutuhan upgrade odc // 28/01 : perizinan desa sebesar 1,5 juta // 26/01 : Done anwidjing // 22/01 : Lanjut progres Perizinan ke Kades // 19/01 : Proses Anwidjzing (Survey selesai, Comcase Kades Minta Bantuan Dana untuk BUMD) // 14/01 : Done Survey // 13/01 : Survey Lapangan (07/01) Persiapan</v>
      </c>
      <c r="R1041" s="228">
        <f>IFERROR(__xludf.DUMMYFUNCTION("""COMPUTED_VALUE"""),46127.0)</f>
        <v>46127</v>
      </c>
      <c r="S1041" s="11" t="str">
        <f>IFERROR(__xludf.DUMMYFUNCTION("""COMPUTED_VALUE"""),"APR")</f>
        <v>APR</v>
      </c>
      <c r="T1041" s="73" t="str">
        <f>IFERROR(__xludf.DUMMYFUNCTION("""COMPUTED_VALUE"""),"P1")</f>
        <v>P1</v>
      </c>
      <c r="U1041" s="11" t="str">
        <f>IFERROR(__xludf.DUMMYFUNCTION("""COMPUTED_VALUE"""),"TIF-3059/2026")</f>
        <v>TIF-3059/2026</v>
      </c>
      <c r="V1041" s="229" t="str">
        <f>IFERROR(__xludf.DUMMYFUNCTION("""COMPUTED_VALUE"""),"Bobbi Jalu")</f>
        <v>Bobbi Jalu</v>
      </c>
      <c r="W1041" s="229"/>
      <c r="X1041" s="229" t="str">
        <f>IFERROR(__xludf.DUMMYFUNCTION("""COMPUTED_VALUE"""),"GOLIVE")</f>
        <v>GOLIVE</v>
      </c>
      <c r="Y1041" s="229" t="str">
        <f>IFERROR(__xludf.DUMMYFUNCTION("""COMPUTED_VALUE"""),"DONE")</f>
        <v>DONE</v>
      </c>
      <c r="Z1041" s="229" t="str">
        <f>IFERROR(__xludf.DUMMYFUNCTION("""COMPUTED_VALUE"""),"#N/A")</f>
        <v>#N/A</v>
      </c>
      <c r="AA1041" s="229">
        <f>IFERROR(__xludf.DUMMYFUNCTION("""COMPUTED_VALUE"""),12.0)</f>
        <v>12</v>
      </c>
      <c r="AB1041" s="229"/>
      <c r="AC1041" s="229" t="str">
        <f>IFERROR(__xludf.DUMMYFUNCTION("""COMPUTED_VALUE"""),"9270038#9270043")</f>
        <v>9270038#9270043</v>
      </c>
      <c r="AD1041" s="232">
        <f>IFERROR(__xludf.DUMMYFUNCTION("""COMPUTED_VALUE"""),96.0)</f>
        <v>96</v>
      </c>
      <c r="AE1041" s="233">
        <f>IFERROR(__xludf.DUMMYFUNCTION("""COMPUTED_VALUE"""),46126.0)</f>
        <v>46126</v>
      </c>
      <c r="AF1041" s="54"/>
      <c r="AG1041" s="54"/>
      <c r="AH1041" s="54">
        <v>46127.0</v>
      </c>
      <c r="AI1041" s="55">
        <f t="shared" si="118"/>
        <v>1</v>
      </c>
      <c r="AW1041" s="234"/>
      <c r="BP1041" s="11"/>
      <c r="BQ1041" s="11"/>
      <c r="BR1041" s="235"/>
      <c r="BV1041" s="158"/>
      <c r="BY1041" s="158"/>
      <c r="CB1041" s="158"/>
    </row>
    <row r="1042" ht="18.0" hidden="1" customHeight="1">
      <c r="A1042" s="222">
        <f>IFERROR(__xludf.DUMMYFUNCTION("""COMPUTED_VALUE"""),2026.0)</f>
        <v>2026</v>
      </c>
      <c r="B1042" s="221">
        <f>IFERROR(__xludf.DUMMYFUNCTION("""COMPUTED_VALUE"""),1.1219454E7)</f>
        <v>11219454</v>
      </c>
      <c r="C1042" s="222" t="str">
        <f>IFERROR(__xludf.DUMMYFUNCTION("""COMPUTED_VALUE"""),"MDN PT3 P7I12 TJR-FK JL.LIMAU MANIS GG")</f>
        <v>MDN PT3 P7I12 TJR-FK JL.LIMAU MANIS GG</v>
      </c>
      <c r="D1042" s="222" t="str">
        <f>IFERROR(__xludf.DUMMYFUNCTION("""COMPUTED_VALUE"""),"REGIONAL I")</f>
        <v>REGIONAL I</v>
      </c>
      <c r="E1042" s="222" t="str">
        <f>IFERROR(__xludf.DUMMYFUNCTION("""COMPUTED_VALUE"""),"MEDAN")</f>
        <v>MEDAN</v>
      </c>
      <c r="F1042" s="222" t="str">
        <f>IFERROR(__xludf.DUMMYFUNCTION("""COMPUTED_VALUE"""),"TJR")</f>
        <v>TJR</v>
      </c>
      <c r="G1042" s="222" t="str">
        <f>IFERROR(__xludf.DUMMYFUNCTION("""COMPUTED_VALUE"""),"SUMBAGUT")</f>
        <v>SUMBAGUT</v>
      </c>
      <c r="H1042" s="222" t="str">
        <f>IFERROR(__xludf.DUMMYFUNCTION("""COMPUTED_VALUE"""),"MEDAN")</f>
        <v>MEDAN</v>
      </c>
      <c r="I1042" s="222" t="str">
        <f>IFERROR(__xludf.DUMMYFUNCTION("""COMPUTED_VALUE"""),"Batch 2")</f>
        <v>Batch 2</v>
      </c>
      <c r="J1042" s="225">
        <f>IFERROR(__xludf.DUMMYFUNCTION("""COMPUTED_VALUE"""),3.0)</f>
        <v>3</v>
      </c>
      <c r="K1042" s="224">
        <f>IFERROR(__xludf.DUMMYFUNCTION("""COMPUTED_VALUE"""),24.0)</f>
        <v>24</v>
      </c>
      <c r="L1042" s="226">
        <f>IFERROR(__xludf.DUMMYFUNCTION("""COMPUTED_VALUE"""),1187690.0)</f>
        <v>1187690</v>
      </c>
      <c r="M1042" s="227">
        <f>IFERROR(__xludf.DUMMYFUNCTION("""COMPUTED_VALUE"""),2.8504547E7)</f>
        <v>28504547</v>
      </c>
      <c r="N1042" s="222" t="str">
        <f>IFERROR(__xludf.DUMMYFUNCTION("""COMPUTED_VALUE"""),"PT MEDCOM SOLUTION")</f>
        <v>PT MEDCOM SOLUTION</v>
      </c>
      <c r="O1042" s="222" t="str">
        <f>IFERROR(__xludf.DUMMYFUNCTION("""COMPUTED_VALUE"""),"0. DROP")</f>
        <v>0. DROP</v>
      </c>
      <c r="P1042" s="222" t="str">
        <f>IFERROR(__xludf.DUMMYFUNCTION("""COMPUTED_VALUE"""),"0.2 Tidak Dapat Izin Warga/Kades/Lurah/Developer")</f>
        <v>0.2 Tidak Dapat Izin Warga/Kades/Lurah/Developer</v>
      </c>
      <c r="Q1042" s="222" t="str">
        <f>IFERROR(__xludf.DUMMYFUNCTION("""COMPUTED_VALUE"""),"03/03 tidak dapat izin warga space tanam tiang
(07/01) Persiapan")</f>
        <v>03/03 tidak dapat izin warga space tanam tiang
(07/01) Persiapan</v>
      </c>
      <c r="R1042" s="228"/>
      <c r="S1042" s="11"/>
      <c r="T1042" s="11"/>
      <c r="U1042" s="11"/>
      <c r="V1042" s="229"/>
      <c r="W1042" s="229"/>
      <c r="X1042" s="229" t="str">
        <f>IFERROR(__xludf.DUMMYFUNCTION("""COMPUTED_VALUE"""),"BELUM GOLIVE")</f>
        <v>BELUM GOLIVE</v>
      </c>
      <c r="Y1042" s="229"/>
      <c r="Z1042" s="229" t="str">
        <f>IFERROR(__xludf.DUMMYFUNCTION("""COMPUTED_VALUE"""),"#N/A")</f>
        <v>#N/A</v>
      </c>
      <c r="AA1042" s="229"/>
      <c r="AB1042" s="229"/>
      <c r="AC1042" s="229"/>
      <c r="AD1042" s="232"/>
      <c r="AE1042" s="233"/>
      <c r="AF1042" s="54"/>
      <c r="AG1042" s="54"/>
      <c r="AH1042" s="54"/>
      <c r="AI1042" s="55" t="str">
        <f t="shared" si="118"/>
        <v/>
      </c>
      <c r="AW1042" s="234"/>
      <c r="BP1042" s="11"/>
      <c r="BQ1042" s="11"/>
      <c r="BR1042" s="235"/>
      <c r="BV1042" s="158"/>
      <c r="BY1042" s="158"/>
      <c r="CB1042" s="158"/>
    </row>
    <row r="1043" ht="18.0" hidden="1" customHeight="1">
      <c r="A1043" s="222">
        <f>IFERROR(__xludf.DUMMYFUNCTION("""COMPUTED_VALUE"""),2026.0)</f>
        <v>2026</v>
      </c>
      <c r="B1043" s="221">
        <f>IFERROR(__xludf.DUMMYFUNCTION("""COMPUTED_VALUE"""),1.1194167E7)</f>
        <v>11194167</v>
      </c>
      <c r="C1043" s="222" t="str">
        <f>IFERROR(__xludf.DUMMYFUNCTION("""COMPUTED_VALUE"""),"MDN PT3 TJR-FAD JL.SEDAP MALAM GG.MASJID")</f>
        <v>MDN PT3 TJR-FAD JL.SEDAP MALAM GG.MASJID</v>
      </c>
      <c r="D1043" s="222" t="str">
        <f>IFERROR(__xludf.DUMMYFUNCTION("""COMPUTED_VALUE"""),"REGIONAL I")</f>
        <v>REGIONAL I</v>
      </c>
      <c r="E1043" s="222" t="str">
        <f>IFERROR(__xludf.DUMMYFUNCTION("""COMPUTED_VALUE"""),"MEDAN")</f>
        <v>MEDAN</v>
      </c>
      <c r="F1043" s="222" t="str">
        <f>IFERROR(__xludf.DUMMYFUNCTION("""COMPUTED_VALUE"""),"TJR")</f>
        <v>TJR</v>
      </c>
      <c r="G1043" s="222" t="str">
        <f>IFERROR(__xludf.DUMMYFUNCTION("""COMPUTED_VALUE"""),"SUMBAGUT")</f>
        <v>SUMBAGUT</v>
      </c>
      <c r="H1043" s="222" t="str">
        <f>IFERROR(__xludf.DUMMYFUNCTION("""COMPUTED_VALUE"""),"MEDAN")</f>
        <v>MEDAN</v>
      </c>
      <c r="I1043" s="222" t="str">
        <f>IFERROR(__xludf.DUMMYFUNCTION("""COMPUTED_VALUE"""),"Batch 2")</f>
        <v>Batch 2</v>
      </c>
      <c r="J1043" s="225">
        <f>IFERROR(__xludf.DUMMYFUNCTION("""COMPUTED_VALUE"""),3.0)</f>
        <v>3</v>
      </c>
      <c r="K1043" s="224">
        <f>IFERROR(__xludf.DUMMYFUNCTION("""COMPUTED_VALUE"""),24.0)</f>
        <v>24</v>
      </c>
      <c r="L1043" s="226">
        <f>IFERROR(__xludf.DUMMYFUNCTION("""COMPUTED_VALUE"""),1255935.0)</f>
        <v>1255935</v>
      </c>
      <c r="M1043" s="227">
        <f>IFERROR(__xludf.DUMMYFUNCTION("""COMPUTED_VALUE"""),3.0142422E7)</f>
        <v>30142422</v>
      </c>
      <c r="N1043" s="222" t="str">
        <f>IFERROR(__xludf.DUMMYFUNCTION("""COMPUTED_VALUE"""),"PT BONGKAR SEJATI ANDALAN")</f>
        <v>PT BONGKAR SEJATI ANDALAN</v>
      </c>
      <c r="O1043" s="222" t="str">
        <f>IFERROR(__xludf.DUMMYFUNCTION("""COMPUTED_VALUE"""),"0. DROP")</f>
        <v>0. DROP</v>
      </c>
      <c r="P1043" s="222" t="str">
        <f>IFERROR(__xludf.DUMMYFUNCTION("""COMPUTED_VALUE"""),"0.4 CPP Tinggi Acc ED TIF")</f>
        <v>0.4 CPP Tinggi Acc ED TIF</v>
      </c>
      <c r="Q1043" s="222" t="str">
        <f>IFERROR(__xludf.DUMMYFUNCTION("""COMPUTED_VALUE"""),"21/01 TJR-FAD feeder habis
(08/01) BUTUH REPAIR FEEDER, DAN UP ODC, POSISI FRAME FULL (07/01) Persiapan")</f>
        <v>21/01 TJR-FAD feeder habis
(08/01) BUTUH REPAIR FEEDER, DAN UP ODC, POSISI FRAME FULL (07/01) Persiapan</v>
      </c>
      <c r="R1043" s="228"/>
      <c r="S1043" s="11"/>
      <c r="T1043" s="11"/>
      <c r="U1043" s="11"/>
      <c r="V1043" s="229"/>
      <c r="W1043" s="229"/>
      <c r="X1043" s="229" t="str">
        <f>IFERROR(__xludf.DUMMYFUNCTION("""COMPUTED_VALUE"""),"BELUM GOLIVE")</f>
        <v>BELUM GOLIVE</v>
      </c>
      <c r="Y1043" s="229"/>
      <c r="Z1043" s="229" t="str">
        <f>IFERROR(__xludf.DUMMYFUNCTION("""COMPUTED_VALUE"""),"#N/A")</f>
        <v>#N/A</v>
      </c>
      <c r="AA1043" s="229"/>
      <c r="AB1043" s="229"/>
      <c r="AC1043" s="229"/>
      <c r="AD1043" s="232"/>
      <c r="AE1043" s="233"/>
      <c r="AF1043" s="54" t="str">
        <f>IFERROR(__xludf.DUMMYFUNCTION("""COMPUTED_VALUE"""),"Draft BA DROP")</f>
        <v>Draft BA DROP</v>
      </c>
      <c r="AG1043" s="54"/>
      <c r="AH1043" s="54"/>
      <c r="AI1043" s="55" t="str">
        <f t="shared" si="118"/>
        <v/>
      </c>
      <c r="AW1043" s="234"/>
      <c r="BP1043" s="11"/>
      <c r="BQ1043" s="11"/>
      <c r="BR1043" s="235"/>
      <c r="BV1043" s="158"/>
      <c r="BY1043" s="158"/>
      <c r="CB1043" s="158"/>
    </row>
    <row r="1044" ht="18.0" customHeight="1">
      <c r="A1044" s="222">
        <f>IFERROR(__xludf.DUMMYFUNCTION("""COMPUTED_VALUE"""),2026.0)</f>
        <v>2026</v>
      </c>
      <c r="B1044" s="221">
        <f>IFERROR(__xludf.DUMMYFUNCTION("""COMPUTED_VALUE"""),1.1589341E7)</f>
        <v>11589341</v>
      </c>
      <c r="C1044" s="222" t="str">
        <f>IFERROR(__xludf.DUMMYFUNCTION("""COMPUTED_VALUE"""),"SMB STTF - ZAGAR NICKHOLE-AFIFAH R")</f>
        <v>SMB STTF - ZAGAR NICKHOLE-AFIFAH R</v>
      </c>
      <c r="D1044" s="222" t="str">
        <f>IFERROR(__xludf.DUMMYFUNCTION("""COMPUTED_VALUE"""),"REGIONAL I")</f>
        <v>REGIONAL I</v>
      </c>
      <c r="E1044" s="222" t="str">
        <f>IFERROR(__xludf.DUMMYFUNCTION("""COMPUTED_VALUE"""),"SUMBAR")</f>
        <v>SUMBAR</v>
      </c>
      <c r="F1044" s="222" t="str">
        <f>IFERROR(__xludf.DUMMYFUNCTION("""COMPUTED_VALUE"""),"SWL")</f>
        <v>SWL</v>
      </c>
      <c r="G1044" s="222" t="str">
        <f>IFERROR(__xludf.DUMMYFUNCTION("""COMPUTED_VALUE"""),"SUMBAGTENG")</f>
        <v>SUMBAGTENG</v>
      </c>
      <c r="H1044" s="222" t="str">
        <f>IFERROR(__xludf.DUMMYFUNCTION("""COMPUTED_VALUE"""),"PADANG")</f>
        <v>PADANG</v>
      </c>
      <c r="I1044" s="222" t="str">
        <f>IFERROR(__xludf.DUMMYFUNCTION("""COMPUTED_VALUE"""),"Batch 2")</f>
        <v>Batch 2</v>
      </c>
      <c r="J1044" s="225">
        <f>IFERROR(__xludf.DUMMYFUNCTION("""COMPUTED_VALUE"""),7.0)</f>
        <v>7</v>
      </c>
      <c r="K1044" s="224">
        <f>IFERROR(__xludf.DUMMYFUNCTION("""COMPUTED_VALUE"""),56.0)</f>
        <v>56</v>
      </c>
      <c r="L1044" s="226">
        <f>IFERROR(__xludf.DUMMYFUNCTION("""COMPUTED_VALUE"""),941913.0)</f>
        <v>941913</v>
      </c>
      <c r="M1044" s="227">
        <f>IFERROR(__xludf.DUMMYFUNCTION("""COMPUTED_VALUE"""),5.2747085E7)</f>
        <v>52747085</v>
      </c>
      <c r="N1044" s="222" t="str">
        <f>IFERROR(__xludf.DUMMYFUNCTION("""COMPUTED_VALUE"""),"PT TANJUNG PUTRA PRIMA")</f>
        <v>PT TANJUNG PUTRA PRIMA</v>
      </c>
      <c r="O1044" s="222" t="str">
        <f>IFERROR(__xludf.DUMMYFUNCTION("""COMPUTED_VALUE"""),"0. DROP")</f>
        <v>0. DROP</v>
      </c>
      <c r="P1044" s="222" t="str">
        <f>IFERROR(__xludf.DUMMYFUNCTION("""COMPUTED_VALUE"""),"0.3 Feeder Full")</f>
        <v>0.3 Feeder Full</v>
      </c>
      <c r="Q1044" s="222" t="str">
        <f>IFERROR(__xludf.DUMMYFUNCTION("""COMPUTED_VALUE"""),"23/01 : BUTUH REPAIR FEEDER, DAN UP ODC, POSISI FRAME FULL (07/01) Persiapan")</f>
        <v>23/01 : BUTUH REPAIR FEEDER, DAN UP ODC, POSISI FRAME FULL (07/01) Persiapan</v>
      </c>
      <c r="R1044" s="228"/>
      <c r="S1044" s="11"/>
      <c r="T1044" s="11"/>
      <c r="U1044" s="11"/>
      <c r="V1044" s="229"/>
      <c r="W1044" s="229"/>
      <c r="X1044" s="229" t="str">
        <f>IFERROR(__xludf.DUMMYFUNCTION("""COMPUTED_VALUE"""),"BELUM GOLIVE")</f>
        <v>BELUM GOLIVE</v>
      </c>
      <c r="Y1044" s="229"/>
      <c r="Z1044" s="229" t="str">
        <f>IFERROR(__xludf.DUMMYFUNCTION("""COMPUTED_VALUE"""),"#N/A")</f>
        <v>#N/A</v>
      </c>
      <c r="AA1044" s="229"/>
      <c r="AB1044" s="229"/>
      <c r="AC1044" s="229"/>
      <c r="AD1044" s="232"/>
      <c r="AE1044" s="233"/>
      <c r="AF1044" s="54" t="str">
        <f>IFERROR(__xludf.DUMMYFUNCTION("""COMPUTED_VALUE"""),"Draft BA DROP")</f>
        <v>Draft BA DROP</v>
      </c>
      <c r="AG1044" s="54"/>
      <c r="AH1044" s="54">
        <v>46126.0</v>
      </c>
      <c r="AI1044" s="55" t="str">
        <f t="shared" si="118"/>
        <v/>
      </c>
      <c r="AJ1044" s="229" t="str">
        <f t="shared" ref="AJ1044:AJ1045" si="119">if(AI1044&gt;=0,"Gl in Komitmen","Gl out komitmen")</f>
        <v>Gl in Komitmen</v>
      </c>
      <c r="AW1044" s="234"/>
      <c r="BP1044" s="11"/>
      <c r="BQ1044" s="11"/>
      <c r="BR1044" s="235"/>
      <c r="BV1044" s="158"/>
      <c r="BY1044" s="158"/>
      <c r="CB1044" s="158"/>
    </row>
    <row r="1045" ht="18.0" customHeight="1">
      <c r="A1045" s="222">
        <f>IFERROR(__xludf.DUMMYFUNCTION("""COMPUTED_VALUE"""),2026.0)</f>
        <v>2026</v>
      </c>
      <c r="B1045" s="221">
        <f>IFERROR(__xludf.DUMMYFUNCTION("""COMPUTED_VALUE"""),1.2528409E7)</f>
        <v>12528409</v>
      </c>
      <c r="C1045" s="222" t="str">
        <f>IFERROR(__xludf.DUMMYFUNCTION("""COMPUTED_VALUE"""),"RKP TSEL PT3 SLU-FBQ 250_463_4012")</f>
        <v>RKP TSEL PT3 SLU-FBQ 250_463_4012</v>
      </c>
      <c r="D1045" s="222" t="str">
        <f>IFERROR(__xludf.DUMMYFUNCTION("""COMPUTED_VALUE"""),"REGIONAL I")</f>
        <v>REGIONAL I</v>
      </c>
      <c r="E1045" s="222" t="str">
        <f>IFERROR(__xludf.DUMMYFUNCTION("""COMPUTED_VALUE"""),"RIKEP")</f>
        <v>RIKEP</v>
      </c>
      <c r="F1045" s="222" t="str">
        <f>IFERROR(__xludf.DUMMYFUNCTION("""COMPUTED_VALUE"""),"SLU")</f>
        <v>SLU</v>
      </c>
      <c r="G1045" s="222" t="str">
        <f>IFERROR(__xludf.DUMMYFUNCTION("""COMPUTED_VALUE"""),"SUMBAGTENG")</f>
        <v>SUMBAGTENG</v>
      </c>
      <c r="H1045" s="222" t="str">
        <f>IFERROR(__xludf.DUMMYFUNCTION("""COMPUTED_VALUE"""),"BATAM")</f>
        <v>BATAM</v>
      </c>
      <c r="I1045" s="222" t="str">
        <f>IFERROR(__xludf.DUMMYFUNCTION("""COMPUTED_VALUE"""),"Batch 2")</f>
        <v>Batch 2</v>
      </c>
      <c r="J1045" s="225">
        <f>IFERROR(__xludf.DUMMYFUNCTION("""COMPUTED_VALUE"""),1.0)</f>
        <v>1</v>
      </c>
      <c r="K1045" s="224">
        <f>IFERROR(__xludf.DUMMYFUNCTION("""COMPUTED_VALUE"""),8.0)</f>
        <v>8</v>
      </c>
      <c r="L1045" s="226">
        <f>IFERROR(__xludf.DUMMYFUNCTION("""COMPUTED_VALUE"""),941774.0)</f>
        <v>941774</v>
      </c>
      <c r="M1045" s="227">
        <f>IFERROR(__xludf.DUMMYFUNCTION("""COMPUTED_VALUE"""),7534190.0)</f>
        <v>7534190</v>
      </c>
      <c r="N1045" s="222" t="str">
        <f>IFERROR(__xludf.DUMMYFUNCTION("""COMPUTED_VALUE"""),"PT MITRA HOSINDO SEJAHTERA")</f>
        <v>PT MITRA HOSINDO SEJAHTERA</v>
      </c>
      <c r="O1045" s="222" t="str">
        <f>IFERROR(__xludf.DUMMYFUNCTION("""COMPUTED_VALUE"""),"7. GOLIVE")</f>
        <v>7. GOLIVE</v>
      </c>
      <c r="P1045" s="222" t="str">
        <f>IFERROR(__xludf.DUMMYFUNCTION("""COMPUTED_VALUE"""),"7.2 Golive Full / OA / DONE OTB")</f>
        <v>7.2 Golive Full / OA / DONE OTB</v>
      </c>
      <c r="Q1045" s="222" t="str">
        <f>IFERROR(__xludf.DUMMYFUNCTION("""COMPUTED_VALUE"""),"13/04 Plan FI hari ini. 06/04 Plan progres tanggal 3 april karena MP mengerjakan LOP lain.  30/03 MP mitra masih mengerjakalan tematik lain. 27/03 MP mitra cuma ada 1 serial masih mengerjakan LOP lain / tematik lain. 09/03 Plan progres 11 mar. 05/03 OGP r"&amp;"eq material MP serial. 16/02 Penarikan di Tiang eksisting, namun warga meminta tetap izin dahulu ke RT. 11/02 Done survey. izin OK. 09/02 sudah anwijzing dan perizinan, plan pembuatan BOQ dan KML survey. 29/01 anwijzing OK, proses perizinan. 28/01 Plan su"&amp;"rvey HI.. 21/01 plansurvey 28 Jan")</f>
        <v>13/04 Plan FI hari ini. 06/04 Plan progres tanggal 3 april karena MP mengerjakan LOP lain.  30/03 MP mitra masih mengerjakalan tematik lain. 27/03 MP mitra cuma ada 1 serial masih mengerjakan LOP lain / tematik lain. 09/03 Plan progres 11 mar. 05/03 OGP req material MP serial. 16/02 Penarikan di Tiang eksisting, namun warga meminta tetap izin dahulu ke RT. 11/02 Done survey. izin OK. 09/02 sudah anwijzing dan perizinan, plan pembuatan BOQ dan KML survey. 29/01 anwijzing OK, proses perizinan. 28/01 Plan survey HI.. 21/01 plansurvey 28 Jan</v>
      </c>
      <c r="R1045" s="228">
        <f>IFERROR(__xludf.DUMMYFUNCTION("""COMPUTED_VALUE"""),46126.0)</f>
        <v>46126</v>
      </c>
      <c r="S1045" s="11" t="str">
        <f>IFERROR(__xludf.DUMMYFUNCTION("""COMPUTED_VALUE"""),"APR")</f>
        <v>APR</v>
      </c>
      <c r="T1045" s="73"/>
      <c r="U1045" s="11" t="str">
        <f>IFERROR(__xludf.DUMMYFUNCTION("""COMPUTED_VALUE"""),"W09-164/2026")</f>
        <v>W09-164/2026</v>
      </c>
      <c r="V1045" s="229" t="str">
        <f>IFERROR(__xludf.DUMMYFUNCTION("""COMPUTED_VALUE"""),"MUHAMMAD RIDHO FALFO")</f>
        <v>MUHAMMAD RIDHO FALFO</v>
      </c>
      <c r="W1045" s="229" t="str">
        <f>IFERROR(__xludf.DUMMYFUNCTION("""COMPUTED_VALUE"""),"LEVITA INDRIYANI")</f>
        <v>LEVITA INDRIYANI</v>
      </c>
      <c r="X1045" s="229" t="str">
        <f>IFERROR(__xludf.DUMMYFUNCTION("""COMPUTED_VALUE"""),"GOLIVE")</f>
        <v>GOLIVE</v>
      </c>
      <c r="Y1045" s="229" t="str">
        <f>IFERROR(__xludf.DUMMYFUNCTION("""COMPUTED_VALUE"""),"DONE")</f>
        <v>DONE</v>
      </c>
      <c r="Z1045" s="229" t="str">
        <f>IFERROR(__xludf.DUMMYFUNCTION("""COMPUTED_VALUE"""),"#N/A")</f>
        <v>#N/A</v>
      </c>
      <c r="AA1045" s="229">
        <f>IFERROR(__xludf.DUMMYFUNCTION("""COMPUTED_VALUE"""),1.0)</f>
        <v>1</v>
      </c>
      <c r="AB1045" s="229"/>
      <c r="AC1045" s="229" t="str">
        <f>IFERROR(__xludf.DUMMYFUNCTION("""COMPUTED_VALUE"""),"9143672#9143677")</f>
        <v>9143672#9143677</v>
      </c>
      <c r="AD1045" s="232">
        <f>IFERROR(__xludf.DUMMYFUNCTION("""COMPUTED_VALUE"""),8.0)</f>
        <v>8</v>
      </c>
      <c r="AE1045" s="233">
        <f>IFERROR(__xludf.DUMMYFUNCTION("""COMPUTED_VALUE"""),46126.0)</f>
        <v>46126</v>
      </c>
      <c r="AF1045" s="54"/>
      <c r="AG1045" s="54"/>
      <c r="AH1045" s="54">
        <v>46126.0</v>
      </c>
      <c r="AI1045" s="55">
        <f>IF(OR(AH1045="",AE1045=""),"",AH1045-AE1045)</f>
        <v>0</v>
      </c>
      <c r="AJ1045" s="229" t="str">
        <f t="shared" si="119"/>
        <v>Gl in Komitmen</v>
      </c>
      <c r="AK1045" s="231" t="s">
        <v>199</v>
      </c>
      <c r="AW1045" s="234"/>
      <c r="BP1045" s="11"/>
      <c r="BQ1045" s="11"/>
      <c r="BR1045" s="235"/>
      <c r="BV1045" s="158"/>
      <c r="BY1045" s="158"/>
      <c r="CB1045" s="158"/>
    </row>
    <row r="1046" ht="18.0" customHeight="1">
      <c r="A1046" s="222">
        <f>IFERROR(__xludf.DUMMYFUNCTION("""COMPUTED_VALUE"""),2026.0)</f>
        <v>2026</v>
      </c>
      <c r="B1046" s="221">
        <f>IFERROR(__xludf.DUMMYFUNCTION("""COMPUTED_VALUE"""),1.1013928E7)</f>
        <v>11013928</v>
      </c>
      <c r="C1046" s="222" t="str">
        <f>IFERROR(__xludf.DUMMYFUNCTION("""COMPUTED_VALUE"""),"RDR RIAU_80 MD")</f>
        <v>RDR RIAU_80 MD</v>
      </c>
      <c r="D1046" s="222" t="str">
        <f>IFERROR(__xludf.DUMMYFUNCTION("""COMPUTED_VALUE"""),"REGIONAL I")</f>
        <v>REGIONAL I</v>
      </c>
      <c r="E1046" s="222" t="str">
        <f>IFERROR(__xludf.DUMMYFUNCTION("""COMPUTED_VALUE"""),"RIDAR")</f>
        <v>RIDAR</v>
      </c>
      <c r="F1046" s="222" t="str">
        <f>IFERROR(__xludf.DUMMYFUNCTION("""COMPUTED_VALUE"""),"TBH")</f>
        <v>TBH</v>
      </c>
      <c r="G1046" s="222" t="str">
        <f>IFERROR(__xludf.DUMMYFUNCTION("""COMPUTED_VALUE"""),"SUMBAGTENG")</f>
        <v>SUMBAGTENG</v>
      </c>
      <c r="H1046" s="222" t="str">
        <f>IFERROR(__xludf.DUMMYFUNCTION("""COMPUTED_VALUE"""),"PEKANBARU")</f>
        <v>PEKANBARU</v>
      </c>
      <c r="I1046" s="222" t="str">
        <f>IFERROR(__xludf.DUMMYFUNCTION("""COMPUTED_VALUE"""),"Batch 2")</f>
        <v>Batch 2</v>
      </c>
      <c r="J1046" s="225">
        <f>IFERROR(__xludf.DUMMYFUNCTION("""COMPUTED_VALUE"""),1.0)</f>
        <v>1</v>
      </c>
      <c r="K1046" s="224">
        <f>IFERROR(__xludf.DUMMYFUNCTION("""COMPUTED_VALUE"""),8.0)</f>
        <v>8</v>
      </c>
      <c r="L1046" s="226">
        <f>IFERROR(__xludf.DUMMYFUNCTION("""COMPUTED_VALUE"""),941401.0)</f>
        <v>941401</v>
      </c>
      <c r="M1046" s="227">
        <f>IFERROR(__xludf.DUMMYFUNCTION("""COMPUTED_VALUE"""),7531201.0)</f>
        <v>7531201</v>
      </c>
      <c r="N1046" s="222"/>
      <c r="O1046" s="222" t="str">
        <f>IFERROR(__xludf.DUMMYFUNCTION("""COMPUTED_VALUE"""),"0. DROP")</f>
        <v>0. DROP</v>
      </c>
      <c r="P1046" s="222" t="str">
        <f>IFERROR(__xludf.DUMMYFUNCTION("""COMPUTED_VALUE"""),"0.1 Double Order")</f>
        <v>0.1 Double Order</v>
      </c>
      <c r="Q1046" s="222" t="str">
        <f>IFERROR(__xludf.DUMMYFUNCTION("""COMPUTED_VALUE"""),"20/01 Sudah pernah di drop sebelum nya (07/01) Persiapan")</f>
        <v>20/01 Sudah pernah di drop sebelum nya (07/01) Persiapan</v>
      </c>
      <c r="R1046" s="228"/>
      <c r="S1046" s="11"/>
      <c r="T1046" s="11"/>
      <c r="U1046" s="11"/>
      <c r="V1046" s="229"/>
      <c r="W1046" s="229"/>
      <c r="X1046" s="229" t="str">
        <f>IFERROR(__xludf.DUMMYFUNCTION("""COMPUTED_VALUE"""),"BELUM GOLIVE")</f>
        <v>BELUM GOLIVE</v>
      </c>
      <c r="Y1046" s="229"/>
      <c r="Z1046" s="229" t="str">
        <f>IFERROR(__xludf.DUMMYFUNCTION("""COMPUTED_VALUE"""),"#N/A")</f>
        <v>#N/A</v>
      </c>
      <c r="AA1046" s="229"/>
      <c r="AB1046" s="229"/>
      <c r="AC1046" s="229"/>
      <c r="AD1046" s="232"/>
      <c r="AE1046" s="233"/>
      <c r="AF1046" s="54" t="str">
        <f>IFERROR(__xludf.DUMMYFUNCTION("""COMPUTED_VALUE"""),"Draft BA DROP")</f>
        <v>Draft BA DROP</v>
      </c>
      <c r="AG1046" s="54"/>
      <c r="AH1046" s="54"/>
      <c r="AI1046" s="55" t="str">
        <f t="shared" ref="AI1046:AI1050" si="120">IF(OR(R1046="",AE1046=""),"",R1046-AE1046)</f>
        <v/>
      </c>
      <c r="AW1046" s="234"/>
      <c r="BP1046" s="11"/>
      <c r="BQ1046" s="11"/>
      <c r="BR1046" s="235"/>
      <c r="BV1046" s="158"/>
      <c r="BY1046" s="158"/>
      <c r="CB1046" s="158"/>
    </row>
    <row r="1047" ht="18.0" hidden="1" customHeight="1">
      <c r="A1047" s="222">
        <f>IFERROR(__xludf.DUMMYFUNCTION("""COMPUTED_VALUE"""),2026.0)</f>
        <v>2026</v>
      </c>
      <c r="B1047" s="221">
        <f>IFERROR(__xludf.DUMMYFUNCTION("""COMPUTED_VALUE"""),1.1077264E7)</f>
        <v>11077264</v>
      </c>
      <c r="C1047" s="222" t="str">
        <f>IFERROR(__xludf.DUMMYFUNCTION("""COMPUTED_VALUE"""),"MDN PT3 P7I5 CTD-FCV KOTA BARY MENCIRIM")</f>
        <v>MDN PT3 P7I5 CTD-FCV KOTA BARY MENCIRIM</v>
      </c>
      <c r="D1047" s="222" t="str">
        <f>IFERROR(__xludf.DUMMYFUNCTION("""COMPUTED_VALUE"""),"REGIONAL I")</f>
        <v>REGIONAL I</v>
      </c>
      <c r="E1047" s="222" t="str">
        <f>IFERROR(__xludf.DUMMYFUNCTION("""COMPUTED_VALUE"""),"MEDAN")</f>
        <v>MEDAN</v>
      </c>
      <c r="F1047" s="222" t="str">
        <f>IFERROR(__xludf.DUMMYFUNCTION("""COMPUTED_VALUE"""),"CTD")</f>
        <v>CTD</v>
      </c>
      <c r="G1047" s="222" t="str">
        <f>IFERROR(__xludf.DUMMYFUNCTION("""COMPUTED_VALUE"""),"SUMBAGUT")</f>
        <v>SUMBAGUT</v>
      </c>
      <c r="H1047" s="222" t="str">
        <f>IFERROR(__xludf.DUMMYFUNCTION("""COMPUTED_VALUE"""),"MEDAN")</f>
        <v>MEDAN</v>
      </c>
      <c r="I1047" s="222" t="str">
        <f>IFERROR(__xludf.DUMMYFUNCTION("""COMPUTED_VALUE"""),"Batch 2")</f>
        <v>Batch 2</v>
      </c>
      <c r="J1047" s="225">
        <f>IFERROR(__xludf.DUMMYFUNCTION("""COMPUTED_VALUE"""),3.0)</f>
        <v>3</v>
      </c>
      <c r="K1047" s="224">
        <f>IFERROR(__xludf.DUMMYFUNCTION("""COMPUTED_VALUE"""),24.0)</f>
        <v>24</v>
      </c>
      <c r="L1047" s="226">
        <f>IFERROR(__xludf.DUMMYFUNCTION("""COMPUTED_VALUE"""),938416.0)</f>
        <v>938416</v>
      </c>
      <c r="M1047" s="227">
        <f>IFERROR(__xludf.DUMMYFUNCTION("""COMPUTED_VALUE"""),2.2521979E7)</f>
        <v>22521979</v>
      </c>
      <c r="N1047" s="222" t="str">
        <f>IFERROR(__xludf.DUMMYFUNCTION("""COMPUTED_VALUE"""),"PT MEDCOM SOLUTION")</f>
        <v>PT MEDCOM SOLUTION</v>
      </c>
      <c r="O1047" s="222" t="str">
        <f>IFERROR(__xludf.DUMMYFUNCTION("""COMPUTED_VALUE"""),"2. DONE AANWIJZING")</f>
        <v>2. DONE AANWIJZING</v>
      </c>
      <c r="P1047" s="222" t="str">
        <f>IFERROR(__xludf.DUMMYFUNCTION("""COMPUTED_VALUE"""),"2.10 Kendala - Feeder Rusak")</f>
        <v>2.10 Kendala - Feeder Rusak</v>
      </c>
      <c r="Q1047" s="222" t="str">
        <f>IFERROR(__xludf.DUMMYFUNCTION("""COMPUTED_VALUE"""),"22/04 pengecekan tipus butuh QE
(08/01) kendala feeder MLH-FA FULL 02/10 : proses aanwijziing  (07/01) Persiapan")</f>
        <v>22/04 pengecekan tipus butuh QE
(08/01) kendala feeder MLH-FA FULL 02/10 : proses aanwijziing  (07/01) Persiapan</v>
      </c>
      <c r="R1047" s="228"/>
      <c r="S1047" s="11"/>
      <c r="T1047" s="11"/>
      <c r="U1047" s="11"/>
      <c r="V1047" s="229"/>
      <c r="W1047" s="229"/>
      <c r="X1047" s="229" t="str">
        <f>IFERROR(__xludf.DUMMYFUNCTION("""COMPUTED_VALUE"""),"BELUM GOLIVE")</f>
        <v>BELUM GOLIVE</v>
      </c>
      <c r="Y1047" s="229"/>
      <c r="Z1047" s="229" t="str">
        <f>IFERROR(__xludf.DUMMYFUNCTION("""COMPUTED_VALUE"""),"#N/A")</f>
        <v>#N/A</v>
      </c>
      <c r="AA1047" s="229"/>
      <c r="AB1047" s="229"/>
      <c r="AC1047" s="229"/>
      <c r="AD1047" s="232"/>
      <c r="AE1047" s="233"/>
      <c r="AF1047" s="54"/>
      <c r="AG1047" s="54"/>
      <c r="AH1047" s="54"/>
      <c r="AI1047" s="55" t="str">
        <f t="shared" si="120"/>
        <v/>
      </c>
      <c r="AW1047" s="234"/>
      <c r="BP1047" s="11"/>
      <c r="BQ1047" s="11"/>
      <c r="BR1047" s="235"/>
      <c r="BV1047" s="158"/>
      <c r="BY1047" s="158"/>
      <c r="CB1047" s="158"/>
    </row>
    <row r="1048" ht="18.0" customHeight="1">
      <c r="A1048" s="222">
        <f>IFERROR(__xludf.DUMMYFUNCTION("""COMPUTED_VALUE"""),2026.0)</f>
        <v>2026</v>
      </c>
      <c r="B1048" s="221">
        <f>IFERROR(__xludf.DUMMYFUNCTION("""COMPUTED_VALUE"""),1.2062424E7)</f>
        <v>12062424</v>
      </c>
      <c r="C1048" s="222" t="str">
        <f>IFERROR(__xludf.DUMMYFUNCTION("""COMPUTED_VALUE"""),"SMB-PT3-ODC-MLH-FA-SOLOK SEL_133538-4LOP")</f>
        <v>SMB-PT3-ODC-MLH-FA-SOLOK SEL_133538-4LOP</v>
      </c>
      <c r="D1048" s="222" t="str">
        <f>IFERROR(__xludf.DUMMYFUNCTION("""COMPUTED_VALUE"""),"REGIONAL I")</f>
        <v>REGIONAL I</v>
      </c>
      <c r="E1048" s="222" t="str">
        <f>IFERROR(__xludf.DUMMYFUNCTION("""COMPUTED_VALUE"""),"SUMBAR")</f>
        <v>SUMBAR</v>
      </c>
      <c r="F1048" s="222" t="str">
        <f>IFERROR(__xludf.DUMMYFUNCTION("""COMPUTED_VALUE"""),"MLH")</f>
        <v>MLH</v>
      </c>
      <c r="G1048" s="222" t="str">
        <f>IFERROR(__xludf.DUMMYFUNCTION("""COMPUTED_VALUE"""),"SUMBAGTENG")</f>
        <v>SUMBAGTENG</v>
      </c>
      <c r="H1048" s="222" t="str">
        <f>IFERROR(__xludf.DUMMYFUNCTION("""COMPUTED_VALUE"""),"PADANG")</f>
        <v>PADANG</v>
      </c>
      <c r="I1048" s="222" t="str">
        <f>IFERROR(__xludf.DUMMYFUNCTION("""COMPUTED_VALUE"""),"Batch 2")</f>
        <v>Batch 2</v>
      </c>
      <c r="J1048" s="225">
        <f>IFERROR(__xludf.DUMMYFUNCTION("""COMPUTED_VALUE"""),11.0)</f>
        <v>11</v>
      </c>
      <c r="K1048" s="224">
        <f>IFERROR(__xludf.DUMMYFUNCTION("""COMPUTED_VALUE"""),88.0)</f>
        <v>88</v>
      </c>
      <c r="L1048" s="226">
        <f>IFERROR(__xludf.DUMMYFUNCTION("""COMPUTED_VALUE"""),937720.0)</f>
        <v>937720</v>
      </c>
      <c r="M1048" s="227">
        <f>IFERROR(__xludf.DUMMYFUNCTION("""COMPUTED_VALUE"""),8.2519324E7)</f>
        <v>82519324</v>
      </c>
      <c r="N1048" s="222" t="str">
        <f>IFERROR(__xludf.DUMMYFUNCTION("""COMPUTED_VALUE"""),"PT WIRA MUDA OPTIMA")</f>
        <v>PT WIRA MUDA OPTIMA</v>
      </c>
      <c r="O1048" s="222" t="str">
        <f>IFERROR(__xludf.DUMMYFUNCTION("""COMPUTED_VALUE"""),"4. MATDEL")</f>
        <v>4. MATDEL</v>
      </c>
      <c r="P1048" s="222" t="str">
        <f>IFERROR(__xludf.DUMMYFUNCTION("""COMPUTED_VALUE"""),"4.4 Proses Pengiriman Pabribak ke WH")</f>
        <v>4.4 Proses Pengiriman Pabribak ke WH</v>
      </c>
      <c r="Q1048" s="222" t="str">
        <f>IFERROR(__xludf.DUMMYFUNCTION("""COMPUTED_VALUE"""),"(27/04) menunggu PO kabel 24 ADSS (20/04) proses create PID  (10/04) Proses aanwijziing , LOP HOLD FEEDER FULL ACC GO (07/01) kendala feeder MLH-FA FULL")</f>
        <v>(27/04) menunggu PO kabel 24 ADSS (20/04) proses create PID  (10/04) Proses aanwijziing , LOP HOLD FEEDER FULL ACC GO (07/01) kendala feeder MLH-FA FULL</v>
      </c>
      <c r="R1048" s="228"/>
      <c r="S1048" s="11"/>
      <c r="T1048" s="11"/>
      <c r="U1048" s="11"/>
      <c r="V1048" s="229" t="str">
        <f>IFERROR(__xludf.DUMMYFUNCTION("""COMPUTED_VALUE"""),"FABIO RAHMAN")</f>
        <v>FABIO RAHMAN</v>
      </c>
      <c r="W1048" s="229" t="str">
        <f>IFERROR(__xludf.DUMMYFUNCTION("""COMPUTED_VALUE"""),"MELKO NARWADI")</f>
        <v>MELKO NARWADI</v>
      </c>
      <c r="X1048" s="229" t="str">
        <f>IFERROR(__xludf.DUMMYFUNCTION("""COMPUTED_VALUE"""),"BELUM GOLIVE")</f>
        <v>BELUM GOLIVE</v>
      </c>
      <c r="Y1048" s="229"/>
      <c r="Z1048" s="229" t="str">
        <f>IFERROR(__xludf.DUMMYFUNCTION("""COMPUTED_VALUE"""),"#N/A")</f>
        <v>#N/A</v>
      </c>
      <c r="AA1048" s="229"/>
      <c r="AB1048" s="229"/>
      <c r="AC1048" s="229"/>
      <c r="AD1048" s="232"/>
      <c r="AE1048" s="233"/>
      <c r="AF1048" s="54" t="str">
        <f>IFERROR(__xludf.DUMMYFUNCTION("""COMPUTED_VALUE"""),"Draft BA DROP")</f>
        <v>Draft BA DROP</v>
      </c>
      <c r="AG1048" s="54"/>
      <c r="AH1048" s="54"/>
      <c r="AI1048" s="55" t="str">
        <f t="shared" si="120"/>
        <v/>
      </c>
      <c r="AW1048" s="234"/>
      <c r="BP1048" s="11"/>
      <c r="BQ1048" s="11"/>
      <c r="BR1048" s="235"/>
      <c r="BV1048" s="158"/>
      <c r="BY1048" s="158"/>
      <c r="CB1048" s="158"/>
    </row>
    <row r="1049" ht="18.0" hidden="1" customHeight="1">
      <c r="A1049" s="222">
        <f>IFERROR(__xludf.DUMMYFUNCTION("""COMPUTED_VALUE"""),2026.0)</f>
        <v>2026</v>
      </c>
      <c r="B1049" s="221">
        <f>IFERROR(__xludf.DUMMYFUNCTION("""COMPUTED_VALUE"""),1.1129831E7)</f>
        <v>11129831</v>
      </c>
      <c r="C1049" s="222" t="str">
        <f>IFERROR(__xludf.DUMMYFUNCTION("""COMPUTED_VALUE"""),"MDN PT3 LBP-FK PERUM MULIA RESIDENCE 8")</f>
        <v>MDN PT3 LBP-FK PERUM MULIA RESIDENCE 8</v>
      </c>
      <c r="D1049" s="222" t="str">
        <f>IFERROR(__xludf.DUMMYFUNCTION("""COMPUTED_VALUE"""),"REGIONAL I")</f>
        <v>REGIONAL I</v>
      </c>
      <c r="E1049" s="222" t="str">
        <f>IFERROR(__xludf.DUMMYFUNCTION("""COMPUTED_VALUE"""),"MEDAN")</f>
        <v>MEDAN</v>
      </c>
      <c r="F1049" s="222" t="str">
        <f>IFERROR(__xludf.DUMMYFUNCTION("""COMPUTED_VALUE"""),"LBP")</f>
        <v>LBP</v>
      </c>
      <c r="G1049" s="222" t="str">
        <f>IFERROR(__xludf.DUMMYFUNCTION("""COMPUTED_VALUE"""),"SUMBAGUT")</f>
        <v>SUMBAGUT</v>
      </c>
      <c r="H1049" s="222" t="str">
        <f>IFERROR(__xludf.DUMMYFUNCTION("""COMPUTED_VALUE"""),"MEDAN")</f>
        <v>MEDAN</v>
      </c>
      <c r="I1049" s="222" t="str">
        <f>IFERROR(__xludf.DUMMYFUNCTION("""COMPUTED_VALUE"""),"Batch 2")</f>
        <v>Batch 2</v>
      </c>
      <c r="J1049" s="225">
        <f>IFERROR(__xludf.DUMMYFUNCTION("""COMPUTED_VALUE"""),2.0)</f>
        <v>2</v>
      </c>
      <c r="K1049" s="224">
        <f>IFERROR(__xludf.DUMMYFUNCTION("""COMPUTED_VALUE"""),16.0)</f>
        <v>16</v>
      </c>
      <c r="L1049" s="226">
        <f>IFERROR(__xludf.DUMMYFUNCTION("""COMPUTED_VALUE"""),936543.0)</f>
        <v>936543</v>
      </c>
      <c r="M1049" s="227">
        <f>IFERROR(__xludf.DUMMYFUNCTION("""COMPUTED_VALUE"""),1.4984681E7)</f>
        <v>14984681</v>
      </c>
      <c r="N1049" s="222" t="str">
        <f>IFERROR(__xludf.DUMMYFUNCTION("""COMPUTED_VALUE"""),"PT NIAGA NUSANTARA DIVA")</f>
        <v>PT NIAGA NUSANTARA DIVA</v>
      </c>
      <c r="O1049" s="222" t="str">
        <f>IFERROR(__xludf.DUMMYFUNCTION("""COMPUTED_VALUE"""),"0. DROP")</f>
        <v>0. DROP</v>
      </c>
      <c r="P1049" s="222" t="str">
        <f>IFERROR(__xludf.DUMMYFUNCTION("""COMPUTED_VALUE"""),"0.2 Tidak Dapat Izin Warga/Kades/Lurah/Developer")</f>
        <v>0.2 Tidak Dapat Izin Warga/Kades/Lurah/Developer</v>
      </c>
      <c r="Q1049" s="222" t="str">
        <f>IFERROR(__xludf.DUMMYFUNCTION("""COMPUTED_VALUE"""),"18/02 depedensi lop drop MDN PT4 P7I2 LBP-FK SCATER KASTURI
(07/01) Persiapan")</f>
        <v>18/02 depedensi lop drop MDN PT4 P7I2 LBP-FK SCATER KASTURI
(07/01) Persiapan</v>
      </c>
      <c r="R1049" s="228"/>
      <c r="S1049" s="11"/>
      <c r="T1049" s="11"/>
      <c r="U1049" s="11"/>
      <c r="V1049" s="229"/>
      <c r="W1049" s="229"/>
      <c r="X1049" s="229" t="str">
        <f>IFERROR(__xludf.DUMMYFUNCTION("""COMPUTED_VALUE"""),"BELUM GOLIVE")</f>
        <v>BELUM GOLIVE</v>
      </c>
      <c r="Y1049" s="229"/>
      <c r="Z1049" s="229" t="str">
        <f>IFERROR(__xludf.DUMMYFUNCTION("""COMPUTED_VALUE"""),"#N/A")</f>
        <v>#N/A</v>
      </c>
      <c r="AA1049" s="229"/>
      <c r="AB1049" s="229"/>
      <c r="AC1049" s="229"/>
      <c r="AD1049" s="232"/>
      <c r="AE1049" s="233"/>
      <c r="AF1049" s="54"/>
      <c r="AG1049" s="54"/>
      <c r="AH1049" s="54"/>
      <c r="AI1049" s="55" t="str">
        <f t="shared" si="120"/>
        <v/>
      </c>
      <c r="AW1049" s="234"/>
      <c r="BP1049" s="11"/>
      <c r="BQ1049" s="11"/>
      <c r="BR1049" s="235"/>
      <c r="BV1049" s="158"/>
      <c r="BY1049" s="158"/>
      <c r="CB1049" s="158"/>
    </row>
    <row r="1050" ht="18.0" customHeight="1">
      <c r="A1050" s="222">
        <f>IFERROR(__xludf.DUMMYFUNCTION("""COMPUTED_VALUE"""),2026.0)</f>
        <v>2026</v>
      </c>
      <c r="B1050" s="221">
        <f>IFERROR(__xludf.DUMMYFUNCTION("""COMPUTED_VALUE"""),1.202839E7)</f>
        <v>12028390</v>
      </c>
      <c r="C1050" s="222" t="str">
        <f>IFERROR(__xludf.DUMMYFUNCTION("""COMPUTED_VALUE"""),"RKP TSEL PT3 SYA-FR PONGKAR GG. IMAM")</f>
        <v>RKP TSEL PT3 SYA-FR PONGKAR GG. IMAM</v>
      </c>
      <c r="D1050" s="222" t="str">
        <f>IFERROR(__xludf.DUMMYFUNCTION("""COMPUTED_VALUE"""),"REGIONAL I")</f>
        <v>REGIONAL I</v>
      </c>
      <c r="E1050" s="222" t="str">
        <f>IFERROR(__xludf.DUMMYFUNCTION("""COMPUTED_VALUE"""),"RIKEP")</f>
        <v>RIKEP</v>
      </c>
      <c r="F1050" s="222" t="str">
        <f>IFERROR(__xludf.DUMMYFUNCTION("""COMPUTED_VALUE"""),"SYA")</f>
        <v>SYA</v>
      </c>
      <c r="G1050" s="222" t="str">
        <f>IFERROR(__xludf.DUMMYFUNCTION("""COMPUTED_VALUE"""),"SUMBAGTENG")</f>
        <v>SUMBAGTENG</v>
      </c>
      <c r="H1050" s="222" t="str">
        <f>IFERROR(__xludf.DUMMYFUNCTION("""COMPUTED_VALUE"""),"BATAM")</f>
        <v>BATAM</v>
      </c>
      <c r="I1050" s="222" t="str">
        <f>IFERROR(__xludf.DUMMYFUNCTION("""COMPUTED_VALUE"""),"Batch 2")</f>
        <v>Batch 2</v>
      </c>
      <c r="J1050" s="225">
        <f>IFERROR(__xludf.DUMMYFUNCTION("""COMPUTED_VALUE"""),6.0)</f>
        <v>6</v>
      </c>
      <c r="K1050" s="224">
        <f>IFERROR(__xludf.DUMMYFUNCTION("""COMPUTED_VALUE"""),48.0)</f>
        <v>48</v>
      </c>
      <c r="L1050" s="226">
        <f>IFERROR(__xludf.DUMMYFUNCTION("""COMPUTED_VALUE"""),936453.0)</f>
        <v>936453</v>
      </c>
      <c r="M1050" s="227">
        <f>IFERROR(__xludf.DUMMYFUNCTION("""COMPUTED_VALUE"""),4.4949716E7)</f>
        <v>44949716</v>
      </c>
      <c r="N1050" s="222" t="str">
        <f>IFERROR(__xludf.DUMMYFUNCTION("""COMPUTED_VALUE"""),"PT DWI MITRA JAYA UTAMA")</f>
        <v>PT DWI MITRA JAYA UTAMA</v>
      </c>
      <c r="O1050" s="222" t="str">
        <f>IFERROR(__xludf.DUMMYFUNCTION("""COMPUTED_VALUE"""),"2. DONE AANWIJZING")</f>
        <v>2. DONE AANWIJZING</v>
      </c>
      <c r="P1050" s="222" t="str">
        <f>IFERROR(__xludf.DUMMYFUNCTION("""COMPUTED_VALUE"""),"2.10 Kendala - Feeder Rusak")</f>
        <v>2.10 Kendala - Feeder Rusak</v>
      </c>
      <c r="Q1050" s="222" t="str">
        <f>IFERROR(__xludf.DUMMYFUNCTION("""COMPUTED_VALUE"""),"04/03 Feeder rusak butuh eviden OTDR ulang. 28/01 Feeder Habis 21/01 plan anwijzing 26 jan, peralihan mitra")</f>
        <v>04/03 Feeder rusak butuh eviden OTDR ulang. 28/01 Feeder Habis 21/01 plan anwijzing 26 jan, peralihan mitra</v>
      </c>
      <c r="R1050" s="228"/>
      <c r="S1050" s="11"/>
      <c r="T1050" s="11"/>
      <c r="U1050" s="11"/>
      <c r="V1050" s="229" t="str">
        <f>IFERROR(__xludf.DUMMYFUNCTION("""COMPUTED_VALUE"""),"MOHAMMAD FAUZY")</f>
        <v>MOHAMMAD FAUZY</v>
      </c>
      <c r="W1050" s="229" t="str">
        <f>IFERROR(__xludf.DUMMYFUNCTION("""COMPUTED_VALUE"""),"LEVITA INDRIYANI")</f>
        <v>LEVITA INDRIYANI</v>
      </c>
      <c r="X1050" s="229" t="str">
        <f>IFERROR(__xludf.DUMMYFUNCTION("""COMPUTED_VALUE"""),"BELUM GOLIVE")</f>
        <v>BELUM GOLIVE</v>
      </c>
      <c r="Y1050" s="229"/>
      <c r="Z1050" s="229" t="str">
        <f>IFERROR(__xludf.DUMMYFUNCTION("""COMPUTED_VALUE"""),"#N/A")</f>
        <v>#N/A</v>
      </c>
      <c r="AA1050" s="229"/>
      <c r="AB1050" s="229"/>
      <c r="AC1050" s="229"/>
      <c r="AD1050" s="232"/>
      <c r="AE1050" s="233"/>
      <c r="AF1050" s="54"/>
      <c r="AG1050" s="54"/>
      <c r="AH1050" s="54"/>
      <c r="AI1050" s="55" t="str">
        <f t="shared" si="120"/>
        <v/>
      </c>
      <c r="AW1050" s="234"/>
      <c r="BP1050" s="11"/>
      <c r="BQ1050" s="11"/>
      <c r="BR1050" s="235"/>
      <c r="BV1050" s="158"/>
      <c r="BY1050" s="158"/>
      <c r="CB1050" s="158"/>
    </row>
    <row r="1051" ht="18.0" customHeight="1">
      <c r="A1051" s="222">
        <f>IFERROR(__xludf.DUMMYFUNCTION("""COMPUTED_VALUE"""),2026.0)</f>
        <v>2026</v>
      </c>
      <c r="B1051" s="221">
        <f>IFERROR(__xludf.DUMMYFUNCTION("""COMPUTED_VALUE"""),1.1755901E7)</f>
        <v>11755901</v>
      </c>
      <c r="C1051" s="222" t="str">
        <f>IFERROR(__xludf.DUMMYFUNCTION("""COMPUTED_VALUE"""),"SMB SLK PT3-RIKO FIYANTO")</f>
        <v>SMB SLK PT3-RIKO FIYANTO</v>
      </c>
      <c r="D1051" s="222" t="str">
        <f>IFERROR(__xludf.DUMMYFUNCTION("""COMPUTED_VALUE"""),"REGIONAL I")</f>
        <v>REGIONAL I</v>
      </c>
      <c r="E1051" s="222" t="str">
        <f>IFERROR(__xludf.DUMMYFUNCTION("""COMPUTED_VALUE"""),"SUMBAR")</f>
        <v>SUMBAR</v>
      </c>
      <c r="F1051" s="222" t="str">
        <f>IFERROR(__xludf.DUMMYFUNCTION("""COMPUTED_VALUE"""),"SLK")</f>
        <v>SLK</v>
      </c>
      <c r="G1051" s="222" t="str">
        <f>IFERROR(__xludf.DUMMYFUNCTION("""COMPUTED_VALUE"""),"SUMBAGTENG")</f>
        <v>SUMBAGTENG</v>
      </c>
      <c r="H1051" s="222" t="str">
        <f>IFERROR(__xludf.DUMMYFUNCTION("""COMPUTED_VALUE"""),"PADANG")</f>
        <v>PADANG</v>
      </c>
      <c r="I1051" s="222" t="str">
        <f>IFERROR(__xludf.DUMMYFUNCTION("""COMPUTED_VALUE"""),"Batch 2")</f>
        <v>Batch 2</v>
      </c>
      <c r="J1051" s="225">
        <f>IFERROR(__xludf.DUMMYFUNCTION("""COMPUTED_VALUE"""),2.0)</f>
        <v>2</v>
      </c>
      <c r="K1051" s="224">
        <f>IFERROR(__xludf.DUMMYFUNCTION("""COMPUTED_VALUE"""),16.0)</f>
        <v>16</v>
      </c>
      <c r="L1051" s="226">
        <f>IFERROR(__xludf.DUMMYFUNCTION("""COMPUTED_VALUE"""),935861.0)</f>
        <v>935861</v>
      </c>
      <c r="M1051" s="227">
        <f>IFERROR(__xludf.DUMMYFUNCTION("""COMPUTED_VALUE"""),1.4973773E7)</f>
        <v>14973773</v>
      </c>
      <c r="N1051" s="222" t="str">
        <f>IFERROR(__xludf.DUMMYFUNCTION("""COMPUTED_VALUE"""),"PT TRI PENAMAS")</f>
        <v>PT TRI PENAMAS</v>
      </c>
      <c r="O1051" s="222" t="str">
        <f>IFERROR(__xludf.DUMMYFUNCTION("""COMPUTED_VALUE"""),"0. DROP")</f>
        <v>0. DROP</v>
      </c>
      <c r="P1051" s="222" t="str">
        <f>IFERROR(__xludf.DUMMYFUNCTION("""COMPUTED_VALUE"""),"0.3 Feeder Full")</f>
        <v>0.3 Feeder Full</v>
      </c>
      <c r="Q1051" s="222" t="str">
        <f>IFERROR(__xludf.DUMMYFUNCTION("""COMPUTED_VALUE"""),"(26/01) Kendala feeder SLK-FH Full  (07/01) Persiapan")</f>
        <v>(26/01) Kendala feeder SLK-FH Full  (07/01) Persiapan</v>
      </c>
      <c r="R1051" s="228"/>
      <c r="S1051" s="11"/>
      <c r="T1051" s="11"/>
      <c r="U1051" s="11"/>
      <c r="V1051" s="229"/>
      <c r="W1051" s="229"/>
      <c r="X1051" s="229" t="str">
        <f>IFERROR(__xludf.DUMMYFUNCTION("""COMPUTED_VALUE"""),"BELUM GOLIVE")</f>
        <v>BELUM GOLIVE</v>
      </c>
      <c r="Y1051" s="229"/>
      <c r="Z1051" s="229" t="str">
        <f>IFERROR(__xludf.DUMMYFUNCTION("""COMPUTED_VALUE"""),"#N/A")</f>
        <v>#N/A</v>
      </c>
      <c r="AA1051" s="229"/>
      <c r="AB1051" s="229"/>
      <c r="AC1051" s="229"/>
      <c r="AD1051" s="232"/>
      <c r="AE1051" s="233"/>
      <c r="AF1051" s="54" t="str">
        <f>IFERROR(__xludf.DUMMYFUNCTION("""COMPUTED_VALUE"""),"Draft BA DROP")</f>
        <v>Draft BA DROP</v>
      </c>
      <c r="AG1051" s="54"/>
      <c r="AH1051" s="54">
        <v>46137.0</v>
      </c>
      <c r="AI1051" s="237">
        <f>AH1051-NOW()</f>
        <v>-3.377989919</v>
      </c>
      <c r="AJ1051" s="229" t="str">
        <f>if(AI1051&gt;=0,"In Komitmen","Out Komitmen")</f>
        <v>Out Komitmen</v>
      </c>
      <c r="AW1051" s="234"/>
      <c r="BP1051" s="11"/>
      <c r="BQ1051" s="11"/>
      <c r="BR1051" s="235"/>
      <c r="BV1051" s="158"/>
      <c r="BY1051" s="158"/>
      <c r="CB1051" s="158"/>
    </row>
    <row r="1052" ht="18.0" customHeight="1">
      <c r="A1052" s="222">
        <f>IFERROR(__xludf.DUMMYFUNCTION("""COMPUTED_VALUE"""),2026.0)</f>
        <v>2026</v>
      </c>
      <c r="B1052" s="221">
        <f>IFERROR(__xludf.DUMMYFUNCTION("""COMPUTED_VALUE"""),1.2244049E7)</f>
        <v>12244049</v>
      </c>
      <c r="C1052" s="222" t="str">
        <f>IFERROR(__xludf.DUMMYFUNCTION("""COMPUTED_VALUE"""),"SMB PT3-SLK-FG SOLOK_42606_H2_2025")</f>
        <v>SMB PT3-SLK-FG SOLOK_42606_H2_2025</v>
      </c>
      <c r="D1052" s="222" t="str">
        <f>IFERROR(__xludf.DUMMYFUNCTION("""COMPUTED_VALUE"""),"REGIONAL I")</f>
        <v>REGIONAL I</v>
      </c>
      <c r="E1052" s="222" t="str">
        <f>IFERROR(__xludf.DUMMYFUNCTION("""COMPUTED_VALUE"""),"SUMBAR")</f>
        <v>SUMBAR</v>
      </c>
      <c r="F1052" s="222" t="str">
        <f>IFERROR(__xludf.DUMMYFUNCTION("""COMPUTED_VALUE"""),"SLK")</f>
        <v>SLK</v>
      </c>
      <c r="G1052" s="222" t="str">
        <f>IFERROR(__xludf.DUMMYFUNCTION("""COMPUTED_VALUE"""),"SUMBAGTENG")</f>
        <v>SUMBAGTENG</v>
      </c>
      <c r="H1052" s="222" t="str">
        <f>IFERROR(__xludf.DUMMYFUNCTION("""COMPUTED_VALUE"""),"PADANG")</f>
        <v>PADANG</v>
      </c>
      <c r="I1052" s="222" t="str">
        <f>IFERROR(__xludf.DUMMYFUNCTION("""COMPUTED_VALUE"""),"Batch 2")</f>
        <v>Batch 2</v>
      </c>
      <c r="J1052" s="225">
        <f>IFERROR(__xludf.DUMMYFUNCTION("""COMPUTED_VALUE"""),3.0)</f>
        <v>3</v>
      </c>
      <c r="K1052" s="224">
        <f>IFERROR(__xludf.DUMMYFUNCTION("""COMPUTED_VALUE"""),24.0)</f>
        <v>24</v>
      </c>
      <c r="L1052" s="226">
        <f>IFERROR(__xludf.DUMMYFUNCTION("""COMPUTED_VALUE"""),935484.0)</f>
        <v>935484</v>
      </c>
      <c r="M1052" s="227">
        <f>IFERROR(__xludf.DUMMYFUNCTION("""COMPUTED_VALUE"""),2.2451612E7)</f>
        <v>22451612</v>
      </c>
      <c r="N1052" s="222" t="str">
        <f>IFERROR(__xludf.DUMMYFUNCTION("""COMPUTED_VALUE"""),"PT TRI PENAMAS")</f>
        <v>PT TRI PENAMAS</v>
      </c>
      <c r="O1052" s="222" t="str">
        <f>IFERROR(__xludf.DUMMYFUNCTION("""COMPUTED_VALUE"""),"6. FINISH INSTALASI")</f>
        <v>6. FINISH INSTALASI</v>
      </c>
      <c r="P1052" s="222" t="str">
        <f>IFERROR(__xludf.DUMMYFUNCTION("""COMPUTED_VALUE"""),"6.8 Sudah Submit ABD ke SDI")</f>
        <v>6.8 Sudah Submit ABD ke SDI</v>
      </c>
      <c r="Q1052" s="222" t="str">
        <f>IFERROR(__xludf.DUMMYFUNCTION("""COMPUTED_VALUE"""),"(27/04) proses terminasi odp  (20/04) penarikan kabel (13/04) Proses create PID (09/04) Proses create PID (26/01) Kendala feeder SLK-FG full ")</f>
        <v>(27/04) proses terminasi odp  (20/04) penarikan kabel (13/04) Proses create PID (09/04) Proses create PID (26/01) Kendala feeder SLK-FG full </v>
      </c>
      <c r="R1052" s="228">
        <f>IFERROR(__xludf.DUMMYFUNCTION("""COMPUTED_VALUE"""),46139.0)</f>
        <v>46139</v>
      </c>
      <c r="S1052" s="11"/>
      <c r="T1052" s="11"/>
      <c r="U1052" s="11"/>
      <c r="V1052" s="229" t="str">
        <f>IFERROR(__xludf.DUMMYFUNCTION("""COMPUTED_VALUE"""),"FABIO RAHMAN")</f>
        <v>FABIO RAHMAN</v>
      </c>
      <c r="W1052" s="229" t="str">
        <f>IFERROR(__xludf.DUMMYFUNCTION("""COMPUTED_VALUE"""),"MELKO NARWADI")</f>
        <v>MELKO NARWADI</v>
      </c>
      <c r="X1052" s="229" t="str">
        <f>IFERROR(__xludf.DUMMYFUNCTION("""COMPUTED_VALUE"""),"BELUM GOLIVE")</f>
        <v>BELUM GOLIVE</v>
      </c>
      <c r="Y1052" s="229"/>
      <c r="Z1052" s="229" t="str">
        <f>IFERROR(__xludf.DUMMYFUNCTION("""COMPUTED_VALUE"""),"#N/A")</f>
        <v>#N/A</v>
      </c>
      <c r="AA1052" s="229"/>
      <c r="AB1052" s="229"/>
      <c r="AC1052" s="229"/>
      <c r="AD1052" s="232"/>
      <c r="AE1052" s="233"/>
      <c r="AF1052" s="54"/>
      <c r="AG1052" s="54"/>
      <c r="AH1052" s="54"/>
      <c r="AI1052" s="55" t="str">
        <f t="shared" ref="AI1052:AI1076" si="121">IF(OR(R1052="",AE1052=""),"",R1052-AE1052)</f>
        <v/>
      </c>
      <c r="AW1052" s="234"/>
      <c r="BP1052" s="11"/>
      <c r="BQ1052" s="11"/>
      <c r="BR1052" s="235"/>
      <c r="BV1052" s="158"/>
      <c r="BY1052" s="158"/>
      <c r="CB1052" s="158"/>
    </row>
    <row r="1053" ht="18.0" customHeight="1">
      <c r="A1053" s="222">
        <f>IFERROR(__xludf.DUMMYFUNCTION("""COMPUTED_VALUE"""),2026.0)</f>
        <v>2026</v>
      </c>
      <c r="B1053" s="221">
        <f>IFERROR(__xludf.DUMMYFUNCTION("""COMPUTED_VALUE"""),1.1335403E7)</f>
        <v>11335403</v>
      </c>
      <c r="C1053" s="222" t="str">
        <f>IFERROR(__xludf.DUMMYFUNCTION("""COMPUTED_VALUE"""),"SMB P2I1 Belakang Dangau Teduh")</f>
        <v>SMB P2I1 Belakang Dangau Teduh</v>
      </c>
      <c r="D1053" s="222" t="str">
        <f>IFERROR(__xludf.DUMMYFUNCTION("""COMPUTED_VALUE"""),"REGIONAL I")</f>
        <v>REGIONAL I</v>
      </c>
      <c r="E1053" s="222" t="str">
        <f>IFERROR(__xludf.DUMMYFUNCTION("""COMPUTED_VALUE"""),"SUMBAR")</f>
        <v>SUMBAR</v>
      </c>
      <c r="F1053" s="222" t="str">
        <f>IFERROR(__xludf.DUMMYFUNCTION("""COMPUTED_VALUE"""),"BDT")</f>
        <v>BDT</v>
      </c>
      <c r="G1053" s="222" t="str">
        <f>IFERROR(__xludf.DUMMYFUNCTION("""COMPUTED_VALUE"""),"SUMBAGTENG")</f>
        <v>SUMBAGTENG</v>
      </c>
      <c r="H1053" s="222" t="str">
        <f>IFERROR(__xludf.DUMMYFUNCTION("""COMPUTED_VALUE"""),"PADANG")</f>
        <v>PADANG</v>
      </c>
      <c r="I1053" s="222" t="str">
        <f>IFERROR(__xludf.DUMMYFUNCTION("""COMPUTED_VALUE"""),"Batch 2")</f>
        <v>Batch 2</v>
      </c>
      <c r="J1053" s="225">
        <f>IFERROR(__xludf.DUMMYFUNCTION("""COMPUTED_VALUE"""),2.0)</f>
        <v>2</v>
      </c>
      <c r="K1053" s="224">
        <f>IFERROR(__xludf.DUMMYFUNCTION("""COMPUTED_VALUE"""),16.0)</f>
        <v>16</v>
      </c>
      <c r="L1053" s="226">
        <f>IFERROR(__xludf.DUMMYFUNCTION("""COMPUTED_VALUE"""),935260.0)</f>
        <v>935260</v>
      </c>
      <c r="M1053" s="227">
        <f>IFERROR(__xludf.DUMMYFUNCTION("""COMPUTED_VALUE"""),1.4964147E7)</f>
        <v>14964147</v>
      </c>
      <c r="N1053" s="222" t="str">
        <f>IFERROR(__xludf.DUMMYFUNCTION("""COMPUTED_VALUE"""),"PT TRI PENAMAS")</f>
        <v>PT TRI PENAMAS</v>
      </c>
      <c r="O1053" s="222" t="str">
        <f>IFERROR(__xludf.DUMMYFUNCTION("""COMPUTED_VALUE"""),"8. UJI TERIMA")</f>
        <v>8. UJI TERIMA</v>
      </c>
      <c r="P1053" s="222" t="str">
        <f>IFERROR(__xludf.DUMMYFUNCTION("""COMPUTED_VALUE"""),"8.1 Proses UT")</f>
        <v>8.1 Proses UT</v>
      </c>
      <c r="Q1053" s="222" t="str">
        <f>IFERROR(__xludf.DUMMYFUNCTION("""COMPUTED_VALUE"""),"(18/02) ABD sudah sumbit ke SDI, menunggu plan UT  (04/02) proses create PID (27/01) cpp tinggi, menunggu review Tsel. BUTUH TAMBAH KU 12 800 M NGEJAR KU 24, CPP 1,5")</f>
        <v>(18/02) ABD sudah sumbit ke SDI, menunggu plan UT  (04/02) proses create PID (27/01) cpp tinggi, menunggu review Tsel. BUTUH TAMBAH KU 12 800 M NGEJAR KU 24, CPP 1,5</v>
      </c>
      <c r="R1053" s="228">
        <f>IFERROR(__xludf.DUMMYFUNCTION("""COMPUTED_VALUE"""),46069.0)</f>
        <v>46069</v>
      </c>
      <c r="S1053" s="11"/>
      <c r="T1053" s="11"/>
      <c r="U1053" s="11" t="str">
        <f>IFERROR(__xludf.DUMMYFUNCTION("""COMPUTED_VALUE"""),"TIF-3612/2026 26KT03R158-0055")</f>
        <v>TIF-3612/2026 26KT03R158-0055</v>
      </c>
      <c r="V1053" s="229" t="str">
        <f>IFERROR(__xludf.DUMMYFUNCTION("""COMPUTED_VALUE"""),"FABIO RAHMAN")</f>
        <v>FABIO RAHMAN</v>
      </c>
      <c r="W1053" s="229" t="str">
        <f>IFERROR(__xludf.DUMMYFUNCTION("""COMPUTED_VALUE"""),"MELKO NARWADI")</f>
        <v>MELKO NARWADI</v>
      </c>
      <c r="X1053" s="229" t="str">
        <f>IFERROR(__xludf.DUMMYFUNCTION("""COMPUTED_VALUE"""),"GOLIVE")</f>
        <v>GOLIVE</v>
      </c>
      <c r="Y1053" s="229" t="str">
        <f>IFERROR(__xludf.DUMMYFUNCTION("""COMPUTED_VALUE"""),"DONE")</f>
        <v>DONE</v>
      </c>
      <c r="Z1053" s="229" t="str">
        <f>IFERROR(__xludf.DUMMYFUNCTION("""COMPUTED_VALUE"""),"#N/A")</f>
        <v>#N/A</v>
      </c>
      <c r="AA1053" s="229">
        <f>IFERROR(__xludf.DUMMYFUNCTION("""COMPUTED_VALUE"""),3.0)</f>
        <v>3</v>
      </c>
      <c r="AB1053" s="229"/>
      <c r="AC1053" s="229" t="str">
        <f>IFERROR(__xludf.DUMMYFUNCTION("""COMPUTED_VALUE"""),"9127527#9127532")</f>
        <v>9127527#9127532</v>
      </c>
      <c r="AD1053" s="232">
        <f>IFERROR(__xludf.DUMMYFUNCTION("""COMPUTED_VALUE"""),24.0)</f>
        <v>24</v>
      </c>
      <c r="AE1053" s="233">
        <f>IFERROR(__xludf.DUMMYFUNCTION("""COMPUTED_VALUE"""),46075.0)</f>
        <v>46075</v>
      </c>
      <c r="AF1053" s="54"/>
      <c r="AG1053" s="54"/>
      <c r="AH1053" s="54">
        <v>46069.0</v>
      </c>
      <c r="AI1053" s="55">
        <f t="shared" si="121"/>
        <v>-6</v>
      </c>
      <c r="AW1053" s="234"/>
      <c r="BP1053" s="11"/>
      <c r="BQ1053" s="11"/>
      <c r="BR1053" s="235"/>
      <c r="BV1053" s="158"/>
      <c r="BY1053" s="158"/>
      <c r="CB1053" s="158"/>
    </row>
    <row r="1054" ht="18.0" customHeight="1">
      <c r="A1054" s="222">
        <f>IFERROR(__xludf.DUMMYFUNCTION("""COMPUTED_VALUE"""),2026.0)</f>
        <v>2026</v>
      </c>
      <c r="B1054" s="221">
        <f>IFERROR(__xludf.DUMMYFUNCTION("""COMPUTED_VALUE"""),1.2429753E7)</f>
        <v>12429753</v>
      </c>
      <c r="C1054" s="222" t="str">
        <f>IFERROR(__xludf.DUMMYFUNCTION("""COMPUTED_VALUE"""),"RDR JPP PT3 KOTA PEKANBARU_82025")</f>
        <v>RDR JPP PT3 KOTA PEKANBARU_82025</v>
      </c>
      <c r="D1054" s="222" t="str">
        <f>IFERROR(__xludf.DUMMYFUNCTION("""COMPUTED_VALUE"""),"REGIONAL I")</f>
        <v>REGIONAL I</v>
      </c>
      <c r="E1054" s="222" t="str">
        <f>IFERROR(__xludf.DUMMYFUNCTION("""COMPUTED_VALUE"""),"RIDAR")</f>
        <v>RIDAR</v>
      </c>
      <c r="F1054" s="222" t="str">
        <f>IFERROR(__xludf.DUMMYFUNCTION("""COMPUTED_VALUE"""),"ARK")</f>
        <v>ARK</v>
      </c>
      <c r="G1054" s="222" t="str">
        <f>IFERROR(__xludf.DUMMYFUNCTION("""COMPUTED_VALUE"""),"SUMBAGTENG")</f>
        <v>SUMBAGTENG</v>
      </c>
      <c r="H1054" s="222" t="str">
        <f>IFERROR(__xludf.DUMMYFUNCTION("""COMPUTED_VALUE"""),"PEKANBARU")</f>
        <v>PEKANBARU</v>
      </c>
      <c r="I1054" s="222" t="str">
        <f>IFERROR(__xludf.DUMMYFUNCTION("""COMPUTED_VALUE"""),"Batch 2")</f>
        <v>Batch 2</v>
      </c>
      <c r="J1054" s="225">
        <f>IFERROR(__xludf.DUMMYFUNCTION("""COMPUTED_VALUE"""),10.0)</f>
        <v>10</v>
      </c>
      <c r="K1054" s="224">
        <f>IFERROR(__xludf.DUMMYFUNCTION("""COMPUTED_VALUE"""),80.0)</f>
        <v>80</v>
      </c>
      <c r="L1054" s="226">
        <f>IFERROR(__xludf.DUMMYFUNCTION("""COMPUTED_VALUE"""),934398.0)</f>
        <v>934398</v>
      </c>
      <c r="M1054" s="227">
        <f>IFERROR(__xludf.DUMMYFUNCTION("""COMPUTED_VALUE"""),7.4751838E7)</f>
        <v>74751838</v>
      </c>
      <c r="N1054" s="222" t="str">
        <f>IFERROR(__xludf.DUMMYFUNCTION("""COMPUTED_VALUE"""),"PT SAMUDERA PUTRA KENCANA")</f>
        <v>PT SAMUDERA PUTRA KENCANA</v>
      </c>
      <c r="O1054" s="222" t="str">
        <f>IFERROR(__xludf.DUMMYFUNCTION("""COMPUTED_VALUE"""),"0. DROP")</f>
        <v>0. DROP</v>
      </c>
      <c r="P1054" s="222" t="str">
        <f>IFERROR(__xludf.DUMMYFUNCTION("""COMPUTED_VALUE"""),"0.2 Tidak Dapat Izin Warga/Kades/Lurah/Developer")</f>
        <v>0.2 Tidak Dapat Izin Warga/Kades/Lurah/Developer</v>
      </c>
      <c r="Q1054" s="222" t="str">
        <f>IFERROR(__xludf.DUMMYFUNCTION("""COMPUTED_VALUE"""),"29/01 Tidak dapat izin tanam tiang (07/01) Persiapan")</f>
        <v>29/01 Tidak dapat izin tanam tiang (07/01) Persiapan</v>
      </c>
      <c r="R1054" s="228"/>
      <c r="S1054" s="11"/>
      <c r="T1054" s="11"/>
      <c r="U1054" s="11" t="str">
        <f>IFERROR(__xludf.DUMMYFUNCTION("""COMPUTED_VALUE"""),"W08-2116/2025")</f>
        <v>W08-2116/2025</v>
      </c>
      <c r="V1054" s="229" t="str">
        <f>IFERROR(__xludf.DUMMYFUNCTION("""COMPUTED_VALUE"""),"TEGUH IMAM PERDANA")</f>
        <v>TEGUH IMAM PERDANA</v>
      </c>
      <c r="W1054" s="229" t="str">
        <f>IFERROR(__xludf.DUMMYFUNCTION("""COMPUTED_VALUE"""),"DESLITA RAHMADANI")</f>
        <v>DESLITA RAHMADANI</v>
      </c>
      <c r="X1054" s="229" t="str">
        <f>IFERROR(__xludf.DUMMYFUNCTION("""COMPUTED_VALUE"""),"BELUM GOLIVE")</f>
        <v>BELUM GOLIVE</v>
      </c>
      <c r="Y1054" s="229"/>
      <c r="Z1054" s="229" t="str">
        <f>IFERROR(__xludf.DUMMYFUNCTION("""COMPUTED_VALUE"""),"#N/A")</f>
        <v>#N/A</v>
      </c>
      <c r="AA1054" s="229"/>
      <c r="AB1054" s="229"/>
      <c r="AC1054" s="229"/>
      <c r="AD1054" s="232"/>
      <c r="AE1054" s="233"/>
      <c r="AF1054" s="54" t="str">
        <f>IFERROR(__xludf.DUMMYFUNCTION("""COMPUTED_VALUE"""),"Draft BA DROP")</f>
        <v>Draft BA DROP</v>
      </c>
      <c r="AG1054" s="54"/>
      <c r="AH1054" s="54"/>
      <c r="AI1054" s="55" t="str">
        <f t="shared" si="121"/>
        <v/>
      </c>
      <c r="AW1054" s="234"/>
      <c r="BP1054" s="11"/>
      <c r="BQ1054" s="11"/>
      <c r="BR1054" s="235"/>
      <c r="BV1054" s="158"/>
      <c r="BY1054" s="158"/>
      <c r="CB1054" s="158"/>
    </row>
    <row r="1055" ht="18.0" hidden="1" customHeight="1">
      <c r="A1055" s="222">
        <f>IFERROR(__xludf.DUMMYFUNCTION("""COMPUTED_VALUE"""),2026.0)</f>
        <v>2026</v>
      </c>
      <c r="B1055" s="221">
        <f>IFERROR(__xludf.DUMMYFUNCTION("""COMPUTED_VALUE"""),1.2431025E7)</f>
        <v>12431025</v>
      </c>
      <c r="C1055" s="222" t="str">
        <f>IFERROR(__xludf.DUMMYFUNCTION("""COMPUTED_VALUE"""),"BBL PT3 P4I3 PERUM ANGGREK")</f>
        <v>BBL PT3 P4I3 PERUM ANGGREK</v>
      </c>
      <c r="D1055" s="222" t="str">
        <f>IFERROR(__xludf.DUMMYFUNCTION("""COMPUTED_VALUE"""),"REGIONAL I")</f>
        <v>REGIONAL I</v>
      </c>
      <c r="E1055" s="222" t="str">
        <f>IFERROR(__xludf.DUMMYFUNCTION("""COMPUTED_VALUE"""),"BABEL")</f>
        <v>BABEL</v>
      </c>
      <c r="F1055" s="222" t="str">
        <f>IFERROR(__xludf.DUMMYFUNCTION("""COMPUTED_VALUE"""),"PGP")</f>
        <v>PGP</v>
      </c>
      <c r="G1055" s="222" t="str">
        <f>IFERROR(__xludf.DUMMYFUNCTION("""COMPUTED_VALUE"""),"SUMBAGSEL")</f>
        <v>SUMBAGSEL</v>
      </c>
      <c r="H1055" s="222" t="str">
        <f>IFERROR(__xludf.DUMMYFUNCTION("""COMPUTED_VALUE"""),"PANGKAL PINANG")</f>
        <v>PANGKAL PINANG</v>
      </c>
      <c r="I1055" s="222" t="str">
        <f>IFERROR(__xludf.DUMMYFUNCTION("""COMPUTED_VALUE"""),"Batch 2")</f>
        <v>Batch 2</v>
      </c>
      <c r="J1055" s="225">
        <f>IFERROR(__xludf.DUMMYFUNCTION("""COMPUTED_VALUE"""),4.0)</f>
        <v>4</v>
      </c>
      <c r="K1055" s="224">
        <f>IFERROR(__xludf.DUMMYFUNCTION("""COMPUTED_VALUE"""),64.0)</f>
        <v>64</v>
      </c>
      <c r="L1055" s="226">
        <f>IFERROR(__xludf.DUMMYFUNCTION("""COMPUTED_VALUE"""),934371.0)</f>
        <v>934371</v>
      </c>
      <c r="M1055" s="227">
        <f>IFERROR(__xludf.DUMMYFUNCTION("""COMPUTED_VALUE"""),5.9799724E7)</f>
        <v>59799724</v>
      </c>
      <c r="N1055" s="222" t="str">
        <f>IFERROR(__xludf.DUMMYFUNCTION("""COMPUTED_VALUE"""),"PT FEDRON SOLUSINDO UTAMA")</f>
        <v>PT FEDRON SOLUSINDO UTAMA</v>
      </c>
      <c r="O1055" s="222" t="str">
        <f>IFERROR(__xludf.DUMMYFUNCTION("""COMPUTED_VALUE"""),"8. UJI TERIMA")</f>
        <v>8. UJI TERIMA</v>
      </c>
      <c r="P1055" s="222" t="str">
        <f>IFERROR(__xludf.DUMMYFUNCTION("""COMPUTED_VALUE"""),"8.1 Proses UT")</f>
        <v>8.1 Proses UT</v>
      </c>
      <c r="Q1055" s="222" t="str">
        <f>IFERROR(__xludf.DUMMYFUNCTION("""COMPUTED_VALUE"""),"(08/01)  Go Live (7/1) V4 DONE SETOR 31/12 Finish Instalasi 03/12 penanaman tiang 10 done (02/12) penanaman tiang 8/10 (28/11) pengambilan material (27/11) progres dilokasi lain (26/11) sudah request material (25/11) sudah bisa request (24/11) proses pr p"&amp;"o (21/11) progres DRM mitra (17/11) sudah created PID (15/11) anwijzing ke lokasi (5/11) Penunjukan mitra
")</f>
        <v>(08/01)  Go Live (7/1) V4 DONE SETOR 31/12 Finish Instalasi 03/12 penanaman tiang 10 done (02/12) penanaman tiang 8/10 (28/11) pengambilan material (27/11) progres dilokasi lain (26/11) sudah request material (25/11) sudah bisa request (24/11) proses pr po (21/11) progres DRM mitra (17/11) sudah created PID (15/11) anwijzing ke lokasi (5/11) Penunjukan mitra
</v>
      </c>
      <c r="R1055" s="228"/>
      <c r="S1055" s="11"/>
      <c r="T1055" s="11"/>
      <c r="U1055" s="11"/>
      <c r="V1055" s="229"/>
      <c r="W1055" s="229"/>
      <c r="X1055" s="229" t="str">
        <f>IFERROR(__xludf.DUMMYFUNCTION("""COMPUTED_VALUE"""),"GOLIVE")</f>
        <v>GOLIVE</v>
      </c>
      <c r="Y1055" s="229" t="str">
        <f>IFERROR(__xludf.DUMMYFUNCTION("""COMPUTED_VALUE"""),"DONE")</f>
        <v>DONE</v>
      </c>
      <c r="Z1055" s="229" t="str">
        <f>IFERROR(__xludf.DUMMYFUNCTION("""COMPUTED_VALUE"""),"#N/A")</f>
        <v>#N/A</v>
      </c>
      <c r="AA1055" s="229"/>
      <c r="AB1055" s="229">
        <f>IFERROR(__xludf.DUMMYFUNCTION("""COMPUTED_VALUE"""),3.0)</f>
        <v>3</v>
      </c>
      <c r="AC1055" s="229" t="str">
        <f>IFERROR(__xludf.DUMMYFUNCTION("""COMPUTED_VALUE"""),"8863995#8864000")</f>
        <v>8863995#8864000</v>
      </c>
      <c r="AD1055" s="232">
        <f>IFERROR(__xludf.DUMMYFUNCTION("""COMPUTED_VALUE"""),48.0)</f>
        <v>48</v>
      </c>
      <c r="AE1055" s="233">
        <f>IFERROR(__xludf.DUMMYFUNCTION("""COMPUTED_VALUE"""),46030.0)</f>
        <v>46030</v>
      </c>
      <c r="AF1055" s="54" t="str">
        <f>IFERROR(__xludf.DUMMYFUNCTION("""COMPUTED_VALUE"""),"DONE")</f>
        <v>DONE</v>
      </c>
      <c r="AG1055" s="54"/>
      <c r="AH1055" s="54"/>
      <c r="AI1055" s="55" t="str">
        <f t="shared" si="121"/>
        <v/>
      </c>
      <c r="AW1055" s="234"/>
      <c r="BP1055" s="11"/>
      <c r="BQ1055" s="11"/>
      <c r="BR1055" s="235"/>
      <c r="BV1055" s="158"/>
      <c r="BY1055" s="158"/>
      <c r="CB1055" s="158"/>
    </row>
    <row r="1056" ht="18.0" hidden="1" customHeight="1">
      <c r="A1056" s="222">
        <f>IFERROR(__xludf.DUMMYFUNCTION("""COMPUTED_VALUE"""),2026.0)</f>
        <v>2026</v>
      </c>
      <c r="B1056" s="221">
        <f>IFERROR(__xludf.DUMMYFUNCTION("""COMPUTED_VALUE"""),1.2324326E7)</f>
        <v>12324326</v>
      </c>
      <c r="C1056" s="222" t="str">
        <f>IFERROR(__xludf.DUMMYFUNCTION("""COMPUTED_VALUE"""),"LPG PT3 JPP MRD PULAU PANGGUNG TGP")</f>
        <v>LPG PT3 JPP MRD PULAU PANGGUNG TGP</v>
      </c>
      <c r="D1056" s="222" t="str">
        <f>IFERROR(__xludf.DUMMYFUNCTION("""COMPUTED_VALUE"""),"REGIONAL I")</f>
        <v>REGIONAL I</v>
      </c>
      <c r="E1056" s="222" t="str">
        <f>IFERROR(__xludf.DUMMYFUNCTION("""COMPUTED_VALUE"""),"LAMPUNG")</f>
        <v>LAMPUNG</v>
      </c>
      <c r="F1056" s="222" t="str">
        <f>IFERROR(__xludf.DUMMYFUNCTION("""COMPUTED_VALUE"""),"TGP")</f>
        <v>TGP</v>
      </c>
      <c r="G1056" s="222" t="str">
        <f>IFERROR(__xludf.DUMMYFUNCTION("""COMPUTED_VALUE"""),"SUMBAGSEL")</f>
        <v>SUMBAGSEL</v>
      </c>
      <c r="H1056" s="222" t="str">
        <f>IFERROR(__xludf.DUMMYFUNCTION("""COMPUTED_VALUE"""),"LAMPUNG")</f>
        <v>LAMPUNG</v>
      </c>
      <c r="I1056" s="222" t="str">
        <f>IFERROR(__xludf.DUMMYFUNCTION("""COMPUTED_VALUE"""),"Batch 2")</f>
        <v>Batch 2</v>
      </c>
      <c r="J1056" s="225">
        <f>IFERROR(__xludf.DUMMYFUNCTION("""COMPUTED_VALUE"""),15.0)</f>
        <v>15</v>
      </c>
      <c r="K1056" s="224">
        <f>IFERROR(__xludf.DUMMYFUNCTION("""COMPUTED_VALUE"""),120.0)</f>
        <v>120</v>
      </c>
      <c r="L1056" s="226">
        <f>IFERROR(__xludf.DUMMYFUNCTION("""COMPUTED_VALUE"""),933868.0)</f>
        <v>933868</v>
      </c>
      <c r="M1056" s="227">
        <f>IFERROR(__xludf.DUMMYFUNCTION("""COMPUTED_VALUE"""),1.12064155E8)</f>
        <v>112064155</v>
      </c>
      <c r="N1056" s="222" t="str">
        <f>IFERROR(__xludf.DUMMYFUNCTION("""COMPUTED_VALUE"""),"PT GARINDO TECHNO MANDIRI")</f>
        <v>PT GARINDO TECHNO MANDIRI</v>
      </c>
      <c r="O1056" s="222" t="str">
        <f>IFERROR(__xludf.DUMMYFUNCTION("""COMPUTED_VALUE"""),"0. DROP")</f>
        <v>0. DROP</v>
      </c>
      <c r="P1056" s="222" t="str">
        <f>IFERROR(__xludf.DUMMYFUNCTION("""COMPUTED_VALUE"""),"0.2 Tidak Dapat Izin Warga/Kades/Lurah/Developer")</f>
        <v>0.2 Tidak Dapat Izin Warga/Kades/Lurah/Developer</v>
      </c>
      <c r="Q1056" s="222" t="str">
        <f>IFERROR(__xludf.DUMMYFUNCTION("""COMPUTED_VALUE"""),"15/1 lurah meminta surat perkim, diskominfo, dan tata kota")</f>
        <v>15/1 lurah meminta surat perkim, diskominfo, dan tata kota</v>
      </c>
      <c r="R1056" s="228"/>
      <c r="S1056" s="11"/>
      <c r="T1056" s="11"/>
      <c r="U1056" s="11"/>
      <c r="V1056" s="229"/>
      <c r="W1056" s="229"/>
      <c r="X1056" s="229" t="str">
        <f>IFERROR(__xludf.DUMMYFUNCTION("""COMPUTED_VALUE"""),"BELUM GOLIVE")</f>
        <v>BELUM GOLIVE</v>
      </c>
      <c r="Y1056" s="229"/>
      <c r="Z1056" s="229" t="str">
        <f>IFERROR(__xludf.DUMMYFUNCTION("""COMPUTED_VALUE"""),"#N/A")</f>
        <v>#N/A</v>
      </c>
      <c r="AA1056" s="229"/>
      <c r="AB1056" s="229"/>
      <c r="AC1056" s="229"/>
      <c r="AD1056" s="232"/>
      <c r="AE1056" s="233"/>
      <c r="AF1056" s="54" t="str">
        <f>IFERROR(__xludf.DUMMYFUNCTION("""COMPUTED_VALUE"""),"Draft BA DROP")</f>
        <v>Draft BA DROP</v>
      </c>
      <c r="AG1056" s="54"/>
      <c r="AH1056" s="54"/>
      <c r="AI1056" s="55" t="str">
        <f t="shared" si="121"/>
        <v/>
      </c>
      <c r="AW1056" s="234"/>
      <c r="BP1056" s="11"/>
      <c r="BQ1056" s="11"/>
      <c r="BR1056" s="235"/>
      <c r="BV1056" s="158"/>
      <c r="BY1056" s="158"/>
      <c r="CB1056" s="158"/>
    </row>
    <row r="1057" ht="18.0" customHeight="1">
      <c r="A1057" s="222">
        <f>IFERROR(__xludf.DUMMYFUNCTION("""COMPUTED_VALUE"""),2026.0)</f>
        <v>2026</v>
      </c>
      <c r="B1057" s="221">
        <f>IFERROR(__xludf.DUMMYFUNCTION("""COMPUTED_VALUE"""),1.111639E7)</f>
        <v>11116390</v>
      </c>
      <c r="C1057" s="222" t="str">
        <f>IFERROR(__xludf.DUMMYFUNCTION("""COMPUTED_VALUE"""),"SMB P1I1 PADANG ALAI RUSDI")</f>
        <v>SMB P1I1 PADANG ALAI RUSDI</v>
      </c>
      <c r="D1057" s="222" t="str">
        <f>IFERROR(__xludf.DUMMYFUNCTION("""COMPUTED_VALUE"""),"REGIONAL I")</f>
        <v>REGIONAL I</v>
      </c>
      <c r="E1057" s="222" t="str">
        <f>IFERROR(__xludf.DUMMYFUNCTION("""COMPUTED_VALUE"""),"SUMBAR")</f>
        <v>SUMBAR</v>
      </c>
      <c r="F1057" s="222" t="str">
        <f>IFERROR(__xludf.DUMMYFUNCTION("""COMPUTED_VALUE"""),"PYK")</f>
        <v>PYK</v>
      </c>
      <c r="G1057" s="222" t="str">
        <f>IFERROR(__xludf.DUMMYFUNCTION("""COMPUTED_VALUE"""),"SUMBAGTENG")</f>
        <v>SUMBAGTENG</v>
      </c>
      <c r="H1057" s="222" t="str">
        <f>IFERROR(__xludf.DUMMYFUNCTION("""COMPUTED_VALUE"""),"BUKIT TINGGI")</f>
        <v>BUKIT TINGGI</v>
      </c>
      <c r="I1057" s="222" t="str">
        <f>IFERROR(__xludf.DUMMYFUNCTION("""COMPUTED_VALUE"""),"Batch 2")</f>
        <v>Batch 2</v>
      </c>
      <c r="J1057" s="225">
        <f>IFERROR(__xludf.DUMMYFUNCTION("""COMPUTED_VALUE"""),2.0)</f>
        <v>2</v>
      </c>
      <c r="K1057" s="224">
        <f>IFERROR(__xludf.DUMMYFUNCTION("""COMPUTED_VALUE"""),16.0)</f>
        <v>16</v>
      </c>
      <c r="L1057" s="226">
        <f>IFERROR(__xludf.DUMMYFUNCTION("""COMPUTED_VALUE"""),931023.0)</f>
        <v>931023</v>
      </c>
      <c r="M1057" s="227">
        <f>IFERROR(__xludf.DUMMYFUNCTION("""COMPUTED_VALUE"""),1.4896367E7)</f>
        <v>14896367</v>
      </c>
      <c r="N1057" s="222" t="str">
        <f>IFERROR(__xludf.DUMMYFUNCTION("""COMPUTED_VALUE"""),"PT RATRI PRIMA MANDIRI")</f>
        <v>PT RATRI PRIMA MANDIRI</v>
      </c>
      <c r="O1057" s="222" t="str">
        <f>IFERROR(__xludf.DUMMYFUNCTION("""COMPUTED_VALUE"""),"0. DROP")</f>
        <v>0. DROP</v>
      </c>
      <c r="P1057" s="222" t="str">
        <f>IFERROR(__xludf.DUMMYFUNCTION("""COMPUTED_VALUE"""),"0.1 Double Order")</f>
        <v>0.1 Double Order</v>
      </c>
      <c r="Q1057" s="222" t="str">
        <f>IFERROR(__xludf.DUMMYFUNCTION("""COMPUTED_VALUE"""),"(14/04) Doubel order dengan LOP SMB P1I1 PANGLIMA POLIM RUSDI (10/04) Proses aanwijziing , LOP HOLD FEEDER FULL ACC GO (26/01) PKendala feeder PYK-FM full ")</f>
        <v>(14/04) Doubel order dengan LOP SMB P1I1 PANGLIMA POLIM RUSDI (10/04) Proses aanwijziing , LOP HOLD FEEDER FULL ACC GO (26/01) PKendala feeder PYK-FM full </v>
      </c>
      <c r="R1057" s="228"/>
      <c r="S1057" s="11"/>
      <c r="T1057" s="11"/>
      <c r="U1057" s="11"/>
      <c r="V1057" s="229" t="str">
        <f>IFERROR(__xludf.DUMMYFUNCTION("""COMPUTED_VALUE"""),"M. ARIF HAMADI")</f>
        <v>M. ARIF HAMADI</v>
      </c>
      <c r="W1057" s="229" t="str">
        <f>IFERROR(__xludf.DUMMYFUNCTION("""COMPUTED_VALUE"""),"MELKO NARWADI")</f>
        <v>MELKO NARWADI</v>
      </c>
      <c r="X1057" s="229" t="str">
        <f>IFERROR(__xludf.DUMMYFUNCTION("""COMPUTED_VALUE"""),"BELUM GOLIVE")</f>
        <v>BELUM GOLIVE</v>
      </c>
      <c r="Y1057" s="229"/>
      <c r="Z1057" s="229" t="str">
        <f>IFERROR(__xludf.DUMMYFUNCTION("""COMPUTED_VALUE"""),"#N/A")</f>
        <v>#N/A</v>
      </c>
      <c r="AA1057" s="229"/>
      <c r="AB1057" s="229"/>
      <c r="AC1057" s="229"/>
      <c r="AD1057" s="232"/>
      <c r="AE1057" s="233"/>
      <c r="AF1057" s="54" t="str">
        <f>IFERROR(__xludf.DUMMYFUNCTION("""COMPUTED_VALUE"""),"Draft BA DROP")</f>
        <v>Draft BA DROP</v>
      </c>
      <c r="AG1057" s="54"/>
      <c r="AH1057" s="54"/>
      <c r="AI1057" s="55" t="str">
        <f t="shared" si="121"/>
        <v/>
      </c>
      <c r="AW1057" s="234"/>
      <c r="BP1057" s="11"/>
      <c r="BQ1057" s="11"/>
      <c r="BR1057" s="235"/>
      <c r="BV1057" s="158"/>
      <c r="BY1057" s="158"/>
      <c r="CB1057" s="158"/>
    </row>
    <row r="1058" ht="18.0" hidden="1" customHeight="1">
      <c r="A1058" s="222">
        <f>IFERROR(__xludf.DUMMYFUNCTION("""COMPUTED_VALUE"""),2026.0)</f>
        <v>2026</v>
      </c>
      <c r="B1058" s="221">
        <f>IFERROR(__xludf.DUMMYFUNCTION("""COMPUTED_VALUE"""),1.1137454E7)</f>
        <v>11137454</v>
      </c>
      <c r="C1058" s="222" t="str">
        <f>IFERROR(__xludf.DUMMYFUNCTION("""COMPUTED_VALUE"""),"MDN PT3 P7I6 SKI-FAP SCATER JERMAL XII")</f>
        <v>MDN PT3 P7I6 SKI-FAP SCATER JERMAL XII</v>
      </c>
      <c r="D1058" s="222" t="str">
        <f>IFERROR(__xludf.DUMMYFUNCTION("""COMPUTED_VALUE"""),"REGIONAL I")</f>
        <v>REGIONAL I</v>
      </c>
      <c r="E1058" s="222" t="str">
        <f>IFERROR(__xludf.DUMMYFUNCTION("""COMPUTED_VALUE"""),"MEDAN")</f>
        <v>MEDAN</v>
      </c>
      <c r="F1058" s="222" t="str">
        <f>IFERROR(__xludf.DUMMYFUNCTION("""COMPUTED_VALUE"""),"TMU")</f>
        <v>TMU</v>
      </c>
      <c r="G1058" s="222" t="str">
        <f>IFERROR(__xludf.DUMMYFUNCTION("""COMPUTED_VALUE"""),"SUMBAGUT")</f>
        <v>SUMBAGUT</v>
      </c>
      <c r="H1058" s="222" t="str">
        <f>IFERROR(__xludf.DUMMYFUNCTION("""COMPUTED_VALUE"""),"MEDAN")</f>
        <v>MEDAN</v>
      </c>
      <c r="I1058" s="222" t="str">
        <f>IFERROR(__xludf.DUMMYFUNCTION("""COMPUTED_VALUE"""),"Batch 2")</f>
        <v>Batch 2</v>
      </c>
      <c r="J1058" s="225">
        <f>IFERROR(__xludf.DUMMYFUNCTION("""COMPUTED_VALUE"""),4.0)</f>
        <v>4</v>
      </c>
      <c r="K1058" s="224">
        <f>IFERROR(__xludf.DUMMYFUNCTION("""COMPUTED_VALUE"""),32.0)</f>
        <v>32</v>
      </c>
      <c r="L1058" s="226">
        <f>IFERROR(__xludf.DUMMYFUNCTION("""COMPUTED_VALUE"""),930407.0)</f>
        <v>930407</v>
      </c>
      <c r="M1058" s="227">
        <f>IFERROR(__xludf.DUMMYFUNCTION("""COMPUTED_VALUE"""),2.9772997E7)</f>
        <v>29772997</v>
      </c>
      <c r="N1058" s="222" t="str">
        <f>IFERROR(__xludf.DUMMYFUNCTION("""COMPUTED_VALUE"""),"PT WALET SOLUSINDO")</f>
        <v>PT WALET SOLUSINDO</v>
      </c>
      <c r="O1058" s="222" t="str">
        <f>IFERROR(__xludf.DUMMYFUNCTION("""COMPUTED_VALUE"""),"2. DONE AANWIJZING")</f>
        <v>2. DONE AANWIJZING</v>
      </c>
      <c r="P1058" s="222" t="str">
        <f>IFERROR(__xludf.DUMMYFUNCTION("""COMPUTED_VALUE"""),"2.10 Kendala - Feeder Rusak")</f>
        <v>2.10 Kendala - Feeder Rusak</v>
      </c>
      <c r="Q1058" s="222" t="str">
        <f>IFERROR(__xludf.DUMMYFUNCTION("""COMPUTED_VALUE"""),"21/04 pengecekan tipus / butuh qe
(29/01) Feeder Redti
(07/01) Persiapan")</f>
        <v>21/04 pengecekan tipus / butuh qe
(29/01) Feeder Redti
(07/01) Persiapan</v>
      </c>
      <c r="R1058" s="228"/>
      <c r="S1058" s="11"/>
      <c r="T1058" s="11"/>
      <c r="U1058" s="11"/>
      <c r="V1058" s="229"/>
      <c r="W1058" s="229"/>
      <c r="X1058" s="229" t="str">
        <f>IFERROR(__xludf.DUMMYFUNCTION("""COMPUTED_VALUE"""),"BELUM GOLIVE")</f>
        <v>BELUM GOLIVE</v>
      </c>
      <c r="Y1058" s="229"/>
      <c r="Z1058" s="229" t="str">
        <f>IFERROR(__xludf.DUMMYFUNCTION("""COMPUTED_VALUE"""),"#N/A")</f>
        <v>#N/A</v>
      </c>
      <c r="AA1058" s="229"/>
      <c r="AB1058" s="229"/>
      <c r="AC1058" s="229"/>
      <c r="AD1058" s="232"/>
      <c r="AE1058" s="233"/>
      <c r="AF1058" s="54"/>
      <c r="AG1058" s="54"/>
      <c r="AH1058" s="54"/>
      <c r="AI1058" s="55" t="str">
        <f t="shared" si="121"/>
        <v/>
      </c>
      <c r="AW1058" s="234"/>
      <c r="BP1058" s="11"/>
      <c r="BQ1058" s="11"/>
      <c r="BR1058" s="235"/>
      <c r="BV1058" s="158"/>
      <c r="BY1058" s="158"/>
      <c r="CB1058" s="158"/>
    </row>
    <row r="1059" ht="18.0" hidden="1" customHeight="1">
      <c r="A1059" s="222">
        <f>IFERROR(__xludf.DUMMYFUNCTION("""COMPUTED_VALUE"""),2026.0)</f>
        <v>2026</v>
      </c>
      <c r="B1059" s="221">
        <f>IFERROR(__xludf.DUMMYFUNCTION("""COMPUTED_VALUE"""),1.1382941E7)</f>
        <v>11382941</v>
      </c>
      <c r="C1059" s="222" t="str">
        <f>IFERROR(__xludf.DUMMYFUNCTION("""COMPUTED_VALUE"""),"BNK-PT3-BRC-CRP-FAJ-KEPAHIANG_17967")</f>
        <v>BNK-PT3-BRC-CRP-FAJ-KEPAHIANG_17967</v>
      </c>
      <c r="D1059" s="222" t="str">
        <f>IFERROR(__xludf.DUMMYFUNCTION("""COMPUTED_VALUE"""),"REGIONAL I")</f>
        <v>REGIONAL I</v>
      </c>
      <c r="E1059" s="222" t="str">
        <f>IFERROR(__xludf.DUMMYFUNCTION("""COMPUTED_VALUE"""),"BENGKULU")</f>
        <v>BENGKULU</v>
      </c>
      <c r="F1059" s="222" t="str">
        <f>IFERROR(__xludf.DUMMYFUNCTION("""COMPUTED_VALUE"""),"CRP")</f>
        <v>CRP</v>
      </c>
      <c r="G1059" s="222" t="str">
        <f>IFERROR(__xludf.DUMMYFUNCTION("""COMPUTED_VALUE"""),"SUMBAGSEL")</f>
        <v>SUMBAGSEL</v>
      </c>
      <c r="H1059" s="222" t="str">
        <f>IFERROR(__xludf.DUMMYFUNCTION("""COMPUTED_VALUE"""),"BENGKULU")</f>
        <v>BENGKULU</v>
      </c>
      <c r="I1059" s="222" t="str">
        <f>IFERROR(__xludf.DUMMYFUNCTION("""COMPUTED_VALUE"""),"Batch 2")</f>
        <v>Batch 2</v>
      </c>
      <c r="J1059" s="225">
        <f>IFERROR(__xludf.DUMMYFUNCTION("""COMPUTED_VALUE"""),2.0)</f>
        <v>2</v>
      </c>
      <c r="K1059" s="224">
        <f>IFERROR(__xludf.DUMMYFUNCTION("""COMPUTED_VALUE"""),16.0)</f>
        <v>16</v>
      </c>
      <c r="L1059" s="226">
        <f>IFERROR(__xludf.DUMMYFUNCTION("""COMPUTED_VALUE"""),929896.0)</f>
        <v>929896</v>
      </c>
      <c r="M1059" s="227">
        <f>IFERROR(__xludf.DUMMYFUNCTION("""COMPUTED_VALUE"""),1.4878329E7)</f>
        <v>14878329</v>
      </c>
      <c r="N1059" s="222" t="str">
        <f>IFERROR(__xludf.DUMMYFUNCTION("""COMPUTED_VALUE"""),"PT JAGO MULTI DIMENSI")</f>
        <v>PT JAGO MULTI DIMENSI</v>
      </c>
      <c r="O1059" s="222" t="str">
        <f>IFERROR(__xludf.DUMMYFUNCTION("""COMPUTED_VALUE"""),"0. DROP")</f>
        <v>0. DROP</v>
      </c>
      <c r="P1059" s="222" t="str">
        <f>IFERROR(__xludf.DUMMYFUNCTION("""COMPUTED_VALUE"""),"0.3 Feeder Full")</f>
        <v>0.3 Feeder Full</v>
      </c>
      <c r="Q1059" s="222" t="str">
        <f>IFERROR(__xludf.DUMMYFUNCTION("""COMPUTED_VALUE"""),"02/03 : Kendala DISTRIBUSI FULL (PRS FD) (07/01) Persiapan")</f>
        <v>02/03 : Kendala DISTRIBUSI FULL (PRS FD) (07/01) Persiapan</v>
      </c>
      <c r="R1059" s="228"/>
      <c r="S1059" s="11"/>
      <c r="T1059" s="11"/>
      <c r="U1059" s="11"/>
      <c r="V1059" s="229"/>
      <c r="W1059" s="229"/>
      <c r="X1059" s="229" t="str">
        <f>IFERROR(__xludf.DUMMYFUNCTION("""COMPUTED_VALUE"""),"BELUM GOLIVE")</f>
        <v>BELUM GOLIVE</v>
      </c>
      <c r="Y1059" s="229"/>
      <c r="Z1059" s="229" t="str">
        <f>IFERROR(__xludf.DUMMYFUNCTION("""COMPUTED_VALUE"""),"#N/A")</f>
        <v>#N/A</v>
      </c>
      <c r="AA1059" s="229"/>
      <c r="AB1059" s="229"/>
      <c r="AC1059" s="229"/>
      <c r="AD1059" s="232"/>
      <c r="AE1059" s="233"/>
      <c r="AF1059" s="54" t="str">
        <f>IFERROR(__xludf.DUMMYFUNCTION("""COMPUTED_VALUE"""),"Draft BA DROP")</f>
        <v>Draft BA DROP</v>
      </c>
      <c r="AG1059" s="54"/>
      <c r="AH1059" s="54"/>
      <c r="AI1059" s="55" t="str">
        <f t="shared" si="121"/>
        <v/>
      </c>
      <c r="AW1059" s="234"/>
      <c r="BP1059" s="11"/>
      <c r="BQ1059" s="11"/>
      <c r="BR1059" s="235"/>
      <c r="BV1059" s="158"/>
      <c r="BY1059" s="158"/>
      <c r="CB1059" s="158"/>
    </row>
    <row r="1060" ht="18.0" customHeight="1">
      <c r="A1060" s="222">
        <f>IFERROR(__xludf.DUMMYFUNCTION("""COMPUTED_VALUE"""),2026.0)</f>
        <v>2026</v>
      </c>
      <c r="B1060" s="221">
        <f>IFERROR(__xludf.DUMMYFUNCTION("""COMPUTED_VALUE"""),1.1184995E7)</f>
        <v>11184995</v>
      </c>
      <c r="C1060" s="222" t="str">
        <f>IFERROR(__xludf.DUMMYFUNCTION("""COMPUTED_VALUE"""),"SMB P1I1 DEWI NOFITA, YURNIA HERLANDA")</f>
        <v>SMB P1I1 DEWI NOFITA, YURNIA HERLANDA</v>
      </c>
      <c r="D1060" s="222" t="str">
        <f>IFERROR(__xludf.DUMMYFUNCTION("""COMPUTED_VALUE"""),"REGIONAL I")</f>
        <v>REGIONAL I</v>
      </c>
      <c r="E1060" s="222" t="str">
        <f>IFERROR(__xludf.DUMMYFUNCTION("""COMPUTED_VALUE"""),"SUMBAR")</f>
        <v>SUMBAR</v>
      </c>
      <c r="F1060" s="222" t="str">
        <f>IFERROR(__xludf.DUMMYFUNCTION("""COMPUTED_VALUE"""),"PRS")</f>
        <v>PRS</v>
      </c>
      <c r="G1060" s="222" t="str">
        <f>IFERROR(__xludf.DUMMYFUNCTION("""COMPUTED_VALUE"""),"SUMBAGTENG")</f>
        <v>SUMBAGTENG</v>
      </c>
      <c r="H1060" s="222" t="str">
        <f>IFERROR(__xludf.DUMMYFUNCTION("""COMPUTED_VALUE"""),"BUKIT TINGGI")</f>
        <v>BUKIT TINGGI</v>
      </c>
      <c r="I1060" s="222" t="str">
        <f>IFERROR(__xludf.DUMMYFUNCTION("""COMPUTED_VALUE"""),"Batch 2")</f>
        <v>Batch 2</v>
      </c>
      <c r="J1060" s="225">
        <f>IFERROR(__xludf.DUMMYFUNCTION("""COMPUTED_VALUE"""),1.0)</f>
        <v>1</v>
      </c>
      <c r="K1060" s="224">
        <f>IFERROR(__xludf.DUMMYFUNCTION("""COMPUTED_VALUE"""),8.0)</f>
        <v>8</v>
      </c>
      <c r="L1060" s="226">
        <f>IFERROR(__xludf.DUMMYFUNCTION("""COMPUTED_VALUE"""),929309.0)</f>
        <v>929309</v>
      </c>
      <c r="M1060" s="227">
        <f>IFERROR(__xludf.DUMMYFUNCTION("""COMPUTED_VALUE"""),7434472.0)</f>
        <v>7434472</v>
      </c>
      <c r="N1060" s="222" t="str">
        <f>IFERROR(__xludf.DUMMYFUNCTION("""COMPUTED_VALUE"""),"PT RATRI PRIMA MANDIRI")</f>
        <v>PT RATRI PRIMA MANDIRI</v>
      </c>
      <c r="O1060" s="222" t="str">
        <f>IFERROR(__xludf.DUMMYFUNCTION("""COMPUTED_VALUE"""),"2. DONE AANWIJZING")</f>
        <v>2. DONE AANWIJZING</v>
      </c>
      <c r="P1060" s="222" t="str">
        <f>IFERROR(__xludf.DUMMYFUNCTION("""COMPUTED_VALUE"""),"2.9 Kendala - Distribusi Penuh / Rusak")</f>
        <v>2.9 Kendala - Distribusi Penuh / Rusak</v>
      </c>
      <c r="Q1060" s="222" t="str">
        <f>IFERROR(__xludf.DUMMYFUNCTION("""COMPUTED_VALUE"""),"(27/01) kendala dsitribusi penuh. DISTRIBUSI 1 FULL (PRS FD)")</f>
        <v>(27/01) kendala dsitribusi penuh. DISTRIBUSI 1 FULL (PRS FD)</v>
      </c>
      <c r="R1060" s="228"/>
      <c r="S1060" s="11"/>
      <c r="T1060" s="11"/>
      <c r="U1060" s="11"/>
      <c r="V1060" s="229"/>
      <c r="W1060" s="229"/>
      <c r="X1060" s="229" t="str">
        <f>IFERROR(__xludf.DUMMYFUNCTION("""COMPUTED_VALUE"""),"BELUM GOLIVE")</f>
        <v>BELUM GOLIVE</v>
      </c>
      <c r="Y1060" s="229"/>
      <c r="Z1060" s="229" t="str">
        <f>IFERROR(__xludf.DUMMYFUNCTION("""COMPUTED_VALUE"""),"#N/A")</f>
        <v>#N/A</v>
      </c>
      <c r="AA1060" s="229"/>
      <c r="AB1060" s="229"/>
      <c r="AC1060" s="229"/>
      <c r="AD1060" s="232"/>
      <c r="AE1060" s="233"/>
      <c r="AF1060" s="54"/>
      <c r="AG1060" s="54"/>
      <c r="AH1060" s="54"/>
      <c r="AI1060" s="55" t="str">
        <f t="shared" si="121"/>
        <v/>
      </c>
      <c r="AW1060" s="234"/>
      <c r="BP1060" s="11"/>
      <c r="BQ1060" s="11"/>
      <c r="BR1060" s="235"/>
      <c r="BV1060" s="158"/>
      <c r="BY1060" s="158"/>
      <c r="CB1060" s="158"/>
    </row>
    <row r="1061" ht="18.0" hidden="1" customHeight="1">
      <c r="A1061" s="222">
        <f>IFERROR(__xludf.DUMMYFUNCTION("""COMPUTED_VALUE"""),2026.0)</f>
        <v>2026</v>
      </c>
      <c r="B1061" s="221">
        <f>IFERROR(__xludf.DUMMYFUNCTION("""COMPUTED_VALUE"""),1.119421E7)</f>
        <v>11194210</v>
      </c>
      <c r="C1061" s="222" t="str">
        <f>IFERROR(__xludf.DUMMYFUNCTION("""COMPUTED_VALUE"""),"MDN PT3 PDB-FD TANJUNG ANOM RESIDENCE")</f>
        <v>MDN PT3 PDB-FD TANJUNG ANOM RESIDENCE</v>
      </c>
      <c r="D1061" s="222" t="str">
        <f>IFERROR(__xludf.DUMMYFUNCTION("""COMPUTED_VALUE"""),"REGIONAL I")</f>
        <v>REGIONAL I</v>
      </c>
      <c r="E1061" s="222" t="str">
        <f>IFERROR(__xludf.DUMMYFUNCTION("""COMPUTED_VALUE"""),"MEDAN")</f>
        <v>MEDAN</v>
      </c>
      <c r="F1061" s="222" t="str">
        <f>IFERROR(__xludf.DUMMYFUNCTION("""COMPUTED_VALUE"""),"PDB")</f>
        <v>PDB</v>
      </c>
      <c r="G1061" s="222" t="str">
        <f>IFERROR(__xludf.DUMMYFUNCTION("""COMPUTED_VALUE"""),"SUMBAGUT")</f>
        <v>SUMBAGUT</v>
      </c>
      <c r="H1061" s="222" t="str">
        <f>IFERROR(__xludf.DUMMYFUNCTION("""COMPUTED_VALUE"""),"MEDAN")</f>
        <v>MEDAN</v>
      </c>
      <c r="I1061" s="222" t="str">
        <f>IFERROR(__xludf.DUMMYFUNCTION("""COMPUTED_VALUE"""),"Batch 2")</f>
        <v>Batch 2</v>
      </c>
      <c r="J1061" s="225">
        <f>IFERROR(__xludf.DUMMYFUNCTION("""COMPUTED_VALUE"""),4.0)</f>
        <v>4</v>
      </c>
      <c r="K1061" s="224">
        <f>IFERROR(__xludf.DUMMYFUNCTION("""COMPUTED_VALUE"""),32.0)</f>
        <v>32</v>
      </c>
      <c r="L1061" s="226">
        <f>IFERROR(__xludf.DUMMYFUNCTION("""COMPUTED_VALUE"""),1247982.0)</f>
        <v>1247982</v>
      </c>
      <c r="M1061" s="227">
        <f>IFERROR(__xludf.DUMMYFUNCTION("""COMPUTED_VALUE"""),3.9935424E7)</f>
        <v>39935424</v>
      </c>
      <c r="N1061" s="222" t="str">
        <f>IFERROR(__xludf.DUMMYFUNCTION("""COMPUTED_VALUE"""),"PT BANGUN PRIMA SEMESTA")</f>
        <v>PT BANGUN PRIMA SEMESTA</v>
      </c>
      <c r="O1061" s="222" t="str">
        <f>IFERROR(__xludf.DUMMYFUNCTION("""COMPUTED_VALUE"""),"0. DROP")</f>
        <v>0. DROP</v>
      </c>
      <c r="P1061" s="222" t="str">
        <f>IFERROR(__xludf.DUMMYFUNCTION("""COMPUTED_VALUE"""),"0.4 CPP Tinggi Acc ED TIF")</f>
        <v>0.4 CPP Tinggi Acc ED TIF</v>
      </c>
      <c r="Q1061" s="222" t="str">
        <f>IFERROR(__xludf.DUMMYFUNCTION("""COMPUTED_VALUE"""),"13/02 Menunggu LoP MDN PT4 P7I3 PDB-FD PRUM GRY MUTIARA4 01/11 Feeder Loss
(24/09) Perizinan Warga dan Kades / Lurah
(23/09) Perizinan Warga dan Kades / Lurah
15/09 proses aanwijzing")</f>
        <v>13/02 Menunggu LoP MDN PT4 P7I3 PDB-FD PRUM GRY MUTIARA4 01/11 Feeder Loss
(24/09) Perizinan Warga dan Kades / Lurah
(23/09) Perizinan Warga dan Kades / Lurah
15/09 proses aanwijzing</v>
      </c>
      <c r="R1061" s="228"/>
      <c r="S1061" s="11"/>
      <c r="T1061" s="11"/>
      <c r="U1061" s="11"/>
      <c r="V1061" s="229"/>
      <c r="W1061" s="229"/>
      <c r="X1061" s="229" t="str">
        <f>IFERROR(__xludf.DUMMYFUNCTION("""COMPUTED_VALUE"""),"BELUM GOLIVE")</f>
        <v>BELUM GOLIVE</v>
      </c>
      <c r="Y1061" s="229"/>
      <c r="Z1061" s="229" t="str">
        <f>IFERROR(__xludf.DUMMYFUNCTION("""COMPUTED_VALUE"""),"#N/A")</f>
        <v>#N/A</v>
      </c>
      <c r="AA1061" s="229"/>
      <c r="AB1061" s="229"/>
      <c r="AC1061" s="229"/>
      <c r="AD1061" s="232"/>
      <c r="AE1061" s="233"/>
      <c r="AF1061" s="54" t="str">
        <f>IFERROR(__xludf.DUMMYFUNCTION("""COMPUTED_VALUE"""),"Draft BA DROP")</f>
        <v>Draft BA DROP</v>
      </c>
      <c r="AG1061" s="54"/>
      <c r="AH1061" s="54"/>
      <c r="AI1061" s="55" t="str">
        <f t="shared" si="121"/>
        <v/>
      </c>
      <c r="AW1061" s="234"/>
      <c r="BP1061" s="11"/>
      <c r="BQ1061" s="11"/>
      <c r="BR1061" s="235"/>
      <c r="BV1061" s="158"/>
      <c r="BY1061" s="158"/>
      <c r="CB1061" s="158"/>
    </row>
    <row r="1062" ht="18.0" customHeight="1">
      <c r="A1062" s="222">
        <f>IFERROR(__xludf.DUMMYFUNCTION("""COMPUTED_VALUE"""),2026.0)</f>
        <v>2026</v>
      </c>
      <c r="B1062" s="221">
        <f>IFERROR(__xludf.DUMMYFUNCTION("""COMPUTED_VALUE"""),1.2244377E7)</f>
        <v>12244377</v>
      </c>
      <c r="C1062" s="222" t="str">
        <f>IFERROR(__xludf.DUMMYFUNCTION("""COMPUTED_VALUE"""),"SMB PT3-SLK-FM 250_-344_2534")</f>
        <v>SMB PT3-SLK-FM 250_-344_2534</v>
      </c>
      <c r="D1062" s="222" t="str">
        <f>IFERROR(__xludf.DUMMYFUNCTION("""COMPUTED_VALUE"""),"REGIONAL I")</f>
        <v>REGIONAL I</v>
      </c>
      <c r="E1062" s="222" t="str">
        <f>IFERROR(__xludf.DUMMYFUNCTION("""COMPUTED_VALUE"""),"SUMBAR")</f>
        <v>SUMBAR</v>
      </c>
      <c r="F1062" s="222" t="str">
        <f>IFERROR(__xludf.DUMMYFUNCTION("""COMPUTED_VALUE"""),"SLK")</f>
        <v>SLK</v>
      </c>
      <c r="G1062" s="222" t="str">
        <f>IFERROR(__xludf.DUMMYFUNCTION("""COMPUTED_VALUE"""),"SUMBAGTENG")</f>
        <v>SUMBAGTENG</v>
      </c>
      <c r="H1062" s="222" t="str">
        <f>IFERROR(__xludf.DUMMYFUNCTION("""COMPUTED_VALUE"""),"PADANG")</f>
        <v>PADANG</v>
      </c>
      <c r="I1062" s="222" t="str">
        <f>IFERROR(__xludf.DUMMYFUNCTION("""COMPUTED_VALUE"""),"Batch 2")</f>
        <v>Batch 2</v>
      </c>
      <c r="J1062" s="225">
        <f>IFERROR(__xludf.DUMMYFUNCTION("""COMPUTED_VALUE"""),1.0)</f>
        <v>1</v>
      </c>
      <c r="K1062" s="224">
        <f>IFERROR(__xludf.DUMMYFUNCTION("""COMPUTED_VALUE"""),8.0)</f>
        <v>8</v>
      </c>
      <c r="L1062" s="226">
        <f>IFERROR(__xludf.DUMMYFUNCTION("""COMPUTED_VALUE"""),927957.0)</f>
        <v>927957</v>
      </c>
      <c r="M1062" s="227">
        <f>IFERROR(__xludf.DUMMYFUNCTION("""COMPUTED_VALUE"""),7423652.0)</f>
        <v>7423652</v>
      </c>
      <c r="N1062" s="222" t="str">
        <f>IFERROR(__xludf.DUMMYFUNCTION("""COMPUTED_VALUE"""),"PT TRI PENAMAS")</f>
        <v>PT TRI PENAMAS</v>
      </c>
      <c r="O1062" s="222" t="str">
        <f>IFERROR(__xludf.DUMMYFUNCTION("""COMPUTED_VALUE"""),"0. DROP")</f>
        <v>0. DROP</v>
      </c>
      <c r="P1062" s="222" t="str">
        <f>IFERROR(__xludf.DUMMYFUNCTION("""COMPUTED_VALUE"""),"0.4 CPP Tinggi Acc ED TIF")</f>
        <v>0.4 CPP Tinggi Acc ED TIF</v>
      </c>
      <c r="Q1062" s="222" t="str">
        <f>IFERROR(__xludf.DUMMYFUNCTION("""COMPUTED_VALUE"""),"(09/03) Drop karena LOP SMB-SLK-MD - Fauzi Afriadi Tidak di acc  (05/03) proses aanwijziing plan selesai 07/03  (02/03) ogp aanwijziing")</f>
        <v>(09/03) Drop karena LOP SMB-SLK-MD - Fauzi Afriadi Tidak di acc  (05/03) proses aanwijziing plan selesai 07/03  (02/03) ogp aanwijziing</v>
      </c>
      <c r="R1062" s="228"/>
      <c r="S1062" s="11"/>
      <c r="T1062" s="11"/>
      <c r="U1062" s="11" t="str">
        <f>IFERROR(__xludf.DUMMYFUNCTION("""COMPUTED_VALUE"""),"TIF-5957/2026  26KT03R158-0080")</f>
        <v>TIF-5957/2026  26KT03R158-0080</v>
      </c>
      <c r="V1062" s="229" t="str">
        <f>IFERROR(__xludf.DUMMYFUNCTION("""COMPUTED_VALUE"""),"FABIO RAHMAN")</f>
        <v>FABIO RAHMAN</v>
      </c>
      <c r="W1062" s="229" t="str">
        <f>IFERROR(__xludf.DUMMYFUNCTION("""COMPUTED_VALUE"""),"MELKO NARWADI")</f>
        <v>MELKO NARWADI</v>
      </c>
      <c r="X1062" s="229" t="str">
        <f>IFERROR(__xludf.DUMMYFUNCTION("""COMPUTED_VALUE"""),"BELUM GOLIVE")</f>
        <v>BELUM GOLIVE</v>
      </c>
      <c r="Y1062" s="229"/>
      <c r="Z1062" s="229" t="str">
        <f>IFERROR(__xludf.DUMMYFUNCTION("""COMPUTED_VALUE"""),"#N/A")</f>
        <v>#N/A</v>
      </c>
      <c r="AA1062" s="229"/>
      <c r="AB1062" s="229"/>
      <c r="AC1062" s="229"/>
      <c r="AD1062" s="232"/>
      <c r="AE1062" s="233"/>
      <c r="AF1062" s="54"/>
      <c r="AG1062" s="54"/>
      <c r="AH1062" s="54"/>
      <c r="AI1062" s="55" t="str">
        <f t="shared" si="121"/>
        <v/>
      </c>
      <c r="AW1062" s="234"/>
      <c r="BP1062" s="11"/>
      <c r="BQ1062" s="11"/>
      <c r="BR1062" s="235"/>
      <c r="BV1062" s="158"/>
      <c r="BY1062" s="158"/>
      <c r="CB1062" s="158"/>
    </row>
    <row r="1063" ht="18.0" hidden="1" customHeight="1">
      <c r="A1063" s="222">
        <f>IFERROR(__xludf.DUMMYFUNCTION("""COMPUTED_VALUE"""),2026.0)</f>
        <v>2026</v>
      </c>
      <c r="B1063" s="221">
        <f>IFERROR(__xludf.DUMMYFUNCTION("""COMPUTED_VALUE"""),1.2437892E7)</f>
        <v>12437892</v>
      </c>
      <c r="C1063" s="222" t="str">
        <f>IFERROR(__xludf.DUMMYFUNCTION("""COMPUTED_VALUE"""),"SMS P4I4 PT3 PBM FG D04 SPBU PATIH GALUN")</f>
        <v>SMS P4I4 PT3 PBM FG D04 SPBU PATIH GALUN</v>
      </c>
      <c r="D1063" s="222" t="str">
        <f>IFERROR(__xludf.DUMMYFUNCTION("""COMPUTED_VALUE"""),"REGIONAL I")</f>
        <v>REGIONAL I</v>
      </c>
      <c r="E1063" s="222" t="str">
        <f>IFERROR(__xludf.DUMMYFUNCTION("""COMPUTED_VALUE"""),"SUMSEL")</f>
        <v>SUMSEL</v>
      </c>
      <c r="F1063" s="222" t="str">
        <f>IFERROR(__xludf.DUMMYFUNCTION("""COMPUTED_VALUE"""),"PBM")</f>
        <v>PBM</v>
      </c>
      <c r="G1063" s="222" t="str">
        <f>IFERROR(__xludf.DUMMYFUNCTION("""COMPUTED_VALUE"""),"SUMBAGSEL")</f>
        <v>SUMBAGSEL</v>
      </c>
      <c r="H1063" s="222" t="str">
        <f>IFERROR(__xludf.DUMMYFUNCTION("""COMPUTED_VALUE"""),"PALEMBANG")</f>
        <v>PALEMBANG</v>
      </c>
      <c r="I1063" s="222" t="str">
        <f>IFERROR(__xludf.DUMMYFUNCTION("""COMPUTED_VALUE"""),"Batch 2")</f>
        <v>Batch 2</v>
      </c>
      <c r="J1063" s="225">
        <f>IFERROR(__xludf.DUMMYFUNCTION("""COMPUTED_VALUE"""),2.0)</f>
        <v>2</v>
      </c>
      <c r="K1063" s="224">
        <f>IFERROR(__xludf.DUMMYFUNCTION("""COMPUTED_VALUE"""),16.0)</f>
        <v>16</v>
      </c>
      <c r="L1063" s="226">
        <f>IFERROR(__xludf.DUMMYFUNCTION("""COMPUTED_VALUE"""),927347.0)</f>
        <v>927347</v>
      </c>
      <c r="M1063" s="227">
        <f>IFERROR(__xludf.DUMMYFUNCTION("""COMPUTED_VALUE"""),1.4837547E7)</f>
        <v>14837547</v>
      </c>
      <c r="N1063" s="222" t="str">
        <f>IFERROR(__xludf.DUMMYFUNCTION("""COMPUTED_VALUE"""),"PT ACERO CETHA METALINDO")</f>
        <v>PT ACERO CETHA METALINDO</v>
      </c>
      <c r="O1063" s="222" t="str">
        <f>IFERROR(__xludf.DUMMYFUNCTION("""COMPUTED_VALUE"""),"7. GOLIVE")</f>
        <v>7. GOLIVE</v>
      </c>
      <c r="P1063" s="222" t="str">
        <f>IFERROR(__xludf.DUMMYFUNCTION("""COMPUTED_VALUE"""),"7.2 Golive Full / OA / DONE OTB")</f>
        <v>7.2 Golive Full / OA / DONE OTB</v>
      </c>
      <c r="Q1063" s="222" t="str">
        <f>IFERROR(__xludf.DUMMYFUNCTION("""COMPUTED_VALUE"""),"11/03 GOLIVE, 10/03 DONE SUBMIT ABD KE SDI, 09/03 MENUNGGU DATA ABD UTK DI SUBMIT KE SDI, 07/03 DONE VALINS, 06/03 OGP VALINS - KENDALA ONT RUSAK, 04/03 PROGRESS PEMASANGAN ODP, 02/03 DONE PENANAMAN 7 TIANG DAN PENARIKAN KABEL 320M, 28/2 Matdel , plan bes"&amp;"ok  tarik kabel  27/02 PARALEL, MENUNGGU ANTRIAN PEKERJAAN, 26/02 PARALEL, MENUNGGU ANTRIAN PEKERJAAN, 24/02 SUDAH RFC, TINGGAL NUNGGU MITRA AMBIL MATERIAL, 23/02 OGP MATDEL, 22/2 menunggu material TIANG  20/02 DONE INPUT MATERIAL, 17/02 PROSES INPUT MATE"&amp;"RIAL - KENDALA OVER BUDGET, 11/2 plan matdel 15 feb 10/02 PROSES PERIZINAN, 09/02 MENUNGGU PID UTK INPUT MATERIAL, 6/2 plan input material 9 FEB, proses perizinan   05/02 DRM, 03/02 DONE EVAL, LANJUT PROGRES, 23/01 DONE AANWIDJZING, (21/01) menunggu antri"&amp;"an aanwizjing, (15/1) ORDER DITERIMA MITRA 14/1, plan Aanwijdzing 19 Jan  (06/01)order JPP batch-2 2026 (1(14/11)HOLD-  tidak masuk target Optimis 2025 (4/11 menunggu jadwal aanwidzjing, (11/11) Penunjukkan MITRA  oleh Procurement 
14/01 penunjukan mitra "&amp;"oleh procurement")</f>
        <v>11/03 GOLIVE, 10/03 DONE SUBMIT ABD KE SDI, 09/03 MENUNGGU DATA ABD UTK DI SUBMIT KE SDI, 07/03 DONE VALINS, 06/03 OGP VALINS - KENDALA ONT RUSAK, 04/03 PROGRESS PEMASANGAN ODP, 02/03 DONE PENANAMAN 7 TIANG DAN PENARIKAN KABEL 320M, 28/2 Matdel , plan besok  tarik kabel  27/02 PARALEL, MENUNGGU ANTRIAN PEKERJAAN, 26/02 PARALEL, MENUNGGU ANTRIAN PEKERJAAN, 24/02 SUDAH RFC, TINGGAL NUNGGU MITRA AMBIL MATERIAL, 23/02 OGP MATDEL, 22/2 menunggu material TIANG  20/02 DONE INPUT MATERIAL, 17/02 PROSES INPUT MATERIAL - KENDALA OVER BUDGET, 11/2 plan matdel 15 feb 10/02 PROSES PERIZINAN, 09/02 MENUNGGU PID UTK INPUT MATERIAL, 6/2 plan input material 9 FEB, proses perizinan   05/02 DRM, 03/02 DONE EVAL, LANJUT PROGRES, 23/01 DONE AANWIDJZING, (21/01) menunggu antrian aanwizjing, (15/1) ORDER DITERIMA MITRA 14/1, plan Aanwijdzing 19 Jan  (06/01)order JPP batch-2 2026 (1(14/11)HOLD-  tidak masuk target Optimis 2025 (4/11 menunggu jadwal aanwidzjing, (11/11) Penunjukkan MITRA  oleh Procurement 
14/01 penunjukan mitra oleh procurement</v>
      </c>
      <c r="R1063" s="228">
        <f>IFERROR(__xludf.DUMMYFUNCTION("""COMPUTED_VALUE"""),46095.0)</f>
        <v>46095</v>
      </c>
      <c r="S1063" s="11" t="str">
        <f>IFERROR(__xludf.DUMMYFUNCTION("""COMPUTED_VALUE"""),"MAR")</f>
        <v>MAR</v>
      </c>
      <c r="T1063" s="11"/>
      <c r="U1063" s="11"/>
      <c r="V1063" s="229" t="str">
        <f>IFERROR(__xludf.DUMMYFUNCTION("""COMPUTED_VALUE"""),"ILHAM")</f>
        <v>ILHAM</v>
      </c>
      <c r="W1063" s="229"/>
      <c r="X1063" s="229" t="str">
        <f>IFERROR(__xludf.DUMMYFUNCTION("""COMPUTED_VALUE"""),"GOLIVE")</f>
        <v>GOLIVE</v>
      </c>
      <c r="Y1063" s="229" t="str">
        <f>IFERROR(__xludf.DUMMYFUNCTION("""COMPUTED_VALUE"""),"DONE")</f>
        <v>DONE</v>
      </c>
      <c r="Z1063" s="229" t="str">
        <f>IFERROR(__xludf.DUMMYFUNCTION("""COMPUTED_VALUE"""),"#N/A")</f>
        <v>#N/A</v>
      </c>
      <c r="AA1063" s="229">
        <f>IFERROR(__xludf.DUMMYFUNCTION("""COMPUTED_VALUE"""),2.0)</f>
        <v>2</v>
      </c>
      <c r="AB1063" s="229"/>
      <c r="AC1063" s="229" t="str">
        <f>IFERROR(__xludf.DUMMYFUNCTION("""COMPUTED_VALUE"""),"9193485#9193490")</f>
        <v>9193485#9193490</v>
      </c>
      <c r="AD1063" s="232">
        <f>IFERROR(__xludf.DUMMYFUNCTION("""COMPUTED_VALUE"""),16.0)</f>
        <v>16</v>
      </c>
      <c r="AE1063" s="233">
        <f>IFERROR(__xludf.DUMMYFUNCTION("""COMPUTED_VALUE"""),46091.0)</f>
        <v>46091</v>
      </c>
      <c r="AF1063" s="54"/>
      <c r="AG1063" s="54"/>
      <c r="AH1063" s="54">
        <v>46095.0</v>
      </c>
      <c r="AI1063" s="55">
        <f t="shared" si="121"/>
        <v>4</v>
      </c>
      <c r="AW1063" s="234"/>
      <c r="BP1063" s="11"/>
      <c r="BQ1063" s="11"/>
      <c r="BR1063" s="235"/>
      <c r="BV1063" s="158"/>
      <c r="BY1063" s="158"/>
      <c r="CB1063" s="158"/>
    </row>
    <row r="1064" ht="18.0" hidden="1" customHeight="1">
      <c r="A1064" s="222">
        <f>IFERROR(__xludf.DUMMYFUNCTION("""COMPUTED_VALUE"""),2026.0)</f>
        <v>2026</v>
      </c>
      <c r="B1064" s="221">
        <f>IFERROR(__xludf.DUMMYFUNCTION("""COMPUTED_VALUE"""),1.2438653E7)</f>
        <v>12438653</v>
      </c>
      <c r="C1064" s="222" t="str">
        <f>IFERROR(__xludf.DUMMYFUNCTION("""COMPUTED_VALUE"""),"MDN PT3 BJI-FW LANGKAT_142302_H2_2025")</f>
        <v>MDN PT3 BJI-FW LANGKAT_142302_H2_2025</v>
      </c>
      <c r="D1064" s="222" t="str">
        <f>IFERROR(__xludf.DUMMYFUNCTION("""COMPUTED_VALUE"""),"REGIONAL I")</f>
        <v>REGIONAL I</v>
      </c>
      <c r="E1064" s="222" t="str">
        <f>IFERROR(__xludf.DUMMYFUNCTION("""COMPUTED_VALUE"""),"MEDAN")</f>
        <v>MEDAN</v>
      </c>
      <c r="F1064" s="222" t="str">
        <f>IFERROR(__xludf.DUMMYFUNCTION("""COMPUTED_VALUE"""),"BJI")</f>
        <v>BJI</v>
      </c>
      <c r="G1064" s="222" t="str">
        <f>IFERROR(__xludf.DUMMYFUNCTION("""COMPUTED_VALUE"""),"SUMBAGUT")</f>
        <v>SUMBAGUT</v>
      </c>
      <c r="H1064" s="222" t="str">
        <f>IFERROR(__xludf.DUMMYFUNCTION("""COMPUTED_VALUE"""),"BINJAI")</f>
        <v>BINJAI</v>
      </c>
      <c r="I1064" s="222" t="str">
        <f>IFERROR(__xludf.DUMMYFUNCTION("""COMPUTED_VALUE"""),"Batch 2")</f>
        <v>Batch 2</v>
      </c>
      <c r="J1064" s="225">
        <f>IFERROR(__xludf.DUMMYFUNCTION("""COMPUTED_VALUE"""),3.0)</f>
        <v>3</v>
      </c>
      <c r="K1064" s="224">
        <f>IFERROR(__xludf.DUMMYFUNCTION("""COMPUTED_VALUE"""),24.0)</f>
        <v>24</v>
      </c>
      <c r="L1064" s="226">
        <f>IFERROR(__xludf.DUMMYFUNCTION("""COMPUTED_VALUE"""),926889.0)</f>
        <v>926889</v>
      </c>
      <c r="M1064" s="227">
        <f>IFERROR(__xludf.DUMMYFUNCTION("""COMPUTED_VALUE"""),2.2245331E7)</f>
        <v>22245331</v>
      </c>
      <c r="N1064" s="222" t="str">
        <f>IFERROR(__xludf.DUMMYFUNCTION("""COMPUTED_VALUE"""),"PT KENCANA RAYA INDONESIA")</f>
        <v>PT KENCANA RAYA INDONESIA</v>
      </c>
      <c r="O1064" s="222" t="str">
        <f>IFERROR(__xludf.DUMMYFUNCTION("""COMPUTED_VALUE"""),"2. DONE AANWIJZING")</f>
        <v>2. DONE AANWIJZING</v>
      </c>
      <c r="P1064" s="222" t="str">
        <f>IFERROR(__xludf.DUMMYFUNCTION("""COMPUTED_VALUE"""),"2.9 Kendala - Distribusi Penuh / Rusak")</f>
        <v>2.9 Kendala - Distribusi Penuh / Rusak</v>
      </c>
      <c r="Q1064" s="222" t="str">
        <f>IFERROR(__xludf.DUMMYFUNCTION("""COMPUTED_VALUE"""),"17/02 distribusi tidak tembus 
(07/01) Persiapan")</f>
        <v>17/02 distribusi tidak tembus 
(07/01) Persiapan</v>
      </c>
      <c r="R1064" s="228"/>
      <c r="S1064" s="11"/>
      <c r="T1064" s="11"/>
      <c r="U1064" s="11"/>
      <c r="V1064" s="229"/>
      <c r="W1064" s="229"/>
      <c r="X1064" s="229" t="str">
        <f>IFERROR(__xludf.DUMMYFUNCTION("""COMPUTED_VALUE"""),"BELUM GOLIVE")</f>
        <v>BELUM GOLIVE</v>
      </c>
      <c r="Y1064" s="229"/>
      <c r="Z1064" s="229" t="str">
        <f>IFERROR(__xludf.DUMMYFUNCTION("""COMPUTED_VALUE"""),"#N/A")</f>
        <v>#N/A</v>
      </c>
      <c r="AA1064" s="229"/>
      <c r="AB1064" s="229"/>
      <c r="AC1064" s="229"/>
      <c r="AD1064" s="232"/>
      <c r="AE1064" s="233"/>
      <c r="AF1064" s="54"/>
      <c r="AG1064" s="54"/>
      <c r="AH1064" s="54"/>
      <c r="AI1064" s="55" t="str">
        <f t="shared" si="121"/>
        <v/>
      </c>
      <c r="AW1064" s="234"/>
      <c r="BP1064" s="11"/>
      <c r="BQ1064" s="11"/>
      <c r="BR1064" s="235"/>
      <c r="BV1064" s="158"/>
      <c r="BY1064" s="158"/>
      <c r="CB1064" s="158"/>
    </row>
    <row r="1065" ht="18.0" hidden="1" customHeight="1">
      <c r="A1065" s="222">
        <f>IFERROR(__xludf.DUMMYFUNCTION("""COMPUTED_VALUE"""),2026.0)</f>
        <v>2026</v>
      </c>
      <c r="B1065" s="221">
        <f>IFERROR(__xludf.DUMMYFUNCTION("""COMPUTED_VALUE"""),1.1960116E7)</f>
        <v>11960116</v>
      </c>
      <c r="C1065" s="222" t="str">
        <f>IFERROR(__xludf.DUMMYFUNCTION("""COMPUTED_VALUE"""),"LPG PT3 JPP KOTA METRO_47645_H2_2025 MET")</f>
        <v>LPG PT3 JPP KOTA METRO_47645_H2_2025 MET</v>
      </c>
      <c r="D1065" s="222" t="str">
        <f>IFERROR(__xludf.DUMMYFUNCTION("""COMPUTED_VALUE"""),"REGIONAL I")</f>
        <v>REGIONAL I</v>
      </c>
      <c r="E1065" s="222" t="str">
        <f>IFERROR(__xludf.DUMMYFUNCTION("""COMPUTED_VALUE"""),"LAMPUNG")</f>
        <v>LAMPUNG</v>
      </c>
      <c r="F1065" s="222" t="str">
        <f>IFERROR(__xludf.DUMMYFUNCTION("""COMPUTED_VALUE"""),"MET")</f>
        <v>MET</v>
      </c>
      <c r="G1065" s="222" t="str">
        <f>IFERROR(__xludf.DUMMYFUNCTION("""COMPUTED_VALUE"""),"SUMBAGSEL")</f>
        <v>SUMBAGSEL</v>
      </c>
      <c r="H1065" s="222" t="str">
        <f>IFERROR(__xludf.DUMMYFUNCTION("""COMPUTED_VALUE"""),"LAMPUNG")</f>
        <v>LAMPUNG</v>
      </c>
      <c r="I1065" s="222" t="str">
        <f>IFERROR(__xludf.DUMMYFUNCTION("""COMPUTED_VALUE"""),"Batch 2")</f>
        <v>Batch 2</v>
      </c>
      <c r="J1065" s="225">
        <f>IFERROR(__xludf.DUMMYFUNCTION("""COMPUTED_VALUE"""),8.0)</f>
        <v>8</v>
      </c>
      <c r="K1065" s="224">
        <f>IFERROR(__xludf.DUMMYFUNCTION("""COMPUTED_VALUE"""),64.0)</f>
        <v>64</v>
      </c>
      <c r="L1065" s="226">
        <f>IFERROR(__xludf.DUMMYFUNCTION("""COMPUTED_VALUE"""),926455.0)</f>
        <v>926455</v>
      </c>
      <c r="M1065" s="227">
        <f>IFERROR(__xludf.DUMMYFUNCTION("""COMPUTED_VALUE"""),5.9293087E7)</f>
        <v>59293087</v>
      </c>
      <c r="N1065" s="222" t="str">
        <f>IFERROR(__xludf.DUMMYFUNCTION("""COMPUTED_VALUE"""),"PT FAJAR MITRA KRIDA ABADI")</f>
        <v>PT FAJAR MITRA KRIDA ABADI</v>
      </c>
      <c r="O1065" s="222" t="str">
        <f>IFERROR(__xludf.DUMMYFUNCTION("""COMPUTED_VALUE"""),"0. DROP")</f>
        <v>0. DROP</v>
      </c>
      <c r="P1065" s="222" t="str">
        <f>IFERROR(__xludf.DUMMYFUNCTION("""COMPUTED_VALUE"""),"0.2 Tidak Dapat Izin Warga/Kades/Lurah/Developer")</f>
        <v>0.2 Tidak Dapat Izin Warga/Kades/Lurah/Developer</v>
      </c>
      <c r="Q1065" s="222" t="str">
        <f>IFERROR(__xludf.DUMMYFUNCTION("""COMPUTED_VALUE"""),"15/1 lurah minta surat perkim,diskominfo dan tata kota")</f>
        <v>15/1 lurah minta surat perkim,diskominfo dan tata kota</v>
      </c>
      <c r="R1065" s="228"/>
      <c r="S1065" s="11"/>
      <c r="T1065" s="11"/>
      <c r="U1065" s="11" t="str">
        <f>IFERROR(__xludf.DUMMYFUNCTION("""COMPUTED_VALUE"""),"TIF-1998/2026")</f>
        <v>TIF-1998/2026</v>
      </c>
      <c r="V1065" s="229"/>
      <c r="W1065" s="229"/>
      <c r="X1065" s="229" t="str">
        <f>IFERROR(__xludf.DUMMYFUNCTION("""COMPUTED_VALUE"""),"BELUM GOLIVE")</f>
        <v>BELUM GOLIVE</v>
      </c>
      <c r="Y1065" s="229" t="str">
        <f>IFERROR(__xludf.DUMMYFUNCTION("""COMPUTED_VALUE"""),"PORT OLT Penuh")</f>
        <v>PORT OLT Penuh</v>
      </c>
      <c r="Z1065" s="229" t="str">
        <f>IFERROR(__xludf.DUMMYFUNCTION("""COMPUTED_VALUE"""),"#N/A")</f>
        <v>#N/A</v>
      </c>
      <c r="AA1065" s="229"/>
      <c r="AB1065" s="229"/>
      <c r="AC1065" s="229"/>
      <c r="AD1065" s="232"/>
      <c r="AE1065" s="233"/>
      <c r="AF1065" s="54" t="str">
        <f>IFERROR(__xludf.DUMMYFUNCTION("""COMPUTED_VALUE"""),"Draft BA DROP")</f>
        <v>Draft BA DROP</v>
      </c>
      <c r="AG1065" s="54"/>
      <c r="AH1065" s="54"/>
      <c r="AI1065" s="55" t="str">
        <f t="shared" si="121"/>
        <v/>
      </c>
      <c r="AW1065" s="234"/>
      <c r="BP1065" s="11"/>
      <c r="BQ1065" s="11"/>
      <c r="BR1065" s="235"/>
      <c r="BV1065" s="158"/>
      <c r="BY1065" s="158"/>
      <c r="CB1065" s="158"/>
    </row>
    <row r="1066" ht="18.0" customHeight="1">
      <c r="A1066" s="222">
        <f>IFERROR(__xludf.DUMMYFUNCTION("""COMPUTED_VALUE"""),2026.0)</f>
        <v>2026</v>
      </c>
      <c r="B1066" s="221">
        <f>IFERROR(__xludf.DUMMYFUNCTION("""COMPUTED_VALUE"""),1.1237324E7)</f>
        <v>11237324</v>
      </c>
      <c r="C1066" s="222" t="str">
        <f>IFERROR(__xludf.DUMMYFUNCTION("""COMPUTED_VALUE"""),"RKP PT3 TSEL SLU-FAB GG. PERMATA")</f>
        <v>RKP PT3 TSEL SLU-FAB GG. PERMATA</v>
      </c>
      <c r="D1066" s="222" t="str">
        <f>IFERROR(__xludf.DUMMYFUNCTION("""COMPUTED_VALUE"""),"REGIONAL I")</f>
        <v>REGIONAL I</v>
      </c>
      <c r="E1066" s="222" t="str">
        <f>IFERROR(__xludf.DUMMYFUNCTION("""COMPUTED_VALUE"""),"RIKEP")</f>
        <v>RIKEP</v>
      </c>
      <c r="F1066" s="222" t="str">
        <f>IFERROR(__xludf.DUMMYFUNCTION("""COMPUTED_VALUE"""),"SLU")</f>
        <v>SLU</v>
      </c>
      <c r="G1066" s="222" t="str">
        <f>IFERROR(__xludf.DUMMYFUNCTION("""COMPUTED_VALUE"""),"SUMBAGTENG")</f>
        <v>SUMBAGTENG</v>
      </c>
      <c r="H1066" s="222" t="str">
        <f>IFERROR(__xludf.DUMMYFUNCTION("""COMPUTED_VALUE"""),"BATAM")</f>
        <v>BATAM</v>
      </c>
      <c r="I1066" s="222" t="str">
        <f>IFERROR(__xludf.DUMMYFUNCTION("""COMPUTED_VALUE"""),"Batch 2")</f>
        <v>Batch 2</v>
      </c>
      <c r="J1066" s="225">
        <f>IFERROR(__xludf.DUMMYFUNCTION("""COMPUTED_VALUE"""),2.0)</f>
        <v>2</v>
      </c>
      <c r="K1066" s="224">
        <f>IFERROR(__xludf.DUMMYFUNCTION("""COMPUTED_VALUE"""),16.0)</f>
        <v>16</v>
      </c>
      <c r="L1066" s="226">
        <f>IFERROR(__xludf.DUMMYFUNCTION("""COMPUTED_VALUE"""),926275.0)</f>
        <v>926275</v>
      </c>
      <c r="M1066" s="227">
        <f>IFERROR(__xludf.DUMMYFUNCTION("""COMPUTED_VALUE"""),1.4820386E7)</f>
        <v>14820386</v>
      </c>
      <c r="N1066" s="222" t="str">
        <f>IFERROR(__xludf.DUMMYFUNCTION("""COMPUTED_VALUE"""),"PT MITRA HOSINDO SEJAHTERA")</f>
        <v>PT MITRA HOSINDO SEJAHTERA</v>
      </c>
      <c r="O1066" s="222" t="str">
        <f>IFERROR(__xludf.DUMMYFUNCTION("""COMPUTED_VALUE"""),"0. DROP")</f>
        <v>0. DROP</v>
      </c>
      <c r="P1066" s="222" t="str">
        <f>IFERROR(__xludf.DUMMYFUNCTION("""COMPUTED_VALUE"""),"0.2 Tidak Dapat Izin Warga/Kades/Lurah/Developer")</f>
        <v>0.2 Tidak Dapat Izin Warga/Kades/Lurah/Developer</v>
      </c>
      <c r="Q1066" s="222" t="str">
        <f>IFERROR(__xludf.DUMMYFUNCTION("""COMPUTED_VALUE"""),"09/03 space tanam tiang tidak ada lagi karena gang kecil, dan jalan sudah tidak di bolehkan di bobok. 
03/03 Izin blm ada balasan. 16/02 Izin RT belum ada balasan. 12/02 Plan anwijzing besok 13 Feb. 09/02 sudah anwijzing dan perizinan, plan pembuatan BOQ "&amp;"dan KML survey. 29/01 anwijzing OK, proses perizinan. 28/01 Plan survey HI.. 21/01 plansurvey 28 Jan")</f>
        <v>09/03 space tanam tiang tidak ada lagi karena gang kecil, dan jalan sudah tidak di bolehkan di bobok. 
03/03 Izin blm ada balasan. 16/02 Izin RT belum ada balasan. 12/02 Plan anwijzing besok 13 Feb. 09/02 sudah anwijzing dan perizinan, plan pembuatan BOQ dan KML survey. 29/01 anwijzing OK, proses perizinan. 28/01 Plan survey HI.. 21/01 plansurvey 28 Jan</v>
      </c>
      <c r="R1066" s="228"/>
      <c r="S1066" s="11"/>
      <c r="T1066" s="11"/>
      <c r="U1066" s="11"/>
      <c r="V1066" s="229" t="str">
        <f>IFERROR(__xludf.DUMMYFUNCTION("""COMPUTED_VALUE"""),"MUHAMMAD RIDHO FALFO")</f>
        <v>MUHAMMAD RIDHO FALFO</v>
      </c>
      <c r="W1066" s="229" t="str">
        <f>IFERROR(__xludf.DUMMYFUNCTION("""COMPUTED_VALUE"""),"LEVITA INDRIYANI")</f>
        <v>LEVITA INDRIYANI</v>
      </c>
      <c r="X1066" s="229" t="str">
        <f>IFERROR(__xludf.DUMMYFUNCTION("""COMPUTED_VALUE"""),"BELUM GOLIVE")</f>
        <v>BELUM GOLIVE</v>
      </c>
      <c r="Y1066" s="229"/>
      <c r="Z1066" s="229" t="str">
        <f>IFERROR(__xludf.DUMMYFUNCTION("""COMPUTED_VALUE"""),"#N/A")</f>
        <v>#N/A</v>
      </c>
      <c r="AA1066" s="229"/>
      <c r="AB1066" s="229"/>
      <c r="AC1066" s="229"/>
      <c r="AD1066" s="232"/>
      <c r="AE1066" s="233"/>
      <c r="AF1066" s="54"/>
      <c r="AG1066" s="54"/>
      <c r="AH1066" s="54"/>
      <c r="AI1066" s="55" t="str">
        <f t="shared" si="121"/>
        <v/>
      </c>
      <c r="AW1066" s="234"/>
      <c r="BP1066" s="11"/>
      <c r="BQ1066" s="11"/>
      <c r="BR1066" s="235"/>
      <c r="BV1066" s="158"/>
      <c r="BY1066" s="158"/>
      <c r="CB1066" s="158"/>
    </row>
    <row r="1067" ht="18.0" hidden="1" customHeight="1">
      <c r="A1067" s="222">
        <f>IFERROR(__xludf.DUMMYFUNCTION("""COMPUTED_VALUE"""),2026.0)</f>
        <v>2026</v>
      </c>
      <c r="B1067" s="221">
        <f>IFERROR(__xludf.DUMMYFUNCTION("""COMPUTED_VALUE"""),1.198658E7)</f>
        <v>11986580</v>
      </c>
      <c r="C1067" s="222" t="str">
        <f>IFERROR(__xludf.DUMMYFUNCTION("""COMPUTED_VALUE"""),"ACH SAB PT3 SAB-FL BALOHAN 2")</f>
        <v>ACH SAB PT3 SAB-FL BALOHAN 2</v>
      </c>
      <c r="D1067" s="222" t="str">
        <f>IFERROR(__xludf.DUMMYFUNCTION("""COMPUTED_VALUE"""),"REGIONAL I")</f>
        <v>REGIONAL I</v>
      </c>
      <c r="E1067" s="222" t="str">
        <f>IFERROR(__xludf.DUMMYFUNCTION("""COMPUTED_VALUE"""),"ACEH")</f>
        <v>ACEH</v>
      </c>
      <c r="F1067" s="222" t="str">
        <f>IFERROR(__xludf.DUMMYFUNCTION("""COMPUTED_VALUE"""),"SAB")</f>
        <v>SAB</v>
      </c>
      <c r="G1067" s="222" t="str">
        <f>IFERROR(__xludf.DUMMYFUNCTION("""COMPUTED_VALUE"""),"SUMBAGUT")</f>
        <v>SUMBAGUT</v>
      </c>
      <c r="H1067" s="222" t="str">
        <f>IFERROR(__xludf.DUMMYFUNCTION("""COMPUTED_VALUE"""),"BANDA ACEH")</f>
        <v>BANDA ACEH</v>
      </c>
      <c r="I1067" s="222" t="str">
        <f>IFERROR(__xludf.DUMMYFUNCTION("""COMPUTED_VALUE"""),"Batch 2")</f>
        <v>Batch 2</v>
      </c>
      <c r="J1067" s="225">
        <f>IFERROR(__xludf.DUMMYFUNCTION("""COMPUTED_VALUE"""),6.0)</f>
        <v>6</v>
      </c>
      <c r="K1067" s="224">
        <f>IFERROR(__xludf.DUMMYFUNCTION("""COMPUTED_VALUE"""),48.0)</f>
        <v>48</v>
      </c>
      <c r="L1067" s="226">
        <f>IFERROR(__xludf.DUMMYFUNCTION("""COMPUTED_VALUE"""),925987.0)</f>
        <v>925987</v>
      </c>
      <c r="M1067" s="227">
        <f>IFERROR(__xludf.DUMMYFUNCTION("""COMPUTED_VALUE"""),4.4447375E7)</f>
        <v>44447375</v>
      </c>
      <c r="N1067" s="222" t="str">
        <f>IFERROR(__xludf.DUMMYFUNCTION("""COMPUTED_VALUE"""),"PT TRIPOLA PANATA")</f>
        <v>PT TRIPOLA PANATA</v>
      </c>
      <c r="O1067" s="222" t="str">
        <f>IFERROR(__xludf.DUMMYFUNCTION("""COMPUTED_VALUE"""),"7. GOLIVE")</f>
        <v>7. GOLIVE</v>
      </c>
      <c r="P1067" s="222" t="str">
        <f>IFERROR(__xludf.DUMMYFUNCTION("""COMPUTED_VALUE"""),"7.2 Golive Full / OA / DONE OTB")</f>
        <v>7.2 Golive Full / OA / DONE OTB</v>
      </c>
      <c r="Q1067" s="222" t="str">
        <f>IFERROR(__xludf.DUMMYFUNCTION("""COMPUTED_VALUE"""),"(11/02) pgl (07/02) Persiapan Terminasi (04/02) Tanam Tiang (02/02) MOS (23/01) PO Material (21/01) DelMat (07/01) Persiapan")</f>
        <v>(11/02) pgl (07/02) Persiapan Terminasi (04/02) Tanam Tiang (02/02) MOS (23/01) PO Material (21/01) DelMat (07/01) Persiapan</v>
      </c>
      <c r="R1067" s="228">
        <f>IFERROR(__xludf.DUMMYFUNCTION("""COMPUTED_VALUE"""),46067.0)</f>
        <v>46067</v>
      </c>
      <c r="S1067" s="11"/>
      <c r="T1067" s="11"/>
      <c r="U1067" s="11" t="str">
        <f>IFERROR(__xludf.DUMMYFUNCTION("""COMPUTED_VALUE"""),"W04-1064/2025")</f>
        <v>W04-1064/2025</v>
      </c>
      <c r="V1067" s="229"/>
      <c r="W1067" s="229"/>
      <c r="X1067" s="229" t="str">
        <f>IFERROR(__xludf.DUMMYFUNCTION("""COMPUTED_VALUE"""),"GOLIVE")</f>
        <v>GOLIVE</v>
      </c>
      <c r="Y1067" s="229" t="str">
        <f>IFERROR(__xludf.DUMMYFUNCTION("""COMPUTED_VALUE"""),"DONE")</f>
        <v>DONE</v>
      </c>
      <c r="Z1067" s="229" t="str">
        <f>IFERROR(__xludf.DUMMYFUNCTION("""COMPUTED_VALUE"""),"#N/A")</f>
        <v>#N/A</v>
      </c>
      <c r="AA1067" s="229">
        <f>IFERROR(__xludf.DUMMYFUNCTION("""COMPUTED_VALUE"""),6.0)</f>
        <v>6</v>
      </c>
      <c r="AB1067" s="229"/>
      <c r="AC1067" s="229" t="str">
        <f>IFERROR(__xludf.DUMMYFUNCTION("""COMPUTED_VALUE"""),"9104873#9104878")</f>
        <v>9104873#9104878</v>
      </c>
      <c r="AD1067" s="232">
        <f>IFERROR(__xludf.DUMMYFUNCTION("""COMPUTED_VALUE"""),48.0)</f>
        <v>48</v>
      </c>
      <c r="AE1067" s="233">
        <f>IFERROR(__xludf.DUMMYFUNCTION("""COMPUTED_VALUE"""),46067.0)</f>
        <v>46067</v>
      </c>
      <c r="AF1067" s="54"/>
      <c r="AG1067" s="54"/>
      <c r="AH1067" s="54">
        <v>46067.0</v>
      </c>
      <c r="AI1067" s="55">
        <f t="shared" si="121"/>
        <v>0</v>
      </c>
      <c r="AW1067" s="234"/>
      <c r="BP1067" s="11"/>
      <c r="BQ1067" s="11"/>
      <c r="BR1067" s="235"/>
      <c r="BV1067" s="158"/>
      <c r="BY1067" s="158"/>
      <c r="CB1067" s="158"/>
    </row>
    <row r="1068" ht="18.0" customHeight="1">
      <c r="A1068" s="222">
        <f>IFERROR(__xludf.DUMMYFUNCTION("""COMPUTED_VALUE"""),2026.0)</f>
        <v>2026</v>
      </c>
      <c r="B1068" s="221">
        <f>IFERROR(__xludf.DUMMYFUNCTION("""COMPUTED_VALUE"""),1.1117016E7)</f>
        <v>11117016</v>
      </c>
      <c r="C1068" s="222" t="str">
        <f>IFERROR(__xludf.DUMMYFUNCTION("""COMPUTED_VALUE"""),"SMB P7I11 Pasar Taratak Baru SGD")</f>
        <v>SMB P7I11 Pasar Taratak Baru SGD</v>
      </c>
      <c r="D1068" s="222" t="str">
        <f>IFERROR(__xludf.DUMMYFUNCTION("""COMPUTED_VALUE"""),"REGIONAL I")</f>
        <v>REGIONAL I</v>
      </c>
      <c r="E1068" s="222" t="str">
        <f>IFERROR(__xludf.DUMMYFUNCTION("""COMPUTED_VALUE"""),"SUMBAR")</f>
        <v>SUMBAR</v>
      </c>
      <c r="F1068" s="222" t="str">
        <f>IFERROR(__xludf.DUMMYFUNCTION("""COMPUTED_VALUE"""),"SGD")</f>
        <v>SGD</v>
      </c>
      <c r="G1068" s="222" t="str">
        <f>IFERROR(__xludf.DUMMYFUNCTION("""COMPUTED_VALUE"""),"SUMBAGTENG")</f>
        <v>SUMBAGTENG</v>
      </c>
      <c r="H1068" s="222" t="str">
        <f>IFERROR(__xludf.DUMMYFUNCTION("""COMPUTED_VALUE"""),"PADANG")</f>
        <v>PADANG</v>
      </c>
      <c r="I1068" s="222" t="str">
        <f>IFERROR(__xludf.DUMMYFUNCTION("""COMPUTED_VALUE"""),"Batch 2")</f>
        <v>Batch 2</v>
      </c>
      <c r="J1068" s="225">
        <f>IFERROR(__xludf.DUMMYFUNCTION("""COMPUTED_VALUE"""),3.0)</f>
        <v>3</v>
      </c>
      <c r="K1068" s="224">
        <f>IFERROR(__xludf.DUMMYFUNCTION("""COMPUTED_VALUE"""),24.0)</f>
        <v>24</v>
      </c>
      <c r="L1068" s="226">
        <f>IFERROR(__xludf.DUMMYFUNCTION("""COMPUTED_VALUE"""),924747.0)</f>
        <v>924747</v>
      </c>
      <c r="M1068" s="227">
        <f>IFERROR(__xludf.DUMMYFUNCTION("""COMPUTED_VALUE"""),2.2193924E7)</f>
        <v>22193924</v>
      </c>
      <c r="N1068" s="222" t="str">
        <f>IFERROR(__xludf.DUMMYFUNCTION("""COMPUTED_VALUE"""),"PT TIGA AKSES MANDIRI")</f>
        <v>PT TIGA AKSES MANDIRI</v>
      </c>
      <c r="O1068" s="222" t="str">
        <f>IFERROR(__xludf.DUMMYFUNCTION("""COMPUTED_VALUE"""),"2. DONE AANWIJZING")</f>
        <v>2. DONE AANWIJZING</v>
      </c>
      <c r="P1068" s="222" t="str">
        <f>IFERROR(__xludf.DUMMYFUNCTION("""COMPUTED_VALUE"""),"2.9 Kendala - Distribusi Penuh / Rusak")</f>
        <v>2.9 Kendala - Distribusi Penuh / Rusak</v>
      </c>
      <c r="Q1068" s="222" t="str">
        <f>IFERROR(__xludf.DUMMYFUNCTION("""COMPUTED_VALUE"""),"(05/03) kendala dist 3 SGD-FK FULL  23/2 hold kendala OLT di status Terakhir  23/01 : kendala slot modul Mini olt tanjung gadang full, butuh new mini olt (07/01) Persiapan")</f>
        <v>(05/03) kendala dist 3 SGD-FK FULL  23/2 hold kendala OLT di status Terakhir  23/01 : kendala slot modul Mini olt tanjung gadang full, butuh new mini olt (07/01) Persiapan</v>
      </c>
      <c r="R1068" s="228"/>
      <c r="S1068" s="11"/>
      <c r="T1068" s="11"/>
      <c r="U1068" s="11"/>
      <c r="V1068" s="229" t="str">
        <f>IFERROR(__xludf.DUMMYFUNCTION("""COMPUTED_VALUE"""),"YULIO NOVIKO")</f>
        <v>YULIO NOVIKO</v>
      </c>
      <c r="W1068" s="229" t="str">
        <f>IFERROR(__xludf.DUMMYFUNCTION("""COMPUTED_VALUE"""),"MELKO NARWADI")</f>
        <v>MELKO NARWADI</v>
      </c>
      <c r="X1068" s="229" t="str">
        <f>IFERROR(__xludf.DUMMYFUNCTION("""COMPUTED_VALUE"""),"BELUM GOLIVE")</f>
        <v>BELUM GOLIVE</v>
      </c>
      <c r="Y1068" s="229" t="str">
        <f>IFERROR(__xludf.DUMMYFUNCTION("""COMPUTED_VALUE"""),"PORT OLT Penuh")</f>
        <v>PORT OLT Penuh</v>
      </c>
      <c r="Z1068" s="229" t="str">
        <f>IFERROR(__xludf.DUMMYFUNCTION("""COMPUTED_VALUE"""),"#N/A")</f>
        <v>#N/A</v>
      </c>
      <c r="AA1068" s="229"/>
      <c r="AB1068" s="229"/>
      <c r="AC1068" s="229"/>
      <c r="AD1068" s="232"/>
      <c r="AE1068" s="233"/>
      <c r="AF1068" s="54"/>
      <c r="AG1068" s="54"/>
      <c r="AH1068" s="54"/>
      <c r="AI1068" s="55" t="str">
        <f t="shared" si="121"/>
        <v/>
      </c>
      <c r="AW1068" s="234"/>
      <c r="BP1068" s="11"/>
      <c r="BQ1068" s="11"/>
      <c r="BR1068" s="235"/>
      <c r="BV1068" s="158"/>
      <c r="BY1068" s="158"/>
      <c r="CB1068" s="158"/>
    </row>
    <row r="1069" ht="18.0" hidden="1" customHeight="1">
      <c r="A1069" s="222">
        <f>IFERROR(__xludf.DUMMYFUNCTION("""COMPUTED_VALUE"""),2026.0)</f>
        <v>2026</v>
      </c>
      <c r="B1069" s="221">
        <f>IFERROR(__xludf.DUMMYFUNCTION("""COMPUTED_VALUE"""),1.1533026E7)</f>
        <v>11533026</v>
      </c>
      <c r="C1069" s="222" t="str">
        <f>IFERROR(__xludf.DUMMYFUNCTION("""COMPUTED_VALUE"""),"MDN PT3 BJI-FRC CITRA MUTIARA TRIBERLAND")</f>
        <v>MDN PT3 BJI-FRC CITRA MUTIARA TRIBERLAND</v>
      </c>
      <c r="D1069" s="222" t="str">
        <f>IFERROR(__xludf.DUMMYFUNCTION("""COMPUTED_VALUE"""),"REGIONAL I")</f>
        <v>REGIONAL I</v>
      </c>
      <c r="E1069" s="222" t="str">
        <f>IFERROR(__xludf.DUMMYFUNCTION("""COMPUTED_VALUE"""),"MEDAN")</f>
        <v>MEDAN</v>
      </c>
      <c r="F1069" s="222" t="str">
        <f>IFERROR(__xludf.DUMMYFUNCTION("""COMPUTED_VALUE"""),"BJI")</f>
        <v>BJI</v>
      </c>
      <c r="G1069" s="222" t="str">
        <f>IFERROR(__xludf.DUMMYFUNCTION("""COMPUTED_VALUE"""),"SUMBAGUT")</f>
        <v>SUMBAGUT</v>
      </c>
      <c r="H1069" s="222" t="str">
        <f>IFERROR(__xludf.DUMMYFUNCTION("""COMPUTED_VALUE"""),"BINJAI")</f>
        <v>BINJAI</v>
      </c>
      <c r="I1069" s="222" t="str">
        <f>IFERROR(__xludf.DUMMYFUNCTION("""COMPUTED_VALUE"""),"Batch 2")</f>
        <v>Batch 2</v>
      </c>
      <c r="J1069" s="225">
        <f>IFERROR(__xludf.DUMMYFUNCTION("""COMPUTED_VALUE"""),16.0)</f>
        <v>16</v>
      </c>
      <c r="K1069" s="224">
        <f>IFERROR(__xludf.DUMMYFUNCTION("""COMPUTED_VALUE"""),128.0)</f>
        <v>128</v>
      </c>
      <c r="L1069" s="226">
        <f>IFERROR(__xludf.DUMMYFUNCTION("""COMPUTED_VALUE"""),924323.0)</f>
        <v>924323</v>
      </c>
      <c r="M1069" s="227">
        <f>IFERROR(__xludf.DUMMYFUNCTION("""COMPUTED_VALUE"""),1.18313251E8)</f>
        <v>118313251</v>
      </c>
      <c r="N1069" s="222" t="str">
        <f>IFERROR(__xludf.DUMMYFUNCTION("""COMPUTED_VALUE"""),"PT KENCANA RAYA INDONESIA")</f>
        <v>PT KENCANA RAYA INDONESIA</v>
      </c>
      <c r="O1069" s="222" t="str">
        <f>IFERROR(__xludf.DUMMYFUNCTION("""COMPUTED_VALUE"""),"0. DROP")</f>
        <v>0. DROP</v>
      </c>
      <c r="P1069" s="222" t="str">
        <f>IFERROR(__xludf.DUMMYFUNCTION("""COMPUTED_VALUE"""),"0.2 Tidak Dapat Izin Warga/Kades/Lurah/Developer")</f>
        <v>0.2 Tidak Dapat Izin Warga/Kades/Lurah/Developer</v>
      </c>
      <c r="Q1069" s="222" t="str">
        <f>IFERROR(__xludf.DUMMYFUNCTION("""COMPUTED_VALUE"""),"20/04 tidak dapat izin belum ada kesepakatan
27/03 feeder ready dist new 
16/10 Feeder Redaman Tinggi
(24/09) Perizinan Warga dan Kades / Lurah
(23/09) Perizinan Warga dan Kades / Lurah
15/09 proses aanwijzing")</f>
        <v>20/04 tidak dapat izin belum ada kesepakatan
27/03 feeder ready dist new 
16/10 Feeder Redaman Tinggi
(24/09) Perizinan Warga dan Kades / Lurah
(23/09) Perizinan Warga dan Kades / Lurah
15/09 proses aanwijzing</v>
      </c>
      <c r="R1069" s="228"/>
      <c r="S1069" s="11"/>
      <c r="T1069" s="11"/>
      <c r="U1069" s="11"/>
      <c r="V1069" s="229"/>
      <c r="W1069" s="229"/>
      <c r="X1069" s="229" t="str">
        <f>IFERROR(__xludf.DUMMYFUNCTION("""COMPUTED_VALUE"""),"BELUM GOLIVE")</f>
        <v>BELUM GOLIVE</v>
      </c>
      <c r="Y1069" s="229"/>
      <c r="Z1069" s="229" t="str">
        <f>IFERROR(__xludf.DUMMYFUNCTION("""COMPUTED_VALUE"""),"#N/A")</f>
        <v>#N/A</v>
      </c>
      <c r="AA1069" s="229"/>
      <c r="AB1069" s="229"/>
      <c r="AC1069" s="229"/>
      <c r="AD1069" s="232"/>
      <c r="AE1069" s="233"/>
      <c r="AF1069" s="54"/>
      <c r="AG1069" s="54"/>
      <c r="AH1069" s="54"/>
      <c r="AI1069" s="55" t="str">
        <f t="shared" si="121"/>
        <v/>
      </c>
      <c r="AW1069" s="234"/>
      <c r="BP1069" s="11"/>
      <c r="BQ1069" s="11"/>
      <c r="BR1069" s="235"/>
      <c r="BV1069" s="158"/>
      <c r="BY1069" s="158"/>
      <c r="CB1069" s="158"/>
    </row>
    <row r="1070" ht="18.0" hidden="1" customHeight="1">
      <c r="A1070" s="222">
        <f>IFERROR(__xludf.DUMMYFUNCTION("""COMPUTED_VALUE"""),2026.0)</f>
        <v>2026</v>
      </c>
      <c r="B1070" s="221">
        <f>IFERROR(__xludf.DUMMYFUNCTION("""COMPUTED_VALUE"""),1.2213178E7)</f>
        <v>12213178</v>
      </c>
      <c r="C1070" s="222" t="str">
        <f>IFERROR(__xludf.DUMMYFUNCTION("""COMPUTED_VALUE"""),"ACH PT3 KGH-FY D04 BR KRUENG MANE")</f>
        <v>ACH PT3 KGH-FY D04 BR KRUENG MANE</v>
      </c>
      <c r="D1070" s="222" t="str">
        <f>IFERROR(__xludf.DUMMYFUNCTION("""COMPUTED_VALUE"""),"REGIONAL I")</f>
        <v>REGIONAL I</v>
      </c>
      <c r="E1070" s="222" t="str">
        <f>IFERROR(__xludf.DUMMYFUNCTION("""COMPUTED_VALUE"""),"ACEH")</f>
        <v>ACEH</v>
      </c>
      <c r="F1070" s="222" t="str">
        <f>IFERROR(__xludf.DUMMYFUNCTION("""COMPUTED_VALUE"""),"KGH")</f>
        <v>KGH</v>
      </c>
      <c r="G1070" s="222" t="str">
        <f>IFERROR(__xludf.DUMMYFUNCTION("""COMPUTED_VALUE"""),"SUMBAGUT")</f>
        <v>SUMBAGUT</v>
      </c>
      <c r="H1070" s="222" t="str">
        <f>IFERROR(__xludf.DUMMYFUNCTION("""COMPUTED_VALUE"""),"BINJAI")</f>
        <v>BINJAI</v>
      </c>
      <c r="I1070" s="222" t="str">
        <f>IFERROR(__xludf.DUMMYFUNCTION("""COMPUTED_VALUE"""),"Batch 2")</f>
        <v>Batch 2</v>
      </c>
      <c r="J1070" s="225">
        <f>IFERROR(__xludf.DUMMYFUNCTION("""COMPUTED_VALUE"""),4.0)</f>
        <v>4</v>
      </c>
      <c r="K1070" s="224">
        <f>IFERROR(__xludf.DUMMYFUNCTION("""COMPUTED_VALUE"""),32.0)</f>
        <v>32</v>
      </c>
      <c r="L1070" s="226">
        <f>IFERROR(__xludf.DUMMYFUNCTION("""COMPUTED_VALUE"""),924255.0)</f>
        <v>924255</v>
      </c>
      <c r="M1070" s="227">
        <f>IFERROR(__xludf.DUMMYFUNCTION("""COMPUTED_VALUE"""),2.9576155E7)</f>
        <v>29576155</v>
      </c>
      <c r="N1070" s="222" t="str">
        <f>IFERROR(__xludf.DUMMYFUNCTION("""COMPUTED_VALUE"""),"PT MITRA AKSES INSANI")</f>
        <v>PT MITRA AKSES INSANI</v>
      </c>
      <c r="O1070" s="222" t="str">
        <f>IFERROR(__xludf.DUMMYFUNCTION("""COMPUTED_VALUE"""),"2. DONE AANWIJZING")</f>
        <v>2. DONE AANWIJZING</v>
      </c>
      <c r="P1070" s="222" t="str">
        <f>IFERROR(__xludf.DUMMYFUNCTION("""COMPUTED_VALUE"""),"2.11 Kendala - Feeder Full / Dependensi LOP lain")</f>
        <v>2.11 Kendala - Feeder Full / Dependensi LOP lain</v>
      </c>
      <c r="Q1070" s="222" t="str">
        <f>IFERROR(__xludf.DUMMYFUNCTION("""COMPUTED_VALUE"""),"(05/03) dependensi LOP lain, Order LOP lain belum di ORder (07/01) Persiapan")</f>
        <v>(05/03) dependensi LOP lain, Order LOP lain belum di ORder (07/01) Persiapan</v>
      </c>
      <c r="R1070" s="228"/>
      <c r="S1070" s="11"/>
      <c r="T1070" s="11"/>
      <c r="U1070" s="11"/>
      <c r="V1070" s="229"/>
      <c r="W1070" s="229"/>
      <c r="X1070" s="229" t="str">
        <f>IFERROR(__xludf.DUMMYFUNCTION("""COMPUTED_VALUE"""),"BELUM GOLIVE")</f>
        <v>BELUM GOLIVE</v>
      </c>
      <c r="Y1070" s="229"/>
      <c r="Z1070" s="229" t="str">
        <f>IFERROR(__xludf.DUMMYFUNCTION("""COMPUTED_VALUE"""),"#N/A")</f>
        <v>#N/A</v>
      </c>
      <c r="AA1070" s="229"/>
      <c r="AB1070" s="229"/>
      <c r="AC1070" s="229"/>
      <c r="AD1070" s="232"/>
      <c r="AE1070" s="233"/>
      <c r="AF1070" s="54"/>
      <c r="AG1070" s="54"/>
      <c r="AH1070" s="54"/>
      <c r="AI1070" s="55" t="str">
        <f t="shared" si="121"/>
        <v/>
      </c>
      <c r="AW1070" s="234"/>
      <c r="BP1070" s="11"/>
      <c r="BQ1070" s="11"/>
      <c r="BR1070" s="235"/>
      <c r="BV1070" s="158"/>
      <c r="BY1070" s="158"/>
      <c r="CB1070" s="158"/>
    </row>
    <row r="1071" ht="18.0" hidden="1" customHeight="1">
      <c r="A1071" s="222">
        <f>IFERROR(__xludf.DUMMYFUNCTION("""COMPUTED_VALUE"""),2026.0)</f>
        <v>2026</v>
      </c>
      <c r="B1071" s="221">
        <f>IFERROR(__xludf.DUMMYFUNCTION("""COMPUTED_VALUE"""),1.213327E7)</f>
        <v>12133270</v>
      </c>
      <c r="C1071" s="222" t="str">
        <f>IFERROR(__xludf.DUMMYFUNCTION("""COMPUTED_VALUE"""),"LPG PT3 JPP SMK BUDI KARYA NATAR NTR")</f>
        <v>LPG PT3 JPP SMK BUDI KARYA NATAR NTR</v>
      </c>
      <c r="D1071" s="222" t="str">
        <f>IFERROR(__xludf.DUMMYFUNCTION("""COMPUTED_VALUE"""),"REGIONAL I")</f>
        <v>REGIONAL I</v>
      </c>
      <c r="E1071" s="222" t="str">
        <f>IFERROR(__xludf.DUMMYFUNCTION("""COMPUTED_VALUE"""),"LAMPUNG")</f>
        <v>LAMPUNG</v>
      </c>
      <c r="F1071" s="222" t="str">
        <f>IFERROR(__xludf.DUMMYFUNCTION("""COMPUTED_VALUE"""),"NTR")</f>
        <v>NTR</v>
      </c>
      <c r="G1071" s="222" t="str">
        <f>IFERROR(__xludf.DUMMYFUNCTION("""COMPUTED_VALUE"""),"SUMBAGSEL")</f>
        <v>SUMBAGSEL</v>
      </c>
      <c r="H1071" s="222" t="str">
        <f>IFERROR(__xludf.DUMMYFUNCTION("""COMPUTED_VALUE"""),"LAMPUNG")</f>
        <v>LAMPUNG</v>
      </c>
      <c r="I1071" s="222" t="str">
        <f>IFERROR(__xludf.DUMMYFUNCTION("""COMPUTED_VALUE"""),"Batch 2")</f>
        <v>Batch 2</v>
      </c>
      <c r="J1071" s="225">
        <f>IFERROR(__xludf.DUMMYFUNCTION("""COMPUTED_VALUE"""),23.0)</f>
        <v>23</v>
      </c>
      <c r="K1071" s="224">
        <f>IFERROR(__xludf.DUMMYFUNCTION("""COMPUTED_VALUE"""),184.0)</f>
        <v>184</v>
      </c>
      <c r="L1071" s="226">
        <f>IFERROR(__xludf.DUMMYFUNCTION("""COMPUTED_VALUE"""),923324.0)</f>
        <v>923324</v>
      </c>
      <c r="M1071" s="227">
        <f>IFERROR(__xludf.DUMMYFUNCTION("""COMPUTED_VALUE"""),1.69891585E8)</f>
        <v>169891585</v>
      </c>
      <c r="N1071" s="222" t="str">
        <f>IFERROR(__xludf.DUMMYFUNCTION("""COMPUTED_VALUE"""),"PT BANGTELINDO")</f>
        <v>PT BANGTELINDO</v>
      </c>
      <c r="O1071" s="222" t="str">
        <f>IFERROR(__xludf.DUMMYFUNCTION("""COMPUTED_VALUE"""),"7. GOLIVE")</f>
        <v>7. GOLIVE</v>
      </c>
      <c r="P1071" s="222" t="str">
        <f>IFERROR(__xludf.DUMMYFUNCTION("""COMPUTED_VALUE"""),"7.2 Golive Full / OA / DONE OTB")</f>
        <v>7.2 Golive Full / OA / DONE OTB</v>
      </c>
      <c r="Q1071" s="222" t="str">
        <f>IFERROR(__xludf.DUMMYFUNCTION("""COMPUTED_VALUE"""),"27/2 plan FI 2/3,, plan abd+valins 4/3,, plan golive 5/3 24/2 PROGRES PENANAMAN TIANG, PLAN FI 28/2 PLAN GL 3/3 
20/2 proses matdel 20/2 , 20/2 proses matdel , plan fi 28/2
18/2 Plan matdel 19 FEB 11/2  6/2 tmenunggu hasil evaluasi kopensasi 13 juta 
4/2 "&amp;"stok material kosong ,estimasi tiba 07/2 
3/2 proses pengacekan core dan perizinan")</f>
        <v>27/2 plan FI 2/3,, plan abd+valins 4/3,, plan golive 5/3 24/2 PROGRES PENANAMAN TIANG, PLAN FI 28/2 PLAN GL 3/3 
20/2 proses matdel 20/2 , 20/2 proses matdel , plan fi 28/2
18/2 Plan matdel 19 FEB 11/2  6/2 tmenunggu hasil evaluasi kopensasi 13 juta 
4/2 stok material kosong ,estimasi tiba 07/2 
3/2 proses pengacekan core dan perizinan</v>
      </c>
      <c r="R1071" s="228"/>
      <c r="S1071" s="11"/>
      <c r="T1071" s="11"/>
      <c r="U1071" s="11" t="str">
        <f>IFERROR(__xludf.DUMMYFUNCTION("""COMPUTED_VALUE"""),"TIF-4005/2026")</f>
        <v>TIF-4005/2026</v>
      </c>
      <c r="V1071" s="229"/>
      <c r="W1071" s="229"/>
      <c r="X1071" s="229" t="str">
        <f>IFERROR(__xludf.DUMMYFUNCTION("""COMPUTED_VALUE"""),"GOLIVE")</f>
        <v>GOLIVE</v>
      </c>
      <c r="Y1071" s="229" t="str">
        <f>IFERROR(__xludf.DUMMYFUNCTION("""COMPUTED_VALUE"""),"DONE")</f>
        <v>DONE</v>
      </c>
      <c r="Z1071" s="229" t="str">
        <f>IFERROR(__xludf.DUMMYFUNCTION("""COMPUTED_VALUE"""),"#N/A")</f>
        <v>#N/A</v>
      </c>
      <c r="AA1071" s="229">
        <f>IFERROR(__xludf.DUMMYFUNCTION("""COMPUTED_VALUE"""),23.0)</f>
        <v>23</v>
      </c>
      <c r="AB1071" s="229"/>
      <c r="AC1071" s="229" t="str">
        <f>IFERROR(__xludf.DUMMYFUNCTION("""COMPUTED_VALUE"""),"9105566#9105571")</f>
        <v>9105566#9105571</v>
      </c>
      <c r="AD1071" s="232">
        <f>IFERROR(__xludf.DUMMYFUNCTION("""COMPUTED_VALUE"""),184.0)</f>
        <v>184</v>
      </c>
      <c r="AE1071" s="233">
        <f>IFERROR(__xludf.DUMMYFUNCTION("""COMPUTED_VALUE"""),46083.0)</f>
        <v>46083</v>
      </c>
      <c r="AF1071" s="54"/>
      <c r="AG1071" s="54"/>
      <c r="AH1071" s="54"/>
      <c r="AI1071" s="55" t="str">
        <f t="shared" si="121"/>
        <v/>
      </c>
      <c r="AW1071" s="234"/>
      <c r="BP1071" s="11"/>
      <c r="BQ1071" s="11"/>
      <c r="BR1071" s="235"/>
      <c r="BV1071" s="158"/>
      <c r="BY1071" s="158"/>
      <c r="CB1071" s="158"/>
    </row>
    <row r="1072" ht="18.0" hidden="1" customHeight="1">
      <c r="A1072" s="222">
        <f>IFERROR(__xludf.DUMMYFUNCTION("""COMPUTED_VALUE"""),2026.0)</f>
        <v>2026</v>
      </c>
      <c r="B1072" s="221">
        <f>IFERROR(__xludf.DUMMYFUNCTION("""COMPUTED_VALUE"""),1.1136587E7)</f>
        <v>11136587</v>
      </c>
      <c r="C1072" s="222" t="str">
        <f>IFERROR(__xludf.DUMMYFUNCTION("""COMPUTED_VALUE"""),"MDN PT3 P7I8 SKI-FS JL.RAWA CANGKUK I")</f>
        <v>MDN PT3 P7I8 SKI-FS JL.RAWA CANGKUK I</v>
      </c>
      <c r="D1072" s="222" t="str">
        <f>IFERROR(__xludf.DUMMYFUNCTION("""COMPUTED_VALUE"""),"REGIONAL I")</f>
        <v>REGIONAL I</v>
      </c>
      <c r="E1072" s="222" t="str">
        <f>IFERROR(__xludf.DUMMYFUNCTION("""COMPUTED_VALUE"""),"MEDAN")</f>
        <v>MEDAN</v>
      </c>
      <c r="F1072" s="222" t="str">
        <f>IFERROR(__xludf.DUMMYFUNCTION("""COMPUTED_VALUE"""),"SKI")</f>
        <v>SKI</v>
      </c>
      <c r="G1072" s="222" t="str">
        <f>IFERROR(__xludf.DUMMYFUNCTION("""COMPUTED_VALUE"""),"SUMBAGUT")</f>
        <v>SUMBAGUT</v>
      </c>
      <c r="H1072" s="222" t="str">
        <f>IFERROR(__xludf.DUMMYFUNCTION("""COMPUTED_VALUE"""),"MEDAN")</f>
        <v>MEDAN</v>
      </c>
      <c r="I1072" s="222" t="str">
        <f>IFERROR(__xludf.DUMMYFUNCTION("""COMPUTED_VALUE"""),"Batch 2")</f>
        <v>Batch 2</v>
      </c>
      <c r="J1072" s="225">
        <f>IFERROR(__xludf.DUMMYFUNCTION("""COMPUTED_VALUE"""),3.0)</f>
        <v>3</v>
      </c>
      <c r="K1072" s="224">
        <f>IFERROR(__xludf.DUMMYFUNCTION("""COMPUTED_VALUE"""),24.0)</f>
        <v>24</v>
      </c>
      <c r="L1072" s="226">
        <f>IFERROR(__xludf.DUMMYFUNCTION("""COMPUTED_VALUE"""),922326.0)</f>
        <v>922326</v>
      </c>
      <c r="M1072" s="227">
        <f>IFERROR(__xludf.DUMMYFUNCTION("""COMPUTED_VALUE"""),2.2135806E7)</f>
        <v>22135806</v>
      </c>
      <c r="N1072" s="222" t="str">
        <f>IFERROR(__xludf.DUMMYFUNCTION("""COMPUTED_VALUE"""),"PT KANA PRISMA AKSES")</f>
        <v>PT KANA PRISMA AKSES</v>
      </c>
      <c r="O1072" s="222" t="str">
        <f>IFERROR(__xludf.DUMMYFUNCTION("""COMPUTED_VALUE"""),"0. DROP")</f>
        <v>0. DROP</v>
      </c>
      <c r="P1072" s="222" t="str">
        <f>IFERROR(__xludf.DUMMYFUNCTION("""COMPUTED_VALUE"""),"0.3 Feeder Full")</f>
        <v>0.3 Feeder Full</v>
      </c>
      <c r="Q1072" s="222" t="str">
        <f>IFERROR(__xludf.DUMMYFUNCTION("""COMPUTED_VALUE"""),"16/10 Feeder Habis
16/10 Mapping Mitra")</f>
        <v>16/10 Feeder Habis
16/10 Mapping Mitra</v>
      </c>
      <c r="R1072" s="228"/>
      <c r="S1072" s="11"/>
      <c r="T1072" s="11"/>
      <c r="U1072" s="11"/>
      <c r="V1072" s="229"/>
      <c r="W1072" s="229"/>
      <c r="X1072" s="229" t="str">
        <f>IFERROR(__xludf.DUMMYFUNCTION("""COMPUTED_VALUE"""),"BELUM GOLIVE")</f>
        <v>BELUM GOLIVE</v>
      </c>
      <c r="Y1072" s="229"/>
      <c r="Z1072" s="229" t="str">
        <f>IFERROR(__xludf.DUMMYFUNCTION("""COMPUTED_VALUE"""),"#N/A")</f>
        <v>#N/A</v>
      </c>
      <c r="AA1072" s="229"/>
      <c r="AB1072" s="229"/>
      <c r="AC1072" s="229"/>
      <c r="AD1072" s="232"/>
      <c r="AE1072" s="233"/>
      <c r="AF1072" s="54"/>
      <c r="AG1072" s="54"/>
      <c r="AH1072" s="54"/>
      <c r="AI1072" s="55" t="str">
        <f t="shared" si="121"/>
        <v/>
      </c>
      <c r="AW1072" s="234"/>
      <c r="BP1072" s="11"/>
      <c r="BQ1072" s="11"/>
      <c r="BR1072" s="235"/>
      <c r="BV1072" s="158"/>
      <c r="BY1072" s="158"/>
      <c r="CB1072" s="158"/>
    </row>
    <row r="1073" ht="18.0" customHeight="1">
      <c r="A1073" s="222">
        <f>IFERROR(__xludf.DUMMYFUNCTION("""COMPUTED_VALUE"""),2026.0)</f>
        <v>2026</v>
      </c>
      <c r="B1073" s="221">
        <f>IFERROR(__xludf.DUMMYFUNCTION("""COMPUTED_VALUE"""),1.2089353E7)</f>
        <v>12089353</v>
      </c>
      <c r="C1073" s="222" t="str">
        <f>IFERROR(__xludf.DUMMYFUNCTION("""COMPUTED_VALUE"""),"RKP TSEL PT3 KMS-FAK BATU 8 GG SIDOMULYO")</f>
        <v>RKP TSEL PT3 KMS-FAK BATU 8 GG SIDOMULYO</v>
      </c>
      <c r="D1073" s="222" t="str">
        <f>IFERROR(__xludf.DUMMYFUNCTION("""COMPUTED_VALUE"""),"REGIONAL I")</f>
        <v>REGIONAL I</v>
      </c>
      <c r="E1073" s="222" t="str">
        <f>IFERROR(__xludf.DUMMYFUNCTION("""COMPUTED_VALUE"""),"RIKEP")</f>
        <v>RIKEP</v>
      </c>
      <c r="F1073" s="222" t="str">
        <f>IFERROR(__xludf.DUMMYFUNCTION("""COMPUTED_VALUE"""),"KMS")</f>
        <v>KMS</v>
      </c>
      <c r="G1073" s="222" t="str">
        <f>IFERROR(__xludf.DUMMYFUNCTION("""COMPUTED_VALUE"""),"SUMBAGTENG")</f>
        <v>SUMBAGTENG</v>
      </c>
      <c r="H1073" s="222" t="str">
        <f>IFERROR(__xludf.DUMMYFUNCTION("""COMPUTED_VALUE"""),"BATAM")</f>
        <v>BATAM</v>
      </c>
      <c r="I1073" s="222" t="str">
        <f>IFERROR(__xludf.DUMMYFUNCTION("""COMPUTED_VALUE"""),"Batch 2")</f>
        <v>Batch 2</v>
      </c>
      <c r="J1073" s="225">
        <f>IFERROR(__xludf.DUMMYFUNCTION("""COMPUTED_VALUE"""),2.0)</f>
        <v>2</v>
      </c>
      <c r="K1073" s="224">
        <f>IFERROR(__xludf.DUMMYFUNCTION("""COMPUTED_VALUE"""),16.0)</f>
        <v>16</v>
      </c>
      <c r="L1073" s="226">
        <f>IFERROR(__xludf.DUMMYFUNCTION("""COMPUTED_VALUE"""),921403.0)</f>
        <v>921403</v>
      </c>
      <c r="M1073" s="227">
        <f>IFERROR(__xludf.DUMMYFUNCTION("""COMPUTED_VALUE"""),1.4742445E7)</f>
        <v>14742445</v>
      </c>
      <c r="N1073" s="222" t="str">
        <f>IFERROR(__xludf.DUMMYFUNCTION("""COMPUTED_VALUE"""),"PT SALTTEK DUMPANG JAYA")</f>
        <v>PT SALTTEK DUMPANG JAYA</v>
      </c>
      <c r="O1073" s="222" t="str">
        <f>IFERROR(__xludf.DUMMYFUNCTION("""COMPUTED_VALUE"""),"2. DONE AANWIJZING")</f>
        <v>2. DONE AANWIJZING</v>
      </c>
      <c r="P1073" s="222" t="str">
        <f>IFERROR(__xludf.DUMMYFUNCTION("""COMPUTED_VALUE"""),"2.11 Kendala - Feeder Full / Dependensi LOP lain")</f>
        <v>2.11 Kendala - Feeder Full / Dependensi LOP lain</v>
      </c>
      <c r="Q1073" s="222" t="str">
        <f>IFERROR(__xludf.DUMMYFUNCTION("""COMPUTED_VALUE"""),"04/03 Feeder Full. 28/01 Feeder Penuh. 21/01 Korlap meminta estimasih 2-3 hari untuk membicarakan dengan bos nya")</f>
        <v>04/03 Feeder Full. 28/01 Feeder Penuh. 21/01 Korlap meminta estimasih 2-3 hari untuk membicarakan dengan bos nya</v>
      </c>
      <c r="R1073" s="228"/>
      <c r="S1073" s="11"/>
      <c r="T1073" s="11"/>
      <c r="U1073" s="11"/>
      <c r="V1073" s="229" t="str">
        <f>IFERROR(__xludf.DUMMYFUNCTION("""COMPUTED_VALUE"""),"DEDY IRAWAN")</f>
        <v>DEDY IRAWAN</v>
      </c>
      <c r="W1073" s="229" t="str">
        <f>IFERROR(__xludf.DUMMYFUNCTION("""COMPUTED_VALUE"""),"LEVITA INDRIYANI")</f>
        <v>LEVITA INDRIYANI</v>
      </c>
      <c r="X1073" s="229" t="str">
        <f>IFERROR(__xludf.DUMMYFUNCTION("""COMPUTED_VALUE"""),"BELUM GOLIVE")</f>
        <v>BELUM GOLIVE</v>
      </c>
      <c r="Y1073" s="229"/>
      <c r="Z1073" s="229" t="str">
        <f>IFERROR(__xludf.DUMMYFUNCTION("""COMPUTED_VALUE"""),"#N/A")</f>
        <v>#N/A</v>
      </c>
      <c r="AA1073" s="229"/>
      <c r="AB1073" s="229"/>
      <c r="AC1073" s="229"/>
      <c r="AD1073" s="232"/>
      <c r="AE1073" s="233"/>
      <c r="AF1073" s="54"/>
      <c r="AG1073" s="54"/>
      <c r="AH1073" s="54"/>
      <c r="AI1073" s="55" t="str">
        <f t="shared" si="121"/>
        <v/>
      </c>
      <c r="AW1073" s="234"/>
      <c r="BP1073" s="11"/>
      <c r="BQ1073" s="11"/>
      <c r="BR1073" s="235"/>
      <c r="BV1073" s="158"/>
      <c r="BY1073" s="158"/>
      <c r="CB1073" s="158"/>
    </row>
    <row r="1074" ht="18.0" customHeight="1">
      <c r="A1074" s="222">
        <f>IFERROR(__xludf.DUMMYFUNCTION("""COMPUTED_VALUE"""),2026.0)</f>
        <v>2026</v>
      </c>
      <c r="B1074" s="221">
        <f>IFERROR(__xludf.DUMMYFUNCTION("""COMPUTED_VALUE"""),1.1109434E7)</f>
        <v>11109434</v>
      </c>
      <c r="C1074" s="222" t="str">
        <f>IFERROR(__xludf.DUMMYFUNCTION("""COMPUTED_VALUE"""),"SMB P7I10 Payo SLK")</f>
        <v>SMB P7I10 Payo SLK</v>
      </c>
      <c r="D1074" s="222" t="str">
        <f>IFERROR(__xludf.DUMMYFUNCTION("""COMPUTED_VALUE"""),"REGIONAL I")</f>
        <v>REGIONAL I</v>
      </c>
      <c r="E1074" s="222" t="str">
        <f>IFERROR(__xludf.DUMMYFUNCTION("""COMPUTED_VALUE"""),"SUMBAR")</f>
        <v>SUMBAR</v>
      </c>
      <c r="F1074" s="222" t="str">
        <f>IFERROR(__xludf.DUMMYFUNCTION("""COMPUTED_VALUE"""),"SLK")</f>
        <v>SLK</v>
      </c>
      <c r="G1074" s="222" t="str">
        <f>IFERROR(__xludf.DUMMYFUNCTION("""COMPUTED_VALUE"""),"SUMBAGTENG")</f>
        <v>SUMBAGTENG</v>
      </c>
      <c r="H1074" s="222" t="str">
        <f>IFERROR(__xludf.DUMMYFUNCTION("""COMPUTED_VALUE"""),"PADANG")</f>
        <v>PADANG</v>
      </c>
      <c r="I1074" s="222" t="str">
        <f>IFERROR(__xludf.DUMMYFUNCTION("""COMPUTED_VALUE"""),"Batch 2")</f>
        <v>Batch 2</v>
      </c>
      <c r="J1074" s="225">
        <f>IFERROR(__xludf.DUMMYFUNCTION("""COMPUTED_VALUE"""),10.0)</f>
        <v>10</v>
      </c>
      <c r="K1074" s="224">
        <f>IFERROR(__xludf.DUMMYFUNCTION("""COMPUTED_VALUE"""),80.0)</f>
        <v>80</v>
      </c>
      <c r="L1074" s="226">
        <f>IFERROR(__xludf.DUMMYFUNCTION("""COMPUTED_VALUE"""),921280.0)</f>
        <v>921280</v>
      </c>
      <c r="M1074" s="227">
        <f>IFERROR(__xludf.DUMMYFUNCTION("""COMPUTED_VALUE"""),7.3702329E7)</f>
        <v>73702329</v>
      </c>
      <c r="N1074" s="222" t="str">
        <f>IFERROR(__xludf.DUMMYFUNCTION("""COMPUTED_VALUE"""),"PT TRI PENAMAS")</f>
        <v>PT TRI PENAMAS</v>
      </c>
      <c r="O1074" s="222" t="str">
        <f>IFERROR(__xludf.DUMMYFUNCTION("""COMPUTED_VALUE"""),"0. DROP")</f>
        <v>0. DROP</v>
      </c>
      <c r="P1074" s="222" t="str">
        <f>IFERROR(__xludf.DUMMYFUNCTION("""COMPUTED_VALUE"""),"0.3 Feeder Full")</f>
        <v>0.3 Feeder Full</v>
      </c>
      <c r="Q1074" s="222" t="str">
        <f>IFERROR(__xludf.DUMMYFUNCTION("""COMPUTED_VALUE"""),"(26/01) kendala feeder dan dist SLK-FN Full")</f>
        <v>(26/01) kendala feeder dan dist SLK-FN Full</v>
      </c>
      <c r="R1074" s="228"/>
      <c r="S1074" s="11"/>
      <c r="T1074" s="11"/>
      <c r="U1074" s="11"/>
      <c r="V1074" s="229"/>
      <c r="W1074" s="229"/>
      <c r="X1074" s="229" t="str">
        <f>IFERROR(__xludf.DUMMYFUNCTION("""COMPUTED_VALUE"""),"BELUM GOLIVE")</f>
        <v>BELUM GOLIVE</v>
      </c>
      <c r="Y1074" s="229"/>
      <c r="Z1074" s="229" t="str">
        <f>IFERROR(__xludf.DUMMYFUNCTION("""COMPUTED_VALUE"""),"#N/A")</f>
        <v>#N/A</v>
      </c>
      <c r="AA1074" s="229"/>
      <c r="AB1074" s="229"/>
      <c r="AC1074" s="229"/>
      <c r="AD1074" s="232"/>
      <c r="AE1074" s="233"/>
      <c r="AF1074" s="54" t="str">
        <f>IFERROR(__xludf.DUMMYFUNCTION("""COMPUTED_VALUE"""),"Draft BA DROP")</f>
        <v>Draft BA DROP</v>
      </c>
      <c r="AG1074" s="54"/>
      <c r="AH1074" s="54"/>
      <c r="AI1074" s="55" t="str">
        <f t="shared" si="121"/>
        <v/>
      </c>
      <c r="AW1074" s="234"/>
      <c r="BP1074" s="11"/>
      <c r="BQ1074" s="11"/>
      <c r="BR1074" s="235"/>
      <c r="BV1074" s="158"/>
      <c r="BY1074" s="158"/>
      <c r="CB1074" s="158"/>
    </row>
    <row r="1075" ht="18.0" hidden="1" customHeight="1">
      <c r="A1075" s="222">
        <f>IFERROR(__xludf.DUMMYFUNCTION("""COMPUTED_VALUE"""),2026.0)</f>
        <v>2026</v>
      </c>
      <c r="B1075" s="221">
        <f>IFERROR(__xludf.DUMMYFUNCTION("""COMPUTED_VALUE"""),1.1516125E7)</f>
        <v>11516125</v>
      </c>
      <c r="C1075" s="222" t="str">
        <f>IFERROR(__xludf.DUMMYFUNCTION("""COMPUTED_VALUE"""),"ACH PT3 DAR-FF D08 KOMP.DIAMOND RUKOH")</f>
        <v>ACH PT3 DAR-FF D08 KOMP.DIAMOND RUKOH</v>
      </c>
      <c r="D1075" s="222" t="str">
        <f>IFERROR(__xludf.DUMMYFUNCTION("""COMPUTED_VALUE"""),"REGIONAL I")</f>
        <v>REGIONAL I</v>
      </c>
      <c r="E1075" s="222" t="str">
        <f>IFERROR(__xludf.DUMMYFUNCTION("""COMPUTED_VALUE"""),"ACEH")</f>
        <v>ACEH</v>
      </c>
      <c r="F1075" s="222" t="str">
        <f>IFERROR(__xludf.DUMMYFUNCTION("""COMPUTED_VALUE"""),"DAR")</f>
        <v>DAR</v>
      </c>
      <c r="G1075" s="222" t="str">
        <f>IFERROR(__xludf.DUMMYFUNCTION("""COMPUTED_VALUE"""),"SUMBAGUT")</f>
        <v>SUMBAGUT</v>
      </c>
      <c r="H1075" s="222" t="str">
        <f>IFERROR(__xludf.DUMMYFUNCTION("""COMPUTED_VALUE"""),"BANDA ACEH")</f>
        <v>BANDA ACEH</v>
      </c>
      <c r="I1075" s="222" t="str">
        <f>IFERROR(__xludf.DUMMYFUNCTION("""COMPUTED_VALUE"""),"Batch 2")</f>
        <v>Batch 2</v>
      </c>
      <c r="J1075" s="225">
        <f>IFERROR(__xludf.DUMMYFUNCTION("""COMPUTED_VALUE"""),12.0)</f>
        <v>12</v>
      </c>
      <c r="K1075" s="224">
        <f>IFERROR(__xludf.DUMMYFUNCTION("""COMPUTED_VALUE"""),96.0)</f>
        <v>96</v>
      </c>
      <c r="L1075" s="226">
        <f>IFERROR(__xludf.DUMMYFUNCTION("""COMPUTED_VALUE"""),918188.0)</f>
        <v>918188</v>
      </c>
      <c r="M1075" s="227">
        <f>IFERROR(__xludf.DUMMYFUNCTION("""COMPUTED_VALUE"""),8.8146025E7)</f>
        <v>88146025</v>
      </c>
      <c r="N1075" s="222" t="str">
        <f>IFERROR(__xludf.DUMMYFUNCTION("""COMPUTED_VALUE"""),"PT NIAGA NUSANTARA DIVA")</f>
        <v>PT NIAGA NUSANTARA DIVA</v>
      </c>
      <c r="O1075" s="222" t="str">
        <f>IFERROR(__xludf.DUMMYFUNCTION("""COMPUTED_VALUE"""),"5. INSTALASI")</f>
        <v>5. INSTALASI</v>
      </c>
      <c r="P1075" s="222" t="str">
        <f>IFERROR(__xludf.DUMMYFUNCTION("""COMPUTED_VALUE"""),"5.4 Proses Penanaman Tiang")</f>
        <v>5.4 Proses Penanaman Tiang</v>
      </c>
      <c r="Q1075" s="222" t="str">
        <f>IFERROR(__xludf.DUMMYFUNCTION("""COMPUTED_VALUE"""),"(21/04) Tanam Tiang dan Penarikan Kabel, material belum lengkap (16/04) Tanam Tiang, Material belum lengkap (03/03) Waiting Material Ready (29/01) PO Material
(21/01) DelMat (07/01) Persiapan")</f>
        <v>(21/04) Tanam Tiang dan Penarikan Kabel, material belum lengkap (16/04) Tanam Tiang, Material belum lengkap (03/03) Waiting Material Ready (29/01) PO Material
(21/01) DelMat (07/01) Persiapan</v>
      </c>
      <c r="R1075" s="228">
        <f>IFERROR(__xludf.DUMMYFUNCTION("""COMPUTED_VALUE"""),46138.0)</f>
        <v>46138</v>
      </c>
      <c r="S1075" s="11" t="str">
        <f>IFERROR(__xludf.DUMMYFUNCTION("""COMPUTED_VALUE"""),"APR")</f>
        <v>APR</v>
      </c>
      <c r="T1075" s="73"/>
      <c r="U1075" s="11"/>
      <c r="V1075" s="229" t="str">
        <f>IFERROR(__xludf.DUMMYFUNCTION("""COMPUTED_VALUE"""),"29/Apr/2026")</f>
        <v>29/Apr/2026</v>
      </c>
      <c r="W1075" s="229"/>
      <c r="X1075" s="229" t="str">
        <f>IFERROR(__xludf.DUMMYFUNCTION("""COMPUTED_VALUE"""),"BELUM GOLIVE")</f>
        <v>BELUM GOLIVE</v>
      </c>
      <c r="Y1075" s="229"/>
      <c r="Z1075" s="229" t="str">
        <f>IFERROR(__xludf.DUMMYFUNCTION("""COMPUTED_VALUE"""),"#N/A")</f>
        <v>#N/A</v>
      </c>
      <c r="AA1075" s="229"/>
      <c r="AB1075" s="229"/>
      <c r="AC1075" s="229"/>
      <c r="AD1075" s="232"/>
      <c r="AE1075" s="233"/>
      <c r="AF1075" s="54"/>
      <c r="AG1075" s="54"/>
      <c r="AH1075" s="54"/>
      <c r="AI1075" s="55" t="str">
        <f t="shared" si="121"/>
        <v/>
      </c>
      <c r="AW1075" s="234"/>
      <c r="BP1075" s="11"/>
      <c r="BQ1075" s="11"/>
      <c r="BR1075" s="235"/>
      <c r="BV1075" s="158"/>
      <c r="BY1075" s="158"/>
      <c r="CB1075" s="158"/>
    </row>
    <row r="1076" ht="18.0" customHeight="1">
      <c r="A1076" s="222">
        <f>IFERROR(__xludf.DUMMYFUNCTION("""COMPUTED_VALUE"""),2026.0)</f>
        <v>2026</v>
      </c>
      <c r="B1076" s="221">
        <f>IFERROR(__xludf.DUMMYFUNCTION("""COMPUTED_VALUE"""),1.1572416E7)</f>
        <v>11572416</v>
      </c>
      <c r="C1076" s="222" t="str">
        <f>IFERROR(__xludf.DUMMYFUNCTION("""COMPUTED_VALUE"""),"SMB STTF AOi425051009445353957e5e0")</f>
        <v>SMB STTF AOi425051009445353957e5e0</v>
      </c>
      <c r="D1076" s="222" t="str">
        <f>IFERROR(__xludf.DUMMYFUNCTION("""COMPUTED_VALUE"""),"REGIONAL I")</f>
        <v>REGIONAL I</v>
      </c>
      <c r="E1076" s="222" t="str">
        <f>IFERROR(__xludf.DUMMYFUNCTION("""COMPUTED_VALUE"""),"SUMBAR")</f>
        <v>SUMBAR</v>
      </c>
      <c r="F1076" s="222" t="str">
        <f>IFERROR(__xludf.DUMMYFUNCTION("""COMPUTED_VALUE"""),"SPE")</f>
        <v>SPE</v>
      </c>
      <c r="G1076" s="222" t="str">
        <f>IFERROR(__xludf.DUMMYFUNCTION("""COMPUTED_VALUE"""),"SUMBAGTENG")</f>
        <v>SUMBAGTENG</v>
      </c>
      <c r="H1076" s="222" t="str">
        <f>IFERROR(__xludf.DUMMYFUNCTION("""COMPUTED_VALUE"""),"BUKIT TINGGI")</f>
        <v>BUKIT TINGGI</v>
      </c>
      <c r="I1076" s="222" t="str">
        <f>IFERROR(__xludf.DUMMYFUNCTION("""COMPUTED_VALUE"""),"Batch 2")</f>
        <v>Batch 2</v>
      </c>
      <c r="J1076" s="225">
        <f>IFERROR(__xludf.DUMMYFUNCTION("""COMPUTED_VALUE"""),4.0)</f>
        <v>4</v>
      </c>
      <c r="K1076" s="224">
        <f>IFERROR(__xludf.DUMMYFUNCTION("""COMPUTED_VALUE"""),32.0)</f>
        <v>32</v>
      </c>
      <c r="L1076" s="226">
        <f>IFERROR(__xludf.DUMMYFUNCTION("""COMPUTED_VALUE"""),917712.0)</f>
        <v>917712</v>
      </c>
      <c r="M1076" s="227">
        <f>IFERROR(__xludf.DUMMYFUNCTION("""COMPUTED_VALUE"""),2.936678E7)</f>
        <v>29366780</v>
      </c>
      <c r="N1076" s="222" t="str">
        <f>IFERROR(__xludf.DUMMYFUNCTION("""COMPUTED_VALUE"""),"PT TIGA AKSES MANDIRI")</f>
        <v>PT TIGA AKSES MANDIRI</v>
      </c>
      <c r="O1076" s="222" t="str">
        <f>IFERROR(__xludf.DUMMYFUNCTION("""COMPUTED_VALUE"""),"0. DROP")</f>
        <v>0. DROP</v>
      </c>
      <c r="P1076" s="222" t="str">
        <f>IFERROR(__xludf.DUMMYFUNCTION("""COMPUTED_VALUE"""),"0.3 Feeder Full")</f>
        <v>0.3 Feeder Full</v>
      </c>
      <c r="Q1076" s="222" t="str">
        <f>IFERROR(__xludf.DUMMYFUNCTION("""COMPUTED_VALUE"""),"(27/01) kendala feeder SPE-FB full ")</f>
        <v>(27/01) kendala feeder SPE-FB full </v>
      </c>
      <c r="R1076" s="228"/>
      <c r="S1076" s="11"/>
      <c r="T1076" s="11"/>
      <c r="U1076" s="11"/>
      <c r="V1076" s="229"/>
      <c r="W1076" s="229"/>
      <c r="X1076" s="229" t="str">
        <f>IFERROR(__xludf.DUMMYFUNCTION("""COMPUTED_VALUE"""),"BELUM GOLIVE")</f>
        <v>BELUM GOLIVE</v>
      </c>
      <c r="Y1076" s="229"/>
      <c r="Z1076" s="229" t="str">
        <f>IFERROR(__xludf.DUMMYFUNCTION("""COMPUTED_VALUE"""),"#N/A")</f>
        <v>#N/A</v>
      </c>
      <c r="AA1076" s="229"/>
      <c r="AB1076" s="229"/>
      <c r="AC1076" s="229"/>
      <c r="AD1076" s="232"/>
      <c r="AE1076" s="233"/>
      <c r="AF1076" s="54" t="str">
        <f>IFERROR(__xludf.DUMMYFUNCTION("""COMPUTED_VALUE"""),"Draft BA DROP")</f>
        <v>Draft BA DROP</v>
      </c>
      <c r="AG1076" s="54"/>
      <c r="AH1076" s="54"/>
      <c r="AI1076" s="55" t="str">
        <f t="shared" si="121"/>
        <v/>
      </c>
      <c r="AW1076" s="234"/>
      <c r="BP1076" s="11"/>
      <c r="BQ1076" s="11"/>
      <c r="BR1076" s="235"/>
      <c r="BV1076" s="158"/>
      <c r="BY1076" s="158"/>
      <c r="CB1076" s="158"/>
    </row>
    <row r="1077" ht="18.0" hidden="1" customHeight="1">
      <c r="A1077" s="222">
        <f>IFERROR(__xludf.DUMMYFUNCTION("""COMPUTED_VALUE"""),2026.0)</f>
        <v>2026</v>
      </c>
      <c r="B1077" s="221">
        <f>IFERROR(__xludf.DUMMYFUNCTION("""COMPUTED_VALUE"""),1.1867723E7)</f>
        <v>11867723</v>
      </c>
      <c r="C1077" s="222" t="str">
        <f>IFERROR(__xludf.DUMMYFUNCTION("""COMPUTED_VALUE"""),"LPG PT3 JPP SUKAJADI PESAWARAN 2 GDT")</f>
        <v>LPG PT3 JPP SUKAJADI PESAWARAN 2 GDT</v>
      </c>
      <c r="D1077" s="222" t="str">
        <f>IFERROR(__xludf.DUMMYFUNCTION("""COMPUTED_VALUE"""),"REGIONAL I")</f>
        <v>REGIONAL I</v>
      </c>
      <c r="E1077" s="222" t="str">
        <f>IFERROR(__xludf.DUMMYFUNCTION("""COMPUTED_VALUE"""),"LAMPUNG")</f>
        <v>LAMPUNG</v>
      </c>
      <c r="F1077" s="222" t="str">
        <f>IFERROR(__xludf.DUMMYFUNCTION("""COMPUTED_VALUE"""),"GDT")</f>
        <v>GDT</v>
      </c>
      <c r="G1077" s="222" t="str">
        <f>IFERROR(__xludf.DUMMYFUNCTION("""COMPUTED_VALUE"""),"SUMBAGSEL")</f>
        <v>SUMBAGSEL</v>
      </c>
      <c r="H1077" s="222" t="str">
        <f>IFERROR(__xludf.DUMMYFUNCTION("""COMPUTED_VALUE"""),"LAMPUNG")</f>
        <v>LAMPUNG</v>
      </c>
      <c r="I1077" s="222" t="str">
        <f>IFERROR(__xludf.DUMMYFUNCTION("""COMPUTED_VALUE"""),"Batch 2")</f>
        <v>Batch 2</v>
      </c>
      <c r="J1077" s="225">
        <f>IFERROR(__xludf.DUMMYFUNCTION("""COMPUTED_VALUE"""),6.0)</f>
        <v>6</v>
      </c>
      <c r="K1077" s="224">
        <f>IFERROR(__xludf.DUMMYFUNCTION("""COMPUTED_VALUE"""),48.0)</f>
        <v>48</v>
      </c>
      <c r="L1077" s="226">
        <f>IFERROR(__xludf.DUMMYFUNCTION("""COMPUTED_VALUE"""),917005.0)</f>
        <v>917005</v>
      </c>
      <c r="M1077" s="227">
        <f>IFERROR(__xludf.DUMMYFUNCTION("""COMPUTED_VALUE"""),4.401621E7)</f>
        <v>44016210</v>
      </c>
      <c r="N1077" s="222" t="str">
        <f>IFERROR(__xludf.DUMMYFUNCTION("""COMPUTED_VALUE"""),"PT SARANA MITRA PERSADA")</f>
        <v>PT SARANA MITRA PERSADA</v>
      </c>
      <c r="O1077" s="222" t="str">
        <f>IFERROR(__xludf.DUMMYFUNCTION("""COMPUTED_VALUE"""),"0. DROP")</f>
        <v>0. DROP</v>
      </c>
      <c r="P1077" s="222" t="str">
        <f>IFERROR(__xludf.DUMMYFUNCTION("""COMPUTED_VALUE"""),"0.2 Tidak Dapat Izin Warga/Kades/Lurah/Developer")</f>
        <v>0.2 Tidak Dapat Izin Warga/Kades/Lurah/Developer</v>
      </c>
      <c r="Q1077" s="222" t="str">
        <f>IFERROR(__xludf.DUMMYFUNCTION("""COMPUTED_VALUE"""),"14/1 Sudah MOU Dengan MYREP")</f>
        <v>14/1 Sudah MOU Dengan MYREP</v>
      </c>
      <c r="R1077" s="228"/>
      <c r="S1077" s="11"/>
      <c r="T1077" s="11"/>
      <c r="U1077" s="11" t="str">
        <f>IFERROR(__xludf.DUMMYFUNCTION("""COMPUTED_VALUE"""),"W02-528/2025")</f>
        <v>W02-528/2025</v>
      </c>
      <c r="V1077" s="229"/>
      <c r="W1077" s="229"/>
      <c r="X1077" s="229" t="str">
        <f>IFERROR(__xludf.DUMMYFUNCTION("""COMPUTED_VALUE"""),"BELUM GOLIVE")</f>
        <v>BELUM GOLIVE</v>
      </c>
      <c r="Y1077" s="229"/>
      <c r="Z1077" s="229" t="str">
        <f>IFERROR(__xludf.DUMMYFUNCTION("""COMPUTED_VALUE"""),"#N/A")</f>
        <v>#N/A</v>
      </c>
      <c r="AA1077" s="229"/>
      <c r="AB1077" s="229"/>
      <c r="AC1077" s="229"/>
      <c r="AD1077" s="232"/>
      <c r="AE1077" s="233"/>
      <c r="AF1077" s="54" t="str">
        <f>IFERROR(__xludf.DUMMYFUNCTION("""COMPUTED_VALUE"""),"Draft BA DROP")</f>
        <v>Draft BA DROP</v>
      </c>
      <c r="AG1077" s="54"/>
      <c r="AH1077" s="54">
        <v>46137.0</v>
      </c>
      <c r="AI1077" s="237">
        <f>AH1077-NOW()</f>
        <v>-3.377989919</v>
      </c>
      <c r="AJ1077" s="229" t="str">
        <f>if(AI1077&gt;=0,"In Komitmen","Out Komitmen")</f>
        <v>Out Komitmen</v>
      </c>
      <c r="AK1077" s="229" t="e">
        <v>#N/A</v>
      </c>
      <c r="AW1077" s="234"/>
      <c r="BP1077" s="11"/>
      <c r="BQ1077" s="11"/>
      <c r="BR1077" s="235"/>
      <c r="BV1077" s="158"/>
      <c r="BY1077" s="158"/>
      <c r="CB1077" s="158"/>
    </row>
    <row r="1078" ht="18.0" customHeight="1">
      <c r="A1078" s="222">
        <f>IFERROR(__xludf.DUMMYFUNCTION("""COMPUTED_VALUE"""),2026.0)</f>
        <v>2026</v>
      </c>
      <c r="B1078" s="221">
        <f>IFERROR(__xludf.DUMMYFUNCTION("""COMPUTED_VALUE"""),1.1314997E7)</f>
        <v>11314997</v>
      </c>
      <c r="C1078" s="222" t="str">
        <f>IFERROR(__xludf.DUMMYFUNCTION("""COMPUTED_VALUE"""),"RKP PT3 TSEL DBS-FAE BUKIT KABUNG")</f>
        <v>RKP PT3 TSEL DBS-FAE BUKIT KABUNG</v>
      </c>
      <c r="D1078" s="222" t="str">
        <f>IFERROR(__xludf.DUMMYFUNCTION("""COMPUTED_VALUE"""),"REGIONAL I")</f>
        <v>REGIONAL I</v>
      </c>
      <c r="E1078" s="222" t="str">
        <f>IFERROR(__xludf.DUMMYFUNCTION("""COMPUTED_VALUE"""),"RIKEP")</f>
        <v>RIKEP</v>
      </c>
      <c r="F1078" s="222" t="str">
        <f>IFERROR(__xludf.DUMMYFUNCTION("""COMPUTED_VALUE"""),"DBS")</f>
        <v>DBS</v>
      </c>
      <c r="G1078" s="222" t="str">
        <f>IFERROR(__xludf.DUMMYFUNCTION("""COMPUTED_VALUE"""),"SUMBAGTENG")</f>
        <v>SUMBAGTENG</v>
      </c>
      <c r="H1078" s="222" t="str">
        <f>IFERROR(__xludf.DUMMYFUNCTION("""COMPUTED_VALUE"""),"BATAM")</f>
        <v>BATAM</v>
      </c>
      <c r="I1078" s="222" t="str">
        <f>IFERROR(__xludf.DUMMYFUNCTION("""COMPUTED_VALUE"""),"Batch 2")</f>
        <v>Batch 2</v>
      </c>
      <c r="J1078" s="225">
        <f>IFERROR(__xludf.DUMMYFUNCTION("""COMPUTED_VALUE"""),2.0)</f>
        <v>2</v>
      </c>
      <c r="K1078" s="224">
        <f>IFERROR(__xludf.DUMMYFUNCTION("""COMPUTED_VALUE"""),16.0)</f>
        <v>16</v>
      </c>
      <c r="L1078" s="226">
        <f>IFERROR(__xludf.DUMMYFUNCTION("""COMPUTED_VALUE"""),916077.0)</f>
        <v>916077</v>
      </c>
      <c r="M1078" s="227">
        <f>IFERROR(__xludf.DUMMYFUNCTION("""COMPUTED_VALUE"""),1.4657222E7)</f>
        <v>14657222</v>
      </c>
      <c r="N1078" s="222" t="str">
        <f>IFERROR(__xludf.DUMMYFUNCTION("""COMPUTED_VALUE"""),"SWAKELOLA")</f>
        <v>SWAKELOLA</v>
      </c>
      <c r="O1078" s="222" t="str">
        <f>IFERROR(__xludf.DUMMYFUNCTION("""COMPUTED_VALUE"""),"4. MATDEL")</f>
        <v>4. MATDEL</v>
      </c>
      <c r="P1078" s="222" t="str">
        <f>IFERROR(__xludf.DUMMYFUNCTION("""COMPUTED_VALUE"""),"4.3 Proses Kirim Mateial Kelokasi")</f>
        <v>4.3 Proses Kirim Mateial Kelokasi</v>
      </c>
      <c r="Q1078"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078" s="228"/>
      <c r="S1078" s="11"/>
      <c r="T1078" s="11"/>
      <c r="U1078" s="11" t="str">
        <f>IFERROR(__xludf.DUMMYFUNCTION("""COMPUTED_VALUE"""),"W09-294/2026")</f>
        <v>W09-294/2026</v>
      </c>
      <c r="V1078" s="229" t="str">
        <f>IFERROR(__xludf.DUMMYFUNCTION("""COMPUTED_VALUE"""),"DEDY IRAWAN")</f>
        <v>DEDY IRAWAN</v>
      </c>
      <c r="W1078" s="229" t="str">
        <f>IFERROR(__xludf.DUMMYFUNCTION("""COMPUTED_VALUE"""),"LEVITA INDRIYANI")</f>
        <v>LEVITA INDRIYANI</v>
      </c>
      <c r="X1078" s="229" t="str">
        <f>IFERROR(__xludf.DUMMYFUNCTION("""COMPUTED_VALUE"""),"BELUM GOLIVE")</f>
        <v>BELUM GOLIVE</v>
      </c>
      <c r="Y1078" s="229"/>
      <c r="Z1078" s="229" t="str">
        <f>IFERROR(__xludf.DUMMYFUNCTION("""COMPUTED_VALUE"""),"#N/A")</f>
        <v>#N/A</v>
      </c>
      <c r="AA1078" s="229"/>
      <c r="AB1078" s="229"/>
      <c r="AC1078" s="229"/>
      <c r="AD1078" s="232"/>
      <c r="AE1078" s="233"/>
      <c r="AF1078" s="54"/>
      <c r="AG1078" s="54"/>
      <c r="AH1078" s="54"/>
      <c r="AI1078" s="55" t="str">
        <f t="shared" ref="AI1078:AI1134" si="122">IF(OR(R1078="",AE1078=""),"",R1078-AE1078)</f>
        <v/>
      </c>
      <c r="AW1078" s="234"/>
      <c r="BP1078" s="11"/>
      <c r="BQ1078" s="11"/>
      <c r="BR1078" s="235"/>
      <c r="BV1078" s="158"/>
      <c r="BY1078" s="158"/>
      <c r="CB1078" s="158"/>
    </row>
    <row r="1079" ht="18.0" customHeight="1">
      <c r="A1079" s="222">
        <f>IFERROR(__xludf.DUMMYFUNCTION("""COMPUTED_VALUE"""),2026.0)</f>
        <v>2026</v>
      </c>
      <c r="B1079" s="221">
        <f>IFERROR(__xludf.DUMMYFUNCTION("""COMPUTED_VALUE"""),1.1612421E7)</f>
        <v>11612421</v>
      </c>
      <c r="C1079" s="222" t="str">
        <f>IFERROR(__xludf.DUMMYFUNCTION("""COMPUTED_VALUE"""),"SMB STTF-HABIL AHMAD MAULANA-ROSNIDA")</f>
        <v>SMB STTF-HABIL AHMAD MAULANA-ROSNIDA</v>
      </c>
      <c r="D1079" s="222" t="str">
        <f>IFERROR(__xludf.DUMMYFUNCTION("""COMPUTED_VALUE"""),"REGIONAL I")</f>
        <v>REGIONAL I</v>
      </c>
      <c r="E1079" s="222" t="str">
        <f>IFERROR(__xludf.DUMMYFUNCTION("""COMPUTED_VALUE"""),"SUMBAR")</f>
        <v>SUMBAR</v>
      </c>
      <c r="F1079" s="222" t="str">
        <f>IFERROR(__xludf.DUMMYFUNCTION("""COMPUTED_VALUE"""),"SUM")</f>
        <v>SUM</v>
      </c>
      <c r="G1079" s="222" t="str">
        <f>IFERROR(__xludf.DUMMYFUNCTION("""COMPUTED_VALUE"""),"SUMBAGTENG")</f>
        <v>SUMBAGTENG</v>
      </c>
      <c r="H1079" s="222" t="str">
        <f>IFERROR(__xludf.DUMMYFUNCTION("""COMPUTED_VALUE"""),"PADANG")</f>
        <v>PADANG</v>
      </c>
      <c r="I1079" s="222" t="str">
        <f>IFERROR(__xludf.DUMMYFUNCTION("""COMPUTED_VALUE"""),"Batch 2")</f>
        <v>Batch 2</v>
      </c>
      <c r="J1079" s="225">
        <f>IFERROR(__xludf.DUMMYFUNCTION("""COMPUTED_VALUE"""),4.0)</f>
        <v>4</v>
      </c>
      <c r="K1079" s="224">
        <f>IFERROR(__xludf.DUMMYFUNCTION("""COMPUTED_VALUE"""),32.0)</f>
        <v>32</v>
      </c>
      <c r="L1079" s="226">
        <f>IFERROR(__xludf.DUMMYFUNCTION("""COMPUTED_VALUE"""),915575.0)</f>
        <v>915575</v>
      </c>
      <c r="M1079" s="227">
        <f>IFERROR(__xludf.DUMMYFUNCTION("""COMPUTED_VALUE"""),2.9298393E7)</f>
        <v>29298393</v>
      </c>
      <c r="N1079" s="222" t="str">
        <f>IFERROR(__xludf.DUMMYFUNCTION("""COMPUTED_VALUE"""),"PT TRI PENAMAS")</f>
        <v>PT TRI PENAMAS</v>
      </c>
      <c r="O1079" s="222" t="str">
        <f>IFERROR(__xludf.DUMMYFUNCTION("""COMPUTED_VALUE"""),"4. MATDEL")</f>
        <v>4. MATDEL</v>
      </c>
      <c r="P1079" s="222" t="str">
        <f>IFERROR(__xludf.DUMMYFUNCTION("""COMPUTED_VALUE"""),"4.4 Proses Pengiriman Pabribak ke WH")</f>
        <v>4.4 Proses Pengiriman Pabribak ke WH</v>
      </c>
      <c r="Q1079" s="222" t="str">
        <f>IFERROR(__xludf.DUMMYFUNCTION("""COMPUTED_VALUE"""),"(27/04) menunggu PO kabel 24 ADSS (23/04) : done aanwijziing proses eval")</f>
        <v>(27/04) menunggu PO kabel 24 ADSS (23/04) : done aanwijziing proses eval</v>
      </c>
      <c r="R1079" s="228"/>
      <c r="S1079" s="11"/>
      <c r="T1079" s="11"/>
      <c r="U1079" s="11"/>
      <c r="V1079" s="229" t="str">
        <f>IFERROR(__xludf.DUMMYFUNCTION("""COMPUTED_VALUE"""),"FABIO RAHMAN")</f>
        <v>FABIO RAHMAN</v>
      </c>
      <c r="W1079" s="229" t="str">
        <f>IFERROR(__xludf.DUMMYFUNCTION("""COMPUTED_VALUE"""),"MELKO NARWADI")</f>
        <v>MELKO NARWADI</v>
      </c>
      <c r="X1079" s="229" t="str">
        <f>IFERROR(__xludf.DUMMYFUNCTION("""COMPUTED_VALUE"""),"BELUM GOLIVE")</f>
        <v>BELUM GOLIVE</v>
      </c>
      <c r="Y1079" s="229"/>
      <c r="Z1079" s="229" t="str">
        <f>IFERROR(__xludf.DUMMYFUNCTION("""COMPUTED_VALUE"""),"#N/A")</f>
        <v>#N/A</v>
      </c>
      <c r="AA1079" s="229"/>
      <c r="AB1079" s="229"/>
      <c r="AC1079" s="229"/>
      <c r="AD1079" s="232"/>
      <c r="AE1079" s="233"/>
      <c r="AF1079" s="54" t="str">
        <f>IFERROR(__xludf.DUMMYFUNCTION("""COMPUTED_VALUE"""),"Draft BA DROP")</f>
        <v>Draft BA DROP</v>
      </c>
      <c r="AG1079" s="54"/>
      <c r="AH1079" s="54"/>
      <c r="AI1079" s="55" t="str">
        <f t="shared" si="122"/>
        <v/>
      </c>
      <c r="AW1079" s="234"/>
      <c r="BP1079" s="11"/>
      <c r="BQ1079" s="11"/>
      <c r="BR1079" s="235"/>
      <c r="BV1079" s="158"/>
      <c r="BY1079" s="158"/>
      <c r="CB1079" s="158"/>
    </row>
    <row r="1080" ht="18.0" customHeight="1">
      <c r="A1080" s="222">
        <f>IFERROR(__xludf.DUMMYFUNCTION("""COMPUTED_VALUE"""),2026.0)</f>
        <v>2026</v>
      </c>
      <c r="B1080" s="221">
        <f>IFERROR(__xludf.DUMMYFUNCTION("""COMPUTED_VALUE"""),1.1563206E7)</f>
        <v>11563206</v>
      </c>
      <c r="C1080" s="222" t="str">
        <f>IFERROR(__xludf.DUMMYFUNCTION("""COMPUTED_VALUE"""),"SMB P3I1 Hira Hartati")</f>
        <v>SMB P3I1 Hira Hartati</v>
      </c>
      <c r="D1080" s="222" t="str">
        <f>IFERROR(__xludf.DUMMYFUNCTION("""COMPUTED_VALUE"""),"REGIONAL I")</f>
        <v>REGIONAL I</v>
      </c>
      <c r="E1080" s="222" t="str">
        <f>IFERROR(__xludf.DUMMYFUNCTION("""COMPUTED_VALUE"""),"SUMBAR")</f>
        <v>SUMBAR</v>
      </c>
      <c r="F1080" s="222" t="str">
        <f>IFERROR(__xludf.DUMMYFUNCTION("""COMPUTED_VALUE"""),"SLA")</f>
        <v>SLA</v>
      </c>
      <c r="G1080" s="222" t="str">
        <f>IFERROR(__xludf.DUMMYFUNCTION("""COMPUTED_VALUE"""),"SUMBAGTENG")</f>
        <v>SUMBAGTENG</v>
      </c>
      <c r="H1080" s="222" t="str">
        <f>IFERROR(__xludf.DUMMYFUNCTION("""COMPUTED_VALUE"""),"PADANG")</f>
        <v>PADANG</v>
      </c>
      <c r="I1080" s="222" t="str">
        <f>IFERROR(__xludf.DUMMYFUNCTION("""COMPUTED_VALUE"""),"Batch 2")</f>
        <v>Batch 2</v>
      </c>
      <c r="J1080" s="225">
        <f>IFERROR(__xludf.DUMMYFUNCTION("""COMPUTED_VALUE"""),3.0)</f>
        <v>3</v>
      </c>
      <c r="K1080" s="224">
        <f>IFERROR(__xludf.DUMMYFUNCTION("""COMPUTED_VALUE"""),24.0)</f>
        <v>24</v>
      </c>
      <c r="L1080" s="226">
        <f>IFERROR(__xludf.DUMMYFUNCTION("""COMPUTED_VALUE"""),915159.0)</f>
        <v>915159</v>
      </c>
      <c r="M1080" s="227">
        <f>IFERROR(__xludf.DUMMYFUNCTION("""COMPUTED_VALUE"""),2.1963804E7)</f>
        <v>21963804</v>
      </c>
      <c r="N1080" s="222" t="str">
        <f>IFERROR(__xludf.DUMMYFUNCTION("""COMPUTED_VALUE"""),"PT TRI PENAMAS")</f>
        <v>PT TRI PENAMAS</v>
      </c>
      <c r="O1080" s="222" t="str">
        <f>IFERROR(__xludf.DUMMYFUNCTION("""COMPUTED_VALUE"""),"0. DROP")</f>
        <v>0. DROP</v>
      </c>
      <c r="P1080" s="222" t="str">
        <f>IFERROR(__xludf.DUMMYFUNCTION("""COMPUTED_VALUE"""),"0.5 DROP TSEL - Acc ED TIF")</f>
        <v>0.5 DROP TSEL - Acc ED TIF</v>
      </c>
      <c r="Q1080" s="222" t="str">
        <f>IFERROR(__xludf.DUMMYFUNCTION("""COMPUTED_VALUE"""),"(13/04) masuk ke LOP SMB P7I3 Gando SLA (10/04) Proses aanwijziing , LOP HOLD FEEDER FULL ACC GO (12/01) kendala feeder SLA-FA FULL")</f>
        <v>(13/04) masuk ke LOP SMB P7I3 Gando SLA (10/04) Proses aanwijziing , LOP HOLD FEEDER FULL ACC GO (12/01) kendala feeder SLA-FA FULL</v>
      </c>
      <c r="R1080" s="228"/>
      <c r="S1080" s="11"/>
      <c r="T1080" s="11"/>
      <c r="U1080" s="11"/>
      <c r="V1080" s="229" t="str">
        <f>IFERROR(__xludf.DUMMYFUNCTION("""COMPUTED_VALUE"""),"FABIO RAHMAN")</f>
        <v>FABIO RAHMAN</v>
      </c>
      <c r="W1080" s="229" t="str">
        <f>IFERROR(__xludf.DUMMYFUNCTION("""COMPUTED_VALUE"""),"MELKO NARWADI")</f>
        <v>MELKO NARWADI</v>
      </c>
      <c r="X1080" s="229" t="str">
        <f>IFERROR(__xludf.DUMMYFUNCTION("""COMPUTED_VALUE"""),"BELUM GOLIVE")</f>
        <v>BELUM GOLIVE</v>
      </c>
      <c r="Y1080" s="229"/>
      <c r="Z1080" s="229" t="str">
        <f>IFERROR(__xludf.DUMMYFUNCTION("""COMPUTED_VALUE"""),"#N/A")</f>
        <v>#N/A</v>
      </c>
      <c r="AA1080" s="229"/>
      <c r="AB1080" s="229"/>
      <c r="AC1080" s="229"/>
      <c r="AD1080" s="232"/>
      <c r="AE1080" s="233"/>
      <c r="AF1080" s="54"/>
      <c r="AG1080" s="54"/>
      <c r="AH1080" s="54"/>
      <c r="AI1080" s="55" t="str">
        <f t="shared" si="122"/>
        <v/>
      </c>
      <c r="AW1080" s="234"/>
      <c r="BP1080" s="11"/>
      <c r="BQ1080" s="11"/>
      <c r="BR1080" s="235"/>
      <c r="BV1080" s="158"/>
      <c r="BY1080" s="158"/>
      <c r="CB1080" s="158"/>
    </row>
    <row r="1081" ht="18.0" hidden="1" customHeight="1">
      <c r="A1081" s="222">
        <f>IFERROR(__xludf.DUMMYFUNCTION("""COMPUTED_VALUE"""),2026.0)</f>
        <v>2026</v>
      </c>
      <c r="B1081" s="221">
        <f>IFERROR(__xludf.DUMMYFUNCTION("""COMPUTED_VALUE"""),1.1580306E7)</f>
        <v>11580306</v>
      </c>
      <c r="C1081" s="222" t="str">
        <f>IFERROR(__xludf.DUMMYFUNCTION("""COMPUTED_VALUE"""),"SMS P3I1 PT3 BKS FAG D04 ANTAPURA ASRI")</f>
        <v>SMS P3I1 PT3 BKS FAG D04 ANTAPURA ASRI</v>
      </c>
      <c r="D1081" s="222" t="str">
        <f>IFERROR(__xludf.DUMMYFUNCTION("""COMPUTED_VALUE"""),"REGIONAL I")</f>
        <v>REGIONAL I</v>
      </c>
      <c r="E1081" s="222" t="str">
        <f>IFERROR(__xludf.DUMMYFUNCTION("""COMPUTED_VALUE"""),"SUMSEL")</f>
        <v>SUMSEL</v>
      </c>
      <c r="F1081" s="222" t="str">
        <f>IFERROR(__xludf.DUMMYFUNCTION("""COMPUTED_VALUE"""),"BKS")</f>
        <v>BKS</v>
      </c>
      <c r="G1081" s="222" t="str">
        <f>IFERROR(__xludf.DUMMYFUNCTION("""COMPUTED_VALUE"""),"SUMBAGSEL")</f>
        <v>SUMBAGSEL</v>
      </c>
      <c r="H1081" s="222" t="str">
        <f>IFERROR(__xludf.DUMMYFUNCTION("""COMPUTED_VALUE"""),"PALEMBANG")</f>
        <v>PALEMBANG</v>
      </c>
      <c r="I1081" s="222" t="str">
        <f>IFERROR(__xludf.DUMMYFUNCTION("""COMPUTED_VALUE"""),"Batch 2")</f>
        <v>Batch 2</v>
      </c>
      <c r="J1081" s="225">
        <f>IFERROR(__xludf.DUMMYFUNCTION("""COMPUTED_VALUE"""),2.0)</f>
        <v>2</v>
      </c>
      <c r="K1081" s="224">
        <f>IFERROR(__xludf.DUMMYFUNCTION("""COMPUTED_VALUE"""),16.0)</f>
        <v>16</v>
      </c>
      <c r="L1081" s="226">
        <f>IFERROR(__xludf.DUMMYFUNCTION("""COMPUTED_VALUE"""),914531.0)</f>
        <v>914531</v>
      </c>
      <c r="M1081" s="227">
        <f>IFERROR(__xludf.DUMMYFUNCTION("""COMPUTED_VALUE"""),1.4632487E7)</f>
        <v>14632487</v>
      </c>
      <c r="N1081" s="222" t="str">
        <f>IFERROR(__xludf.DUMMYFUNCTION("""COMPUTED_VALUE"""),"PT GARINDO TECHNO MANDIRI")</f>
        <v>PT GARINDO TECHNO MANDIRI</v>
      </c>
      <c r="O1081" s="222" t="str">
        <f>IFERROR(__xludf.DUMMYFUNCTION("""COMPUTED_VALUE"""),"0. DROP")</f>
        <v>0. DROP</v>
      </c>
      <c r="P1081" s="222" t="str">
        <f>IFERROR(__xludf.DUMMYFUNCTION("""COMPUTED_VALUE"""),"0.2 Tidak Dapat Izin Warga/Kades/Lurah/Developer")</f>
        <v>0.2 Tidak Dapat Izin Warga/Kades/Lurah/Developer</v>
      </c>
      <c r="Q1081" s="222" t="str">
        <f>IFERROR(__xludf.DUMMYFUNCTION("""COMPUTED_VALUE"""),"06/02 HASIL REVIEW TSEL DROP - TDK DPT IZIN, 15/01 DROP, tidak dpt izin dari warga (21/01) DROP, karena tidak mendapatkan izin dari warga, (06/01)order JPP batch-2 2026 (16/12 DROP, (07/12)tidak da[at izin warga , material proses rfr (24/11) kendala tidak"&amp;" dapat izin pihak perumahan , konfirm dengan tim sales tidak berani kelokasi ,kemungkina drop (18/11) kemarin pihak mandor nelpon ketua komplek tapi dari ketua komplek ditahan dulu jangan di progress karena mau meminta persetujuan dari warga jg, 13/11 INP"&amp;"UT MATERIAL KENDALA OVER BUDGET, (07/11) INPUT MATERIAL KENDALA OVER BUDGET(5/11) menunggu jadwal aanwidzjing 3/11 penunjukan mitra alexa")</f>
        <v>06/02 HASIL REVIEW TSEL DROP - TDK DPT IZIN, 15/01 DROP, tidak dpt izin dari warga (21/01) DROP, karena tidak mendapatkan izin dari warga, (06/01)order JPP batch-2 2026 (16/12 DROP, (07/12)tidak da[at izin warga , material proses rfr (24/11) kendala tidak dapat izin pihak perumahan , konfirm dengan tim sales tidak berani kelokasi ,kemungkina drop (18/11) kemarin pihak mandor nelpon ketua komplek tapi dari ketua komplek ditahan dulu jangan di progress karena mau meminta persetujuan dari warga jg, 13/11 INPUT MATERIAL KENDALA OVER BUDGET, (07/11) INPUT MATERIAL KENDALA OVER BUDGET(5/11) menunggu jadwal aanwidzjing 3/11 penunjukan mitra alexa</v>
      </c>
      <c r="R1081" s="228"/>
      <c r="S1081" s="11"/>
      <c r="T1081" s="11"/>
      <c r="U1081" s="11"/>
      <c r="V1081" s="229" t="str">
        <f>IFERROR(__xludf.DUMMYFUNCTION("""COMPUTED_VALUE"""),"PRIGUS")</f>
        <v>PRIGUS</v>
      </c>
      <c r="W1081" s="229"/>
      <c r="X1081" s="229" t="str">
        <f>IFERROR(__xludf.DUMMYFUNCTION("""COMPUTED_VALUE"""),"BELUM GOLIVE")</f>
        <v>BELUM GOLIVE</v>
      </c>
      <c r="Y1081" s="229"/>
      <c r="Z1081" s="229" t="str">
        <f>IFERROR(__xludf.DUMMYFUNCTION("""COMPUTED_VALUE"""),"#N/A")</f>
        <v>#N/A</v>
      </c>
      <c r="AA1081" s="229"/>
      <c r="AB1081" s="229"/>
      <c r="AC1081" s="229"/>
      <c r="AD1081" s="232"/>
      <c r="AE1081" s="233"/>
      <c r="AF1081" s="54" t="str">
        <f>IFERROR(__xludf.DUMMYFUNCTION("""COMPUTED_VALUE"""),"Draft BA DROP")</f>
        <v>Draft BA DROP</v>
      </c>
      <c r="AG1081" s="54"/>
      <c r="AH1081" s="54"/>
      <c r="AI1081" s="55" t="str">
        <f t="shared" si="122"/>
        <v/>
      </c>
      <c r="AW1081" s="234"/>
      <c r="BP1081" s="11"/>
      <c r="BQ1081" s="11"/>
      <c r="BR1081" s="235"/>
      <c r="BV1081" s="158"/>
      <c r="BY1081" s="158"/>
      <c r="CB1081" s="158"/>
    </row>
    <row r="1082" ht="18.0" customHeight="1">
      <c r="A1082" s="222">
        <f>IFERROR(__xludf.DUMMYFUNCTION("""COMPUTED_VALUE"""),2026.0)</f>
        <v>2026</v>
      </c>
      <c r="B1082" s="221">
        <f>IFERROR(__xludf.DUMMYFUNCTION("""COMPUTED_VALUE"""),1.2093003E7)</f>
        <v>12093003</v>
      </c>
      <c r="C1082" s="222" t="str">
        <f>IFERROR(__xludf.DUMMYFUNCTION("""COMPUTED_VALUE"""),"RKP TSEL PT3 PNI-FP PANCUR TOWER 2")</f>
        <v>RKP TSEL PT3 PNI-FP PANCUR TOWER 2</v>
      </c>
      <c r="D1082" s="222" t="str">
        <f>IFERROR(__xludf.DUMMYFUNCTION("""COMPUTED_VALUE"""),"REGIONAL I")</f>
        <v>REGIONAL I</v>
      </c>
      <c r="E1082" s="222" t="str">
        <f>IFERROR(__xludf.DUMMYFUNCTION("""COMPUTED_VALUE"""),"RIKEP")</f>
        <v>RIKEP</v>
      </c>
      <c r="F1082" s="222" t="str">
        <f>IFERROR(__xludf.DUMMYFUNCTION("""COMPUTED_VALUE"""),"PNI")</f>
        <v>PNI</v>
      </c>
      <c r="G1082" s="222" t="str">
        <f>IFERROR(__xludf.DUMMYFUNCTION("""COMPUTED_VALUE"""),"SUMBAGTENG")</f>
        <v>SUMBAGTENG</v>
      </c>
      <c r="H1082" s="222" t="str">
        <f>IFERROR(__xludf.DUMMYFUNCTION("""COMPUTED_VALUE"""),"BATAM")</f>
        <v>BATAM</v>
      </c>
      <c r="I1082" s="222" t="str">
        <f>IFERROR(__xludf.DUMMYFUNCTION("""COMPUTED_VALUE"""),"Batch 2")</f>
        <v>Batch 2</v>
      </c>
      <c r="J1082" s="225">
        <f>IFERROR(__xludf.DUMMYFUNCTION("""COMPUTED_VALUE"""),1.0)</f>
        <v>1</v>
      </c>
      <c r="K1082" s="224">
        <f>IFERROR(__xludf.DUMMYFUNCTION("""COMPUTED_VALUE"""),8.0)</f>
        <v>8</v>
      </c>
      <c r="L1082" s="226">
        <f>IFERROR(__xludf.DUMMYFUNCTION("""COMPUTED_VALUE"""),913994.0)</f>
        <v>913994</v>
      </c>
      <c r="M1082" s="227">
        <f>IFERROR(__xludf.DUMMYFUNCTION("""COMPUTED_VALUE"""),7311950.0)</f>
        <v>7311950</v>
      </c>
      <c r="N1082" s="222" t="str">
        <f>IFERROR(__xludf.DUMMYFUNCTION("""COMPUTED_VALUE"""),"PT HDUA PUTRA PRAJODA")</f>
        <v>PT HDUA PUTRA PRAJODA</v>
      </c>
      <c r="O1082" s="222" t="str">
        <f>IFERROR(__xludf.DUMMYFUNCTION("""COMPUTED_VALUE"""),"0. DROP")</f>
        <v>0. DROP</v>
      </c>
      <c r="P1082" s="222" t="str">
        <f>IFERROR(__xludf.DUMMYFUNCTION("""COMPUTED_VALUE"""),"0.2 Tidak Dapat Izin Warga/Kades/Lurah/Developer")</f>
        <v>0.2 Tidak Dapat Izin Warga/Kades/Lurah/Developer</v>
      </c>
      <c r="Q1082" s="222" t="str">
        <f>IFERROR(__xludf.DUMMYFUNCTION("""COMPUTED_VALUE"""),"27/01 Izin di tolak RT. 21/01 Plan survey tanggal 23 Jan 2026")</f>
        <v>27/01 Izin di tolak RT. 21/01 Plan survey tanggal 23 Jan 2026</v>
      </c>
      <c r="R1082" s="228"/>
      <c r="S1082" s="11"/>
      <c r="T1082" s="11"/>
      <c r="U1082" s="11"/>
      <c r="V1082" s="229" t="str">
        <f>IFERROR(__xludf.DUMMYFUNCTION("""COMPUTED_VALUE"""),"GANI PRASTYO")</f>
        <v>GANI PRASTYO</v>
      </c>
      <c r="W1082" s="229" t="str">
        <f>IFERROR(__xludf.DUMMYFUNCTION("""COMPUTED_VALUE"""),"LEVITA INDRIYANI")</f>
        <v>LEVITA INDRIYANI</v>
      </c>
      <c r="X1082" s="229" t="str">
        <f>IFERROR(__xludf.DUMMYFUNCTION("""COMPUTED_VALUE"""),"BELUM GOLIVE")</f>
        <v>BELUM GOLIVE</v>
      </c>
      <c r="Y1082" s="229"/>
      <c r="Z1082" s="229" t="str">
        <f>IFERROR(__xludf.DUMMYFUNCTION("""COMPUTED_VALUE"""),"#N/A")</f>
        <v>#N/A</v>
      </c>
      <c r="AA1082" s="229"/>
      <c r="AB1082" s="229"/>
      <c r="AC1082" s="229"/>
      <c r="AD1082" s="232"/>
      <c r="AE1082" s="233"/>
      <c r="AF1082" s="54" t="str">
        <f>IFERROR(__xludf.DUMMYFUNCTION("""COMPUTED_VALUE"""),"Draft BA DROP")</f>
        <v>Draft BA DROP</v>
      </c>
      <c r="AG1082" s="54"/>
      <c r="AH1082" s="54"/>
      <c r="AI1082" s="55" t="str">
        <f t="shared" si="122"/>
        <v/>
      </c>
      <c r="AW1082" s="234"/>
      <c r="BP1082" s="11"/>
      <c r="BQ1082" s="11"/>
      <c r="BR1082" s="235"/>
      <c r="BV1082" s="158"/>
      <c r="BY1082" s="158"/>
      <c r="CB1082" s="158"/>
    </row>
    <row r="1083" ht="18.0" hidden="1" customHeight="1">
      <c r="A1083" s="222">
        <f>IFERROR(__xludf.DUMMYFUNCTION("""COMPUTED_VALUE"""),2026.0)</f>
        <v>2026</v>
      </c>
      <c r="B1083" s="221">
        <f>IFERROR(__xludf.DUMMYFUNCTION("""COMPUTED_VALUE"""),1.1187425E7)</f>
        <v>11187425</v>
      </c>
      <c r="C1083" s="222" t="str">
        <f>IFERROR(__xludf.DUMMYFUNCTION("""COMPUTED_VALUE"""),"MDN PT3 DLT-FP JL.PATUMBAK GG.FAMILI")</f>
        <v>MDN PT3 DLT-FP JL.PATUMBAK GG.FAMILI</v>
      </c>
      <c r="D1083" s="222" t="str">
        <f>IFERROR(__xludf.DUMMYFUNCTION("""COMPUTED_VALUE"""),"REGIONAL I")</f>
        <v>REGIONAL I</v>
      </c>
      <c r="E1083" s="222" t="str">
        <f>IFERROR(__xludf.DUMMYFUNCTION("""COMPUTED_VALUE"""),"MEDAN")</f>
        <v>MEDAN</v>
      </c>
      <c r="F1083" s="222" t="str">
        <f>IFERROR(__xludf.DUMMYFUNCTION("""COMPUTED_VALUE"""),"DLT")</f>
        <v>DLT</v>
      </c>
      <c r="G1083" s="222" t="str">
        <f>IFERROR(__xludf.DUMMYFUNCTION("""COMPUTED_VALUE"""),"SUMBAGUT")</f>
        <v>SUMBAGUT</v>
      </c>
      <c r="H1083" s="222" t="str">
        <f>IFERROR(__xludf.DUMMYFUNCTION("""COMPUTED_VALUE"""),"MEDAN")</f>
        <v>MEDAN</v>
      </c>
      <c r="I1083" s="222" t="str">
        <f>IFERROR(__xludf.DUMMYFUNCTION("""COMPUTED_VALUE"""),"Batch 2")</f>
        <v>Batch 2</v>
      </c>
      <c r="J1083" s="225">
        <f>IFERROR(__xludf.DUMMYFUNCTION("""COMPUTED_VALUE"""),2.0)</f>
        <v>2</v>
      </c>
      <c r="K1083" s="224">
        <f>IFERROR(__xludf.DUMMYFUNCTION("""COMPUTED_VALUE"""),16.0)</f>
        <v>16</v>
      </c>
      <c r="L1083" s="226">
        <f>IFERROR(__xludf.DUMMYFUNCTION("""COMPUTED_VALUE"""),1222678.0)</f>
        <v>1222678</v>
      </c>
      <c r="M1083" s="227">
        <f>IFERROR(__xludf.DUMMYFUNCTION("""COMPUTED_VALUE"""),1.9562843E7)</f>
        <v>19562843</v>
      </c>
      <c r="N1083" s="222" t="str">
        <f>IFERROR(__xludf.DUMMYFUNCTION("""COMPUTED_VALUE"""),"PT SALTTEK DUMPANG JAYA")</f>
        <v>PT SALTTEK DUMPANG JAYA</v>
      </c>
      <c r="O1083" s="222" t="str">
        <f>IFERROR(__xludf.DUMMYFUNCTION("""COMPUTED_VALUE"""),"0. DROP")</f>
        <v>0. DROP</v>
      </c>
      <c r="P1083" s="222" t="str">
        <f>IFERROR(__xludf.DUMMYFUNCTION("""COMPUTED_VALUE"""),"0.4 CPP Tinggi Acc ED TIF")</f>
        <v>0.4 CPP Tinggi Acc ED TIF</v>
      </c>
      <c r="Q1083" s="222" t="str">
        <f>IFERROR(__xludf.DUMMYFUNCTION("""COMPUTED_VALUE"""),"07/02 Menunggu negosiasi dengan warga")</f>
        <v>07/02 Menunggu negosiasi dengan warga</v>
      </c>
      <c r="R1083" s="228"/>
      <c r="S1083" s="11"/>
      <c r="T1083" s="11"/>
      <c r="U1083" s="11"/>
      <c r="V1083" s="229"/>
      <c r="W1083" s="229"/>
      <c r="X1083" s="229" t="str">
        <f>IFERROR(__xludf.DUMMYFUNCTION("""COMPUTED_VALUE"""),"BELUM GOLIVE")</f>
        <v>BELUM GOLIVE</v>
      </c>
      <c r="Y1083" s="229"/>
      <c r="Z1083" s="229" t="str">
        <f>IFERROR(__xludf.DUMMYFUNCTION("""COMPUTED_VALUE"""),"#N/A")</f>
        <v>#N/A</v>
      </c>
      <c r="AA1083" s="229"/>
      <c r="AB1083" s="229"/>
      <c r="AC1083" s="229"/>
      <c r="AD1083" s="232"/>
      <c r="AE1083" s="233"/>
      <c r="AF1083" s="54" t="str">
        <f>IFERROR(__xludf.DUMMYFUNCTION("""COMPUTED_VALUE"""),"Draft BA DROP")</f>
        <v>Draft BA DROP</v>
      </c>
      <c r="AG1083" s="54"/>
      <c r="AH1083" s="54"/>
      <c r="AI1083" s="55" t="str">
        <f t="shared" si="122"/>
        <v/>
      </c>
      <c r="AW1083" s="234"/>
      <c r="BP1083" s="11"/>
      <c r="BQ1083" s="11"/>
      <c r="BR1083" s="235"/>
      <c r="BV1083" s="158"/>
      <c r="BY1083" s="158"/>
      <c r="CB1083" s="158"/>
    </row>
    <row r="1084" ht="18.0" customHeight="1">
      <c r="A1084" s="222">
        <f>IFERROR(__xludf.DUMMYFUNCTION("""COMPUTED_VALUE"""),2026.0)</f>
        <v>2026</v>
      </c>
      <c r="B1084" s="221">
        <f>IFERROR(__xludf.DUMMYFUNCTION("""COMPUTED_VALUE"""),1.1201456E7)</f>
        <v>11201456</v>
      </c>
      <c r="C1084" s="222" t="str">
        <f>IFERROR(__xludf.DUMMYFUNCTION("""COMPUTED_VALUE"""),"RKP PT3 TSEL LBJ-FBD PERMATA BALOI")</f>
        <v>RKP PT3 TSEL LBJ-FBD PERMATA BALOI</v>
      </c>
      <c r="D1084" s="222" t="str">
        <f>IFERROR(__xludf.DUMMYFUNCTION("""COMPUTED_VALUE"""),"REGIONAL I")</f>
        <v>REGIONAL I</v>
      </c>
      <c r="E1084" s="222" t="str">
        <f>IFERROR(__xludf.DUMMYFUNCTION("""COMPUTED_VALUE"""),"RIKEP")</f>
        <v>RIKEP</v>
      </c>
      <c r="F1084" s="222" t="str">
        <f>IFERROR(__xludf.DUMMYFUNCTION("""COMPUTED_VALUE"""),"LBJ")</f>
        <v>LBJ</v>
      </c>
      <c r="G1084" s="222" t="str">
        <f>IFERROR(__xludf.DUMMYFUNCTION("""COMPUTED_VALUE"""),"SUMBAGTENG")</f>
        <v>SUMBAGTENG</v>
      </c>
      <c r="H1084" s="222" t="str">
        <f>IFERROR(__xludf.DUMMYFUNCTION("""COMPUTED_VALUE"""),"BATAM")</f>
        <v>BATAM</v>
      </c>
      <c r="I1084" s="222" t="str">
        <f>IFERROR(__xludf.DUMMYFUNCTION("""COMPUTED_VALUE"""),"Batch 2")</f>
        <v>Batch 2</v>
      </c>
      <c r="J1084" s="225">
        <f>IFERROR(__xludf.DUMMYFUNCTION("""COMPUTED_VALUE"""),5.0)</f>
        <v>5</v>
      </c>
      <c r="K1084" s="224">
        <f>IFERROR(__xludf.DUMMYFUNCTION("""COMPUTED_VALUE"""),40.0)</f>
        <v>40</v>
      </c>
      <c r="L1084" s="226">
        <f>IFERROR(__xludf.DUMMYFUNCTION("""COMPUTED_VALUE"""),913532.0)</f>
        <v>913532</v>
      </c>
      <c r="M1084" s="227">
        <f>IFERROR(__xludf.DUMMYFUNCTION("""COMPUTED_VALUE"""),3.6541248E7)</f>
        <v>36541248</v>
      </c>
      <c r="N1084" s="222" t="str">
        <f>IFERROR(__xludf.DUMMYFUNCTION("""COMPUTED_VALUE"""),"PT. JARI TRIMINDO")</f>
        <v>PT. JARI TRIMINDO</v>
      </c>
      <c r="O1084" s="222" t="str">
        <f>IFERROR(__xludf.DUMMYFUNCTION("""COMPUTED_VALUE"""),"2. DONE AANWIJZING")</f>
        <v>2. DONE AANWIJZING</v>
      </c>
      <c r="P1084" s="222" t="str">
        <f>IFERROR(__xludf.DUMMYFUNCTION("""COMPUTED_VALUE"""),"2.10 Kendala - Feeder Rusak")</f>
        <v>2.10 Kendala - Feeder Rusak</v>
      </c>
      <c r="Q1084" s="222" t="str">
        <f>IFERROR(__xludf.DUMMYFUNCTION("""COMPUTED_VALUE"""),"05/03 repair kabel feeder krn rusak ( core tidak tembus )
26/01 Proses perizinan ke RW. 23/01 Plan anwijzing 27 Jan, PIC mitra belum sampai. 21/01 proses penunjukan mitra 
")</f>
        <v>05/03 repair kabel feeder krn rusak ( core tidak tembus )
26/01 Proses perizinan ke RW. 23/01 Plan anwijzing 27 Jan, PIC mitra belum sampai. 21/01 proses penunjukan mitra 
</v>
      </c>
      <c r="R1084" s="228"/>
      <c r="S1084" s="11"/>
      <c r="T1084" s="11"/>
      <c r="U1084" s="11"/>
      <c r="V1084" s="229" t="str">
        <f>IFERROR(__xludf.DUMMYFUNCTION("""COMPUTED_VALUE"""),"RONALDO LEO INFANTRI")</f>
        <v>RONALDO LEO INFANTRI</v>
      </c>
      <c r="W1084" s="229" t="str">
        <f>IFERROR(__xludf.DUMMYFUNCTION("""COMPUTED_VALUE"""),"LEVITA INDRIYANI")</f>
        <v>LEVITA INDRIYANI</v>
      </c>
      <c r="X1084" s="229" t="str">
        <f>IFERROR(__xludf.DUMMYFUNCTION("""COMPUTED_VALUE"""),"BELUM GOLIVE")</f>
        <v>BELUM GOLIVE</v>
      </c>
      <c r="Y1084" s="229"/>
      <c r="Z1084" s="229" t="str">
        <f>IFERROR(__xludf.DUMMYFUNCTION("""COMPUTED_VALUE"""),"#N/A")</f>
        <v>#N/A</v>
      </c>
      <c r="AA1084" s="229"/>
      <c r="AB1084" s="229"/>
      <c r="AC1084" s="229"/>
      <c r="AD1084" s="232"/>
      <c r="AE1084" s="233"/>
      <c r="AF1084" s="54"/>
      <c r="AG1084" s="54"/>
      <c r="AH1084" s="54"/>
      <c r="AI1084" s="55" t="str">
        <f t="shared" si="122"/>
        <v/>
      </c>
      <c r="AW1084" s="234"/>
      <c r="BP1084" s="11"/>
      <c r="BQ1084" s="11"/>
      <c r="BR1084" s="235"/>
      <c r="BV1084" s="158"/>
      <c r="BY1084" s="158"/>
      <c r="CB1084" s="158"/>
    </row>
    <row r="1085" ht="18.0" hidden="1" customHeight="1">
      <c r="A1085" s="222">
        <f>IFERROR(__xludf.DUMMYFUNCTION("""COMPUTED_VALUE"""),2026.0)</f>
        <v>2026</v>
      </c>
      <c r="B1085" s="221">
        <f>IFERROR(__xludf.DUMMYFUNCTION("""COMPUTED_VALUE"""),1.1132481E7)</f>
        <v>11132481</v>
      </c>
      <c r="C1085" s="222" t="str">
        <f>IFERROR(__xludf.DUMMYFUNCTION("""COMPUTED_VALUE"""),"MDN PT3 P7I5 DLT-FA KOMPLEK ASABRI")</f>
        <v>MDN PT3 P7I5 DLT-FA KOMPLEK ASABRI</v>
      </c>
      <c r="D1085" s="222" t="str">
        <f>IFERROR(__xludf.DUMMYFUNCTION("""COMPUTED_VALUE"""),"REGIONAL I")</f>
        <v>REGIONAL I</v>
      </c>
      <c r="E1085" s="222" t="str">
        <f>IFERROR(__xludf.DUMMYFUNCTION("""COMPUTED_VALUE"""),"MEDAN")</f>
        <v>MEDAN</v>
      </c>
      <c r="F1085" s="222" t="str">
        <f>IFERROR(__xludf.DUMMYFUNCTION("""COMPUTED_VALUE"""),"DLT")</f>
        <v>DLT</v>
      </c>
      <c r="G1085" s="222" t="str">
        <f>IFERROR(__xludf.DUMMYFUNCTION("""COMPUTED_VALUE"""),"SUMBAGUT")</f>
        <v>SUMBAGUT</v>
      </c>
      <c r="H1085" s="222" t="str">
        <f>IFERROR(__xludf.DUMMYFUNCTION("""COMPUTED_VALUE"""),"MEDAN")</f>
        <v>MEDAN</v>
      </c>
      <c r="I1085" s="222" t="str">
        <f>IFERROR(__xludf.DUMMYFUNCTION("""COMPUTED_VALUE"""),"Batch 2")</f>
        <v>Batch 2</v>
      </c>
      <c r="J1085" s="225">
        <f>IFERROR(__xludf.DUMMYFUNCTION("""COMPUTED_VALUE"""),4.0)</f>
        <v>4</v>
      </c>
      <c r="K1085" s="224">
        <f>IFERROR(__xludf.DUMMYFUNCTION("""COMPUTED_VALUE"""),32.0)</f>
        <v>32</v>
      </c>
      <c r="L1085" s="226">
        <f>IFERROR(__xludf.DUMMYFUNCTION("""COMPUTED_VALUE"""),913432.0)</f>
        <v>913432</v>
      </c>
      <c r="M1085" s="227">
        <f>IFERROR(__xludf.DUMMYFUNCTION("""COMPUTED_VALUE"""),2.9229813E7)</f>
        <v>29229813</v>
      </c>
      <c r="N1085" s="222" t="str">
        <f>IFERROR(__xludf.DUMMYFUNCTION("""COMPUTED_VALUE"""),"PT UPENTEL INTERNASIONAL")</f>
        <v>PT UPENTEL INTERNASIONAL</v>
      </c>
      <c r="O1085" s="222" t="str">
        <f>IFERROR(__xludf.DUMMYFUNCTION("""COMPUTED_VALUE"""),"2. DONE AANWIJZING")</f>
        <v>2. DONE AANWIJZING</v>
      </c>
      <c r="P1085" s="222" t="str">
        <f>IFERROR(__xludf.DUMMYFUNCTION("""COMPUTED_VALUE"""),"2.10 Kendala - Feeder Rusak")</f>
        <v>2.10 Kendala - Feeder Rusak</v>
      </c>
      <c r="Q1085" s="222" t="str">
        <f>IFERROR(__xludf.DUMMYFUNCTION("""COMPUTED_VALUE"""),"08/03 Feeder Redti (30/01) Core Feeder Habis DLT-FA")</f>
        <v>08/03 Feeder Redti (30/01) Core Feeder Habis DLT-FA</v>
      </c>
      <c r="R1085" s="228"/>
      <c r="S1085" s="11"/>
      <c r="T1085" s="11"/>
      <c r="U1085" s="11"/>
      <c r="V1085" s="229"/>
      <c r="W1085" s="229"/>
      <c r="X1085" s="229" t="str">
        <f>IFERROR(__xludf.DUMMYFUNCTION("""COMPUTED_VALUE"""),"BELUM GOLIVE")</f>
        <v>BELUM GOLIVE</v>
      </c>
      <c r="Y1085" s="229"/>
      <c r="Z1085" s="229" t="str">
        <f>IFERROR(__xludf.DUMMYFUNCTION("""COMPUTED_VALUE"""),"#N/A")</f>
        <v>#N/A</v>
      </c>
      <c r="AA1085" s="229"/>
      <c r="AB1085" s="229"/>
      <c r="AC1085" s="229"/>
      <c r="AD1085" s="232"/>
      <c r="AE1085" s="233"/>
      <c r="AF1085" s="54"/>
      <c r="AG1085" s="54"/>
      <c r="AH1085" s="54"/>
      <c r="AI1085" s="55" t="str">
        <f t="shared" si="122"/>
        <v/>
      </c>
      <c r="AW1085" s="234"/>
      <c r="BP1085" s="11"/>
      <c r="BQ1085" s="11"/>
      <c r="BR1085" s="235"/>
      <c r="BV1085" s="158"/>
      <c r="BY1085" s="158"/>
      <c r="CB1085" s="158"/>
    </row>
    <row r="1086" ht="18.0" customHeight="1">
      <c r="A1086" s="222">
        <f>IFERROR(__xludf.DUMMYFUNCTION("""COMPUTED_VALUE"""),2026.0)</f>
        <v>2026</v>
      </c>
      <c r="B1086" s="221">
        <f>IFERROR(__xludf.DUMMYFUNCTION("""COMPUTED_VALUE"""),1.0778082E7)</f>
        <v>10778082</v>
      </c>
      <c r="C1086" s="222" t="str">
        <f>IFERROR(__xludf.DUMMYFUNCTION("""COMPUTED_VALUE"""),"SMB P7I1 Perumahan Hannah Asri Kasang")</f>
        <v>SMB P7I1 Perumahan Hannah Asri Kasang</v>
      </c>
      <c r="D1086" s="222" t="str">
        <f>IFERROR(__xludf.DUMMYFUNCTION("""COMPUTED_VALUE"""),"REGIONAL I")</f>
        <v>REGIONAL I</v>
      </c>
      <c r="E1086" s="222" t="str">
        <f>IFERROR(__xludf.DUMMYFUNCTION("""COMPUTED_VALUE"""),"SUMBAR")</f>
        <v>SUMBAR</v>
      </c>
      <c r="F1086" s="222" t="str">
        <f>IFERROR(__xludf.DUMMYFUNCTION("""COMPUTED_VALUE"""),"LBY")</f>
        <v>LBY</v>
      </c>
      <c r="G1086" s="222" t="str">
        <f>IFERROR(__xludf.DUMMYFUNCTION("""COMPUTED_VALUE"""),"SUMBAGTENG")</f>
        <v>SUMBAGTENG</v>
      </c>
      <c r="H1086" s="222" t="str">
        <f>IFERROR(__xludf.DUMMYFUNCTION("""COMPUTED_VALUE"""),"PADANG")</f>
        <v>PADANG</v>
      </c>
      <c r="I1086" s="222" t="str">
        <f>IFERROR(__xludf.DUMMYFUNCTION("""COMPUTED_VALUE"""),"Batch 2")</f>
        <v>Batch 2</v>
      </c>
      <c r="J1086" s="225">
        <f>IFERROR(__xludf.DUMMYFUNCTION("""COMPUTED_VALUE"""),6.0)</f>
        <v>6</v>
      </c>
      <c r="K1086" s="224">
        <f>IFERROR(__xludf.DUMMYFUNCTION("""COMPUTED_VALUE"""),48.0)</f>
        <v>48</v>
      </c>
      <c r="L1086" s="226">
        <f>IFERROR(__xludf.DUMMYFUNCTION("""COMPUTED_VALUE"""),912064.0)</f>
        <v>912064</v>
      </c>
      <c r="M1086" s="227">
        <f>IFERROR(__xludf.DUMMYFUNCTION("""COMPUTED_VALUE"""),4.3779059E7)</f>
        <v>43779059</v>
      </c>
      <c r="N1086" s="222" t="str">
        <f>IFERROR(__xludf.DUMMYFUNCTION("""COMPUTED_VALUE"""),"PT TRI LESMA INDONESIA")</f>
        <v>PT TRI LESMA INDONESIA</v>
      </c>
      <c r="O1086" s="222" t="str">
        <f>IFERROR(__xludf.DUMMYFUNCTION("""COMPUTED_VALUE"""),"0. DROP")</f>
        <v>0. DROP</v>
      </c>
      <c r="P1086" s="222" t="str">
        <f>IFERROR(__xludf.DUMMYFUNCTION("""COMPUTED_VALUE"""),"0.3 Feeder Full")</f>
        <v>0.3 Feeder Full</v>
      </c>
      <c r="Q1086" s="222" t="str">
        <f>IFERROR(__xludf.DUMMYFUNCTION("""COMPUTED_VALUE"""),"(07/01) kendala feeder LBY-FH full")</f>
        <v>(07/01) kendala feeder LBY-FH full</v>
      </c>
      <c r="R1086" s="228"/>
      <c r="S1086" s="11"/>
      <c r="T1086" s="11"/>
      <c r="U1086" s="11"/>
      <c r="V1086" s="229"/>
      <c r="W1086" s="229"/>
      <c r="X1086" s="229" t="str">
        <f>IFERROR(__xludf.DUMMYFUNCTION("""COMPUTED_VALUE"""),"BELUM GOLIVE")</f>
        <v>BELUM GOLIVE</v>
      </c>
      <c r="Y1086" s="229"/>
      <c r="Z1086" s="229" t="str">
        <f>IFERROR(__xludf.DUMMYFUNCTION("""COMPUTED_VALUE"""),"#N/A")</f>
        <v>#N/A</v>
      </c>
      <c r="AA1086" s="229"/>
      <c r="AB1086" s="229"/>
      <c r="AC1086" s="229"/>
      <c r="AD1086" s="232"/>
      <c r="AE1086" s="233"/>
      <c r="AF1086" s="54" t="str">
        <f>IFERROR(__xludf.DUMMYFUNCTION("""COMPUTED_VALUE"""),"Draft BA DROP")</f>
        <v>Draft BA DROP</v>
      </c>
      <c r="AG1086" s="54"/>
      <c r="AH1086" s="54"/>
      <c r="AI1086" s="55" t="str">
        <f t="shared" si="122"/>
        <v/>
      </c>
      <c r="AW1086" s="234"/>
      <c r="BP1086" s="11"/>
      <c r="BQ1086" s="11"/>
      <c r="BR1086" s="235"/>
      <c r="BV1086" s="158"/>
      <c r="BY1086" s="158"/>
      <c r="CB1086" s="158"/>
    </row>
    <row r="1087" ht="18.0" hidden="1" customHeight="1">
      <c r="A1087" s="222">
        <f>IFERROR(__xludf.DUMMYFUNCTION("""COMPUTED_VALUE"""),2026.0)</f>
        <v>2026</v>
      </c>
      <c r="B1087" s="221">
        <f>IFERROR(__xludf.DUMMYFUNCTION("""COMPUTED_VALUE"""),1.2306234E7)</f>
        <v>12306234</v>
      </c>
      <c r="C1087" s="222" t="str">
        <f>IFERROR(__xludf.DUMMYFUNCTION("""COMPUTED_VALUE"""),"ACH DAR PT3 DAR-FB CENDANA RESIDENCE")</f>
        <v>ACH DAR PT3 DAR-FB CENDANA RESIDENCE</v>
      </c>
      <c r="D1087" s="222" t="str">
        <f>IFERROR(__xludf.DUMMYFUNCTION("""COMPUTED_VALUE"""),"REGIONAL I")</f>
        <v>REGIONAL I</v>
      </c>
      <c r="E1087" s="222" t="str">
        <f>IFERROR(__xludf.DUMMYFUNCTION("""COMPUTED_VALUE"""),"ACEH")</f>
        <v>ACEH</v>
      </c>
      <c r="F1087" s="222" t="str">
        <f>IFERROR(__xludf.DUMMYFUNCTION("""COMPUTED_VALUE"""),"DAR")</f>
        <v>DAR</v>
      </c>
      <c r="G1087" s="222" t="str">
        <f>IFERROR(__xludf.DUMMYFUNCTION("""COMPUTED_VALUE"""),"SUMBAGUT")</f>
        <v>SUMBAGUT</v>
      </c>
      <c r="H1087" s="222" t="str">
        <f>IFERROR(__xludf.DUMMYFUNCTION("""COMPUTED_VALUE"""),"BANDA ACEH")</f>
        <v>BANDA ACEH</v>
      </c>
      <c r="I1087" s="222" t="str">
        <f>IFERROR(__xludf.DUMMYFUNCTION("""COMPUTED_VALUE"""),"Batch 2")</f>
        <v>Batch 2</v>
      </c>
      <c r="J1087" s="225">
        <f>IFERROR(__xludf.DUMMYFUNCTION("""COMPUTED_VALUE"""),3.0)</f>
        <v>3</v>
      </c>
      <c r="K1087" s="224">
        <f>IFERROR(__xludf.DUMMYFUNCTION("""COMPUTED_VALUE"""),24.0)</f>
        <v>24</v>
      </c>
      <c r="L1087" s="226">
        <f>IFERROR(__xludf.DUMMYFUNCTION("""COMPUTED_VALUE"""),911808.0)</f>
        <v>911808</v>
      </c>
      <c r="M1087" s="227">
        <f>IFERROR(__xludf.DUMMYFUNCTION("""COMPUTED_VALUE"""),2.1883376E7)</f>
        <v>21883376</v>
      </c>
      <c r="N1087" s="222" t="str">
        <f>IFERROR(__xludf.DUMMYFUNCTION("""COMPUTED_VALUE"""),"PT TRIPOLA PANATA")</f>
        <v>PT TRIPOLA PANATA</v>
      </c>
      <c r="O1087" s="222" t="str">
        <f>IFERROR(__xludf.DUMMYFUNCTION("""COMPUTED_VALUE"""),"7. GOLIVE")</f>
        <v>7. GOLIVE</v>
      </c>
      <c r="P1087" s="222" t="str">
        <f>IFERROR(__xludf.DUMMYFUNCTION("""COMPUTED_VALUE"""),"7.2 Golive Full / OA / DONE OTB")</f>
        <v>7.2 Golive Full / OA / DONE OTB</v>
      </c>
      <c r="Q1087" s="222" t="str">
        <f>IFERROR(__xludf.DUMMYFUNCTION("""COMPUTED_VALUE"""),"(07/01) Persiapan")</f>
        <v>(07/01) Persiapan</v>
      </c>
      <c r="R1087" s="228">
        <f>IFERROR(__xludf.DUMMYFUNCTION("""COMPUTED_VALUE"""),46051.0)</f>
        <v>46051</v>
      </c>
      <c r="S1087" s="11"/>
      <c r="T1087" s="11"/>
      <c r="U1087" s="11" t="str">
        <f>IFERROR(__xludf.DUMMYFUNCTION("""COMPUTED_VALUE"""),"TIF-2084/2026")</f>
        <v>TIF-2084/2026</v>
      </c>
      <c r="V1087" s="229"/>
      <c r="W1087" s="229"/>
      <c r="X1087" s="229" t="str">
        <f>IFERROR(__xludf.DUMMYFUNCTION("""COMPUTED_VALUE"""),"GOLIVE")</f>
        <v>GOLIVE</v>
      </c>
      <c r="Y1087" s="229" t="str">
        <f>IFERROR(__xludf.DUMMYFUNCTION("""COMPUTED_VALUE"""),"DONE")</f>
        <v>DONE</v>
      </c>
      <c r="Z1087" s="229" t="str">
        <f>IFERROR(__xludf.DUMMYFUNCTION("""COMPUTED_VALUE"""),"#N/A")</f>
        <v>#N/A</v>
      </c>
      <c r="AA1087" s="229">
        <f>IFERROR(__xludf.DUMMYFUNCTION("""COMPUTED_VALUE"""),3.0)</f>
        <v>3</v>
      </c>
      <c r="AB1087" s="229"/>
      <c r="AC1087" s="229" t="str">
        <f>IFERROR(__xludf.DUMMYFUNCTION("""COMPUTED_VALUE"""),"9034938#9034943")</f>
        <v>9034938#9034943</v>
      </c>
      <c r="AD1087" s="232">
        <f>IFERROR(__xludf.DUMMYFUNCTION("""COMPUTED_VALUE"""),24.0)</f>
        <v>24</v>
      </c>
      <c r="AE1087" s="233">
        <f>IFERROR(__xludf.DUMMYFUNCTION("""COMPUTED_VALUE"""),46051.0)</f>
        <v>46051</v>
      </c>
      <c r="AF1087" s="54"/>
      <c r="AG1087" s="54"/>
      <c r="AH1087" s="54">
        <v>46051.0</v>
      </c>
      <c r="AI1087" s="55">
        <f t="shared" si="122"/>
        <v>0</v>
      </c>
      <c r="AW1087" s="234"/>
      <c r="BP1087" s="11"/>
      <c r="BQ1087" s="11"/>
      <c r="BR1087" s="235"/>
      <c r="BV1087" s="158"/>
      <c r="BY1087" s="158"/>
      <c r="CB1087" s="158"/>
    </row>
    <row r="1088" ht="18.0" hidden="1" customHeight="1">
      <c r="A1088" s="222">
        <f>IFERROR(__xludf.DUMMYFUNCTION("""COMPUTED_VALUE"""),2026.0)</f>
        <v>2026</v>
      </c>
      <c r="B1088" s="221">
        <f>IFERROR(__xludf.DUMMYFUNCTION("""COMPUTED_VALUE"""),1.1194149E7)</f>
        <v>11194149</v>
      </c>
      <c r="C1088" s="222" t="str">
        <f>IFERROR(__xludf.DUMMYFUNCTION("""COMPUTED_VALUE"""),"MDN PT3 P7I9 TJR-FN JL.SEDAR")</f>
        <v>MDN PT3 P7I9 TJR-FN JL.SEDAR</v>
      </c>
      <c r="D1088" s="222" t="str">
        <f>IFERROR(__xludf.DUMMYFUNCTION("""COMPUTED_VALUE"""),"REGIONAL I")</f>
        <v>REGIONAL I</v>
      </c>
      <c r="E1088" s="222" t="str">
        <f>IFERROR(__xludf.DUMMYFUNCTION("""COMPUTED_VALUE"""),"MEDAN")</f>
        <v>MEDAN</v>
      </c>
      <c r="F1088" s="222" t="str">
        <f>IFERROR(__xludf.DUMMYFUNCTION("""COMPUTED_VALUE"""),"TJR")</f>
        <v>TJR</v>
      </c>
      <c r="G1088" s="222" t="str">
        <f>IFERROR(__xludf.DUMMYFUNCTION("""COMPUTED_VALUE"""),"SUMBAGUT")</f>
        <v>SUMBAGUT</v>
      </c>
      <c r="H1088" s="222" t="str">
        <f>IFERROR(__xludf.DUMMYFUNCTION("""COMPUTED_VALUE"""),"MEDAN")</f>
        <v>MEDAN</v>
      </c>
      <c r="I1088" s="222" t="str">
        <f>IFERROR(__xludf.DUMMYFUNCTION("""COMPUTED_VALUE"""),"Batch 2")</f>
        <v>Batch 2</v>
      </c>
      <c r="J1088" s="225">
        <f>IFERROR(__xludf.DUMMYFUNCTION("""COMPUTED_VALUE"""),4.0)</f>
        <v>4</v>
      </c>
      <c r="K1088" s="224">
        <f>IFERROR(__xludf.DUMMYFUNCTION("""COMPUTED_VALUE"""),32.0)</f>
        <v>32</v>
      </c>
      <c r="L1088" s="226">
        <f>IFERROR(__xludf.DUMMYFUNCTION("""COMPUTED_VALUE"""),1370515.0)</f>
        <v>1370515</v>
      </c>
      <c r="M1088" s="227">
        <f>IFERROR(__xludf.DUMMYFUNCTION("""COMPUTED_VALUE"""),4.385646E7)</f>
        <v>43856460</v>
      </c>
      <c r="N1088" s="222" t="str">
        <f>IFERROR(__xludf.DUMMYFUNCTION("""COMPUTED_VALUE"""),"PT UPAYA TEKNIK")</f>
        <v>PT UPAYA TEKNIK</v>
      </c>
      <c r="O1088" s="222" t="str">
        <f>IFERROR(__xludf.DUMMYFUNCTION("""COMPUTED_VALUE"""),"0. DROP")</f>
        <v>0. DROP</v>
      </c>
      <c r="P1088" s="222" t="str">
        <f>IFERROR(__xludf.DUMMYFUNCTION("""COMPUTED_VALUE"""),"0.4 CPP Tinggi Acc ED TIF")</f>
        <v>0.4 CPP Tinggi Acc ED TIF</v>
      </c>
      <c r="Q1088" s="222" t="str">
        <f>IFERROR(__xludf.DUMMYFUNCTION("""COMPUTED_VALUE"""),"11/11 Feeder Penuh 
(24/09) Perizinan Warga dan Kades / Lurah
(23/09) Perizinan Warga dan Kades / Lurah
15/09 proses aanwijzing")</f>
        <v>11/11 Feeder Penuh 
(24/09) Perizinan Warga dan Kades / Lurah
(23/09) Perizinan Warga dan Kades / Lurah
15/09 proses aanwijzing</v>
      </c>
      <c r="R1088" s="228"/>
      <c r="S1088" s="11"/>
      <c r="T1088" s="11"/>
      <c r="U1088" s="11"/>
      <c r="V1088" s="229"/>
      <c r="W1088" s="229"/>
      <c r="X1088" s="229" t="str">
        <f>IFERROR(__xludf.DUMMYFUNCTION("""COMPUTED_VALUE"""),"BELUM GOLIVE")</f>
        <v>BELUM GOLIVE</v>
      </c>
      <c r="Y1088" s="229"/>
      <c r="Z1088" s="229" t="str">
        <f>IFERROR(__xludf.DUMMYFUNCTION("""COMPUTED_VALUE"""),"#N/A")</f>
        <v>#N/A</v>
      </c>
      <c r="AA1088" s="229"/>
      <c r="AB1088" s="229"/>
      <c r="AC1088" s="229"/>
      <c r="AD1088" s="232"/>
      <c r="AE1088" s="233"/>
      <c r="AF1088" s="54" t="str">
        <f>IFERROR(__xludf.DUMMYFUNCTION("""COMPUTED_VALUE"""),"Draft BA DROP")</f>
        <v>Draft BA DROP</v>
      </c>
      <c r="AG1088" s="54"/>
      <c r="AH1088" s="54"/>
      <c r="AI1088" s="55" t="str">
        <f t="shared" si="122"/>
        <v/>
      </c>
      <c r="AW1088" s="234"/>
      <c r="BP1088" s="11"/>
      <c r="BQ1088" s="11"/>
      <c r="BR1088" s="235"/>
      <c r="BV1088" s="158"/>
      <c r="BY1088" s="158"/>
      <c r="CB1088" s="158"/>
    </row>
    <row r="1089" ht="18.0" hidden="1" customHeight="1">
      <c r="A1089" s="222">
        <f>IFERROR(__xludf.DUMMYFUNCTION("""COMPUTED_VALUE"""),2026.0)</f>
        <v>2026</v>
      </c>
      <c r="B1089" s="221">
        <f>IFERROR(__xludf.DUMMYFUNCTION("""COMPUTED_VALUE"""),1.2098343E7)</f>
        <v>12098343</v>
      </c>
      <c r="C1089" s="222" t="str">
        <f>IFERROR(__xludf.DUMMYFUNCTION("""COMPUTED_VALUE"""),"ACH PT3 SKL-FH GUNUNG LAGAN 2")</f>
        <v>ACH PT3 SKL-FH GUNUNG LAGAN 2</v>
      </c>
      <c r="D1089" s="222" t="str">
        <f>IFERROR(__xludf.DUMMYFUNCTION("""COMPUTED_VALUE"""),"REGIONAL I")</f>
        <v>REGIONAL I</v>
      </c>
      <c r="E1089" s="222" t="str">
        <f>IFERROR(__xludf.DUMMYFUNCTION("""COMPUTED_VALUE"""),"ACEH")</f>
        <v>ACEH</v>
      </c>
      <c r="F1089" s="222" t="str">
        <f>IFERROR(__xludf.DUMMYFUNCTION("""COMPUTED_VALUE"""),"SKL")</f>
        <v>SKL</v>
      </c>
      <c r="G1089" s="222" t="str">
        <f>IFERROR(__xludf.DUMMYFUNCTION("""COMPUTED_VALUE"""),"SUMBAGUT")</f>
        <v>SUMBAGUT</v>
      </c>
      <c r="H1089" s="222" t="str">
        <f>IFERROR(__xludf.DUMMYFUNCTION("""COMPUTED_VALUE"""),"BANDA ACEH")</f>
        <v>BANDA ACEH</v>
      </c>
      <c r="I1089" s="222" t="str">
        <f>IFERROR(__xludf.DUMMYFUNCTION("""COMPUTED_VALUE"""),"Batch 2")</f>
        <v>Batch 2</v>
      </c>
      <c r="J1089" s="225">
        <f>IFERROR(__xludf.DUMMYFUNCTION("""COMPUTED_VALUE"""),9.0)</f>
        <v>9</v>
      </c>
      <c r="K1089" s="224">
        <f>IFERROR(__xludf.DUMMYFUNCTION("""COMPUTED_VALUE"""),72.0)</f>
        <v>72</v>
      </c>
      <c r="L1089" s="226">
        <f>IFERROR(__xludf.DUMMYFUNCTION("""COMPUTED_VALUE"""),911475.0)</f>
        <v>911475</v>
      </c>
      <c r="M1089" s="227">
        <f>IFERROR(__xludf.DUMMYFUNCTION("""COMPUTED_VALUE"""),6.5626147E7)</f>
        <v>65626147</v>
      </c>
      <c r="N1089" s="222" t="str">
        <f>IFERROR(__xludf.DUMMYFUNCTION("""COMPUTED_VALUE"""),"PT ARA PAYA INTAN")</f>
        <v>PT ARA PAYA INTAN</v>
      </c>
      <c r="O1089" s="222" t="str">
        <f>IFERROR(__xludf.DUMMYFUNCTION("""COMPUTED_VALUE"""),"2. DONE AANWIJZING")</f>
        <v>2. DONE AANWIJZING</v>
      </c>
      <c r="P1089" s="222" t="str">
        <f>IFERROR(__xludf.DUMMYFUNCTION("""COMPUTED_VALUE"""),"2.10 Kendala - Feeder Rusak")</f>
        <v>2.10 Kendala - Feeder Rusak</v>
      </c>
      <c r="Q1089" s="222" t="str">
        <f>IFERROR(__xludf.DUMMYFUNCTION("""COMPUTED_VALUE"""),"(06/01) HOLD, QE FEEDER (29/01) Done Aanwijzing (07/01) Persiapan")</f>
        <v>(06/01) HOLD, QE FEEDER (29/01) Done Aanwijzing (07/01) Persiapan</v>
      </c>
      <c r="R1089" s="228"/>
      <c r="S1089" s="11"/>
      <c r="T1089" s="11"/>
      <c r="U1089" s="11" t="str">
        <f>IFERROR(__xludf.DUMMYFUNCTION("""COMPUTED_VALUE"""),"W04-836/2025")</f>
        <v>W04-836/2025</v>
      </c>
      <c r="V1089" s="229"/>
      <c r="W1089" s="229"/>
      <c r="X1089" s="229" t="str">
        <f>IFERROR(__xludf.DUMMYFUNCTION("""COMPUTED_VALUE"""),"BELUM GOLIVE")</f>
        <v>BELUM GOLIVE</v>
      </c>
      <c r="Y1089" s="229"/>
      <c r="Z1089" s="229" t="str">
        <f>IFERROR(__xludf.DUMMYFUNCTION("""COMPUTED_VALUE"""),"#N/A")</f>
        <v>#N/A</v>
      </c>
      <c r="AA1089" s="229"/>
      <c r="AB1089" s="229"/>
      <c r="AC1089" s="229"/>
      <c r="AD1089" s="232"/>
      <c r="AE1089" s="233"/>
      <c r="AF1089" s="54"/>
      <c r="AG1089" s="54"/>
      <c r="AH1089" s="54"/>
      <c r="AI1089" s="55" t="str">
        <f t="shared" si="122"/>
        <v/>
      </c>
      <c r="AW1089" s="234"/>
      <c r="BP1089" s="11"/>
      <c r="BQ1089" s="11"/>
      <c r="BR1089" s="235"/>
      <c r="BV1089" s="158"/>
      <c r="BY1089" s="158"/>
      <c r="CB1089" s="158"/>
    </row>
    <row r="1090" ht="18.0" hidden="1" customHeight="1">
      <c r="A1090" s="222">
        <f>IFERROR(__xludf.DUMMYFUNCTION("""COMPUTED_VALUE"""),2026.0)</f>
        <v>2026</v>
      </c>
      <c r="B1090" s="221">
        <f>IFERROR(__xludf.DUMMYFUNCTION("""COMPUTED_VALUE"""),1.1560812E7)</f>
        <v>11560812</v>
      </c>
      <c r="C1090" s="222" t="str">
        <f>IFERROR(__xludf.DUMMYFUNCTION("""COMPUTED_VALUE"""),"SMS P3I1 PT3 PDT FN D02 RISTA OKTAVIA")</f>
        <v>SMS P3I1 PT3 PDT FN D02 RISTA OKTAVIA</v>
      </c>
      <c r="D1090" s="222" t="str">
        <f>IFERROR(__xludf.DUMMYFUNCTION("""COMPUTED_VALUE"""),"REGIONAL I")</f>
        <v>REGIONAL I</v>
      </c>
      <c r="E1090" s="222" t="str">
        <f>IFERROR(__xludf.DUMMYFUNCTION("""COMPUTED_VALUE"""),"SUMSEL")</f>
        <v>SUMSEL</v>
      </c>
      <c r="F1090" s="222" t="str">
        <f>IFERROR(__xludf.DUMMYFUNCTION("""COMPUTED_VALUE"""),"PDT")</f>
        <v>PDT</v>
      </c>
      <c r="G1090" s="222" t="str">
        <f>IFERROR(__xludf.DUMMYFUNCTION("""COMPUTED_VALUE"""),"SUMBAGSEL")</f>
        <v>SUMBAGSEL</v>
      </c>
      <c r="H1090" s="222" t="str">
        <f>IFERROR(__xludf.DUMMYFUNCTION("""COMPUTED_VALUE"""),"PALEMBANG")</f>
        <v>PALEMBANG</v>
      </c>
      <c r="I1090" s="222" t="str">
        <f>IFERROR(__xludf.DUMMYFUNCTION("""COMPUTED_VALUE"""),"Batch 2")</f>
        <v>Batch 2</v>
      </c>
      <c r="J1090" s="225">
        <f>IFERROR(__xludf.DUMMYFUNCTION("""COMPUTED_VALUE"""),3.0)</f>
        <v>3</v>
      </c>
      <c r="K1090" s="224">
        <f>IFERROR(__xludf.DUMMYFUNCTION("""COMPUTED_VALUE"""),24.0)</f>
        <v>24</v>
      </c>
      <c r="L1090" s="226">
        <f>IFERROR(__xludf.DUMMYFUNCTION("""COMPUTED_VALUE"""),911372.0)</f>
        <v>911372</v>
      </c>
      <c r="M1090" s="227">
        <f>IFERROR(__xludf.DUMMYFUNCTION("""COMPUTED_VALUE"""),2.1872916E7)</f>
        <v>21872916</v>
      </c>
      <c r="N1090" s="222" t="str">
        <f>IFERROR(__xludf.DUMMYFUNCTION("""COMPUTED_VALUE"""),"PT ACERO CETHA METALINDO")</f>
        <v>PT ACERO CETHA METALINDO</v>
      </c>
      <c r="O1090" s="222" t="str">
        <f>IFERROR(__xludf.DUMMYFUNCTION("""COMPUTED_VALUE"""),"0. DROP")</f>
        <v>0. DROP</v>
      </c>
      <c r="P1090" s="222" t="str">
        <f>IFERROR(__xludf.DUMMYFUNCTION("""COMPUTED_VALUE"""),"0.4 CPP Tinggi Acc ED TIF")</f>
        <v>0.4 CPP Tinggi Acc ED TIF</v>
      </c>
      <c r="Q1090" s="222" t="str">
        <f>IFERROR(__xludf.DUMMYFUNCTION("""COMPUTED_VALUE"""),"10/03 DROP, BOQ NAIK DARI PLAN 57% - SDH ADA BA DROP, 24/02 DROP, BOQ NAIK DARI PLAN 57% - SDH ADA BA DROP, 06/02 DROP, REDESAIN UNTK D ORDER KE BATCH SELANJUTNYA, 03/02 DONE EVAL, HOLD KARENA ADA NYA KENAIKAN BOQ DRI PLAN SEBESAR 57% DARI NILAI PLAN 03/0"&amp;"2 DONE EVAL, HOLD KARENA ADA NYA KENAIKAN BOQ DRI PLAN SEBESAR 57% DARI NILAI PLAN, 25/01 DONE AANWIDJZING, 23/01 OGP AANWIDJZING, (21/01) menunggu antrian aanwizjing, (15/1) ORDER DITERIMA MITRA 14/1, plan Aanwijdzing 19 Jan (06/01)order JPP batch-2 2026"&amp;" ((14/11)HOLD- tidak masuk target Optimis 2025 ((11/11) Penunjukkan MITRA oleh Procurement 23/10 penunjukan mitra
 14/01 penunjukan mitra oleh procurement")</f>
        <v>10/03 DROP, BOQ NAIK DARI PLAN 57% - SDH ADA BA DROP, 24/02 DROP, BOQ NAIK DARI PLAN 57% - SDH ADA BA DROP, 06/02 DROP, REDESAIN UNTK D ORDER KE BATCH SELANJUTNYA, 03/02 DONE EVAL, HOLD KARENA ADA NYA KENAIKAN BOQ DRI PLAN SEBESAR 57% DARI NILAI PLAN 03/02 DONE EVAL, HOLD KARENA ADA NYA KENAIKAN BOQ DRI PLAN SEBESAR 57% DARI NILAI PLAN, 25/01 DONE AANWIDJZING, 23/01 OGP AANWIDJZING, (21/01) menunggu antrian aanwizjing, (15/1) ORDER DITERIMA MITRA 14/1, plan Aanwijdzing 19 Jan (06/01)order JPP batch-2 2026 ((14/11)HOLD- tidak masuk target Optimis 2025 ((11/11) Penunjukkan MITRA oleh Procurement 23/10 penunjukan mitra
 14/01 penunjukan mitra oleh procurement</v>
      </c>
      <c r="R1090" s="228"/>
      <c r="S1090" s="11"/>
      <c r="T1090" s="11"/>
      <c r="U1090" s="11"/>
      <c r="V1090" s="229" t="str">
        <f>IFERROR(__xludf.DUMMYFUNCTION("""COMPUTED_VALUE"""),"ILHAM")</f>
        <v>ILHAM</v>
      </c>
      <c r="W1090" s="229"/>
      <c r="X1090" s="229" t="str">
        <f>IFERROR(__xludf.DUMMYFUNCTION("""COMPUTED_VALUE"""),"BELUM GOLIVE")</f>
        <v>BELUM GOLIVE</v>
      </c>
      <c r="Y1090" s="229"/>
      <c r="Z1090" s="229" t="str">
        <f>IFERROR(__xludf.DUMMYFUNCTION("""COMPUTED_VALUE"""),"#N/A")</f>
        <v>#N/A</v>
      </c>
      <c r="AA1090" s="229"/>
      <c r="AB1090" s="229"/>
      <c r="AC1090" s="229"/>
      <c r="AD1090" s="232"/>
      <c r="AE1090" s="233"/>
      <c r="AF1090" s="54" t="str">
        <f>IFERROR(__xludf.DUMMYFUNCTION("""COMPUTED_VALUE"""),"Draft BA DROP")</f>
        <v>Draft BA DROP</v>
      </c>
      <c r="AG1090" s="54"/>
      <c r="AH1090" s="54"/>
      <c r="AI1090" s="55" t="str">
        <f t="shared" si="122"/>
        <v/>
      </c>
      <c r="AW1090" s="234"/>
      <c r="BP1090" s="11"/>
      <c r="BQ1090" s="11"/>
      <c r="BR1090" s="235"/>
      <c r="BV1090" s="158"/>
      <c r="BY1090" s="158"/>
      <c r="CB1090" s="158"/>
    </row>
    <row r="1091" ht="18.0" hidden="1" customHeight="1">
      <c r="A1091" s="222">
        <f>IFERROR(__xludf.DUMMYFUNCTION("""COMPUTED_VALUE"""),2026.0)</f>
        <v>2026</v>
      </c>
      <c r="B1091" s="221">
        <f>IFERROR(__xludf.DUMMYFUNCTION("""COMPUTED_VALUE"""),1.1383112E7)</f>
        <v>11383112</v>
      </c>
      <c r="C1091" s="222" t="str">
        <f>IFERROR(__xludf.DUMMYFUNCTION("""COMPUTED_VALUE"""),"MDN PT3 PER-FB SERDANG BEDAGAI_1186")</f>
        <v>MDN PT3 PER-FB SERDANG BEDAGAI_1186</v>
      </c>
      <c r="D1091" s="222" t="str">
        <f>IFERROR(__xludf.DUMMYFUNCTION("""COMPUTED_VALUE"""),"REGIONAL I")</f>
        <v>REGIONAL I</v>
      </c>
      <c r="E1091" s="222" t="str">
        <f>IFERROR(__xludf.DUMMYFUNCTION("""COMPUTED_VALUE"""),"MEDAN")</f>
        <v>MEDAN</v>
      </c>
      <c r="F1091" s="222" t="str">
        <f>IFERROR(__xludf.DUMMYFUNCTION("""COMPUTED_VALUE"""),"PER")</f>
        <v>PER</v>
      </c>
      <c r="G1091" s="222" t="str">
        <f>IFERROR(__xludf.DUMMYFUNCTION("""COMPUTED_VALUE"""),"SUMBAGUT")</f>
        <v>SUMBAGUT</v>
      </c>
      <c r="H1091" s="222" t="str">
        <f>IFERROR(__xludf.DUMMYFUNCTION("""COMPUTED_VALUE"""),"PEMATANG SIANTAR")</f>
        <v>PEMATANG SIANTAR</v>
      </c>
      <c r="I1091" s="222" t="str">
        <f>IFERROR(__xludf.DUMMYFUNCTION("""COMPUTED_VALUE"""),"Batch 2")</f>
        <v>Batch 2</v>
      </c>
      <c r="J1091" s="225">
        <f>IFERROR(__xludf.DUMMYFUNCTION("""COMPUTED_VALUE"""),9.0)</f>
        <v>9</v>
      </c>
      <c r="K1091" s="224">
        <f>IFERROR(__xludf.DUMMYFUNCTION("""COMPUTED_VALUE"""),72.0)</f>
        <v>72</v>
      </c>
      <c r="L1091" s="226">
        <f>IFERROR(__xludf.DUMMYFUNCTION("""COMPUTED_VALUE"""),703618.0)</f>
        <v>703618</v>
      </c>
      <c r="M1091" s="227">
        <f>IFERROR(__xludf.DUMMYFUNCTION("""COMPUTED_VALUE"""),5.0660446E7)</f>
        <v>50660446</v>
      </c>
      <c r="N1091" s="222" t="str">
        <f>IFERROR(__xludf.DUMMYFUNCTION("""COMPUTED_VALUE"""),"PT INNANDA INDAH")</f>
        <v>PT INNANDA INDAH</v>
      </c>
      <c r="O1091" s="222" t="str">
        <f>IFERROR(__xludf.DUMMYFUNCTION("""COMPUTED_VALUE"""),"2. DONE AANWIJZING")</f>
        <v>2. DONE AANWIJZING</v>
      </c>
      <c r="P1091" s="222" t="str">
        <f>IFERROR(__xludf.DUMMYFUNCTION("""COMPUTED_VALUE"""),"2.10 Kendala - Feeder Rusak")</f>
        <v>2.10 Kendala - Feeder Rusak</v>
      </c>
      <c r="Q1091" s="222" t="str">
        <f>IFERROR(__xludf.DUMMYFUNCTION("""COMPUTED_VALUE"""),"20/04 pengecekan hasil ukur ulang 
27/02 PER-FB feeder loss 
(08/01) DROP, permintaan tsel (tidak potensial) (07/01) Persiapan")</f>
        <v>20/04 pengecekan hasil ukur ulang 
27/02 PER-FB feeder loss 
(08/01) DROP, permintaan tsel (tidak potensial) (07/01) Persiapan</v>
      </c>
      <c r="R1091" s="228"/>
      <c r="S1091" s="11"/>
      <c r="T1091" s="11"/>
      <c r="U1091" s="11"/>
      <c r="V1091" s="229"/>
      <c r="W1091" s="229"/>
      <c r="X1091" s="229" t="str">
        <f>IFERROR(__xludf.DUMMYFUNCTION("""COMPUTED_VALUE"""),"BELUM GOLIVE")</f>
        <v>BELUM GOLIVE</v>
      </c>
      <c r="Y1091" s="229"/>
      <c r="Z1091" s="229" t="str">
        <f>IFERROR(__xludf.DUMMYFUNCTION("""COMPUTED_VALUE"""),"#N/A")</f>
        <v>#N/A</v>
      </c>
      <c r="AA1091" s="229"/>
      <c r="AB1091" s="229"/>
      <c r="AC1091" s="229"/>
      <c r="AD1091" s="232"/>
      <c r="AE1091" s="233"/>
      <c r="AF1091" s="54"/>
      <c r="AG1091" s="54"/>
      <c r="AH1091" s="54"/>
      <c r="AI1091" s="55" t="str">
        <f t="shared" si="122"/>
        <v/>
      </c>
      <c r="AW1091" s="234"/>
      <c r="BP1091" s="11"/>
      <c r="BQ1091" s="11"/>
      <c r="BR1091" s="235"/>
      <c r="BV1091" s="158"/>
      <c r="BY1091" s="158"/>
      <c r="CB1091" s="158"/>
    </row>
    <row r="1092" ht="18.0" customHeight="1">
      <c r="A1092" s="222">
        <f>IFERROR(__xludf.DUMMYFUNCTION("""COMPUTED_VALUE"""),2026.0)</f>
        <v>2026</v>
      </c>
      <c r="B1092" s="221">
        <f>IFERROR(__xludf.DUMMYFUNCTION("""COMPUTED_VALUE"""),1.1340424E7)</f>
        <v>11340424</v>
      </c>
      <c r="C1092" s="222" t="str">
        <f>IFERROR(__xludf.DUMMYFUNCTION("""COMPUTED_VALUE"""),"SMB PADANG PARIAMAN_160")</f>
        <v>SMB PADANG PARIAMAN_160</v>
      </c>
      <c r="D1092" s="222" t="str">
        <f>IFERROR(__xludf.DUMMYFUNCTION("""COMPUTED_VALUE"""),"REGIONAL I")</f>
        <v>REGIONAL I</v>
      </c>
      <c r="E1092" s="222" t="str">
        <f>IFERROR(__xludf.DUMMYFUNCTION("""COMPUTED_VALUE"""),"SUMBAR")</f>
        <v>SUMBAR</v>
      </c>
      <c r="F1092" s="222" t="str">
        <f>IFERROR(__xludf.DUMMYFUNCTION("""COMPUTED_VALUE"""),"LBA")</f>
        <v>LBA</v>
      </c>
      <c r="G1092" s="222" t="str">
        <f>IFERROR(__xludf.DUMMYFUNCTION("""COMPUTED_VALUE"""),"SUMBAGTENG")</f>
        <v>SUMBAGTENG</v>
      </c>
      <c r="H1092" s="222" t="str">
        <f>IFERROR(__xludf.DUMMYFUNCTION("""COMPUTED_VALUE"""),"BUKIT TINGGI")</f>
        <v>BUKIT TINGGI</v>
      </c>
      <c r="I1092" s="222" t="str">
        <f>IFERROR(__xludf.DUMMYFUNCTION("""COMPUTED_VALUE"""),"Batch 2")</f>
        <v>Batch 2</v>
      </c>
      <c r="J1092" s="225">
        <f>IFERROR(__xludf.DUMMYFUNCTION("""COMPUTED_VALUE"""),21.0)</f>
        <v>21</v>
      </c>
      <c r="K1092" s="224">
        <f>IFERROR(__xludf.DUMMYFUNCTION("""COMPUTED_VALUE"""),168.0)</f>
        <v>168</v>
      </c>
      <c r="L1092" s="226">
        <f>IFERROR(__xludf.DUMMYFUNCTION("""COMPUTED_VALUE"""),910587.0)</f>
        <v>910587</v>
      </c>
      <c r="M1092" s="227">
        <f>IFERROR(__xludf.DUMMYFUNCTION("""COMPUTED_VALUE"""),1.52978571E8)</f>
        <v>152978571</v>
      </c>
      <c r="N1092" s="222" t="str">
        <f>IFERROR(__xludf.DUMMYFUNCTION("""COMPUTED_VALUE"""),"PT PUTRI JAYA AKSES")</f>
        <v>PT PUTRI JAYA AKSES</v>
      </c>
      <c r="O1092" s="222" t="str">
        <f>IFERROR(__xludf.DUMMYFUNCTION("""COMPUTED_VALUE"""),"0. DROP")</f>
        <v>0. DROP</v>
      </c>
      <c r="P1092" s="222" t="str">
        <f>IFERROR(__xludf.DUMMYFUNCTION("""COMPUTED_VALUE"""),"0.3 Feeder Full")</f>
        <v>0.3 Feeder Full</v>
      </c>
      <c r="Q1092" s="222" t="str">
        <f>IFERROR(__xludf.DUMMYFUNCTION("""COMPUTED_VALUE"""),"(02/03) Kendala feeder LBA-FA FULL")</f>
        <v>(02/03) Kendala feeder LBA-FA FULL</v>
      </c>
      <c r="R1092" s="228"/>
      <c r="S1092" s="11"/>
      <c r="T1092" s="11"/>
      <c r="U1092" s="11"/>
      <c r="V1092" s="229"/>
      <c r="W1092" s="229"/>
      <c r="X1092" s="229" t="str">
        <f>IFERROR(__xludf.DUMMYFUNCTION("""COMPUTED_VALUE"""),"BELUM GOLIVE")</f>
        <v>BELUM GOLIVE</v>
      </c>
      <c r="Y1092" s="229"/>
      <c r="Z1092" s="229" t="str">
        <f>IFERROR(__xludf.DUMMYFUNCTION("""COMPUTED_VALUE"""),"#N/A")</f>
        <v>#N/A</v>
      </c>
      <c r="AA1092" s="229"/>
      <c r="AB1092" s="229"/>
      <c r="AC1092" s="229"/>
      <c r="AD1092" s="232"/>
      <c r="AE1092" s="233"/>
      <c r="AF1092" s="54" t="str">
        <f>IFERROR(__xludf.DUMMYFUNCTION("""COMPUTED_VALUE"""),"Draft BA DROP")</f>
        <v>Draft BA DROP</v>
      </c>
      <c r="AG1092" s="54"/>
      <c r="AH1092" s="54"/>
      <c r="AI1092" s="55" t="str">
        <f t="shared" si="122"/>
        <v/>
      </c>
      <c r="AW1092" s="234"/>
      <c r="BP1092" s="11"/>
      <c r="BQ1092" s="11"/>
      <c r="BR1092" s="235"/>
      <c r="BV1092" s="158"/>
      <c r="BY1092" s="158"/>
      <c r="CB1092" s="158"/>
    </row>
    <row r="1093" ht="18.0" hidden="1" customHeight="1">
      <c r="A1093" s="222">
        <f>IFERROR(__xludf.DUMMYFUNCTION("""COMPUTED_VALUE"""),2026.0)</f>
        <v>2026</v>
      </c>
      <c r="B1093" s="221">
        <f>IFERROR(__xludf.DUMMYFUNCTION("""COMPUTED_VALUE"""),1.1189146E7)</f>
        <v>11189146</v>
      </c>
      <c r="C1093" s="222" t="str">
        <f>IFERROR(__xludf.DUMMYFUNCTION("""COMPUTED_VALUE"""),"MDN PT3 P7I10 MDC-FAB GG.KESATRIA")</f>
        <v>MDN PT3 P7I10 MDC-FAB GG.KESATRIA</v>
      </c>
      <c r="D1093" s="222" t="str">
        <f>IFERROR(__xludf.DUMMYFUNCTION("""COMPUTED_VALUE"""),"REGIONAL I")</f>
        <v>REGIONAL I</v>
      </c>
      <c r="E1093" s="222" t="str">
        <f>IFERROR(__xludf.DUMMYFUNCTION("""COMPUTED_VALUE"""),"MEDAN")</f>
        <v>MEDAN</v>
      </c>
      <c r="F1093" s="222" t="str">
        <f>IFERROR(__xludf.DUMMYFUNCTION("""COMPUTED_VALUE"""),"MDC")</f>
        <v>MDC</v>
      </c>
      <c r="G1093" s="222" t="str">
        <f>IFERROR(__xludf.DUMMYFUNCTION("""COMPUTED_VALUE"""),"SUMBAGUT")</f>
        <v>SUMBAGUT</v>
      </c>
      <c r="H1093" s="222" t="str">
        <f>IFERROR(__xludf.DUMMYFUNCTION("""COMPUTED_VALUE"""),"MEDAN")</f>
        <v>MEDAN</v>
      </c>
      <c r="I1093" s="222" t="str">
        <f>IFERROR(__xludf.DUMMYFUNCTION("""COMPUTED_VALUE"""),"Batch 2")</f>
        <v>Batch 2</v>
      </c>
      <c r="J1093" s="225">
        <f>IFERROR(__xludf.DUMMYFUNCTION("""COMPUTED_VALUE"""),2.0)</f>
        <v>2</v>
      </c>
      <c r="K1093" s="224">
        <f>IFERROR(__xludf.DUMMYFUNCTION("""COMPUTED_VALUE"""),16.0)</f>
        <v>16</v>
      </c>
      <c r="L1093" s="226">
        <f>IFERROR(__xludf.DUMMYFUNCTION("""COMPUTED_VALUE"""),1033131.0)</f>
        <v>1033131</v>
      </c>
      <c r="M1093" s="227">
        <f>IFERROR(__xludf.DUMMYFUNCTION("""COMPUTED_VALUE"""),1.6530086E7)</f>
        <v>16530086</v>
      </c>
      <c r="N1093" s="222" t="str">
        <f>IFERROR(__xludf.DUMMYFUNCTION("""COMPUTED_VALUE"""),"PT BENWA  MITRA PRATAMA")</f>
        <v>PT BENWA  MITRA PRATAMA</v>
      </c>
      <c r="O1093" s="222" t="str">
        <f>IFERROR(__xludf.DUMMYFUNCTION("""COMPUTED_VALUE"""),"0. DROP")</f>
        <v>0. DROP</v>
      </c>
      <c r="P1093" s="222" t="str">
        <f>IFERROR(__xludf.DUMMYFUNCTION("""COMPUTED_VALUE"""),"0.2 Tidak Dapat Izin Warga/Kades/Lurah/Developer")</f>
        <v>0.2 Tidak Dapat Izin Warga/Kades/Lurah/Developer</v>
      </c>
      <c r="Q1093" s="222" t="str">
        <f>IFERROR(__xludf.DUMMYFUNCTION("""COMPUTED_VALUE"""),"Tidak Ada Space Tanam Tiang (07/01) Persiapan")</f>
        <v>Tidak Ada Space Tanam Tiang (07/01) Persiapan</v>
      </c>
      <c r="R1093" s="228"/>
      <c r="S1093" s="11"/>
      <c r="T1093" s="11"/>
      <c r="U1093" s="11"/>
      <c r="V1093" s="229"/>
      <c r="W1093" s="229"/>
      <c r="X1093" s="229" t="str">
        <f>IFERROR(__xludf.DUMMYFUNCTION("""COMPUTED_VALUE"""),"BELUM GOLIVE")</f>
        <v>BELUM GOLIVE</v>
      </c>
      <c r="Y1093" s="229"/>
      <c r="Z1093" s="229" t="str">
        <f>IFERROR(__xludf.DUMMYFUNCTION("""COMPUTED_VALUE"""),"#N/A")</f>
        <v>#N/A</v>
      </c>
      <c r="AA1093" s="229"/>
      <c r="AB1093" s="229"/>
      <c r="AC1093" s="229"/>
      <c r="AD1093" s="232"/>
      <c r="AE1093" s="233"/>
      <c r="AF1093" s="54" t="str">
        <f>IFERROR(__xludf.DUMMYFUNCTION("""COMPUTED_VALUE"""),"Draft BA DROP")</f>
        <v>Draft BA DROP</v>
      </c>
      <c r="AG1093" s="54"/>
      <c r="AH1093" s="54"/>
      <c r="AI1093" s="55" t="str">
        <f t="shared" si="122"/>
        <v/>
      </c>
      <c r="AW1093" s="234"/>
      <c r="BP1093" s="11"/>
      <c r="BQ1093" s="11"/>
      <c r="BR1093" s="235"/>
      <c r="BV1093" s="158"/>
      <c r="BY1093" s="158"/>
      <c r="CB1093" s="158"/>
    </row>
    <row r="1094" ht="18.0" hidden="1" customHeight="1">
      <c r="A1094" s="222">
        <f>IFERROR(__xludf.DUMMYFUNCTION("""COMPUTED_VALUE"""),2026.0)</f>
        <v>2026</v>
      </c>
      <c r="B1094" s="221">
        <f>IFERROR(__xludf.DUMMYFUNCTION("""COMPUTED_VALUE"""),1.1131003E7)</f>
        <v>11131003</v>
      </c>
      <c r="C1094" s="222" t="str">
        <f>IFERROR(__xludf.DUMMYFUNCTION("""COMPUTED_VALUE"""),"MDN PT3 P7I4 TMU-FCA SMK RESIDENCE")</f>
        <v>MDN PT3 P7I4 TMU-FCA SMK RESIDENCE</v>
      </c>
      <c r="D1094" s="222" t="str">
        <f>IFERROR(__xludf.DUMMYFUNCTION("""COMPUTED_VALUE"""),"REGIONAL I")</f>
        <v>REGIONAL I</v>
      </c>
      <c r="E1094" s="222" t="str">
        <f>IFERROR(__xludf.DUMMYFUNCTION("""COMPUTED_VALUE"""),"MEDAN")</f>
        <v>MEDAN</v>
      </c>
      <c r="F1094" s="222" t="str">
        <f>IFERROR(__xludf.DUMMYFUNCTION("""COMPUTED_VALUE"""),"TMU")</f>
        <v>TMU</v>
      </c>
      <c r="G1094" s="222" t="str">
        <f>IFERROR(__xludf.DUMMYFUNCTION("""COMPUTED_VALUE"""),"SUMBAGUT")</f>
        <v>SUMBAGUT</v>
      </c>
      <c r="H1094" s="222" t="str">
        <f>IFERROR(__xludf.DUMMYFUNCTION("""COMPUTED_VALUE"""),"MEDAN")</f>
        <v>MEDAN</v>
      </c>
      <c r="I1094" s="222" t="str">
        <f>IFERROR(__xludf.DUMMYFUNCTION("""COMPUTED_VALUE"""),"Batch 2")</f>
        <v>Batch 2</v>
      </c>
      <c r="J1094" s="225">
        <f>IFERROR(__xludf.DUMMYFUNCTION("""COMPUTED_VALUE"""),3.0)</f>
        <v>3</v>
      </c>
      <c r="K1094" s="224">
        <f>IFERROR(__xludf.DUMMYFUNCTION("""COMPUTED_VALUE"""),24.0)</f>
        <v>24</v>
      </c>
      <c r="L1094" s="226">
        <f>IFERROR(__xludf.DUMMYFUNCTION("""COMPUTED_VALUE"""),909953.0)</f>
        <v>909953</v>
      </c>
      <c r="M1094" s="227">
        <f>IFERROR(__xludf.DUMMYFUNCTION("""COMPUTED_VALUE"""),2.1838851E7)</f>
        <v>21838851</v>
      </c>
      <c r="N1094" s="222" t="str">
        <f>IFERROR(__xludf.DUMMYFUNCTION("""COMPUTED_VALUE"""),"PT SALTTEK DUMPANG JAYA")</f>
        <v>PT SALTTEK DUMPANG JAYA</v>
      </c>
      <c r="O1094" s="222" t="str">
        <f>IFERROR(__xludf.DUMMYFUNCTION("""COMPUTED_VALUE"""),"0. DROP")</f>
        <v>0. DROP</v>
      </c>
      <c r="P1094" s="222" t="str">
        <f>IFERROR(__xludf.DUMMYFUNCTION("""COMPUTED_VALUE"""),"0.3 Feeder Full")</f>
        <v>0.3 Feeder Full</v>
      </c>
      <c r="Q1094" s="222" t="str">
        <f>IFERROR(__xludf.DUMMYFUNCTION("""COMPUTED_VALUE"""),"5/11 Feeder Habis
01/11proses aanwijzing")</f>
        <v>5/11 Feeder Habis
01/11proses aanwijzing</v>
      </c>
      <c r="R1094" s="228"/>
      <c r="S1094" s="11"/>
      <c r="T1094" s="11"/>
      <c r="U1094" s="11"/>
      <c r="V1094" s="229"/>
      <c r="W1094" s="229"/>
      <c r="X1094" s="229" t="str">
        <f>IFERROR(__xludf.DUMMYFUNCTION("""COMPUTED_VALUE"""),"BELUM GOLIVE")</f>
        <v>BELUM GOLIVE</v>
      </c>
      <c r="Y1094" s="229"/>
      <c r="Z1094" s="229" t="str">
        <f>IFERROR(__xludf.DUMMYFUNCTION("""COMPUTED_VALUE"""),"#N/A")</f>
        <v>#N/A</v>
      </c>
      <c r="AA1094" s="229"/>
      <c r="AB1094" s="229"/>
      <c r="AC1094" s="229"/>
      <c r="AD1094" s="232"/>
      <c r="AE1094" s="233"/>
      <c r="AF1094" s="54"/>
      <c r="AG1094" s="54"/>
      <c r="AH1094" s="54"/>
      <c r="AI1094" s="55" t="str">
        <f t="shared" si="122"/>
        <v/>
      </c>
      <c r="AW1094" s="234"/>
      <c r="BP1094" s="11"/>
      <c r="BQ1094" s="11"/>
      <c r="BR1094" s="235"/>
      <c r="BV1094" s="158"/>
      <c r="BY1094" s="158"/>
      <c r="CB1094" s="158"/>
    </row>
    <row r="1095" ht="18.0" hidden="1" customHeight="1">
      <c r="A1095" s="222">
        <f>IFERROR(__xludf.DUMMYFUNCTION("""COMPUTED_VALUE"""),2026.0)</f>
        <v>2026</v>
      </c>
      <c r="B1095" s="221">
        <f>IFERROR(__xludf.DUMMYFUNCTION("""COMPUTED_VALUE"""),1.1188628E7)</f>
        <v>11188628</v>
      </c>
      <c r="C1095" s="222" t="str">
        <f>IFERROR(__xludf.DUMMYFUNCTION("""COMPUTED_VALUE"""),"MDN PT3 SPM-FCH JL.RIWAYAT GG.KUMIS")</f>
        <v>MDN PT3 SPM-FCH JL.RIWAYAT GG.KUMIS</v>
      </c>
      <c r="D1095" s="222" t="str">
        <f>IFERROR(__xludf.DUMMYFUNCTION("""COMPUTED_VALUE"""),"REGIONAL I")</f>
        <v>REGIONAL I</v>
      </c>
      <c r="E1095" s="222" t="str">
        <f>IFERROR(__xludf.DUMMYFUNCTION("""COMPUTED_VALUE"""),"MEDAN")</f>
        <v>MEDAN</v>
      </c>
      <c r="F1095" s="222" t="str">
        <f>IFERROR(__xludf.DUMMYFUNCTION("""COMPUTED_VALUE"""),"SPM")</f>
        <v>SPM</v>
      </c>
      <c r="G1095" s="222" t="str">
        <f>IFERROR(__xludf.DUMMYFUNCTION("""COMPUTED_VALUE"""),"SUMBAGUT")</f>
        <v>SUMBAGUT</v>
      </c>
      <c r="H1095" s="222" t="str">
        <f>IFERROR(__xludf.DUMMYFUNCTION("""COMPUTED_VALUE"""),"MEDAN")</f>
        <v>MEDAN</v>
      </c>
      <c r="I1095" s="222" t="str">
        <f>IFERROR(__xludf.DUMMYFUNCTION("""COMPUTED_VALUE"""),"Batch 2")</f>
        <v>Batch 2</v>
      </c>
      <c r="J1095" s="225">
        <f>IFERROR(__xludf.DUMMYFUNCTION("""COMPUTED_VALUE"""),3.0)</f>
        <v>3</v>
      </c>
      <c r="K1095" s="224">
        <f>IFERROR(__xludf.DUMMYFUNCTION("""COMPUTED_VALUE"""),24.0)</f>
        <v>24</v>
      </c>
      <c r="L1095" s="226">
        <f>IFERROR(__xludf.DUMMYFUNCTION("""COMPUTED_VALUE"""),1490134.0)</f>
        <v>1490134</v>
      </c>
      <c r="M1095" s="227">
        <f>IFERROR(__xludf.DUMMYFUNCTION("""COMPUTED_VALUE"""),3.5763203E7)</f>
        <v>35763203</v>
      </c>
      <c r="N1095" s="222" t="str">
        <f>IFERROR(__xludf.DUMMYFUNCTION("""COMPUTED_VALUE"""),"PT UPENTEL INTERNASIONAL")</f>
        <v>PT UPENTEL INTERNASIONAL</v>
      </c>
      <c r="O1095" s="222" t="str">
        <f>IFERROR(__xludf.DUMMYFUNCTION("""COMPUTED_VALUE"""),"0. DROP")</f>
        <v>0. DROP</v>
      </c>
      <c r="P1095" s="222" t="str">
        <f>IFERROR(__xludf.DUMMYFUNCTION("""COMPUTED_VALUE"""),"0.4 CPP Tinggi Acc ED TIF")</f>
        <v>0.4 CPP Tinggi Acc ED TIF</v>
      </c>
      <c r="Q1095" s="222" t="str">
        <f>IFERROR(__xludf.DUMMYFUNCTION("""COMPUTED_VALUE"""),"01/11 Distribusi Penuh
(24/09) Perizinan Warga dan Kades / Lurah
(23/09) Perizinan Warga dan Kades / Lurah
15/09 proses aanwijzing")</f>
        <v>01/11 Distribusi Penuh
(24/09) Perizinan Warga dan Kades / Lurah
(23/09) Perizinan Warga dan Kades / Lurah
15/09 proses aanwijzing</v>
      </c>
      <c r="R1095" s="228"/>
      <c r="S1095" s="11"/>
      <c r="T1095" s="11"/>
      <c r="U1095" s="11"/>
      <c r="V1095" s="229"/>
      <c r="W1095" s="229"/>
      <c r="X1095" s="229" t="str">
        <f>IFERROR(__xludf.DUMMYFUNCTION("""COMPUTED_VALUE"""),"BELUM GOLIVE")</f>
        <v>BELUM GOLIVE</v>
      </c>
      <c r="Y1095" s="229"/>
      <c r="Z1095" s="229" t="str">
        <f>IFERROR(__xludf.DUMMYFUNCTION("""COMPUTED_VALUE"""),"#N/A")</f>
        <v>#N/A</v>
      </c>
      <c r="AA1095" s="229"/>
      <c r="AB1095" s="229"/>
      <c r="AC1095" s="229"/>
      <c r="AD1095" s="232"/>
      <c r="AE1095" s="233"/>
      <c r="AF1095" s="54" t="str">
        <f>IFERROR(__xludf.DUMMYFUNCTION("""COMPUTED_VALUE"""),"Draft BA DROP")</f>
        <v>Draft BA DROP</v>
      </c>
      <c r="AG1095" s="54"/>
      <c r="AH1095" s="54"/>
      <c r="AI1095" s="55" t="str">
        <f t="shared" si="122"/>
        <v/>
      </c>
      <c r="AW1095" s="234"/>
      <c r="BP1095" s="11"/>
      <c r="BQ1095" s="11"/>
      <c r="BR1095" s="235"/>
      <c r="BV1095" s="158"/>
      <c r="BY1095" s="158"/>
      <c r="CB1095" s="158"/>
    </row>
    <row r="1096" ht="18.0" hidden="1" customHeight="1">
      <c r="A1096" s="222">
        <f>IFERROR(__xludf.DUMMYFUNCTION("""COMPUTED_VALUE"""),2026.0)</f>
        <v>2026</v>
      </c>
      <c r="B1096" s="221">
        <f>IFERROR(__xludf.DUMMYFUNCTION("""COMPUTED_VALUE"""),1.2213637E7)</f>
        <v>12213637</v>
      </c>
      <c r="C1096" s="222" t="str">
        <f>IFERROR(__xludf.DUMMYFUNCTION("""COMPUTED_VALUE"""),"SMS P3I4 PT3 IDL FAA INDRALAYA RAYA QE")</f>
        <v>SMS P3I4 PT3 IDL FAA INDRALAYA RAYA QE</v>
      </c>
      <c r="D1096" s="222" t="str">
        <f>IFERROR(__xludf.DUMMYFUNCTION("""COMPUTED_VALUE"""),"REGIONAL I")</f>
        <v>REGIONAL I</v>
      </c>
      <c r="E1096" s="222" t="str">
        <f>IFERROR(__xludf.DUMMYFUNCTION("""COMPUTED_VALUE"""),"SUMSEL")</f>
        <v>SUMSEL</v>
      </c>
      <c r="F1096" s="222" t="str">
        <f>IFERROR(__xludf.DUMMYFUNCTION("""COMPUTED_VALUE"""),"IDL")</f>
        <v>IDL</v>
      </c>
      <c r="G1096" s="222" t="str">
        <f>IFERROR(__xludf.DUMMYFUNCTION("""COMPUTED_VALUE"""),"SUMBAGSEL")</f>
        <v>SUMBAGSEL</v>
      </c>
      <c r="H1096" s="222" t="str">
        <f>IFERROR(__xludf.DUMMYFUNCTION("""COMPUTED_VALUE"""),"PALEMBANG")</f>
        <v>PALEMBANG</v>
      </c>
      <c r="I1096" s="222" t="str">
        <f>IFERROR(__xludf.DUMMYFUNCTION("""COMPUTED_VALUE"""),"Batch 2")</f>
        <v>Batch 2</v>
      </c>
      <c r="J1096" s="225">
        <f>IFERROR(__xludf.DUMMYFUNCTION("""COMPUTED_VALUE"""),8.0)</f>
        <v>8</v>
      </c>
      <c r="K1096" s="224">
        <f>IFERROR(__xludf.DUMMYFUNCTION("""COMPUTED_VALUE"""),64.0)</f>
        <v>64</v>
      </c>
      <c r="L1096" s="226">
        <f>IFERROR(__xludf.DUMMYFUNCTION("""COMPUTED_VALUE"""),909771.0)</f>
        <v>909771</v>
      </c>
      <c r="M1096" s="227">
        <f>IFERROR(__xludf.DUMMYFUNCTION("""COMPUTED_VALUE"""),5.8225304E7)</f>
        <v>58225304</v>
      </c>
      <c r="N1096" s="222" t="str">
        <f>IFERROR(__xludf.DUMMYFUNCTION("""COMPUTED_VALUE"""),"PT SARANA MITRA PERSADA")</f>
        <v>PT SARANA MITRA PERSADA</v>
      </c>
      <c r="O1096" s="222" t="str">
        <f>IFERROR(__xludf.DUMMYFUNCTION("""COMPUTED_VALUE"""),"0. DROP")</f>
        <v>0. DROP</v>
      </c>
      <c r="P1096" s="222" t="str">
        <f>IFERROR(__xludf.DUMMYFUNCTION("""COMPUTED_VALUE"""),"0.2 Tidak Dapat Izin Warga/Kades/Lurah/Developer")</f>
        <v>0.2 Tidak Dapat Izin Warga/Kades/Lurah/Developer</v>
      </c>
      <c r="Q1096" s="222" t="str">
        <f>IFERROR(__xludf.DUMMYFUNCTION("""COMPUTED_VALUE"""),"24/02 DROP - TDK DPT IZIN CAMAT, 11/02 WASPANG KONFIRM - DROP, TIDAK DAPAT IZIN, 11/02 LANJUT, QE OKE PERUBAHAN DESAIN SALES TSEL SUDAH OKE, 06/02 HASIL REVIEW TSEL DROP, BUTUH REDESAIN DARI TSEL, 30/01 PASTIKAN CORE FEEDER TERKAIT QE, DAN ADA PENANAMAN T"&amp;"IANG DI RUAS PU NASIONAL 31/01 hold menunggu konfirmasi sales terkait jalur PU nasional dan pengecekan QE feeder 30/01 PASTIKAN CORE FEEDER TERKAIT QE, DAN ADA PENANAMAN TIANG DI RUAS PU NASIONAL, (26/1) tim TIF belum bisa EVAL hasil anwijzing karena lagi"&amp;" diluar kota , estimasi 29 jan baru kembali ke Palembang(25/01) PERIZINAN OK - BUTUH QE FEEDER, (21/01) AANWIDJZING, (15/1) ORDER DITERIMA 14/1, PLAN AANWIJDZING 20 JAN 26 (06/01)order JPP batch-2 2026 ((14/11)HOLD- tidak masuk target Optimis 2025 (
 14/0"&amp;"1 penunjukan mitra oleh procurement")</f>
        <v>24/02 DROP - TDK DPT IZIN CAMAT, 11/02 WASPANG KONFIRM - DROP, TIDAK DAPAT IZIN, 11/02 LANJUT, QE OKE PERUBAHAN DESAIN SALES TSEL SUDAH OKE, 06/02 HASIL REVIEW TSEL DROP, BUTUH REDESAIN DARI TSEL, 30/01 PASTIKAN CORE FEEDER TERKAIT QE, DAN ADA PENANAMAN TIANG DI RUAS PU NASIONAL 31/01 hold menunggu konfirmasi sales terkait jalur PU nasional dan pengecekan QE feeder 30/01 PASTIKAN CORE FEEDER TERKAIT QE, DAN ADA PENANAMAN TIANG DI RUAS PU NASIONAL, (26/1) tim TIF belum bisa EVAL hasil anwijzing karena lagi diluar kota , estimasi 29 jan baru kembali ke Palembang(25/01) PERIZINAN OK - BUTUH QE FEEDER, (21/01) AANWIDJZING, (15/1) ORDER DITERIMA 14/1, PLAN AANWIJDZING 20 JAN 26 (06/01)order JPP batch-2 2026 ((14/11)HOLD- tidak masuk target Optimis 2025 (
 14/01 penunjukan mitra oleh procurement</v>
      </c>
      <c r="R1096" s="228"/>
      <c r="S1096" s="11"/>
      <c r="T1096" s="11"/>
      <c r="U1096" s="11"/>
      <c r="V1096" s="229" t="str">
        <f>IFERROR(__xludf.DUMMYFUNCTION("""COMPUTED_VALUE"""),"RENALDO")</f>
        <v>RENALDO</v>
      </c>
      <c r="W1096" s="229"/>
      <c r="X1096" s="229" t="str">
        <f>IFERROR(__xludf.DUMMYFUNCTION("""COMPUTED_VALUE"""),"BELUM GOLIVE")</f>
        <v>BELUM GOLIVE</v>
      </c>
      <c r="Y1096" s="229"/>
      <c r="Z1096" s="229" t="str">
        <f>IFERROR(__xludf.DUMMYFUNCTION("""COMPUTED_VALUE"""),"#N/A")</f>
        <v>#N/A</v>
      </c>
      <c r="AA1096" s="229"/>
      <c r="AB1096" s="229"/>
      <c r="AC1096" s="229"/>
      <c r="AD1096" s="232"/>
      <c r="AE1096" s="233"/>
      <c r="AF1096" s="54" t="str">
        <f>IFERROR(__xludf.DUMMYFUNCTION("""COMPUTED_VALUE"""),"Draft BA DROP")</f>
        <v>Draft BA DROP</v>
      </c>
      <c r="AG1096" s="54"/>
      <c r="AH1096" s="54"/>
      <c r="AI1096" s="55" t="str">
        <f t="shared" si="122"/>
        <v/>
      </c>
      <c r="AW1096" s="234"/>
      <c r="BP1096" s="11"/>
      <c r="BQ1096" s="11"/>
      <c r="BR1096" s="235"/>
      <c r="BV1096" s="158"/>
      <c r="BY1096" s="158"/>
      <c r="CB1096" s="158"/>
    </row>
    <row r="1097" ht="18.0" hidden="1" customHeight="1">
      <c r="A1097" s="222">
        <f>IFERROR(__xludf.DUMMYFUNCTION("""COMPUTED_VALUE"""),2026.0)</f>
        <v>2026</v>
      </c>
      <c r="B1097" s="221">
        <f>IFERROR(__xludf.DUMMYFUNCTION("""COMPUTED_VALUE"""),1.1206499E7)</f>
        <v>11206499</v>
      </c>
      <c r="C1097" s="222" t="str">
        <f>IFERROR(__xludf.DUMMYFUNCTION("""COMPUTED_VALUE"""),"MDN PT3 P7I12 CTD-FCS JL.SUKARAME")</f>
        <v>MDN PT3 P7I12 CTD-FCS JL.SUKARAME</v>
      </c>
      <c r="D1097" s="222" t="str">
        <f>IFERROR(__xludf.DUMMYFUNCTION("""COMPUTED_VALUE"""),"REGIONAL I")</f>
        <v>REGIONAL I</v>
      </c>
      <c r="E1097" s="222" t="str">
        <f>IFERROR(__xludf.DUMMYFUNCTION("""COMPUTED_VALUE"""),"MEDAN")</f>
        <v>MEDAN</v>
      </c>
      <c r="F1097" s="222" t="str">
        <f>IFERROR(__xludf.DUMMYFUNCTION("""COMPUTED_VALUE"""),"CTD")</f>
        <v>CTD</v>
      </c>
      <c r="G1097" s="222" t="str">
        <f>IFERROR(__xludf.DUMMYFUNCTION("""COMPUTED_VALUE"""),"SUMBAGUT")</f>
        <v>SUMBAGUT</v>
      </c>
      <c r="H1097" s="222" t="str">
        <f>IFERROR(__xludf.DUMMYFUNCTION("""COMPUTED_VALUE"""),"MEDAN")</f>
        <v>MEDAN</v>
      </c>
      <c r="I1097" s="222" t="str">
        <f>IFERROR(__xludf.DUMMYFUNCTION("""COMPUTED_VALUE"""),"Batch 2")</f>
        <v>Batch 2</v>
      </c>
      <c r="J1097" s="225">
        <f>IFERROR(__xludf.DUMMYFUNCTION("""COMPUTED_VALUE"""),1.0)</f>
        <v>1</v>
      </c>
      <c r="K1097" s="224">
        <f>IFERROR(__xludf.DUMMYFUNCTION("""COMPUTED_VALUE"""),8.0)</f>
        <v>8</v>
      </c>
      <c r="L1097" s="226">
        <f>IFERROR(__xludf.DUMMYFUNCTION("""COMPUTED_VALUE"""),1355834.0)</f>
        <v>1355834</v>
      </c>
      <c r="M1097" s="227">
        <f>IFERROR(__xludf.DUMMYFUNCTION("""COMPUTED_VALUE"""),1.0846667E7)</f>
        <v>10846667</v>
      </c>
      <c r="N1097" s="222" t="str">
        <f>IFERROR(__xludf.DUMMYFUNCTION("""COMPUTED_VALUE"""),"PT GLOBAL KARYA WANDA")</f>
        <v>PT GLOBAL KARYA WANDA</v>
      </c>
      <c r="O1097" s="222" t="str">
        <f>IFERROR(__xludf.DUMMYFUNCTION("""COMPUTED_VALUE"""),"0. DROP")</f>
        <v>0. DROP</v>
      </c>
      <c r="P1097" s="222" t="str">
        <f>IFERROR(__xludf.DUMMYFUNCTION("""COMPUTED_VALUE"""),"0.4 CPP Tinggi Acc ED TIF")</f>
        <v>0.4 CPP Tinggi Acc ED TIF</v>
      </c>
      <c r="Q1097" s="222" t="str">
        <f>IFERROR(__xludf.DUMMYFUNCTION("""COMPUTED_VALUE"""),"27/02 menunggu eval 19/02 Pengajuan commcase 1.4jt 11/02 Aanwidzing OK, lanjut perizinan 28/01 Done Order, lnjut Aanwidzing")</f>
        <v>27/02 menunggu eval 19/02 Pengajuan commcase 1.4jt 11/02 Aanwidzing OK, lanjut perizinan 28/01 Done Order, lnjut Aanwidzing</v>
      </c>
      <c r="R1097" s="228"/>
      <c r="S1097" s="11"/>
      <c r="T1097" s="11"/>
      <c r="U1097" s="11"/>
      <c r="V1097" s="229"/>
      <c r="W1097" s="229"/>
      <c r="X1097" s="229" t="str">
        <f>IFERROR(__xludf.DUMMYFUNCTION("""COMPUTED_VALUE"""),"BELUM GOLIVE")</f>
        <v>BELUM GOLIVE</v>
      </c>
      <c r="Y1097" s="229"/>
      <c r="Z1097" s="229" t="str">
        <f>IFERROR(__xludf.DUMMYFUNCTION("""COMPUTED_VALUE"""),"#N/A")</f>
        <v>#N/A</v>
      </c>
      <c r="AA1097" s="229"/>
      <c r="AB1097" s="229"/>
      <c r="AC1097" s="229"/>
      <c r="AD1097" s="232"/>
      <c r="AE1097" s="233"/>
      <c r="AF1097" s="54" t="str">
        <f>IFERROR(__xludf.DUMMYFUNCTION("""COMPUTED_VALUE"""),"Draft BA DROP")</f>
        <v>Draft BA DROP</v>
      </c>
      <c r="AG1097" s="54"/>
      <c r="AH1097" s="54"/>
      <c r="AI1097" s="55" t="str">
        <f t="shared" si="122"/>
        <v/>
      </c>
      <c r="AW1097" s="234"/>
      <c r="BP1097" s="11"/>
      <c r="BQ1097" s="11"/>
      <c r="BR1097" s="235"/>
      <c r="BV1097" s="158"/>
      <c r="BY1097" s="158"/>
      <c r="CB1097" s="158"/>
    </row>
    <row r="1098" ht="18.0" hidden="1" customHeight="1">
      <c r="A1098" s="222">
        <f>IFERROR(__xludf.DUMMYFUNCTION("""COMPUTED_VALUE"""),2026.0)</f>
        <v>2026</v>
      </c>
      <c r="B1098" s="221">
        <f>IFERROR(__xludf.DUMMYFUNCTION("""COMPUTED_VALUE"""),1.2274205E7)</f>
        <v>12274205</v>
      </c>
      <c r="C1098" s="222" t="str">
        <f>IFERROR(__xludf.DUMMYFUNCTION("""COMPUTED_VALUE"""),"SMU PT3 ANR-FAH D03 CLUST DESA N6")</f>
        <v>SMU PT3 ANR-FAH D03 CLUST DESA N6</v>
      </c>
      <c r="D1098" s="222" t="str">
        <f>IFERROR(__xludf.DUMMYFUNCTION("""COMPUTED_VALUE"""),"REGIONAL I")</f>
        <v>REGIONAL I</v>
      </c>
      <c r="E1098" s="222" t="str">
        <f>IFERROR(__xludf.DUMMYFUNCTION("""COMPUTED_VALUE"""),"SUMUT")</f>
        <v>SUMUT</v>
      </c>
      <c r="F1098" s="222" t="str">
        <f>IFERROR(__xludf.DUMMYFUNCTION("""COMPUTED_VALUE"""),"ANR")</f>
        <v>ANR</v>
      </c>
      <c r="G1098" s="222" t="str">
        <f>IFERROR(__xludf.DUMMYFUNCTION("""COMPUTED_VALUE"""),"SUMBAGUT")</f>
        <v>SUMBAGUT</v>
      </c>
      <c r="H1098" s="222" t="str">
        <f>IFERROR(__xludf.DUMMYFUNCTION("""COMPUTED_VALUE"""),"RANTAU PRAPAT")</f>
        <v>RANTAU PRAPAT</v>
      </c>
      <c r="I1098" s="222" t="str">
        <f>IFERROR(__xludf.DUMMYFUNCTION("""COMPUTED_VALUE"""),"Batch 2")</f>
        <v>Batch 2</v>
      </c>
      <c r="J1098" s="225">
        <f>IFERROR(__xludf.DUMMYFUNCTION("""COMPUTED_VALUE"""),4.0)</f>
        <v>4</v>
      </c>
      <c r="K1098" s="224">
        <f>IFERROR(__xludf.DUMMYFUNCTION("""COMPUTED_VALUE"""),32.0)</f>
        <v>32</v>
      </c>
      <c r="L1098" s="226">
        <f>IFERROR(__xludf.DUMMYFUNCTION("""COMPUTED_VALUE"""),909565.0)</f>
        <v>909565</v>
      </c>
      <c r="M1098" s="227">
        <f>IFERROR(__xludf.DUMMYFUNCTION("""COMPUTED_VALUE"""),2.9106056E7)</f>
        <v>29106056</v>
      </c>
      <c r="N1098" s="222" t="str">
        <f>IFERROR(__xludf.DUMMYFUNCTION("""COMPUTED_VALUE"""),"PT UPAYA TEKNIK")</f>
        <v>PT UPAYA TEKNIK</v>
      </c>
      <c r="O1098" s="222" t="str">
        <f>IFERROR(__xludf.DUMMYFUNCTION("""COMPUTED_VALUE"""),"7. GOLIVE")</f>
        <v>7. GOLIVE</v>
      </c>
      <c r="P1098" s="222" t="str">
        <f>IFERROR(__xludf.DUMMYFUNCTION("""COMPUTED_VALUE"""),"7.2 Golive Full / OA / DONE OTB")</f>
        <v>7.2 Golive Full / OA / DONE OTB</v>
      </c>
      <c r="Q1098" s="222" t="str">
        <f>IFERROR(__xludf.DUMMYFUNCTION("""COMPUTED_VALUE"""),"golive 18/2 validasi sdi, 16/2 sisa valins, 13/2 sisa instal 3 odp , penarikan kabel ku 12 (1900 selesai),,est fi senin 16 feb,  12/2 proses penarikan kabel ku 12 (1900 selesai), odp 4 blm ada progres,  11/2 proses penarikan kabel ku 12 (1900 selesai), od"&amp;"p 4 blm ada progres, 10/2 proses penarikan kabel ku 12 (1900 sisa 1400), odp 4 blm ada progres, 9/2 prepair pengiriman matrial kelokasi, 6/2 prepair pengiriman matrial kelokasi, 5/2 menunggu req matrial dari mitra,  3/2 menunggu req matrial dari mitra, 2/"&amp;"2 menunggu req matrial dari mitra,  1/2 menunggu req matrial dari mitra, 30/1 menunggu req matrial,28/1 menunggu req matrial, 27/1 menunggu  boq kml survey dan hasil cek otdr, 26/1 menunggu  boq kml survey,23/1 menunggu boq kml survey.22/1 menunggu boq da"&amp;"n kml dari mitra, 21/1 menunggu boq dan kml dari mitra, 20/1 plan survey 21/1, 19/1 plan survey 21/1, 15/1 plan survey 21/1, 14/1 plan survey 19/1 s/d 21/1, 13/1 menunggu info kelanjutan dari mitra, (07/01) Persiapan")</f>
        <v>golive 18/2 validasi sdi, 16/2 sisa valins, 13/2 sisa instal 3 odp , penarikan kabel ku 12 (1900 selesai),,est fi senin 16 feb,  12/2 proses penarikan kabel ku 12 (1900 selesai), odp 4 blm ada progres,  11/2 proses penarikan kabel ku 12 (1900 selesai), odp 4 blm ada progres, 10/2 proses penarikan kabel ku 12 (1900 sisa 1400), odp 4 blm ada progres, 9/2 prepair pengiriman matrial kelokasi, 6/2 prepair pengiriman matrial kelokasi, 5/2 menunggu req matrial dari mitra,  3/2 menunggu req matrial dari mitra, 2/2 menunggu req matrial dari mitra,  1/2 menunggu req matrial dari mitra, 30/1 menunggu req matrial,28/1 menunggu req matrial, 27/1 menunggu  boq kml survey dan hasil cek otdr, 26/1 menunggu  boq kml survey,23/1 menunggu boq kml survey.22/1 menunggu boq dan kml dari mitra, 21/1 menunggu boq dan kml dari mitra, 20/1 plan survey 21/1, 19/1 plan survey 21/1, 15/1 plan survey 21/1, 14/1 plan survey 19/1 s/d 21/1, 13/1 menunggu info kelanjutan dari mitra, (07/01) Persiapan</v>
      </c>
      <c r="R1098" s="228">
        <f>IFERROR(__xludf.DUMMYFUNCTION("""COMPUTED_VALUE"""),46072.0)</f>
        <v>46072</v>
      </c>
      <c r="S1098" s="11"/>
      <c r="T1098" s="11"/>
      <c r="U1098" s="11" t="str">
        <f>IFERROR(__xludf.DUMMYFUNCTION("""COMPUTED_VALUE"""),"W03-1749/2025")</f>
        <v>W03-1749/2025</v>
      </c>
      <c r="V1098" s="229"/>
      <c r="W1098" s="229"/>
      <c r="X1098" s="229" t="str">
        <f>IFERROR(__xludf.DUMMYFUNCTION("""COMPUTED_VALUE"""),"GOLIVE")</f>
        <v>GOLIVE</v>
      </c>
      <c r="Y1098" s="229" t="str">
        <f>IFERROR(__xludf.DUMMYFUNCTION("""COMPUTED_VALUE"""),"DONE")</f>
        <v>DONE</v>
      </c>
      <c r="Z1098" s="229" t="str">
        <f>IFERROR(__xludf.DUMMYFUNCTION("""COMPUTED_VALUE"""),"#N/A")</f>
        <v>#N/A</v>
      </c>
      <c r="AA1098" s="229">
        <f>IFERROR(__xludf.DUMMYFUNCTION("""COMPUTED_VALUE"""),4.0)</f>
        <v>4</v>
      </c>
      <c r="AB1098" s="229"/>
      <c r="AC1098" s="229" t="str">
        <f>IFERROR(__xludf.DUMMYFUNCTION("""COMPUTED_VALUE"""),"9124255#9124260")</f>
        <v>9124255#9124260</v>
      </c>
      <c r="AD1098" s="232">
        <f>IFERROR(__xludf.DUMMYFUNCTION("""COMPUTED_VALUE"""),32.0)</f>
        <v>32</v>
      </c>
      <c r="AE1098" s="233">
        <f>IFERROR(__xludf.DUMMYFUNCTION("""COMPUTED_VALUE"""),46072.0)</f>
        <v>46072</v>
      </c>
      <c r="AF1098" s="54"/>
      <c r="AG1098" s="54"/>
      <c r="AH1098" s="54">
        <v>46072.0</v>
      </c>
      <c r="AI1098" s="55">
        <f t="shared" si="122"/>
        <v>0</v>
      </c>
      <c r="AW1098" s="234"/>
      <c r="BP1098" s="11"/>
      <c r="BQ1098" s="11"/>
      <c r="BR1098" s="235"/>
      <c r="BV1098" s="158"/>
      <c r="BY1098" s="158"/>
      <c r="CB1098" s="158"/>
    </row>
    <row r="1099" ht="18.0" hidden="1" customHeight="1">
      <c r="A1099" s="222">
        <f>IFERROR(__xludf.DUMMYFUNCTION("""COMPUTED_VALUE"""),2026.0)</f>
        <v>2026</v>
      </c>
      <c r="B1099" s="221">
        <f>IFERROR(__xludf.DUMMYFUNCTION("""COMPUTED_VALUE"""),1.1288464E7)</f>
        <v>11288464</v>
      </c>
      <c r="C1099" s="222" t="str">
        <f>IFERROR(__xludf.DUMMYFUNCTION("""COMPUTED_VALUE"""),"MDN PT3 DLT-FAD PERUM RORINATA TAHAP 3")</f>
        <v>MDN PT3 DLT-FAD PERUM RORINATA TAHAP 3</v>
      </c>
      <c r="D1099" s="222" t="str">
        <f>IFERROR(__xludf.DUMMYFUNCTION("""COMPUTED_VALUE"""),"REGIONAL I")</f>
        <v>REGIONAL I</v>
      </c>
      <c r="E1099" s="222" t="str">
        <f>IFERROR(__xludf.DUMMYFUNCTION("""COMPUTED_VALUE"""),"MEDAN")</f>
        <v>MEDAN</v>
      </c>
      <c r="F1099" s="222" t="str">
        <f>IFERROR(__xludf.DUMMYFUNCTION("""COMPUTED_VALUE"""),"DLT")</f>
        <v>DLT</v>
      </c>
      <c r="G1099" s="222" t="str">
        <f>IFERROR(__xludf.DUMMYFUNCTION("""COMPUTED_VALUE"""),"SUMBAGUT")</f>
        <v>SUMBAGUT</v>
      </c>
      <c r="H1099" s="222" t="str">
        <f>IFERROR(__xludf.DUMMYFUNCTION("""COMPUTED_VALUE"""),"MEDAN")</f>
        <v>MEDAN</v>
      </c>
      <c r="I1099" s="222" t="str">
        <f>IFERROR(__xludf.DUMMYFUNCTION("""COMPUTED_VALUE"""),"Batch 2")</f>
        <v>Batch 2</v>
      </c>
      <c r="J1099" s="225">
        <f>IFERROR(__xludf.DUMMYFUNCTION("""COMPUTED_VALUE"""),6.0)</f>
        <v>6</v>
      </c>
      <c r="K1099" s="224">
        <f>IFERROR(__xludf.DUMMYFUNCTION("""COMPUTED_VALUE"""),48.0)</f>
        <v>48</v>
      </c>
      <c r="L1099" s="226">
        <f>IFERROR(__xludf.DUMMYFUNCTION("""COMPUTED_VALUE"""),1497222.0)</f>
        <v>1497222</v>
      </c>
      <c r="M1099" s="227">
        <f>IFERROR(__xludf.DUMMYFUNCTION("""COMPUTED_VALUE"""),7.1866646E7)</f>
        <v>71866646</v>
      </c>
      <c r="N1099" s="222" t="str">
        <f>IFERROR(__xludf.DUMMYFUNCTION("""COMPUTED_VALUE"""),"PT UPENTEL INTERNASIONAL")</f>
        <v>PT UPENTEL INTERNASIONAL</v>
      </c>
      <c r="O1099" s="222" t="str">
        <f>IFERROR(__xludf.DUMMYFUNCTION("""COMPUTED_VALUE"""),"0. DROP")</f>
        <v>0. DROP</v>
      </c>
      <c r="P1099" s="222" t="str">
        <f>IFERROR(__xludf.DUMMYFUNCTION("""COMPUTED_VALUE"""),"0.4 CPP Tinggi Acc ED TIF")</f>
        <v>0.4 CPP Tinggi Acc ED TIF</v>
      </c>
      <c r="Q1099"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1099" s="228"/>
      <c r="S1099" s="11"/>
      <c r="T1099" s="11"/>
      <c r="U1099" s="11"/>
      <c r="V1099" s="229"/>
      <c r="W1099" s="229"/>
      <c r="X1099" s="229" t="str">
        <f>IFERROR(__xludf.DUMMYFUNCTION("""COMPUTED_VALUE"""),"BELUM GOLIVE")</f>
        <v>BELUM GOLIVE</v>
      </c>
      <c r="Y1099" s="229"/>
      <c r="Z1099" s="229" t="str">
        <f>IFERROR(__xludf.DUMMYFUNCTION("""COMPUTED_VALUE"""),"#N/A")</f>
        <v>#N/A</v>
      </c>
      <c r="AA1099" s="229"/>
      <c r="AB1099" s="229"/>
      <c r="AC1099" s="229"/>
      <c r="AD1099" s="232"/>
      <c r="AE1099" s="233"/>
      <c r="AF1099" s="54" t="str">
        <f>IFERROR(__xludf.DUMMYFUNCTION("""COMPUTED_VALUE"""),"Draft BA DROP")</f>
        <v>Draft BA DROP</v>
      </c>
      <c r="AG1099" s="54"/>
      <c r="AH1099" s="54"/>
      <c r="AI1099" s="55" t="str">
        <f t="shared" si="122"/>
        <v/>
      </c>
      <c r="AW1099" s="234"/>
      <c r="BP1099" s="11"/>
      <c r="BQ1099" s="11"/>
      <c r="BR1099" s="235"/>
      <c r="BV1099" s="158"/>
      <c r="BY1099" s="158"/>
      <c r="CB1099" s="158"/>
    </row>
    <row r="1100" ht="18.0" hidden="1" customHeight="1">
      <c r="A1100" s="222">
        <f>IFERROR(__xludf.DUMMYFUNCTION("""COMPUTED_VALUE"""),2026.0)</f>
        <v>2026</v>
      </c>
      <c r="B1100" s="221">
        <f>IFERROR(__xludf.DUMMYFUNCTION("""COMPUTED_VALUE"""),1.1346982E7)</f>
        <v>11346982</v>
      </c>
      <c r="C1100" s="222" t="str">
        <f>IFERROR(__xludf.DUMMYFUNCTION("""COMPUTED_VALUE"""),"MDN PT3 BJI-FAD KOTA BINJAI_11039")</f>
        <v>MDN PT3 BJI-FAD KOTA BINJAI_11039</v>
      </c>
      <c r="D1100" s="222" t="str">
        <f>IFERROR(__xludf.DUMMYFUNCTION("""COMPUTED_VALUE"""),"REGIONAL I")</f>
        <v>REGIONAL I</v>
      </c>
      <c r="E1100" s="222" t="str">
        <f>IFERROR(__xludf.DUMMYFUNCTION("""COMPUTED_VALUE"""),"MEDAN")</f>
        <v>MEDAN</v>
      </c>
      <c r="F1100" s="222" t="str">
        <f>IFERROR(__xludf.DUMMYFUNCTION("""COMPUTED_VALUE"""),"BJI")</f>
        <v>BJI</v>
      </c>
      <c r="G1100" s="222" t="str">
        <f>IFERROR(__xludf.DUMMYFUNCTION("""COMPUTED_VALUE"""),"SUMBAGUT")</f>
        <v>SUMBAGUT</v>
      </c>
      <c r="H1100" s="222" t="str">
        <f>IFERROR(__xludf.DUMMYFUNCTION("""COMPUTED_VALUE"""),"BINJAI")</f>
        <v>BINJAI</v>
      </c>
      <c r="I1100" s="222" t="str">
        <f>IFERROR(__xludf.DUMMYFUNCTION("""COMPUTED_VALUE"""),"Batch 2")</f>
        <v>Batch 2</v>
      </c>
      <c r="J1100" s="225">
        <f>IFERROR(__xludf.DUMMYFUNCTION("""COMPUTED_VALUE"""),4.0)</f>
        <v>4</v>
      </c>
      <c r="K1100" s="224">
        <f>IFERROR(__xludf.DUMMYFUNCTION("""COMPUTED_VALUE"""),32.0)</f>
        <v>32</v>
      </c>
      <c r="L1100" s="226">
        <f>IFERROR(__xludf.DUMMYFUNCTION("""COMPUTED_VALUE"""),1114890.0)</f>
        <v>1114890</v>
      </c>
      <c r="M1100" s="227">
        <f>IFERROR(__xludf.DUMMYFUNCTION("""COMPUTED_VALUE"""),3.5676476E7)</f>
        <v>35676476</v>
      </c>
      <c r="N1100" s="222" t="str">
        <f>IFERROR(__xludf.DUMMYFUNCTION("""COMPUTED_VALUE"""),"PT KENCANA RAYA INDONESIA")</f>
        <v>PT KENCANA RAYA INDONESIA</v>
      </c>
      <c r="O1100" s="222" t="str">
        <f>IFERROR(__xludf.DUMMYFUNCTION("""COMPUTED_VALUE"""),"2. DONE AANWIJZING")</f>
        <v>2. DONE AANWIJZING</v>
      </c>
      <c r="P1100" s="222" t="str">
        <f>IFERROR(__xludf.DUMMYFUNCTION("""COMPUTED_VALUE"""),"2.9 Kendala - Distribusi Penuh / Rusak")</f>
        <v>2.9 Kendala - Distribusi Penuh / Rusak</v>
      </c>
      <c r="Q1100" s="222" t="str">
        <f>IFERROR(__xludf.DUMMYFUNCTION("""COMPUTED_VALUE"""),"14/02 distribusi tidak tembus (07/01) Persiapan")</f>
        <v>14/02 distribusi tidak tembus (07/01) Persiapan</v>
      </c>
      <c r="R1100" s="228"/>
      <c r="S1100" s="11"/>
      <c r="T1100" s="11"/>
      <c r="U1100" s="11"/>
      <c r="V1100" s="229"/>
      <c r="W1100" s="229"/>
      <c r="X1100" s="229" t="str">
        <f>IFERROR(__xludf.DUMMYFUNCTION("""COMPUTED_VALUE"""),"BELUM GOLIVE")</f>
        <v>BELUM GOLIVE</v>
      </c>
      <c r="Y1100" s="229"/>
      <c r="Z1100" s="229" t="str">
        <f>IFERROR(__xludf.DUMMYFUNCTION("""COMPUTED_VALUE"""),"#N/A")</f>
        <v>#N/A</v>
      </c>
      <c r="AA1100" s="229"/>
      <c r="AB1100" s="229"/>
      <c r="AC1100" s="229"/>
      <c r="AD1100" s="232"/>
      <c r="AE1100" s="233"/>
      <c r="AF1100" s="54"/>
      <c r="AG1100" s="54"/>
      <c r="AH1100" s="54"/>
      <c r="AI1100" s="55" t="str">
        <f t="shared" si="122"/>
        <v/>
      </c>
      <c r="AW1100" s="234"/>
      <c r="BP1100" s="11"/>
      <c r="BQ1100" s="11"/>
      <c r="BR1100" s="235"/>
      <c r="BV1100" s="158"/>
      <c r="BY1100" s="158"/>
      <c r="CB1100" s="158"/>
    </row>
    <row r="1101" ht="18.0" hidden="1" customHeight="1">
      <c r="A1101" s="222">
        <f>IFERROR(__xludf.DUMMYFUNCTION("""COMPUTED_VALUE"""),2026.0)</f>
        <v>2026</v>
      </c>
      <c r="B1101" s="221">
        <f>IFERROR(__xludf.DUMMYFUNCTION("""COMPUTED_VALUE"""),1.1137518E7)</f>
        <v>11137518</v>
      </c>
      <c r="C1101" s="222" t="str">
        <f>IFERROR(__xludf.DUMMYFUNCTION("""COMPUTED_VALUE"""),"MDN PT3 P7I7 SKI-FAF JL.BROMO GG.SDRHNA")</f>
        <v>MDN PT3 P7I7 SKI-FAF JL.BROMO GG.SDRHNA</v>
      </c>
      <c r="D1101" s="222" t="str">
        <f>IFERROR(__xludf.DUMMYFUNCTION("""COMPUTED_VALUE"""),"REGIONAL I")</f>
        <v>REGIONAL I</v>
      </c>
      <c r="E1101" s="222" t="str">
        <f>IFERROR(__xludf.DUMMYFUNCTION("""COMPUTED_VALUE"""),"MEDAN")</f>
        <v>MEDAN</v>
      </c>
      <c r="F1101" s="222" t="str">
        <f>IFERROR(__xludf.DUMMYFUNCTION("""COMPUTED_VALUE"""),"SKI")</f>
        <v>SKI</v>
      </c>
      <c r="G1101" s="222" t="str">
        <f>IFERROR(__xludf.DUMMYFUNCTION("""COMPUTED_VALUE"""),"SUMBAGUT")</f>
        <v>SUMBAGUT</v>
      </c>
      <c r="H1101" s="222" t="str">
        <f>IFERROR(__xludf.DUMMYFUNCTION("""COMPUTED_VALUE"""),"MEDAN")</f>
        <v>MEDAN</v>
      </c>
      <c r="I1101" s="222" t="str">
        <f>IFERROR(__xludf.DUMMYFUNCTION("""COMPUTED_VALUE"""),"Batch 2")</f>
        <v>Batch 2</v>
      </c>
      <c r="J1101" s="225">
        <f>IFERROR(__xludf.DUMMYFUNCTION("""COMPUTED_VALUE"""),2.0)</f>
        <v>2</v>
      </c>
      <c r="K1101" s="224">
        <f>IFERROR(__xludf.DUMMYFUNCTION("""COMPUTED_VALUE"""),16.0)</f>
        <v>16</v>
      </c>
      <c r="L1101" s="226">
        <f>IFERROR(__xludf.DUMMYFUNCTION("""COMPUTED_VALUE"""),907079.0)</f>
        <v>907079</v>
      </c>
      <c r="M1101" s="227">
        <f>IFERROR(__xludf.DUMMYFUNCTION("""COMPUTED_VALUE"""),1.4513258E7)</f>
        <v>14513258</v>
      </c>
      <c r="N1101" s="222" t="str">
        <f>IFERROR(__xludf.DUMMYFUNCTION("""COMPUTED_VALUE"""),"PT DUL JAYA TAMA")</f>
        <v>PT DUL JAYA TAMA</v>
      </c>
      <c r="O1101" s="222" t="str">
        <f>IFERROR(__xludf.DUMMYFUNCTION("""COMPUTED_VALUE"""),"2. DONE AANWIJZING")</f>
        <v>2. DONE AANWIJZING</v>
      </c>
      <c r="P1101" s="222" t="str">
        <f>IFERROR(__xludf.DUMMYFUNCTION("""COMPUTED_VALUE"""),"2.10 Kendala - Feeder Rusak")</f>
        <v>2.10 Kendala - Feeder Rusak</v>
      </c>
      <c r="Q1101" s="222" t="str">
        <f>IFERROR(__xludf.DUMMYFUNCTION("""COMPUTED_VALUE"""),"21/04 take over mitra djt
(08/01) kendala feeder KMN-FC tidak ada yg tembus  ,proses aanwijziing (07/01) Persiapan")</f>
        <v>21/04 take over mitra djt
(08/01) kendala feeder KMN-FC tidak ada yg tembus  ,proses aanwijziing (07/01) Persiapan</v>
      </c>
      <c r="R1101" s="228"/>
      <c r="S1101" s="11"/>
      <c r="T1101" s="11"/>
      <c r="U1101" s="11"/>
      <c r="V1101" s="229"/>
      <c r="W1101" s="229"/>
      <c r="X1101" s="229" t="str">
        <f>IFERROR(__xludf.DUMMYFUNCTION("""COMPUTED_VALUE"""),"BELUM GOLIVE")</f>
        <v>BELUM GOLIVE</v>
      </c>
      <c r="Y1101" s="229"/>
      <c r="Z1101" s="229" t="str">
        <f>IFERROR(__xludf.DUMMYFUNCTION("""COMPUTED_VALUE"""),"#N/A")</f>
        <v>#N/A</v>
      </c>
      <c r="AA1101" s="229"/>
      <c r="AB1101" s="229"/>
      <c r="AC1101" s="229"/>
      <c r="AD1101" s="232"/>
      <c r="AE1101" s="233"/>
      <c r="AF1101" s="54"/>
      <c r="AG1101" s="54"/>
      <c r="AH1101" s="54"/>
      <c r="AI1101" s="55" t="str">
        <f t="shared" si="122"/>
        <v/>
      </c>
      <c r="AW1101" s="234"/>
      <c r="BP1101" s="11"/>
      <c r="BQ1101" s="11"/>
      <c r="BR1101" s="235"/>
      <c r="BV1101" s="158"/>
      <c r="BY1101" s="158"/>
      <c r="CB1101" s="158"/>
    </row>
    <row r="1102" ht="18.0" customHeight="1">
      <c r="A1102" s="222">
        <f>IFERROR(__xludf.DUMMYFUNCTION("""COMPUTED_VALUE"""),2026.0)</f>
        <v>2026</v>
      </c>
      <c r="B1102" s="221">
        <f>IFERROR(__xludf.DUMMYFUNCTION("""COMPUTED_VALUE"""),1.2113705E7)</f>
        <v>12113705</v>
      </c>
      <c r="C1102" s="222" t="str">
        <f>IFERROR(__xludf.DUMMYFUNCTION("""COMPUTED_VALUE"""),"SMB-PT3-ODC-KMN-FC-AGAM_9604")</f>
        <v>SMB-PT3-ODC-KMN-FC-AGAM_9604</v>
      </c>
      <c r="D1102" s="222" t="str">
        <f>IFERROR(__xludf.DUMMYFUNCTION("""COMPUTED_VALUE"""),"REGIONAL I")</f>
        <v>REGIONAL I</v>
      </c>
      <c r="E1102" s="222" t="str">
        <f>IFERROR(__xludf.DUMMYFUNCTION("""COMPUTED_VALUE"""),"SUMBAR")</f>
        <v>SUMBAR</v>
      </c>
      <c r="F1102" s="222" t="str">
        <f>IFERROR(__xludf.DUMMYFUNCTION("""COMPUTED_VALUE"""),"KMN")</f>
        <v>KMN</v>
      </c>
      <c r="G1102" s="222" t="str">
        <f>IFERROR(__xludf.DUMMYFUNCTION("""COMPUTED_VALUE"""),"SUMBAGTENG")</f>
        <v>SUMBAGTENG</v>
      </c>
      <c r="H1102" s="222" t="str">
        <f>IFERROR(__xludf.DUMMYFUNCTION("""COMPUTED_VALUE"""),"BUKIT TINGGI")</f>
        <v>BUKIT TINGGI</v>
      </c>
      <c r="I1102" s="222" t="str">
        <f>IFERROR(__xludf.DUMMYFUNCTION("""COMPUTED_VALUE"""),"Batch 2")</f>
        <v>Batch 2</v>
      </c>
      <c r="J1102" s="225">
        <f>IFERROR(__xludf.DUMMYFUNCTION("""COMPUTED_VALUE"""),2.0)</f>
        <v>2</v>
      </c>
      <c r="K1102" s="224">
        <f>IFERROR(__xludf.DUMMYFUNCTION("""COMPUTED_VALUE"""),16.0)</f>
        <v>16</v>
      </c>
      <c r="L1102" s="226">
        <f>IFERROR(__xludf.DUMMYFUNCTION("""COMPUTED_VALUE"""),907002.0)</f>
        <v>907002</v>
      </c>
      <c r="M1102" s="227">
        <f>IFERROR(__xludf.DUMMYFUNCTION("""COMPUTED_VALUE"""),1.4512017E7)</f>
        <v>14512017</v>
      </c>
      <c r="N1102" s="222" t="str">
        <f>IFERROR(__xludf.DUMMYFUNCTION("""COMPUTED_VALUE"""),"PT GARINDO TECHNO MANDIRI")</f>
        <v>PT GARINDO TECHNO MANDIRI</v>
      </c>
      <c r="O1102" s="222" t="str">
        <f>IFERROR(__xludf.DUMMYFUNCTION("""COMPUTED_VALUE"""),"0. DROP")</f>
        <v>0. DROP</v>
      </c>
      <c r="P1102" s="222" t="str">
        <f>IFERROR(__xludf.DUMMYFUNCTION("""COMPUTED_VALUE"""),"0.3 Feeder Full")</f>
        <v>0.3 Feeder Full</v>
      </c>
      <c r="Q1102" s="222" t="str">
        <f>IFERROR(__xludf.DUMMYFUNCTION("""COMPUTED_VALUE"""),"(08/01) kendala feeder LBA-FA Full  ,penjadwalan aanwijziing (07/01) Persiapan")</f>
        <v>(08/01) kendala feeder LBA-FA Full  ,penjadwalan aanwijziing (07/01) Persiapan</v>
      </c>
      <c r="R1102" s="228"/>
      <c r="S1102" s="11"/>
      <c r="T1102" s="11"/>
      <c r="U1102" s="11"/>
      <c r="V1102" s="229"/>
      <c r="W1102" s="229"/>
      <c r="X1102" s="229" t="str">
        <f>IFERROR(__xludf.DUMMYFUNCTION("""COMPUTED_VALUE"""),"BELUM GOLIVE")</f>
        <v>BELUM GOLIVE</v>
      </c>
      <c r="Y1102" s="229"/>
      <c r="Z1102" s="229" t="str">
        <f>IFERROR(__xludf.DUMMYFUNCTION("""COMPUTED_VALUE"""),"#N/A")</f>
        <v>#N/A</v>
      </c>
      <c r="AA1102" s="229"/>
      <c r="AB1102" s="229"/>
      <c r="AC1102" s="229"/>
      <c r="AD1102" s="232"/>
      <c r="AE1102" s="233"/>
      <c r="AF1102" s="54" t="str">
        <f>IFERROR(__xludf.DUMMYFUNCTION("""COMPUTED_VALUE"""),"Draft BA DROP")</f>
        <v>Draft BA DROP</v>
      </c>
      <c r="AG1102" s="54"/>
      <c r="AH1102" s="54"/>
      <c r="AI1102" s="55" t="str">
        <f t="shared" si="122"/>
        <v/>
      </c>
      <c r="AW1102" s="234"/>
      <c r="BP1102" s="11"/>
      <c r="BQ1102" s="11"/>
      <c r="BR1102" s="235"/>
      <c r="BV1102" s="158"/>
      <c r="BY1102" s="158"/>
      <c r="CB1102" s="158"/>
    </row>
    <row r="1103" ht="18.0" customHeight="1">
      <c r="A1103" s="222">
        <f>IFERROR(__xludf.DUMMYFUNCTION("""COMPUTED_VALUE"""),2026.0)</f>
        <v>2026</v>
      </c>
      <c r="B1103" s="221">
        <f>IFERROR(__xludf.DUMMYFUNCTION("""COMPUTED_VALUE"""),1.1112403E7)</f>
        <v>11112403</v>
      </c>
      <c r="C1103" s="222" t="str">
        <f>IFERROR(__xludf.DUMMYFUNCTION("""COMPUTED_VALUE"""),"SMB PT3  Padang pulai")</f>
        <v>SMB PT3  Padang pulai</v>
      </c>
      <c r="D1103" s="222" t="str">
        <f>IFERROR(__xludf.DUMMYFUNCTION("""COMPUTED_VALUE"""),"REGIONAL I")</f>
        <v>REGIONAL I</v>
      </c>
      <c r="E1103" s="222" t="str">
        <f>IFERROR(__xludf.DUMMYFUNCTION("""COMPUTED_VALUE"""),"SUMBAR")</f>
        <v>SUMBAR</v>
      </c>
      <c r="F1103" s="222" t="str">
        <f>IFERROR(__xludf.DUMMYFUNCTION("""COMPUTED_VALUE"""),"LBA")</f>
        <v>LBA</v>
      </c>
      <c r="G1103" s="222" t="str">
        <f>IFERROR(__xludf.DUMMYFUNCTION("""COMPUTED_VALUE"""),"SUMBAGTENG")</f>
        <v>SUMBAGTENG</v>
      </c>
      <c r="H1103" s="222" t="str">
        <f>IFERROR(__xludf.DUMMYFUNCTION("""COMPUTED_VALUE"""),"BUKIT TINGGI")</f>
        <v>BUKIT TINGGI</v>
      </c>
      <c r="I1103" s="222" t="str">
        <f>IFERROR(__xludf.DUMMYFUNCTION("""COMPUTED_VALUE"""),"Batch 2")</f>
        <v>Batch 2</v>
      </c>
      <c r="J1103" s="225">
        <f>IFERROR(__xludf.DUMMYFUNCTION("""COMPUTED_VALUE"""),2.0)</f>
        <v>2</v>
      </c>
      <c r="K1103" s="224">
        <f>IFERROR(__xludf.DUMMYFUNCTION("""COMPUTED_VALUE"""),16.0)</f>
        <v>16</v>
      </c>
      <c r="L1103" s="226">
        <f>IFERROR(__xludf.DUMMYFUNCTION("""COMPUTED_VALUE"""),906589.0)</f>
        <v>906589</v>
      </c>
      <c r="M1103" s="227">
        <f>IFERROR(__xludf.DUMMYFUNCTION("""COMPUTED_VALUE"""),1.4505424E7)</f>
        <v>14505424</v>
      </c>
      <c r="N1103" s="222" t="str">
        <f>IFERROR(__xludf.DUMMYFUNCTION("""COMPUTED_VALUE"""),"PT PUTRI JAYA AKSES")</f>
        <v>PT PUTRI JAYA AKSES</v>
      </c>
      <c r="O1103" s="222" t="str">
        <f>IFERROR(__xludf.DUMMYFUNCTION("""COMPUTED_VALUE"""),"0. DROP")</f>
        <v>0. DROP</v>
      </c>
      <c r="P1103" s="222" t="str">
        <f>IFERROR(__xludf.DUMMYFUNCTION("""COMPUTED_VALUE"""),"0.3 Feeder Full")</f>
        <v>0.3 Feeder Full</v>
      </c>
      <c r="Q1103" s="222" t="str">
        <f>IFERROR(__xludf.DUMMYFUNCTION("""COMPUTED_VALUE"""),"(07/01) kendala feeder LBA-FA Full ")</f>
        <v>(07/01) kendala feeder LBA-FA Full </v>
      </c>
      <c r="R1103" s="228"/>
      <c r="S1103" s="11"/>
      <c r="T1103" s="11"/>
      <c r="U1103" s="11"/>
      <c r="V1103" s="229"/>
      <c r="W1103" s="229"/>
      <c r="X1103" s="229" t="str">
        <f>IFERROR(__xludf.DUMMYFUNCTION("""COMPUTED_VALUE"""),"BELUM GOLIVE")</f>
        <v>BELUM GOLIVE</v>
      </c>
      <c r="Y1103" s="229"/>
      <c r="Z1103" s="229" t="str">
        <f>IFERROR(__xludf.DUMMYFUNCTION("""COMPUTED_VALUE"""),"#N/A")</f>
        <v>#N/A</v>
      </c>
      <c r="AA1103" s="229"/>
      <c r="AB1103" s="229"/>
      <c r="AC1103" s="229"/>
      <c r="AD1103" s="232"/>
      <c r="AE1103" s="233"/>
      <c r="AF1103" s="54" t="str">
        <f>IFERROR(__xludf.DUMMYFUNCTION("""COMPUTED_VALUE"""),"Draft BA DROP")</f>
        <v>Draft BA DROP</v>
      </c>
      <c r="AG1103" s="54"/>
      <c r="AH1103" s="54"/>
      <c r="AI1103" s="55" t="str">
        <f t="shared" si="122"/>
        <v/>
      </c>
      <c r="AW1103" s="234"/>
      <c r="BP1103" s="11"/>
      <c r="BQ1103" s="11"/>
      <c r="BR1103" s="235"/>
      <c r="BV1103" s="158"/>
      <c r="BY1103" s="158"/>
      <c r="CB1103" s="158"/>
    </row>
    <row r="1104" ht="18.0" hidden="1" customHeight="1">
      <c r="A1104" s="222">
        <f>IFERROR(__xludf.DUMMYFUNCTION("""COMPUTED_VALUE"""),2026.0)</f>
        <v>2026</v>
      </c>
      <c r="B1104" s="221">
        <f>IFERROR(__xludf.DUMMYFUNCTION("""COMPUTED_VALUE"""),1.1346461E7)</f>
        <v>11346461</v>
      </c>
      <c r="C1104" s="222" t="str">
        <f>IFERROR(__xludf.DUMMYFUNCTION("""COMPUTED_VALUE"""),"ACH PT3 SNA-FD D03 LASIKIN 2")</f>
        <v>ACH PT3 SNA-FD D03 LASIKIN 2</v>
      </c>
      <c r="D1104" s="222" t="str">
        <f>IFERROR(__xludf.DUMMYFUNCTION("""COMPUTED_VALUE"""),"REGIONAL I")</f>
        <v>REGIONAL I</v>
      </c>
      <c r="E1104" s="222" t="str">
        <f>IFERROR(__xludf.DUMMYFUNCTION("""COMPUTED_VALUE"""),"ACEH")</f>
        <v>ACEH</v>
      </c>
      <c r="F1104" s="222" t="str">
        <f>IFERROR(__xludf.DUMMYFUNCTION("""COMPUTED_VALUE"""),"SNA")</f>
        <v>SNA</v>
      </c>
      <c r="G1104" s="222" t="str">
        <f>IFERROR(__xludf.DUMMYFUNCTION("""COMPUTED_VALUE"""),"SUMBAGUT")</f>
        <v>SUMBAGUT</v>
      </c>
      <c r="H1104" s="222" t="str">
        <f>IFERROR(__xludf.DUMMYFUNCTION("""COMPUTED_VALUE"""),"BANDA ACEH")</f>
        <v>BANDA ACEH</v>
      </c>
      <c r="I1104" s="222" t="str">
        <f>IFERROR(__xludf.DUMMYFUNCTION("""COMPUTED_VALUE"""),"Batch 2")</f>
        <v>Batch 2</v>
      </c>
      <c r="J1104" s="225">
        <f>IFERROR(__xludf.DUMMYFUNCTION("""COMPUTED_VALUE"""),10.0)</f>
        <v>10</v>
      </c>
      <c r="K1104" s="224">
        <f>IFERROR(__xludf.DUMMYFUNCTION("""COMPUTED_VALUE"""),80.0)</f>
        <v>80</v>
      </c>
      <c r="L1104" s="226">
        <f>IFERROR(__xludf.DUMMYFUNCTION("""COMPUTED_VALUE"""),905726.0)</f>
        <v>905726</v>
      </c>
      <c r="M1104" s="227">
        <f>IFERROR(__xludf.DUMMYFUNCTION("""COMPUTED_VALUE"""),7.2458009E7)</f>
        <v>72458009</v>
      </c>
      <c r="N1104" s="222" t="str">
        <f>IFERROR(__xludf.DUMMYFUNCTION("""COMPUTED_VALUE"""),"PT MITRA AKSES INSANI")</f>
        <v>PT MITRA AKSES INSANI</v>
      </c>
      <c r="O1104" s="222" t="str">
        <f>IFERROR(__xludf.DUMMYFUNCTION("""COMPUTED_VALUE"""),"4. MATDEL")</f>
        <v>4. MATDEL</v>
      </c>
      <c r="P1104" s="222" t="str">
        <f>IFERROR(__xludf.DUMMYFUNCTION("""COMPUTED_VALUE"""),"4.2 Sudah Request Material (Alista)")</f>
        <v>4.2 Sudah Request Material (Alista)</v>
      </c>
      <c r="Q1104" s="222" t="str">
        <f>IFERROR(__xludf.DUMMYFUNCTION("""COMPUTED_VALUE"""),"(10/03) Menunggu Material Ready |  KADES MINTA WIFI GRATIS 
(07/01) Persiapan")</f>
        <v>(10/03) Menunggu Material Ready |  KADES MINTA WIFI GRATIS 
(07/01) Persiapan</v>
      </c>
      <c r="R1104" s="228"/>
      <c r="S1104" s="11"/>
      <c r="T1104" s="73"/>
      <c r="U1104" s="11"/>
      <c r="V1104" s="229"/>
      <c r="W1104" s="229" t="str">
        <f>IFERROR(__xludf.DUMMYFUNCTION("""COMPUTED_VALUE"""),"#N/A")</f>
        <v>#N/A</v>
      </c>
      <c r="X1104" s="229" t="str">
        <f>IFERROR(__xludf.DUMMYFUNCTION("""COMPUTED_VALUE"""),"BELUM GOLIVE")</f>
        <v>BELUM GOLIVE</v>
      </c>
      <c r="Y1104" s="229"/>
      <c r="Z1104" s="229" t="str">
        <f>IFERROR(__xludf.DUMMYFUNCTION("""COMPUTED_VALUE"""),"#N/A")</f>
        <v>#N/A</v>
      </c>
      <c r="AA1104" s="229"/>
      <c r="AB1104" s="229"/>
      <c r="AC1104" s="229"/>
      <c r="AD1104" s="232"/>
      <c r="AE1104" s="233"/>
      <c r="AF1104" s="54"/>
      <c r="AG1104" s="54"/>
      <c r="AH1104" s="54">
        <v>46139.0</v>
      </c>
      <c r="AI1104" s="55" t="str">
        <f t="shared" si="122"/>
        <v/>
      </c>
      <c r="AW1104" s="234"/>
      <c r="BP1104" s="11"/>
      <c r="BQ1104" s="11"/>
      <c r="BR1104" s="235"/>
      <c r="BV1104" s="158"/>
      <c r="BY1104" s="158"/>
      <c r="CB1104" s="158"/>
    </row>
    <row r="1105" ht="18.0" hidden="1" customHeight="1">
      <c r="A1105" s="222">
        <f>IFERROR(__xludf.DUMMYFUNCTION("""COMPUTED_VALUE"""),2026.0)</f>
        <v>2026</v>
      </c>
      <c r="B1105" s="221">
        <f>IFERROR(__xludf.DUMMYFUNCTION("""COMPUTED_VALUE"""),1.2252519E7)</f>
        <v>12252519</v>
      </c>
      <c r="C1105" s="222" t="str">
        <f>IFERROR(__xludf.DUMMYFUNCTION("""COMPUTED_VALUE"""),"BNK PT3 IPU FK JPPTSEL 28229_H2_2025")</f>
        <v>BNK PT3 IPU FK JPPTSEL 28229_H2_2025</v>
      </c>
      <c r="D1105" s="222" t="str">
        <f>IFERROR(__xludf.DUMMYFUNCTION("""COMPUTED_VALUE"""),"REGIONAL I")</f>
        <v>REGIONAL I</v>
      </c>
      <c r="E1105" s="222" t="str">
        <f>IFERROR(__xludf.DUMMYFUNCTION("""COMPUTED_VALUE"""),"BENGKULU")</f>
        <v>BENGKULU</v>
      </c>
      <c r="F1105" s="222" t="str">
        <f>IFERROR(__xludf.DUMMYFUNCTION("""COMPUTED_VALUE"""),"IPU")</f>
        <v>IPU</v>
      </c>
      <c r="G1105" s="222" t="str">
        <f>IFERROR(__xludf.DUMMYFUNCTION("""COMPUTED_VALUE"""),"SUMBAGSEL")</f>
        <v>SUMBAGSEL</v>
      </c>
      <c r="H1105" s="222" t="str">
        <f>IFERROR(__xludf.DUMMYFUNCTION("""COMPUTED_VALUE"""),"BENGKULU")</f>
        <v>BENGKULU</v>
      </c>
      <c r="I1105" s="222" t="str">
        <f>IFERROR(__xludf.DUMMYFUNCTION("""COMPUTED_VALUE"""),"Batch 2")</f>
        <v>Batch 2</v>
      </c>
      <c r="J1105" s="225">
        <f>IFERROR(__xludf.DUMMYFUNCTION("""COMPUTED_VALUE"""),8.0)</f>
        <v>8</v>
      </c>
      <c r="K1105" s="224">
        <f>IFERROR(__xludf.DUMMYFUNCTION("""COMPUTED_VALUE"""),64.0)</f>
        <v>64</v>
      </c>
      <c r="L1105" s="226">
        <f>IFERROR(__xludf.DUMMYFUNCTION("""COMPUTED_VALUE"""),901618.0)</f>
        <v>901618</v>
      </c>
      <c r="M1105" s="227">
        <f>IFERROR(__xludf.DUMMYFUNCTION("""COMPUTED_VALUE"""),5.770354E7)</f>
        <v>57703540</v>
      </c>
      <c r="N1105" s="222" t="str">
        <f>IFERROR(__xludf.DUMMYFUNCTION("""COMPUTED_VALUE"""),"PT GITA PRIMA TAMBA PERKASA")</f>
        <v>PT GITA PRIMA TAMBA PERKASA</v>
      </c>
      <c r="O1105" s="222" t="str">
        <f>IFERROR(__xludf.DUMMYFUNCTION("""COMPUTED_VALUE"""),"0. DROP")</f>
        <v>0. DROP</v>
      </c>
      <c r="P1105" s="222" t="str">
        <f>IFERROR(__xludf.DUMMYFUNCTION("""COMPUTED_VALUE"""),"0.2 Tidak Dapat Izin Warga/Kades/Lurah/Developer")</f>
        <v>0.2 Tidak Dapat Izin Warga/Kades/Lurah/Developer</v>
      </c>
      <c r="Q1105" s="222" t="str">
        <f>IFERROR(__xludf.DUMMYFUNCTION("""COMPUTED_VALUE"""),"22/01 : TIdak dapat izin pak kades minta wifi gratis")</f>
        <v>22/01 : TIdak dapat izin pak kades minta wifi gratis</v>
      </c>
      <c r="R1105" s="228"/>
      <c r="S1105" s="11"/>
      <c r="T1105" s="11"/>
      <c r="U1105" s="11"/>
      <c r="V1105" s="229"/>
      <c r="W1105" s="229"/>
      <c r="X1105" s="229" t="str">
        <f>IFERROR(__xludf.DUMMYFUNCTION("""COMPUTED_VALUE"""),"BELUM GOLIVE")</f>
        <v>BELUM GOLIVE</v>
      </c>
      <c r="Y1105" s="229"/>
      <c r="Z1105" s="229" t="str">
        <f>IFERROR(__xludf.DUMMYFUNCTION("""COMPUTED_VALUE"""),"#N/A")</f>
        <v>#N/A</v>
      </c>
      <c r="AA1105" s="229"/>
      <c r="AB1105" s="229"/>
      <c r="AC1105" s="229"/>
      <c r="AD1105" s="232"/>
      <c r="AE1105" s="233"/>
      <c r="AF1105" s="54" t="str">
        <f>IFERROR(__xludf.DUMMYFUNCTION("""COMPUTED_VALUE"""),"Draft BA DROP")</f>
        <v>Draft BA DROP</v>
      </c>
      <c r="AG1105" s="54"/>
      <c r="AH1105" s="54"/>
      <c r="AI1105" s="55" t="str">
        <f t="shared" si="122"/>
        <v/>
      </c>
      <c r="AW1105" s="234"/>
      <c r="BP1105" s="11"/>
      <c r="BQ1105" s="11"/>
      <c r="BR1105" s="235"/>
      <c r="BV1105" s="158"/>
      <c r="BY1105" s="158"/>
      <c r="CB1105" s="158"/>
    </row>
    <row r="1106" ht="18.0" hidden="1" customHeight="1">
      <c r="A1106" s="222">
        <f>IFERROR(__xludf.DUMMYFUNCTION("""COMPUTED_VALUE"""),2026.0)</f>
        <v>2026</v>
      </c>
      <c r="B1106" s="221">
        <f>IFERROR(__xludf.DUMMYFUNCTION("""COMPUTED_VALUE"""),1.2099135E7)</f>
        <v>12099135</v>
      </c>
      <c r="C1106" s="222" t="str">
        <f>IFERROR(__xludf.DUMMYFUNCTION("""COMPUTED_VALUE"""),"LPG PT4 JPP KOT020_CukuhBalak CSF TJK")</f>
        <v>LPG PT4 JPP KOT020_CukuhBalak CSF TJK</v>
      </c>
      <c r="D1106" s="222" t="str">
        <f>IFERROR(__xludf.DUMMYFUNCTION("""COMPUTED_VALUE"""),"REGIONAL I")</f>
        <v>REGIONAL I</v>
      </c>
      <c r="E1106" s="222" t="str">
        <f>IFERROR(__xludf.DUMMYFUNCTION("""COMPUTED_VALUE"""),"LAMPUNG")</f>
        <v>LAMPUNG</v>
      </c>
      <c r="F1106" s="222" t="str">
        <f>IFERROR(__xludf.DUMMYFUNCTION("""COMPUTED_VALUE"""),"TJK")</f>
        <v>TJK</v>
      </c>
      <c r="G1106" s="222" t="str">
        <f>IFERROR(__xludf.DUMMYFUNCTION("""COMPUTED_VALUE"""),"SUMBAGSEL")</f>
        <v>SUMBAGSEL</v>
      </c>
      <c r="H1106" s="222" t="str">
        <f>IFERROR(__xludf.DUMMYFUNCTION("""COMPUTED_VALUE"""),"LAMPUNG")</f>
        <v>LAMPUNG</v>
      </c>
      <c r="I1106" s="222" t="str">
        <f>IFERROR(__xludf.DUMMYFUNCTION("""COMPUTED_VALUE"""),"Batch 2")</f>
        <v>Batch 2</v>
      </c>
      <c r="J1106" s="225">
        <f>IFERROR(__xludf.DUMMYFUNCTION("""COMPUTED_VALUE"""),18.0)</f>
        <v>18</v>
      </c>
      <c r="K1106" s="224">
        <f>IFERROR(__xludf.DUMMYFUNCTION("""COMPUTED_VALUE"""),136.0)</f>
        <v>136</v>
      </c>
      <c r="L1106" s="226">
        <f>IFERROR(__xludf.DUMMYFUNCTION("""COMPUTED_VALUE"""),1263014.0)</f>
        <v>1263014</v>
      </c>
      <c r="M1106" s="227">
        <f>IFERROR(__xludf.DUMMYFUNCTION("""COMPUTED_VALUE"""),1.7176981E8)</f>
        <v>171769810</v>
      </c>
      <c r="N1106" s="222" t="str">
        <f>IFERROR(__xludf.DUMMYFUNCTION("""COMPUTED_VALUE"""),"PT BANGTELINDO")</f>
        <v>PT BANGTELINDO</v>
      </c>
      <c r="O1106" s="222" t="str">
        <f>IFERROR(__xludf.DUMMYFUNCTION("""COMPUTED_VALUE"""),"0. DROP")</f>
        <v>0. DROP</v>
      </c>
      <c r="P1106" s="222" t="str">
        <f>IFERROR(__xludf.DUMMYFUNCTION("""COMPUTED_VALUE"""),"0.4 CPP Tinggi Acc ED TIF")</f>
        <v>0.4 CPP Tinggi Acc ED TIF</v>
      </c>
      <c r="Q1106" s="222" t="str">
        <f>IFERROR(__xludf.DUMMYFUNCTION("""COMPUTED_VALUE"""),"28/2 belum boleh di lanjut dengan tif di karnakan belum ada po  ,karna new olt
22/4 Plan kirim material 20 Apr 09/4  plan matdel dengan BA Manual - butuh new mini OLT
06/04 Proses PR PO 2/4 Proses Create PID, 25/3 Proses Create PID  13/3  proses penagjuan"&amp;" PR/PO
2/3 proses penagjuan pr/po
27/2  proses pengajuan PR/PO  24/2 proses amd budget 
19/2 Proses PR-PO  11/2 perubahan BA Manual pengambilan material 6/2 plan matdel ,estimasi ambil material 10/2 ,plan fi 15/2 
4/2 progres prizinan  janjian dengan lura"&amp;"h 
28/1 on progres prizinan 05/2 
23/1 plan anwizing tanggal 26/7")</f>
        <v>28/2 belum boleh di lanjut dengan tif di karnakan belum ada po  ,karna new olt
22/4 Plan kirim material 20 Apr 09/4  plan matdel dengan BA Manual - butuh new mini OLT
06/04 Proses PR PO 2/4 Proses Create PID, 25/3 Proses Create PID  13/3  proses penagjuan PR/PO
2/3 proses penagjuan pr/po
27/2  proses pengajuan PR/PO  24/2 proses amd budget 
19/2 Proses PR-PO  11/2 perubahan BA Manual pengambilan material 6/2 plan matdel ,estimasi ambil material 10/2 ,plan fi 15/2 
4/2 progres prizinan  janjian dengan lurah 
28/1 on progres prizinan 05/2 
23/1 plan anwizing tanggal 26/7</v>
      </c>
      <c r="R1106" s="228"/>
      <c r="S1106" s="11" t="str">
        <f>IFERROR(__xludf.DUMMYFUNCTION("""COMPUTED_VALUE"""),"MEI")</f>
        <v>MEI</v>
      </c>
      <c r="T1106" s="11" t="str">
        <f>IFERROR(__xludf.DUMMYFUNCTION("""COMPUTED_VALUE"""),"P1")</f>
        <v>P1</v>
      </c>
      <c r="U1106" s="11" t="str">
        <f>IFERROR(__xludf.DUMMYFUNCTION("""COMPUTED_VALUE"""),"TIF-6113/2026")</f>
        <v>TIF-6113/2026</v>
      </c>
      <c r="V1106" s="229"/>
      <c r="W1106" s="229"/>
      <c r="X1106" s="229" t="str">
        <f>IFERROR(__xludf.DUMMYFUNCTION("""COMPUTED_VALUE"""),"BELUM GOLIVE")</f>
        <v>BELUM GOLIVE</v>
      </c>
      <c r="Y1106" s="229" t="str">
        <f>IFERROR(__xludf.DUMMYFUNCTION("""COMPUTED_VALUE"""),"PORT OLT Penuh")</f>
        <v>PORT OLT Penuh</v>
      </c>
      <c r="Z1106" s="229"/>
      <c r="AA1106" s="229"/>
      <c r="AB1106" s="229"/>
      <c r="AC1106" s="229"/>
      <c r="AD1106" s="232"/>
      <c r="AE1106" s="233"/>
      <c r="AF1106" s="54"/>
      <c r="AG1106" s="54"/>
      <c r="AH1106" s="54"/>
      <c r="AI1106" s="55" t="str">
        <f t="shared" si="122"/>
        <v/>
      </c>
      <c r="AW1106" s="234"/>
      <c r="BP1106" s="11"/>
      <c r="BQ1106" s="11"/>
      <c r="BR1106" s="235"/>
      <c r="BV1106" s="158"/>
      <c r="BY1106" s="158"/>
      <c r="CB1106" s="158"/>
    </row>
    <row r="1107" ht="18.0" customHeight="1">
      <c r="A1107" s="222">
        <f>IFERROR(__xludf.DUMMYFUNCTION("""COMPUTED_VALUE"""),2026.0)</f>
        <v>2026</v>
      </c>
      <c r="B1107" s="221">
        <f>IFERROR(__xludf.DUMMYFUNCTION("""COMPUTED_VALUE"""),1.2422644E7)</f>
        <v>12422644</v>
      </c>
      <c r="C1107" s="222" t="str">
        <f>IFERROR(__xludf.DUMMYFUNCTION("""COMPUTED_VALUE"""),"RDR JPP PT3 BENGKALIS_175960")</f>
        <v>RDR JPP PT3 BENGKALIS_175960</v>
      </c>
      <c r="D1107" s="222" t="str">
        <f>IFERROR(__xludf.DUMMYFUNCTION("""COMPUTED_VALUE"""),"REGIONAL I")</f>
        <v>REGIONAL I</v>
      </c>
      <c r="E1107" s="222" t="str">
        <f>IFERROR(__xludf.DUMMYFUNCTION("""COMPUTED_VALUE"""),"RIDAR")</f>
        <v>RIDAR</v>
      </c>
      <c r="F1107" s="222" t="str">
        <f>IFERROR(__xludf.DUMMYFUNCTION("""COMPUTED_VALUE"""),"DRI")</f>
        <v>DRI</v>
      </c>
      <c r="G1107" s="222" t="str">
        <f>IFERROR(__xludf.DUMMYFUNCTION("""COMPUTED_VALUE"""),"SUMBAGTENG")</f>
        <v>SUMBAGTENG</v>
      </c>
      <c r="H1107" s="222" t="str">
        <f>IFERROR(__xludf.DUMMYFUNCTION("""COMPUTED_VALUE"""),"DUMAI")</f>
        <v>DUMAI</v>
      </c>
      <c r="I1107" s="222" t="str">
        <f>IFERROR(__xludf.DUMMYFUNCTION("""COMPUTED_VALUE"""),"Batch 2")</f>
        <v>Batch 2</v>
      </c>
      <c r="J1107" s="225">
        <f>IFERROR(__xludf.DUMMYFUNCTION("""COMPUTED_VALUE"""),7.0)</f>
        <v>7</v>
      </c>
      <c r="K1107" s="224">
        <f>IFERROR(__xludf.DUMMYFUNCTION("""COMPUTED_VALUE"""),56.0)</f>
        <v>56</v>
      </c>
      <c r="L1107" s="226">
        <f>IFERROR(__xludf.DUMMYFUNCTION("""COMPUTED_VALUE"""),900821.0)</f>
        <v>900821</v>
      </c>
      <c r="M1107" s="227">
        <f>IFERROR(__xludf.DUMMYFUNCTION("""COMPUTED_VALUE"""),5.0445921E7)</f>
        <v>50445921</v>
      </c>
      <c r="N1107" s="222" t="str">
        <f>IFERROR(__xludf.DUMMYFUNCTION("""COMPUTED_VALUE"""),"PT TRIPOLA PANATA")</f>
        <v>PT TRIPOLA PANATA</v>
      </c>
      <c r="O1107" s="222" t="str">
        <f>IFERROR(__xludf.DUMMYFUNCTION("""COMPUTED_VALUE"""),"2. DONE AANWIJZING")</f>
        <v>2. DONE AANWIJZING</v>
      </c>
      <c r="P1107" s="222" t="str">
        <f>IFERROR(__xludf.DUMMYFUNCTION("""COMPUTED_VALUE"""),"2.10 Kendala - Feeder Rusak")</f>
        <v>2.10 Kendala - Feeder Rusak</v>
      </c>
      <c r="Q1107" s="222" t="str">
        <f>IFERROR(__xludf.DUMMYFUNCTION("""COMPUTED_VALUE"""),"20/04 Pengambilan ulang hasil ukur OTDR 13/04 Pengambilan ulang otdr utk kebutuhan QE 09/02 Antrian Review 29/01 Menunggu kelengkapan hasil anwidzing 21/01 Terget selesai survey 24 Jan (07/01) Persiapan")</f>
        <v>20/04 Pengambilan ulang hasil ukur OTDR 13/04 Pengambilan ulang otdr utk kebutuhan QE 09/02 Antrian Review 29/01 Menunggu kelengkapan hasil anwidzing 21/01 Terget selesai survey 24 Jan (07/01) Persiapan</v>
      </c>
      <c r="R1107" s="228"/>
      <c r="S1107" s="11"/>
      <c r="T1107" s="11"/>
      <c r="U1107" s="11" t="str">
        <f>IFERROR(__xludf.DUMMYFUNCTION("""COMPUTED_VALUE"""),"W08-1964/2025")</f>
        <v>W08-1964/2025</v>
      </c>
      <c r="V1107" s="229" t="str">
        <f>IFERROR(__xludf.DUMMYFUNCTION("""COMPUTED_VALUE"""),"ONDI EKA SAPUTRA")</f>
        <v>ONDI EKA SAPUTRA</v>
      </c>
      <c r="W1107" s="229" t="str">
        <f>IFERROR(__xludf.DUMMYFUNCTION("""COMPUTED_VALUE"""),"DESLITA RAHMADANI")</f>
        <v>DESLITA RAHMADANI</v>
      </c>
      <c r="X1107" s="229" t="str">
        <f>IFERROR(__xludf.DUMMYFUNCTION("""COMPUTED_VALUE"""),"BELUM GOLIVE")</f>
        <v>BELUM GOLIVE</v>
      </c>
      <c r="Y1107" s="229"/>
      <c r="Z1107" s="229" t="str">
        <f>IFERROR(__xludf.DUMMYFUNCTION("""COMPUTED_VALUE"""),"#N/A")</f>
        <v>#N/A</v>
      </c>
      <c r="AA1107" s="229"/>
      <c r="AB1107" s="229"/>
      <c r="AC1107" s="229"/>
      <c r="AD1107" s="232"/>
      <c r="AE1107" s="233"/>
      <c r="AF1107" s="54"/>
      <c r="AG1107" s="54"/>
      <c r="AH1107" s="54"/>
      <c r="AI1107" s="55" t="str">
        <f t="shared" si="122"/>
        <v/>
      </c>
      <c r="AW1107" s="234"/>
      <c r="BP1107" s="11"/>
      <c r="BQ1107" s="11"/>
      <c r="BR1107" s="235"/>
      <c r="BV1107" s="158"/>
      <c r="BY1107" s="158"/>
      <c r="CB1107" s="158"/>
    </row>
    <row r="1108" ht="18.0" customHeight="1">
      <c r="A1108" s="222">
        <f>IFERROR(__xludf.DUMMYFUNCTION("""COMPUTED_VALUE"""),2026.0)</f>
        <v>2026</v>
      </c>
      <c r="B1108" s="221">
        <f>IFERROR(__xludf.DUMMYFUNCTION("""COMPUTED_VALUE"""),1.1327941E7)</f>
        <v>11327941</v>
      </c>
      <c r="C1108" s="222" t="str">
        <f>IFERROR(__xludf.DUMMYFUNCTION("""COMPUTED_VALUE"""),"SMB P2I1 Villa Anggrek Bulan Koto Baru")</f>
        <v>SMB P2I1 Villa Anggrek Bulan Koto Baru</v>
      </c>
      <c r="D1108" s="222" t="str">
        <f>IFERROR(__xludf.DUMMYFUNCTION("""COMPUTED_VALUE"""),"REGIONAL I")</f>
        <v>REGIONAL I</v>
      </c>
      <c r="E1108" s="222" t="str">
        <f>IFERROR(__xludf.DUMMYFUNCTION("""COMPUTED_VALUE"""),"SUMBAR")</f>
        <v>SUMBAR</v>
      </c>
      <c r="F1108" s="222" t="str">
        <f>IFERROR(__xludf.DUMMYFUNCTION("""COMPUTED_VALUE"""),"BDT")</f>
        <v>BDT</v>
      </c>
      <c r="G1108" s="222" t="str">
        <f>IFERROR(__xludf.DUMMYFUNCTION("""COMPUTED_VALUE"""),"SUMBAGTENG")</f>
        <v>SUMBAGTENG</v>
      </c>
      <c r="H1108" s="222" t="str">
        <f>IFERROR(__xludf.DUMMYFUNCTION("""COMPUTED_VALUE"""),"PADANG")</f>
        <v>PADANG</v>
      </c>
      <c r="I1108" s="222" t="str">
        <f>IFERROR(__xludf.DUMMYFUNCTION("""COMPUTED_VALUE"""),"Batch 2")</f>
        <v>Batch 2</v>
      </c>
      <c r="J1108" s="225">
        <f>IFERROR(__xludf.DUMMYFUNCTION("""COMPUTED_VALUE"""),8.0)</f>
        <v>8</v>
      </c>
      <c r="K1108" s="224">
        <f>IFERROR(__xludf.DUMMYFUNCTION("""COMPUTED_VALUE"""),64.0)</f>
        <v>64</v>
      </c>
      <c r="L1108" s="226">
        <f>IFERROR(__xludf.DUMMYFUNCTION("""COMPUTED_VALUE"""),899168.0)</f>
        <v>899168</v>
      </c>
      <c r="M1108" s="227">
        <f>IFERROR(__xludf.DUMMYFUNCTION("""COMPUTED_VALUE"""),5.7546718E7)</f>
        <v>57546718</v>
      </c>
      <c r="N1108" s="222" t="str">
        <f>IFERROR(__xludf.DUMMYFUNCTION("""COMPUTED_VALUE"""),"PT TRI PENAMAS")</f>
        <v>PT TRI PENAMAS</v>
      </c>
      <c r="O1108" s="222" t="str">
        <f>IFERROR(__xludf.DUMMYFUNCTION("""COMPUTED_VALUE"""),"0. DROP")</f>
        <v>0. DROP</v>
      </c>
      <c r="P1108" s="222" t="str">
        <f>IFERROR(__xludf.DUMMYFUNCTION("""COMPUTED_VALUE"""),"0.1 Double Order")</f>
        <v>0.1 Double Order</v>
      </c>
      <c r="Q1108" s="222" t="str">
        <f>IFERROR(__xludf.DUMMYFUNCTION("""COMPUTED_VALUE"""),"(02/03) proses aanwijziing (26/01) DROP, permintaan tsel (tidak potensial) ")</f>
        <v>(02/03) proses aanwijziing (26/01) DROP, permintaan tsel (tidak potensial) </v>
      </c>
      <c r="R1108" s="228"/>
      <c r="S1108" s="11"/>
      <c r="T1108" s="11"/>
      <c r="U1108" s="11"/>
      <c r="V1108" s="229"/>
      <c r="W1108" s="229"/>
      <c r="X1108" s="229" t="str">
        <f>IFERROR(__xludf.DUMMYFUNCTION("""COMPUTED_VALUE"""),"BELUM GOLIVE")</f>
        <v>BELUM GOLIVE</v>
      </c>
      <c r="Y1108" s="229"/>
      <c r="Z1108" s="229" t="str">
        <f>IFERROR(__xludf.DUMMYFUNCTION("""COMPUTED_VALUE"""),"#N/A")</f>
        <v>#N/A</v>
      </c>
      <c r="AA1108" s="229"/>
      <c r="AB1108" s="229"/>
      <c r="AC1108" s="229"/>
      <c r="AD1108" s="232"/>
      <c r="AE1108" s="233"/>
      <c r="AF1108" s="54" t="str">
        <f>IFERROR(__xludf.DUMMYFUNCTION("""COMPUTED_VALUE"""),"Draft BA DROP")</f>
        <v>Draft BA DROP</v>
      </c>
      <c r="AG1108" s="54"/>
      <c r="AH1108" s="54"/>
      <c r="AI1108" s="55" t="str">
        <f t="shared" si="122"/>
        <v/>
      </c>
      <c r="AW1108" s="234"/>
      <c r="BP1108" s="11"/>
      <c r="BQ1108" s="11"/>
      <c r="BR1108" s="235"/>
      <c r="BV1108" s="158"/>
      <c r="BY1108" s="158"/>
      <c r="CB1108" s="158"/>
    </row>
    <row r="1109" ht="18.0" hidden="1" customHeight="1">
      <c r="A1109" s="222">
        <f>IFERROR(__xludf.DUMMYFUNCTION("""COMPUTED_VALUE"""),2026.0)</f>
        <v>2026</v>
      </c>
      <c r="B1109" s="221">
        <f>IFERROR(__xludf.DUMMYFUNCTION("""COMPUTED_VALUE"""),1.134006E7)</f>
        <v>11340060</v>
      </c>
      <c r="C1109" s="222" t="str">
        <f>IFERROR(__xludf.DUMMYFUNCTION("""COMPUTED_VALUE"""),"JBI-PT3 BRANCHING-MND-FAG-NERIL")</f>
        <v>JBI-PT3 BRANCHING-MND-FAG-NERIL</v>
      </c>
      <c r="D1109" s="222" t="str">
        <f>IFERROR(__xludf.DUMMYFUNCTION("""COMPUTED_VALUE"""),"REGIONAL I")</f>
        <v>REGIONAL I</v>
      </c>
      <c r="E1109" s="222" t="str">
        <f>IFERROR(__xludf.DUMMYFUNCTION("""COMPUTED_VALUE"""),"JAMBI")</f>
        <v>JAMBI</v>
      </c>
      <c r="F1109" s="222" t="str">
        <f>IFERROR(__xludf.DUMMYFUNCTION("""COMPUTED_VALUE"""),"MND")</f>
        <v>MND</v>
      </c>
      <c r="G1109" s="222" t="str">
        <f>IFERROR(__xludf.DUMMYFUNCTION("""COMPUTED_VALUE"""),"SUMBAGSEL")</f>
        <v>SUMBAGSEL</v>
      </c>
      <c r="H1109" s="222" t="str">
        <f>IFERROR(__xludf.DUMMYFUNCTION("""COMPUTED_VALUE"""),"JAMBI")</f>
        <v>JAMBI</v>
      </c>
      <c r="I1109" s="222" t="str">
        <f>IFERROR(__xludf.DUMMYFUNCTION("""COMPUTED_VALUE"""),"Batch 2")</f>
        <v>Batch 2</v>
      </c>
      <c r="J1109" s="225">
        <f>IFERROR(__xludf.DUMMYFUNCTION("""COMPUTED_VALUE"""),5.0)</f>
        <v>5</v>
      </c>
      <c r="K1109" s="224">
        <f>IFERROR(__xludf.DUMMYFUNCTION("""COMPUTED_VALUE"""),40.0)</f>
        <v>40</v>
      </c>
      <c r="L1109" s="226">
        <f>IFERROR(__xludf.DUMMYFUNCTION("""COMPUTED_VALUE"""),899075.0)</f>
        <v>899075</v>
      </c>
      <c r="M1109" s="227">
        <f>IFERROR(__xludf.DUMMYFUNCTION("""COMPUTED_VALUE"""),3.5962985E7)</f>
        <v>35962985</v>
      </c>
      <c r="N1109" s="222" t="str">
        <f>IFERROR(__xludf.DUMMYFUNCTION("""COMPUTED_VALUE"""),"PT SARANA MITRA PERSADA")</f>
        <v>PT SARANA MITRA PERSADA</v>
      </c>
      <c r="O1109" s="222" t="str">
        <f>IFERROR(__xludf.DUMMYFUNCTION("""COMPUTED_VALUE"""),"0. DROP")</f>
        <v>0. DROP</v>
      </c>
      <c r="P1109" s="222" t="str">
        <f>IFERROR(__xludf.DUMMYFUNCTION("""COMPUTED_VALUE"""),"0.2 Tidak Dapat Izin Warga/Kades/Lurah/Developer")</f>
        <v>0.2 Tidak Dapat Izin Warga/Kades/Lurah/Developer</v>
      </c>
      <c r="Q1109" s="222" t="str">
        <f>IFERROR(__xludf.DUMMYFUNCTION("""COMPUTED_VALUE"""),"(12/1) BA Drop Sirkulir- PERIZINAN KIM DAN DEVELOPER  (06/01)order JPP batch-2 2026 (Issue izin Developer / Private Area")</f>
        <v>(12/1) BA Drop Sirkulir- PERIZINAN KIM DAN DEVELOPER  (06/01)order JPP batch-2 2026 (Issue izin Developer / Private Area</v>
      </c>
      <c r="R1109" s="228"/>
      <c r="S1109" s="11"/>
      <c r="T1109" s="11"/>
      <c r="U1109" s="11"/>
      <c r="V1109" s="229"/>
      <c r="W1109" s="229"/>
      <c r="X1109" s="229" t="str">
        <f>IFERROR(__xludf.DUMMYFUNCTION("""COMPUTED_VALUE"""),"BELUM GOLIVE")</f>
        <v>BELUM GOLIVE</v>
      </c>
      <c r="Y1109" s="229"/>
      <c r="Z1109" s="229" t="str">
        <f>IFERROR(__xludf.DUMMYFUNCTION("""COMPUTED_VALUE"""),"#N/A")</f>
        <v>#N/A</v>
      </c>
      <c r="AA1109" s="229"/>
      <c r="AB1109" s="229"/>
      <c r="AC1109" s="229"/>
      <c r="AD1109" s="232"/>
      <c r="AE1109" s="233"/>
      <c r="AF1109" s="54" t="str">
        <f>IFERROR(__xludf.DUMMYFUNCTION("""COMPUTED_VALUE"""),"Draft BA DROP")</f>
        <v>Draft BA DROP</v>
      </c>
      <c r="AG1109" s="54"/>
      <c r="AH1109" s="54"/>
      <c r="AI1109" s="55" t="str">
        <f t="shared" si="122"/>
        <v/>
      </c>
      <c r="AW1109" s="234"/>
      <c r="BP1109" s="11"/>
      <c r="BQ1109" s="11"/>
      <c r="BR1109" s="235"/>
      <c r="BV1109" s="158"/>
      <c r="BY1109" s="158"/>
      <c r="CB1109" s="158"/>
    </row>
    <row r="1110" ht="18.0" customHeight="1">
      <c r="A1110" s="222">
        <f>IFERROR(__xludf.DUMMYFUNCTION("""COMPUTED_VALUE"""),2026.0)</f>
        <v>2026</v>
      </c>
      <c r="B1110" s="221">
        <f>IFERROR(__xludf.DUMMYFUNCTION("""COMPUTED_VALUE"""),1.150675E7)</f>
        <v>11506750</v>
      </c>
      <c r="C1110" s="222" t="str">
        <f>IFERROR(__xludf.DUMMYFUNCTION("""COMPUTED_VALUE"""),"RKP PT3 TSEL KIJ-FH MUTIARA RESIDENCE 2")</f>
        <v>RKP PT3 TSEL KIJ-FH MUTIARA RESIDENCE 2</v>
      </c>
      <c r="D1110" s="222" t="str">
        <f>IFERROR(__xludf.DUMMYFUNCTION("""COMPUTED_VALUE"""),"REGIONAL I")</f>
        <v>REGIONAL I</v>
      </c>
      <c r="E1110" s="222" t="str">
        <f>IFERROR(__xludf.DUMMYFUNCTION("""COMPUTED_VALUE"""),"RIKEP")</f>
        <v>RIKEP</v>
      </c>
      <c r="F1110" s="222" t="str">
        <f>IFERROR(__xludf.DUMMYFUNCTION("""COMPUTED_VALUE"""),"KIJ")</f>
        <v>KIJ</v>
      </c>
      <c r="G1110" s="222" t="str">
        <f>IFERROR(__xludf.DUMMYFUNCTION("""COMPUTED_VALUE"""),"SUMBAGTENG")</f>
        <v>SUMBAGTENG</v>
      </c>
      <c r="H1110" s="222" t="str">
        <f>IFERROR(__xludf.DUMMYFUNCTION("""COMPUTED_VALUE"""),"BATAM")</f>
        <v>BATAM</v>
      </c>
      <c r="I1110" s="222" t="str">
        <f>IFERROR(__xludf.DUMMYFUNCTION("""COMPUTED_VALUE"""),"Batch 2")</f>
        <v>Batch 2</v>
      </c>
      <c r="J1110" s="225">
        <f>IFERROR(__xludf.DUMMYFUNCTION("""COMPUTED_VALUE"""),5.0)</f>
        <v>5</v>
      </c>
      <c r="K1110" s="224">
        <f>IFERROR(__xludf.DUMMYFUNCTION("""COMPUTED_VALUE"""),40.0)</f>
        <v>40</v>
      </c>
      <c r="L1110" s="226">
        <f>IFERROR(__xludf.DUMMYFUNCTION("""COMPUTED_VALUE"""),898070.0)</f>
        <v>898070</v>
      </c>
      <c r="M1110" s="227">
        <f>IFERROR(__xludf.DUMMYFUNCTION("""COMPUTED_VALUE"""),3.5922791E7)</f>
        <v>35922791</v>
      </c>
      <c r="N1110" s="222" t="str">
        <f>IFERROR(__xludf.DUMMYFUNCTION("""COMPUTED_VALUE"""),"PT SALTTEK DUMPANG JAYA")</f>
        <v>PT SALTTEK DUMPANG JAYA</v>
      </c>
      <c r="O1110" s="222" t="str">
        <f>IFERROR(__xludf.DUMMYFUNCTION("""COMPUTED_VALUE"""),"2. DONE AANWIJZING")</f>
        <v>2. DONE AANWIJZING</v>
      </c>
      <c r="P1110" s="222" t="str">
        <f>IFERROR(__xludf.DUMMYFUNCTION("""COMPUTED_VALUE"""),"2.10 Kendala - Feeder Rusak")</f>
        <v>2.10 Kendala - Feeder Rusak</v>
      </c>
      <c r="Q1110" s="222" t="str">
        <f>IFERROR(__xludf.DUMMYFUNCTION("""COMPUTED_VALUE"""),"05/03 menunggu redesign ulang oleh tif karena feeder full. 20/02 Redesign dari ODC KMS-FBJ atau ODC-KIJ-FP. 04/02 ODC 48 feeder Full, untuk redesign dari ODC lain, space tanam tiang sudah tidak ada karena sudah full beton. 28/01 Anwijzing OK, proses periz"&amp;"inan, FU kembali jumat 30 Jan. 21/02 Plan survey dalam minggu ini 25 jan 2026")</f>
        <v>05/03 menunggu redesign ulang oleh tif karena feeder full. 20/02 Redesign dari ODC KMS-FBJ atau ODC-KIJ-FP. 04/02 ODC 48 feeder Full, untuk redesign dari ODC lain, space tanam tiang sudah tidak ada karena sudah full beton. 28/01 Anwijzing OK, proses perizinan, FU kembali jumat 30 Jan. 21/02 Plan survey dalam minggu ini 25 jan 2026</v>
      </c>
      <c r="R1110" s="228"/>
      <c r="S1110" s="11"/>
      <c r="T1110" s="11"/>
      <c r="U1110" s="11"/>
      <c r="V1110" s="229" t="str">
        <f>IFERROR(__xludf.DUMMYFUNCTION("""COMPUTED_VALUE"""),"DEDY IRAWAN")</f>
        <v>DEDY IRAWAN</v>
      </c>
      <c r="W1110" s="229" t="str">
        <f>IFERROR(__xludf.DUMMYFUNCTION("""COMPUTED_VALUE"""),"LEVITA INDRIYANI")</f>
        <v>LEVITA INDRIYANI</v>
      </c>
      <c r="X1110" s="229" t="str">
        <f>IFERROR(__xludf.DUMMYFUNCTION("""COMPUTED_VALUE"""),"BELUM GOLIVE")</f>
        <v>BELUM GOLIVE</v>
      </c>
      <c r="Y1110" s="229"/>
      <c r="Z1110" s="229" t="str">
        <f>IFERROR(__xludf.DUMMYFUNCTION("""COMPUTED_VALUE"""),"#N/A")</f>
        <v>#N/A</v>
      </c>
      <c r="AA1110" s="229"/>
      <c r="AB1110" s="229"/>
      <c r="AC1110" s="229"/>
      <c r="AD1110" s="232"/>
      <c r="AE1110" s="233"/>
      <c r="AF1110" s="54"/>
      <c r="AG1110" s="54"/>
      <c r="AH1110" s="54"/>
      <c r="AI1110" s="55" t="str">
        <f t="shared" si="122"/>
        <v/>
      </c>
      <c r="AW1110" s="234"/>
      <c r="BP1110" s="11"/>
      <c r="BQ1110" s="11"/>
      <c r="BR1110" s="235"/>
      <c r="BV1110" s="158"/>
      <c r="BY1110" s="158"/>
      <c r="CB1110" s="158"/>
    </row>
    <row r="1111" ht="18.0" customHeight="1">
      <c r="A1111" s="222">
        <f>IFERROR(__xludf.DUMMYFUNCTION("""COMPUTED_VALUE"""),2026.0)</f>
        <v>2026</v>
      </c>
      <c r="B1111" s="221">
        <f>IFERROR(__xludf.DUMMYFUNCTION("""COMPUTED_VALUE"""),1.1100292E7)</f>
        <v>11100292</v>
      </c>
      <c r="C1111" s="222" t="str">
        <f>IFERROR(__xludf.DUMMYFUNCTION("""COMPUTED_VALUE"""),"RKP PT3 JPPTSEL KMS-FH GRIYA SATRIA TAHAP 3")</f>
        <v>RKP PT3 JPPTSEL KMS-FH GRIYA SATRIA TAHAP 3</v>
      </c>
      <c r="D1111" s="222" t="str">
        <f>IFERROR(__xludf.DUMMYFUNCTION("""COMPUTED_VALUE"""),"REGIONAL I")</f>
        <v>REGIONAL I</v>
      </c>
      <c r="E1111" s="222" t="str">
        <f>IFERROR(__xludf.DUMMYFUNCTION("""COMPUTED_VALUE"""),"RIKEP")</f>
        <v>RIKEP</v>
      </c>
      <c r="F1111" s="222" t="str">
        <f>IFERROR(__xludf.DUMMYFUNCTION("""COMPUTED_VALUE"""),"KMS")</f>
        <v>KMS</v>
      </c>
      <c r="G1111" s="222" t="str">
        <f>IFERROR(__xludf.DUMMYFUNCTION("""COMPUTED_VALUE"""),"SUMBAGTENG")</f>
        <v>SUMBAGTENG</v>
      </c>
      <c r="H1111" s="222" t="str">
        <f>IFERROR(__xludf.DUMMYFUNCTION("""COMPUTED_VALUE"""),"BATAM")</f>
        <v>BATAM</v>
      </c>
      <c r="I1111" s="222" t="str">
        <f>IFERROR(__xludf.DUMMYFUNCTION("""COMPUTED_VALUE"""),"Batch 2")</f>
        <v>Batch 2</v>
      </c>
      <c r="J1111" s="225">
        <f>IFERROR(__xludf.DUMMYFUNCTION("""COMPUTED_VALUE"""),3.0)</f>
        <v>3</v>
      </c>
      <c r="K1111" s="224">
        <f>IFERROR(__xludf.DUMMYFUNCTION("""COMPUTED_VALUE"""),24.0)</f>
        <v>24</v>
      </c>
      <c r="L1111" s="226">
        <f>IFERROR(__xludf.DUMMYFUNCTION("""COMPUTED_VALUE"""),897670.0)</f>
        <v>897670</v>
      </c>
      <c r="M1111" s="227">
        <f>IFERROR(__xludf.DUMMYFUNCTION("""COMPUTED_VALUE"""),2.1544063E7)</f>
        <v>21544063</v>
      </c>
      <c r="N1111" s="222" t="str">
        <f>IFERROR(__xludf.DUMMYFUNCTION("""COMPUTED_VALUE"""),"PT SALTTEK DUMPANG JAYA")</f>
        <v>PT SALTTEK DUMPANG JAYA</v>
      </c>
      <c r="O1111" s="222" t="str">
        <f>IFERROR(__xludf.DUMMYFUNCTION("""COMPUTED_VALUE"""),"0. DROP")</f>
        <v>0. DROP</v>
      </c>
      <c r="P1111" s="222" t="str">
        <f>IFERROR(__xludf.DUMMYFUNCTION("""COMPUTED_VALUE"""),"0.2 Tidak Dapat Izin Warga/Kades/Lurah/Developer")</f>
        <v>0.2 Tidak Dapat Izin Warga/Kades/Lurah/Developer</v>
      </c>
      <c r="Q1111" s="222" t="str">
        <f>IFERROR(__xludf.DUMMYFUNCTION("""COMPUTED_VALUE"""),"28/01 izin di tolak karena perumahan sudah kerjasama dengan ISP lain. 21/01 RT menolak karena perumahan sudah di masuki provider cybernet")</f>
        <v>28/01 izin di tolak karena perumahan sudah kerjasama dengan ISP lain. 21/01 RT menolak karena perumahan sudah di masuki provider cybernet</v>
      </c>
      <c r="R1111" s="228"/>
      <c r="S1111" s="11"/>
      <c r="T1111" s="11"/>
      <c r="U1111" s="11"/>
      <c r="V1111" s="229" t="str">
        <f>IFERROR(__xludf.DUMMYFUNCTION("""COMPUTED_VALUE"""),"DEDY IRAWAN")</f>
        <v>DEDY IRAWAN</v>
      </c>
      <c r="W1111" s="229" t="str">
        <f>IFERROR(__xludf.DUMMYFUNCTION("""COMPUTED_VALUE"""),"LEVITA INDRIYANI")</f>
        <v>LEVITA INDRIYANI</v>
      </c>
      <c r="X1111" s="229" t="str">
        <f>IFERROR(__xludf.DUMMYFUNCTION("""COMPUTED_VALUE"""),"BELUM GOLIVE")</f>
        <v>BELUM GOLIVE</v>
      </c>
      <c r="Y1111" s="229"/>
      <c r="Z1111" s="229" t="str">
        <f>IFERROR(__xludf.DUMMYFUNCTION("""COMPUTED_VALUE"""),"#N/A")</f>
        <v>#N/A</v>
      </c>
      <c r="AA1111" s="229"/>
      <c r="AB1111" s="229"/>
      <c r="AC1111" s="229"/>
      <c r="AD1111" s="232"/>
      <c r="AE1111" s="233"/>
      <c r="AF1111" s="54" t="str">
        <f>IFERROR(__xludf.DUMMYFUNCTION("""COMPUTED_VALUE"""),"Draft BA DROP")</f>
        <v>Draft BA DROP</v>
      </c>
      <c r="AG1111" s="54"/>
      <c r="AH1111" s="54"/>
      <c r="AI1111" s="55" t="str">
        <f t="shared" si="122"/>
        <v/>
      </c>
      <c r="AW1111" s="234"/>
      <c r="BP1111" s="11"/>
      <c r="BQ1111" s="11"/>
      <c r="BR1111" s="235"/>
      <c r="BV1111" s="158"/>
      <c r="BY1111" s="158"/>
      <c r="CB1111" s="158"/>
    </row>
    <row r="1112" ht="18.0" hidden="1" customHeight="1">
      <c r="A1112" s="222">
        <f>IFERROR(__xludf.DUMMYFUNCTION("""COMPUTED_VALUE"""),2026.0)</f>
        <v>2026</v>
      </c>
      <c r="B1112" s="221">
        <f>IFERROR(__xludf.DUMMYFUNCTION("""COMPUTED_VALUE"""),1.2385401E7)</f>
        <v>12385401</v>
      </c>
      <c r="C1112" s="222" t="str">
        <f>IFERROR(__xludf.DUMMYFUNCTION("""COMPUTED_VALUE"""),"LPG PT3 JPP MD LPG SELATAN_152387 KDT")</f>
        <v>LPG PT3 JPP MD LPG SELATAN_152387 KDT</v>
      </c>
      <c r="D1112" s="222" t="str">
        <f>IFERROR(__xludf.DUMMYFUNCTION("""COMPUTED_VALUE"""),"REGIONAL I")</f>
        <v>REGIONAL I</v>
      </c>
      <c r="E1112" s="222" t="str">
        <f>IFERROR(__xludf.DUMMYFUNCTION("""COMPUTED_VALUE"""),"LAMPUNG")</f>
        <v>LAMPUNG</v>
      </c>
      <c r="F1112" s="222" t="str">
        <f>IFERROR(__xludf.DUMMYFUNCTION("""COMPUTED_VALUE"""),"KDT")</f>
        <v>KDT</v>
      </c>
      <c r="G1112" s="222" t="str">
        <f>IFERROR(__xludf.DUMMYFUNCTION("""COMPUTED_VALUE"""),"SUMBAGSEL")</f>
        <v>SUMBAGSEL</v>
      </c>
      <c r="H1112" s="222" t="str">
        <f>IFERROR(__xludf.DUMMYFUNCTION("""COMPUTED_VALUE"""),"LAMPUNG")</f>
        <v>LAMPUNG</v>
      </c>
      <c r="I1112" s="222" t="str">
        <f>IFERROR(__xludf.DUMMYFUNCTION("""COMPUTED_VALUE"""),"Batch 2")</f>
        <v>Batch 2</v>
      </c>
      <c r="J1112" s="225">
        <f>IFERROR(__xludf.DUMMYFUNCTION("""COMPUTED_VALUE"""),7.0)</f>
        <v>7</v>
      </c>
      <c r="K1112" s="224">
        <f>IFERROR(__xludf.DUMMYFUNCTION("""COMPUTED_VALUE"""),56.0)</f>
        <v>56</v>
      </c>
      <c r="L1112" s="226">
        <f>IFERROR(__xludf.DUMMYFUNCTION("""COMPUTED_VALUE"""),897246.0)</f>
        <v>897246</v>
      </c>
      <c r="M1112" s="227">
        <f>IFERROR(__xludf.DUMMYFUNCTION("""COMPUTED_VALUE"""),5.0245733E7)</f>
        <v>50245733</v>
      </c>
      <c r="N1112" s="222" t="str">
        <f>IFERROR(__xludf.DUMMYFUNCTION("""COMPUTED_VALUE"""),"PT BANGTELINDO")</f>
        <v>PT BANGTELINDO</v>
      </c>
      <c r="O1112" s="222" t="str">
        <f>IFERROR(__xludf.DUMMYFUNCTION("""COMPUTED_VALUE"""),"0. DROP")</f>
        <v>0. DROP</v>
      </c>
      <c r="P1112" s="222" t="str">
        <f>IFERROR(__xludf.DUMMYFUNCTION("""COMPUTED_VALUE"""),"0.2 Tidak Dapat Izin Warga/Kades/Lurah/Developer")</f>
        <v>0.2 Tidak Dapat Izin Warga/Kades/Lurah/Developer</v>
      </c>
      <c r="Q1112" s="222" t="str">
        <f>IFERROR(__xludf.DUMMYFUNCTION("""COMPUTED_VALUE"""),"6/2 drop high comcase tiang 1 btg di mintai 500 ribu dan tidak mau tanda tangan atau di evident kan
4/2 Plan progres anwizing dan prizinan  
28/1 lurah belum bisa di temui 
21/progres cek eletrical odc dan olt
19/1 proses pengacekan core dan perizinan")</f>
        <v>6/2 drop high comcase tiang 1 btg di mintai 500 ribu dan tidak mau tanda tangan atau di evident kan
4/2 Plan progres anwizing dan prizinan  
28/1 lurah belum bisa di temui 
21/progres cek eletrical odc dan olt
19/1 proses pengacekan core dan perizinan</v>
      </c>
      <c r="R1112" s="228"/>
      <c r="S1112" s="11"/>
      <c r="T1112" s="11"/>
      <c r="U1112" s="11"/>
      <c r="V1112" s="229"/>
      <c r="W1112" s="229"/>
      <c r="X1112" s="229" t="str">
        <f>IFERROR(__xludf.DUMMYFUNCTION("""COMPUTED_VALUE"""),"BELUM GOLIVE")</f>
        <v>BELUM GOLIVE</v>
      </c>
      <c r="Y1112" s="229"/>
      <c r="Z1112" s="229" t="str">
        <f>IFERROR(__xludf.DUMMYFUNCTION("""COMPUTED_VALUE"""),"#N/A")</f>
        <v>#N/A</v>
      </c>
      <c r="AA1112" s="229"/>
      <c r="AB1112" s="229"/>
      <c r="AC1112" s="229"/>
      <c r="AD1112" s="232"/>
      <c r="AE1112" s="233"/>
      <c r="AF1112" s="54" t="str">
        <f>IFERROR(__xludf.DUMMYFUNCTION("""COMPUTED_VALUE"""),"Draft BA DROP")</f>
        <v>Draft BA DROP</v>
      </c>
      <c r="AG1112" s="54"/>
      <c r="AH1112" s="54"/>
      <c r="AI1112" s="55" t="str">
        <f t="shared" si="122"/>
        <v/>
      </c>
      <c r="AW1112" s="234"/>
      <c r="BP1112" s="11"/>
      <c r="BQ1112" s="11"/>
      <c r="BR1112" s="235"/>
      <c r="BV1112" s="158"/>
      <c r="BY1112" s="158"/>
      <c r="CB1112" s="158"/>
    </row>
    <row r="1113" ht="18.0" hidden="1" customHeight="1">
      <c r="A1113" s="222">
        <f>IFERROR(__xludf.DUMMYFUNCTION("""COMPUTED_VALUE"""),2026.0)</f>
        <v>2026</v>
      </c>
      <c r="B1113" s="221">
        <f>IFERROR(__xludf.DUMMYFUNCTION("""COMPUTED_VALUE"""),1.1192667E7)</f>
        <v>11192667</v>
      </c>
      <c r="C1113" s="222" t="str">
        <f>IFERROR(__xludf.DUMMYFUNCTION("""COMPUTED_VALUE"""),"MDN PT3 P7I8 TMU-FU JL.RAHAYU GG.RAYA")</f>
        <v>MDN PT3 P7I8 TMU-FU JL.RAHAYU GG.RAYA</v>
      </c>
      <c r="D1113" s="222" t="str">
        <f>IFERROR(__xludf.DUMMYFUNCTION("""COMPUTED_VALUE"""),"REGIONAL I")</f>
        <v>REGIONAL I</v>
      </c>
      <c r="E1113" s="222" t="str">
        <f>IFERROR(__xludf.DUMMYFUNCTION("""COMPUTED_VALUE"""),"MEDAN")</f>
        <v>MEDAN</v>
      </c>
      <c r="F1113" s="222" t="str">
        <f>IFERROR(__xludf.DUMMYFUNCTION("""COMPUTED_VALUE"""),"TMU")</f>
        <v>TMU</v>
      </c>
      <c r="G1113" s="222" t="str">
        <f>IFERROR(__xludf.DUMMYFUNCTION("""COMPUTED_VALUE"""),"SUMBAGUT")</f>
        <v>SUMBAGUT</v>
      </c>
      <c r="H1113" s="222" t="str">
        <f>IFERROR(__xludf.DUMMYFUNCTION("""COMPUTED_VALUE"""),"MEDAN")</f>
        <v>MEDAN</v>
      </c>
      <c r="I1113" s="222" t="str">
        <f>IFERROR(__xludf.DUMMYFUNCTION("""COMPUTED_VALUE"""),"Batch 2")</f>
        <v>Batch 2</v>
      </c>
      <c r="J1113" s="225">
        <f>IFERROR(__xludf.DUMMYFUNCTION("""COMPUTED_VALUE"""),2.0)</f>
        <v>2</v>
      </c>
      <c r="K1113" s="224">
        <f>IFERROR(__xludf.DUMMYFUNCTION("""COMPUTED_VALUE"""),16.0)</f>
        <v>16</v>
      </c>
      <c r="L1113" s="226">
        <f>IFERROR(__xludf.DUMMYFUNCTION("""COMPUTED_VALUE"""),1497180.0)</f>
        <v>1497180</v>
      </c>
      <c r="M1113" s="227">
        <f>IFERROR(__xludf.DUMMYFUNCTION("""COMPUTED_VALUE"""),2.3954867E7)</f>
        <v>23954867</v>
      </c>
      <c r="N1113" s="222" t="str">
        <f>IFERROR(__xludf.DUMMYFUNCTION("""COMPUTED_VALUE"""),"PT ARTHA MANDIRI BERSAMA")</f>
        <v>PT ARTHA MANDIRI BERSAMA</v>
      </c>
      <c r="O1113" s="222" t="str">
        <f>IFERROR(__xludf.DUMMYFUNCTION("""COMPUTED_VALUE"""),"0. DROP")</f>
        <v>0. DROP</v>
      </c>
      <c r="P1113" s="222" t="str">
        <f>IFERROR(__xludf.DUMMYFUNCTION("""COMPUTED_VALUE"""),"0.4 CPP Tinggi Acc ED TIF")</f>
        <v>0.4 CPP Tinggi Acc ED TIF</v>
      </c>
      <c r="Q1113" s="222" t="str">
        <f>IFERROR(__xludf.DUMMYFUNCTION("""COMPUTED_VALUE"""),"01/11 Feeder Loss
(24/09) Perizinan Warga dan Kades / Lurah
(23/09) Perizinan Warga dan Kades / Lurah
15/09 proses aanwijzing")</f>
        <v>01/11 Feeder Loss
(24/09) Perizinan Warga dan Kades / Lurah
(23/09) Perizinan Warga dan Kades / Lurah
15/09 proses aanwijzing</v>
      </c>
      <c r="R1113" s="228"/>
      <c r="S1113" s="11"/>
      <c r="T1113" s="11"/>
      <c r="U1113" s="11"/>
      <c r="V1113" s="229"/>
      <c r="W1113" s="229"/>
      <c r="X1113" s="229" t="str">
        <f>IFERROR(__xludf.DUMMYFUNCTION("""COMPUTED_VALUE"""),"BELUM GOLIVE")</f>
        <v>BELUM GOLIVE</v>
      </c>
      <c r="Y1113" s="229"/>
      <c r="Z1113" s="229" t="str">
        <f>IFERROR(__xludf.DUMMYFUNCTION("""COMPUTED_VALUE"""),"#N/A")</f>
        <v>#N/A</v>
      </c>
      <c r="AA1113" s="229"/>
      <c r="AB1113" s="229"/>
      <c r="AC1113" s="229"/>
      <c r="AD1113" s="232"/>
      <c r="AE1113" s="233"/>
      <c r="AF1113" s="54" t="str">
        <f>IFERROR(__xludf.DUMMYFUNCTION("""COMPUTED_VALUE"""),"Draft BA DROP")</f>
        <v>Draft BA DROP</v>
      </c>
      <c r="AG1113" s="54"/>
      <c r="AH1113" s="54"/>
      <c r="AI1113" s="55" t="str">
        <f t="shared" si="122"/>
        <v/>
      </c>
      <c r="AW1113" s="234"/>
      <c r="BP1113" s="11"/>
      <c r="BQ1113" s="11"/>
      <c r="BR1113" s="235"/>
      <c r="BV1113" s="158"/>
      <c r="BY1113" s="158"/>
      <c r="CB1113" s="158"/>
    </row>
    <row r="1114" ht="18.0" hidden="1" customHeight="1">
      <c r="A1114" s="222">
        <f>IFERROR(__xludf.DUMMYFUNCTION("""COMPUTED_VALUE"""),2026.0)</f>
        <v>2026</v>
      </c>
      <c r="B1114" s="221">
        <f>IFERROR(__xludf.DUMMYFUNCTION("""COMPUTED_VALUE"""),1.2261511E7)</f>
        <v>12261511</v>
      </c>
      <c r="C1114" s="222" t="str">
        <f>IFERROR(__xludf.DUMMYFUNCTION("""COMPUTED_VALUE"""),"LPG PT3 JPP MESUJI_28473_H2_2025 UNT")</f>
        <v>LPG PT3 JPP MESUJI_28473_H2_2025 UNT</v>
      </c>
      <c r="D1114" s="222" t="str">
        <f>IFERROR(__xludf.DUMMYFUNCTION("""COMPUTED_VALUE"""),"REGIONAL I")</f>
        <v>REGIONAL I</v>
      </c>
      <c r="E1114" s="222" t="str">
        <f>IFERROR(__xludf.DUMMYFUNCTION("""COMPUTED_VALUE"""),"LAMPUNG")</f>
        <v>LAMPUNG</v>
      </c>
      <c r="F1114" s="222" t="str">
        <f>IFERROR(__xludf.DUMMYFUNCTION("""COMPUTED_VALUE"""),"UNT")</f>
        <v>UNT</v>
      </c>
      <c r="G1114" s="222" t="str">
        <f>IFERROR(__xludf.DUMMYFUNCTION("""COMPUTED_VALUE"""),"SUMBAGSEL")</f>
        <v>SUMBAGSEL</v>
      </c>
      <c r="H1114" s="222" t="str">
        <f>IFERROR(__xludf.DUMMYFUNCTION("""COMPUTED_VALUE"""),"PALEMBANG")</f>
        <v>PALEMBANG</v>
      </c>
      <c r="I1114" s="222" t="str">
        <f>IFERROR(__xludf.DUMMYFUNCTION("""COMPUTED_VALUE"""),"Batch 2")</f>
        <v>Batch 2</v>
      </c>
      <c r="J1114" s="225">
        <f>IFERROR(__xludf.DUMMYFUNCTION("""COMPUTED_VALUE"""),2.0)</f>
        <v>2</v>
      </c>
      <c r="K1114" s="224">
        <f>IFERROR(__xludf.DUMMYFUNCTION("""COMPUTED_VALUE"""),16.0)</f>
        <v>16</v>
      </c>
      <c r="L1114" s="226">
        <f>IFERROR(__xludf.DUMMYFUNCTION("""COMPUTED_VALUE"""),897000.0)</f>
        <v>897000</v>
      </c>
      <c r="M1114" s="227">
        <f>IFERROR(__xludf.DUMMYFUNCTION("""COMPUTED_VALUE"""),1.4351989E7)</f>
        <v>14351989</v>
      </c>
      <c r="N1114" s="222" t="str">
        <f>IFERROR(__xludf.DUMMYFUNCTION("""COMPUTED_VALUE"""),"SWAKELOLA")</f>
        <v>SWAKELOLA</v>
      </c>
      <c r="O1114" s="222" t="str">
        <f>IFERROR(__xludf.DUMMYFUNCTION("""COMPUTED_VALUE"""),"0. DROP")</f>
        <v>0. DROP</v>
      </c>
      <c r="P1114" s="222" t="str">
        <f>IFERROR(__xludf.DUMMYFUNCTION("""COMPUTED_VALUE"""),"0.4 CPP Tinggi Acc ED TIF")</f>
        <v>0.4 CPP Tinggi Acc ED TIF</v>
      </c>
      <c r="Q1114" s="222" t="str">
        <f>IFERROR(__xludf.DUMMYFUNCTION("""COMPUTED_VALUE"""),"01/04 HASIL EVAL DROP, MINI OLT HABIS BUTUH UPGRADE UNTUK JUMPER 3 ODC 31/03 PLAN HARI INI LANJUT EVAL DG TIF, 27/03 LANJUT EVAL DG TIF EST TGL 30 MAR, 26/3 DONE AANWIJDZING , MENUNGGU HASIL EVAL ,25/03 LANJUT EVAL DG TIF EST TGL 30 MAR ,21/03 LANJUT EVAL"&amp;" SETELAH LEBARAN, 13/03 DONE AANWIDJZING - PROPOSED DROP KRNA CORE DAN MODUL  PENUH DI MINI OLT, 09/03 Sudah kordinasi dengan sumsel. Mulai Aanwizing 5/3 masuk area sumsel,, kendala OLT di status Terakhir  (18/2) konfirmasi ke tif  terkait penambahan mini"&amp;" OLT (11/2) masuk lop sumsel (6/2) butuh penambahan mini OLT
14/1 butuh penambahan mini OLT")</f>
        <v>01/04 HASIL EVAL DROP, MINI OLT HABIS BUTUH UPGRADE UNTUK JUMPER 3 ODC 31/03 PLAN HARI INI LANJUT EVAL DG TIF, 27/03 LANJUT EVAL DG TIF EST TGL 30 MAR, 26/3 DONE AANWIJDZING , MENUNGGU HASIL EVAL ,25/03 LANJUT EVAL DG TIF EST TGL 30 MAR ,21/03 LANJUT EVAL SETELAH LEBARAN, 13/03 DONE AANWIDJZING - PROPOSED DROP KRNA CORE DAN MODUL  PENUH DI MINI OLT, 09/03 Sudah kordinasi dengan sumsel. Mulai Aanwizing 5/3 masuk area sumsel,, kendala OLT di status Terakhir  (18/2) konfirmasi ke tif  terkait penambahan mini OLT (11/2) masuk lop sumsel (6/2) butuh penambahan mini OLT
14/1 butuh penambahan mini OLT</v>
      </c>
      <c r="R1114" s="228"/>
      <c r="S1114" s="11"/>
      <c r="T1114" s="11"/>
      <c r="U1114" s="11"/>
      <c r="V1114" s="229"/>
      <c r="W1114" s="229"/>
      <c r="X1114" s="229" t="str">
        <f>IFERROR(__xludf.DUMMYFUNCTION("""COMPUTED_VALUE"""),"BELUM GOLIVE")</f>
        <v>BELUM GOLIVE</v>
      </c>
      <c r="Y1114" s="229" t="str">
        <f>IFERROR(__xludf.DUMMYFUNCTION("""COMPUTED_VALUE"""),"PORT OLT Penuh")</f>
        <v>PORT OLT Penuh</v>
      </c>
      <c r="Z1114" s="229" t="str">
        <f>IFERROR(__xludf.DUMMYFUNCTION("""COMPUTED_VALUE"""),"#N/A")</f>
        <v>#N/A</v>
      </c>
      <c r="AA1114" s="229"/>
      <c r="AB1114" s="229"/>
      <c r="AC1114" s="229"/>
      <c r="AD1114" s="232"/>
      <c r="AE1114" s="233"/>
      <c r="AF1114" s="54"/>
      <c r="AG1114" s="54"/>
      <c r="AH1114" s="54"/>
      <c r="AI1114" s="55" t="str">
        <f t="shared" si="122"/>
        <v/>
      </c>
      <c r="AW1114" s="234"/>
      <c r="BP1114" s="11"/>
      <c r="BQ1114" s="11"/>
      <c r="BR1114" s="235"/>
      <c r="BV1114" s="158"/>
      <c r="BY1114" s="158"/>
      <c r="CB1114" s="158"/>
    </row>
    <row r="1115" ht="18.0" customHeight="1">
      <c r="A1115" s="222">
        <f>IFERROR(__xludf.DUMMYFUNCTION("""COMPUTED_VALUE"""),2026.0)</f>
        <v>2026</v>
      </c>
      <c r="B1115" s="221">
        <f>IFERROR(__xludf.DUMMYFUNCTION("""COMPUTED_VALUE"""),1.1298404E7)</f>
        <v>11298404</v>
      </c>
      <c r="C1115" s="222" t="str">
        <f>IFERROR(__xludf.DUMMYFUNCTION("""COMPUTED_VALUE"""),"SMB P2I1 belakang Soto Pami SLN")</f>
        <v>SMB P2I1 belakang Soto Pami SLN</v>
      </c>
      <c r="D1115" s="222" t="str">
        <f>IFERROR(__xludf.DUMMYFUNCTION("""COMPUTED_VALUE"""),"REGIONAL I")</f>
        <v>REGIONAL I</v>
      </c>
      <c r="E1115" s="222" t="str">
        <f>IFERROR(__xludf.DUMMYFUNCTION("""COMPUTED_VALUE"""),"SUMBAR")</f>
        <v>SUMBAR</v>
      </c>
      <c r="F1115" s="222" t="str">
        <f>IFERROR(__xludf.DUMMYFUNCTION("""COMPUTED_VALUE"""),"SLN")</f>
        <v>SLN</v>
      </c>
      <c r="G1115" s="222" t="str">
        <f>IFERROR(__xludf.DUMMYFUNCTION("""COMPUTED_VALUE"""),"SUMBAGTENG")</f>
        <v>SUMBAGTENG</v>
      </c>
      <c r="H1115" s="222" t="str">
        <f>IFERROR(__xludf.DUMMYFUNCTION("""COMPUTED_VALUE"""),"PADANG")</f>
        <v>PADANG</v>
      </c>
      <c r="I1115" s="222" t="str">
        <f>IFERROR(__xludf.DUMMYFUNCTION("""COMPUTED_VALUE"""),"Batch 2")</f>
        <v>Batch 2</v>
      </c>
      <c r="J1115" s="225">
        <f>IFERROR(__xludf.DUMMYFUNCTION("""COMPUTED_VALUE"""),11.0)</f>
        <v>11</v>
      </c>
      <c r="K1115" s="224">
        <f>IFERROR(__xludf.DUMMYFUNCTION("""COMPUTED_VALUE"""),88.0)</f>
        <v>88</v>
      </c>
      <c r="L1115" s="226">
        <f>IFERROR(__xludf.DUMMYFUNCTION("""COMPUTED_VALUE"""),896892.0)</f>
        <v>896892</v>
      </c>
      <c r="M1115" s="227">
        <f>IFERROR(__xludf.DUMMYFUNCTION("""COMPUTED_VALUE"""),7.8926469E7)</f>
        <v>78926469</v>
      </c>
      <c r="N1115" s="222" t="str">
        <f>IFERROR(__xludf.DUMMYFUNCTION("""COMPUTED_VALUE"""),"PT TANJUNG PUTRA PRIMA")</f>
        <v>PT TANJUNG PUTRA PRIMA</v>
      </c>
      <c r="O1115" s="222" t="str">
        <f>IFERROR(__xludf.DUMMYFUNCTION("""COMPUTED_VALUE"""),"0. DROP")</f>
        <v>0. DROP</v>
      </c>
      <c r="P1115" s="222" t="str">
        <f>IFERROR(__xludf.DUMMYFUNCTION("""COMPUTED_VALUE"""),"0.5 DROP TSEL - Acc ED TIF")</f>
        <v>0.5 DROP TSEL - Acc ED TIF</v>
      </c>
      <c r="Q1115" s="222" t="str">
        <f>IFERROR(__xludf.DUMMYFUNCTION("""COMPUTED_VALUE"""),"(06/03) proses create PID (05/03) proses aanwijziing plan selesai 07/03  (02/03) proses aanwijziing (26/01) DROP, permintaan tsel (tidak potensial) ")</f>
        <v>(06/03) proses create PID (05/03) proses aanwijziing plan selesai 07/03  (02/03) proses aanwijziing (26/01) DROP, permintaan tsel (tidak potensial) </v>
      </c>
      <c r="R1115" s="228"/>
      <c r="S1115" s="11"/>
      <c r="T1115" s="11"/>
      <c r="U1115" s="11" t="str">
        <f>IFERROR(__xludf.DUMMYFUNCTION("""COMPUTED_VALUE"""),"TIF-5657/2026  26KT03R158-0071")</f>
        <v>TIF-5657/2026  26KT03R158-0071</v>
      </c>
      <c r="V1115" s="229" t="str">
        <f>IFERROR(__xludf.DUMMYFUNCTION("""COMPUTED_VALUE"""),"YULIO NOVIKO")</f>
        <v>YULIO NOVIKO</v>
      </c>
      <c r="W1115" s="229" t="str">
        <f>IFERROR(__xludf.DUMMYFUNCTION("""COMPUTED_VALUE"""),"MELKO NARWADI")</f>
        <v>MELKO NARWADI</v>
      </c>
      <c r="X1115" s="229" t="str">
        <f>IFERROR(__xludf.DUMMYFUNCTION("""COMPUTED_VALUE"""),"BELUM GOLIVE")</f>
        <v>BELUM GOLIVE</v>
      </c>
      <c r="Y1115" s="229"/>
      <c r="Z1115" s="229" t="str">
        <f>IFERROR(__xludf.DUMMYFUNCTION("""COMPUTED_VALUE"""),"#N/A")</f>
        <v>#N/A</v>
      </c>
      <c r="AA1115" s="229"/>
      <c r="AB1115" s="229"/>
      <c r="AC1115" s="229"/>
      <c r="AD1115" s="232"/>
      <c r="AE1115" s="233"/>
      <c r="AF1115" s="54"/>
      <c r="AG1115" s="54"/>
      <c r="AH1115" s="54"/>
      <c r="AI1115" s="55" t="str">
        <f t="shared" si="122"/>
        <v/>
      </c>
      <c r="AW1115" s="234"/>
      <c r="BP1115" s="11"/>
      <c r="BQ1115" s="11"/>
      <c r="BR1115" s="235"/>
      <c r="BV1115" s="158"/>
      <c r="BY1115" s="158"/>
      <c r="CB1115" s="158"/>
    </row>
    <row r="1116" ht="18.0" customHeight="1">
      <c r="A1116" s="222">
        <f>IFERROR(__xludf.DUMMYFUNCTION("""COMPUTED_VALUE"""),2026.0)</f>
        <v>2026</v>
      </c>
      <c r="B1116" s="221">
        <f>IFERROR(__xludf.DUMMYFUNCTION("""COMPUTED_VALUE"""),1.1314978E7)</f>
        <v>11314978</v>
      </c>
      <c r="C1116" s="222" t="str">
        <f>IFERROR(__xludf.DUMMYFUNCTION("""COMPUTED_VALUE"""),"RKP PT3 TSEL DBS-FB TJ. HARAPAN")</f>
        <v>RKP PT3 TSEL DBS-FB TJ. HARAPAN</v>
      </c>
      <c r="D1116" s="222" t="str">
        <f>IFERROR(__xludf.DUMMYFUNCTION("""COMPUTED_VALUE"""),"REGIONAL I")</f>
        <v>REGIONAL I</v>
      </c>
      <c r="E1116" s="222" t="str">
        <f>IFERROR(__xludf.DUMMYFUNCTION("""COMPUTED_VALUE"""),"RIKEP")</f>
        <v>RIKEP</v>
      </c>
      <c r="F1116" s="222" t="str">
        <f>IFERROR(__xludf.DUMMYFUNCTION("""COMPUTED_VALUE"""),"DBS")</f>
        <v>DBS</v>
      </c>
      <c r="G1116" s="222" t="str">
        <f>IFERROR(__xludf.DUMMYFUNCTION("""COMPUTED_VALUE"""),"SUMBAGTENG")</f>
        <v>SUMBAGTENG</v>
      </c>
      <c r="H1116" s="222" t="str">
        <f>IFERROR(__xludf.DUMMYFUNCTION("""COMPUTED_VALUE"""),"BATAM")</f>
        <v>BATAM</v>
      </c>
      <c r="I1116" s="222" t="str">
        <f>IFERROR(__xludf.DUMMYFUNCTION("""COMPUTED_VALUE"""),"Batch 2")</f>
        <v>Batch 2</v>
      </c>
      <c r="J1116" s="225">
        <f>IFERROR(__xludf.DUMMYFUNCTION("""COMPUTED_VALUE"""),1.0)</f>
        <v>1</v>
      </c>
      <c r="K1116" s="224">
        <f>IFERROR(__xludf.DUMMYFUNCTION("""COMPUTED_VALUE"""),8.0)</f>
        <v>8</v>
      </c>
      <c r="L1116" s="226">
        <f>IFERROR(__xludf.DUMMYFUNCTION("""COMPUTED_VALUE"""),896220.0)</f>
        <v>896220</v>
      </c>
      <c r="M1116" s="227">
        <f>IFERROR(__xludf.DUMMYFUNCTION("""COMPUTED_VALUE"""),7169753.0)</f>
        <v>7169753</v>
      </c>
      <c r="N1116" s="222" t="str">
        <f>IFERROR(__xludf.DUMMYFUNCTION("""COMPUTED_VALUE"""),"SWAKELOLA")</f>
        <v>SWAKELOLA</v>
      </c>
      <c r="O1116" s="222" t="str">
        <f>IFERROR(__xludf.DUMMYFUNCTION("""COMPUTED_VALUE"""),"0. DROP")</f>
        <v>0. DROP</v>
      </c>
      <c r="P1116" s="222" t="str">
        <f>IFERROR(__xludf.DUMMYFUNCTION("""COMPUTED_VALUE"""),"0.3 Feeder Full")</f>
        <v>0.3 Feeder Full</v>
      </c>
      <c r="Q1116" s="222" t="str">
        <f>IFERROR(__xludf.DUMMYFUNCTION("""COMPUTED_VALUE"""),"31/03 Feeder Full. 30/03 Req done, menunggu PO material sampai ke WH Tanjung pinang dan di kirim ke Pulau dabo dan Pulau Lingga.10/03 menunggu PO material sampai di pulau tanjung pinang dan pengiriman material ke pulau dabo singkep dan lingga. 05/03 Anwij"&amp;"zing OK, perizinan OK.  proses pembuatan BOQ KML Survey dan eval. 03/03 On Going survey ke pulau dabo singkep dan pulau lingga. 12/02 Lokasi di pulau outer lingga dan dabo singkep. 09/02 wilsus masih blm sempat untuk survey di pulau. 22/01 Plan anwijzing "&amp;"mitra di pulau, tanggal 26 Jan 2026")</f>
        <v>31/03 Feeder Full.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116" s="228"/>
      <c r="S1116" s="11"/>
      <c r="T1116" s="11"/>
      <c r="U1116" s="11"/>
      <c r="V1116" s="229" t="str">
        <f>IFERROR(__xludf.DUMMYFUNCTION("""COMPUTED_VALUE"""),"DEDY IRAWAN")</f>
        <v>DEDY IRAWAN</v>
      </c>
      <c r="W1116" s="229" t="str">
        <f>IFERROR(__xludf.DUMMYFUNCTION("""COMPUTED_VALUE"""),"LEVITA INDRIYANI")</f>
        <v>LEVITA INDRIYANI</v>
      </c>
      <c r="X1116" s="229" t="str">
        <f>IFERROR(__xludf.DUMMYFUNCTION("""COMPUTED_VALUE"""),"BELUM GOLIVE")</f>
        <v>BELUM GOLIVE</v>
      </c>
      <c r="Y1116" s="229"/>
      <c r="Z1116" s="229" t="str">
        <f>IFERROR(__xludf.DUMMYFUNCTION("""COMPUTED_VALUE"""),"#N/A")</f>
        <v>#N/A</v>
      </c>
      <c r="AA1116" s="229"/>
      <c r="AB1116" s="229"/>
      <c r="AC1116" s="229"/>
      <c r="AD1116" s="232"/>
      <c r="AE1116" s="233"/>
      <c r="AF1116" s="54"/>
      <c r="AG1116" s="54"/>
      <c r="AH1116" s="54"/>
      <c r="AI1116" s="55" t="str">
        <f t="shared" si="122"/>
        <v/>
      </c>
      <c r="AW1116" s="234"/>
      <c r="BP1116" s="11"/>
      <c r="BQ1116" s="11"/>
      <c r="BR1116" s="235"/>
      <c r="BV1116" s="158"/>
      <c r="BY1116" s="158"/>
      <c r="CB1116" s="158"/>
    </row>
    <row r="1117" ht="18.0" hidden="1" customHeight="1">
      <c r="A1117" s="222">
        <f>IFERROR(__xludf.DUMMYFUNCTION("""COMPUTED_VALUE"""),2026.0)</f>
        <v>2026</v>
      </c>
      <c r="B1117" s="221">
        <f>IFERROR(__xludf.DUMMYFUNCTION("""COMPUTED_VALUE"""),1.1388429E7)</f>
        <v>11388429</v>
      </c>
      <c r="C1117" s="222" t="str">
        <f>IFERROR(__xludf.DUMMYFUNCTION("""COMPUTED_VALUE"""),"LPG PT3 JPP PESAWARAN_9858 GDT")</f>
        <v>LPG PT3 JPP PESAWARAN_9858 GDT</v>
      </c>
      <c r="D1117" s="222" t="str">
        <f>IFERROR(__xludf.DUMMYFUNCTION("""COMPUTED_VALUE"""),"REGIONAL I")</f>
        <v>REGIONAL I</v>
      </c>
      <c r="E1117" s="222" t="str">
        <f>IFERROR(__xludf.DUMMYFUNCTION("""COMPUTED_VALUE"""),"LAMPUNG")</f>
        <v>LAMPUNG</v>
      </c>
      <c r="F1117" s="222" t="str">
        <f>IFERROR(__xludf.DUMMYFUNCTION("""COMPUTED_VALUE"""),"GDT")</f>
        <v>GDT</v>
      </c>
      <c r="G1117" s="222" t="str">
        <f>IFERROR(__xludf.DUMMYFUNCTION("""COMPUTED_VALUE"""),"SUMBAGSEL")</f>
        <v>SUMBAGSEL</v>
      </c>
      <c r="H1117" s="222" t="str">
        <f>IFERROR(__xludf.DUMMYFUNCTION("""COMPUTED_VALUE"""),"LAMPUNG")</f>
        <v>LAMPUNG</v>
      </c>
      <c r="I1117" s="222" t="str">
        <f>IFERROR(__xludf.DUMMYFUNCTION("""COMPUTED_VALUE"""),"Batch 2")</f>
        <v>Batch 2</v>
      </c>
      <c r="J1117" s="225">
        <f>IFERROR(__xludf.DUMMYFUNCTION("""COMPUTED_VALUE"""),5.0)</f>
        <v>5</v>
      </c>
      <c r="K1117" s="224">
        <f>IFERROR(__xludf.DUMMYFUNCTION("""COMPUTED_VALUE"""),40.0)</f>
        <v>40</v>
      </c>
      <c r="L1117" s="226">
        <f>IFERROR(__xludf.DUMMYFUNCTION("""COMPUTED_VALUE"""),892179.0)</f>
        <v>892179</v>
      </c>
      <c r="M1117" s="227">
        <f>IFERROR(__xludf.DUMMYFUNCTION("""COMPUTED_VALUE"""),3.5687157E7)</f>
        <v>35687157</v>
      </c>
      <c r="N1117" s="222" t="str">
        <f>IFERROR(__xludf.DUMMYFUNCTION("""COMPUTED_VALUE"""),"SWAKELOLA")</f>
        <v>SWAKELOLA</v>
      </c>
      <c r="O1117" s="222" t="str">
        <f>IFERROR(__xludf.DUMMYFUNCTION("""COMPUTED_VALUE"""),"0. DROP")</f>
        <v>0. DROP</v>
      </c>
      <c r="P1117" s="222" t="str">
        <f>IFERROR(__xludf.DUMMYFUNCTION("""COMPUTED_VALUE"""),"0.2 Tidak Dapat Izin Warga/Kades/Lurah/Developer")</f>
        <v>0.2 Tidak Dapat Izin Warga/Kades/Lurah/Developer</v>
      </c>
      <c r="Q1117" s="222" t="str">
        <f>IFERROR(__xludf.DUMMYFUNCTION("""COMPUTED_VALUE"""),"30/1 tidak di jinkan pembanguan telkom karna sdah mou dengan my rep 
14/1 proses pengacekan core dan perizinan")</f>
        <v>30/1 tidak di jinkan pembanguan telkom karna sdah mou dengan my rep 
14/1 proses pengacekan core dan perizinan</v>
      </c>
      <c r="R1117" s="228"/>
      <c r="S1117" s="11"/>
      <c r="T1117" s="11"/>
      <c r="U1117" s="11" t="str">
        <f>IFERROR(__xludf.DUMMYFUNCTION("""COMPUTED_VALUE"""),"W02-567/2025")</f>
        <v>W02-567/2025</v>
      </c>
      <c r="V1117" s="229"/>
      <c r="W1117" s="229"/>
      <c r="X1117" s="229" t="str">
        <f>IFERROR(__xludf.DUMMYFUNCTION("""COMPUTED_VALUE"""),"BELUM GOLIVE")</f>
        <v>BELUM GOLIVE</v>
      </c>
      <c r="Y1117" s="229"/>
      <c r="Z1117" s="229" t="str">
        <f>IFERROR(__xludf.DUMMYFUNCTION("""COMPUTED_VALUE"""),"#N/A")</f>
        <v>#N/A</v>
      </c>
      <c r="AA1117" s="229"/>
      <c r="AB1117" s="229"/>
      <c r="AC1117" s="229"/>
      <c r="AD1117" s="232"/>
      <c r="AE1117" s="233"/>
      <c r="AF1117" s="54" t="str">
        <f>IFERROR(__xludf.DUMMYFUNCTION("""COMPUTED_VALUE"""),"Draft BA DROP")</f>
        <v>Draft BA DROP</v>
      </c>
      <c r="AG1117" s="54"/>
      <c r="AH1117" s="54"/>
      <c r="AI1117" s="55" t="str">
        <f t="shared" si="122"/>
        <v/>
      </c>
      <c r="AW1117" s="234"/>
      <c r="BP1117" s="11"/>
      <c r="BQ1117" s="11"/>
      <c r="BR1117" s="235"/>
      <c r="BV1117" s="158"/>
      <c r="BY1117" s="158"/>
      <c r="CB1117" s="158"/>
    </row>
    <row r="1118" ht="18.0" hidden="1" customHeight="1">
      <c r="A1118" s="222">
        <f>IFERROR(__xludf.DUMMYFUNCTION("""COMPUTED_VALUE"""),2026.0)</f>
        <v>2026</v>
      </c>
      <c r="B1118" s="221">
        <f>IFERROR(__xludf.DUMMYFUNCTION("""COMPUTED_VALUE"""),1.1589744E7)</f>
        <v>11589744</v>
      </c>
      <c r="C1118" s="222" t="str">
        <f>IFERROR(__xludf.DUMMYFUNCTION("""COMPUTED_VALUE"""),"SMS P3I1 PT3 PBM FW JL RODA QE")</f>
        <v>SMS P3I1 PT3 PBM FW JL RODA QE</v>
      </c>
      <c r="D1118" s="222" t="str">
        <f>IFERROR(__xludf.DUMMYFUNCTION("""COMPUTED_VALUE"""),"REGIONAL I")</f>
        <v>REGIONAL I</v>
      </c>
      <c r="E1118" s="222" t="str">
        <f>IFERROR(__xludf.DUMMYFUNCTION("""COMPUTED_VALUE"""),"SUMSEL")</f>
        <v>SUMSEL</v>
      </c>
      <c r="F1118" s="222" t="str">
        <f>IFERROR(__xludf.DUMMYFUNCTION("""COMPUTED_VALUE"""),"PBM")</f>
        <v>PBM</v>
      </c>
      <c r="G1118" s="222" t="str">
        <f>IFERROR(__xludf.DUMMYFUNCTION("""COMPUTED_VALUE"""),"SUMBAGSEL")</f>
        <v>SUMBAGSEL</v>
      </c>
      <c r="H1118" s="222" t="str">
        <f>IFERROR(__xludf.DUMMYFUNCTION("""COMPUTED_VALUE"""),"PALEMBANG")</f>
        <v>PALEMBANG</v>
      </c>
      <c r="I1118" s="222" t="str">
        <f>IFERROR(__xludf.DUMMYFUNCTION("""COMPUTED_VALUE"""),"Batch 2")</f>
        <v>Batch 2</v>
      </c>
      <c r="J1118" s="225">
        <f>IFERROR(__xludf.DUMMYFUNCTION("""COMPUTED_VALUE"""),9.0)</f>
        <v>9</v>
      </c>
      <c r="K1118" s="224">
        <f>IFERROR(__xludf.DUMMYFUNCTION("""COMPUTED_VALUE"""),72.0)</f>
        <v>72</v>
      </c>
      <c r="L1118" s="226">
        <f>IFERROR(__xludf.DUMMYFUNCTION("""COMPUTED_VALUE"""),892177.0)</f>
        <v>892177</v>
      </c>
      <c r="M1118" s="227">
        <f>IFERROR(__xludf.DUMMYFUNCTION("""COMPUTED_VALUE"""),6.4236703E7)</f>
        <v>64236703</v>
      </c>
      <c r="N1118" s="222" t="str">
        <f>IFERROR(__xludf.DUMMYFUNCTION("""COMPUTED_VALUE"""),"PT ACERO CETHA METALINDO")</f>
        <v>PT ACERO CETHA METALINDO</v>
      </c>
      <c r="O1118" s="222" t="str">
        <f>IFERROR(__xludf.DUMMYFUNCTION("""COMPUTED_VALUE"""),"7. GOLIVE")</f>
        <v>7. GOLIVE</v>
      </c>
      <c r="P1118" s="222" t="str">
        <f>IFERROR(__xludf.DUMMYFUNCTION("""COMPUTED_VALUE"""),"7.1 Golive Parsial")</f>
        <v>7.1 Golive Parsial</v>
      </c>
      <c r="Q1118" s="222" t="str">
        <f>IFERROR(__xludf.DUMMYFUNCTION("""COMPUTED_VALUE"""),"01/04 GOLIVE, 30/03 DONE SUBMIT ABD KE SDI, 27/03 MENUNGGU ANTRIAN PEKERJAAN GUNUNG KEMALO, 25/03 PROGRESS TERMINASI ODP, 24/03  LANJUT PROGRESS SETELAH LEBARAN, 21/03 LANJUT PROGRESS SETELAH LEBARAN, 17/03 MENUNGGU ANTRIAN PEKERJAAN LOP JLN LINGKAR, 16/0"&amp;"3 HARI INI PROGRESS PASANG ODP, 13/03 EST TGL 16 MAR MULAI PROGRESS PASANG ODP, 12/03 MENUNGGU ANTRIAN PEKERJAAN, 11/03 OGP PASANG ODP DAN TERMINASI, 10/03 PERAPIAN DAN COR TB, 09/03 OGP PASANGAN ODP, 08/03 DONE PENARIKAN KABEL 1775M, 06/03 MATERIAL ONSIT"&amp;"E, 05/03 HARI INI AMBIL MATERIAL, 02/03 OGP AMBIL MATERIAL, 28/2 plan 2 Mar ambil material  27/02 DONE RFC, OGP AMBIL MATERIAL, 27/02 OGP INPUT MATERIAL, 26/02 AMD BUDGET, 24/02 KENDALA OVER BUDGET, 23/02 MENUNGGU APPROVE AMD BUDGET, 22/2 menunggu materia"&amp;"l TIANG  20/02 DONE INPUT MATERIAL, 17/02 PROSES INPUT MATERIAL - KENDALA OVER BUDGET, 13/02 IZIN LURAH OKE, LANJUT PROGRESS INPUT MATERIAL, 11/02 PROSES PERIZINAN LURAH,plan 11/2 ketemu 10/02 PROSES PERIZINAN, 09/02 MENUNGGU PID UTK INPUT MATERIAL, 6/2 p"&amp;"lan input material 9 FEB, proses perizinan  03/02 DONE EVAL, LANJUT PROGRES HASIL AANWIZJING PENURUNAN BOQ DARI PLAN, (26/1) tim TIF belum bisa EVAL hasil anwijzing karena lagi diluar kota , estimasi 29 jan baru kembali ke Palembang(23/01 DONE AANWIDJZING"&amp;", (21/01) menunggu antrian aanwizjing
(15/1) ORDER DITERIMA MITRA 14/1, plan Aanwijdzing 19 Jan  (06/01)order JPP batch-2 2026 ((14/11)HOLD-  tidak masuk target Optimis 2025 (14/11 masih penunjukkan mitra, 13/11 lop di tolak mitra, jadi masih penunjukkan "&amp;"mitra 12/11  masih penunjukkan mitra, 11/11 masih penunjukkan mitra  05/11 menunggu Aanwijzing 23/10 penunjukan mitra
15/10 proses penunjukan mitra
(08/10) penunjukan mitra
14/01 penunjukan mitra oleh procurement")</f>
        <v>01/04 GOLIVE, 30/03 DONE SUBMIT ABD KE SDI, 27/03 MENUNGGU ANTRIAN PEKERJAAN GUNUNG KEMALO, 25/03 PROGRESS TERMINASI ODP, 24/03  LANJUT PROGRESS SETELAH LEBARAN, 21/03 LANJUT PROGRESS SETELAH LEBARAN, 17/03 MENUNGGU ANTRIAN PEKERJAAN LOP JLN LINGKAR, 16/03 HARI INI PROGRESS PASANG ODP, 13/03 EST TGL 16 MAR MULAI PROGRESS PASANG ODP, 12/03 MENUNGGU ANTRIAN PEKERJAAN, 11/03 OGP PASANG ODP DAN TERMINASI, 10/03 PERAPIAN DAN COR TB, 09/03 OGP PASANGAN ODP, 08/03 DONE PENARIKAN KABEL 1775M, 06/03 MATERIAL ONSITE, 05/03 HARI INI AMBIL MATERIAL, 02/03 OGP AMBIL MATERIAL, 28/2 plan 2 Mar ambil material  27/02 DONE RFC, OGP AMBIL MATERIAL, 27/02 OGP INPUT MATERIAL, 26/02 AMD BUDGET, 24/02 KENDALA OVER BUDGET, 23/02 MENUNGGU APPROVE AMD BUDGET, 22/2 menunggu material TIANG  20/02 DONE INPUT MATERIAL, 17/02 PROSES INPUT MATERIAL - KENDALA OVER BUDGET, 13/02 IZIN LURAH OKE, LANJUT PROGRESS INPUT MATERIAL, 11/02 PROSES PERIZINAN LURAH,plan 11/2 ketemu 10/02 PROSES PERIZINAN, 09/02 MENUNGGU PID UTK INPUT MATERIAL, 6/2 plan input material 9 FEB, proses perizinan  03/02 DONE EVAL, LANJUT PROGRES HASIL AANWIZJING PENURUNAN BOQ DARI PLAN, (26/1) tim TIF belum bisa EVAL hasil anwijzing karena lagi diluar kota , estimasi 29 jan baru kembali ke Palembang(23/01 DONE AANWIDJZING, (21/01) menunggu antrian aanwizjing
(15/1) ORDER DITERIMA MITRA 14/1, plan Aanwijdzing 19 Jan  (06/01)order JPP batch-2 2026 ((14/11)HOLD-  tidak masuk target Optimis 2025 (14/11 masih penunjukkan mitra, 13/11 lop di tolak mitra, jadi masih penunjukkan mitra 12/11  masih penunjukkan mitra, 11/11 masih penunjukkan mitra  05/11 menunggu Aanwijzing 23/10 penunjukan mitra
15/10 proses penunjukan mitra
(08/10) penunjukan mitra
14/01 penunjukan mitra oleh procurement</v>
      </c>
      <c r="R1118" s="228">
        <f>IFERROR(__xludf.DUMMYFUNCTION("""COMPUTED_VALUE"""),46096.0)</f>
        <v>46096</v>
      </c>
      <c r="S1118" s="11" t="str">
        <f>IFERROR(__xludf.DUMMYFUNCTION("""COMPUTED_VALUE"""),"MAR")</f>
        <v>MAR</v>
      </c>
      <c r="T1118" s="11" t="str">
        <f>IFERROR(__xludf.DUMMYFUNCTION("""COMPUTED_VALUE"""),"P1")</f>
        <v>P1</v>
      </c>
      <c r="U1118" s="11"/>
      <c r="V1118" s="229" t="str">
        <f>IFERROR(__xludf.DUMMYFUNCTION("""COMPUTED_VALUE"""),"ILHAM")</f>
        <v>ILHAM</v>
      </c>
      <c r="W1118" s="229"/>
      <c r="X1118" s="229" t="str">
        <f>IFERROR(__xludf.DUMMYFUNCTION("""COMPUTED_VALUE"""),"GOLIVE")</f>
        <v>GOLIVE</v>
      </c>
      <c r="Y1118" s="229" t="str">
        <f>IFERROR(__xludf.DUMMYFUNCTION("""COMPUTED_VALUE"""),"DONE")</f>
        <v>DONE</v>
      </c>
      <c r="Z1118" s="229" t="str">
        <f>IFERROR(__xludf.DUMMYFUNCTION("""COMPUTED_VALUE"""),"#N/A")</f>
        <v>#N/A</v>
      </c>
      <c r="AA1118" s="229">
        <f>IFERROR(__xludf.DUMMYFUNCTION("""COMPUTED_VALUE"""),5.0)</f>
        <v>5</v>
      </c>
      <c r="AB1118" s="229"/>
      <c r="AC1118" s="229" t="str">
        <f>IFERROR(__xludf.DUMMYFUNCTION("""COMPUTED_VALUE"""),"8941425#8941430")</f>
        <v>8941425#8941430</v>
      </c>
      <c r="AD1118" s="232">
        <f>IFERROR(__xludf.DUMMYFUNCTION("""COMPUTED_VALUE"""),40.0)</f>
        <v>40</v>
      </c>
      <c r="AE1118" s="233">
        <f>IFERROR(__xludf.DUMMYFUNCTION("""COMPUTED_VALUE"""),46109.0)</f>
        <v>46109</v>
      </c>
      <c r="AF1118" s="54"/>
      <c r="AG1118" s="54"/>
      <c r="AH1118" s="54">
        <v>46096.0</v>
      </c>
      <c r="AI1118" s="55">
        <f t="shared" si="122"/>
        <v>-13</v>
      </c>
      <c r="AW1118" s="234"/>
      <c r="BP1118" s="11"/>
      <c r="BQ1118" s="11"/>
      <c r="BR1118" s="235"/>
      <c r="BV1118" s="158"/>
      <c r="BY1118" s="158"/>
      <c r="CB1118" s="158"/>
    </row>
    <row r="1119" ht="18.0" hidden="1" customHeight="1">
      <c r="A1119" s="222">
        <f>IFERROR(__xludf.DUMMYFUNCTION("""COMPUTED_VALUE"""),2026.0)</f>
        <v>2026</v>
      </c>
      <c r="B1119" s="221">
        <f>IFERROR(__xludf.DUMMYFUNCTION("""COMPUTED_VALUE"""),1.1633532E7)</f>
        <v>11633532</v>
      </c>
      <c r="C1119" s="222" t="str">
        <f>IFERROR(__xludf.DUMMYFUNCTION("""COMPUTED_VALUE"""),"LPG PT3 JPP Desa Way Laga Atas SRW")</f>
        <v>LPG PT3 JPP Desa Way Laga Atas SRW</v>
      </c>
      <c r="D1119" s="222" t="str">
        <f>IFERROR(__xludf.DUMMYFUNCTION("""COMPUTED_VALUE"""),"REGIONAL I")</f>
        <v>REGIONAL I</v>
      </c>
      <c r="E1119" s="222" t="str">
        <f>IFERROR(__xludf.DUMMYFUNCTION("""COMPUTED_VALUE"""),"LAMPUNG")</f>
        <v>LAMPUNG</v>
      </c>
      <c r="F1119" s="222" t="str">
        <f>IFERROR(__xludf.DUMMYFUNCTION("""COMPUTED_VALUE"""),"SRW")</f>
        <v>SRW</v>
      </c>
      <c r="G1119" s="222" t="str">
        <f>IFERROR(__xludf.DUMMYFUNCTION("""COMPUTED_VALUE"""),"SUMBAGSEL")</f>
        <v>SUMBAGSEL</v>
      </c>
      <c r="H1119" s="222" t="str">
        <f>IFERROR(__xludf.DUMMYFUNCTION("""COMPUTED_VALUE"""),"LAMPUNG")</f>
        <v>LAMPUNG</v>
      </c>
      <c r="I1119" s="222" t="str">
        <f>IFERROR(__xludf.DUMMYFUNCTION("""COMPUTED_VALUE"""),"Batch 2")</f>
        <v>Batch 2</v>
      </c>
      <c r="J1119" s="225">
        <f>IFERROR(__xludf.DUMMYFUNCTION("""COMPUTED_VALUE"""),16.0)</f>
        <v>16</v>
      </c>
      <c r="K1119" s="224">
        <f>IFERROR(__xludf.DUMMYFUNCTION("""COMPUTED_VALUE"""),128.0)</f>
        <v>128</v>
      </c>
      <c r="L1119" s="226">
        <f>IFERROR(__xludf.DUMMYFUNCTION("""COMPUTED_VALUE"""),890726.0)</f>
        <v>890726</v>
      </c>
      <c r="M1119" s="227">
        <f>IFERROR(__xludf.DUMMYFUNCTION("""COMPUTED_VALUE"""),1.14012814E8)</f>
        <v>114012814</v>
      </c>
      <c r="N1119" s="222" t="str">
        <f>IFERROR(__xludf.DUMMYFUNCTION("""COMPUTED_VALUE"""),"PT CINA COMSERVICE INDONESIA")</f>
        <v>PT CINA COMSERVICE INDONESIA</v>
      </c>
      <c r="O1119" s="222" t="str">
        <f>IFERROR(__xludf.DUMMYFUNCTION("""COMPUTED_VALUE"""),"4. MATDEL")</f>
        <v>4. MATDEL</v>
      </c>
      <c r="P1119" s="222" t="str">
        <f>IFERROR(__xludf.DUMMYFUNCTION("""COMPUTED_VALUE"""),"4.1 Belum Request Material (Alista)")</f>
        <v>4.1 Belum Request Material (Alista)</v>
      </c>
      <c r="Q1119" s="222" t="str">
        <f>IFERROR(__xludf.DUMMYFUNCTION("""COMPUTED_VALUE"""),"24/4 plan matdel 25/4, 22/4 plan matdel  depedensi dengan csf22/4,, 15/4 proses pengajuan pr/po bisa (ba manual) 13/04 Plan kirim material 14 Apr  09/4  plan matdel dengan BA Manual 8/4 proses perizinan done 06/04 Proses Perizinan piha Kelurahan &amp; perkim "&amp;"2/4  progres perizinan dan pengecekan core
31/3  progres perizinan dan pengecekan core")</f>
        <v>24/4 plan matdel 25/4, 22/4 plan matdel  depedensi dengan csf22/4,, 15/4 proses pengajuan pr/po bisa (ba manual) 13/04 Plan kirim material 14 Apr  09/4  plan matdel dengan BA Manual 8/4 proses perizinan done 06/04 Proses Perizinan piha Kelurahan &amp; perkim 2/4  progres perizinan dan pengecekan core
31/3  progres perizinan dan pengecekan core</v>
      </c>
      <c r="R1119" s="228"/>
      <c r="S1119" s="11" t="str">
        <f>IFERROR(__xludf.DUMMYFUNCTION("""COMPUTED_VALUE"""),"MEI")</f>
        <v>MEI</v>
      </c>
      <c r="T1119" s="11" t="str">
        <f>IFERROR(__xludf.DUMMYFUNCTION("""COMPUTED_VALUE"""),"P1")</f>
        <v>P1</v>
      </c>
      <c r="U1119" s="11" t="str">
        <f>IFERROR(__xludf.DUMMYFUNCTION("""COMPUTED_VALUE"""),"TIF-7260/2026")</f>
        <v>TIF-7260/2026</v>
      </c>
      <c r="V1119" s="229"/>
      <c r="W1119" s="229"/>
      <c r="X1119" s="229" t="str">
        <f>IFERROR(__xludf.DUMMYFUNCTION("""COMPUTED_VALUE"""),"BELUM GOLIVE")</f>
        <v>BELUM GOLIVE</v>
      </c>
      <c r="Y1119" s="229"/>
      <c r="Z1119" s="229" t="str">
        <f>IFERROR(__xludf.DUMMYFUNCTION("""COMPUTED_VALUE"""),"#N/A")</f>
        <v>#N/A</v>
      </c>
      <c r="AA1119" s="229"/>
      <c r="AB1119" s="229"/>
      <c r="AC1119" s="229"/>
      <c r="AD1119" s="232"/>
      <c r="AE1119" s="233"/>
      <c r="AF1119" s="54"/>
      <c r="AG1119" s="54"/>
      <c r="AH1119" s="54"/>
      <c r="AI1119" s="55" t="str">
        <f t="shared" si="122"/>
        <v/>
      </c>
      <c r="AW1119" s="234"/>
      <c r="BP1119" s="11"/>
      <c r="BQ1119" s="11"/>
      <c r="BR1119" s="235"/>
      <c r="BV1119" s="158"/>
      <c r="BY1119" s="158"/>
      <c r="CB1119" s="158"/>
    </row>
    <row r="1120" ht="18.0" hidden="1" customHeight="1">
      <c r="A1120" s="222">
        <f>IFERROR(__xludf.DUMMYFUNCTION("""COMPUTED_VALUE"""),2026.0)</f>
        <v>2026</v>
      </c>
      <c r="B1120" s="221">
        <f>IFERROR(__xludf.DUMMYFUNCTION("""COMPUTED_VALUE"""),1.2332777E7)</f>
        <v>12332777</v>
      </c>
      <c r="C1120" s="222" t="str">
        <f>IFERROR(__xludf.DUMMYFUNCTION("""COMPUTED_VALUE"""),"MDN PT3 KUL-FM SUMATERA UTARA_15797")</f>
        <v>MDN PT3 KUL-FM SUMATERA UTARA_15797</v>
      </c>
      <c r="D1120" s="222" t="str">
        <f>IFERROR(__xludf.DUMMYFUNCTION("""COMPUTED_VALUE"""),"REGIONAL I")</f>
        <v>REGIONAL I</v>
      </c>
      <c r="E1120" s="222" t="str">
        <f>IFERROR(__xludf.DUMMYFUNCTION("""COMPUTED_VALUE"""),"MEDAN")</f>
        <v>MEDAN</v>
      </c>
      <c r="F1120" s="222" t="str">
        <f>IFERROR(__xludf.DUMMYFUNCTION("""COMPUTED_VALUE"""),"KUL")</f>
        <v>KUL</v>
      </c>
      <c r="G1120" s="222" t="str">
        <f>IFERROR(__xludf.DUMMYFUNCTION("""COMPUTED_VALUE"""),"SUMBAGUT")</f>
        <v>SUMBAGUT</v>
      </c>
      <c r="H1120" s="222" t="str">
        <f>IFERROR(__xludf.DUMMYFUNCTION("""COMPUTED_VALUE"""),"BINJAI")</f>
        <v>BINJAI</v>
      </c>
      <c r="I1120" s="222" t="str">
        <f>IFERROR(__xludf.DUMMYFUNCTION("""COMPUTED_VALUE"""),"Batch 2")</f>
        <v>Batch 2</v>
      </c>
      <c r="J1120" s="225">
        <f>IFERROR(__xludf.DUMMYFUNCTION("""COMPUTED_VALUE"""),8.0)</f>
        <v>8</v>
      </c>
      <c r="K1120" s="224">
        <f>IFERROR(__xludf.DUMMYFUNCTION("""COMPUTED_VALUE"""),64.0)</f>
        <v>64</v>
      </c>
      <c r="L1120" s="226">
        <f>IFERROR(__xludf.DUMMYFUNCTION("""COMPUTED_VALUE"""),890368.0)</f>
        <v>890368</v>
      </c>
      <c r="M1120" s="227">
        <f>IFERROR(__xludf.DUMMYFUNCTION("""COMPUTED_VALUE"""),5.6983534E7)</f>
        <v>56983534</v>
      </c>
      <c r="N1120" s="222" t="str">
        <f>IFERROR(__xludf.DUMMYFUNCTION("""COMPUTED_VALUE"""),"PT KENCANA RAYA INDONESIA")</f>
        <v>PT KENCANA RAYA INDONESIA</v>
      </c>
      <c r="O1120" s="222" t="str">
        <f>IFERROR(__xludf.DUMMYFUNCTION("""COMPUTED_VALUE"""),"3. PERIZINAN")</f>
        <v>3. PERIZINAN</v>
      </c>
      <c r="P1120" s="222" t="str">
        <f>IFERROR(__xludf.DUMMYFUNCTION("""COMPUTED_VALUE"""),"3.9 Izin Kades / Lurah / RTRW")</f>
        <v>3.9 Izin Kades / Lurah / RTRW</v>
      </c>
      <c r="Q1120" s="222" t="str">
        <f>IFERROR(__xludf.DUMMYFUNCTION("""COMPUTED_VALUE"""),"(13/02) feeder ready, izin rw oke (07/01) Persiapan")</f>
        <v>(13/02) feeder ready, izin rw oke (07/01) Persiapan</v>
      </c>
      <c r="R1120" s="228"/>
      <c r="S1120" s="11"/>
      <c r="T1120" s="73"/>
      <c r="U1120" s="11"/>
      <c r="V1120" s="229" t="str">
        <f>IFERROR(__xludf.DUMMYFUNCTION("""COMPUTED_VALUE"""),"28/Apr/2026")</f>
        <v>28/Apr/2026</v>
      </c>
      <c r="W1120" s="229"/>
      <c r="X1120" s="229" t="str">
        <f>IFERROR(__xludf.DUMMYFUNCTION("""COMPUTED_VALUE"""),"BELUM GOLIVE")</f>
        <v>BELUM GOLIVE</v>
      </c>
      <c r="Y1120" s="229"/>
      <c r="Z1120" s="229" t="str">
        <f>IFERROR(__xludf.DUMMYFUNCTION("""COMPUTED_VALUE"""),"#N/A")</f>
        <v>#N/A</v>
      </c>
      <c r="AA1120" s="229"/>
      <c r="AB1120" s="229"/>
      <c r="AC1120" s="229"/>
      <c r="AD1120" s="232"/>
      <c r="AE1120" s="233"/>
      <c r="AF1120" s="54"/>
      <c r="AG1120" s="54"/>
      <c r="AH1120" s="54"/>
      <c r="AI1120" s="55" t="str">
        <f t="shared" si="122"/>
        <v/>
      </c>
      <c r="AW1120" s="234"/>
      <c r="BP1120" s="11"/>
      <c r="BQ1120" s="11"/>
      <c r="BR1120" s="235"/>
      <c r="BV1120" s="158"/>
      <c r="BY1120" s="158"/>
      <c r="CB1120" s="158"/>
    </row>
    <row r="1121" ht="18.0" customHeight="1">
      <c r="A1121" s="222">
        <f>IFERROR(__xludf.DUMMYFUNCTION("""COMPUTED_VALUE"""),2026.0)</f>
        <v>2026</v>
      </c>
      <c r="B1121" s="221">
        <f>IFERROR(__xludf.DUMMYFUNCTION("""COMPUTED_VALUE"""),1.119282E7)</f>
        <v>11192820</v>
      </c>
      <c r="C1121" s="222" t="str">
        <f>IFERROR(__xludf.DUMMYFUNCTION("""COMPUTED_VALUE"""),"RKP PT3 JPPTSEL BLP-FB SEKANAK RAYA_")</f>
        <v>RKP PT3 JPPTSEL BLP-FB SEKANAK RAYA_</v>
      </c>
      <c r="D1121" s="222" t="str">
        <f>IFERROR(__xludf.DUMMYFUNCTION("""COMPUTED_VALUE"""),"REGIONAL I")</f>
        <v>REGIONAL I</v>
      </c>
      <c r="E1121" s="222" t="str">
        <f>IFERROR(__xludf.DUMMYFUNCTION("""COMPUTED_VALUE"""),"RIKEP")</f>
        <v>RIKEP</v>
      </c>
      <c r="F1121" s="222" t="str">
        <f>IFERROR(__xludf.DUMMYFUNCTION("""COMPUTED_VALUE"""),"BLP")</f>
        <v>BLP</v>
      </c>
      <c r="G1121" s="222" t="str">
        <f>IFERROR(__xludf.DUMMYFUNCTION("""COMPUTED_VALUE"""),"SUMBAGTENG")</f>
        <v>SUMBAGTENG</v>
      </c>
      <c r="H1121" s="222" t="str">
        <f>IFERROR(__xludf.DUMMYFUNCTION("""COMPUTED_VALUE"""),"BATAM")</f>
        <v>BATAM</v>
      </c>
      <c r="I1121" s="222" t="str">
        <f>IFERROR(__xludf.DUMMYFUNCTION("""COMPUTED_VALUE"""),"Batch 2")</f>
        <v>Batch 2</v>
      </c>
      <c r="J1121" s="225">
        <f>IFERROR(__xludf.DUMMYFUNCTION("""COMPUTED_VALUE"""),1.0)</f>
        <v>1</v>
      </c>
      <c r="K1121" s="224">
        <f>IFERROR(__xludf.DUMMYFUNCTION("""COMPUTED_VALUE"""),8.0)</f>
        <v>8</v>
      </c>
      <c r="L1121" s="226">
        <f>IFERROR(__xludf.DUMMYFUNCTION("""COMPUTED_VALUE"""),890211.0)</f>
        <v>890211</v>
      </c>
      <c r="M1121" s="227">
        <f>IFERROR(__xludf.DUMMYFUNCTION("""COMPUTED_VALUE"""),7121683.0)</f>
        <v>7121683</v>
      </c>
      <c r="N1121" s="222" t="str">
        <f>IFERROR(__xludf.DUMMYFUNCTION("""COMPUTED_VALUE"""),"SWAKELOLA")</f>
        <v>SWAKELOLA</v>
      </c>
      <c r="O1121" s="222" t="str">
        <f>IFERROR(__xludf.DUMMYFUNCTION("""COMPUTED_VALUE"""),"2. DONE AANWIJZING")</f>
        <v>2. DONE AANWIJZING</v>
      </c>
      <c r="P1121" s="222" t="str">
        <f>IFERROR(__xludf.DUMMYFUNCTION("""COMPUTED_VALUE"""),"2.11 Kendala - Feeder Full / Dependensi LOP lain")</f>
        <v>2.11 Kendala - Feeder Full / Dependensi LOP lain</v>
      </c>
      <c r="Q1121" s="222" t="str">
        <f>IFERROR(__xludf.DUMMYFUNCTION("""COMPUTED_VALUE"""),"03/03 Core Feeder Full. 29/01 Plan survey tanggal 31 Jan.  21/01 Plan survey 29 Jan karena lokasi outer di pulau belakang padang")</f>
        <v>03/03 Core Feeder Full. 29/01 Plan survey tanggal 31 Jan.  21/01 Plan survey 29 Jan karena lokasi outer di pulau belakang padang</v>
      </c>
      <c r="R1121" s="228"/>
      <c r="S1121" s="11"/>
      <c r="T1121" s="11"/>
      <c r="U1121" s="11"/>
      <c r="V1121" s="229" t="str">
        <f>IFERROR(__xludf.DUMMYFUNCTION("""COMPUTED_VALUE"""),"GANI PRASTYO")</f>
        <v>GANI PRASTYO</v>
      </c>
      <c r="W1121" s="229" t="str">
        <f>IFERROR(__xludf.DUMMYFUNCTION("""COMPUTED_VALUE"""),"LEVITA INDRIYANI")</f>
        <v>LEVITA INDRIYANI</v>
      </c>
      <c r="X1121" s="229" t="str">
        <f>IFERROR(__xludf.DUMMYFUNCTION("""COMPUTED_VALUE"""),"BELUM GOLIVE")</f>
        <v>BELUM GOLIVE</v>
      </c>
      <c r="Y1121" s="229"/>
      <c r="Z1121" s="229" t="str">
        <f>IFERROR(__xludf.DUMMYFUNCTION("""COMPUTED_VALUE"""),"#N/A")</f>
        <v>#N/A</v>
      </c>
      <c r="AA1121" s="229"/>
      <c r="AB1121" s="229"/>
      <c r="AC1121" s="229"/>
      <c r="AD1121" s="232"/>
      <c r="AE1121" s="233"/>
      <c r="AF1121" s="54" t="str">
        <f>IFERROR(__xludf.DUMMYFUNCTION("""COMPUTED_VALUE"""),"Draft BA DROP")</f>
        <v>Draft BA DROP</v>
      </c>
      <c r="AG1121" s="54"/>
      <c r="AH1121" s="54"/>
      <c r="AI1121" s="55" t="str">
        <f t="shared" si="122"/>
        <v/>
      </c>
      <c r="AW1121" s="234"/>
      <c r="BP1121" s="11"/>
      <c r="BQ1121" s="11"/>
      <c r="BR1121" s="235"/>
      <c r="BV1121" s="158"/>
      <c r="BY1121" s="158"/>
      <c r="CB1121" s="158"/>
    </row>
    <row r="1122" ht="18.0" hidden="1" customHeight="1">
      <c r="A1122" s="222">
        <f>IFERROR(__xludf.DUMMYFUNCTION("""COMPUTED_VALUE"""),2026.0)</f>
        <v>2026</v>
      </c>
      <c r="B1122" s="221">
        <f>IFERROR(__xludf.DUMMYFUNCTION("""COMPUTED_VALUE"""),1.1516313E7)</f>
        <v>11516313</v>
      </c>
      <c r="C1122" s="222" t="str">
        <f>IFERROR(__xludf.DUMMYFUNCTION("""COMPUTED_VALUE"""),"ACH PT3 SNA-FH SUKA JAYA-AIR DINGIN")</f>
        <v>ACH PT3 SNA-FH SUKA JAYA-AIR DINGIN</v>
      </c>
      <c r="D1122" s="222" t="str">
        <f>IFERROR(__xludf.DUMMYFUNCTION("""COMPUTED_VALUE"""),"REGIONAL I")</f>
        <v>REGIONAL I</v>
      </c>
      <c r="E1122" s="222" t="str">
        <f>IFERROR(__xludf.DUMMYFUNCTION("""COMPUTED_VALUE"""),"ACEH")</f>
        <v>ACEH</v>
      </c>
      <c r="F1122" s="222" t="str">
        <f>IFERROR(__xludf.DUMMYFUNCTION("""COMPUTED_VALUE"""),"SNA")</f>
        <v>SNA</v>
      </c>
      <c r="G1122" s="222" t="str">
        <f>IFERROR(__xludf.DUMMYFUNCTION("""COMPUTED_VALUE"""),"SUMBAGUT")</f>
        <v>SUMBAGUT</v>
      </c>
      <c r="H1122" s="222" t="str">
        <f>IFERROR(__xludf.DUMMYFUNCTION("""COMPUTED_VALUE"""),"BANDA ACEH")</f>
        <v>BANDA ACEH</v>
      </c>
      <c r="I1122" s="222" t="str">
        <f>IFERROR(__xludf.DUMMYFUNCTION("""COMPUTED_VALUE"""),"Batch 2")</f>
        <v>Batch 2</v>
      </c>
      <c r="J1122" s="225">
        <f>IFERROR(__xludf.DUMMYFUNCTION("""COMPUTED_VALUE"""),18.0)</f>
        <v>18</v>
      </c>
      <c r="K1122" s="224">
        <f>IFERROR(__xludf.DUMMYFUNCTION("""COMPUTED_VALUE"""),144.0)</f>
        <v>144</v>
      </c>
      <c r="L1122" s="226">
        <f>IFERROR(__xludf.DUMMYFUNCTION("""COMPUTED_VALUE"""),889930.0)</f>
        <v>889930</v>
      </c>
      <c r="M1122" s="227">
        <f>IFERROR(__xludf.DUMMYFUNCTION("""COMPUTED_VALUE"""),1.28149916E8)</f>
        <v>128149916</v>
      </c>
      <c r="N1122" s="222" t="str">
        <f>IFERROR(__xludf.DUMMYFUNCTION("""COMPUTED_VALUE"""),"PT MITRA AKSES INSANI")</f>
        <v>PT MITRA AKSES INSANI</v>
      </c>
      <c r="O1122" s="222" t="str">
        <f>IFERROR(__xludf.DUMMYFUNCTION("""COMPUTED_VALUE"""),"4. MATDEL")</f>
        <v>4. MATDEL</v>
      </c>
      <c r="P1122" s="222" t="str">
        <f>IFERROR(__xludf.DUMMYFUNCTION("""COMPUTED_VALUE"""),"4.2 Sudah Request Material (Alista)")</f>
        <v>4.2 Sudah Request Material (Alista)</v>
      </c>
      <c r="Q1122" s="222" t="str">
        <f>IFERROR(__xludf.DUMMYFUNCTION("""COMPUTED_VALUE"""),"(10/03) Menunggu Material Ready (12/01) done aanwizing th 2025, (07/01) Persiapan")</f>
        <v>(10/03) Menunggu Material Ready (12/01) done aanwizing th 2025, (07/01) Persiapan</v>
      </c>
      <c r="R1122" s="228"/>
      <c r="S1122" s="11"/>
      <c r="T1122" s="73"/>
      <c r="U1122" s="11"/>
      <c r="V1122" s="229"/>
      <c r="W1122" s="229" t="str">
        <f>IFERROR(__xludf.DUMMYFUNCTION("""COMPUTED_VALUE"""),"#N/A")</f>
        <v>#N/A</v>
      </c>
      <c r="X1122" s="229" t="str">
        <f>IFERROR(__xludf.DUMMYFUNCTION("""COMPUTED_VALUE"""),"BELUM GOLIVE")</f>
        <v>BELUM GOLIVE</v>
      </c>
      <c r="Y1122" s="229"/>
      <c r="Z1122" s="229" t="str">
        <f>IFERROR(__xludf.DUMMYFUNCTION("""COMPUTED_VALUE"""),"#N/A")</f>
        <v>#N/A</v>
      </c>
      <c r="AA1122" s="229"/>
      <c r="AB1122" s="229"/>
      <c r="AC1122" s="229"/>
      <c r="AD1122" s="232"/>
      <c r="AE1122" s="233"/>
      <c r="AF1122" s="54"/>
      <c r="AG1122" s="54"/>
      <c r="AH1122" s="54">
        <v>46142.0</v>
      </c>
      <c r="AI1122" s="55" t="str">
        <f t="shared" si="122"/>
        <v/>
      </c>
      <c r="AW1122" s="234"/>
      <c r="BP1122" s="11"/>
      <c r="BQ1122" s="11"/>
      <c r="BR1122" s="235"/>
      <c r="BV1122" s="158"/>
      <c r="BY1122" s="158"/>
      <c r="CB1122" s="158"/>
    </row>
    <row r="1123" ht="18.0" hidden="1" customHeight="1">
      <c r="A1123" s="222">
        <f>IFERROR(__xludf.DUMMYFUNCTION("""COMPUTED_VALUE"""),2026.0)</f>
        <v>2026</v>
      </c>
      <c r="B1123" s="221">
        <f>IFERROR(__xludf.DUMMYFUNCTION("""COMPUTED_VALUE"""),1.1761466E7)</f>
        <v>11761466</v>
      </c>
      <c r="C1123" s="222" t="str">
        <f>IFERROR(__xludf.DUMMYFUNCTION("""COMPUTED_VALUE"""),"SMS P4I2 PT3 SPP FAB D06 CEREME PUNCAK")</f>
        <v>SMS P4I2 PT3 SPP FAB D06 CEREME PUNCAK</v>
      </c>
      <c r="D1123" s="222" t="str">
        <f>IFERROR(__xludf.DUMMYFUNCTION("""COMPUTED_VALUE"""),"REGIONAL I")</f>
        <v>REGIONAL I</v>
      </c>
      <c r="E1123" s="222" t="str">
        <f>IFERROR(__xludf.DUMMYFUNCTION("""COMPUTED_VALUE"""),"SUMSEL")</f>
        <v>SUMSEL</v>
      </c>
      <c r="F1123" s="222" t="str">
        <f>IFERROR(__xludf.DUMMYFUNCTION("""COMPUTED_VALUE"""),"SPP")</f>
        <v>SPP</v>
      </c>
      <c r="G1123" s="222" t="str">
        <f>IFERROR(__xludf.DUMMYFUNCTION("""COMPUTED_VALUE"""),"SUMBAGSEL")</f>
        <v>SUMBAGSEL</v>
      </c>
      <c r="H1123" s="222" t="str">
        <f>IFERROR(__xludf.DUMMYFUNCTION("""COMPUTED_VALUE"""),"BENGKULU")</f>
        <v>BENGKULU</v>
      </c>
      <c r="I1123" s="222" t="str">
        <f>IFERROR(__xludf.DUMMYFUNCTION("""COMPUTED_VALUE"""),"Batch 2")</f>
        <v>Batch 2</v>
      </c>
      <c r="J1123" s="225">
        <f>IFERROR(__xludf.DUMMYFUNCTION("""COMPUTED_VALUE"""),9.0)</f>
        <v>9</v>
      </c>
      <c r="K1123" s="224">
        <f>IFERROR(__xludf.DUMMYFUNCTION("""COMPUTED_VALUE"""),72.0)</f>
        <v>72</v>
      </c>
      <c r="L1123" s="226">
        <f>IFERROR(__xludf.DUMMYFUNCTION("""COMPUTED_VALUE"""),889404.0)</f>
        <v>889404</v>
      </c>
      <c r="M1123" s="227">
        <f>IFERROR(__xludf.DUMMYFUNCTION("""COMPUTED_VALUE"""),6.4037084E7)</f>
        <v>64037084</v>
      </c>
      <c r="N1123" s="222" t="str">
        <f>IFERROR(__xludf.DUMMYFUNCTION("""COMPUTED_VALUE"""),"PT HAN SUNG INDONESIA")</f>
        <v>PT HAN SUNG INDONESIA</v>
      </c>
      <c r="O1123" s="222" t="str">
        <f>IFERROR(__xludf.DUMMYFUNCTION("""COMPUTED_VALUE"""),"7. GOLIVE")</f>
        <v>7. GOLIVE</v>
      </c>
      <c r="P1123" s="222" t="str">
        <f>IFERROR(__xludf.DUMMYFUNCTION("""COMPUTED_VALUE"""),"7.2 Golive Full / OA / DONE OTB")</f>
        <v>7.2 Golive Full / OA / DONE OTB</v>
      </c>
      <c r="Q1123" s="222" t="str">
        <f>IFERROR(__xludf.DUMMYFUNCTION("""COMPUTED_VALUE"""),"09/03 GOLIVE, 06/03 DONE SUBMIT ABD KE SDI, 06/03 DONE VALINS, 05/03 OGP VALINS, 03/03 OGP VALINS, 02/03 MASIH INSTAL ODP, 28/02 INSTAL ODP, (28/2) senin 2 feb 2028 valins , plan submit abd v4 3 mar  (27/2)PENANAMAN TIANG,  26/02 MENUNGGU ANTRIAN PEKERJAA"&amp;"N, 25/02 SELESAI PENARIKAN KABEL, 24/02 MENUNGGU  ANTRIAN PEKERJAAN JL SUHADA, 22/2 proses tanam tiang /7 (14/2)material onsite  12/02 PROSES MATDEL, 11/2 PLAN 12 FEB MATDEL  09/02, DONE INPUT MATERIAL, 6/2 sdh create PID - kendala di ALISTA 04/02 LANJUT "&amp;"DRM, (30/01) DONE EVAL, LANJUT PROGRES, ADA KENAIKAN 3% DRI PLAN, (26/1) tim TIF belum bisa EVAL hasil anwijzing karena lagi diluar kota , estimasi 29 jan baru kembali ke Palembang(24/1) menunggu hasil eval ke tif plan 26 jan  (21/01) done aanwizjing, pro"&amp;"ses pembuatan update anawjizng untuk eval dg tif, (06/01)order JPP batch-2 2026 ((14/11)HOLD-  tidak masuk target Optimis 2025 ((11/11) Penunjukkan MITRA  oleh Procurement 
14/01 sudah penunjukan mitra oleh procurement")</f>
        <v>09/03 GOLIVE, 06/03 DONE SUBMIT ABD KE SDI, 06/03 DONE VALINS, 05/03 OGP VALINS, 03/03 OGP VALINS, 02/03 MASIH INSTAL ODP, 28/02 INSTAL ODP, (28/2) senin 2 feb 2028 valins , plan submit abd v4 3 mar  (27/2)PENANAMAN TIANG,  26/02 MENUNGGU ANTRIAN PEKERJAAN, 25/02 SELESAI PENARIKAN KABEL, 24/02 MENUNGGU  ANTRIAN PEKERJAAN JL SUHADA, 22/2 proses tanam tiang /7 (14/2)material onsite  12/02 PROSES MATDEL, 11/2 PLAN 12 FEB MATDEL  09/02, DONE INPUT MATERIAL, 6/2 sdh create PID - kendala di ALISTA 04/02 LANJUT DRM, (30/01) DONE EVAL, LANJUT PROGRES, ADA KENAIKAN 3% DRI PLAN, (26/1) tim TIF belum bisa EVAL hasil anwijzing karena lagi diluar kota , estimasi 29 jan baru kembali ke Palembang(24/1) menunggu hasil eval ke tif plan 26 jan  (21/01) done aanwizjing, proses pembuatan update anawjizng untuk eval dg tif, (06/01)order JPP batch-2 2026 ((14/11)HOLD-  tidak masuk target Optimis 2025 ((11/11) Penunjukkan MITRA  oleh Procurement 
14/01 sudah penunjukan mitra oleh procurement</v>
      </c>
      <c r="R1123" s="228">
        <f>IFERROR(__xludf.DUMMYFUNCTION("""COMPUTED_VALUE"""),46094.0)</f>
        <v>46094</v>
      </c>
      <c r="S1123" s="11" t="str">
        <f>IFERROR(__xludf.DUMMYFUNCTION("""COMPUTED_VALUE"""),"MAR")</f>
        <v>MAR</v>
      </c>
      <c r="T1123" s="11"/>
      <c r="U1123" s="11"/>
      <c r="V1123" s="229" t="str">
        <f>IFERROR(__xludf.DUMMYFUNCTION("""COMPUTED_VALUE"""),"PUTRA")</f>
        <v>PUTRA</v>
      </c>
      <c r="W1123" s="229"/>
      <c r="X1123" s="229" t="str">
        <f>IFERROR(__xludf.DUMMYFUNCTION("""COMPUTED_VALUE"""),"GOLIVE")</f>
        <v>GOLIVE</v>
      </c>
      <c r="Y1123" s="229" t="str">
        <f>IFERROR(__xludf.DUMMYFUNCTION("""COMPUTED_VALUE"""),"DONE")</f>
        <v>DONE</v>
      </c>
      <c r="Z1123" s="229" t="str">
        <f>IFERROR(__xludf.DUMMYFUNCTION("""COMPUTED_VALUE"""),"#N/A")</f>
        <v>#N/A</v>
      </c>
      <c r="AA1123" s="229">
        <f>IFERROR(__xludf.DUMMYFUNCTION("""COMPUTED_VALUE"""),9.0)</f>
        <v>9</v>
      </c>
      <c r="AB1123" s="229"/>
      <c r="AC1123" s="229" t="str">
        <f>IFERROR(__xludf.DUMMYFUNCTION("""COMPUTED_VALUE"""),"8937991#8937997")</f>
        <v>8937991#8937997</v>
      </c>
      <c r="AD1123" s="232">
        <f>IFERROR(__xludf.DUMMYFUNCTION("""COMPUTED_VALUE"""),72.0)</f>
        <v>72</v>
      </c>
      <c r="AE1123" s="233">
        <f>IFERROR(__xludf.DUMMYFUNCTION("""COMPUTED_VALUE"""),46087.0)</f>
        <v>46087</v>
      </c>
      <c r="AF1123" s="54"/>
      <c r="AG1123" s="54"/>
      <c r="AH1123" s="54">
        <v>46094.0</v>
      </c>
      <c r="AI1123" s="55">
        <f t="shared" si="122"/>
        <v>7</v>
      </c>
      <c r="AW1123" s="234"/>
      <c r="BP1123" s="11"/>
      <c r="BQ1123" s="11"/>
      <c r="BR1123" s="235"/>
      <c r="BV1123" s="158"/>
      <c r="BY1123" s="158"/>
      <c r="CB1123" s="158"/>
    </row>
    <row r="1124" ht="18.0" hidden="1" customHeight="1">
      <c r="A1124" s="222">
        <f>IFERROR(__xludf.DUMMYFUNCTION("""COMPUTED_VALUE"""),2026.0)</f>
        <v>2026</v>
      </c>
      <c r="B1124" s="221">
        <f>IFERROR(__xludf.DUMMYFUNCTION("""COMPUTED_VALUE"""),1.2331253E7)</f>
        <v>12331253</v>
      </c>
      <c r="C1124" s="222" t="str">
        <f>IFERROR(__xludf.DUMMYFUNCTION("""COMPUTED_VALUE"""),"JBI-PT3 BRANC-MAB-FY-KUNING GADING 2")</f>
        <v>JBI-PT3 BRANC-MAB-FY-KUNING GADING 2</v>
      </c>
      <c r="D1124" s="222" t="str">
        <f>IFERROR(__xludf.DUMMYFUNCTION("""COMPUTED_VALUE"""),"REGIONAL I")</f>
        <v>REGIONAL I</v>
      </c>
      <c r="E1124" s="222" t="str">
        <f>IFERROR(__xludf.DUMMYFUNCTION("""COMPUTED_VALUE"""),"JAMBI")</f>
        <v>JAMBI</v>
      </c>
      <c r="F1124" s="222" t="str">
        <f>IFERROR(__xludf.DUMMYFUNCTION("""COMPUTED_VALUE"""),"MAB")</f>
        <v>MAB</v>
      </c>
      <c r="G1124" s="222" t="str">
        <f>IFERROR(__xludf.DUMMYFUNCTION("""COMPUTED_VALUE"""),"SUMBAGSEL")</f>
        <v>SUMBAGSEL</v>
      </c>
      <c r="H1124" s="222" t="str">
        <f>IFERROR(__xludf.DUMMYFUNCTION("""COMPUTED_VALUE"""),"JAMBI")</f>
        <v>JAMBI</v>
      </c>
      <c r="I1124" s="222" t="str">
        <f>IFERROR(__xludf.DUMMYFUNCTION("""COMPUTED_VALUE"""),"Batch 2")</f>
        <v>Batch 2</v>
      </c>
      <c r="J1124" s="225">
        <f>IFERROR(__xludf.DUMMYFUNCTION("""COMPUTED_VALUE"""),5.0)</f>
        <v>5</v>
      </c>
      <c r="K1124" s="224">
        <f>IFERROR(__xludf.DUMMYFUNCTION("""COMPUTED_VALUE"""),40.0)</f>
        <v>40</v>
      </c>
      <c r="L1124" s="226">
        <f>IFERROR(__xludf.DUMMYFUNCTION("""COMPUTED_VALUE"""),888111.0)</f>
        <v>888111</v>
      </c>
      <c r="M1124" s="227">
        <f>IFERROR(__xludf.DUMMYFUNCTION("""COMPUTED_VALUE"""),3.5524427E7)</f>
        <v>35524427</v>
      </c>
      <c r="N1124" s="222" t="str">
        <f>IFERROR(__xludf.DUMMYFUNCTION("""COMPUTED_VALUE"""),"PT HAN SUNG INDONESIA")</f>
        <v>PT HAN SUNG INDONESIA</v>
      </c>
      <c r="O1124" s="222" t="str">
        <f>IFERROR(__xludf.DUMMYFUNCTION("""COMPUTED_VALUE"""),"7. GOLIVE")</f>
        <v>7. GOLIVE</v>
      </c>
      <c r="P1124" s="222" t="str">
        <f>IFERROR(__xludf.DUMMYFUNCTION("""COMPUTED_VALUE"""),"7.2 Golive Full / OA / DONE OTB")</f>
        <v>7.2 Golive Full / OA / DONE OTB</v>
      </c>
      <c r="Q1124" s="222" t="str">
        <f>IFERROR(__xludf.DUMMYFUNCTION("""COMPUTED_VALUE"""),"(19/02) Golive (16/2)instal odp done , plan submit abd 18 feb  (5/2)  TARIK KABEL 1000/1690 (29/1) MATERIAL ONSITE (22/01) PID Done ogp Apv PM Area (12/1) sudah aanwidjizing, menunggu PID 7/1 DRM (06/01)order JPP batch-2 2026 (17/11 create PID 10/11 mappi"&amp;"ng mitra")</f>
        <v>(19/02) Golive (16/2)instal odp done , plan submit abd 18 feb  (5/2)  TARIK KABEL 1000/1690 (29/1) MATERIAL ONSITE (22/01) PID Done ogp Apv PM Area (12/1) sudah aanwidjizing, menunggu PID 7/1 DRM (06/01)order JPP batch-2 2026 (17/11 create PID 10/11 mapping mitra</v>
      </c>
      <c r="R1124" s="228">
        <f>IFERROR(__xludf.DUMMYFUNCTION("""COMPUTED_VALUE"""),46073.0)</f>
        <v>46073</v>
      </c>
      <c r="S1124" s="11"/>
      <c r="T1124" s="11"/>
      <c r="U1124" s="11"/>
      <c r="V1124" s="229"/>
      <c r="W1124" s="229"/>
      <c r="X1124" s="229" t="str">
        <f>IFERROR(__xludf.DUMMYFUNCTION("""COMPUTED_VALUE"""),"GOLIVE")</f>
        <v>GOLIVE</v>
      </c>
      <c r="Y1124" s="229" t="str">
        <f>IFERROR(__xludf.DUMMYFUNCTION("""COMPUTED_VALUE"""),"DONE")</f>
        <v>DONE</v>
      </c>
      <c r="Z1124" s="229" t="str">
        <f>IFERROR(__xludf.DUMMYFUNCTION("""COMPUTED_VALUE"""),"#N/A")</f>
        <v>#N/A</v>
      </c>
      <c r="AA1124" s="229">
        <f>IFERROR(__xludf.DUMMYFUNCTION("""COMPUTED_VALUE"""),4.0)</f>
        <v>4</v>
      </c>
      <c r="AB1124" s="229"/>
      <c r="AC1124" s="229" t="str">
        <f>IFERROR(__xludf.DUMMYFUNCTION("""COMPUTED_VALUE"""),"9124013#9124018")</f>
        <v>9124013#9124018</v>
      </c>
      <c r="AD1124" s="232">
        <f>IFERROR(__xludf.DUMMYFUNCTION("""COMPUTED_VALUE"""),32.0)</f>
        <v>32</v>
      </c>
      <c r="AE1124" s="233">
        <f>IFERROR(__xludf.DUMMYFUNCTION("""COMPUTED_VALUE"""),46072.0)</f>
        <v>46072</v>
      </c>
      <c r="AF1124" s="54"/>
      <c r="AG1124" s="54"/>
      <c r="AH1124" s="54">
        <v>46073.0</v>
      </c>
      <c r="AI1124" s="55">
        <f t="shared" si="122"/>
        <v>1</v>
      </c>
      <c r="AW1124" s="234"/>
      <c r="BP1124" s="11"/>
      <c r="BQ1124" s="11"/>
      <c r="BR1124" s="235"/>
      <c r="BV1124" s="158"/>
      <c r="BY1124" s="158"/>
      <c r="CB1124" s="158"/>
    </row>
    <row r="1125" ht="18.0" hidden="1" customHeight="1">
      <c r="A1125" s="222">
        <f>IFERROR(__xludf.DUMMYFUNCTION("""COMPUTED_VALUE"""),2026.0)</f>
        <v>2026</v>
      </c>
      <c r="B1125" s="221">
        <f>IFERROR(__xludf.DUMMYFUNCTION("""COMPUTED_VALUE"""),1.1911335E7)</f>
        <v>11911335</v>
      </c>
      <c r="C1125" s="222" t="str">
        <f>IFERROR(__xludf.DUMMYFUNCTION("""COMPUTED_VALUE"""),"MDN PT3 DLT-FB DELI SERDANG_116988_MD25")</f>
        <v>MDN PT3 DLT-FB DELI SERDANG_116988_MD25</v>
      </c>
      <c r="D1125" s="222" t="str">
        <f>IFERROR(__xludf.DUMMYFUNCTION("""COMPUTED_VALUE"""),"REGIONAL I")</f>
        <v>REGIONAL I</v>
      </c>
      <c r="E1125" s="222" t="str">
        <f>IFERROR(__xludf.DUMMYFUNCTION("""COMPUTED_VALUE"""),"MEDAN")</f>
        <v>MEDAN</v>
      </c>
      <c r="F1125" s="222" t="str">
        <f>IFERROR(__xludf.DUMMYFUNCTION("""COMPUTED_VALUE"""),"DLT")</f>
        <v>DLT</v>
      </c>
      <c r="G1125" s="222" t="str">
        <f>IFERROR(__xludf.DUMMYFUNCTION("""COMPUTED_VALUE"""),"SUMBAGUT")</f>
        <v>SUMBAGUT</v>
      </c>
      <c r="H1125" s="222" t="str">
        <f>IFERROR(__xludf.DUMMYFUNCTION("""COMPUTED_VALUE"""),"MEDAN")</f>
        <v>MEDAN</v>
      </c>
      <c r="I1125" s="222" t="str">
        <f>IFERROR(__xludf.DUMMYFUNCTION("""COMPUTED_VALUE"""),"Batch 2")</f>
        <v>Batch 2</v>
      </c>
      <c r="J1125" s="225">
        <f>IFERROR(__xludf.DUMMYFUNCTION("""COMPUTED_VALUE"""),2.0)</f>
        <v>2</v>
      </c>
      <c r="K1125" s="224">
        <f>IFERROR(__xludf.DUMMYFUNCTION("""COMPUTED_VALUE"""),16.0)</f>
        <v>16</v>
      </c>
      <c r="L1125" s="226">
        <f>IFERROR(__xludf.DUMMYFUNCTION("""COMPUTED_VALUE"""),887220.0)</f>
        <v>887220</v>
      </c>
      <c r="M1125" s="227">
        <f>IFERROR(__xludf.DUMMYFUNCTION("""COMPUTED_VALUE"""),1.4195516E7)</f>
        <v>14195516</v>
      </c>
      <c r="N1125" s="222" t="str">
        <f>IFERROR(__xludf.DUMMYFUNCTION("""COMPUTED_VALUE"""),"PT SALTTEK DUMPANG JAYA")</f>
        <v>PT SALTTEK DUMPANG JAYA</v>
      </c>
      <c r="O1125" s="222" t="str">
        <f>IFERROR(__xludf.DUMMYFUNCTION("""COMPUTED_VALUE"""),"0. DROP")</f>
        <v>0. DROP</v>
      </c>
      <c r="P1125" s="222" t="str">
        <f>IFERROR(__xludf.DUMMYFUNCTION("""COMPUTED_VALUE"""),"0.2 Tidak Dapat Izin Warga/Kades/Lurah/Developer")</f>
        <v>0.2 Tidak Dapat Izin Warga/Kades/Lurah/Developer</v>
      </c>
      <c r="Q1125" s="222" t="str">
        <f>IFERROR(__xludf.DUMMYFUNCTION("""COMPUTED_VALUE"""),"13/02 tidak dapat izin memasuki wilayah 10/02 done order (07/01) Persiapan")</f>
        <v>13/02 tidak dapat izin memasuki wilayah 10/02 done order (07/01) Persiapan</v>
      </c>
      <c r="R1125" s="228"/>
      <c r="S1125" s="11"/>
      <c r="T1125" s="11"/>
      <c r="U1125" s="11"/>
      <c r="V1125" s="229"/>
      <c r="W1125" s="229"/>
      <c r="X1125" s="229" t="str">
        <f>IFERROR(__xludf.DUMMYFUNCTION("""COMPUTED_VALUE"""),"BELUM GOLIVE")</f>
        <v>BELUM GOLIVE</v>
      </c>
      <c r="Y1125" s="229"/>
      <c r="Z1125" s="229" t="str">
        <f>IFERROR(__xludf.DUMMYFUNCTION("""COMPUTED_VALUE"""),"#N/A")</f>
        <v>#N/A</v>
      </c>
      <c r="AA1125" s="229"/>
      <c r="AB1125" s="229"/>
      <c r="AC1125" s="229"/>
      <c r="AD1125" s="232"/>
      <c r="AE1125" s="233"/>
      <c r="AF1125" s="54" t="str">
        <f>IFERROR(__xludf.DUMMYFUNCTION("""COMPUTED_VALUE"""),"Draft BA DROP")</f>
        <v>Draft BA DROP</v>
      </c>
      <c r="AG1125" s="54"/>
      <c r="AH1125" s="54"/>
      <c r="AI1125" s="55" t="str">
        <f t="shared" si="122"/>
        <v/>
      </c>
      <c r="AW1125" s="234"/>
      <c r="BP1125" s="11"/>
      <c r="BQ1125" s="11"/>
      <c r="BR1125" s="235"/>
      <c r="BV1125" s="158"/>
      <c r="BY1125" s="158"/>
      <c r="CB1125" s="158"/>
    </row>
    <row r="1126" ht="18.0" hidden="1" customHeight="1">
      <c r="A1126" s="222">
        <f>IFERROR(__xludf.DUMMYFUNCTION("""COMPUTED_VALUE"""),2026.0)</f>
        <v>2026</v>
      </c>
      <c r="B1126" s="221">
        <f>IFERROR(__xludf.DUMMYFUNCTION("""COMPUTED_VALUE"""),1.1454439E7)</f>
        <v>11454439</v>
      </c>
      <c r="C1126" s="222" t="str">
        <f>IFERROR(__xludf.DUMMYFUNCTION("""COMPUTED_VALUE"""),"BNK-PT3-BRC-BNC-JPPTSEL- PONDOK KELAPA")</f>
        <v>BNK-PT3-BRC-BNC-JPPTSEL- PONDOK KELAPA</v>
      </c>
      <c r="D1126" s="222" t="str">
        <f>IFERROR(__xludf.DUMMYFUNCTION("""COMPUTED_VALUE"""),"REGIONAL I")</f>
        <v>REGIONAL I</v>
      </c>
      <c r="E1126" s="222" t="str">
        <f>IFERROR(__xludf.DUMMYFUNCTION("""COMPUTED_VALUE"""),"BENGKULU")</f>
        <v>BENGKULU</v>
      </c>
      <c r="F1126" s="222" t="str">
        <f>IFERROR(__xludf.DUMMYFUNCTION("""COMPUTED_VALUE"""),"BNC")</f>
        <v>BNC</v>
      </c>
      <c r="G1126" s="222" t="str">
        <f>IFERROR(__xludf.DUMMYFUNCTION("""COMPUTED_VALUE"""),"SUMBAGSEL")</f>
        <v>SUMBAGSEL</v>
      </c>
      <c r="H1126" s="222" t="str">
        <f>IFERROR(__xludf.DUMMYFUNCTION("""COMPUTED_VALUE"""),"BENGKULU")</f>
        <v>BENGKULU</v>
      </c>
      <c r="I1126" s="222" t="str">
        <f>IFERROR(__xludf.DUMMYFUNCTION("""COMPUTED_VALUE"""),"Batch 2")</f>
        <v>Batch 2</v>
      </c>
      <c r="J1126" s="225">
        <f>IFERROR(__xludf.DUMMYFUNCTION("""COMPUTED_VALUE"""),9.0)</f>
        <v>9</v>
      </c>
      <c r="K1126" s="224">
        <f>IFERROR(__xludf.DUMMYFUNCTION("""COMPUTED_VALUE"""),72.0)</f>
        <v>72</v>
      </c>
      <c r="L1126" s="226">
        <f>IFERROR(__xludf.DUMMYFUNCTION("""COMPUTED_VALUE"""),1265608.0)</f>
        <v>1265608</v>
      </c>
      <c r="M1126" s="227">
        <f>IFERROR(__xludf.DUMMYFUNCTION("""COMPUTED_VALUE"""),9.1123745E7)</f>
        <v>91123745</v>
      </c>
      <c r="N1126" s="222" t="str">
        <f>IFERROR(__xludf.DUMMYFUNCTION("""COMPUTED_VALUE"""),"PT SARANA MITRA PERSADA")</f>
        <v>PT SARANA MITRA PERSADA</v>
      </c>
      <c r="O1126" s="222" t="str">
        <f>IFERROR(__xludf.DUMMYFUNCTION("""COMPUTED_VALUE"""),"0. DROP")</f>
        <v>0. DROP</v>
      </c>
      <c r="P1126" s="222" t="str">
        <f>IFERROR(__xludf.DUMMYFUNCTION("""COMPUTED_VALUE"""),"0.3 Feeder Full")</f>
        <v>0.3 Feeder Full</v>
      </c>
      <c r="Q1126" s="222" t="str">
        <f>IFERROR(__xludf.DUMMYFUNCTION("""COMPUTED_VALUE"""),"02/03 : Feeder  full // (07/01) Persiapan")</f>
        <v>02/03 : Feeder  full // (07/01) Persiapan</v>
      </c>
      <c r="R1126" s="228"/>
      <c r="S1126" s="11"/>
      <c r="T1126" s="11"/>
      <c r="U1126" s="11"/>
      <c r="V1126" s="229"/>
      <c r="W1126" s="229"/>
      <c r="X1126" s="229" t="str">
        <f>IFERROR(__xludf.DUMMYFUNCTION("""COMPUTED_VALUE"""),"BELUM GOLIVE")</f>
        <v>BELUM GOLIVE</v>
      </c>
      <c r="Y1126" s="229"/>
      <c r="Z1126" s="229" t="str">
        <f>IFERROR(__xludf.DUMMYFUNCTION("""COMPUTED_VALUE"""),"#N/A")</f>
        <v>#N/A</v>
      </c>
      <c r="AA1126" s="229"/>
      <c r="AB1126" s="229"/>
      <c r="AC1126" s="229"/>
      <c r="AD1126" s="232"/>
      <c r="AE1126" s="233"/>
      <c r="AF1126" s="54" t="str">
        <f>IFERROR(__xludf.DUMMYFUNCTION("""COMPUTED_VALUE"""),"Draft BA DROP")</f>
        <v>Draft BA DROP</v>
      </c>
      <c r="AG1126" s="54"/>
      <c r="AH1126" s="54"/>
      <c r="AI1126" s="55" t="str">
        <f t="shared" si="122"/>
        <v/>
      </c>
      <c r="AW1126" s="234"/>
      <c r="BP1126" s="11"/>
      <c r="BQ1126" s="11"/>
      <c r="BR1126" s="235"/>
      <c r="BV1126" s="158"/>
      <c r="BY1126" s="158"/>
      <c r="CB1126" s="158"/>
    </row>
    <row r="1127" ht="18.0" hidden="1" customHeight="1">
      <c r="A1127" s="222">
        <f>IFERROR(__xludf.DUMMYFUNCTION("""COMPUTED_VALUE"""),2026.0)</f>
        <v>2026</v>
      </c>
      <c r="B1127" s="221">
        <f>IFERROR(__xludf.DUMMYFUNCTION("""COMPUTED_VALUE"""),1.2431585E7)</f>
        <v>12431585</v>
      </c>
      <c r="C1127" s="222" t="str">
        <f>IFERROR(__xludf.DUMMYFUNCTION("""COMPUTED_VALUE"""),"SMU PT3 RAP-FBC CLUST HARMONI - ROYAL")</f>
        <v>SMU PT3 RAP-FBC CLUST HARMONI - ROYAL</v>
      </c>
      <c r="D1127" s="222" t="str">
        <f>IFERROR(__xludf.DUMMYFUNCTION("""COMPUTED_VALUE"""),"REGIONAL I")</f>
        <v>REGIONAL I</v>
      </c>
      <c r="E1127" s="222" t="str">
        <f>IFERROR(__xludf.DUMMYFUNCTION("""COMPUTED_VALUE"""),"SUMUT")</f>
        <v>SUMUT</v>
      </c>
      <c r="F1127" s="222" t="str">
        <f>IFERROR(__xludf.DUMMYFUNCTION("""COMPUTED_VALUE"""),"RAP")</f>
        <v>RAP</v>
      </c>
      <c r="G1127" s="222" t="str">
        <f>IFERROR(__xludf.DUMMYFUNCTION("""COMPUTED_VALUE"""),"SUMBAGUT")</f>
        <v>SUMBAGUT</v>
      </c>
      <c r="H1127" s="222" t="str">
        <f>IFERROR(__xludf.DUMMYFUNCTION("""COMPUTED_VALUE"""),"RANTAU PRAPAT")</f>
        <v>RANTAU PRAPAT</v>
      </c>
      <c r="I1127" s="222" t="str">
        <f>IFERROR(__xludf.DUMMYFUNCTION("""COMPUTED_VALUE"""),"Batch 2")</f>
        <v>Batch 2</v>
      </c>
      <c r="J1127" s="225">
        <f>IFERROR(__xludf.DUMMYFUNCTION("""COMPUTED_VALUE"""),54.0)</f>
        <v>54</v>
      </c>
      <c r="K1127" s="224">
        <f>IFERROR(__xludf.DUMMYFUNCTION("""COMPUTED_VALUE"""),432.0)</f>
        <v>432</v>
      </c>
      <c r="L1127" s="226">
        <f>IFERROR(__xludf.DUMMYFUNCTION("""COMPUTED_VALUE"""),886774.0)</f>
        <v>886774</v>
      </c>
      <c r="M1127" s="227">
        <f>IFERROR(__xludf.DUMMYFUNCTION("""COMPUTED_VALUE"""),3.83085948E8)</f>
        <v>383085948</v>
      </c>
      <c r="N1127" s="222" t="str">
        <f>IFERROR(__xludf.DUMMYFUNCTION("""COMPUTED_VALUE"""),"PT FIBERHOME TECHNOLOGIES INDONESIA")</f>
        <v>PT FIBERHOME TECHNOLOGIES INDONESIA</v>
      </c>
      <c r="O1127" s="222" t="str">
        <f>IFERROR(__xludf.DUMMYFUNCTION("""COMPUTED_VALUE"""),"5. INSTALASI")</f>
        <v>5. INSTALASI</v>
      </c>
      <c r="P1127" s="222" t="str">
        <f>IFERROR(__xludf.DUMMYFUNCTION("""COMPUTED_VALUE"""),"5.7 Proses Penarikan Kabel - Paralel Comcase/Perjinan PU")</f>
        <v>5.7 Proses Penarikan Kabel - Paralel Comcase/Perjinan PU</v>
      </c>
      <c r="Q1127" s="222" t="str">
        <f>IFERROR(__xludf.DUMMYFUNCTION("""COMPUTED_VALUE"""),"27/4 dependensi LOP lain progress feeder terkendala ijin PU, sisa pekrjaan odp 54 sisa 27 , penarikan ku 12 (4560 sisa 2050) penarikan ku 24 (8362 sisa 267) tiang 115 sisa 52, 23/4 dependensi LOP lain progress feeder terkendala ijin PU, sisa pekrjaan odp "&amp;"54 sisa 27 , penarikan ku 12 (4560 sisa 2050) penarikan ku 24 (8362 sisa 267) tiang 115 sisa 52, , 22/4 dependensi LOP lain progress feeder terkendala ijin PU, penarikan ku 12 (4560 sisa 2050) penarikan ku 24 (8362 sisa 267) tiang 115 sisa 52, odp 54 sisa"&amp;" 27, 20/4 penarikan ku 12 (4560 sisa 2050) penarikan ku 24 (8362 sisa 267) tiang 115 sisa 52, odp 54 sisa 42, 15/4 penarikan ku 12 (4560 sisa 2510) pe21/4 stelah team pemerintah setempat dan waspang mediasi ke warga terkait izin tanam tiang , warga memint"&amp;"a kompensasi 500/batang (21batang), narikan ku 24 (8362 sisa 267) tiang 115 sisa 52, odp 54 sisa 47, 13/4 team belum turun ke lokasi dikarenakan masih mencari katrol untuk membuka MH RAP-FAU,  Penarikan ku 12 (4560 sisa 2510) penarikan ku 24 (8362 sisa 80"&amp;"95) tanam tiang 115 sisa 63, odp 54 blm ada progres, 10/4 team belum turun ke lokasi dikarenakan masih mencari katrol untuk membuka MH RAP-FAU,  Penarikan ku 12 (4560 sisa 2510) penarikan ku 24 (8362 sisa 8095) tanam tiang 115 sisa 63, odp 54 blm ada prog"&amp;"res, 9/4 Penarikan ku 12 (4560 sisa 2510) penarikan ku 24 (8362 sisa 8095) tanam tiang 115 sisa 63, odp 54 blm ada progres, 8/4 Penarikan ku 12 (4560 sisa 2510) penarikan ku 24 (8362 sisa 8095) tanam tiang 115 sisa 63, odp 54 blm ada progres, 6/4 Penarika"&amp;"n ku 12 (4560 sisa 2510) penarikan ku 24 (8362 sisa 8095) tanam tiang 115 sisa 63, odp 54 blm ada progres, 1/4 Depedensi dengan LOP SMU PT4 RAP CLUST PERUM BARU SUKA DAME masih Proses perizinan PU terkait SITAC ODC, plan survey bersama TSEL terkait perizi"&amp;"nan developer minggu 1 April. 31/3 proses input alista (tim mitra belum bisa progres dikarenakan menunggu new odc dari mitra upaya), 30/3 proses input alista (tim mitra belum bisa progres dikarenakan menunggu new odc dari mitra upaya), 27/3 proses input a"&amp;"lista (tim mitra belum bisa progres dikarenakan menunggu new odc dari mitra upaya), 26/3 menunggu req  kebutuha matrial mitra, 18/3 team lanjut progres setelah selesai lebaran,  16/3 team lanjut progres setelah selesai lebaran,  13/3 team lanjut progres s"&amp;"etelah selesai lebaran, 11/3 menunggu req material, 10/3 menunggu info kelanjutan lop dikarnakan lop utama drop dikarnakana cpp tinggi, 6/3 menunggu info kelanjutan lop dikarnakan lop utama drop dikarnakana cpp tinggi, 5/3 menunggu req matrial mitra paral"&amp;"le input alista, 4/3 menunggu req matrial mitra paralle input alista 3/3 menunggu req matrial mitra paralle input alista, 2/3 menunggu req matrial mitra paralle input alista,  25/2 menunggu req matrial mitra paralle input alista,  24/2 menunggu req matria"&amp;"l mitra paralle input alista, 23/2 revisi boq kml survey plan submit hari ini, 20/2 revisi boq kml survey plan submit hari ini, 19/2 revisi boq kml survey, 18/2 proses cek cpp penambahan prelim, 16/2 proses izin devloper ( menunggu new odc dari project la"&amp;"in pt.upaya cluster suka dame), 13/2 proses req surat pengantar ijin ke devloper ( menunggu new odc dari project lain pt.upaya cluster suka dame), 12/2 proses req surat pengantar ijin ke devloper ( menunggu new odc dari project lain pt.upaya cluster suka "&amp;"dame)  11/2 proses req surat pengantar ijin ke devloper ( menunggu new odc dari project lain pt.upaya cluster suka dame) , 10/2 proses req surat pengantar ijin ke devloper ( menunggu new odc dari project lain pt.upaya cluster suka dame) , 9/2 proses req s"&amp;"urat pengantar ijin ke devloper ( menunggu new odc dari project lain pt.upaya cluster suka dame) , 6/2 proses req surat pengantar ijin ke devloper ( menunggu new odc dari project lain pt.upaya) ,  5/2 proses req surat pengantar ijin ke devloper ( menunggu"&amp;" new odc dari project lain pt.upaya) , 3/2 proses req surat pengantar ijin ke devloper ( menunggu new odc dari project lain pt.upaya) , 2/2 proses req surat pengantar ijin ke devloper ( menunggu new odc dari project lain pt.upaya) , 1/2 proses req surat p"&amp;"engantar ijin ke devloper ( menunggu new odc dari project lain pt.upaya) , 30/1 proses req surat pengantar ijin ke devloper ( menunggu new odc dari project lain pt.upaya) , 28/1 proses req surat pengantar ijin ke devloper ( menunggu new odc dari project l"&amp;"ain pt.upaya) , 27/1 proses req surat pengantar ijin ke devloper ( menunggu new odc dari project lain pt.upaya) , 26/1 proses req surat pengantar ijin ke devloper ( menunggu new odc dari project lain pt.aum) , 23/1 menunggu update boq dan kml dari mitra, "&amp;" 22/1 menunggu update boq dan kml dari mitra, 21/1 plan survey 22/1 , 20/1 plan survey 21/1 , 19/1 plan survey 21/1 ,  15/1 plan survey 21/1 ,  14/1 menunggu info mitra, 13/1 menunggu info mitra, (07/01) Persiapan")</f>
        <v>27/4 dependensi LOP lain progress feeder terkendala ijin PU, sisa pekrjaan odp 54 sisa 27 , penarikan ku 12 (4560 sisa 2050) penarikan ku 24 (8362 sisa 267) tiang 115 sisa 52, 23/4 dependensi LOP lain progress feeder terkendala ijin PU, sisa pekrjaan odp 54 sisa 27 , penarikan ku 12 (4560 sisa 2050) penarikan ku 24 (8362 sisa 267) tiang 115 sisa 52, , 22/4 dependensi LOP lain progress feeder terkendala ijin PU, penarikan ku 12 (4560 sisa 2050) penarikan ku 24 (8362 sisa 267) tiang 115 sisa 52, odp 54 sisa 27, 20/4 penarikan ku 12 (4560 sisa 2050) penarikan ku 24 (8362 sisa 267) tiang 115 sisa 52, odp 54 sisa 42, 15/4 penarikan ku 12 (4560 sisa 2510) pe21/4 stelah team pemerintah setempat dan waspang mediasi ke warga terkait izin tanam tiang , warga meminta kompensasi 500/batang (21batang), narikan ku 24 (8362 sisa 267) tiang 115 sisa 52, odp 54 sisa 47, 13/4 team belum turun ke lokasi dikarenakan masih mencari katrol untuk membuka MH RAP-FAU,  Penarikan ku 12 (4560 sisa 2510) penarikan ku 24 (8362 sisa 8095) tanam tiang 115 sisa 63, odp 54 blm ada progres, 10/4 team belum turun ke lokasi dikarenakan masih mencari katrol untuk membuka MH RAP-FAU,  Penarikan ku 12 (4560 sisa 2510) penarikan ku 24 (8362 sisa 8095) tanam tiang 115 sisa 63, odp 54 blm ada progres, 9/4 Penarikan ku 12 (4560 sisa 2510) penarikan ku 24 (8362 sisa 8095) tanam tiang 115 sisa 63, odp 54 blm ada progres, 8/4 Penarikan ku 12 (4560 sisa 2510) penarikan ku 24 (8362 sisa 8095) tanam tiang 115 sisa 63, odp 54 blm ada progres, 6/4 Penarikan ku 12 (4560 sisa 2510) penarikan ku 24 (8362 sisa 8095) tanam tiang 115 sisa 63, odp 54 blm ada progres, 1/4 Depedensi dengan LOP SMU PT4 RAP CLUST PERUM BARU SUKA DAME masih Proses perizinan PU terkait SITAC ODC, plan survey bersama TSEL terkait perizinan developer minggu 1 April. 31/3 proses input alista (tim mitra belum bisa progres dikarenakan menunggu new odc dari mitra upaya), 30/3 proses input alista (tim mitra belum bisa progres dikarenakan menunggu new odc dari mitra upaya), 27/3 proses input alista (tim mitra belum bisa progres dikarenakan menunggu new odc dari mitra upaya), 26/3 menunggu req  kebutuha matrial mitra, 18/3 team lanjut progres setelah selesai lebaran,  16/3 team lanjut progres setelah selesai lebaran,  13/3 team lanjut progres setelah selesai lebaran, 11/3 menunggu req material, 10/3 menunggu info kelanjutan lop dikarnakan lop utama drop dikarnakana cpp tinggi, 6/3 menunggu info kelanjutan lop dikarnakan lop utama drop dikarnakana cpp tinggi, 5/3 menunggu req matrial mitra paralle input alista, 4/3 menunggu req matrial mitra paralle input alista 3/3 menunggu req matrial mitra paralle input alista, 2/3 menunggu req matrial mitra paralle input alista,  25/2 menunggu req matrial mitra paralle input alista,  24/2 menunggu req matrial mitra paralle input alista, 23/2 revisi boq kml survey plan submit hari ini, 20/2 revisi boq kml survey plan submit hari ini, 19/2 revisi boq kml survey, 18/2 proses cek cpp penambahan prelim, 16/2 proses izin devloper ( menunggu new odc dari project lain pt.upaya cluster suka dame), 13/2 proses req surat pengantar ijin ke devloper ( menunggu new odc dari project lain pt.upaya cluster suka dame), 12/2 proses req surat pengantar ijin ke devloper ( menunggu new odc dari project lain pt.upaya cluster suka dame)  11/2 proses req surat pengantar ijin ke devloper ( menunggu new odc dari project lain pt.upaya cluster suka dame) , 10/2 proses req surat pengantar ijin ke devloper ( menunggu new odc dari project lain pt.upaya cluster suka dame) , 9/2 proses req surat pengantar ijin ke devloper ( menunggu new odc dari project lain pt.upaya cluster suka dame) , 6/2 proses req surat pengantar ijin ke devloper ( menunggu new odc dari project lain pt.upaya) ,  5/2 proses req surat pengantar ijin ke devloper ( menunggu new odc dari project lain pt.upaya) , 3/2 proses req surat pengantar ijin ke devloper ( menunggu new odc dari project lain pt.upaya) , 2/2 proses req surat pengantar ijin ke devloper ( menunggu new odc dari project lain pt.upaya) , 1/2 proses req surat pengantar ijin ke devloper ( menunggu new odc dari project lain pt.upaya) , 30/1 proses req surat pengantar ijin ke devloper ( menunggu new odc dari project lain pt.upaya) , 28/1 proses req surat pengantar ijin ke devloper ( menunggu new odc dari project lain pt.upaya) , 27/1 proses req surat pengantar ijin ke devloper ( menunggu new odc dari project lain pt.upaya) , 26/1 proses req surat pengantar ijin ke devloper ( menunggu new odc dari project lain pt.aum) , 23/1 menunggu update boq dan kml dari mitra,  22/1 menunggu update boq dan kml dari mitra, 21/1 plan survey 22/1 , 20/1 plan survey 21/1 , 19/1 plan survey 21/1 ,  15/1 plan survey 21/1 ,  14/1 menunggu info mitra, 13/1 menunggu info mitra, (07/01) Persiapan</v>
      </c>
      <c r="R1127" s="228"/>
      <c r="S1127" s="11" t="str">
        <f>IFERROR(__xludf.DUMMYFUNCTION("""COMPUTED_VALUE"""),"-")</f>
        <v>-</v>
      </c>
      <c r="T1127" s="73" t="str">
        <f>IFERROR(__xludf.DUMMYFUNCTION("""COMPUTED_VALUE"""),"P1")</f>
        <v>P1</v>
      </c>
      <c r="U1127" s="11" t="str">
        <f>IFERROR(__xludf.DUMMYFUNCTION("""COMPUTED_VALUE"""),"TIF-2273/2026")</f>
        <v>TIF-2273/2026</v>
      </c>
      <c r="V1127" s="229"/>
      <c r="W1127" s="229" t="str">
        <f>IFERROR(__xludf.DUMMYFUNCTION("""COMPUTED_VALUE"""),"#N/A")</f>
        <v>#N/A</v>
      </c>
      <c r="X1127" s="229" t="str">
        <f>IFERROR(__xludf.DUMMYFUNCTION("""COMPUTED_VALUE"""),"BELUM GOLIVE")</f>
        <v>BELUM GOLIVE</v>
      </c>
      <c r="Y1127" s="229"/>
      <c r="Z1127" s="229" t="str">
        <f>IFERROR(__xludf.DUMMYFUNCTION("""COMPUTED_VALUE"""),"#N/A")</f>
        <v>#N/A</v>
      </c>
      <c r="AA1127" s="229"/>
      <c r="AB1127" s="229"/>
      <c r="AC1127" s="229"/>
      <c r="AD1127" s="232"/>
      <c r="AE1127" s="233"/>
      <c r="AF1127" s="54"/>
      <c r="AG1127" s="54"/>
      <c r="AH1127" s="54">
        <v>46134.0</v>
      </c>
      <c r="AI1127" s="55" t="str">
        <f t="shared" si="122"/>
        <v/>
      </c>
      <c r="AW1127" s="234"/>
      <c r="BP1127" s="11"/>
      <c r="BQ1127" s="11"/>
      <c r="BR1127" s="235"/>
      <c r="BV1127" s="158"/>
      <c r="BY1127" s="158"/>
      <c r="CB1127" s="158"/>
    </row>
    <row r="1128" ht="18.0" hidden="1" customHeight="1">
      <c r="A1128" s="222">
        <f>IFERROR(__xludf.DUMMYFUNCTION("""COMPUTED_VALUE"""),2026.0)</f>
        <v>2026</v>
      </c>
      <c r="B1128" s="221">
        <f>IFERROR(__xludf.DUMMYFUNCTION("""COMPUTED_VALUE"""),1.1161471E7)</f>
        <v>11161471</v>
      </c>
      <c r="C1128" s="222" t="str">
        <f>IFERROR(__xludf.DUMMYFUNCTION("""COMPUTED_VALUE"""),"MDN PT3 BJI-FNB JL.SAYUR TANDEM HILIR")</f>
        <v>MDN PT3 BJI-FNB JL.SAYUR TANDEM HILIR</v>
      </c>
      <c r="D1128" s="222" t="str">
        <f>IFERROR(__xludf.DUMMYFUNCTION("""COMPUTED_VALUE"""),"REGIONAL I")</f>
        <v>REGIONAL I</v>
      </c>
      <c r="E1128" s="222" t="str">
        <f>IFERROR(__xludf.DUMMYFUNCTION("""COMPUTED_VALUE"""),"MEDAN")</f>
        <v>MEDAN</v>
      </c>
      <c r="F1128" s="222" t="str">
        <f>IFERROR(__xludf.DUMMYFUNCTION("""COMPUTED_VALUE"""),"BJI")</f>
        <v>BJI</v>
      </c>
      <c r="G1128" s="222" t="str">
        <f>IFERROR(__xludf.DUMMYFUNCTION("""COMPUTED_VALUE"""),"SUMBAGUT")</f>
        <v>SUMBAGUT</v>
      </c>
      <c r="H1128" s="222" t="str">
        <f>IFERROR(__xludf.DUMMYFUNCTION("""COMPUTED_VALUE"""),"BINJAI")</f>
        <v>BINJAI</v>
      </c>
      <c r="I1128" s="222" t="str">
        <f>IFERROR(__xludf.DUMMYFUNCTION("""COMPUTED_VALUE"""),"Batch 2")</f>
        <v>Batch 2</v>
      </c>
      <c r="J1128" s="225">
        <f>IFERROR(__xludf.DUMMYFUNCTION("""COMPUTED_VALUE"""),4.0)</f>
        <v>4</v>
      </c>
      <c r="K1128" s="224">
        <f>IFERROR(__xludf.DUMMYFUNCTION("""COMPUTED_VALUE"""),32.0)</f>
        <v>32</v>
      </c>
      <c r="L1128" s="226">
        <f>IFERROR(__xludf.DUMMYFUNCTION("""COMPUTED_VALUE"""),885979.0)</f>
        <v>885979</v>
      </c>
      <c r="M1128" s="227">
        <f>IFERROR(__xludf.DUMMYFUNCTION("""COMPUTED_VALUE"""),2.8351321E7)</f>
        <v>28351321</v>
      </c>
      <c r="N1128" s="222" t="str">
        <f>IFERROR(__xludf.DUMMYFUNCTION("""COMPUTED_VALUE"""),"PT KENCANA RAYA INDONESIA")</f>
        <v>PT KENCANA RAYA INDONESIA</v>
      </c>
      <c r="O1128" s="222" t="str">
        <f>IFERROR(__xludf.DUMMYFUNCTION("""COMPUTED_VALUE"""),"0. DROP")</f>
        <v>0. DROP</v>
      </c>
      <c r="P1128" s="222" t="str">
        <f>IFERROR(__xludf.DUMMYFUNCTION("""COMPUTED_VALUE"""),"0.3 Feeder Full")</f>
        <v>0.3 Feeder Full</v>
      </c>
      <c r="Q1128" s="222" t="str">
        <f>IFERROR(__xludf.DUMMYFUNCTION("""COMPUTED_VALUE"""),"01/04 feeder penuh
(24/09) Perizinan Warga dan Kades / Lurah
(23/09) Perizinan Warga dan Kades / Lurah
15/09 proses aanwijzing")</f>
        <v>01/04 feeder penuh
(24/09) Perizinan Warga dan Kades / Lurah
(23/09) Perizinan Warga dan Kades / Lurah
15/09 proses aanwijzing</v>
      </c>
      <c r="R1128" s="228"/>
      <c r="S1128" s="11"/>
      <c r="T1128" s="11"/>
      <c r="U1128" s="11"/>
      <c r="V1128" s="229"/>
      <c r="W1128" s="229"/>
      <c r="X1128" s="229" t="str">
        <f>IFERROR(__xludf.DUMMYFUNCTION("""COMPUTED_VALUE"""),"BELUM GOLIVE")</f>
        <v>BELUM GOLIVE</v>
      </c>
      <c r="Y1128" s="229"/>
      <c r="Z1128" s="229" t="str">
        <f>IFERROR(__xludf.DUMMYFUNCTION("""COMPUTED_VALUE"""),"#N/A")</f>
        <v>#N/A</v>
      </c>
      <c r="AA1128" s="229"/>
      <c r="AB1128" s="229"/>
      <c r="AC1128" s="229"/>
      <c r="AD1128" s="232"/>
      <c r="AE1128" s="233"/>
      <c r="AF1128" s="54"/>
      <c r="AG1128" s="54"/>
      <c r="AH1128" s="54"/>
      <c r="AI1128" s="55" t="str">
        <f t="shared" si="122"/>
        <v/>
      </c>
      <c r="AW1128" s="234"/>
      <c r="BP1128" s="11"/>
      <c r="BQ1128" s="11"/>
      <c r="BR1128" s="235"/>
      <c r="BV1128" s="158"/>
      <c r="BY1128" s="158"/>
      <c r="CB1128" s="158"/>
    </row>
    <row r="1129" ht="18.0" hidden="1" customHeight="1">
      <c r="A1129" s="222">
        <f>IFERROR(__xludf.DUMMYFUNCTION("""COMPUTED_VALUE"""),2026.0)</f>
        <v>2026</v>
      </c>
      <c r="B1129" s="221">
        <f>IFERROR(__xludf.DUMMYFUNCTION("""COMPUTED_VALUE"""),1.1194189E7)</f>
        <v>11194189</v>
      </c>
      <c r="C1129" s="222" t="str">
        <f>IFERROR(__xludf.DUMMYFUNCTION("""COMPUTED_VALUE"""),"MDN PT3 P7I9 TJR-FW JL.PUTRA JAYA DESA")</f>
        <v>MDN PT3 P7I9 TJR-FW JL.PUTRA JAYA DESA</v>
      </c>
      <c r="D1129" s="222" t="str">
        <f>IFERROR(__xludf.DUMMYFUNCTION("""COMPUTED_VALUE"""),"REGIONAL I")</f>
        <v>REGIONAL I</v>
      </c>
      <c r="E1129" s="222" t="str">
        <f>IFERROR(__xludf.DUMMYFUNCTION("""COMPUTED_VALUE"""),"MEDAN")</f>
        <v>MEDAN</v>
      </c>
      <c r="F1129" s="222" t="str">
        <f>IFERROR(__xludf.DUMMYFUNCTION("""COMPUTED_VALUE"""),"TJR")</f>
        <v>TJR</v>
      </c>
      <c r="G1129" s="222" t="str">
        <f>IFERROR(__xludf.DUMMYFUNCTION("""COMPUTED_VALUE"""),"SUMBAGUT")</f>
        <v>SUMBAGUT</v>
      </c>
      <c r="H1129" s="222" t="str">
        <f>IFERROR(__xludf.DUMMYFUNCTION("""COMPUTED_VALUE"""),"MEDAN")</f>
        <v>MEDAN</v>
      </c>
      <c r="I1129" s="222" t="str">
        <f>IFERROR(__xludf.DUMMYFUNCTION("""COMPUTED_VALUE"""),"Batch 2")</f>
        <v>Batch 2</v>
      </c>
      <c r="J1129" s="225">
        <f>IFERROR(__xludf.DUMMYFUNCTION("""COMPUTED_VALUE"""),2.0)</f>
        <v>2</v>
      </c>
      <c r="K1129" s="224">
        <f>IFERROR(__xludf.DUMMYFUNCTION("""COMPUTED_VALUE"""),16.0)</f>
        <v>16</v>
      </c>
      <c r="L1129" s="226">
        <f>IFERROR(__xludf.DUMMYFUNCTION("""COMPUTED_VALUE"""),1073601.0)</f>
        <v>1073601</v>
      </c>
      <c r="M1129" s="227">
        <f>IFERROR(__xludf.DUMMYFUNCTION("""COMPUTED_VALUE"""),1.7177616E7)</f>
        <v>17177616</v>
      </c>
      <c r="N1129" s="222" t="str">
        <f>IFERROR(__xludf.DUMMYFUNCTION("""COMPUTED_VALUE"""),"PT UPAYA TEKNIK")</f>
        <v>PT UPAYA TEKNIK</v>
      </c>
      <c r="O1129" s="222" t="str">
        <f>IFERROR(__xludf.DUMMYFUNCTION("""COMPUTED_VALUE"""),"0. DROP")</f>
        <v>0. DROP</v>
      </c>
      <c r="P1129" s="222" t="str">
        <f>IFERROR(__xludf.DUMMYFUNCTION("""COMPUTED_VALUE"""),"0.2 Tidak Dapat Izin Warga/Kades/Lurah/Developer")</f>
        <v>0.2 Tidak Dapat Izin Warga/Kades/Lurah/Developer</v>
      </c>
      <c r="Q1129" s="222" t="str">
        <f>IFERROR(__xludf.DUMMYFUNCTION("""COMPUTED_VALUE"""),"23/10 tdk dapat izin warga terkait space tanam tiang")</f>
        <v>23/10 tdk dapat izin warga terkait space tanam tiang</v>
      </c>
      <c r="R1129" s="228"/>
      <c r="S1129" s="11"/>
      <c r="T1129" s="11"/>
      <c r="U1129" s="11"/>
      <c r="V1129" s="229"/>
      <c r="W1129" s="229"/>
      <c r="X1129" s="229" t="str">
        <f>IFERROR(__xludf.DUMMYFUNCTION("""COMPUTED_VALUE"""),"BELUM GOLIVE")</f>
        <v>BELUM GOLIVE</v>
      </c>
      <c r="Y1129" s="229"/>
      <c r="Z1129" s="229" t="str">
        <f>IFERROR(__xludf.DUMMYFUNCTION("""COMPUTED_VALUE"""),"#N/A")</f>
        <v>#N/A</v>
      </c>
      <c r="AA1129" s="229"/>
      <c r="AB1129" s="229"/>
      <c r="AC1129" s="229"/>
      <c r="AD1129" s="232"/>
      <c r="AE1129" s="233"/>
      <c r="AF1129" s="54" t="str">
        <f>IFERROR(__xludf.DUMMYFUNCTION("""COMPUTED_VALUE"""),"Draft BA DROP")</f>
        <v>Draft BA DROP</v>
      </c>
      <c r="AG1129" s="54"/>
      <c r="AH1129" s="54"/>
      <c r="AI1129" s="55" t="str">
        <f t="shared" si="122"/>
        <v/>
      </c>
      <c r="AW1129" s="234"/>
      <c r="BP1129" s="11"/>
      <c r="BQ1129" s="11"/>
      <c r="BR1129" s="235"/>
      <c r="BV1129" s="158"/>
      <c r="BY1129" s="158"/>
      <c r="CB1129" s="158"/>
    </row>
    <row r="1130" ht="18.0" hidden="1" customHeight="1">
      <c r="A1130" s="222">
        <f>IFERROR(__xludf.DUMMYFUNCTION("""COMPUTED_VALUE"""),2026.0)</f>
        <v>2026</v>
      </c>
      <c r="B1130" s="221">
        <f>IFERROR(__xludf.DUMMYFUNCTION("""COMPUTED_VALUE"""),1.2084195E7)</f>
        <v>12084195</v>
      </c>
      <c r="C1130" s="222" t="str">
        <f>IFERROR(__xludf.DUMMYFUNCTION("""COMPUTED_VALUE"""),"LPG PT3 JPP BRAWIJAYA SIDOREJO KLA")</f>
        <v>LPG PT3 JPP BRAWIJAYA SIDOREJO KLA</v>
      </c>
      <c r="D1130" s="222" t="str">
        <f>IFERROR(__xludf.DUMMYFUNCTION("""COMPUTED_VALUE"""),"REGIONAL I")</f>
        <v>REGIONAL I</v>
      </c>
      <c r="E1130" s="222" t="str">
        <f>IFERROR(__xludf.DUMMYFUNCTION("""COMPUTED_VALUE"""),"LAMPUNG")</f>
        <v>LAMPUNG</v>
      </c>
      <c r="F1130" s="222" t="str">
        <f>IFERROR(__xludf.DUMMYFUNCTION("""COMPUTED_VALUE"""),"KLA")</f>
        <v>KLA</v>
      </c>
      <c r="G1130" s="222" t="str">
        <f>IFERROR(__xludf.DUMMYFUNCTION("""COMPUTED_VALUE"""),"SUMBAGSEL")</f>
        <v>SUMBAGSEL</v>
      </c>
      <c r="H1130" s="222" t="str">
        <f>IFERROR(__xludf.DUMMYFUNCTION("""COMPUTED_VALUE"""),"LAMPUNG")</f>
        <v>LAMPUNG</v>
      </c>
      <c r="I1130" s="222" t="str">
        <f>IFERROR(__xludf.DUMMYFUNCTION("""COMPUTED_VALUE"""),"Batch 2")</f>
        <v>Batch 2</v>
      </c>
      <c r="J1130" s="225">
        <f>IFERROR(__xludf.DUMMYFUNCTION("""COMPUTED_VALUE"""),6.0)</f>
        <v>6</v>
      </c>
      <c r="K1130" s="224">
        <f>IFERROR(__xludf.DUMMYFUNCTION("""COMPUTED_VALUE"""),48.0)</f>
        <v>48</v>
      </c>
      <c r="L1130" s="226">
        <f>IFERROR(__xludf.DUMMYFUNCTION("""COMPUTED_VALUE"""),883741.0)</f>
        <v>883741</v>
      </c>
      <c r="M1130" s="227">
        <f>IFERROR(__xludf.DUMMYFUNCTION("""COMPUTED_VALUE"""),4.2419568E7)</f>
        <v>42419568</v>
      </c>
      <c r="N1130" s="222" t="str">
        <f>IFERROR(__xludf.DUMMYFUNCTION("""COMPUTED_VALUE"""),"PT ACERO CETHA METALINDO")</f>
        <v>PT ACERO CETHA METALINDO</v>
      </c>
      <c r="O1130" s="222" t="str">
        <f>IFERROR(__xludf.DUMMYFUNCTION("""COMPUTED_VALUE"""),"8. UJI TERIMA")</f>
        <v>8. UJI TERIMA</v>
      </c>
      <c r="P1130" s="222" t="str">
        <f>IFERROR(__xludf.DUMMYFUNCTION("""COMPUTED_VALUE"""),"8.1 Proses UT")</f>
        <v>8.1 Proses UT</v>
      </c>
      <c r="Q1130" s="222" t="str">
        <f>IFERROR(__xludf.DUMMYFUNCTION("""COMPUTED_VALUE"""),"6/2 proses golive 
4/2 progres valins 
3/2 progres penarikan kabel plan fi 5/2 pan abb+valins 6/2 plan golive 
8/2, terinasi odp golive 06/2 30/1 progres penanaman tiang 
23/1 plan matdel senin 
26/1 menungu boq terupdate dan menungu pengajuan pid 
19/1 p"&amp;"roses pengacekan core dan perizinan")</f>
        <v>6/2 proses golive 
4/2 progres valins 
3/2 progres penarikan kabel plan fi 5/2 pan abb+valins 6/2 plan golive 
8/2, terinasi odp golive 06/2 30/1 progres penanaman tiang 
23/1 plan matdel senin 
26/1 menungu boq terupdate dan menungu pengajuan pid 
19/1 proses pengacekan core dan perizinan</v>
      </c>
      <c r="R1130" s="228"/>
      <c r="S1130" s="11"/>
      <c r="T1130" s="11"/>
      <c r="U1130" s="11" t="str">
        <f>IFERROR(__xludf.DUMMYFUNCTION("""COMPUTED_VALUE"""),"TIF-1749/2026")</f>
        <v>TIF-1749/2026</v>
      </c>
      <c r="V1130" s="229"/>
      <c r="W1130" s="229"/>
      <c r="X1130" s="229" t="str">
        <f>IFERROR(__xludf.DUMMYFUNCTION("""COMPUTED_VALUE"""),"GOLIVE")</f>
        <v>GOLIVE</v>
      </c>
      <c r="Y1130" s="229" t="str">
        <f>IFERROR(__xludf.DUMMYFUNCTION("""COMPUTED_VALUE"""),"DONE")</f>
        <v>DONE</v>
      </c>
      <c r="Z1130" s="229" t="str">
        <f>IFERROR(__xludf.DUMMYFUNCTION("""COMPUTED_VALUE"""),"#N/A")</f>
        <v>#N/A</v>
      </c>
      <c r="AA1130" s="229">
        <f>IFERROR(__xludf.DUMMYFUNCTION("""COMPUTED_VALUE"""),6.0)</f>
        <v>6</v>
      </c>
      <c r="AB1130" s="229"/>
      <c r="AC1130" s="229" t="str">
        <f>IFERROR(__xludf.DUMMYFUNCTION("""COMPUTED_VALUE"""),"8676894#8676900")</f>
        <v>8676894#8676900</v>
      </c>
      <c r="AD1130" s="232">
        <f>IFERROR(__xludf.DUMMYFUNCTION("""COMPUTED_VALUE"""),48.0)</f>
        <v>48</v>
      </c>
      <c r="AE1130" s="233">
        <f>IFERROR(__xludf.DUMMYFUNCTION("""COMPUTED_VALUE"""),46059.0)</f>
        <v>46059</v>
      </c>
      <c r="AF1130" s="54"/>
      <c r="AG1130" s="54"/>
      <c r="AH1130" s="54"/>
      <c r="AI1130" s="55" t="str">
        <f t="shared" si="122"/>
        <v/>
      </c>
      <c r="AW1130" s="234"/>
      <c r="BP1130" s="11"/>
      <c r="BQ1130" s="11"/>
      <c r="BR1130" s="235"/>
      <c r="BV1130" s="158"/>
      <c r="BY1130" s="158"/>
      <c r="CB1130" s="158"/>
    </row>
    <row r="1131" ht="18.0" customHeight="1">
      <c r="A1131" s="222">
        <f>IFERROR(__xludf.DUMMYFUNCTION("""COMPUTED_VALUE"""),2026.0)</f>
        <v>2026</v>
      </c>
      <c r="B1131" s="221">
        <f>IFERROR(__xludf.DUMMYFUNCTION("""COMPUTED_VALUE"""),1.1451435E7)</f>
        <v>11451435</v>
      </c>
      <c r="C1131" s="222" t="str">
        <f>IFERROR(__xludf.DUMMYFUNCTION("""COMPUTED_VALUE"""),"SMB P3I1 MD - NORI AGUS SOFIA - 3 LOP")</f>
        <v>SMB P3I1 MD - NORI AGUS SOFIA - 3 LOP</v>
      </c>
      <c r="D1131" s="222" t="str">
        <f>IFERROR(__xludf.DUMMYFUNCTION("""COMPUTED_VALUE"""),"REGIONAL I")</f>
        <v>REGIONAL I</v>
      </c>
      <c r="E1131" s="222" t="str">
        <f>IFERROR(__xludf.DUMMYFUNCTION("""COMPUTED_VALUE"""),"SUMBAR")</f>
        <v>SUMBAR</v>
      </c>
      <c r="F1131" s="222" t="str">
        <f>IFERROR(__xludf.DUMMYFUNCTION("""COMPUTED_VALUE"""),"PNN")</f>
        <v>PNN</v>
      </c>
      <c r="G1131" s="222" t="str">
        <f>IFERROR(__xludf.DUMMYFUNCTION("""COMPUTED_VALUE"""),"SUMBAGTENG")</f>
        <v>SUMBAGTENG</v>
      </c>
      <c r="H1131" s="222" t="str">
        <f>IFERROR(__xludf.DUMMYFUNCTION("""COMPUTED_VALUE"""),"PADANG")</f>
        <v>PADANG</v>
      </c>
      <c r="I1131" s="222" t="str">
        <f>IFERROR(__xludf.DUMMYFUNCTION("""COMPUTED_VALUE"""),"Batch 2")</f>
        <v>Batch 2</v>
      </c>
      <c r="J1131" s="225">
        <f>IFERROR(__xludf.DUMMYFUNCTION("""COMPUTED_VALUE"""),13.0)</f>
        <v>13</v>
      </c>
      <c r="K1131" s="224">
        <f>IFERROR(__xludf.DUMMYFUNCTION("""COMPUTED_VALUE"""),104.0)</f>
        <v>104</v>
      </c>
      <c r="L1131" s="226">
        <f>IFERROR(__xludf.DUMMYFUNCTION("""COMPUTED_VALUE"""),879854.0)</f>
        <v>879854</v>
      </c>
      <c r="M1131" s="227">
        <f>IFERROR(__xludf.DUMMYFUNCTION("""COMPUTED_VALUE"""),9.1504757E7)</f>
        <v>91504757</v>
      </c>
      <c r="N1131" s="222" t="str">
        <f>IFERROR(__xludf.DUMMYFUNCTION("""COMPUTED_VALUE"""),"PT ALAM UTAMA MULIA")</f>
        <v>PT ALAM UTAMA MULIA</v>
      </c>
      <c r="O1131" s="222" t="str">
        <f>IFERROR(__xludf.DUMMYFUNCTION("""COMPUTED_VALUE"""),"8. UJI TERIMA")</f>
        <v>8. UJI TERIMA</v>
      </c>
      <c r="P1131" s="222" t="str">
        <f>IFERROR(__xludf.DUMMYFUNCTION("""COMPUTED_VALUE"""),"8.1 Proses UT")</f>
        <v>8.1 Proses UT</v>
      </c>
      <c r="Q1131" s="222" t="str">
        <f>IFERROR(__xludf.DUMMYFUNCTION("""COMPUTED_VALUE"""),"(29/01) terminasi ODP (21/01) proses create PID (07/01) Persiapan")</f>
        <v>(29/01) terminasi ODP (21/01) proses create PID (07/01) Persiapan</v>
      </c>
      <c r="R1131" s="228">
        <f>IFERROR(__xludf.DUMMYFUNCTION("""COMPUTED_VALUE"""),46064.0)</f>
        <v>46064</v>
      </c>
      <c r="S1131" s="11"/>
      <c r="T1131" s="11"/>
      <c r="U1131" s="11" t="str">
        <f>IFERROR(__xludf.DUMMYFUNCTION("""COMPUTED_VALUE"""),"TIF-1816/2026 26KT03R158-0002")</f>
        <v>TIF-1816/2026 26KT03R158-0002</v>
      </c>
      <c r="V1131" s="229" t="str">
        <f>IFERROR(__xludf.DUMMYFUNCTION("""COMPUTED_VALUE"""),"PRAMADIO SEPWILMAN")</f>
        <v>PRAMADIO SEPWILMAN</v>
      </c>
      <c r="W1131" s="229" t="str">
        <f>IFERROR(__xludf.DUMMYFUNCTION("""COMPUTED_VALUE"""),"MELKO NARWADI")</f>
        <v>MELKO NARWADI</v>
      </c>
      <c r="X1131" s="229" t="str">
        <f>IFERROR(__xludf.DUMMYFUNCTION("""COMPUTED_VALUE"""),"GOLIVE")</f>
        <v>GOLIVE</v>
      </c>
      <c r="Y1131" s="229" t="str">
        <f>IFERROR(__xludf.DUMMYFUNCTION("""COMPUTED_VALUE"""),"DONE")</f>
        <v>DONE</v>
      </c>
      <c r="Z1131" s="229" t="str">
        <f>IFERROR(__xludf.DUMMYFUNCTION("""COMPUTED_VALUE"""),"#N/A")</f>
        <v>#N/A</v>
      </c>
      <c r="AA1131" s="229">
        <f>IFERROR(__xludf.DUMMYFUNCTION("""COMPUTED_VALUE"""),13.0)</f>
        <v>13</v>
      </c>
      <c r="AB1131" s="229"/>
      <c r="AC1131" s="229" t="str">
        <f>IFERROR(__xludf.DUMMYFUNCTION("""COMPUTED_VALUE"""),"9111761#9111766")</f>
        <v>9111761#9111766</v>
      </c>
      <c r="AD1131" s="232">
        <f>IFERROR(__xludf.DUMMYFUNCTION("""COMPUTED_VALUE"""),104.0)</f>
        <v>104</v>
      </c>
      <c r="AE1131" s="233">
        <f>IFERROR(__xludf.DUMMYFUNCTION("""COMPUTED_VALUE"""),46068.0)</f>
        <v>46068</v>
      </c>
      <c r="AF1131" s="54"/>
      <c r="AG1131" s="54"/>
      <c r="AH1131" s="54">
        <v>46064.0</v>
      </c>
      <c r="AI1131" s="55">
        <f t="shared" si="122"/>
        <v>-4</v>
      </c>
      <c r="AW1131" s="234"/>
      <c r="BP1131" s="11"/>
      <c r="BQ1131" s="11"/>
      <c r="BR1131" s="235"/>
      <c r="BV1131" s="158"/>
      <c r="BY1131" s="158"/>
      <c r="CB1131" s="158"/>
    </row>
    <row r="1132" ht="18.0" hidden="1" customHeight="1">
      <c r="A1132" s="222">
        <f>IFERROR(__xludf.DUMMYFUNCTION("""COMPUTED_VALUE"""),2026.0)</f>
        <v>2026</v>
      </c>
      <c r="B1132" s="221">
        <f>IFERROR(__xludf.DUMMYFUNCTION("""COMPUTED_VALUE"""),1.1188649E7)</f>
        <v>11188649</v>
      </c>
      <c r="C1132" s="222" t="str">
        <f>IFERROR(__xludf.DUMMYFUNCTION("""COMPUTED_VALUE"""),"MDN PT3 P7I10 CTD-FAR JL.PINANG BARIS")</f>
        <v>MDN PT3 P7I10 CTD-FAR JL.PINANG BARIS</v>
      </c>
      <c r="D1132" s="222" t="str">
        <f>IFERROR(__xludf.DUMMYFUNCTION("""COMPUTED_VALUE"""),"REGIONAL I")</f>
        <v>REGIONAL I</v>
      </c>
      <c r="E1132" s="222" t="str">
        <f>IFERROR(__xludf.DUMMYFUNCTION("""COMPUTED_VALUE"""),"MEDAN")</f>
        <v>MEDAN</v>
      </c>
      <c r="F1132" s="222" t="str">
        <f>IFERROR(__xludf.DUMMYFUNCTION("""COMPUTED_VALUE"""),"CTD")</f>
        <v>CTD</v>
      </c>
      <c r="G1132" s="222" t="str">
        <f>IFERROR(__xludf.DUMMYFUNCTION("""COMPUTED_VALUE"""),"SUMBAGUT")</f>
        <v>SUMBAGUT</v>
      </c>
      <c r="H1132" s="222" t="str">
        <f>IFERROR(__xludf.DUMMYFUNCTION("""COMPUTED_VALUE"""),"MEDAN")</f>
        <v>MEDAN</v>
      </c>
      <c r="I1132" s="222" t="str">
        <f>IFERROR(__xludf.DUMMYFUNCTION("""COMPUTED_VALUE"""),"Batch 2")</f>
        <v>Batch 2</v>
      </c>
      <c r="J1132" s="225">
        <f>IFERROR(__xludf.DUMMYFUNCTION("""COMPUTED_VALUE"""),2.0)</f>
        <v>2</v>
      </c>
      <c r="K1132" s="224">
        <f>IFERROR(__xludf.DUMMYFUNCTION("""COMPUTED_VALUE"""),16.0)</f>
        <v>16</v>
      </c>
      <c r="L1132" s="226">
        <f>IFERROR(__xludf.DUMMYFUNCTION("""COMPUTED_VALUE"""),1307949.0)</f>
        <v>1307949</v>
      </c>
      <c r="M1132" s="227">
        <f>IFERROR(__xludf.DUMMYFUNCTION("""COMPUTED_VALUE"""),2.0927169E7)</f>
        <v>20927169</v>
      </c>
      <c r="N1132" s="222" t="str">
        <f>IFERROR(__xludf.DUMMYFUNCTION("""COMPUTED_VALUE"""),"PT TRIPOLA PANATA")</f>
        <v>PT TRIPOLA PANATA</v>
      </c>
      <c r="O1132" s="222" t="str">
        <f>IFERROR(__xludf.DUMMYFUNCTION("""COMPUTED_VALUE"""),"0. DROP")</f>
        <v>0. DROP</v>
      </c>
      <c r="P1132" s="222" t="str">
        <f>IFERROR(__xludf.DUMMYFUNCTION("""COMPUTED_VALUE"""),"0.4 CPP Tinggi Acc ED TIF")</f>
        <v>0.4 CPP Tinggi Acc ED TIF</v>
      </c>
      <c r="Q1132" s="222" t="str">
        <f>IFERROR(__xludf.DUMMYFUNCTION("""COMPUTED_VALUE"""),"14/11 Feeder redeti
16/10 Feeder Redaman Tinggi
15/09 proses aanwijzing")</f>
        <v>14/11 Feeder redeti
16/10 Feeder Redaman Tinggi
15/09 proses aanwijzing</v>
      </c>
      <c r="R1132" s="228"/>
      <c r="S1132" s="11"/>
      <c r="T1132" s="11"/>
      <c r="U1132" s="11"/>
      <c r="V1132" s="229"/>
      <c r="W1132" s="229"/>
      <c r="X1132" s="229" t="str">
        <f>IFERROR(__xludf.DUMMYFUNCTION("""COMPUTED_VALUE"""),"BELUM GOLIVE")</f>
        <v>BELUM GOLIVE</v>
      </c>
      <c r="Y1132" s="229"/>
      <c r="Z1132" s="229" t="str">
        <f>IFERROR(__xludf.DUMMYFUNCTION("""COMPUTED_VALUE"""),"#N/A")</f>
        <v>#N/A</v>
      </c>
      <c r="AA1132" s="229"/>
      <c r="AB1132" s="229"/>
      <c r="AC1132" s="229"/>
      <c r="AD1132" s="232"/>
      <c r="AE1132" s="233"/>
      <c r="AF1132" s="54" t="str">
        <f>IFERROR(__xludf.DUMMYFUNCTION("""COMPUTED_VALUE"""),"Draft BA DROP")</f>
        <v>Draft BA DROP</v>
      </c>
      <c r="AG1132" s="54"/>
      <c r="AH1132" s="54"/>
      <c r="AI1132" s="55" t="str">
        <f t="shared" si="122"/>
        <v/>
      </c>
      <c r="AW1132" s="234"/>
      <c r="BP1132" s="11"/>
      <c r="BQ1132" s="11"/>
      <c r="BR1132" s="235"/>
      <c r="BV1132" s="158"/>
      <c r="BY1132" s="158"/>
      <c r="CB1132" s="158"/>
    </row>
    <row r="1133" ht="18.0" hidden="1" customHeight="1">
      <c r="A1133" s="222">
        <f>IFERROR(__xludf.DUMMYFUNCTION("""COMPUTED_VALUE"""),2026.0)</f>
        <v>2026</v>
      </c>
      <c r="B1133" s="221">
        <f>IFERROR(__xludf.DUMMYFUNCTION("""COMPUTED_VALUE"""),1.118934E7)</f>
        <v>11189340</v>
      </c>
      <c r="C1133" s="222" t="str">
        <f>IFERROR(__xludf.DUMMYFUNCTION("""COMPUTED_VALUE"""),"MDN PT3 P7I10 LBP-FL DESA PAGAR MERBAU")</f>
        <v>MDN PT3 P7I10 LBP-FL DESA PAGAR MERBAU</v>
      </c>
      <c r="D1133" s="222" t="str">
        <f>IFERROR(__xludf.DUMMYFUNCTION("""COMPUTED_VALUE"""),"REGIONAL I")</f>
        <v>REGIONAL I</v>
      </c>
      <c r="E1133" s="222" t="str">
        <f>IFERROR(__xludf.DUMMYFUNCTION("""COMPUTED_VALUE"""),"MEDAN")</f>
        <v>MEDAN</v>
      </c>
      <c r="F1133" s="222" t="str">
        <f>IFERROR(__xludf.DUMMYFUNCTION("""COMPUTED_VALUE"""),"LBP")</f>
        <v>LBP</v>
      </c>
      <c r="G1133" s="222" t="str">
        <f>IFERROR(__xludf.DUMMYFUNCTION("""COMPUTED_VALUE"""),"SUMBAGUT")</f>
        <v>SUMBAGUT</v>
      </c>
      <c r="H1133" s="222" t="str">
        <f>IFERROR(__xludf.DUMMYFUNCTION("""COMPUTED_VALUE"""),"MEDAN")</f>
        <v>MEDAN</v>
      </c>
      <c r="I1133" s="222" t="str">
        <f>IFERROR(__xludf.DUMMYFUNCTION("""COMPUTED_VALUE"""),"Batch 2")</f>
        <v>Batch 2</v>
      </c>
      <c r="J1133" s="225">
        <f>IFERROR(__xludf.DUMMYFUNCTION("""COMPUTED_VALUE"""),2.0)</f>
        <v>2</v>
      </c>
      <c r="K1133" s="224">
        <f>IFERROR(__xludf.DUMMYFUNCTION("""COMPUTED_VALUE"""),16.0)</f>
        <v>16</v>
      </c>
      <c r="L1133" s="226">
        <f>IFERROR(__xludf.DUMMYFUNCTION("""COMPUTED_VALUE"""),926192.0)</f>
        <v>926192</v>
      </c>
      <c r="M1133" s="227">
        <f>IFERROR(__xludf.DUMMYFUNCTION("""COMPUTED_VALUE"""),1.4819067E7)</f>
        <v>14819067</v>
      </c>
      <c r="N1133" s="222" t="str">
        <f>IFERROR(__xludf.DUMMYFUNCTION("""COMPUTED_VALUE"""),"PT TEKNOLOGI KARYA MANDIRI")</f>
        <v>PT TEKNOLOGI KARYA MANDIRI</v>
      </c>
      <c r="O1133" s="222" t="str">
        <f>IFERROR(__xludf.DUMMYFUNCTION("""COMPUTED_VALUE"""),"0. DROP")</f>
        <v>0. DROP</v>
      </c>
      <c r="P1133" s="222" t="str">
        <f>IFERROR(__xludf.DUMMYFUNCTION("""COMPUTED_VALUE"""),"0.2 Tidak Dapat Izin Warga/Kades/Lurah/Developer")</f>
        <v>0.2 Tidak Dapat Izin Warga/Kades/Lurah/Developer</v>
      </c>
      <c r="Q1133" s="222" t="str">
        <f>IFERROR(__xludf.DUMMYFUNCTION("""COMPUTED_VALUE"""),"04/04 tdk ada space tanam tiang tdk dapat izin warga
27/01 order mitra")</f>
        <v>04/04 tdk ada space tanam tiang tdk dapat izin warga
27/01 order mitra</v>
      </c>
      <c r="R1133" s="228"/>
      <c r="S1133" s="11"/>
      <c r="T1133" s="11"/>
      <c r="U1133" s="11"/>
      <c r="V1133" s="229"/>
      <c r="W1133" s="229"/>
      <c r="X1133" s="229" t="str">
        <f>IFERROR(__xludf.DUMMYFUNCTION("""COMPUTED_VALUE"""),"BELUM GOLIVE")</f>
        <v>BELUM GOLIVE</v>
      </c>
      <c r="Y1133" s="229"/>
      <c r="Z1133" s="229" t="str">
        <f>IFERROR(__xludf.DUMMYFUNCTION("""COMPUTED_VALUE"""),"#N/A")</f>
        <v>#N/A</v>
      </c>
      <c r="AA1133" s="229"/>
      <c r="AB1133" s="229"/>
      <c r="AC1133" s="229"/>
      <c r="AD1133" s="232"/>
      <c r="AE1133" s="233"/>
      <c r="AF1133" s="54"/>
      <c r="AG1133" s="54"/>
      <c r="AH1133" s="54"/>
      <c r="AI1133" s="55" t="str">
        <f t="shared" si="122"/>
        <v/>
      </c>
      <c r="AW1133" s="234"/>
      <c r="BP1133" s="11"/>
      <c r="BQ1133" s="11"/>
      <c r="BR1133" s="235"/>
      <c r="BV1133" s="158"/>
      <c r="BY1133" s="158"/>
      <c r="CB1133" s="158"/>
    </row>
    <row r="1134" ht="18.0" customHeight="1">
      <c r="A1134" s="222">
        <f>IFERROR(__xludf.DUMMYFUNCTION("""COMPUTED_VALUE"""),2026.0)</f>
        <v>2026</v>
      </c>
      <c r="B1134" s="221">
        <f>IFERROR(__xludf.DUMMYFUNCTION("""COMPUTED_VALUE"""),1.134625E7)</f>
        <v>11346250</v>
      </c>
      <c r="C1134" s="222" t="str">
        <f>IFERROR(__xludf.DUMMYFUNCTION("""COMPUTED_VALUE"""),"SMB P2I2 Kampung Tangah Lubuk Basung")</f>
        <v>SMB P2I2 Kampung Tangah Lubuk Basung</v>
      </c>
      <c r="D1134" s="222" t="str">
        <f>IFERROR(__xludf.DUMMYFUNCTION("""COMPUTED_VALUE"""),"REGIONAL I")</f>
        <v>REGIONAL I</v>
      </c>
      <c r="E1134" s="222" t="str">
        <f>IFERROR(__xludf.DUMMYFUNCTION("""COMPUTED_VALUE"""),"SUMBAR")</f>
        <v>SUMBAR</v>
      </c>
      <c r="F1134" s="222" t="str">
        <f>IFERROR(__xludf.DUMMYFUNCTION("""COMPUTED_VALUE"""),"LBB")</f>
        <v>LBB</v>
      </c>
      <c r="G1134" s="222" t="str">
        <f>IFERROR(__xludf.DUMMYFUNCTION("""COMPUTED_VALUE"""),"SUMBAGTENG")</f>
        <v>SUMBAGTENG</v>
      </c>
      <c r="H1134" s="222" t="str">
        <f>IFERROR(__xludf.DUMMYFUNCTION("""COMPUTED_VALUE"""),"BUKIT TINGGI")</f>
        <v>BUKIT TINGGI</v>
      </c>
      <c r="I1134" s="222" t="str">
        <f>IFERROR(__xludf.DUMMYFUNCTION("""COMPUTED_VALUE"""),"Batch 2")</f>
        <v>Batch 2</v>
      </c>
      <c r="J1134" s="225">
        <f>IFERROR(__xludf.DUMMYFUNCTION("""COMPUTED_VALUE"""),5.0)</f>
        <v>5</v>
      </c>
      <c r="K1134" s="224">
        <f>IFERROR(__xludf.DUMMYFUNCTION("""COMPUTED_VALUE"""),40.0)</f>
        <v>40</v>
      </c>
      <c r="L1134" s="226">
        <f>IFERROR(__xludf.DUMMYFUNCTION("""COMPUTED_VALUE"""),877035.0)</f>
        <v>877035</v>
      </c>
      <c r="M1134" s="227">
        <f>IFERROR(__xludf.DUMMYFUNCTION("""COMPUTED_VALUE"""),3.5081389E7)</f>
        <v>35081389</v>
      </c>
      <c r="N1134" s="222" t="str">
        <f>IFERROR(__xludf.DUMMYFUNCTION("""COMPUTED_VALUE"""),"PT TIGA AKSES MANDIRI")</f>
        <v>PT TIGA AKSES MANDIRI</v>
      </c>
      <c r="O1134" s="222" t="str">
        <f>IFERROR(__xludf.DUMMYFUNCTION("""COMPUTED_VALUE"""),"8. UJI TERIMA")</f>
        <v>8. UJI TERIMA</v>
      </c>
      <c r="P1134" s="222" t="str">
        <f>IFERROR(__xludf.DUMMYFUNCTION("""COMPUTED_VALUE"""),"8.1 Proses UT")</f>
        <v>8.1 Proses UT</v>
      </c>
      <c r="Q1134" s="222" t="str">
        <f>IFERROR(__xludf.DUMMYFUNCTION("""COMPUTED_VALUE"""),"(08/01)CPP tinggi 1,7 butuh tambah 2 ODP ,done survey, proses eval  ,proses aanwijziing (07/01) Persiapan")</f>
        <v>(08/01)CPP tinggi 1,7 butuh tambah 2 ODP ,done survey, proses eval  ,proses aanwijziing (07/01) Persiapan</v>
      </c>
      <c r="R1134" s="228"/>
      <c r="S1134" s="11"/>
      <c r="T1134" s="11"/>
      <c r="U1134" s="11" t="str">
        <f>IFERROR(__xludf.DUMMYFUNCTION("""COMPUTED_VALUE"""),"W10-1803/2025 25KT03R158-0568")</f>
        <v>W10-1803/2025 25KT03R158-0568</v>
      </c>
      <c r="V1134" s="229" t="str">
        <f>IFERROR(__xludf.DUMMYFUNCTION("""COMPUTED_VALUE"""),"JANUAR RIZAL")</f>
        <v>JANUAR RIZAL</v>
      </c>
      <c r="W1134" s="229" t="str">
        <f>IFERROR(__xludf.DUMMYFUNCTION("""COMPUTED_VALUE"""),"MELKO NARWADI")</f>
        <v>MELKO NARWADI</v>
      </c>
      <c r="X1134" s="229" t="str">
        <f>IFERROR(__xludf.DUMMYFUNCTION("""COMPUTED_VALUE"""),"GOLIVE")</f>
        <v>GOLIVE</v>
      </c>
      <c r="Y1134" s="229" t="str">
        <f>IFERROR(__xludf.DUMMYFUNCTION("""COMPUTED_VALUE"""),"DONE")</f>
        <v>DONE</v>
      </c>
      <c r="Z1134" s="229" t="str">
        <f>IFERROR(__xludf.DUMMYFUNCTION("""COMPUTED_VALUE"""),"#N/A")</f>
        <v>#N/A</v>
      </c>
      <c r="AA1134" s="229">
        <f>IFERROR(__xludf.DUMMYFUNCTION("""COMPUTED_VALUE"""),5.0)</f>
        <v>5</v>
      </c>
      <c r="AB1134" s="229"/>
      <c r="AC1134" s="229" t="str">
        <f>IFERROR(__xludf.DUMMYFUNCTION("""COMPUTED_VALUE"""),"8940527#8940532")</f>
        <v>8940527#8940532</v>
      </c>
      <c r="AD1134" s="232">
        <f>IFERROR(__xludf.DUMMYFUNCTION("""COMPUTED_VALUE"""),40.0)</f>
        <v>40</v>
      </c>
      <c r="AE1134" s="233">
        <f>IFERROR(__xludf.DUMMYFUNCTION("""COMPUTED_VALUE"""),46031.0)</f>
        <v>46031</v>
      </c>
      <c r="AF1134" s="54"/>
      <c r="AG1134" s="54"/>
      <c r="AH1134" s="54">
        <v>46123.0</v>
      </c>
      <c r="AI1134" s="55" t="str">
        <f t="shared" si="122"/>
        <v/>
      </c>
      <c r="AJ1134" s="229" t="str">
        <f t="shared" ref="AJ1134:AJ1135" si="123">if(AI1134&gt;=0,"Gl in Komitmen","Gl out komitmen")</f>
        <v>Gl in Komitmen</v>
      </c>
      <c r="AW1134" s="234"/>
      <c r="BP1134" s="11"/>
      <c r="BQ1134" s="11"/>
      <c r="BR1134" s="235"/>
      <c r="BV1134" s="158"/>
      <c r="BY1134" s="158"/>
      <c r="CB1134" s="158"/>
    </row>
    <row r="1135" ht="18.0" customHeight="1">
      <c r="A1135" s="222">
        <f>IFERROR(__xludf.DUMMYFUNCTION("""COMPUTED_VALUE"""),2026.0)</f>
        <v>2026</v>
      </c>
      <c r="B1135" s="221">
        <f>IFERROR(__xludf.DUMMYFUNCTION("""COMPUTED_VALUE"""),1.0261438E7)</f>
        <v>10261438</v>
      </c>
      <c r="C1135" s="222" t="str">
        <f>IFERROR(__xludf.DUMMYFUNCTION("""COMPUTED_VALUE"""),"SMB P7I1 DEKAT LAPANGAN SEDASI")</f>
        <v>SMB P7I1 DEKAT LAPANGAN SEDASI</v>
      </c>
      <c r="D1135" s="222" t="str">
        <f>IFERROR(__xludf.DUMMYFUNCTION("""COMPUTED_VALUE"""),"REGIONAL I")</f>
        <v>REGIONAL I</v>
      </c>
      <c r="E1135" s="222" t="str">
        <f>IFERROR(__xludf.DUMMYFUNCTION("""COMPUTED_VALUE"""),"SUMBAR")</f>
        <v>SUMBAR</v>
      </c>
      <c r="F1135" s="222" t="str">
        <f>IFERROR(__xludf.DUMMYFUNCTION("""COMPUTED_VALUE"""),"SGD")</f>
        <v>SGD</v>
      </c>
      <c r="G1135" s="222" t="str">
        <f>IFERROR(__xludf.DUMMYFUNCTION("""COMPUTED_VALUE"""),"SUMBAGTENG")</f>
        <v>SUMBAGTENG</v>
      </c>
      <c r="H1135" s="222" t="str">
        <f>IFERROR(__xludf.DUMMYFUNCTION("""COMPUTED_VALUE"""),"PADANG")</f>
        <v>PADANG</v>
      </c>
      <c r="I1135" s="222" t="str">
        <f>IFERROR(__xludf.DUMMYFUNCTION("""COMPUTED_VALUE"""),"Batch 2")</f>
        <v>Batch 2</v>
      </c>
      <c r="J1135" s="225">
        <f>IFERROR(__xludf.DUMMYFUNCTION("""COMPUTED_VALUE"""),2.0)</f>
        <v>2</v>
      </c>
      <c r="K1135" s="224">
        <f>IFERROR(__xludf.DUMMYFUNCTION("""COMPUTED_VALUE"""),16.0)</f>
        <v>16</v>
      </c>
      <c r="L1135" s="226">
        <f>IFERROR(__xludf.DUMMYFUNCTION("""COMPUTED_VALUE"""),876901.0)</f>
        <v>876901</v>
      </c>
      <c r="M1135" s="227">
        <f>IFERROR(__xludf.DUMMYFUNCTION("""COMPUTED_VALUE"""),1.4030412E7)</f>
        <v>14030412</v>
      </c>
      <c r="N1135" s="222" t="str">
        <f>IFERROR(__xludf.DUMMYFUNCTION("""COMPUTED_VALUE"""),"PT TIGA AKSES MANDIRI")</f>
        <v>PT TIGA AKSES MANDIRI</v>
      </c>
      <c r="O1135" s="222" t="str">
        <f>IFERROR(__xludf.DUMMYFUNCTION("""COMPUTED_VALUE"""),"7. GOLIVE")</f>
        <v>7. GOLIVE</v>
      </c>
      <c r="P1135" s="222" t="str">
        <f>IFERROR(__xludf.DUMMYFUNCTION("""COMPUTED_VALUE"""),"7.2 Golive Full / OA / DONE OTB")</f>
        <v>7.2 Golive Full / OA / DONE OTB</v>
      </c>
      <c r="Q1135" s="222" t="str">
        <f>IFERROR(__xludf.DUMMYFUNCTION("""COMPUTED_VALUE"""),"(06/04) penarikan kabel (02/04) penarikan kabel (30/03) Progres tanam tiang (16/03) proses matdel KE SITE (05/03) proses create PID  3/3 Meeting ED1 - TAREGION - TA AREA ACC CPP Tinggi LANJUT (04/02) CPP 1,3, Butuh tambah 1 ODP dan kenaikan lebih dari 10%"&amp;" (27/01) PCPP tinggi 1,7 butuh tambah 2 ODP ")</f>
        <v>(06/04) penarikan kabel (02/04) penarikan kabel (30/03) Progres tanam tiang (16/03) proses matdel KE SITE (05/03) proses create PID  3/3 Meeting ED1 - TAREGION - TA AREA ACC CPP Tinggi LANJUT (04/02) CPP 1,3, Butuh tambah 1 ODP dan kenaikan lebih dari 10% (27/01) PCPP tinggi 1,7 butuh tambah 2 ODP </v>
      </c>
      <c r="R1135" s="228">
        <f>IFERROR(__xludf.DUMMYFUNCTION("""COMPUTED_VALUE"""),46123.0)</f>
        <v>46123</v>
      </c>
      <c r="S1135" s="11" t="str">
        <f>IFERROR(__xludf.DUMMYFUNCTION("""COMPUTED_VALUE"""),"MAR")</f>
        <v>MAR</v>
      </c>
      <c r="T1135" s="73"/>
      <c r="U1135" s="11" t="str">
        <f>IFERROR(__xludf.DUMMYFUNCTION("""COMPUTED_VALUE"""),"TIF-5468/2026  26KT03R158-0066")</f>
        <v>TIF-5468/2026  26KT03R158-0066</v>
      </c>
      <c r="V1135" s="229" t="str">
        <f>IFERROR(__xludf.DUMMYFUNCTION("""COMPUTED_VALUE"""),"YULIO NOVIKO")</f>
        <v>YULIO NOVIKO</v>
      </c>
      <c r="W1135" s="229" t="str">
        <f>IFERROR(__xludf.DUMMYFUNCTION("""COMPUTED_VALUE"""),"MELKO NARWADI")</f>
        <v>MELKO NARWADI</v>
      </c>
      <c r="X1135" s="229" t="str">
        <f>IFERROR(__xludf.DUMMYFUNCTION("""COMPUTED_VALUE"""),"GOLIVE")</f>
        <v>GOLIVE</v>
      </c>
      <c r="Y1135" s="229" t="str">
        <f>IFERROR(__xludf.DUMMYFUNCTION("""COMPUTED_VALUE"""),"DONE")</f>
        <v>DONE</v>
      </c>
      <c r="Z1135" s="229" t="str">
        <f>IFERROR(__xludf.DUMMYFUNCTION("""COMPUTED_VALUE"""),"#N/A")</f>
        <v>#N/A</v>
      </c>
      <c r="AA1135" s="229">
        <f>IFERROR(__xludf.DUMMYFUNCTION("""COMPUTED_VALUE"""),7.0)</f>
        <v>7</v>
      </c>
      <c r="AB1135" s="229"/>
      <c r="AC1135" s="229" t="str">
        <f>IFERROR(__xludf.DUMMYFUNCTION("""COMPUTED_VALUE"""),"9263395#9263400")</f>
        <v>9263395#9263400</v>
      </c>
      <c r="AD1135" s="232">
        <f>IFERROR(__xludf.DUMMYFUNCTION("""COMPUTED_VALUE"""),56.0)</f>
        <v>56</v>
      </c>
      <c r="AE1135" s="233">
        <f>IFERROR(__xludf.DUMMYFUNCTION("""COMPUTED_VALUE"""),46123.0)</f>
        <v>46123</v>
      </c>
      <c r="AF1135" s="54"/>
      <c r="AG1135" s="54"/>
      <c r="AH1135" s="54">
        <v>46123.0</v>
      </c>
      <c r="AI1135" s="55">
        <f>IF(OR(AH1135="",AE1135=""),"",AH1135-AE1135)</f>
        <v>0</v>
      </c>
      <c r="AJ1135" s="229" t="str">
        <f t="shared" si="123"/>
        <v>Gl in Komitmen</v>
      </c>
      <c r="AK1135" s="231" t="s">
        <v>199</v>
      </c>
      <c r="AW1135" s="234"/>
      <c r="BP1135" s="11"/>
      <c r="BQ1135" s="11"/>
      <c r="BR1135" s="235"/>
      <c r="BV1135" s="158"/>
      <c r="BY1135" s="158"/>
      <c r="CB1135" s="158"/>
    </row>
    <row r="1136" ht="18.0" hidden="1" customHeight="1">
      <c r="A1136" s="222">
        <f>IFERROR(__xludf.DUMMYFUNCTION("""COMPUTED_VALUE"""),2026.0)</f>
        <v>2026</v>
      </c>
      <c r="B1136" s="221">
        <f>IFERROR(__xludf.DUMMYFUNCTION("""COMPUTED_VALUE"""),1.2384987E7)</f>
        <v>12384987</v>
      </c>
      <c r="C1136" s="222" t="str">
        <f>IFERROR(__xludf.DUMMYFUNCTION("""COMPUTED_VALUE"""),"LPG PT3 JPP MD KOTA BDL_56807 KDT")</f>
        <v>LPG PT3 JPP MD KOTA BDL_56807 KDT</v>
      </c>
      <c r="D1136" s="222" t="str">
        <f>IFERROR(__xludf.DUMMYFUNCTION("""COMPUTED_VALUE"""),"REGIONAL I")</f>
        <v>REGIONAL I</v>
      </c>
      <c r="E1136" s="222" t="str">
        <f>IFERROR(__xludf.DUMMYFUNCTION("""COMPUTED_VALUE"""),"LAMPUNG")</f>
        <v>LAMPUNG</v>
      </c>
      <c r="F1136" s="222" t="str">
        <f>IFERROR(__xludf.DUMMYFUNCTION("""COMPUTED_VALUE"""),"KDT")</f>
        <v>KDT</v>
      </c>
      <c r="G1136" s="222" t="str">
        <f>IFERROR(__xludf.DUMMYFUNCTION("""COMPUTED_VALUE"""),"SUMBAGSEL")</f>
        <v>SUMBAGSEL</v>
      </c>
      <c r="H1136" s="222" t="str">
        <f>IFERROR(__xludf.DUMMYFUNCTION("""COMPUTED_VALUE"""),"LAMPUNG")</f>
        <v>LAMPUNG</v>
      </c>
      <c r="I1136" s="222" t="str">
        <f>IFERROR(__xludf.DUMMYFUNCTION("""COMPUTED_VALUE"""),"Batch 2")</f>
        <v>Batch 2</v>
      </c>
      <c r="J1136" s="225">
        <f>IFERROR(__xludf.DUMMYFUNCTION("""COMPUTED_VALUE"""),5.0)</f>
        <v>5</v>
      </c>
      <c r="K1136" s="224">
        <f>IFERROR(__xludf.DUMMYFUNCTION("""COMPUTED_VALUE"""),40.0)</f>
        <v>40</v>
      </c>
      <c r="L1136" s="226">
        <f>IFERROR(__xludf.DUMMYFUNCTION("""COMPUTED_VALUE"""),874422.0)</f>
        <v>874422</v>
      </c>
      <c r="M1136" s="227">
        <f>IFERROR(__xludf.DUMMYFUNCTION("""COMPUTED_VALUE"""),3.4976847E7)</f>
        <v>34976847</v>
      </c>
      <c r="N1136" s="222" t="str">
        <f>IFERROR(__xludf.DUMMYFUNCTION("""COMPUTED_VALUE"""),"PT BANGTELINDO")</f>
        <v>PT BANGTELINDO</v>
      </c>
      <c r="O1136" s="222" t="str">
        <f>IFERROR(__xludf.DUMMYFUNCTION("""COMPUTED_VALUE"""),"0. DROP")</f>
        <v>0. DROP</v>
      </c>
      <c r="P1136" s="222" t="str">
        <f>IFERROR(__xludf.DUMMYFUNCTION("""COMPUTED_VALUE"""),"0.2 Tidak Dapat Izin Warga/Kades/Lurah/Developer")</f>
        <v>0.2 Tidak Dapat Izin Warga/Kades/Lurah/Developer</v>
      </c>
      <c r="Q1136" s="222" t="str">
        <f>IFERROR(__xludf.DUMMYFUNCTION("""COMPUTED_VALUE"""),"15/1 lurah minta surat perkim,diskominfo dan tata kota")</f>
        <v>15/1 lurah minta surat perkim,diskominfo dan tata kota</v>
      </c>
      <c r="R1136" s="228"/>
      <c r="S1136" s="11"/>
      <c r="T1136" s="11"/>
      <c r="U1136" s="11"/>
      <c r="V1136" s="229"/>
      <c r="W1136" s="229"/>
      <c r="X1136" s="229" t="str">
        <f>IFERROR(__xludf.DUMMYFUNCTION("""COMPUTED_VALUE"""),"BELUM GOLIVE")</f>
        <v>BELUM GOLIVE</v>
      </c>
      <c r="Y1136" s="229"/>
      <c r="Z1136" s="229" t="str">
        <f>IFERROR(__xludf.DUMMYFUNCTION("""COMPUTED_VALUE"""),"#N/A")</f>
        <v>#N/A</v>
      </c>
      <c r="AA1136" s="229"/>
      <c r="AB1136" s="229"/>
      <c r="AC1136" s="229"/>
      <c r="AD1136" s="232"/>
      <c r="AE1136" s="233"/>
      <c r="AF1136" s="54" t="str">
        <f>IFERROR(__xludf.DUMMYFUNCTION("""COMPUTED_VALUE"""),"Draft BA DROP")</f>
        <v>Draft BA DROP</v>
      </c>
      <c r="AG1136" s="54"/>
      <c r="AH1136" s="54"/>
      <c r="AI1136" s="55" t="str">
        <f t="shared" ref="AI1136:AI1142" si="124">IF(OR(R1136="",AE1136=""),"",R1136-AE1136)</f>
        <v/>
      </c>
      <c r="AW1136" s="234"/>
      <c r="BP1136" s="11"/>
      <c r="BQ1136" s="11"/>
      <c r="BR1136" s="235"/>
      <c r="BV1136" s="158"/>
      <c r="BY1136" s="158"/>
      <c r="CB1136" s="158"/>
    </row>
    <row r="1137" ht="18.0" customHeight="1">
      <c r="A1137" s="222">
        <f>IFERROR(__xludf.DUMMYFUNCTION("""COMPUTED_VALUE"""),2026.0)</f>
        <v>2026</v>
      </c>
      <c r="B1137" s="221">
        <f>IFERROR(__xludf.DUMMYFUNCTION("""COMPUTED_VALUE"""),1.1252147E7)</f>
        <v>11252147</v>
      </c>
      <c r="C1137" s="222" t="str">
        <f>IFERROR(__xludf.DUMMYFUNCTION("""COMPUTED_VALUE"""),"RDR JPP PT3 ARK FA")</f>
        <v>RDR JPP PT3 ARK FA</v>
      </c>
      <c r="D1137" s="222" t="str">
        <f>IFERROR(__xludf.DUMMYFUNCTION("""COMPUTED_VALUE"""),"REGIONAL I")</f>
        <v>REGIONAL I</v>
      </c>
      <c r="E1137" s="222" t="str">
        <f>IFERROR(__xludf.DUMMYFUNCTION("""COMPUTED_VALUE"""),"RIDAR")</f>
        <v>RIDAR</v>
      </c>
      <c r="F1137" s="222" t="str">
        <f>IFERROR(__xludf.DUMMYFUNCTION("""COMPUTED_VALUE"""),"ARK")</f>
        <v>ARK</v>
      </c>
      <c r="G1137" s="222" t="str">
        <f>IFERROR(__xludf.DUMMYFUNCTION("""COMPUTED_VALUE"""),"SUMBAGTENG")</f>
        <v>SUMBAGTENG</v>
      </c>
      <c r="H1137" s="222" t="str">
        <f>IFERROR(__xludf.DUMMYFUNCTION("""COMPUTED_VALUE"""),"PEKANBARU")</f>
        <v>PEKANBARU</v>
      </c>
      <c r="I1137" s="222" t="str">
        <f>IFERROR(__xludf.DUMMYFUNCTION("""COMPUTED_VALUE"""),"Batch 2")</f>
        <v>Batch 2</v>
      </c>
      <c r="J1137" s="225">
        <f>IFERROR(__xludf.DUMMYFUNCTION("""COMPUTED_VALUE"""),12.0)</f>
        <v>12</v>
      </c>
      <c r="K1137" s="224">
        <f>IFERROR(__xludf.DUMMYFUNCTION("""COMPUTED_VALUE"""),96.0)</f>
        <v>96</v>
      </c>
      <c r="L1137" s="226">
        <f>IFERROR(__xludf.DUMMYFUNCTION("""COMPUTED_VALUE"""),874419.0)</f>
        <v>874419</v>
      </c>
      <c r="M1137" s="227">
        <f>IFERROR(__xludf.DUMMYFUNCTION("""COMPUTED_VALUE"""),8.394418E7)</f>
        <v>83944180</v>
      </c>
      <c r="N1137" s="222" t="str">
        <f>IFERROR(__xludf.DUMMYFUNCTION("""COMPUTED_VALUE"""),"PT UPAYA TEKNIK")</f>
        <v>PT UPAYA TEKNIK</v>
      </c>
      <c r="O1137" s="222" t="str">
        <f>IFERROR(__xludf.DUMMYFUNCTION("""COMPUTED_VALUE"""),"2. DONE AANWIJZING")</f>
        <v>2. DONE AANWIJZING</v>
      </c>
      <c r="P1137" s="222" t="str">
        <f>IFERROR(__xludf.DUMMYFUNCTION("""COMPUTED_VALUE"""),"2.10 Kendala - Feeder Rusak")</f>
        <v>2.10 Kendala - Feeder Rusak</v>
      </c>
      <c r="Q1137" s="222" t="str">
        <f>IFERROR(__xludf.DUMMYFUNCTION("""COMPUTED_VALUE"""),"20/04 Pengambilan ulang hasil ukur OTDR 13/04 Pengambilan ulang OTDR utk kebutuhan QE 20/01 Feeder Rusak ARK FA  (07/01) Persiapan")</f>
        <v>20/04 Pengambilan ulang hasil ukur OTDR 13/04 Pengambilan ulang OTDR utk kebutuhan QE 20/01 Feeder Rusak ARK FA  (07/01) Persiapan</v>
      </c>
      <c r="R1137" s="228"/>
      <c r="S1137" s="11"/>
      <c r="T1137" s="11"/>
      <c r="U1137" s="11"/>
      <c r="V1137" s="229"/>
      <c r="W1137" s="229"/>
      <c r="X1137" s="229" t="str">
        <f>IFERROR(__xludf.DUMMYFUNCTION("""COMPUTED_VALUE"""),"BELUM GOLIVE")</f>
        <v>BELUM GOLIVE</v>
      </c>
      <c r="Y1137" s="229"/>
      <c r="Z1137" s="229" t="str">
        <f>IFERROR(__xludf.DUMMYFUNCTION("""COMPUTED_VALUE"""),"#N/A")</f>
        <v>#N/A</v>
      </c>
      <c r="AA1137" s="229"/>
      <c r="AB1137" s="229"/>
      <c r="AC1137" s="229"/>
      <c r="AD1137" s="232"/>
      <c r="AE1137" s="233"/>
      <c r="AF1137" s="54"/>
      <c r="AG1137" s="54"/>
      <c r="AH1137" s="54"/>
      <c r="AI1137" s="55" t="str">
        <f t="shared" si="124"/>
        <v/>
      </c>
      <c r="AW1137" s="234"/>
      <c r="BP1137" s="11"/>
      <c r="BQ1137" s="11"/>
      <c r="BR1137" s="235"/>
      <c r="BV1137" s="158"/>
      <c r="BY1137" s="158"/>
      <c r="CB1137" s="158"/>
    </row>
    <row r="1138" ht="18.0" hidden="1" customHeight="1">
      <c r="A1138" s="222">
        <f>IFERROR(__xludf.DUMMYFUNCTION("""COMPUTED_VALUE"""),2026.0)</f>
        <v>2026</v>
      </c>
      <c r="B1138" s="221">
        <f>IFERROR(__xludf.DUMMYFUNCTION("""COMPUTED_VALUE"""),1.127242E7)</f>
        <v>11272420</v>
      </c>
      <c r="C1138" s="222" t="str">
        <f>IFERROR(__xludf.DUMMYFUNCTION("""COMPUTED_VALUE"""),"MDN PT3 P1I1 BLW-FAH PUSARA BELAWAN")</f>
        <v>MDN PT3 P1I1 BLW-FAH PUSARA BELAWAN</v>
      </c>
      <c r="D1138" s="222" t="str">
        <f>IFERROR(__xludf.DUMMYFUNCTION("""COMPUTED_VALUE"""),"REGIONAL I")</f>
        <v>REGIONAL I</v>
      </c>
      <c r="E1138" s="222" t="str">
        <f>IFERROR(__xludf.DUMMYFUNCTION("""COMPUTED_VALUE"""),"MEDAN")</f>
        <v>MEDAN</v>
      </c>
      <c r="F1138" s="222" t="str">
        <f>IFERROR(__xludf.DUMMYFUNCTION("""COMPUTED_VALUE"""),"BLW")</f>
        <v>BLW</v>
      </c>
      <c r="G1138" s="222" t="str">
        <f>IFERROR(__xludf.DUMMYFUNCTION("""COMPUTED_VALUE"""),"SUMBAGUT")</f>
        <v>SUMBAGUT</v>
      </c>
      <c r="H1138" s="222" t="str">
        <f>IFERROR(__xludf.DUMMYFUNCTION("""COMPUTED_VALUE"""),"MEDAN")</f>
        <v>MEDAN</v>
      </c>
      <c r="I1138" s="222" t="str">
        <f>IFERROR(__xludf.DUMMYFUNCTION("""COMPUTED_VALUE"""),"Batch 2")</f>
        <v>Batch 2</v>
      </c>
      <c r="J1138" s="225">
        <f>IFERROR(__xludf.DUMMYFUNCTION("""COMPUTED_VALUE"""),6.0)</f>
        <v>6</v>
      </c>
      <c r="K1138" s="224">
        <f>IFERROR(__xludf.DUMMYFUNCTION("""COMPUTED_VALUE"""),48.0)</f>
        <v>48</v>
      </c>
      <c r="L1138" s="226">
        <f>IFERROR(__xludf.DUMMYFUNCTION("""COMPUTED_VALUE"""),1333919.0)</f>
        <v>1333919</v>
      </c>
      <c r="M1138" s="227">
        <f>IFERROR(__xludf.DUMMYFUNCTION("""COMPUTED_VALUE"""),6.4028098E7)</f>
        <v>64028098</v>
      </c>
      <c r="N1138" s="222" t="str">
        <f>IFERROR(__xludf.DUMMYFUNCTION("""COMPUTED_VALUE"""),"PT GLOBAL KARYA WANDA")</f>
        <v>PT GLOBAL KARYA WANDA</v>
      </c>
      <c r="O1138" s="222" t="str">
        <f>IFERROR(__xludf.DUMMYFUNCTION("""COMPUTED_VALUE"""),"0. DROP")</f>
        <v>0. DROP</v>
      </c>
      <c r="P1138" s="222" t="str">
        <f>IFERROR(__xludf.DUMMYFUNCTION("""COMPUTED_VALUE"""),"0.4 CPP Tinggi Acc ED TIF")</f>
        <v>0.4 CPP Tinggi Acc ED TIF</v>
      </c>
      <c r="Q1138" s="222" t="str">
        <f>IFERROR(__xludf.DUMMYFUNCTION("""COMPUTED_VALUE"""),"24/02 feeder redti")</f>
        <v>24/02 feeder redti</v>
      </c>
      <c r="R1138" s="228"/>
      <c r="S1138" s="11"/>
      <c r="T1138" s="11"/>
      <c r="U1138" s="11"/>
      <c r="V1138" s="229"/>
      <c r="W1138" s="229"/>
      <c r="X1138" s="229" t="str">
        <f>IFERROR(__xludf.DUMMYFUNCTION("""COMPUTED_VALUE"""),"BELUM GOLIVE")</f>
        <v>BELUM GOLIVE</v>
      </c>
      <c r="Y1138" s="229"/>
      <c r="Z1138" s="229" t="str">
        <f>IFERROR(__xludf.DUMMYFUNCTION("""COMPUTED_VALUE"""),"#N/A")</f>
        <v>#N/A</v>
      </c>
      <c r="AA1138" s="229"/>
      <c r="AB1138" s="229"/>
      <c r="AC1138" s="229"/>
      <c r="AD1138" s="232"/>
      <c r="AE1138" s="233"/>
      <c r="AF1138" s="54" t="str">
        <f>IFERROR(__xludf.DUMMYFUNCTION("""COMPUTED_VALUE"""),"Draft BA DROP")</f>
        <v>Draft BA DROP</v>
      </c>
      <c r="AG1138" s="54"/>
      <c r="AH1138" s="54"/>
      <c r="AI1138" s="55" t="str">
        <f t="shared" si="124"/>
        <v/>
      </c>
      <c r="AW1138" s="234"/>
      <c r="BP1138" s="11"/>
      <c r="BQ1138" s="11"/>
      <c r="BR1138" s="235"/>
      <c r="BV1138" s="158"/>
      <c r="BY1138" s="158"/>
      <c r="CB1138" s="158"/>
    </row>
    <row r="1139" ht="18.0" customHeight="1">
      <c r="A1139" s="222">
        <f>IFERROR(__xludf.DUMMYFUNCTION("""COMPUTED_VALUE"""),2026.0)</f>
        <v>2026</v>
      </c>
      <c r="B1139" s="221">
        <f>IFERROR(__xludf.DUMMYFUNCTION("""COMPUTED_VALUE"""),1.1237087E7)</f>
        <v>11237087</v>
      </c>
      <c r="C1139" s="222" t="str">
        <f>IFERROR(__xludf.DUMMYFUNCTION("""COMPUTED_VALUE"""),"RKP PT3 TSEL NGS-FG KP. MANGGA NGS")</f>
        <v>RKP PT3 TSEL NGS-FG KP. MANGGA NGS</v>
      </c>
      <c r="D1139" s="222" t="str">
        <f>IFERROR(__xludf.DUMMYFUNCTION("""COMPUTED_VALUE"""),"REGIONAL I")</f>
        <v>REGIONAL I</v>
      </c>
      <c r="E1139" s="222" t="str">
        <f>IFERROR(__xludf.DUMMYFUNCTION("""COMPUTED_VALUE"""),"RIKEP")</f>
        <v>RIKEP</v>
      </c>
      <c r="F1139" s="222" t="str">
        <f>IFERROR(__xludf.DUMMYFUNCTION("""COMPUTED_VALUE"""),"NGS")</f>
        <v>NGS</v>
      </c>
      <c r="G1139" s="222" t="str">
        <f>IFERROR(__xludf.DUMMYFUNCTION("""COMPUTED_VALUE"""),"SUMBAGTENG")</f>
        <v>SUMBAGTENG</v>
      </c>
      <c r="H1139" s="222" t="str">
        <f>IFERROR(__xludf.DUMMYFUNCTION("""COMPUTED_VALUE"""),"BATAM")</f>
        <v>BATAM</v>
      </c>
      <c r="I1139" s="222" t="str">
        <f>IFERROR(__xludf.DUMMYFUNCTION("""COMPUTED_VALUE"""),"Batch 2")</f>
        <v>Batch 2</v>
      </c>
      <c r="J1139" s="225">
        <f>IFERROR(__xludf.DUMMYFUNCTION("""COMPUTED_VALUE"""),2.0)</f>
        <v>2</v>
      </c>
      <c r="K1139" s="224">
        <f>IFERROR(__xludf.DUMMYFUNCTION("""COMPUTED_VALUE"""),16.0)</f>
        <v>16</v>
      </c>
      <c r="L1139" s="226">
        <f>IFERROR(__xludf.DUMMYFUNCTION("""COMPUTED_VALUE"""),872773.0)</f>
        <v>872773</v>
      </c>
      <c r="M1139" s="227">
        <f>IFERROR(__xludf.DUMMYFUNCTION("""COMPUTED_VALUE"""),1.3964354E7)</f>
        <v>13964354</v>
      </c>
      <c r="N1139" s="222" t="str">
        <f>IFERROR(__xludf.DUMMYFUNCTION("""COMPUTED_VALUE"""),"PT MITRA AKSES INSANI")</f>
        <v>PT MITRA AKSES INSANI</v>
      </c>
      <c r="O1139" s="222" t="str">
        <f>IFERROR(__xludf.DUMMYFUNCTION("""COMPUTED_VALUE"""),"0. DROP")</f>
        <v>0. DROP</v>
      </c>
      <c r="P1139" s="222" t="str">
        <f>IFERROR(__xludf.DUMMYFUNCTION("""COMPUTED_VALUE"""),"0.2 Tidak Dapat Izin Warga/Kades/Lurah/Developer")</f>
        <v>0.2 Tidak Dapat Izin Warga/Kades/Lurah/Developer</v>
      </c>
      <c r="Q1139" s="222" t="str">
        <f>IFERROR(__xludf.DUMMYFUNCTION("""COMPUTED_VALUE"""),"03/03 LOP di lahan sengketa pabrik, akan penggusuran. 20/02 Survey OK, proses perizinan. 16/02 Plan FU perizinan besok 17 Feb.09/02 belum di survey karena, PIC mitra masih fokus di installasi dan LOP butuh percepatan dari Telkomsel. 29/01 Plan survey tang"&amp;"gal 30 karena PIC mitra sdg berhalangan. 28/01 Plan survey 29 Jan. 22/01 Plan survey 24 Jan ")</f>
        <v>03/03 LOP di lahan sengketa pabrik, akan penggusuran. 20/02 Survey OK, proses perizinan. 16/02 Plan FU perizinan besok 17 Feb.09/02 belum di survey karena, PIC mitra masih fokus di installasi dan LOP butuh percepatan dari Telkomsel. 29/01 Plan survey tanggal 30 karena PIC mitra sdg berhalangan. 28/01 Plan survey 29 Jan. 22/01 Plan survey 24 Jan </v>
      </c>
      <c r="R1139" s="228"/>
      <c r="S1139" s="11"/>
      <c r="T1139" s="11"/>
      <c r="U1139" s="11"/>
      <c r="V1139" s="229" t="str">
        <f>IFERROR(__xludf.DUMMYFUNCTION("""COMPUTED_VALUE"""),"GANI PRASTYO")</f>
        <v>GANI PRASTYO</v>
      </c>
      <c r="W1139" s="229" t="str">
        <f>IFERROR(__xludf.DUMMYFUNCTION("""COMPUTED_VALUE"""),"LEVITA INDRIYANI")</f>
        <v>LEVITA INDRIYANI</v>
      </c>
      <c r="X1139" s="229" t="str">
        <f>IFERROR(__xludf.DUMMYFUNCTION("""COMPUTED_VALUE"""),"BELUM GOLIVE")</f>
        <v>BELUM GOLIVE</v>
      </c>
      <c r="Y1139" s="229"/>
      <c r="Z1139" s="229" t="str">
        <f>IFERROR(__xludf.DUMMYFUNCTION("""COMPUTED_VALUE"""),"#N/A")</f>
        <v>#N/A</v>
      </c>
      <c r="AA1139" s="229"/>
      <c r="AB1139" s="229"/>
      <c r="AC1139" s="229"/>
      <c r="AD1139" s="232"/>
      <c r="AE1139" s="233"/>
      <c r="AF1139" s="54" t="str">
        <f>IFERROR(__xludf.DUMMYFUNCTION("""COMPUTED_VALUE"""),"Draft BA DROP")</f>
        <v>Draft BA DROP</v>
      </c>
      <c r="AG1139" s="54"/>
      <c r="AH1139" s="54"/>
      <c r="AI1139" s="55" t="str">
        <f t="shared" si="124"/>
        <v/>
      </c>
      <c r="AW1139" s="234"/>
      <c r="BP1139" s="11"/>
      <c r="BQ1139" s="11"/>
      <c r="BR1139" s="235"/>
      <c r="BV1139" s="158"/>
      <c r="BY1139" s="158"/>
      <c r="CB1139" s="158"/>
    </row>
    <row r="1140" ht="18.0" hidden="1" customHeight="1">
      <c r="A1140" s="222">
        <f>IFERROR(__xludf.DUMMYFUNCTION("""COMPUTED_VALUE"""),2026.0)</f>
        <v>2026</v>
      </c>
      <c r="B1140" s="221">
        <f>IFERROR(__xludf.DUMMYFUNCTION("""COMPUTED_VALUE"""),1.2202648E7)</f>
        <v>12202648</v>
      </c>
      <c r="C1140" s="222" t="str">
        <f>IFERROR(__xludf.DUMMYFUNCTION("""COMPUTED_VALUE"""),"ACH PT3 LS LSM-FF BR D09")</f>
        <v>ACH PT3 LS LSM-FF BR D09</v>
      </c>
      <c r="D1140" s="222" t="str">
        <f>IFERROR(__xludf.DUMMYFUNCTION("""COMPUTED_VALUE"""),"REGIONAL I")</f>
        <v>REGIONAL I</v>
      </c>
      <c r="E1140" s="222" t="str">
        <f>IFERROR(__xludf.DUMMYFUNCTION("""COMPUTED_VALUE"""),"ACEH")</f>
        <v>ACEH</v>
      </c>
      <c r="F1140" s="222" t="str">
        <f>IFERROR(__xludf.DUMMYFUNCTION("""COMPUTED_VALUE"""),"GEU")</f>
        <v>GEU</v>
      </c>
      <c r="G1140" s="222" t="str">
        <f>IFERROR(__xludf.DUMMYFUNCTION("""COMPUTED_VALUE"""),"SUMBAGUT")</f>
        <v>SUMBAGUT</v>
      </c>
      <c r="H1140" s="222" t="str">
        <f>IFERROR(__xludf.DUMMYFUNCTION("""COMPUTED_VALUE"""),"BINJAI")</f>
        <v>BINJAI</v>
      </c>
      <c r="I1140" s="222" t="str">
        <f>IFERROR(__xludf.DUMMYFUNCTION("""COMPUTED_VALUE"""),"Batch 2")</f>
        <v>Batch 2</v>
      </c>
      <c r="J1140" s="225">
        <f>IFERROR(__xludf.DUMMYFUNCTION("""COMPUTED_VALUE"""),2.0)</f>
        <v>2</v>
      </c>
      <c r="K1140" s="224">
        <f>IFERROR(__xludf.DUMMYFUNCTION("""COMPUTED_VALUE"""),16.0)</f>
        <v>16</v>
      </c>
      <c r="L1140" s="226">
        <f>IFERROR(__xludf.DUMMYFUNCTION("""COMPUTED_VALUE"""),872711.0)</f>
        <v>872711</v>
      </c>
      <c r="M1140" s="227">
        <f>IFERROR(__xludf.DUMMYFUNCTION("""COMPUTED_VALUE"""),1.3963366E7)</f>
        <v>13963366</v>
      </c>
      <c r="N1140" s="222" t="str">
        <f>IFERROR(__xludf.DUMMYFUNCTION("""COMPUTED_VALUE"""),"PT TRIPOLA PANATA")</f>
        <v>PT TRIPOLA PANATA</v>
      </c>
      <c r="O1140" s="222" t="str">
        <f>IFERROR(__xludf.DUMMYFUNCTION("""COMPUTED_VALUE"""),"7. GOLIVE")</f>
        <v>7. GOLIVE</v>
      </c>
      <c r="P1140" s="222" t="str">
        <f>IFERROR(__xludf.DUMMYFUNCTION("""COMPUTED_VALUE"""),"7.2 Golive Full / OA / DONE OTB")</f>
        <v>7.2 Golive Full / OA / DONE OTB</v>
      </c>
      <c r="Q1140" s="222" t="str">
        <f>IFERROR(__xludf.DUMMYFUNCTION("""COMPUTED_VALUE"""),"(08/04) Penarikan Kabel (05/04) Tanam Tiang (03/03) PO Material (11/02) OGP aanwijzing (07/01) Persiapan")</f>
        <v>(08/04) Penarikan Kabel (05/04) Tanam Tiang (03/03) PO Material (11/02) OGP aanwijzing (07/01) Persiapan</v>
      </c>
      <c r="R1140" s="228">
        <f>IFERROR(__xludf.DUMMYFUNCTION("""COMPUTED_VALUE"""),46122.0)</f>
        <v>46122</v>
      </c>
      <c r="S1140" s="11"/>
      <c r="T1140" s="73"/>
      <c r="U1140" s="11"/>
      <c r="V1140" s="229"/>
      <c r="W1140" s="229" t="str">
        <f>IFERROR(__xludf.DUMMYFUNCTION("""COMPUTED_VALUE"""),"#N/A")</f>
        <v>#N/A</v>
      </c>
      <c r="X1140" s="229" t="str">
        <f>IFERROR(__xludf.DUMMYFUNCTION("""COMPUTED_VALUE"""),"GOLIVE")</f>
        <v>GOLIVE</v>
      </c>
      <c r="Y1140" s="229" t="str">
        <f>IFERROR(__xludf.DUMMYFUNCTION("""COMPUTED_VALUE"""),"DONE")</f>
        <v>DONE</v>
      </c>
      <c r="Z1140" s="229" t="str">
        <f>IFERROR(__xludf.DUMMYFUNCTION("""COMPUTED_VALUE"""),"#N/A")</f>
        <v>#N/A</v>
      </c>
      <c r="AA1140" s="229">
        <f>IFERROR(__xludf.DUMMYFUNCTION("""COMPUTED_VALUE"""),2.0)</f>
        <v>2</v>
      </c>
      <c r="AB1140" s="229"/>
      <c r="AC1140" s="229" t="str">
        <f>IFERROR(__xludf.DUMMYFUNCTION("""COMPUTED_VALUE"""),"9252648#9252653")</f>
        <v>9252648#9252653</v>
      </c>
      <c r="AD1140" s="232">
        <f>IFERROR(__xludf.DUMMYFUNCTION("""COMPUTED_VALUE"""),16.0)</f>
        <v>16</v>
      </c>
      <c r="AE1140" s="233">
        <f>IFERROR(__xludf.DUMMYFUNCTION("""COMPUTED_VALUE"""),46122.0)</f>
        <v>46122</v>
      </c>
      <c r="AF1140" s="54"/>
      <c r="AG1140" s="54"/>
      <c r="AH1140" s="54">
        <v>46122.0</v>
      </c>
      <c r="AI1140" s="55">
        <f t="shared" si="124"/>
        <v>0</v>
      </c>
      <c r="AW1140" s="234"/>
      <c r="BP1140" s="11"/>
      <c r="BQ1140" s="11"/>
      <c r="BR1140" s="235"/>
      <c r="BV1140" s="158"/>
      <c r="BY1140" s="158"/>
      <c r="CB1140" s="158"/>
    </row>
    <row r="1141" ht="18.0" hidden="1" customHeight="1">
      <c r="A1141" s="222">
        <f>IFERROR(__xludf.DUMMYFUNCTION("""COMPUTED_VALUE"""),2026.0)</f>
        <v>2026</v>
      </c>
      <c r="B1141" s="221">
        <f>IFERROR(__xludf.DUMMYFUNCTION("""COMPUTED_VALUE"""),1.1535823E7)</f>
        <v>11535823</v>
      </c>
      <c r="C1141" s="222" t="str">
        <f>IFERROR(__xludf.DUMMYFUNCTION("""COMPUTED_VALUE"""),"MDN PT3 TTG-FQ JL.ROTAN RAYA")</f>
        <v>MDN PT3 TTG-FQ JL.ROTAN RAYA</v>
      </c>
      <c r="D1141" s="222" t="str">
        <f>IFERROR(__xludf.DUMMYFUNCTION("""COMPUTED_VALUE"""),"REGIONAL I")</f>
        <v>REGIONAL I</v>
      </c>
      <c r="E1141" s="222" t="str">
        <f>IFERROR(__xludf.DUMMYFUNCTION("""COMPUTED_VALUE"""),"MEDAN")</f>
        <v>MEDAN</v>
      </c>
      <c r="F1141" s="222" t="str">
        <f>IFERROR(__xludf.DUMMYFUNCTION("""COMPUTED_VALUE"""),"TTG")</f>
        <v>TTG</v>
      </c>
      <c r="G1141" s="222" t="str">
        <f>IFERROR(__xludf.DUMMYFUNCTION("""COMPUTED_VALUE"""),"SUMBAGUT")</f>
        <v>SUMBAGUT</v>
      </c>
      <c r="H1141" s="222" t="str">
        <f>IFERROR(__xludf.DUMMYFUNCTION("""COMPUTED_VALUE"""),"MEDAN")</f>
        <v>MEDAN</v>
      </c>
      <c r="I1141" s="222" t="str">
        <f>IFERROR(__xludf.DUMMYFUNCTION("""COMPUTED_VALUE"""),"Batch 2")</f>
        <v>Batch 2</v>
      </c>
      <c r="J1141" s="225">
        <f>IFERROR(__xludf.DUMMYFUNCTION("""COMPUTED_VALUE"""),5.0)</f>
        <v>5</v>
      </c>
      <c r="K1141" s="224">
        <f>IFERROR(__xludf.DUMMYFUNCTION("""COMPUTED_VALUE"""),40.0)</f>
        <v>40</v>
      </c>
      <c r="L1141" s="226">
        <f>IFERROR(__xludf.DUMMYFUNCTION("""COMPUTED_VALUE"""),1087676.0)</f>
        <v>1087676</v>
      </c>
      <c r="M1141" s="227">
        <f>IFERROR(__xludf.DUMMYFUNCTION("""COMPUTED_VALUE"""),4.3507016E7)</f>
        <v>43507016</v>
      </c>
      <c r="N1141" s="222" t="str">
        <f>IFERROR(__xludf.DUMMYFUNCTION("""COMPUTED_VALUE"""),"SWAKELOLA")</f>
        <v>SWAKELOLA</v>
      </c>
      <c r="O1141" s="222" t="str">
        <f>IFERROR(__xludf.DUMMYFUNCTION("""COMPUTED_VALUE"""),"1. AANWIJZING")</f>
        <v>1. AANWIJZING</v>
      </c>
      <c r="P1141" s="222" t="str">
        <f>IFERROR(__xludf.DUMMYFUNCTION("""COMPUTED_VALUE"""),"1.6 Ongoing Aanwidjzing")</f>
        <v>1.6 Ongoing Aanwidjzing</v>
      </c>
      <c r="Q1141" s="222" t="str">
        <f>IFERROR(__xludf.DUMMYFUNCTION("""COMPUTED_VALUE"""),"20/04 pengukuran ulang core di ODC 08/03 Feeder Redti 16/10 Feeder Habis
(24/09) Perizinan Warga dan Kades / Lurah
(23/09) Perizinan Warga dan Kades / Lurah
15/09 proses aanwijzing")</f>
        <v>20/04 pengukuran ulang core di ODC 08/03 Feeder Redti 16/10 Feeder Habis
(24/09) Perizinan Warga dan Kades / Lurah
(23/09) Perizinan Warga dan Kades / Lurah
15/09 proses aanwijzing</v>
      </c>
      <c r="R1141" s="228"/>
      <c r="S1141" s="11"/>
      <c r="T1141" s="11"/>
      <c r="U1141" s="11"/>
      <c r="V1141" s="229"/>
      <c r="W1141" s="229"/>
      <c r="X1141" s="229" t="str">
        <f>IFERROR(__xludf.DUMMYFUNCTION("""COMPUTED_VALUE"""),"BELUM GOLIVE")</f>
        <v>BELUM GOLIVE</v>
      </c>
      <c r="Y1141" s="229"/>
      <c r="Z1141" s="229" t="str">
        <f>IFERROR(__xludf.DUMMYFUNCTION("""COMPUTED_VALUE"""),"#N/A")</f>
        <v>#N/A</v>
      </c>
      <c r="AA1141" s="229"/>
      <c r="AB1141" s="229"/>
      <c r="AC1141" s="229"/>
      <c r="AD1141" s="232"/>
      <c r="AE1141" s="233"/>
      <c r="AF1141" s="54"/>
      <c r="AG1141" s="54"/>
      <c r="AH1141" s="54"/>
      <c r="AI1141" s="55" t="str">
        <f t="shared" si="124"/>
        <v/>
      </c>
      <c r="AW1141" s="234"/>
      <c r="BP1141" s="11"/>
      <c r="BQ1141" s="11"/>
      <c r="BR1141" s="235"/>
      <c r="BV1141" s="158"/>
      <c r="BY1141" s="158"/>
      <c r="CB1141" s="158"/>
    </row>
    <row r="1142" ht="18.0" customHeight="1">
      <c r="A1142" s="222">
        <f>IFERROR(__xludf.DUMMYFUNCTION("""COMPUTED_VALUE"""),2026.0)</f>
        <v>2026</v>
      </c>
      <c r="B1142" s="221">
        <f>IFERROR(__xludf.DUMMYFUNCTION("""COMPUTED_VALUE"""),1.1024973E7)</f>
        <v>11024973</v>
      </c>
      <c r="C1142" s="222" t="str">
        <f>IFERROR(__xludf.DUMMYFUNCTION("""COMPUTED_VALUE"""),"RDR JPP PT3 TAHAP 45 KARYA INDAH")</f>
        <v>RDR JPP PT3 TAHAP 45 KARYA INDAH</v>
      </c>
      <c r="D1142" s="222" t="str">
        <f>IFERROR(__xludf.DUMMYFUNCTION("""COMPUTED_VALUE"""),"REGIONAL I")</f>
        <v>REGIONAL I</v>
      </c>
      <c r="E1142" s="222" t="str">
        <f>IFERROR(__xludf.DUMMYFUNCTION("""COMPUTED_VALUE"""),"RIDAR")</f>
        <v>RIDAR</v>
      </c>
      <c r="F1142" s="222" t="str">
        <f>IFERROR(__xludf.DUMMYFUNCTION("""COMPUTED_VALUE"""),"ARK")</f>
        <v>ARK</v>
      </c>
      <c r="G1142" s="222" t="str">
        <f>IFERROR(__xludf.DUMMYFUNCTION("""COMPUTED_VALUE"""),"SUMBAGTENG")</f>
        <v>SUMBAGTENG</v>
      </c>
      <c r="H1142" s="222" t="str">
        <f>IFERROR(__xludf.DUMMYFUNCTION("""COMPUTED_VALUE"""),"PEKANBARU")</f>
        <v>PEKANBARU</v>
      </c>
      <c r="I1142" s="222" t="str">
        <f>IFERROR(__xludf.DUMMYFUNCTION("""COMPUTED_VALUE"""),"Batch 2")</f>
        <v>Batch 2</v>
      </c>
      <c r="J1142" s="225">
        <f>IFERROR(__xludf.DUMMYFUNCTION("""COMPUTED_VALUE"""),6.0)</f>
        <v>6</v>
      </c>
      <c r="K1142" s="224">
        <f>IFERROR(__xludf.DUMMYFUNCTION("""COMPUTED_VALUE"""),48.0)</f>
        <v>48</v>
      </c>
      <c r="L1142" s="226">
        <f>IFERROR(__xludf.DUMMYFUNCTION("""COMPUTED_VALUE"""),870364.0)</f>
        <v>870364</v>
      </c>
      <c r="M1142" s="227">
        <f>IFERROR(__xludf.DUMMYFUNCTION("""COMPUTED_VALUE"""),4.1777439E7)</f>
        <v>41777439</v>
      </c>
      <c r="N1142" s="222" t="str">
        <f>IFERROR(__xludf.DUMMYFUNCTION("""COMPUTED_VALUE"""),"PT TSUIKA BERKAH RAYA")</f>
        <v>PT TSUIKA BERKAH RAYA</v>
      </c>
      <c r="O1142" s="222" t="str">
        <f>IFERROR(__xludf.DUMMYFUNCTION("""COMPUTED_VALUE"""),"0. DROP")</f>
        <v>0. DROP</v>
      </c>
      <c r="P1142" s="222" t="str">
        <f>IFERROR(__xludf.DUMMYFUNCTION("""COMPUTED_VALUE"""),"0.2 Tidak Dapat Izin Warga/Kades/Lurah/Developer")</f>
        <v>0.2 Tidak Dapat Izin Warga/Kades/Lurah/Developer</v>
      </c>
      <c r="Q1142" s="222" t="str">
        <f>IFERROR(__xludf.DUMMYFUNCTION("""COMPUTED_VALUE"""),"20/01 Tidak dapat izin tanam tiang (07/01) Persiapan")</f>
        <v>20/01 Tidak dapat izin tanam tiang (07/01) Persiapan</v>
      </c>
      <c r="R1142" s="228"/>
      <c r="S1142" s="11"/>
      <c r="T1142" s="11"/>
      <c r="U1142" s="11"/>
      <c r="V1142" s="229" t="str">
        <f>IFERROR(__xludf.DUMMYFUNCTION("""COMPUTED_VALUE"""),"GUSKAR DIYONAL")</f>
        <v>GUSKAR DIYONAL</v>
      </c>
      <c r="W1142" s="229" t="str">
        <f>IFERROR(__xludf.DUMMYFUNCTION("""COMPUTED_VALUE"""),"ANZALA SAKINAH")</f>
        <v>ANZALA SAKINAH</v>
      </c>
      <c r="X1142" s="229" t="str">
        <f>IFERROR(__xludf.DUMMYFUNCTION("""COMPUTED_VALUE"""),"BELUM GOLIVE")</f>
        <v>BELUM GOLIVE</v>
      </c>
      <c r="Y1142" s="229"/>
      <c r="Z1142" s="229" t="str">
        <f>IFERROR(__xludf.DUMMYFUNCTION("""COMPUTED_VALUE"""),"#N/A")</f>
        <v>#N/A</v>
      </c>
      <c r="AA1142" s="229"/>
      <c r="AB1142" s="229"/>
      <c r="AC1142" s="229"/>
      <c r="AD1142" s="232"/>
      <c r="AE1142" s="233"/>
      <c r="AF1142" s="54" t="str">
        <f>IFERROR(__xludf.DUMMYFUNCTION("""COMPUTED_VALUE"""),"Draft BA DROP")</f>
        <v>Draft BA DROP</v>
      </c>
      <c r="AG1142" s="54"/>
      <c r="AH1142" s="54"/>
      <c r="AI1142" s="55" t="str">
        <f t="shared" si="124"/>
        <v/>
      </c>
      <c r="AW1142" s="234"/>
      <c r="BP1142" s="11"/>
      <c r="BQ1142" s="11"/>
      <c r="BR1142" s="235"/>
      <c r="BV1142" s="158"/>
      <c r="BY1142" s="158"/>
      <c r="CB1142" s="158"/>
    </row>
    <row r="1143" ht="18.0" hidden="1" customHeight="1">
      <c r="A1143" s="222">
        <f>IFERROR(__xludf.DUMMYFUNCTION("""COMPUTED_VALUE"""),2026.0)</f>
        <v>2026</v>
      </c>
      <c r="B1143" s="221">
        <f>IFERROR(__xludf.DUMMYFUNCTION("""COMPUTED_VALUE"""),1.127179E7)</f>
        <v>11271790</v>
      </c>
      <c r="C1143" s="222" t="str">
        <f>IFERROR(__xludf.DUMMYFUNCTION("""COMPUTED_VALUE"""),"MDN PT3 P1I1 CTD-FAF KELAMBIR 5 GG.AMAL")</f>
        <v>MDN PT3 P1I1 CTD-FAF KELAMBIR 5 GG.AMAL</v>
      </c>
      <c r="D1143" s="222" t="str">
        <f>IFERROR(__xludf.DUMMYFUNCTION("""COMPUTED_VALUE"""),"REGIONAL I")</f>
        <v>REGIONAL I</v>
      </c>
      <c r="E1143" s="222" t="str">
        <f>IFERROR(__xludf.DUMMYFUNCTION("""COMPUTED_VALUE"""),"MEDAN")</f>
        <v>MEDAN</v>
      </c>
      <c r="F1143" s="222" t="str">
        <f>IFERROR(__xludf.DUMMYFUNCTION("""COMPUTED_VALUE"""),"CTD")</f>
        <v>CTD</v>
      </c>
      <c r="G1143" s="222" t="str">
        <f>IFERROR(__xludf.DUMMYFUNCTION("""COMPUTED_VALUE"""),"SUMBAGUT")</f>
        <v>SUMBAGUT</v>
      </c>
      <c r="H1143" s="222" t="str">
        <f>IFERROR(__xludf.DUMMYFUNCTION("""COMPUTED_VALUE"""),"MEDAN")</f>
        <v>MEDAN</v>
      </c>
      <c r="I1143" s="222" t="str">
        <f>IFERROR(__xludf.DUMMYFUNCTION("""COMPUTED_VALUE"""),"Batch 2")</f>
        <v>Batch 2</v>
      </c>
      <c r="J1143" s="225">
        <f>IFERROR(__xludf.DUMMYFUNCTION("""COMPUTED_VALUE"""),2.0)</f>
        <v>2</v>
      </c>
      <c r="K1143" s="224">
        <f>IFERROR(__xludf.DUMMYFUNCTION("""COMPUTED_VALUE"""),16.0)</f>
        <v>16</v>
      </c>
      <c r="L1143" s="226">
        <f>IFERROR(__xludf.DUMMYFUNCTION("""COMPUTED_VALUE"""),1270247.0)</f>
        <v>1270247</v>
      </c>
      <c r="M1143" s="227">
        <f>IFERROR(__xludf.DUMMYFUNCTION("""COMPUTED_VALUE"""),2.0323944E7)</f>
        <v>20323944</v>
      </c>
      <c r="N1143" s="222" t="str">
        <f>IFERROR(__xludf.DUMMYFUNCTION("""COMPUTED_VALUE"""),"PT TRIPOLA PANATA")</f>
        <v>PT TRIPOLA PANATA</v>
      </c>
      <c r="O1143" s="222" t="str">
        <f>IFERROR(__xludf.DUMMYFUNCTION("""COMPUTED_VALUE"""),"8. UJI TERIMA")</f>
        <v>8. UJI TERIMA</v>
      </c>
      <c r="P1143" s="222" t="str">
        <f>IFERROR(__xludf.DUMMYFUNCTION("""COMPUTED_VALUE"""),"8.1 Proses UT")</f>
        <v>8.1 Proses UT</v>
      </c>
      <c r="Q1143" s="222" t="str">
        <f>IFERROR(__xludf.DUMMYFUNCTION("""COMPUTED_VALUE"""),"(07/01) Persiapan")</f>
        <v>(07/01) Persiapan</v>
      </c>
      <c r="R1143" s="228">
        <f>IFERROR(__xludf.DUMMYFUNCTION("""COMPUTED_VALUE"""),46060.0)</f>
        <v>46060</v>
      </c>
      <c r="S1143" s="11"/>
      <c r="T1143" s="11"/>
      <c r="U1143" s="11" t="str">
        <f>IFERROR(__xludf.DUMMYFUNCTION("""COMPUTED_VALUE"""),"FALSE")</f>
        <v>FALSE</v>
      </c>
      <c r="V1143" s="229"/>
      <c r="W1143" s="229"/>
      <c r="X1143" s="229" t="str">
        <f>IFERROR(__xludf.DUMMYFUNCTION("""COMPUTED_VALUE"""),"GOLIVE")</f>
        <v>GOLIVE</v>
      </c>
      <c r="Y1143" s="229" t="str">
        <f>IFERROR(__xludf.DUMMYFUNCTION("""COMPUTED_VALUE"""),"DONE")</f>
        <v>DONE</v>
      </c>
      <c r="Z1143" s="229" t="str">
        <f>IFERROR(__xludf.DUMMYFUNCTION("""COMPUTED_VALUE"""),"#N/A")</f>
        <v>#N/A</v>
      </c>
      <c r="AA1143" s="229">
        <f>IFERROR(__xludf.DUMMYFUNCTION("""COMPUTED_VALUE"""),1.0)</f>
        <v>1</v>
      </c>
      <c r="AB1143" s="229"/>
      <c r="AC1143" s="229" t="str">
        <f>IFERROR(__xludf.DUMMYFUNCTION("""COMPUTED_VALUE"""),"9082331#9082336")</f>
        <v>9082331#9082336</v>
      </c>
      <c r="AD1143" s="232">
        <f>IFERROR(__xludf.DUMMYFUNCTION("""COMPUTED_VALUE"""),8.0)</f>
        <v>8</v>
      </c>
      <c r="AE1143" s="233">
        <f>IFERROR(__xludf.DUMMYFUNCTION("""COMPUTED_VALUE"""),46060.0)</f>
        <v>46060</v>
      </c>
      <c r="AF1143" s="54"/>
      <c r="AG1143" s="54"/>
      <c r="AH1143" s="54">
        <v>46132.0</v>
      </c>
      <c r="AI1143" s="237">
        <f>AH1143-NOW()</f>
        <v>-8.377989919</v>
      </c>
      <c r="AJ1143" s="229" t="str">
        <f>if(AI1143&gt;=0,"Gl in Komitmen","Gl out Komitmen")</f>
        <v>Gl out Komitmen</v>
      </c>
      <c r="AK1143" s="229" t="s">
        <v>199</v>
      </c>
      <c r="AW1143" s="234"/>
      <c r="BP1143" s="11"/>
      <c r="BQ1143" s="11"/>
      <c r="BR1143" s="235"/>
      <c r="BV1143" s="158"/>
      <c r="BY1143" s="158"/>
      <c r="CB1143" s="158"/>
    </row>
    <row r="1144" ht="18.0" customHeight="1">
      <c r="A1144" s="222">
        <f>IFERROR(__xludf.DUMMYFUNCTION("""COMPUTED_VALUE"""),2026.0)</f>
        <v>2026</v>
      </c>
      <c r="B1144" s="221">
        <f>IFERROR(__xludf.DUMMYFUNCTION("""COMPUTED_VALUE"""),1.1152414E7)</f>
        <v>11152414</v>
      </c>
      <c r="C1144" s="222" t="str">
        <f>IFERROR(__xludf.DUMMYFUNCTION("""COMPUTED_VALUE"""),"RKP PT3 JPP KMS-FU GG. KLP TOPAYA")</f>
        <v>RKP PT3 JPP KMS-FU GG. KLP TOPAYA</v>
      </c>
      <c r="D1144" s="222" t="str">
        <f>IFERROR(__xludf.DUMMYFUNCTION("""COMPUTED_VALUE"""),"REGIONAL I")</f>
        <v>REGIONAL I</v>
      </c>
      <c r="E1144" s="222" t="str">
        <f>IFERROR(__xludf.DUMMYFUNCTION("""COMPUTED_VALUE"""),"RIKEP")</f>
        <v>RIKEP</v>
      </c>
      <c r="F1144" s="222" t="str">
        <f>IFERROR(__xludf.DUMMYFUNCTION("""COMPUTED_VALUE"""),"KMS")</f>
        <v>KMS</v>
      </c>
      <c r="G1144" s="222" t="str">
        <f>IFERROR(__xludf.DUMMYFUNCTION("""COMPUTED_VALUE"""),"SUMBAGTENG")</f>
        <v>SUMBAGTENG</v>
      </c>
      <c r="H1144" s="222" t="str">
        <f>IFERROR(__xludf.DUMMYFUNCTION("""COMPUTED_VALUE"""),"BATAM")</f>
        <v>BATAM</v>
      </c>
      <c r="I1144" s="222" t="str">
        <f>IFERROR(__xludf.DUMMYFUNCTION("""COMPUTED_VALUE"""),"Batch 2")</f>
        <v>Batch 2</v>
      </c>
      <c r="J1144" s="225">
        <f>IFERROR(__xludf.DUMMYFUNCTION("""COMPUTED_VALUE"""),8.0)</f>
        <v>8</v>
      </c>
      <c r="K1144" s="224">
        <f>IFERROR(__xludf.DUMMYFUNCTION("""COMPUTED_VALUE"""),64.0)</f>
        <v>64</v>
      </c>
      <c r="L1144" s="226">
        <f>IFERROR(__xludf.DUMMYFUNCTION("""COMPUTED_VALUE"""),870105.0)</f>
        <v>870105</v>
      </c>
      <c r="M1144" s="227">
        <f>IFERROR(__xludf.DUMMYFUNCTION("""COMPUTED_VALUE"""),5.5686702E7)</f>
        <v>55686702</v>
      </c>
      <c r="N1144" s="222" t="str">
        <f>IFERROR(__xludf.DUMMYFUNCTION("""COMPUTED_VALUE"""),"PT SALTTEK DUMPANG JAYA")</f>
        <v>PT SALTTEK DUMPANG JAYA</v>
      </c>
      <c r="O1144" s="222" t="str">
        <f>IFERROR(__xludf.DUMMYFUNCTION("""COMPUTED_VALUE"""),"7. GOLIVE")</f>
        <v>7. GOLIVE</v>
      </c>
      <c r="P1144" s="222" t="str">
        <f>IFERROR(__xludf.DUMMYFUNCTION("""COMPUTED_VALUE"""),"7.2 Golive Full / OA / DONE OTB")</f>
        <v>7.2 Golive Full / OA / DONE OTB</v>
      </c>
      <c r="Q1144" s="222" t="str">
        <f>IFERROR(__xludf.DUMMYFUNCTION("""COMPUTED_VALUE"""),"24/04 Selesai CO kabel dist, plan FI hari ini. plan GL minggu tanggal 26 apr.
21/04 Tinggal terminasi ODP, butuh QE core distribusi ex gamas kena gigit tupai, DONE SUBMIT MOP untuk keperluan CRA/CRQ, Plan CO di tanggal 24 april 2026.
20/04 ODP Done instal"&amp;"l,  proses repair 2 core eksisting ex gamas di gigit tupai.
17/04 ada 2 core putus di kabel eksisting bekas di gigit tupai, plan repair bersama tim MTC besok, Progres fisik done. 13/04 Penarikan KU. kendala core ada 1 yang butuh repair karena history pern"&amp;"ah gangguan di gigit tupai.  08/04 Proses Gali / Rojok
06/04 Plan installasi tgl 08 apr, Plan GL 11 Apr. 30/03 Menunggu pelunasan prelim. 27/03 MP mitra cuma ada 1 serial masih mengerjakan LOP lain / tematik lain. 11/03 Antrian tim mitra serial. 05/03 men"&amp;"unggu konfirmasi dr pihak RT krn ada permintaan comcase 
25/02 Proses pelunasan prelim minggu ini. 16/02 Kompensasi pelunasan di minggu ini.09/02 nilai prelim sudah di eval dan di acc. 04/01 proses eval kenaikan karena ada permintaan prelim 2 jt rupiah.  "&amp;"28/01 Anwijzing OK, proses perizinan, FU kembali sabtu 31 Jan. 21/01 Proses anwijzing tanggal 22 Jan 2026
")</f>
        <v>24/04 Selesai CO kabel dist, plan FI hari ini. plan GL minggu tanggal 26 apr.
21/04 Tinggal terminasi ODP, butuh QE core distribusi ex gamas kena gigit tupai, DONE SUBMIT MOP untuk keperluan CRA/CRQ, Plan CO di tanggal 24 april 2026.
20/04 ODP Done install,  proses repair 2 core eksisting ex gamas di gigit tupai.
17/04 ada 2 core putus di kabel eksisting bekas di gigit tupai, plan repair bersama tim MTC besok, Progres fisik done. 13/04 Penarikan KU. kendala core ada 1 yang butuh repair karena history pernah gangguan di gigit tupai.  08/04 Proses Gali / Rojok
06/04 Plan installasi tgl 08 apr, Plan GL 11 Apr. 30/03 Menunggu pelunasan prelim. 27/03 MP mitra cuma ada 1 serial masih mengerjakan LOP lain / tematik lain. 11/03 Antrian tim mitra serial. 05/03 menunggu konfirmasi dr pihak RT krn ada permintaan comcase 
25/02 Proses pelunasan prelim minggu ini. 16/02 Kompensasi pelunasan di minggu ini.09/02 nilai prelim sudah di eval dan di acc. 04/01 proses eval kenaikan karena ada permintaan prelim 2 jt rupiah.  28/01 Anwijzing OK, proses perizinan, FU kembali sabtu 31 Jan. 21/01 Proses anwijzing tanggal 22 Jan 2026
</v>
      </c>
      <c r="R1144" s="228">
        <f>IFERROR(__xludf.DUMMYFUNCTION("""COMPUTED_VALUE"""),46140.0)</f>
        <v>46140</v>
      </c>
      <c r="S1144" s="11" t="str">
        <f>IFERROR(__xludf.DUMMYFUNCTION("""COMPUTED_VALUE"""),"APR")</f>
        <v>APR</v>
      </c>
      <c r="T1144" s="73"/>
      <c r="U1144" s="11" t="str">
        <f>IFERROR(__xludf.DUMMYFUNCTION("""COMPUTED_VALUE"""),"W09-289/2026")</f>
        <v>W09-289/2026</v>
      </c>
      <c r="V1144" s="229" t="str">
        <f>IFERROR(__xludf.DUMMYFUNCTION("""COMPUTED_VALUE"""),"DEDY IRAWAN")</f>
        <v>DEDY IRAWAN</v>
      </c>
      <c r="W1144" s="229" t="str">
        <f>IFERROR(__xludf.DUMMYFUNCTION("""COMPUTED_VALUE"""),"LEVITA INDRIYANI")</f>
        <v>LEVITA INDRIYANI</v>
      </c>
      <c r="X1144" s="229" t="str">
        <f>IFERROR(__xludf.DUMMYFUNCTION("""COMPUTED_VALUE"""),"GOLIVE")</f>
        <v>GOLIVE</v>
      </c>
      <c r="Y1144" s="229" t="str">
        <f>IFERROR(__xludf.DUMMYFUNCTION("""COMPUTED_VALUE"""),"DONE")</f>
        <v>DONE</v>
      </c>
      <c r="Z1144" s="229" t="str">
        <f>IFERROR(__xludf.DUMMYFUNCTION("""COMPUTED_VALUE"""),"#N/A")</f>
        <v>#N/A</v>
      </c>
      <c r="AA1144" s="229">
        <f>IFERROR(__xludf.DUMMYFUNCTION("""COMPUTED_VALUE"""),8.0)</f>
        <v>8</v>
      </c>
      <c r="AB1144" s="229"/>
      <c r="AC1144" s="229" t="str">
        <f>IFERROR(__xludf.DUMMYFUNCTION("""COMPUTED_VALUE"""),"9244197#9244202")</f>
        <v>9244197#9244202</v>
      </c>
      <c r="AD1144" s="232">
        <f>IFERROR(__xludf.DUMMYFUNCTION("""COMPUTED_VALUE"""),64.0)</f>
        <v>64</v>
      </c>
      <c r="AE1144" s="233">
        <f>IFERROR(__xludf.DUMMYFUNCTION("""COMPUTED_VALUE"""),46137.0)</f>
        <v>46137</v>
      </c>
      <c r="AF1144" s="54"/>
      <c r="AG1144" s="54"/>
      <c r="AH1144" s="54">
        <v>46132.0</v>
      </c>
      <c r="AI1144" s="55">
        <f>AH1144-AE1144</f>
        <v>-5</v>
      </c>
      <c r="AJ1144" s="229" t="str">
        <f>if(AI1144&gt;=0,"Gl in Komitmen","Gl out komitmen")</f>
        <v>Gl out komitmen</v>
      </c>
      <c r="AK1144" s="231" t="s">
        <v>199</v>
      </c>
      <c r="AW1144" s="234"/>
      <c r="BP1144" s="11"/>
      <c r="BQ1144" s="11"/>
      <c r="BR1144" s="235"/>
      <c r="BV1144" s="158"/>
      <c r="BY1144" s="158"/>
      <c r="CB1144" s="158"/>
    </row>
    <row r="1145" ht="18.0" customHeight="1">
      <c r="A1145" s="222">
        <f>IFERROR(__xludf.DUMMYFUNCTION("""COMPUTED_VALUE"""),2026.0)</f>
        <v>2026</v>
      </c>
      <c r="B1145" s="221">
        <f>IFERROR(__xludf.DUMMYFUNCTION("""COMPUTED_VALUE"""),1.1201142E7)</f>
        <v>11201142</v>
      </c>
      <c r="C1145" s="222" t="str">
        <f>IFERROR(__xludf.DUMMYFUNCTION("""COMPUTED_VALUE"""),"RKP PT3 TSEL LBJ-FBF BENGKONG KOLAM")</f>
        <v>RKP PT3 TSEL LBJ-FBF BENGKONG KOLAM</v>
      </c>
      <c r="D1145" s="222" t="str">
        <f>IFERROR(__xludf.DUMMYFUNCTION("""COMPUTED_VALUE"""),"REGIONAL I")</f>
        <v>REGIONAL I</v>
      </c>
      <c r="E1145" s="222" t="str">
        <f>IFERROR(__xludf.DUMMYFUNCTION("""COMPUTED_VALUE"""),"RIKEP")</f>
        <v>RIKEP</v>
      </c>
      <c r="F1145" s="222" t="str">
        <f>IFERROR(__xludf.DUMMYFUNCTION("""COMPUTED_VALUE"""),"LBJ")</f>
        <v>LBJ</v>
      </c>
      <c r="G1145" s="222" t="str">
        <f>IFERROR(__xludf.DUMMYFUNCTION("""COMPUTED_VALUE"""),"SUMBAGTENG")</f>
        <v>SUMBAGTENG</v>
      </c>
      <c r="H1145" s="222" t="str">
        <f>IFERROR(__xludf.DUMMYFUNCTION("""COMPUTED_VALUE"""),"BATAM")</f>
        <v>BATAM</v>
      </c>
      <c r="I1145" s="222" t="str">
        <f>IFERROR(__xludf.DUMMYFUNCTION("""COMPUTED_VALUE"""),"Batch 2")</f>
        <v>Batch 2</v>
      </c>
      <c r="J1145" s="225">
        <f>IFERROR(__xludf.DUMMYFUNCTION("""COMPUTED_VALUE"""),2.0)</f>
        <v>2</v>
      </c>
      <c r="K1145" s="224">
        <f>IFERROR(__xludf.DUMMYFUNCTION("""COMPUTED_VALUE"""),16.0)</f>
        <v>16</v>
      </c>
      <c r="L1145" s="226">
        <f>IFERROR(__xludf.DUMMYFUNCTION("""COMPUTED_VALUE"""),869679.0)</f>
        <v>869679</v>
      </c>
      <c r="M1145" s="227">
        <f>IFERROR(__xludf.DUMMYFUNCTION("""COMPUTED_VALUE"""),1.3914852E7)</f>
        <v>13914852</v>
      </c>
      <c r="N1145" s="222" t="str">
        <f>IFERROR(__xludf.DUMMYFUNCTION("""COMPUTED_VALUE"""),"PT HDUA PUTRA PRAJODA")</f>
        <v>PT HDUA PUTRA PRAJODA</v>
      </c>
      <c r="O1145" s="222" t="str">
        <f>IFERROR(__xludf.DUMMYFUNCTION("""COMPUTED_VALUE"""),"0. DROP")</f>
        <v>0. DROP</v>
      </c>
      <c r="P1145" s="222" t="str">
        <f>IFERROR(__xludf.DUMMYFUNCTION("""COMPUTED_VALUE"""),"0.2 Tidak Dapat Izin Warga/Kades/Lurah/Developer")</f>
        <v>0.2 Tidak Dapat Izin Warga/Kades/Lurah/Developer</v>
      </c>
      <c r="Q1145" s="222" t="str">
        <f>IFERROR(__xludf.DUMMYFUNCTION("""COMPUTED_VALUE"""),"16/02 Izin di tolak RW. 13/02 Anwijzing OK, izin belum di beri kepastian. 11/02 Peralihan mitra. 28/01 Plan survey 29 Jan. 28/01 Mitra tripola belum ada PIC untuk anwijzing. 23/01 Plan anwijzing 26 Jan, pic mitra ada pertanggal 25 jan. 21/01 proses penunj"&amp;"ukan mitra ")</f>
        <v>16/02 Izin di tolak RW. 13/02 Anwijzing OK, izin belum di beri kepastian. 11/02 Peralihan mitra. 28/01 Plan survey 29 Jan. 28/01 Mitra tripola belum ada PIC untuk anwijzing. 23/01 Plan anwijzing 26 Jan, pic mitra ada pertanggal 25 jan. 21/01 proses penunjukan mitra </v>
      </c>
      <c r="R1145" s="228"/>
      <c r="S1145" s="11"/>
      <c r="T1145" s="11"/>
      <c r="U1145" s="11"/>
      <c r="V1145" s="229" t="str">
        <f>IFERROR(__xludf.DUMMYFUNCTION("""COMPUTED_VALUE"""),"RONALDO LEO INFANTRI")</f>
        <v>RONALDO LEO INFANTRI</v>
      </c>
      <c r="W1145" s="229" t="str">
        <f>IFERROR(__xludf.DUMMYFUNCTION("""COMPUTED_VALUE"""),"LEVITA INDRIYANI")</f>
        <v>LEVITA INDRIYANI</v>
      </c>
      <c r="X1145" s="229" t="str">
        <f>IFERROR(__xludf.DUMMYFUNCTION("""COMPUTED_VALUE"""),"BELUM GOLIVE")</f>
        <v>BELUM GOLIVE</v>
      </c>
      <c r="Y1145" s="229"/>
      <c r="Z1145" s="229" t="str">
        <f>IFERROR(__xludf.DUMMYFUNCTION("""COMPUTED_VALUE"""),"#N/A")</f>
        <v>#N/A</v>
      </c>
      <c r="AA1145" s="229"/>
      <c r="AB1145" s="229"/>
      <c r="AC1145" s="229"/>
      <c r="AD1145" s="232"/>
      <c r="AE1145" s="233"/>
      <c r="AF1145" s="54" t="str">
        <f>IFERROR(__xludf.DUMMYFUNCTION("""COMPUTED_VALUE"""),"Draft BA DROP")</f>
        <v>Draft BA DROP</v>
      </c>
      <c r="AG1145" s="54"/>
      <c r="AH1145" s="54"/>
      <c r="AI1145" s="55" t="str">
        <f t="shared" ref="AI1145:AI1147" si="125">IF(OR(R1145="",AE1145=""),"",R1145-AE1145)</f>
        <v/>
      </c>
      <c r="AW1145" s="234"/>
      <c r="BP1145" s="11"/>
      <c r="BQ1145" s="11"/>
      <c r="BR1145" s="235"/>
      <c r="BV1145" s="158"/>
      <c r="BY1145" s="158"/>
      <c r="CB1145" s="158"/>
    </row>
    <row r="1146" ht="18.0" hidden="1" customHeight="1">
      <c r="A1146" s="222">
        <f>IFERROR(__xludf.DUMMYFUNCTION("""COMPUTED_VALUE"""),2026.0)</f>
        <v>2026</v>
      </c>
      <c r="B1146" s="221">
        <f>IFERROR(__xludf.DUMMYFUNCTION("""COMPUTED_VALUE"""),1.1754157E7)</f>
        <v>11754157</v>
      </c>
      <c r="C1146" s="222" t="str">
        <f>IFERROR(__xludf.DUMMYFUNCTION("""COMPUTED_VALUE"""),"SMS PT3 LLG FAW D04 RT 02 KARYA BHAKTI")</f>
        <v>SMS PT3 LLG FAW D04 RT 02 KARYA BHAKTI</v>
      </c>
      <c r="D1146" s="222" t="str">
        <f>IFERROR(__xludf.DUMMYFUNCTION("""COMPUTED_VALUE"""),"REGIONAL I")</f>
        <v>REGIONAL I</v>
      </c>
      <c r="E1146" s="222" t="str">
        <f>IFERROR(__xludf.DUMMYFUNCTION("""COMPUTED_VALUE"""),"SUMSEL")</f>
        <v>SUMSEL</v>
      </c>
      <c r="F1146" s="222" t="str">
        <f>IFERROR(__xludf.DUMMYFUNCTION("""COMPUTED_VALUE"""),"LLG")</f>
        <v>LLG</v>
      </c>
      <c r="G1146" s="222" t="str">
        <f>IFERROR(__xludf.DUMMYFUNCTION("""COMPUTED_VALUE"""),"SUMBAGSEL")</f>
        <v>SUMBAGSEL</v>
      </c>
      <c r="H1146" s="222" t="str">
        <f>IFERROR(__xludf.DUMMYFUNCTION("""COMPUTED_VALUE"""),"BENGKULU")</f>
        <v>BENGKULU</v>
      </c>
      <c r="I1146" s="222" t="str">
        <f>IFERROR(__xludf.DUMMYFUNCTION("""COMPUTED_VALUE"""),"Batch 2")</f>
        <v>Batch 2</v>
      </c>
      <c r="J1146" s="225">
        <f>IFERROR(__xludf.DUMMYFUNCTION("""COMPUTED_VALUE"""),8.0)</f>
        <v>8</v>
      </c>
      <c r="K1146" s="224">
        <f>IFERROR(__xludf.DUMMYFUNCTION("""COMPUTED_VALUE"""),64.0)</f>
        <v>64</v>
      </c>
      <c r="L1146" s="226">
        <f>IFERROR(__xludf.DUMMYFUNCTION("""COMPUTED_VALUE"""),869650.0)</f>
        <v>869650</v>
      </c>
      <c r="M1146" s="227">
        <f>IFERROR(__xludf.DUMMYFUNCTION("""COMPUTED_VALUE"""),5.5657595E7)</f>
        <v>55657595</v>
      </c>
      <c r="N1146" s="222" t="str">
        <f>IFERROR(__xludf.DUMMYFUNCTION("""COMPUTED_VALUE"""),"PT HAN SUNG INDONESIA")</f>
        <v>PT HAN SUNG INDONESIA</v>
      </c>
      <c r="O1146" s="222" t="str">
        <f>IFERROR(__xludf.DUMMYFUNCTION("""COMPUTED_VALUE"""),"8. UJI TERIMA")</f>
        <v>8. UJI TERIMA</v>
      </c>
      <c r="P1146" s="222" t="str">
        <f>IFERROR(__xludf.DUMMYFUNCTION("""COMPUTED_VALUE"""),"8.1 Proses UT")</f>
        <v>8.1 Proses UT</v>
      </c>
      <c r="Q1146" s="222" t="str">
        <f>IFERROR(__xludf.DUMMYFUNCTION("""COMPUTED_VALUE"""),"(31/1) Sudah kirim DATA ABD  (24/1) kendala minol (21/01) selesai fisik, menunggu data abd belum masuk ke sdi, (06/01)order JPP batch-2 2026 (30/12 menunggu modul OLT, 08/12 menunggu modul OLT, 20/11 menunggu modul olt, 17/11 proses jumper, 14/11 ODP terp"&amp;"asang , proses jumper 15/11(12/11) PROSES TANAM TIANG 04/11 material sudah dilokasi 15/10 aanwizjing done, pembuatan data update lapangan
08/10 menunggu jadwal aanwizjing
(01/10) menunggu jadwal aanwijzing")</f>
        <v>(31/1) Sudah kirim DATA ABD  (24/1) kendala minol (21/01) selesai fisik, menunggu data abd belum masuk ke sdi, (06/01)order JPP batch-2 2026 (30/12 menunggu modul OLT, 08/12 menunggu modul OLT, 20/11 menunggu modul olt, 17/11 proses jumper, 14/11 ODP terpasang , proses jumper 15/11(12/11) PROSES TANAM TIANG 04/11 material sudah dilokasi 15/10 aanwizjing done, pembuatan data update lapangan
08/10 menunggu jadwal aanwizjing
(01/10) menunggu jadwal aanwijzing</v>
      </c>
      <c r="R1146" s="228"/>
      <c r="S1146" s="11"/>
      <c r="T1146" s="11"/>
      <c r="U1146" s="11"/>
      <c r="V1146" s="229" t="str">
        <f>IFERROR(__xludf.DUMMYFUNCTION("""COMPUTED_VALUE"""),"PUTRA")</f>
        <v>PUTRA</v>
      </c>
      <c r="W1146" s="229"/>
      <c r="X1146" s="229" t="str">
        <f>IFERROR(__xludf.DUMMYFUNCTION("""COMPUTED_VALUE"""),"GOLIVE")</f>
        <v>GOLIVE</v>
      </c>
      <c r="Y1146" s="229" t="str">
        <f>IFERROR(__xludf.DUMMYFUNCTION("""COMPUTED_VALUE"""),"DONE")</f>
        <v>DONE</v>
      </c>
      <c r="Z1146" s="229" t="str">
        <f>IFERROR(__xludf.DUMMYFUNCTION("""COMPUTED_VALUE"""),"#N/A")</f>
        <v>#N/A</v>
      </c>
      <c r="AA1146" s="229">
        <f>IFERROR(__xludf.DUMMYFUNCTION("""COMPUTED_VALUE"""),8.0)</f>
        <v>8</v>
      </c>
      <c r="AB1146" s="229"/>
      <c r="AC1146" s="229" t="str">
        <f>IFERROR(__xludf.DUMMYFUNCTION("""COMPUTED_VALUE"""),"8461586#8461591")</f>
        <v>8461586#8461591</v>
      </c>
      <c r="AD1146" s="232">
        <f>IFERROR(__xludf.DUMMYFUNCTION("""COMPUTED_VALUE"""),64.0)</f>
        <v>64</v>
      </c>
      <c r="AE1146" s="233">
        <f>IFERROR(__xludf.DUMMYFUNCTION("""COMPUTED_VALUE"""),46054.0)</f>
        <v>46054</v>
      </c>
      <c r="AF1146" s="54"/>
      <c r="AG1146" s="54"/>
      <c r="AH1146" s="54"/>
      <c r="AI1146" s="55" t="str">
        <f t="shared" si="125"/>
        <v/>
      </c>
      <c r="AW1146" s="234"/>
      <c r="BP1146" s="11"/>
      <c r="BQ1146" s="11"/>
      <c r="BR1146" s="235"/>
      <c r="BV1146" s="158"/>
      <c r="BY1146" s="158"/>
      <c r="CB1146" s="158"/>
    </row>
    <row r="1147" ht="18.0" customHeight="1">
      <c r="A1147" s="222">
        <f>IFERROR(__xludf.DUMMYFUNCTION("""COMPUTED_VALUE"""),2026.0)</f>
        <v>2026</v>
      </c>
      <c r="B1147" s="221">
        <f>IFERROR(__xludf.DUMMYFUNCTION("""COMPUTED_VALUE"""),1.1379578E7)</f>
        <v>11379578</v>
      </c>
      <c r="C1147" s="222" t="str">
        <f>IFERROR(__xludf.DUMMYFUNCTION("""COMPUTED_VALUE"""),"SMB P2I2 KOTA SOLOK_12282")</f>
        <v>SMB P2I2 KOTA SOLOK_12282</v>
      </c>
      <c r="D1147" s="222" t="str">
        <f>IFERROR(__xludf.DUMMYFUNCTION("""COMPUTED_VALUE"""),"REGIONAL I")</f>
        <v>REGIONAL I</v>
      </c>
      <c r="E1147" s="222" t="str">
        <f>IFERROR(__xludf.DUMMYFUNCTION("""COMPUTED_VALUE"""),"SUMBAR")</f>
        <v>SUMBAR</v>
      </c>
      <c r="F1147" s="222" t="str">
        <f>IFERROR(__xludf.DUMMYFUNCTION("""COMPUTED_VALUE"""),"SLK")</f>
        <v>SLK</v>
      </c>
      <c r="G1147" s="222" t="str">
        <f>IFERROR(__xludf.DUMMYFUNCTION("""COMPUTED_VALUE"""),"SUMBAGTENG")</f>
        <v>SUMBAGTENG</v>
      </c>
      <c r="H1147" s="222" t="str">
        <f>IFERROR(__xludf.DUMMYFUNCTION("""COMPUTED_VALUE"""),"PADANG")</f>
        <v>PADANG</v>
      </c>
      <c r="I1147" s="222" t="str">
        <f>IFERROR(__xludf.DUMMYFUNCTION("""COMPUTED_VALUE"""),"Batch 2")</f>
        <v>Batch 2</v>
      </c>
      <c r="J1147" s="225">
        <f>IFERROR(__xludf.DUMMYFUNCTION("""COMPUTED_VALUE"""),3.0)</f>
        <v>3</v>
      </c>
      <c r="K1147" s="224">
        <f>IFERROR(__xludf.DUMMYFUNCTION("""COMPUTED_VALUE"""),24.0)</f>
        <v>24</v>
      </c>
      <c r="L1147" s="226">
        <f>IFERROR(__xludf.DUMMYFUNCTION("""COMPUTED_VALUE"""),869540.0)</f>
        <v>869540</v>
      </c>
      <c r="M1147" s="227">
        <f>IFERROR(__xludf.DUMMYFUNCTION("""COMPUTED_VALUE"""),2.0868954E7)</f>
        <v>20868954</v>
      </c>
      <c r="N1147" s="222" t="str">
        <f>IFERROR(__xludf.DUMMYFUNCTION("""COMPUTED_VALUE"""),"PT TRIPOLA PANATA")</f>
        <v>PT TRIPOLA PANATA</v>
      </c>
      <c r="O1147" s="222" t="str">
        <f>IFERROR(__xludf.DUMMYFUNCTION("""COMPUTED_VALUE"""),"0. DROP")</f>
        <v>0. DROP</v>
      </c>
      <c r="P1147" s="222" t="str">
        <f>IFERROR(__xludf.DUMMYFUNCTION("""COMPUTED_VALUE"""),"0.1 Double Order")</f>
        <v>0.1 Double Order</v>
      </c>
      <c r="Q1147" s="222" t="str">
        <f>IFERROR(__xludf.DUMMYFUNCTION("""COMPUTED_VALUE"""),"(08/01) doubel dengan lop SMB P1I2 Alana Residence 4 extend, Proses mapping mitra  (07/01) Persiapan")</f>
        <v>(08/01) doubel dengan lop SMB P1I2 Alana Residence 4 extend, Proses mapping mitra  (07/01) Persiapan</v>
      </c>
      <c r="R1147" s="228"/>
      <c r="S1147" s="11"/>
      <c r="T1147" s="11"/>
      <c r="U1147" s="11"/>
      <c r="V1147" s="229"/>
      <c r="W1147" s="229"/>
      <c r="X1147" s="229" t="str">
        <f>IFERROR(__xludf.DUMMYFUNCTION("""COMPUTED_VALUE"""),"BELUM GOLIVE")</f>
        <v>BELUM GOLIVE</v>
      </c>
      <c r="Y1147" s="229"/>
      <c r="Z1147" s="229" t="str">
        <f>IFERROR(__xludf.DUMMYFUNCTION("""COMPUTED_VALUE"""),"#N/A")</f>
        <v>#N/A</v>
      </c>
      <c r="AA1147" s="229"/>
      <c r="AB1147" s="229"/>
      <c r="AC1147" s="229"/>
      <c r="AD1147" s="232"/>
      <c r="AE1147" s="233"/>
      <c r="AF1147" s="54" t="str">
        <f>IFERROR(__xludf.DUMMYFUNCTION("""COMPUTED_VALUE"""),"Draft BA DROP")</f>
        <v>Draft BA DROP</v>
      </c>
      <c r="AG1147" s="54"/>
      <c r="AH1147" s="54"/>
      <c r="AI1147" s="55" t="str">
        <f t="shared" si="125"/>
        <v/>
      </c>
      <c r="AW1147" s="234"/>
      <c r="BP1147" s="11"/>
      <c r="BQ1147" s="11"/>
      <c r="BR1147" s="235"/>
      <c r="BV1147" s="158"/>
      <c r="BY1147" s="158"/>
      <c r="CB1147" s="158"/>
    </row>
    <row r="1148" ht="18.0" customHeight="1">
      <c r="A1148" s="222">
        <f>IFERROR(__xludf.DUMMYFUNCTION("""COMPUTED_VALUE"""),2026.0)</f>
        <v>2026</v>
      </c>
      <c r="B1148" s="221">
        <f>IFERROR(__xludf.DUMMYFUNCTION("""COMPUTED_VALUE"""),1.1360808E7)</f>
        <v>11360808</v>
      </c>
      <c r="C1148" s="222" t="str">
        <f>IFERROR(__xludf.DUMMYFUNCTION("""COMPUTED_VALUE"""),"SMB P2I2 Perumahan Belakang SPBU BIM")</f>
        <v>SMB P2I2 Perumahan Belakang SPBU BIM</v>
      </c>
      <c r="D1148" s="222" t="str">
        <f>IFERROR(__xludf.DUMMYFUNCTION("""COMPUTED_VALUE"""),"REGIONAL I")</f>
        <v>REGIONAL I</v>
      </c>
      <c r="E1148" s="222" t="str">
        <f>IFERROR(__xludf.DUMMYFUNCTION("""COMPUTED_VALUE"""),"SUMBAR")</f>
        <v>SUMBAR</v>
      </c>
      <c r="F1148" s="222" t="str">
        <f>IFERROR(__xludf.DUMMYFUNCTION("""COMPUTED_VALUE"""),"LBY")</f>
        <v>LBY</v>
      </c>
      <c r="G1148" s="222" t="str">
        <f>IFERROR(__xludf.DUMMYFUNCTION("""COMPUTED_VALUE"""),"SUMBAGTENG")</f>
        <v>SUMBAGTENG</v>
      </c>
      <c r="H1148" s="222" t="str">
        <f>IFERROR(__xludf.DUMMYFUNCTION("""COMPUTED_VALUE"""),"PADANG")</f>
        <v>PADANG</v>
      </c>
      <c r="I1148" s="222" t="str">
        <f>IFERROR(__xludf.DUMMYFUNCTION("""COMPUTED_VALUE"""),"Batch 2")</f>
        <v>Batch 2</v>
      </c>
      <c r="J1148" s="225">
        <f>IFERROR(__xludf.DUMMYFUNCTION("""COMPUTED_VALUE"""),12.0)</f>
        <v>12</v>
      </c>
      <c r="K1148" s="224">
        <f>IFERROR(__xludf.DUMMYFUNCTION("""COMPUTED_VALUE"""),96.0)</f>
        <v>96</v>
      </c>
      <c r="L1148" s="226">
        <f>IFERROR(__xludf.DUMMYFUNCTION("""COMPUTED_VALUE"""),868896.0)</f>
        <v>868896</v>
      </c>
      <c r="M1148" s="227">
        <f>IFERROR(__xludf.DUMMYFUNCTION("""COMPUTED_VALUE"""),8.3414008E7)</f>
        <v>83414008</v>
      </c>
      <c r="N1148" s="222" t="str">
        <f>IFERROR(__xludf.DUMMYFUNCTION("""COMPUTED_VALUE"""),"PT PUTRI JAYA AKSES")</f>
        <v>PT PUTRI JAYA AKSES</v>
      </c>
      <c r="O1148" s="222" t="str">
        <f>IFERROR(__xludf.DUMMYFUNCTION("""COMPUTED_VALUE"""),"0. DROP")</f>
        <v>0. DROP</v>
      </c>
      <c r="P1148" s="222" t="str">
        <f>IFERROR(__xludf.DUMMYFUNCTION("""COMPUTED_VALUE"""),"0.5 DROP TSEL - Acc ED TIF")</f>
        <v>0.5 DROP TSEL - Acc ED TIF</v>
      </c>
      <c r="Q1148" s="222" t="str">
        <f>IFERROR(__xludf.DUMMYFUNCTION("""COMPUTED_VALUE"""),"(06/03) Proses create PID (05/03) PROSES CREATE PID (02/03) proses aanwijziing (26/01) DROP, permintaan tsel (tidak potensial) ")</f>
        <v>(06/03) Proses create PID (05/03) PROSES CREATE PID (02/03) proses aanwijziing (26/01) DROP, permintaan tsel (tidak potensial) </v>
      </c>
      <c r="R1148" s="228"/>
      <c r="S1148" s="11"/>
      <c r="T1148" s="11"/>
      <c r="U1148" s="11" t="str">
        <f>IFERROR(__xludf.DUMMYFUNCTION("""COMPUTED_VALUE"""),"TIF-5475/2026  26KT03R158-0062")</f>
        <v>TIF-5475/2026  26KT03R158-0062</v>
      </c>
      <c r="V1148" s="229" t="str">
        <f>IFERROR(__xludf.DUMMYFUNCTION("""COMPUTED_VALUE"""),"JANUAR RIZAL")</f>
        <v>JANUAR RIZAL</v>
      </c>
      <c r="W1148" s="229" t="str">
        <f>IFERROR(__xludf.DUMMYFUNCTION("""COMPUTED_VALUE"""),"MELKO NARWADI")</f>
        <v>MELKO NARWADI</v>
      </c>
      <c r="X1148" s="229" t="str">
        <f>IFERROR(__xludf.DUMMYFUNCTION("""COMPUTED_VALUE"""),"BELUM GOLIVE")</f>
        <v>BELUM GOLIVE</v>
      </c>
      <c r="Y1148" s="229"/>
      <c r="Z1148" s="229" t="str">
        <f>IFERROR(__xludf.DUMMYFUNCTION("""COMPUTED_VALUE"""),"#N/A")</f>
        <v>#N/A</v>
      </c>
      <c r="AA1148" s="229"/>
      <c r="AB1148" s="229"/>
      <c r="AC1148" s="229"/>
      <c r="AD1148" s="232"/>
      <c r="AE1148" s="233"/>
      <c r="AF1148" s="54"/>
      <c r="AG1148" s="54"/>
      <c r="AH1148" s="54">
        <v>46137.0</v>
      </c>
      <c r="AI1148" s="237">
        <f>AH1148-NOW()</f>
        <v>-3.377989919</v>
      </c>
      <c r="AJ1148" s="229" t="str">
        <f>if(AI1148&gt;=0,"In Komitmen","Out Komitmen")</f>
        <v>Out Komitmen</v>
      </c>
      <c r="AW1148" s="234"/>
      <c r="BP1148" s="11"/>
      <c r="BQ1148" s="11"/>
      <c r="BR1148" s="235"/>
      <c r="BV1148" s="158"/>
      <c r="BY1148" s="158"/>
      <c r="CB1148" s="158"/>
    </row>
    <row r="1149" ht="18.0" customHeight="1">
      <c r="A1149" s="222">
        <f>IFERROR(__xludf.DUMMYFUNCTION("""COMPUTED_VALUE"""),2026.0)</f>
        <v>2026</v>
      </c>
      <c r="B1149" s="221">
        <f>IFERROR(__xludf.DUMMYFUNCTION("""COMPUTED_VALUE"""),1.2089327E7)</f>
        <v>12089327</v>
      </c>
      <c r="C1149" s="222" t="str">
        <f>IFERROR(__xludf.DUMMYFUNCTION("""COMPUTED_VALUE"""),"RKP TSEL PT3 DBS-FAF JL. PASAR LAMA")</f>
        <v>RKP TSEL PT3 DBS-FAF JL. PASAR LAMA</v>
      </c>
      <c r="D1149" s="222" t="str">
        <f>IFERROR(__xludf.DUMMYFUNCTION("""COMPUTED_VALUE"""),"REGIONAL I")</f>
        <v>REGIONAL I</v>
      </c>
      <c r="E1149" s="222" t="str">
        <f>IFERROR(__xludf.DUMMYFUNCTION("""COMPUTED_VALUE"""),"RIKEP")</f>
        <v>RIKEP</v>
      </c>
      <c r="F1149" s="222" t="str">
        <f>IFERROR(__xludf.DUMMYFUNCTION("""COMPUTED_VALUE"""),"DBS")</f>
        <v>DBS</v>
      </c>
      <c r="G1149" s="222" t="str">
        <f>IFERROR(__xludf.DUMMYFUNCTION("""COMPUTED_VALUE"""),"SUMBAGTENG")</f>
        <v>SUMBAGTENG</v>
      </c>
      <c r="H1149" s="222" t="str">
        <f>IFERROR(__xludf.DUMMYFUNCTION("""COMPUTED_VALUE"""),"BATAM")</f>
        <v>BATAM</v>
      </c>
      <c r="I1149" s="222" t="str">
        <f>IFERROR(__xludf.DUMMYFUNCTION("""COMPUTED_VALUE"""),"Batch 2")</f>
        <v>Batch 2</v>
      </c>
      <c r="J1149" s="225">
        <f>IFERROR(__xludf.DUMMYFUNCTION("""COMPUTED_VALUE"""),1.0)</f>
        <v>1</v>
      </c>
      <c r="K1149" s="224">
        <f>IFERROR(__xludf.DUMMYFUNCTION("""COMPUTED_VALUE"""),8.0)</f>
        <v>8</v>
      </c>
      <c r="L1149" s="226">
        <f>IFERROR(__xludf.DUMMYFUNCTION("""COMPUTED_VALUE"""),868826.0)</f>
        <v>868826</v>
      </c>
      <c r="M1149" s="227">
        <f>IFERROR(__xludf.DUMMYFUNCTION("""COMPUTED_VALUE"""),6950606.0)</f>
        <v>6950606</v>
      </c>
      <c r="N1149" s="222" t="str">
        <f>IFERROR(__xludf.DUMMYFUNCTION("""COMPUTED_VALUE"""),"SWAKELOLA")</f>
        <v>SWAKELOLA</v>
      </c>
      <c r="O1149" s="222" t="str">
        <f>IFERROR(__xludf.DUMMYFUNCTION("""COMPUTED_VALUE"""),"4. MATDEL")</f>
        <v>4. MATDEL</v>
      </c>
      <c r="P1149" s="222" t="str">
        <f>IFERROR(__xludf.DUMMYFUNCTION("""COMPUTED_VALUE"""),"4.3 Proses Kirim Mateial Kelokasi")</f>
        <v>4.3 Proses Kirim Mateial Kelokasi</v>
      </c>
      <c r="Q1149"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149" s="228"/>
      <c r="S1149" s="11"/>
      <c r="T1149" s="11"/>
      <c r="U1149" s="11" t="str">
        <f>IFERROR(__xludf.DUMMYFUNCTION("""COMPUTED_VALUE"""),"W09-295/2026")</f>
        <v>W09-295/2026</v>
      </c>
      <c r="V1149" s="229" t="str">
        <f>IFERROR(__xludf.DUMMYFUNCTION("""COMPUTED_VALUE"""),"DEDY IRAWAN")</f>
        <v>DEDY IRAWAN</v>
      </c>
      <c r="W1149" s="229" t="str">
        <f>IFERROR(__xludf.DUMMYFUNCTION("""COMPUTED_VALUE"""),"LEVITA INDRIYANI")</f>
        <v>LEVITA INDRIYANI</v>
      </c>
      <c r="X1149" s="229" t="str">
        <f>IFERROR(__xludf.DUMMYFUNCTION("""COMPUTED_VALUE"""),"BELUM GOLIVE")</f>
        <v>BELUM GOLIVE</v>
      </c>
      <c r="Y1149" s="229"/>
      <c r="Z1149" s="229" t="str">
        <f>IFERROR(__xludf.DUMMYFUNCTION("""COMPUTED_VALUE"""),"#N/A")</f>
        <v>#N/A</v>
      </c>
      <c r="AA1149" s="229"/>
      <c r="AB1149" s="229"/>
      <c r="AC1149" s="229"/>
      <c r="AD1149" s="232"/>
      <c r="AE1149" s="233"/>
      <c r="AF1149" s="54"/>
      <c r="AG1149" s="54"/>
      <c r="AH1149" s="54"/>
      <c r="AI1149" s="55" t="str">
        <f t="shared" ref="AI1149:AI1160" si="126">IF(OR(R1149="",AE1149=""),"",R1149-AE1149)</f>
        <v/>
      </c>
      <c r="AW1149" s="234"/>
      <c r="BP1149" s="11"/>
      <c r="BQ1149" s="11"/>
      <c r="BR1149" s="235"/>
      <c r="BV1149" s="158"/>
      <c r="BY1149" s="158"/>
      <c r="CB1149" s="158"/>
    </row>
    <row r="1150" ht="18.0" hidden="1" customHeight="1">
      <c r="A1150" s="222">
        <f>IFERROR(__xludf.DUMMYFUNCTION("""COMPUTED_VALUE"""),2026.0)</f>
        <v>2026</v>
      </c>
      <c r="B1150" s="221">
        <f>IFERROR(__xludf.DUMMYFUNCTION("""COMPUTED_VALUE"""),1.0897517E7)</f>
        <v>10897517</v>
      </c>
      <c r="C1150" s="222" t="str">
        <f>IFERROR(__xludf.DUMMYFUNCTION("""COMPUTED_VALUE"""),"JBI-PT3 BRANCHING-SKT-FA-DARMANSYAH SAPUTRA")</f>
        <v>JBI-PT3 BRANCHING-SKT-FA-DARMANSYAH SAPUTRA</v>
      </c>
      <c r="D1150" s="222" t="str">
        <f>IFERROR(__xludf.DUMMYFUNCTION("""COMPUTED_VALUE"""),"REGIONAL I")</f>
        <v>REGIONAL I</v>
      </c>
      <c r="E1150" s="222" t="str">
        <f>IFERROR(__xludf.DUMMYFUNCTION("""COMPUTED_VALUE"""),"JAMBI")</f>
        <v>JAMBI</v>
      </c>
      <c r="F1150" s="222" t="str">
        <f>IFERROR(__xludf.DUMMYFUNCTION("""COMPUTED_VALUE"""),"SRJ")</f>
        <v>SRJ</v>
      </c>
      <c r="G1150" s="222" t="str">
        <f>IFERROR(__xludf.DUMMYFUNCTION("""COMPUTED_VALUE"""),"SUMBAGSEL")</f>
        <v>SUMBAGSEL</v>
      </c>
      <c r="H1150" s="222" t="str">
        <f>IFERROR(__xludf.DUMMYFUNCTION("""COMPUTED_VALUE"""),"JAMBI")</f>
        <v>JAMBI</v>
      </c>
      <c r="I1150" s="222" t="str">
        <f>IFERROR(__xludf.DUMMYFUNCTION("""COMPUTED_VALUE"""),"Batch 2")</f>
        <v>Batch 2</v>
      </c>
      <c r="J1150" s="225">
        <f>IFERROR(__xludf.DUMMYFUNCTION("""COMPUTED_VALUE"""),1.0)</f>
        <v>1</v>
      </c>
      <c r="K1150" s="224">
        <f>IFERROR(__xludf.DUMMYFUNCTION("""COMPUTED_VALUE"""),8.0)</f>
        <v>8</v>
      </c>
      <c r="L1150" s="226">
        <f>IFERROR(__xludf.DUMMYFUNCTION("""COMPUTED_VALUE"""),868144.0)</f>
        <v>868144</v>
      </c>
      <c r="M1150" s="227">
        <f>IFERROR(__xludf.DUMMYFUNCTION("""COMPUTED_VALUE"""),6945151.0)</f>
        <v>6945151</v>
      </c>
      <c r="N1150" s="222" t="str">
        <f>IFERROR(__xludf.DUMMYFUNCTION("""COMPUTED_VALUE"""),"PT TSUIKA BERKAH RAYA")</f>
        <v>PT TSUIKA BERKAH RAYA</v>
      </c>
      <c r="O1150" s="222" t="str">
        <f>IFERROR(__xludf.DUMMYFUNCTION("""COMPUTED_VALUE"""),"0. DROP")</f>
        <v>0. DROP</v>
      </c>
      <c r="P1150" s="222" t="str">
        <f>IFERROR(__xludf.DUMMYFUNCTION("""COMPUTED_VALUE"""),"0.5 DROP TSEL - Acc ED TIF")</f>
        <v>0.5 DROP TSEL - Acc ED TIF</v>
      </c>
      <c r="Q1150" s="222" t="str">
        <f>IFERROR(__xludf.DUMMYFUNCTION("""COMPUTED_VALUE"""),"09/04 BA Drop Sirkulir - Permintaan Tsel Market tidak OK  (12/1) BA Drop Sirkulir-PELANGGAN SUDAH BERLANGGANAN ICON NET  (06/01)order JPP batch-2 2026 ((18/11) tidak masuk target optimis 2025 (17/11 kendala mitra ,redesign 10/11 matdel (05/11)Req Material"&amp;" (15/10) Mapping Mitra")</f>
        <v>09/04 BA Drop Sirkulir - Permintaan Tsel Market tidak OK  (12/1) BA Drop Sirkulir-PELANGGAN SUDAH BERLANGGANAN ICON NET  (06/01)order JPP batch-2 2026 ((18/11) tidak masuk target optimis 2025 (17/11 kendala mitra ,redesign 10/11 matdel (05/11)Req Material (15/10) Mapping Mitra</v>
      </c>
      <c r="R1150" s="228"/>
      <c r="S1150" s="11"/>
      <c r="T1150" s="11"/>
      <c r="U1150" s="11"/>
      <c r="V1150" s="229"/>
      <c r="W1150" s="229"/>
      <c r="X1150" s="229" t="str">
        <f>IFERROR(__xludf.DUMMYFUNCTION("""COMPUTED_VALUE"""),"BELUM GOLIVE")</f>
        <v>BELUM GOLIVE</v>
      </c>
      <c r="Y1150" s="229"/>
      <c r="Z1150" s="229" t="str">
        <f>IFERROR(__xludf.DUMMYFUNCTION("""COMPUTED_VALUE"""),"#N/A")</f>
        <v>#N/A</v>
      </c>
      <c r="AA1150" s="229"/>
      <c r="AB1150" s="229"/>
      <c r="AC1150" s="229"/>
      <c r="AD1150" s="232"/>
      <c r="AE1150" s="233"/>
      <c r="AF1150" s="54"/>
      <c r="AG1150" s="54"/>
      <c r="AH1150" s="54"/>
      <c r="AI1150" s="55" t="str">
        <f t="shared" si="126"/>
        <v/>
      </c>
      <c r="AW1150" s="234"/>
      <c r="BP1150" s="11"/>
      <c r="BQ1150" s="11"/>
      <c r="BR1150" s="235"/>
      <c r="BV1150" s="158"/>
      <c r="BY1150" s="158"/>
      <c r="CB1150" s="158"/>
    </row>
    <row r="1151" ht="18.0" hidden="1" customHeight="1">
      <c r="A1151" s="222">
        <f>IFERROR(__xludf.DUMMYFUNCTION("""COMPUTED_VALUE"""),2026.0)</f>
        <v>2026</v>
      </c>
      <c r="B1151" s="221">
        <f>IFERROR(__xludf.DUMMYFUNCTION("""COMPUTED_VALUE"""),1.2438803E7)</f>
        <v>12438803</v>
      </c>
      <c r="C1151" s="222" t="str">
        <f>IFERROR(__xludf.DUMMYFUNCTION("""COMPUTED_VALUE"""),"SMS P4I4 PT3 LLG FAT D02 AJI KLM PANCING")</f>
        <v>SMS P4I4 PT3 LLG FAT D02 AJI KLM PANCING</v>
      </c>
      <c r="D1151" s="222" t="str">
        <f>IFERROR(__xludf.DUMMYFUNCTION("""COMPUTED_VALUE"""),"REGIONAL I")</f>
        <v>REGIONAL I</v>
      </c>
      <c r="E1151" s="222" t="str">
        <f>IFERROR(__xludf.DUMMYFUNCTION("""COMPUTED_VALUE"""),"SUMSEL")</f>
        <v>SUMSEL</v>
      </c>
      <c r="F1151" s="222" t="str">
        <f>IFERROR(__xludf.DUMMYFUNCTION("""COMPUTED_VALUE"""),"LLG")</f>
        <v>LLG</v>
      </c>
      <c r="G1151" s="222" t="str">
        <f>IFERROR(__xludf.DUMMYFUNCTION("""COMPUTED_VALUE"""),"SUMBAGSEL")</f>
        <v>SUMBAGSEL</v>
      </c>
      <c r="H1151" s="222" t="str">
        <f>IFERROR(__xludf.DUMMYFUNCTION("""COMPUTED_VALUE"""),"BENGKULU")</f>
        <v>BENGKULU</v>
      </c>
      <c r="I1151" s="222" t="str">
        <f>IFERROR(__xludf.DUMMYFUNCTION("""COMPUTED_VALUE"""),"Batch 2")</f>
        <v>Batch 2</v>
      </c>
      <c r="J1151" s="225">
        <f>IFERROR(__xludf.DUMMYFUNCTION("""COMPUTED_VALUE"""),3.0)</f>
        <v>3</v>
      </c>
      <c r="K1151" s="224">
        <f>IFERROR(__xludf.DUMMYFUNCTION("""COMPUTED_VALUE"""),24.0)</f>
        <v>24</v>
      </c>
      <c r="L1151" s="226">
        <f>IFERROR(__xludf.DUMMYFUNCTION("""COMPUTED_VALUE"""),867324.0)</f>
        <v>867324</v>
      </c>
      <c r="M1151" s="227">
        <f>IFERROR(__xludf.DUMMYFUNCTION("""COMPUTED_VALUE"""),2.0815762E7)</f>
        <v>20815762</v>
      </c>
      <c r="N1151" s="222" t="str">
        <f>IFERROR(__xludf.DUMMYFUNCTION("""COMPUTED_VALUE"""),"PT HAN SUNG INDONESIA")</f>
        <v>PT HAN SUNG INDONESIA</v>
      </c>
      <c r="O1151" s="222" t="str">
        <f>IFERROR(__xludf.DUMMYFUNCTION("""COMPUTED_VALUE"""),"7. GOLIVE")</f>
        <v>7. GOLIVE</v>
      </c>
      <c r="P1151" s="222" t="str">
        <f>IFERROR(__xludf.DUMMYFUNCTION("""COMPUTED_VALUE"""),"7.2 Golive Full / OA / DONE OTB")</f>
        <v>7.2 Golive Full / OA / DONE OTB</v>
      </c>
      <c r="Q1151" s="222" t="str">
        <f>IFERROR(__xludf.DUMMYFUNCTION("""COMPUTED_VALUE"""),"10/03 GOLIVE, 09/03 MENUNGGU GOLIVE, 07/03 DONE SUBMIT ABD KE SDI, 05/03 OGP VALINS, 03/03 OGP VALINS, 02/03 3 MAR PLAN INSTAL ODP, (28/2) sisaa instal odp , plan rabu 3 mar 27/02 MENUNGGU  ANTRIAN PEKERJAAN JL SUHADA 24/02 PENARIKAN KABEL, (22/2) menungg"&amp;"u antrian pekerjaan  (14/2)material onsite  12/02 PROSES MATDEL, 11/2 PLAN 12 FEB MATDEL  09/02, DONE INPUT MATERIAL, 6/2 sdh create PID - kendala di ALISTA  04/02 LANJUT DRM, (30/01) DONE EVAL, LANJUT PROGRES, (26/1) tim TIF belum bisa EVAL hasil anwijzi"&amp;"ng karena lagi diluar kota , estimasi 29 jan baru kembali ke Palembang(24/1) menunggu hasil eval ke tif plan 26 jan  (21/01) done aanwizjing, proses pembuatan update anawjizng untuk eval dg tif,  (06/01)order JPP batch-2 2026 ((14/11)HOLD-  tidak masuk ta"&amp;"rget Optimis 2025 (
14/01 sudah penunjukan mitra oleh procurement")</f>
        <v>10/03 GOLIVE, 09/03 MENUNGGU GOLIVE, 07/03 DONE SUBMIT ABD KE SDI, 05/03 OGP VALINS, 03/03 OGP VALINS, 02/03 3 MAR PLAN INSTAL ODP, (28/2) sisaa instal odp , plan rabu 3 mar 27/02 MENUNGGU  ANTRIAN PEKERJAAN JL SUHADA 24/02 PENARIKAN KABEL, (22/2) menunggu antrian pekerjaan  (14/2)material onsite  12/02 PROSES MATDEL, 11/2 PLAN 12 FEB MATDEL  09/02, DONE INPUT MATERIAL, 6/2 sdh create PID - kendala di ALISTA  04/02 LANJUT DRM, (30/01) DONE EVAL, LANJUT PROGRES, (26/1) tim TIF belum bisa EVAL hasil anwijzing karena lagi diluar kota , estimasi 29 jan baru kembali ke Palembang(24/1) menunggu hasil eval ke tif plan 26 jan  (21/01) done aanwizjing, proses pembuatan update anawjizng untuk eval dg tif,  (06/01)order JPP batch-2 2026 ((14/11)HOLD-  tidak masuk target Optimis 2025 (
14/01 sudah penunjukan mitra oleh procurement</v>
      </c>
      <c r="R1151" s="228">
        <f>IFERROR(__xludf.DUMMYFUNCTION("""COMPUTED_VALUE"""),46108.0)</f>
        <v>46108</v>
      </c>
      <c r="S1151" s="11" t="str">
        <f>IFERROR(__xludf.DUMMYFUNCTION("""COMPUTED_VALUE"""),"MAR")</f>
        <v>MAR</v>
      </c>
      <c r="T1151" s="11"/>
      <c r="U1151" s="11"/>
      <c r="V1151" s="229" t="str">
        <f>IFERROR(__xludf.DUMMYFUNCTION("""COMPUTED_VALUE"""),"PUTRA")</f>
        <v>PUTRA</v>
      </c>
      <c r="W1151" s="229"/>
      <c r="X1151" s="229" t="str">
        <f>IFERROR(__xludf.DUMMYFUNCTION("""COMPUTED_VALUE"""),"GOLIVE")</f>
        <v>GOLIVE</v>
      </c>
      <c r="Y1151" s="229" t="str">
        <f>IFERROR(__xludf.DUMMYFUNCTION("""COMPUTED_VALUE"""),"DONE")</f>
        <v>DONE</v>
      </c>
      <c r="Z1151" s="229" t="str">
        <f>IFERROR(__xludf.DUMMYFUNCTION("""COMPUTED_VALUE"""),"#N/A")</f>
        <v>#N/A</v>
      </c>
      <c r="AA1151" s="229">
        <f>IFERROR(__xludf.DUMMYFUNCTION("""COMPUTED_VALUE"""),3.0)</f>
        <v>3</v>
      </c>
      <c r="AB1151" s="229"/>
      <c r="AC1151" s="229" t="str">
        <f>IFERROR(__xludf.DUMMYFUNCTION("""COMPUTED_VALUE"""),"8972962#8972967")</f>
        <v>8972962#8972967</v>
      </c>
      <c r="AD1151" s="232">
        <f>IFERROR(__xludf.DUMMYFUNCTION("""COMPUTED_VALUE"""),24.0)</f>
        <v>24</v>
      </c>
      <c r="AE1151" s="233">
        <f>IFERROR(__xludf.DUMMYFUNCTION("""COMPUTED_VALUE"""),46088.0)</f>
        <v>46088</v>
      </c>
      <c r="AF1151" s="54"/>
      <c r="AG1151" s="54"/>
      <c r="AH1151" s="54">
        <v>46108.0</v>
      </c>
      <c r="AI1151" s="55">
        <f t="shared" si="126"/>
        <v>20</v>
      </c>
      <c r="AW1151" s="234"/>
      <c r="BP1151" s="11"/>
      <c r="BQ1151" s="11"/>
      <c r="BR1151" s="235"/>
      <c r="BV1151" s="158"/>
      <c r="BY1151" s="158"/>
      <c r="CB1151" s="158"/>
    </row>
    <row r="1152" ht="18.0" customHeight="1">
      <c r="A1152" s="222">
        <f>IFERROR(__xludf.DUMMYFUNCTION("""COMPUTED_VALUE"""),2026.0)</f>
        <v>2026</v>
      </c>
      <c r="B1152" s="221">
        <f>IFERROR(__xludf.DUMMYFUNCTION("""COMPUTED_VALUE"""),1.1111404E7)</f>
        <v>11111404</v>
      </c>
      <c r="C1152" s="222" t="str">
        <f>IFERROR(__xludf.DUMMYFUNCTION("""COMPUTED_VALUE"""),"SMB P1I1 STTF -  Kapalo koto")</f>
        <v>SMB P1I1 STTF -  Kapalo koto</v>
      </c>
      <c r="D1152" s="222" t="str">
        <f>IFERROR(__xludf.DUMMYFUNCTION("""COMPUTED_VALUE"""),"REGIONAL I")</f>
        <v>REGIONAL I</v>
      </c>
      <c r="E1152" s="222" t="str">
        <f>IFERROR(__xludf.DUMMYFUNCTION("""COMPUTED_VALUE"""),"SUMBAR")</f>
        <v>SUMBAR</v>
      </c>
      <c r="F1152" s="222" t="str">
        <f>IFERROR(__xludf.DUMMYFUNCTION("""COMPUTED_VALUE"""),"PUK")</f>
        <v>PUK</v>
      </c>
      <c r="G1152" s="222" t="str">
        <f>IFERROR(__xludf.DUMMYFUNCTION("""COMPUTED_VALUE"""),"SUMBAGTENG")</f>
        <v>SUMBAGTENG</v>
      </c>
      <c r="H1152" s="222" t="str">
        <f>IFERROR(__xludf.DUMMYFUNCTION("""COMPUTED_VALUE"""),"BUKIT TINGGI")</f>
        <v>BUKIT TINGGI</v>
      </c>
      <c r="I1152" s="222" t="str">
        <f>IFERROR(__xludf.DUMMYFUNCTION("""COMPUTED_VALUE"""),"Batch 2")</f>
        <v>Batch 2</v>
      </c>
      <c r="J1152" s="225">
        <f>IFERROR(__xludf.DUMMYFUNCTION("""COMPUTED_VALUE"""),1.0)</f>
        <v>1</v>
      </c>
      <c r="K1152" s="224">
        <f>IFERROR(__xludf.DUMMYFUNCTION("""COMPUTED_VALUE"""),8.0)</f>
        <v>8</v>
      </c>
      <c r="L1152" s="226">
        <f>IFERROR(__xludf.DUMMYFUNCTION("""COMPUTED_VALUE"""),866875.0)</f>
        <v>866875</v>
      </c>
      <c r="M1152" s="227">
        <f>IFERROR(__xludf.DUMMYFUNCTION("""COMPUTED_VALUE"""),6934996.0)</f>
        <v>6934996</v>
      </c>
      <c r="N1152" s="222" t="str">
        <f>IFERROR(__xludf.DUMMYFUNCTION("""COMPUTED_VALUE"""),"PT PUTRI JAYA AKSES")</f>
        <v>PT PUTRI JAYA AKSES</v>
      </c>
      <c r="O1152" s="222" t="str">
        <f>IFERROR(__xludf.DUMMYFUNCTION("""COMPUTED_VALUE"""),"0. DROP")</f>
        <v>0. DROP</v>
      </c>
      <c r="P1152" s="222" t="str">
        <f>IFERROR(__xludf.DUMMYFUNCTION("""COMPUTED_VALUE"""),"0.5 DROP TSEL - Acc ED TIF")</f>
        <v>0.5 DROP TSEL - Acc ED TIF</v>
      </c>
      <c r="Q1152" s="222" t="str">
        <f>IFERROR(__xludf.DUMMYFUNCTION("""COMPUTED_VALUE"""),"(04/03) Dist 2 PUK-FA Full (02/03) proses aanwijziing (26/01) DROP, permintaan tsel (tidak potensial) ")</f>
        <v>(04/03) Dist 2 PUK-FA Full (02/03) proses aanwijziing (26/01) DROP, permintaan tsel (tidak potensial) </v>
      </c>
      <c r="R1152" s="228"/>
      <c r="S1152" s="11"/>
      <c r="T1152" s="11"/>
      <c r="U1152" s="11"/>
      <c r="V1152" s="229"/>
      <c r="W1152" s="229"/>
      <c r="X1152" s="229" t="str">
        <f>IFERROR(__xludf.DUMMYFUNCTION("""COMPUTED_VALUE"""),"BELUM GOLIVE")</f>
        <v>BELUM GOLIVE</v>
      </c>
      <c r="Y1152" s="229"/>
      <c r="Z1152" s="229" t="str">
        <f>IFERROR(__xludf.DUMMYFUNCTION("""COMPUTED_VALUE"""),"#N/A")</f>
        <v>#N/A</v>
      </c>
      <c r="AA1152" s="229"/>
      <c r="AB1152" s="229"/>
      <c r="AC1152" s="229"/>
      <c r="AD1152" s="232"/>
      <c r="AE1152" s="233"/>
      <c r="AF1152" s="54"/>
      <c r="AG1152" s="54"/>
      <c r="AH1152" s="54"/>
      <c r="AI1152" s="55" t="str">
        <f t="shared" si="126"/>
        <v/>
      </c>
      <c r="AW1152" s="234"/>
      <c r="BP1152" s="11"/>
      <c r="BQ1152" s="11"/>
      <c r="BR1152" s="235"/>
      <c r="BV1152" s="158"/>
      <c r="BY1152" s="158"/>
      <c r="CB1152" s="158"/>
    </row>
    <row r="1153" ht="18.0" hidden="1" customHeight="1">
      <c r="A1153" s="222">
        <f>IFERROR(__xludf.DUMMYFUNCTION("""COMPUTED_VALUE"""),2026.0)</f>
        <v>2026</v>
      </c>
      <c r="B1153" s="221">
        <f>IFERROR(__xludf.DUMMYFUNCTION("""COMPUTED_VALUE"""),1.2268338E7)</f>
        <v>12268338</v>
      </c>
      <c r="C1153" s="222" t="str">
        <f>IFERROR(__xludf.DUMMYFUNCTION("""COMPUTED_VALUE"""),"SMU PT3 RAP-FAC D05 CLUST HOCKLEY")</f>
        <v>SMU PT3 RAP-FAC D05 CLUST HOCKLEY</v>
      </c>
      <c r="D1153" s="222" t="str">
        <f>IFERROR(__xludf.DUMMYFUNCTION("""COMPUTED_VALUE"""),"REGIONAL I")</f>
        <v>REGIONAL I</v>
      </c>
      <c r="E1153" s="222" t="str">
        <f>IFERROR(__xludf.DUMMYFUNCTION("""COMPUTED_VALUE"""),"SUMUT")</f>
        <v>SUMUT</v>
      </c>
      <c r="F1153" s="222" t="str">
        <f>IFERROR(__xludf.DUMMYFUNCTION("""COMPUTED_VALUE"""),"RAP")</f>
        <v>RAP</v>
      </c>
      <c r="G1153" s="222" t="str">
        <f>IFERROR(__xludf.DUMMYFUNCTION("""COMPUTED_VALUE"""),"SUMBAGUT")</f>
        <v>SUMBAGUT</v>
      </c>
      <c r="H1153" s="222" t="str">
        <f>IFERROR(__xludf.DUMMYFUNCTION("""COMPUTED_VALUE"""),"RANTAU PRAPAT")</f>
        <v>RANTAU PRAPAT</v>
      </c>
      <c r="I1153" s="222" t="str">
        <f>IFERROR(__xludf.DUMMYFUNCTION("""COMPUTED_VALUE"""),"Batch 2")</f>
        <v>Batch 2</v>
      </c>
      <c r="J1153" s="225">
        <f>IFERROR(__xludf.DUMMYFUNCTION("""COMPUTED_VALUE"""),8.0)</f>
        <v>8</v>
      </c>
      <c r="K1153" s="224">
        <f>IFERROR(__xludf.DUMMYFUNCTION("""COMPUTED_VALUE"""),64.0)</f>
        <v>64</v>
      </c>
      <c r="L1153" s="226">
        <f>IFERROR(__xludf.DUMMYFUNCTION("""COMPUTED_VALUE"""),866591.0)</f>
        <v>866591</v>
      </c>
      <c r="M1153" s="227">
        <f>IFERROR(__xludf.DUMMYFUNCTION("""COMPUTED_VALUE"""),5.5461823E7)</f>
        <v>55461823</v>
      </c>
      <c r="N1153" s="222" t="str">
        <f>IFERROR(__xludf.DUMMYFUNCTION("""COMPUTED_VALUE"""),"PT UPAYA TEKNIK")</f>
        <v>PT UPAYA TEKNIK</v>
      </c>
      <c r="O1153" s="222" t="str">
        <f>IFERROR(__xludf.DUMMYFUNCTION("""COMPUTED_VALUE"""),"7. GOLIVE")</f>
        <v>7. GOLIVE</v>
      </c>
      <c r="P1153" s="222" t="str">
        <f>IFERROR(__xludf.DUMMYFUNCTION("""COMPUTED_VALUE"""),"7.2 Golive Full / OA / DONE OTB")</f>
        <v>7.2 Golive Full / OA / DONE OTB</v>
      </c>
      <c r="Q1153" s="222" t="str">
        <f>IFERROR(__xludf.DUMMYFUNCTION("""COMPUTED_VALUE"""),"5/3 validasi sdi, 4/3 proses abd mancore, 3/3 plan hari ini terminasi 8 odp sisa 4, 2/3 plan hari ini terminasi 8 odp pararel valins, 27/2 plan jointer kelokasi sisa instal 8 odp, kabel 24 (1660 selesai, ku 12 (350selesai,  tiang 3 selesai,  25/2 sisa ins"&amp;"tal 8 odp, kabel 24 (1660 selesai, ku 12 (350selesai,  tiang 3 selesai,  22/2 penarikan kabel 24 (1660 selesai, ku 12 (350 blm progres, odp 8 blm progres, tiang 3 selesai, 20/2 proses req matrial, 19/2 proses req paralle izin desa,18/2 proses survey titik"&amp;" reloc kendala izin devloper, 16/2 proses survey titik reloc kendala izin devloper, 13/2 pengajuan ke branch terkait  izin pembangunan 6 btanag tiang dan 2 odp di wilayah perumahan dengan comcase 15 jt dan plan redesign, 12/2 proses negosiasi terkait izin"&amp;" pembangunan 6 btanag tiang dan 2 odp di wilayah perumahan dengan comcase 15 jt, 11/2 proses negosiasi terkait izin pembangunan 6 btanag tiang dan 2 odp di wilayah perumahan dengan comcase 15 jt, 10/2 proses negosiasi terkait izin pembangunan 6 btanag tia"&amp;"ng dan 2 odp di wilayah perumahan dengan comcase 15 jt, 9/2 proses negosiasi terkait izin pembangunan 6 btanag tiang dan 2 odp di wilayah perumahan dengan comcase 15 jt, 6/2 plan team kelokasi 7 feb terkait pengurusan izin devoper dan desa, 5/2 proses req"&amp;" material pararel perijinan desa ,  3/2 proses req material pararel perijinan desa , 2/2 proses req matrial paralel perizinan ke desa, 1/2  revisi boq kml survey, 30/1 revisi boq kml survey dan vol qe feeder ( sisia feeder 10 port, 6 core tidak tembus di "&amp;"titik , 4 core cut di titik 4,6 km),  28/1 revisi boq kml survey dan vol qe feeder ( sisia feeder 10 port, 6 core tidak tembus di titik , 4 core cut di titik 4,6 km), 27/1 menunggu boq kml hasil survey incloude kebutuhan qe,  26/1 menunggu boq kml hasil s"&amp;"urvey incloude kebutuhan qe,   23/1 menunggu boq kml hasil survey incloude kebutuhan qe,  22/1 menunggu boq kml hasil survey incloude kebutuhan qe, 21/1 menunggu report paralel boq kml hasil survey incloude kebutuhan qe, 20/1 menunggu report paralel boq k"&amp;"ml hasil survey incloude kebutuhan qe, 18/1 plan survey  19/1,15/1 plan survey 19/1, 14/1 plan survey 19/1 s/d 21/1, 13/1 menunggu info kelanjutan dari mitra, (07/01) Persiapan")</f>
        <v>5/3 validasi sdi, 4/3 proses abd mancore, 3/3 plan hari ini terminasi 8 odp sisa 4, 2/3 plan hari ini terminasi 8 odp pararel valins, 27/2 plan jointer kelokasi sisa instal 8 odp, kabel 24 (1660 selesai, ku 12 (350selesai,  tiang 3 selesai,  25/2 sisa instal 8 odp, kabel 24 (1660 selesai, ku 12 (350selesai,  tiang 3 selesai,  22/2 penarikan kabel 24 (1660 selesai, ku 12 (350 blm progres, odp 8 blm progres, tiang 3 selesai, 20/2 proses req matrial, 19/2 proses req paralle izin desa,18/2 proses survey titik reloc kendala izin devloper, 16/2 proses survey titik reloc kendala izin devloper, 13/2 pengajuan ke branch terkait  izin pembangunan 6 btanag tiang dan 2 odp di wilayah perumahan dengan comcase 15 jt dan plan redesign, 12/2 proses negosiasi terkait izin pembangunan 6 btanag tiang dan 2 odp di wilayah perumahan dengan comcase 15 jt, 11/2 proses negosiasi terkait izin pembangunan 6 btanag tiang dan 2 odp di wilayah perumahan dengan comcase 15 jt, 10/2 proses negosiasi terkait izin pembangunan 6 btanag tiang dan 2 odp di wilayah perumahan dengan comcase 15 jt, 9/2 proses negosiasi terkait izin pembangunan 6 btanag tiang dan 2 odp di wilayah perumahan dengan comcase 15 jt, 6/2 plan team kelokasi 7 feb terkait pengurusan izin devoper dan desa, 5/2 proses req material pararel perijinan desa ,  3/2 proses req material pararel perijinan desa , 2/2 proses req matrial paralel perizinan ke desa, 1/2  revisi boq kml survey, 30/1 revisi boq kml survey dan vol qe feeder ( sisia feeder 10 port, 6 core tidak tembus di titik , 4 core cut di titik 4,6 km),  28/1 revisi boq kml survey dan vol qe feeder ( sisia feeder 10 port, 6 core tidak tembus di titik , 4 core cut di titik 4,6 km), 27/1 menunggu boq kml hasil survey incloude kebutuhan qe,  26/1 menunggu boq kml hasil survey incloude kebutuhan qe,   23/1 menunggu boq kml hasil survey incloude kebutuhan qe,  22/1 menunggu boq kml hasil survey incloude kebutuhan qe, 21/1 menunggu report paralel boq kml hasil survey incloude kebutuhan qe, 20/1 menunggu report paralel boq kml hasil survey incloude kebutuhan qe, 18/1 plan survey  19/1,15/1 plan survey 19/1, 14/1 plan survey 19/1 s/d 21/1, 13/1 menunggu info kelanjutan dari mitra, (07/01) Persiapan</v>
      </c>
      <c r="R1153" s="228">
        <f>IFERROR(__xludf.DUMMYFUNCTION("""COMPUTED_VALUE"""),46087.0)</f>
        <v>46087</v>
      </c>
      <c r="S1153" s="11" t="str">
        <f>IFERROR(__xludf.DUMMYFUNCTION("""COMPUTED_VALUE"""),"MAR")</f>
        <v>MAR</v>
      </c>
      <c r="T1153" s="11"/>
      <c r="U1153" s="11" t="str">
        <f>IFERROR(__xludf.DUMMYFUNCTION("""COMPUTED_VALUE"""),"W03-1699/2025")</f>
        <v>W03-1699/2025</v>
      </c>
      <c r="V1153" s="229"/>
      <c r="W1153" s="229"/>
      <c r="X1153" s="229" t="str">
        <f>IFERROR(__xludf.DUMMYFUNCTION("""COMPUTED_VALUE"""),"GOLIVE")</f>
        <v>GOLIVE</v>
      </c>
      <c r="Y1153" s="229" t="str">
        <f>IFERROR(__xludf.DUMMYFUNCTION("""COMPUTED_VALUE"""),"DONE")</f>
        <v>DONE</v>
      </c>
      <c r="Z1153" s="229" t="str">
        <f>IFERROR(__xludf.DUMMYFUNCTION("""COMPUTED_VALUE"""),"#N/A")</f>
        <v>#N/A</v>
      </c>
      <c r="AA1153" s="229">
        <f>IFERROR(__xludf.DUMMYFUNCTION("""COMPUTED_VALUE"""),8.0)</f>
        <v>8</v>
      </c>
      <c r="AB1153" s="229"/>
      <c r="AC1153" s="229" t="str">
        <f>IFERROR(__xludf.DUMMYFUNCTION("""COMPUTED_VALUE"""),"9177693#9177698")</f>
        <v>9177693#9177698</v>
      </c>
      <c r="AD1153" s="232">
        <f>IFERROR(__xludf.DUMMYFUNCTION("""COMPUTED_VALUE"""),64.0)</f>
        <v>64</v>
      </c>
      <c r="AE1153" s="233">
        <f>IFERROR(__xludf.DUMMYFUNCTION("""COMPUTED_VALUE"""),46086.0)</f>
        <v>46086</v>
      </c>
      <c r="AF1153" s="54"/>
      <c r="AG1153" s="54"/>
      <c r="AH1153" s="54">
        <v>46087.0</v>
      </c>
      <c r="AI1153" s="55">
        <f t="shared" si="126"/>
        <v>1</v>
      </c>
      <c r="AW1153" s="234"/>
      <c r="BP1153" s="11"/>
      <c r="BQ1153" s="11"/>
      <c r="BR1153" s="235"/>
      <c r="BV1153" s="158"/>
      <c r="BY1153" s="158"/>
      <c r="CB1153" s="158"/>
    </row>
    <row r="1154" ht="18.0" customHeight="1">
      <c r="A1154" s="222">
        <f>IFERROR(__xludf.DUMMYFUNCTION("""COMPUTED_VALUE"""),2026.0)</f>
        <v>2026</v>
      </c>
      <c r="B1154" s="221">
        <f>IFERROR(__xludf.DUMMYFUNCTION("""COMPUTED_VALUE"""),1.1317895E7)</f>
        <v>11317895</v>
      </c>
      <c r="C1154" s="222" t="str">
        <f>IFERROR(__xludf.DUMMYFUNCTION("""COMPUTED_VALUE"""),"RKP PT3 TSEL LBJ-FBE BENGKONG SADAI")</f>
        <v>RKP PT3 TSEL LBJ-FBE BENGKONG SADAI</v>
      </c>
      <c r="D1154" s="222" t="str">
        <f>IFERROR(__xludf.DUMMYFUNCTION("""COMPUTED_VALUE"""),"REGIONAL I")</f>
        <v>REGIONAL I</v>
      </c>
      <c r="E1154" s="222" t="str">
        <f>IFERROR(__xludf.DUMMYFUNCTION("""COMPUTED_VALUE"""),"RIKEP")</f>
        <v>RIKEP</v>
      </c>
      <c r="F1154" s="222" t="str">
        <f>IFERROR(__xludf.DUMMYFUNCTION("""COMPUTED_VALUE"""),"LBJ")</f>
        <v>LBJ</v>
      </c>
      <c r="G1154" s="222" t="str">
        <f>IFERROR(__xludf.DUMMYFUNCTION("""COMPUTED_VALUE"""),"SUMBAGTENG")</f>
        <v>SUMBAGTENG</v>
      </c>
      <c r="H1154" s="222" t="str">
        <f>IFERROR(__xludf.DUMMYFUNCTION("""COMPUTED_VALUE"""),"BATAM")</f>
        <v>BATAM</v>
      </c>
      <c r="I1154" s="222" t="str">
        <f>IFERROR(__xludf.DUMMYFUNCTION("""COMPUTED_VALUE"""),"Batch 2")</f>
        <v>Batch 2</v>
      </c>
      <c r="J1154" s="225">
        <f>IFERROR(__xludf.DUMMYFUNCTION("""COMPUTED_VALUE"""),2.0)</f>
        <v>2</v>
      </c>
      <c r="K1154" s="224">
        <f>IFERROR(__xludf.DUMMYFUNCTION("""COMPUTED_VALUE"""),16.0)</f>
        <v>16</v>
      </c>
      <c r="L1154" s="226">
        <f>IFERROR(__xludf.DUMMYFUNCTION("""COMPUTED_VALUE"""),865747.0)</f>
        <v>865747</v>
      </c>
      <c r="M1154" s="227">
        <f>IFERROR(__xludf.DUMMYFUNCTION("""COMPUTED_VALUE"""),1.3851946E7)</f>
        <v>13851946</v>
      </c>
      <c r="N1154" s="222" t="str">
        <f>IFERROR(__xludf.DUMMYFUNCTION("""COMPUTED_VALUE"""),"PT HDUA PUTRA PRAJODA")</f>
        <v>PT HDUA PUTRA PRAJODA</v>
      </c>
      <c r="O1154" s="222" t="str">
        <f>IFERROR(__xludf.DUMMYFUNCTION("""COMPUTED_VALUE"""),"0. DROP")</f>
        <v>0. DROP</v>
      </c>
      <c r="P1154" s="222" t="str">
        <f>IFERROR(__xludf.DUMMYFUNCTION("""COMPUTED_VALUE"""),"0.2 Tidak Dapat Izin Warga/Kades/Lurah/Developer")</f>
        <v>0.2 Tidak Dapat Izin Warga/Kades/Lurah/Developer</v>
      </c>
      <c r="Q1154" s="222" t="str">
        <f>IFERROR(__xludf.DUMMYFUNCTION("""COMPUTED_VALUE"""),"21/01 RW meminta kompensasi per tiang baru yang di tanam dan wifi gratis")</f>
        <v>21/01 RW meminta kompensasi per tiang baru yang di tanam dan wifi gratis</v>
      </c>
      <c r="R1154" s="228"/>
      <c r="S1154" s="11"/>
      <c r="T1154" s="11"/>
      <c r="U1154" s="11"/>
      <c r="V1154" s="229" t="str">
        <f>IFERROR(__xludf.DUMMYFUNCTION("""COMPUTED_VALUE"""),"RONALDO LEO INFANTRI")</f>
        <v>RONALDO LEO INFANTRI</v>
      </c>
      <c r="W1154" s="229" t="str">
        <f>IFERROR(__xludf.DUMMYFUNCTION("""COMPUTED_VALUE"""),"LEVITA INDRIYANI")</f>
        <v>LEVITA INDRIYANI</v>
      </c>
      <c r="X1154" s="229" t="str">
        <f>IFERROR(__xludf.DUMMYFUNCTION("""COMPUTED_VALUE"""),"BELUM GOLIVE")</f>
        <v>BELUM GOLIVE</v>
      </c>
      <c r="Y1154" s="229"/>
      <c r="Z1154" s="229" t="str">
        <f>IFERROR(__xludf.DUMMYFUNCTION("""COMPUTED_VALUE"""),"#N/A")</f>
        <v>#N/A</v>
      </c>
      <c r="AA1154" s="229"/>
      <c r="AB1154" s="229"/>
      <c r="AC1154" s="229"/>
      <c r="AD1154" s="232"/>
      <c r="AE1154" s="233"/>
      <c r="AF1154" s="54" t="str">
        <f>IFERROR(__xludf.DUMMYFUNCTION("""COMPUTED_VALUE"""),"Draft BA DROP")</f>
        <v>Draft BA DROP</v>
      </c>
      <c r="AG1154" s="54"/>
      <c r="AH1154" s="54"/>
      <c r="AI1154" s="55" t="str">
        <f t="shared" si="126"/>
        <v/>
      </c>
      <c r="AW1154" s="234"/>
      <c r="BP1154" s="11"/>
      <c r="BQ1154" s="11"/>
      <c r="BR1154" s="235"/>
      <c r="BV1154" s="158"/>
      <c r="BY1154" s="158"/>
      <c r="CB1154" s="158"/>
    </row>
    <row r="1155" ht="18.0" hidden="1" customHeight="1">
      <c r="A1155" s="222">
        <f>IFERROR(__xludf.DUMMYFUNCTION("""COMPUTED_VALUE"""),2026.0)</f>
        <v>2026</v>
      </c>
      <c r="B1155" s="221">
        <f>IFERROR(__xludf.DUMMYFUNCTION("""COMPUTED_VALUE"""),1.2393004E7)</f>
        <v>12393004</v>
      </c>
      <c r="C1155" s="222" t="str">
        <f>IFERROR(__xludf.DUMMYFUNCTION("""COMPUTED_VALUE"""),"MDN PT3 STB-FD 250_1670_1563")</f>
        <v>MDN PT3 STB-FD 250_1670_1563</v>
      </c>
      <c r="D1155" s="222" t="str">
        <f>IFERROR(__xludf.DUMMYFUNCTION("""COMPUTED_VALUE"""),"REGIONAL I")</f>
        <v>REGIONAL I</v>
      </c>
      <c r="E1155" s="222" t="str">
        <f>IFERROR(__xludf.DUMMYFUNCTION("""COMPUTED_VALUE"""),"MEDAN")</f>
        <v>MEDAN</v>
      </c>
      <c r="F1155" s="222" t="str">
        <f>IFERROR(__xludf.DUMMYFUNCTION("""COMPUTED_VALUE"""),"STB")</f>
        <v>STB</v>
      </c>
      <c r="G1155" s="222" t="str">
        <f>IFERROR(__xludf.DUMMYFUNCTION("""COMPUTED_VALUE"""),"SUMBAGUT")</f>
        <v>SUMBAGUT</v>
      </c>
      <c r="H1155" s="222" t="str">
        <f>IFERROR(__xludf.DUMMYFUNCTION("""COMPUTED_VALUE"""),"BINJAI")</f>
        <v>BINJAI</v>
      </c>
      <c r="I1155" s="222" t="str">
        <f>IFERROR(__xludf.DUMMYFUNCTION("""COMPUTED_VALUE"""),"Batch 2")</f>
        <v>Batch 2</v>
      </c>
      <c r="J1155" s="225">
        <f>IFERROR(__xludf.DUMMYFUNCTION("""COMPUTED_VALUE"""),3.0)</f>
        <v>3</v>
      </c>
      <c r="K1155" s="224">
        <f>IFERROR(__xludf.DUMMYFUNCTION("""COMPUTED_VALUE"""),24.0)</f>
        <v>24</v>
      </c>
      <c r="L1155" s="226">
        <f>IFERROR(__xludf.DUMMYFUNCTION("""COMPUTED_VALUE"""),865149.0)</f>
        <v>865149</v>
      </c>
      <c r="M1155" s="227">
        <f>IFERROR(__xludf.DUMMYFUNCTION("""COMPUTED_VALUE"""),2.0763556E7)</f>
        <v>20763556</v>
      </c>
      <c r="N1155" s="222" t="str">
        <f>IFERROR(__xludf.DUMMYFUNCTION("""COMPUTED_VALUE"""),"PT FIBERHOME TECHNOLOGIES INDONESIA")</f>
        <v>PT FIBERHOME TECHNOLOGIES INDONESIA</v>
      </c>
      <c r="O1155" s="222" t="str">
        <f>IFERROR(__xludf.DUMMYFUNCTION("""COMPUTED_VALUE"""),"7. GOLIVE")</f>
        <v>7. GOLIVE</v>
      </c>
      <c r="P1155" s="222" t="str">
        <f>IFERROR(__xludf.DUMMYFUNCTION("""COMPUTED_VALUE"""),"7.2 Golive Full / OA / DONE OTB")</f>
        <v>7.2 Golive Full / OA / DONE OTB</v>
      </c>
      <c r="Q1155" s="222" t="str">
        <f>IFERROR(__xludf.DUMMYFUNCTION("""COMPUTED_VALUE"""),"01/04 revisi abd 31/03 Submit ABD 28/02 progres penarikan KU
19/02 input material
18/02 feeder dist ready 
(12/01) penunjukkan mitra, (07/01) Persiapan")</f>
        <v>01/04 revisi abd 31/03 Submit ABD 28/02 progres penarikan KU
19/02 input material
18/02 feeder dist ready 
(12/01) penunjukkan mitra, (07/01) Persiapan</v>
      </c>
      <c r="R1155" s="228">
        <f>IFERROR(__xludf.DUMMYFUNCTION("""COMPUTED_VALUE"""),46113.0)</f>
        <v>46113</v>
      </c>
      <c r="S1155" s="11"/>
      <c r="T1155" s="73"/>
      <c r="U1155" s="11"/>
      <c r="V1155" s="229"/>
      <c r="W1155" s="229" t="str">
        <f>IFERROR(__xludf.DUMMYFUNCTION("""COMPUTED_VALUE"""),"#N/A")</f>
        <v>#N/A</v>
      </c>
      <c r="X1155" s="229" t="str">
        <f>IFERROR(__xludf.DUMMYFUNCTION("""COMPUTED_VALUE"""),"GOLIVE")</f>
        <v>GOLIVE</v>
      </c>
      <c r="Y1155" s="229" t="str">
        <f>IFERROR(__xludf.DUMMYFUNCTION("""COMPUTED_VALUE"""),"DONE")</f>
        <v>DONE</v>
      </c>
      <c r="Z1155" s="229" t="str">
        <f>IFERROR(__xludf.DUMMYFUNCTION("""COMPUTED_VALUE"""),"#N/A")</f>
        <v>#N/A</v>
      </c>
      <c r="AA1155" s="229">
        <f>IFERROR(__xludf.DUMMYFUNCTION("""COMPUTED_VALUE"""),3.0)</f>
        <v>3</v>
      </c>
      <c r="AB1155" s="229"/>
      <c r="AC1155" s="229" t="str">
        <f>IFERROR(__xludf.DUMMYFUNCTION("""COMPUTED_VALUE"""),"9236710#9236715")</f>
        <v>9236710#9236715</v>
      </c>
      <c r="AD1155" s="232">
        <f>IFERROR(__xludf.DUMMYFUNCTION("""COMPUTED_VALUE"""),24.0)</f>
        <v>24</v>
      </c>
      <c r="AE1155" s="233">
        <f>IFERROR(__xludf.DUMMYFUNCTION("""COMPUTED_VALUE"""),46113.0)</f>
        <v>46113</v>
      </c>
      <c r="AF1155" s="54"/>
      <c r="AG1155" s="54"/>
      <c r="AH1155" s="54">
        <v>46113.0</v>
      </c>
      <c r="AI1155" s="55">
        <f t="shared" si="126"/>
        <v>0</v>
      </c>
      <c r="AW1155" s="234"/>
      <c r="BP1155" s="11"/>
      <c r="BQ1155" s="11"/>
      <c r="BR1155" s="235"/>
      <c r="BV1155" s="158"/>
      <c r="BY1155" s="158"/>
      <c r="CB1155" s="158"/>
    </row>
    <row r="1156" ht="18.0" hidden="1" customHeight="1">
      <c r="A1156" s="222">
        <f>IFERROR(__xludf.DUMMYFUNCTION("""COMPUTED_VALUE"""),2026.0)</f>
        <v>2026</v>
      </c>
      <c r="B1156" s="221">
        <f>IFERROR(__xludf.DUMMYFUNCTION("""COMPUTED_VALUE"""),1.1976976E7)</f>
        <v>11976976</v>
      </c>
      <c r="C1156" s="222" t="str">
        <f>IFERROR(__xludf.DUMMYFUNCTION("""COMPUTED_VALUE"""),"SMS P4I1 PT3 TRA FA D03 LRG KERJO 3")</f>
        <v>SMS P4I1 PT3 TRA FA D03 LRG KERJO 3</v>
      </c>
      <c r="D1156" s="222" t="str">
        <f>IFERROR(__xludf.DUMMYFUNCTION("""COMPUTED_VALUE"""),"REGIONAL I")</f>
        <v>REGIONAL I</v>
      </c>
      <c r="E1156" s="222" t="str">
        <f>IFERROR(__xludf.DUMMYFUNCTION("""COMPUTED_VALUE"""),"SUMSEL")</f>
        <v>SUMSEL</v>
      </c>
      <c r="F1156" s="222" t="str">
        <f>IFERROR(__xludf.DUMMYFUNCTION("""COMPUTED_VALUE"""),"TRA")</f>
        <v>TRA</v>
      </c>
      <c r="G1156" s="222" t="str">
        <f>IFERROR(__xludf.DUMMYFUNCTION("""COMPUTED_VALUE"""),"SUMBAGSEL")</f>
        <v>SUMBAGSEL</v>
      </c>
      <c r="H1156" s="222" t="str">
        <f>IFERROR(__xludf.DUMMYFUNCTION("""COMPUTED_VALUE"""),"PALEMBANG")</f>
        <v>PALEMBANG</v>
      </c>
      <c r="I1156" s="222" t="str">
        <f>IFERROR(__xludf.DUMMYFUNCTION("""COMPUTED_VALUE"""),"Batch 2")</f>
        <v>Batch 2</v>
      </c>
      <c r="J1156" s="225">
        <f>IFERROR(__xludf.DUMMYFUNCTION("""COMPUTED_VALUE"""),5.0)</f>
        <v>5</v>
      </c>
      <c r="K1156" s="224">
        <f>IFERROR(__xludf.DUMMYFUNCTION("""COMPUTED_VALUE"""),40.0)</f>
        <v>40</v>
      </c>
      <c r="L1156" s="226">
        <f>IFERROR(__xludf.DUMMYFUNCTION("""COMPUTED_VALUE"""),863740.0)</f>
        <v>863740</v>
      </c>
      <c r="M1156" s="227">
        <f>IFERROR(__xludf.DUMMYFUNCTION("""COMPUTED_VALUE"""),3.4549597E7)</f>
        <v>34549597</v>
      </c>
      <c r="N1156" s="222" t="str">
        <f>IFERROR(__xludf.DUMMYFUNCTION("""COMPUTED_VALUE"""),"PT SARANA MITRA PERSADA")</f>
        <v>PT SARANA MITRA PERSADA</v>
      </c>
      <c r="O1156" s="222" t="str">
        <f>IFERROR(__xludf.DUMMYFUNCTION("""COMPUTED_VALUE"""),"7. GOLIVE")</f>
        <v>7. GOLIVE</v>
      </c>
      <c r="P1156" s="222" t="str">
        <f>IFERROR(__xludf.DUMMYFUNCTION("""COMPUTED_VALUE"""),"7.2 Golive Full / OA / DONE OTB")</f>
        <v>7.2 Golive Full / OA / DONE OTB</v>
      </c>
      <c r="Q1156" s="222" t="str">
        <f>IFERROR(__xludf.DUMMYFUNCTION("""COMPUTED_VALUE"""),"24/04 DONE SUBMIT ABD KE SDI, 23/04 PROSES INSTAL ODP VALINS, 21/04 proses pasang odp dan jumper sto, 17/04 PROSES PENARIKAN KABEL,  13/04 Penanaman tiang &amp; Penarikan 09/04 kabel proses instalasi  08/04 MATDEL  07/04 DONE INPUT MATERIAL, PLAN 08 APR AMBIL"&amp;" MATERIAL, 06/04 PLAN TGL 6 INPUT MATERIAL, 02/04 OGP INPUT MATERIAL, 31/03 EST KIRIM MATERIAL TGL 6 APRIL, 30/03 MASIH KOORDINASI DG MITRA TERKAIT PENGINPUTAN ULANG MATERIAL, 27/03 INPUT ULANG MATERIAL - MSIH KOORDINASI DG MITRA, 21/03 DONE PR PO - EST T"&amp;"GL 30 MAR AMBIL MATERIAL, 13/03 MITRA MENGAMBIL MATERIAL EST 30 MAR, 27/02 MITRA MENGAMBIL MATERIAL SETELAH LEBARAN, 26/02 MENUNGGU APPROVE RFC, 25/02 BLM KELUAR RFC, 24/02 PROGRESS INPUT MATERIAL,  22/2 menunggu material TIANG  20/02 OGP MATDEL - MENUNGG"&amp;"U TIANG KRNA DI GUDANG KOSONG, 15/02 DONE INPUT MATERIAL, 10/2 perubahan design menunggu confirm dari sales TSEL. , plan Matdel 13 FEB  09/02 DONE DRM, 6/2 proses create PID  31/01 menunggu DRM 30/01 DONE EVAL LANJUT PROGRES, 25/01 DONE AANWIDJZING - PERI"&amp;"ZINAN OK, (21/01) HI aanwjizng ke lokasi, (15/1) ORDER DITERIMA 14/1, PLAN AANWIJDZING 21 JAN 26 (06/01)order JPP batch-2 2026 ((14/11)HOLD-  tidak masuk target Optimis 2025 (23/10 penunjukan mitra
15/10 proses penunjukan mitra
(08/10) penunjukan mitra
14"&amp;"/01 penunjukan mitra oleh procurement")</f>
        <v>24/04 DONE SUBMIT ABD KE SDI, 23/04 PROSES INSTAL ODP VALINS, 21/04 proses pasang odp dan jumper sto, 17/04 PROSES PENARIKAN KABEL,  13/04 Penanaman tiang &amp; Penarikan 09/04 kabel proses instalasi  08/04 MATDEL  07/04 DONE INPUT MATERIAL, PLAN 08 APR AMBIL MATERIAL, 06/04 PLAN TGL 6 INPUT MATERIAL, 02/04 OGP INPUT MATERIAL, 31/03 EST KIRIM MATERIAL TGL 6 APRIL, 30/03 MASIH KOORDINASI DG MITRA TERKAIT PENGINPUTAN ULANG MATERIAL, 27/03 INPUT ULANG MATERIAL - MSIH KOORDINASI DG MITRA, 21/03 DONE PR PO - EST TGL 30 MAR AMBIL MATERIAL, 13/03 MITRA MENGAMBIL MATERIAL EST 30 MAR, 27/02 MITRA MENGAMBIL MATERIAL SETELAH LEBARAN, 26/02 MENUNGGU APPROVE RFC, 25/02 BLM KELUAR RFC, 24/02 PROGRESS INPUT MATERIAL,  22/2 menunggu material TIANG  20/02 OGP MATDEL - MENUNGGU TIANG KRNA DI GUDANG KOSONG, 15/02 DONE INPUT MATERIAL, 10/2 perubahan design menunggu confirm dari sales TSEL. , plan Matdel 13 FEB  09/02 DONE DRM, 6/2 proses create PID  31/01 menunggu DRM 30/01 DONE EVAL LANJUT PROGRES, 25/01 DONE AANWIDJZING - PERIZINAN OK, (21/01) HI aanwjizng ke lokasi, (15/1) ORDER DITERIMA 14/1, PLAN AANWIJDZING 21 JAN 26 (06/01)order JPP batch-2 2026 ((14/11)HOLD-  tidak masuk target Optimis 2025 (23/10 penunjukan mitra
15/10 proses penunjukan mitra
(08/10) penunjukan mitra
14/01 penunjukan mitra oleh procurement</v>
      </c>
      <c r="R1156" s="228">
        <f>IFERROR(__xludf.DUMMYFUNCTION("""COMPUTED_VALUE"""),46136.0)</f>
        <v>46136</v>
      </c>
      <c r="S1156" s="11" t="str">
        <f>IFERROR(__xludf.DUMMYFUNCTION("""COMPUTED_VALUE"""),"APR")</f>
        <v>APR</v>
      </c>
      <c r="T1156" s="73" t="str">
        <f>IFERROR(__xludf.DUMMYFUNCTION("""COMPUTED_VALUE"""),"P1")</f>
        <v>P1</v>
      </c>
      <c r="U1156" s="11"/>
      <c r="V1156" s="229" t="str">
        <f>IFERROR(__xludf.DUMMYFUNCTION("""COMPUTED_VALUE"""),"RENALDO")</f>
        <v>RENALDO</v>
      </c>
      <c r="W1156" s="229"/>
      <c r="X1156" s="229" t="str">
        <f>IFERROR(__xludf.DUMMYFUNCTION("""COMPUTED_VALUE"""),"GOLIVE")</f>
        <v>GOLIVE</v>
      </c>
      <c r="Y1156" s="229" t="str">
        <f>IFERROR(__xludf.DUMMYFUNCTION("""COMPUTED_VALUE"""),"DONE")</f>
        <v>DONE</v>
      </c>
      <c r="Z1156" s="229" t="str">
        <f>IFERROR(__xludf.DUMMYFUNCTION("""COMPUTED_VALUE"""),"#N/A")</f>
        <v>#N/A</v>
      </c>
      <c r="AA1156" s="229">
        <f>IFERROR(__xludf.DUMMYFUNCTION("""COMPUTED_VALUE"""),3.0)</f>
        <v>3</v>
      </c>
      <c r="AB1156" s="229"/>
      <c r="AC1156" s="229" t="str">
        <f>IFERROR(__xludf.DUMMYFUNCTION("""COMPUTED_VALUE"""),"8941350#8941355")</f>
        <v>8941350#8941355</v>
      </c>
      <c r="AD1156" s="232">
        <f>IFERROR(__xludf.DUMMYFUNCTION("""COMPUTED_VALUE"""),24.0)</f>
        <v>24</v>
      </c>
      <c r="AE1156" s="233">
        <f>IFERROR(__xludf.DUMMYFUNCTION("""COMPUTED_VALUE"""),46136.0)</f>
        <v>46136</v>
      </c>
      <c r="AF1156" s="54"/>
      <c r="AG1156" s="54"/>
      <c r="AH1156" s="54">
        <v>46133.0</v>
      </c>
      <c r="AI1156" s="55">
        <f t="shared" si="126"/>
        <v>0</v>
      </c>
      <c r="AW1156" s="234"/>
      <c r="BP1156" s="11"/>
      <c r="BQ1156" s="11"/>
      <c r="BR1156" s="235"/>
      <c r="BV1156" s="158"/>
      <c r="BY1156" s="158"/>
      <c r="CB1156" s="158"/>
    </row>
    <row r="1157" ht="18.0" hidden="1" customHeight="1">
      <c r="A1157" s="222">
        <f>IFERROR(__xludf.DUMMYFUNCTION("""COMPUTED_VALUE"""),2026.0)</f>
        <v>2026</v>
      </c>
      <c r="B1157" s="221">
        <f>IFERROR(__xludf.DUMMYFUNCTION("""COMPUTED_VALUE"""),1.1080436E7)</f>
        <v>11080436</v>
      </c>
      <c r="C1157" s="222" t="str">
        <f>IFERROR(__xludf.DUMMYFUNCTION("""COMPUTED_VALUE"""),"ACH PT3 DAR-FAT CEMPAKA PERMAI_MD")</f>
        <v>ACH PT3 DAR-FAT CEMPAKA PERMAI_MD</v>
      </c>
      <c r="D1157" s="222" t="str">
        <f>IFERROR(__xludf.DUMMYFUNCTION("""COMPUTED_VALUE"""),"REGIONAL I")</f>
        <v>REGIONAL I</v>
      </c>
      <c r="E1157" s="222" t="str">
        <f>IFERROR(__xludf.DUMMYFUNCTION("""COMPUTED_VALUE"""),"ACEH")</f>
        <v>ACEH</v>
      </c>
      <c r="F1157" s="222" t="str">
        <f>IFERROR(__xludf.DUMMYFUNCTION("""COMPUTED_VALUE"""),"DAR")</f>
        <v>DAR</v>
      </c>
      <c r="G1157" s="222" t="str">
        <f>IFERROR(__xludf.DUMMYFUNCTION("""COMPUTED_VALUE"""),"SUMBAGUT")</f>
        <v>SUMBAGUT</v>
      </c>
      <c r="H1157" s="222" t="str">
        <f>IFERROR(__xludf.DUMMYFUNCTION("""COMPUTED_VALUE"""),"BANDA ACEH")</f>
        <v>BANDA ACEH</v>
      </c>
      <c r="I1157" s="222" t="str">
        <f>IFERROR(__xludf.DUMMYFUNCTION("""COMPUTED_VALUE"""),"Batch 2")</f>
        <v>Batch 2</v>
      </c>
      <c r="J1157" s="225">
        <f>IFERROR(__xludf.DUMMYFUNCTION("""COMPUTED_VALUE"""),9.0)</f>
        <v>9</v>
      </c>
      <c r="K1157" s="224">
        <f>IFERROR(__xludf.DUMMYFUNCTION("""COMPUTED_VALUE"""),80.0)</f>
        <v>80</v>
      </c>
      <c r="L1157" s="226">
        <f>IFERROR(__xludf.DUMMYFUNCTION("""COMPUTED_VALUE"""),863371.0)</f>
        <v>863371</v>
      </c>
      <c r="M1157" s="227">
        <f>IFERROR(__xludf.DUMMYFUNCTION("""COMPUTED_VALUE"""),6.9069667E7)</f>
        <v>69069667</v>
      </c>
      <c r="N1157" s="222" t="str">
        <f>IFERROR(__xludf.DUMMYFUNCTION("""COMPUTED_VALUE"""),"PT NURISA JAYA PERKASA")</f>
        <v>PT NURISA JAYA PERKASA</v>
      </c>
      <c r="O1157" s="222" t="str">
        <f>IFERROR(__xludf.DUMMYFUNCTION("""COMPUTED_VALUE"""),"7. GOLIVE")</f>
        <v>7. GOLIVE</v>
      </c>
      <c r="P1157" s="222" t="str">
        <f>IFERROR(__xludf.DUMMYFUNCTION("""COMPUTED_VALUE"""),"7.2 Golive Full / OA / DONE OTB")</f>
        <v>7.2 Golive Full / OA / DONE OTB</v>
      </c>
      <c r="Q1157" s="222" t="str">
        <f>IFERROR(__xludf.DUMMYFUNCTION("""COMPUTED_VALUE"""),"25/3 golive
(16/03) Terminasi (12/03) Penarikan Kabel (09/03) Tanam Tiang (07/02) Proses PO Material (12/01) butuh redesain updgrade ODC, (07/01) Persiapan")</f>
        <v>25/3 golive
(16/03) Terminasi (12/03) Penarikan Kabel (09/03) Tanam Tiang (07/02) Proses PO Material (12/01) butuh redesain updgrade ODC, (07/01) Persiapan</v>
      </c>
      <c r="R1157" s="228">
        <f>IFERROR(__xludf.DUMMYFUNCTION("""COMPUTED_VALUE"""),46112.0)</f>
        <v>46112</v>
      </c>
      <c r="S1157" s="11" t="str">
        <f>IFERROR(__xludf.DUMMYFUNCTION("""COMPUTED_VALUE"""),"MAR")</f>
        <v>MAR</v>
      </c>
      <c r="T1157" s="11"/>
      <c r="U1157" s="11"/>
      <c r="V1157" s="229"/>
      <c r="W1157" s="229"/>
      <c r="X1157" s="229" t="str">
        <f>IFERROR(__xludf.DUMMYFUNCTION("""COMPUTED_VALUE"""),"GOLIVE")</f>
        <v>GOLIVE</v>
      </c>
      <c r="Y1157" s="229" t="str">
        <f>IFERROR(__xludf.DUMMYFUNCTION("""COMPUTED_VALUE"""),"DONE")</f>
        <v>DONE</v>
      </c>
      <c r="Z1157" s="229" t="str">
        <f>IFERROR(__xludf.DUMMYFUNCTION("""COMPUTED_VALUE"""),"#N/A")</f>
        <v>#N/A</v>
      </c>
      <c r="AA1157" s="229">
        <f>IFERROR(__xludf.DUMMYFUNCTION("""COMPUTED_VALUE"""),12.0)</f>
        <v>12</v>
      </c>
      <c r="AB1157" s="229"/>
      <c r="AC1157" s="229" t="str">
        <f>IFERROR(__xludf.DUMMYFUNCTION("""COMPUTED_VALUE"""),"9197993#9197998")</f>
        <v>9197993#9197998</v>
      </c>
      <c r="AD1157" s="232">
        <f>IFERROR(__xludf.DUMMYFUNCTION("""COMPUTED_VALUE"""),96.0)</f>
        <v>96</v>
      </c>
      <c r="AE1157" s="233">
        <f>IFERROR(__xludf.DUMMYFUNCTION("""COMPUTED_VALUE"""),46106.0)</f>
        <v>46106</v>
      </c>
      <c r="AF1157" s="54"/>
      <c r="AG1157" s="54"/>
      <c r="AH1157" s="54">
        <v>46112.0</v>
      </c>
      <c r="AI1157" s="55">
        <f t="shared" si="126"/>
        <v>6</v>
      </c>
      <c r="AW1157" s="234"/>
      <c r="BP1157" s="11"/>
      <c r="BQ1157" s="11"/>
      <c r="BR1157" s="235"/>
      <c r="BV1157" s="158"/>
      <c r="BY1157" s="158"/>
      <c r="CB1157" s="158"/>
    </row>
    <row r="1158" ht="18.0" hidden="1" customHeight="1">
      <c r="A1158" s="222">
        <f>IFERROR(__xludf.DUMMYFUNCTION("""COMPUTED_VALUE"""),2026.0)</f>
        <v>2026</v>
      </c>
      <c r="B1158" s="221">
        <f>IFERROR(__xludf.DUMMYFUNCTION("""COMPUTED_VALUE"""),1.1420305E7)</f>
        <v>11420305</v>
      </c>
      <c r="C1158" s="222" t="str">
        <f>IFERROR(__xludf.DUMMYFUNCTION("""COMPUTED_VALUE"""),"SMS P3I1 PT3 SKY FV MUSI BANYUASIN 11691")</f>
        <v>SMS P3I1 PT3 SKY FV MUSI BANYUASIN 11691</v>
      </c>
      <c r="D1158" s="222" t="str">
        <f>IFERROR(__xludf.DUMMYFUNCTION("""COMPUTED_VALUE"""),"REGIONAL I")</f>
        <v>REGIONAL I</v>
      </c>
      <c r="E1158" s="222" t="str">
        <f>IFERROR(__xludf.DUMMYFUNCTION("""COMPUTED_VALUE"""),"SUMSEL")</f>
        <v>SUMSEL</v>
      </c>
      <c r="F1158" s="222" t="str">
        <f>IFERROR(__xludf.DUMMYFUNCTION("""COMPUTED_VALUE"""),"SKY")</f>
        <v>SKY</v>
      </c>
      <c r="G1158" s="222" t="str">
        <f>IFERROR(__xludf.DUMMYFUNCTION("""COMPUTED_VALUE"""),"SUMBAGSEL")</f>
        <v>SUMBAGSEL</v>
      </c>
      <c r="H1158" s="222" t="str">
        <f>IFERROR(__xludf.DUMMYFUNCTION("""COMPUTED_VALUE"""),"PALEMBANG")</f>
        <v>PALEMBANG</v>
      </c>
      <c r="I1158" s="222" t="str">
        <f>IFERROR(__xludf.DUMMYFUNCTION("""COMPUTED_VALUE"""),"Batch 2")</f>
        <v>Batch 2</v>
      </c>
      <c r="J1158" s="225">
        <f>IFERROR(__xludf.DUMMYFUNCTION("""COMPUTED_VALUE"""),6.0)</f>
        <v>6</v>
      </c>
      <c r="K1158" s="224">
        <f>IFERROR(__xludf.DUMMYFUNCTION("""COMPUTED_VALUE"""),48.0)</f>
        <v>48</v>
      </c>
      <c r="L1158" s="226">
        <f>IFERROR(__xludf.DUMMYFUNCTION("""COMPUTED_VALUE"""),862222.0)</f>
        <v>862222</v>
      </c>
      <c r="M1158" s="227">
        <f>IFERROR(__xludf.DUMMYFUNCTION("""COMPUTED_VALUE"""),4.1386617E7)</f>
        <v>41386617</v>
      </c>
      <c r="N1158" s="222" t="str">
        <f>IFERROR(__xludf.DUMMYFUNCTION("""COMPUTED_VALUE"""),"PT TRIPUTRA ANDALAN")</f>
        <v>PT TRIPUTRA ANDALAN</v>
      </c>
      <c r="O1158" s="222" t="str">
        <f>IFERROR(__xludf.DUMMYFUNCTION("""COMPUTED_VALUE"""),"0. DROP")</f>
        <v>0. DROP</v>
      </c>
      <c r="P1158" s="222" t="str">
        <f>IFERROR(__xludf.DUMMYFUNCTION("""COMPUTED_VALUE"""),"0.2 Tidak Dapat Izin Warga/Kades/Lurah/Developer")</f>
        <v>0.2 Tidak Dapat Izin Warga/Kades/Lurah/Developer</v>
      </c>
      <c r="Q1158" s="222" t="str">
        <f>IFERROR(__xludf.DUMMYFUNCTION("""COMPUTED_VALUE"""),"09/03  DROP - Jalan kecill, di lokasi ado pipa GAS rumah keruma dan PDAM, selain itu di lokasi banyak kuburan jangkauan untuk penarikan distribusi dan penanaman tiang susah untuk di akses, 27/02 DROP - Jalan kecill, di lokasi ado pipa GAS rumah keruma dan"&amp;" PDAM, selain itu di lokasi banyak kuburan jangkauan untuk penarikan distribusi dan penanaman tiang susah untuk di akses, 06/02 HASIL REVIEW TSEL PROPOSE DROP - REDESIGN, 04/02 DROP, 27/01 DROP, karena isi basetray odc penuh, butuh redesain upgrade odc dr"&amp;"i 144 ke odc 288 (27/01) isi basetray odc penuh, (21/01) stub feeder habis, 07/01) Persiapan (06/01)order JPP batch-2 2026 (25/11 masih perancangan upgrade ODC, 17/11 update ODC, 09/10 ODC Full, perlu redesign &amp; Upgrade ODC, proses perhitungan CPP 08/10 m"&amp;"asih menunggu update dari ED karena cpp naik, dan masuk ruas pu nasional
 (01/10) menunggu update dri ED karena nilai CPP naik
 (19/09) area high comcase, berkoordinasi dg sale suntuk bantu izin dg pihak warga
 15/09 Aanwijzing Done, lanjut perizinan RT/R"&amp;"W tgl 16/09")</f>
        <v>09/03  DROP - Jalan kecill, di lokasi ado pipa GAS rumah keruma dan PDAM, selain itu di lokasi banyak kuburan jangkauan untuk penarikan distribusi dan penanaman tiang susah untuk di akses, 27/02 DROP - Jalan kecill, di lokasi ado pipa GAS rumah keruma dan PDAM, selain itu di lokasi banyak kuburan jangkauan untuk penarikan distribusi dan penanaman tiang susah untuk di akses, 06/02 HASIL REVIEW TSEL PROPOSE DROP - REDESIGN, 04/02 DROP, 27/01 DROP, karena isi basetray odc penuh, butuh redesain upgrade odc dri 144 ke odc 288 (27/01) isi basetray odc penuh, (21/01) stub feeder habis, 07/01) Persiapan (06/01)order JPP batch-2 2026 (25/11 masih perancangan upgrade ODC, 17/11 update ODC, 09/10 ODC Full, perlu redesign &amp; Upgrade ODC, proses perhitungan CPP 08/10 masih menunggu update dari ED karena cpp naik, dan masuk ruas pu nasional
 (01/10) menunggu update dri ED karena nilai CPP naik
 (19/09) area high comcase, berkoordinasi dg sale suntuk bantu izin dg pihak warga
 15/09 Aanwijzing Done, lanjut perizinan RT/RW tgl 16/09</v>
      </c>
      <c r="R1158" s="228"/>
      <c r="S1158" s="11"/>
      <c r="T1158" s="11"/>
      <c r="U1158" s="11"/>
      <c r="V1158" s="229" t="str">
        <f>IFERROR(__xludf.DUMMYFUNCTION("""COMPUTED_VALUE"""),"TEGAR")</f>
        <v>TEGAR</v>
      </c>
      <c r="W1158" s="229"/>
      <c r="X1158" s="229" t="str">
        <f>IFERROR(__xludf.DUMMYFUNCTION("""COMPUTED_VALUE"""),"BELUM GOLIVE")</f>
        <v>BELUM GOLIVE</v>
      </c>
      <c r="Y1158" s="229"/>
      <c r="Z1158" s="229" t="str">
        <f>IFERROR(__xludf.DUMMYFUNCTION("""COMPUTED_VALUE"""),"#N/A")</f>
        <v>#N/A</v>
      </c>
      <c r="AA1158" s="229"/>
      <c r="AB1158" s="229"/>
      <c r="AC1158" s="229"/>
      <c r="AD1158" s="232"/>
      <c r="AE1158" s="233"/>
      <c r="AF1158" s="54" t="str">
        <f>IFERROR(__xludf.DUMMYFUNCTION("""COMPUTED_VALUE"""),"Draft BA DROP")</f>
        <v>Draft BA DROP</v>
      </c>
      <c r="AG1158" s="54"/>
      <c r="AH1158" s="54"/>
      <c r="AI1158" s="55" t="str">
        <f t="shared" si="126"/>
        <v/>
      </c>
      <c r="AW1158" s="234"/>
      <c r="BP1158" s="11"/>
      <c r="BQ1158" s="11"/>
      <c r="BR1158" s="235"/>
      <c r="BV1158" s="158"/>
      <c r="BY1158" s="158"/>
      <c r="CB1158" s="158"/>
    </row>
    <row r="1159" ht="18.0" hidden="1" customHeight="1">
      <c r="A1159" s="222">
        <f>IFERROR(__xludf.DUMMYFUNCTION("""COMPUTED_VALUE"""),2026.0)</f>
        <v>2026</v>
      </c>
      <c r="B1159" s="221">
        <f>IFERROR(__xludf.DUMMYFUNCTION("""COMPUTED_VALUE"""),1.0997428E7)</f>
        <v>10997428</v>
      </c>
      <c r="C1159" s="222" t="str">
        <f>IFERROR(__xludf.DUMMYFUNCTION("""COMPUTED_VALUE"""),"SMU-P7I2-ODC-PMS-FW D12 B MARATUR")</f>
        <v>SMU-P7I2-ODC-PMS-FW D12 B MARATUR</v>
      </c>
      <c r="D1159" s="222" t="str">
        <f>IFERROR(__xludf.DUMMYFUNCTION("""COMPUTED_VALUE"""),"REGIONAL I")</f>
        <v>REGIONAL I</v>
      </c>
      <c r="E1159" s="222" t="str">
        <f>IFERROR(__xludf.DUMMYFUNCTION("""COMPUTED_VALUE"""),"SUMUT")</f>
        <v>SUMUT</v>
      </c>
      <c r="F1159" s="222" t="str">
        <f>IFERROR(__xludf.DUMMYFUNCTION("""COMPUTED_VALUE"""),"PMS")</f>
        <v>PMS</v>
      </c>
      <c r="G1159" s="222" t="str">
        <f>IFERROR(__xludf.DUMMYFUNCTION("""COMPUTED_VALUE"""),"SUMBAGUT")</f>
        <v>SUMBAGUT</v>
      </c>
      <c r="H1159" s="222" t="str">
        <f>IFERROR(__xludf.DUMMYFUNCTION("""COMPUTED_VALUE"""),"PEMATANG SIANTAR")</f>
        <v>PEMATANG SIANTAR</v>
      </c>
      <c r="I1159" s="222" t="str">
        <f>IFERROR(__xludf.DUMMYFUNCTION("""COMPUTED_VALUE"""),"Batch 2")</f>
        <v>Batch 2</v>
      </c>
      <c r="J1159" s="225">
        <f>IFERROR(__xludf.DUMMYFUNCTION("""COMPUTED_VALUE"""),15.0)</f>
        <v>15</v>
      </c>
      <c r="K1159" s="224">
        <f>IFERROR(__xludf.DUMMYFUNCTION("""COMPUTED_VALUE"""),120.0)</f>
        <v>120</v>
      </c>
      <c r="L1159" s="226">
        <f>IFERROR(__xludf.DUMMYFUNCTION("""COMPUTED_VALUE"""),861736.0)</f>
        <v>861736</v>
      </c>
      <c r="M1159" s="227">
        <f>IFERROR(__xludf.DUMMYFUNCTION("""COMPUTED_VALUE"""),1.03408202E8)</f>
        <v>103408202</v>
      </c>
      <c r="N1159" s="222" t="str">
        <f>IFERROR(__xludf.DUMMYFUNCTION("""COMPUTED_VALUE"""),"PT GARINDO TECHNO MANDIRI")</f>
        <v>PT GARINDO TECHNO MANDIRI</v>
      </c>
      <c r="O1159" s="222" t="str">
        <f>IFERROR(__xludf.DUMMYFUNCTION("""COMPUTED_VALUE"""),"3. PERIZINAN")</f>
        <v>3. PERIZINAN</v>
      </c>
      <c r="P1159" s="222" t="str">
        <f>IFERROR(__xludf.DUMMYFUNCTION("""COMPUTED_VALUE"""),"3.1 Submit permohon ke PU")</f>
        <v>3.1 Submit permohon ke PU</v>
      </c>
      <c r="Q1159" s="222" t="str">
        <f>IFERROR(__xludf.DUMMYFUNCTION("""COMPUTED_VALUE"""),"27/4 menunggu ttd GM terkait perizinan pu,  24/4 menunggu ttd GM terkait perizinan pu, 23/4 menunggu ttd GM terkait perizinan pu,  22/4 menunggu ttd GM terkait perizinan pu, 21/4 menunggu ttd GM terkait perizinan pu, 20/4 menunggu ttd GM terkait perizinan"&amp;" pu, 16/4 menunggu ttd GM terkait perizinan pu, 15/4 menunggu approv pengantar izin pu, 14/4 menunggu approv pengantar izin pu, 13/4 menunggu approv pengantar izin pu, 9/4 menunggu approv pengantar izin pu, 8/4 menunggu approv pengantar izin pu, 6/4 menun"&amp;"ggu approv pengantar izin pu,  5/4 menunggu approv pengantar izin pu, 1/4 menunggu approv pengantar izin pu, 31/3 menunggu approv pengantar izin pu, 30/3 menunggu approv pengantar izin pu, 27/3 menunggu approv pengantar izin pu, 26/3 hasil fu kembali deng"&amp;"an PU, mreka akan menginfokan kembali setelah lebaran, 22/3 hasil fu kembali dengan PU, mreka akan menginfokan kembali setelah lebaran,  18/3 hasil fu kembali dengan PU, mreka akan menginfokan kembali setelah lebaran,  16/3 hasil fu kembali dengan PU, mre"&amp;"ka akan menginfokan kembali setelah lebaran, 13/3 menunggu update fu dari pihak pu, 11/3 menunggu update fu dari pihak pu, 10/3 menunggu update fu dari pihak pu, 6/3 menunggu update fu dari pihak pu,  4/3 menunggu update fu dari pihak pu, 3/3 menunggu upd"&amp;"ate fu dari pihak pu, 2/3 menunggu update fu dari pihak pu, 27/2 menunggu update fu dari pihak pu,  25/2 menunggu update fu dari pihak pu, 24/2 menunggu update fu dari pihak pu, 23/2 fu kembali kepihak PU Nasional hari ini, 21/2 fu kembali kepihak PU Nasi"&amp;"onal, 19/2 menunggu approve pengantar izin pu dari GM WITEL,   18/2 menunggu approve pengantar izin pu dari GM WITEL,  16/2 menunggu approve pengantar izin pu dari GM WITEL,  12/2 menunggu approve pengantar izin pu dari GM WITEL,  11/2 menunggu approve pe"&amp;"ngantar izin pu dari GM WITEL, 10/2 menunggu approve pengantar izin pu dari GM WITEL, 9/2 menunggu approve pengantar izin pu dari GM WITEL, 6/2 menunggu approve pengantar izin pu dari GM WITEL, 5/2 menunggu approve pengantar izin pu dari GM WITEL, 4/2 men"&amp;"unggu approve pengantar izin pu dari GM WITEL, 3/2 menunggu pengantar izin pu dari ta, 2/2 menunggu pengantar izin pu dari ta, 1/2 menunggu pengantar izin pu dari ta, 30/1 menunggu pengantar izin pu dari ta, 28/1 menunggu pengantar izin pu dari ta, 27/1 m"&amp;"enunggu req pengantar izin pu dari ta, 26/1  lanjut proses ijin pu nasional, 23/1 menunggu update boq kml survey incloude kebutuhan qe,  22/1 menunggu update boq kml survey,  21/1 menunggu update boq kml survey,  20/1 menunggu update boq kml survey,  19/1"&amp;" menunggu update boq kml survey, 13/1 menunggu info kelanjutan dari mitra est besok 14/1, (07/01) Persiapan")</f>
        <v>27/4 menunggu ttd GM terkait perizinan pu,  24/4 menunggu ttd GM terkait perizinan pu, 23/4 menunggu ttd GM terkait perizinan pu,  22/4 menunggu ttd GM terkait perizinan pu, 21/4 menunggu ttd GM terkait perizinan pu, 20/4 menunggu ttd GM terkait perizinan pu, 16/4 menunggu ttd GM terkait perizinan pu, 15/4 menunggu approv pengantar izin pu, 14/4 menunggu approv pengantar izin pu, 13/4 menunggu approv pengantar izin pu, 9/4 menunggu approv pengantar izin pu, 8/4 menunggu approv pengantar izin pu, 6/4 menunggu approv pengantar izin pu,  5/4 menunggu approv pengantar izin pu, 1/4 menunggu approv pengantar izin pu, 31/3 menunggu approv pengantar izin pu, 30/3 menunggu approv pengantar izin pu, 27/3 menunggu approv pengantar izin pu, 26/3 hasil fu kembali dengan PU, mreka akan menginfokan kembali setelah lebaran, 22/3 hasil fu kembali dengan PU, mreka akan menginfokan kembali setelah lebaran,  18/3 hasil fu kembali dengan PU, mreka akan menginfokan kembali setelah lebaran,  16/3 hasil fu kembali dengan PU, mreka akan menginfokan kembali setelah lebaran, 13/3 menunggu update fu dari pihak pu, 11/3 menunggu update fu dari pihak pu, 10/3 menunggu update fu dari pihak pu, 6/3 menunggu update fu dari pihak pu,  4/3 menunggu update fu dari pihak pu, 3/3 menunggu update fu dari pihak pu, 2/3 menunggu update fu dari pihak pu, 27/2 menunggu update fu dari pihak pu,  25/2 menunggu update fu dari pihak pu, 24/2 menunggu update fu dari pihak pu, 23/2 fu kembali kepihak PU Nasional hari ini, 21/2 fu kembali kepihak PU Nasional, 19/2 menunggu approve pengantar izin pu dari GM WITEL,   18/2 menunggu approve pengantar izin pu dari GM WITEL,  16/2 menunggu approve pengantar izin pu dari GM WITEL,  12/2 menunggu approve pengantar izin pu dari GM WITEL,  11/2 menunggu approve pengantar izin pu dari GM WITEL, 10/2 menunggu approve pengantar izin pu dari GM WITEL, 9/2 menunggu approve pengantar izin pu dari GM WITEL, 6/2 menunggu approve pengantar izin pu dari GM WITEL, 5/2 menunggu approve pengantar izin pu dari GM WITEL, 4/2 menunggu approve pengantar izin pu dari GM WITEL, 3/2 menunggu pengantar izin pu dari ta, 2/2 menunggu pengantar izin pu dari ta, 1/2 menunggu pengantar izin pu dari ta, 30/1 menunggu pengantar izin pu dari ta, 28/1 menunggu pengantar izin pu dari ta, 27/1 menunggu req pengantar izin pu dari ta, 26/1  lanjut proses ijin pu nasional, 23/1 menunggu update boq kml survey incloude kebutuhan qe,  22/1 menunggu update boq kml survey,  21/1 menunggu update boq kml survey,  20/1 menunggu update boq kml survey,  19/1 menunggu update boq kml survey, 13/1 menunggu info kelanjutan dari mitra est besok 14/1, (07/01) Persiapan</v>
      </c>
      <c r="R1159" s="228"/>
      <c r="S1159" s="11"/>
      <c r="T1159" s="73"/>
      <c r="U1159" s="11" t="str">
        <f>IFERROR(__xludf.DUMMYFUNCTION("""COMPUTED_VALUE"""),"TIF-2853/2026")</f>
        <v>TIF-2853/2026</v>
      </c>
      <c r="V1159" s="229" t="str">
        <f>IFERROR(__xludf.DUMMYFUNCTION("""COMPUTED_VALUE"""),"30/Apr/2026")</f>
        <v>30/Apr/2026</v>
      </c>
      <c r="W1159" s="229"/>
      <c r="X1159" s="229" t="str">
        <f>IFERROR(__xludf.DUMMYFUNCTION("""COMPUTED_VALUE"""),"BELUM GOLIVE")</f>
        <v>BELUM GOLIVE</v>
      </c>
      <c r="Y1159" s="229" t="str">
        <f>IFERROR(__xludf.DUMMYFUNCTION("""COMPUTED_VALUE"""),"Izin pu")</f>
        <v>Izin pu</v>
      </c>
      <c r="Z1159" s="229" t="str">
        <f>IFERROR(__xludf.DUMMYFUNCTION("""COMPUTED_VALUE"""),"#N/A")</f>
        <v>#N/A</v>
      </c>
      <c r="AA1159" s="229"/>
      <c r="AB1159" s="229"/>
      <c r="AC1159" s="229"/>
      <c r="AD1159" s="232"/>
      <c r="AE1159" s="233"/>
      <c r="AF1159" s="54"/>
      <c r="AG1159" s="54"/>
      <c r="AH1159" s="54"/>
      <c r="AI1159" s="55" t="str">
        <f t="shared" si="126"/>
        <v/>
      </c>
      <c r="AW1159" s="234"/>
      <c r="BP1159" s="11"/>
      <c r="BQ1159" s="11"/>
      <c r="BR1159" s="235"/>
      <c r="BV1159" s="158"/>
      <c r="BY1159" s="158"/>
      <c r="CB1159" s="158"/>
    </row>
    <row r="1160" ht="18.0" hidden="1" customHeight="1">
      <c r="A1160" s="222">
        <f>IFERROR(__xludf.DUMMYFUNCTION("""COMPUTED_VALUE"""),2026.0)</f>
        <v>2026</v>
      </c>
      <c r="B1160" s="221">
        <f>IFERROR(__xludf.DUMMYFUNCTION("""COMPUTED_VALUE"""),1.1986518E7)</f>
        <v>11986518</v>
      </c>
      <c r="C1160" s="222" t="str">
        <f>IFERROR(__xludf.DUMMYFUNCTION("""COMPUTED_VALUE"""),"ACH DAR PT3 DAR-FQ D08 MIRUK")</f>
        <v>ACH DAR PT3 DAR-FQ D08 MIRUK</v>
      </c>
      <c r="D1160" s="222" t="str">
        <f>IFERROR(__xludf.DUMMYFUNCTION("""COMPUTED_VALUE"""),"REGIONAL I")</f>
        <v>REGIONAL I</v>
      </c>
      <c r="E1160" s="222" t="str">
        <f>IFERROR(__xludf.DUMMYFUNCTION("""COMPUTED_VALUE"""),"ACEH")</f>
        <v>ACEH</v>
      </c>
      <c r="F1160" s="222" t="str">
        <f>IFERROR(__xludf.DUMMYFUNCTION("""COMPUTED_VALUE"""),"DAR")</f>
        <v>DAR</v>
      </c>
      <c r="G1160" s="222" t="str">
        <f>IFERROR(__xludf.DUMMYFUNCTION("""COMPUTED_VALUE"""),"SUMBAGUT")</f>
        <v>SUMBAGUT</v>
      </c>
      <c r="H1160" s="222" t="str">
        <f>IFERROR(__xludf.DUMMYFUNCTION("""COMPUTED_VALUE"""),"BANDA ACEH")</f>
        <v>BANDA ACEH</v>
      </c>
      <c r="I1160" s="222" t="str">
        <f>IFERROR(__xludf.DUMMYFUNCTION("""COMPUTED_VALUE"""),"Batch 2")</f>
        <v>Batch 2</v>
      </c>
      <c r="J1160" s="225">
        <f>IFERROR(__xludf.DUMMYFUNCTION("""COMPUTED_VALUE"""),16.0)</f>
        <v>16</v>
      </c>
      <c r="K1160" s="224">
        <f>IFERROR(__xludf.DUMMYFUNCTION("""COMPUTED_VALUE"""),144.0)</f>
        <v>144</v>
      </c>
      <c r="L1160" s="226">
        <f>IFERROR(__xludf.DUMMYFUNCTION("""COMPUTED_VALUE"""),861510.0)</f>
        <v>861510</v>
      </c>
      <c r="M1160" s="227">
        <f>IFERROR(__xludf.DUMMYFUNCTION("""COMPUTED_VALUE"""),1.24057417E8)</f>
        <v>124057417</v>
      </c>
      <c r="N1160" s="222" t="str">
        <f>IFERROR(__xludf.DUMMYFUNCTION("""COMPUTED_VALUE"""),"PT NIAGA NUSANTARA DIVA")</f>
        <v>PT NIAGA NUSANTARA DIVA</v>
      </c>
      <c r="O1160" s="222" t="str">
        <f>IFERROR(__xludf.DUMMYFUNCTION("""COMPUTED_VALUE"""),"7. GOLIVE")</f>
        <v>7. GOLIVE</v>
      </c>
      <c r="P1160" s="222" t="str">
        <f>IFERROR(__xludf.DUMMYFUNCTION("""COMPUTED_VALUE"""),"7.2 Golive Full / OA / DONE OTB")</f>
        <v>7.2 Golive Full / OA / DONE OTB</v>
      </c>
      <c r="Q1160" s="222" t="str">
        <f>IFERROR(__xludf.DUMMYFUNCTION("""COMPUTED_VALUE"""),"(08/01) KENDALA DIST 8 PPJ-FB FULL (07/01) Persiapan")</f>
        <v>(08/01) KENDALA DIST 8 PPJ-FB FULL (07/01) Persiapan</v>
      </c>
      <c r="R1160" s="228">
        <f>IFERROR(__xludf.DUMMYFUNCTION("""COMPUTED_VALUE"""),46029.0)</f>
        <v>46029</v>
      </c>
      <c r="S1160" s="11"/>
      <c r="T1160" s="11"/>
      <c r="U1160" s="11" t="str">
        <f>IFERROR(__xludf.DUMMYFUNCTION("""COMPUTED_VALUE"""),"W04-914/2025")</f>
        <v>W04-914/2025</v>
      </c>
      <c r="V1160" s="229"/>
      <c r="W1160" s="229"/>
      <c r="X1160" s="229" t="str">
        <f>IFERROR(__xludf.DUMMYFUNCTION("""COMPUTED_VALUE"""),"GOLIVE")</f>
        <v>GOLIVE</v>
      </c>
      <c r="Y1160" s="229" t="str">
        <f>IFERROR(__xludf.DUMMYFUNCTION("""COMPUTED_VALUE"""),"DONE")</f>
        <v>DONE</v>
      </c>
      <c r="Z1160" s="229" t="str">
        <f>IFERROR(__xludf.DUMMYFUNCTION("""COMPUTED_VALUE"""),"#N/A")</f>
        <v>#N/A</v>
      </c>
      <c r="AA1160" s="229">
        <f>IFERROR(__xludf.DUMMYFUNCTION("""COMPUTED_VALUE"""),18.0)</f>
        <v>18</v>
      </c>
      <c r="AB1160" s="229"/>
      <c r="AC1160" s="229" t="str">
        <f>IFERROR(__xludf.DUMMYFUNCTION("""COMPUTED_VALUE"""),"8863812#8863818")</f>
        <v>8863812#8863818</v>
      </c>
      <c r="AD1160" s="232">
        <f>IFERROR(__xludf.DUMMYFUNCTION("""COMPUTED_VALUE"""),144.0)</f>
        <v>144</v>
      </c>
      <c r="AE1160" s="233">
        <f>IFERROR(__xludf.DUMMYFUNCTION("""COMPUTED_VALUE"""),46029.0)</f>
        <v>46029</v>
      </c>
      <c r="AF1160" s="54"/>
      <c r="AG1160" s="54"/>
      <c r="AH1160" s="54">
        <v>46029.0</v>
      </c>
      <c r="AI1160" s="55">
        <f t="shared" si="126"/>
        <v>0</v>
      </c>
      <c r="AW1160" s="234"/>
      <c r="BP1160" s="11"/>
      <c r="BQ1160" s="11"/>
      <c r="BR1160" s="235"/>
      <c r="BV1160" s="158"/>
      <c r="BY1160" s="158"/>
      <c r="CB1160" s="158"/>
    </row>
    <row r="1161" ht="18.0" customHeight="1">
      <c r="A1161" s="222">
        <f>IFERROR(__xludf.DUMMYFUNCTION("""COMPUTED_VALUE"""),2026.0)</f>
        <v>2026</v>
      </c>
      <c r="B1161" s="221">
        <f>IFERROR(__xludf.DUMMYFUNCTION("""COMPUTED_VALUE"""),1.1348055E7)</f>
        <v>11348055</v>
      </c>
      <c r="C1161" s="222" t="str">
        <f>IFERROR(__xludf.DUMMYFUNCTION("""COMPUTED_VALUE"""),"SMB P2I2 Ujang Limun ByPass PPJ Simpang")</f>
        <v>SMB P2I2 Ujang Limun ByPass PPJ Simpang</v>
      </c>
      <c r="D1161" s="222" t="str">
        <f>IFERROR(__xludf.DUMMYFUNCTION("""COMPUTED_VALUE"""),"REGIONAL I")</f>
        <v>REGIONAL I</v>
      </c>
      <c r="E1161" s="222" t="str">
        <f>IFERROR(__xludf.DUMMYFUNCTION("""COMPUTED_VALUE"""),"SUMBAR")</f>
        <v>SUMBAR</v>
      </c>
      <c r="F1161" s="222" t="str">
        <f>IFERROR(__xludf.DUMMYFUNCTION("""COMPUTED_VALUE"""),"PPJ")</f>
        <v>PPJ</v>
      </c>
      <c r="G1161" s="222" t="str">
        <f>IFERROR(__xludf.DUMMYFUNCTION("""COMPUTED_VALUE"""),"SUMBAGTENG")</f>
        <v>SUMBAGTENG</v>
      </c>
      <c r="H1161" s="222" t="str">
        <f>IFERROR(__xludf.DUMMYFUNCTION("""COMPUTED_VALUE"""),"BUKIT TINGGI")</f>
        <v>BUKIT TINGGI</v>
      </c>
      <c r="I1161" s="222" t="str">
        <f>IFERROR(__xludf.DUMMYFUNCTION("""COMPUTED_VALUE"""),"Batch 2")</f>
        <v>Batch 2</v>
      </c>
      <c r="J1161" s="225">
        <f>IFERROR(__xludf.DUMMYFUNCTION("""COMPUTED_VALUE"""),1.0)</f>
        <v>1</v>
      </c>
      <c r="K1161" s="224">
        <f>IFERROR(__xludf.DUMMYFUNCTION("""COMPUTED_VALUE"""),8.0)</f>
        <v>8</v>
      </c>
      <c r="L1161" s="226">
        <f>IFERROR(__xludf.DUMMYFUNCTION("""COMPUTED_VALUE"""),860651.0)</f>
        <v>860651</v>
      </c>
      <c r="M1161" s="227">
        <f>IFERROR(__xludf.DUMMYFUNCTION("""COMPUTED_VALUE"""),6885202.0)</f>
        <v>6885202</v>
      </c>
      <c r="N1161" s="222" t="str">
        <f>IFERROR(__xludf.DUMMYFUNCTION("""COMPUTED_VALUE"""),"PT TRI PENAMAS")</f>
        <v>PT TRI PENAMAS</v>
      </c>
      <c r="O1161" s="222" t="str">
        <f>IFERROR(__xludf.DUMMYFUNCTION("""COMPUTED_VALUE"""),"7. GOLIVE")</f>
        <v>7. GOLIVE</v>
      </c>
      <c r="P1161" s="222" t="str">
        <f>IFERROR(__xludf.DUMMYFUNCTION("""COMPUTED_VALUE"""),"7.2 Golive Full / OA / DONE OTB")</f>
        <v>7.2 Golive Full / OA / DONE OTB</v>
      </c>
      <c r="Q1161" s="222" t="str">
        <f>IFERROR(__xludf.DUMMYFUNCTION("""COMPUTED_VALUE"""),"(30/03) proses abd ke SDI  (28/03) Progres tanam tiang (16/03) proses matdel KE SITE (12/03) Proses create PID  (27/01) KENDALA DIST 8 PPJ-FB FULL")</f>
        <v>(30/03) proses abd ke SDI  (28/03) Progres tanam tiang (16/03) proses matdel KE SITE (12/03) Proses create PID  (27/01) KENDALA DIST 8 PPJ-FB FULL</v>
      </c>
      <c r="R1161" s="228"/>
      <c r="S1161" s="11"/>
      <c r="T1161" s="11"/>
      <c r="U1161" s="11" t="str">
        <f>IFERROR(__xludf.DUMMYFUNCTION("""COMPUTED_VALUE"""),"TIF-5976/2026  26KT03R107-0026 ")</f>
        <v>TIF-5976/2026  26KT03R107-0026 </v>
      </c>
      <c r="V1161" s="229" t="str">
        <f>IFERROR(__xludf.DUMMYFUNCTION("""COMPUTED_VALUE"""),"FABIO RAHMAN")</f>
        <v>FABIO RAHMAN</v>
      </c>
      <c r="W1161" s="229" t="str">
        <f>IFERROR(__xludf.DUMMYFUNCTION("""COMPUTED_VALUE"""),"MELKO NARWADI")</f>
        <v>MELKO NARWADI</v>
      </c>
      <c r="X1161" s="229" t="str">
        <f>IFERROR(__xludf.DUMMYFUNCTION("""COMPUTED_VALUE"""),"GOLIVE")</f>
        <v>GOLIVE</v>
      </c>
      <c r="Y1161" s="229" t="str">
        <f>IFERROR(__xludf.DUMMYFUNCTION("""COMPUTED_VALUE"""),"DONE")</f>
        <v>DONE</v>
      </c>
      <c r="Z1161" s="229" t="str">
        <f>IFERROR(__xludf.DUMMYFUNCTION("""COMPUTED_VALUE"""),"#N/A")</f>
        <v>#N/A</v>
      </c>
      <c r="AA1161" s="229">
        <f>IFERROR(__xludf.DUMMYFUNCTION("""COMPUTED_VALUE"""),1.0)</f>
        <v>1</v>
      </c>
      <c r="AB1161" s="229"/>
      <c r="AC1161" s="229" t="str">
        <f>IFERROR(__xludf.DUMMYFUNCTION("""COMPUTED_VALUE"""),"9230116#9230122")</f>
        <v>9230116#9230122</v>
      </c>
      <c r="AD1161" s="232">
        <f>IFERROR(__xludf.DUMMYFUNCTION("""COMPUTED_VALUE"""),8.0)</f>
        <v>8</v>
      </c>
      <c r="AE1161" s="233">
        <f>IFERROR(__xludf.DUMMYFUNCTION("""COMPUTED_VALUE"""),46112.0)</f>
        <v>46112</v>
      </c>
      <c r="AF1161" s="54"/>
      <c r="AG1161" s="54"/>
      <c r="AH1161" s="54"/>
      <c r="AI1161" s="55" t="str">
        <f>IF(OR(AH1161="",AE1161=""),"",AH1161-AE1161)</f>
        <v/>
      </c>
      <c r="AW1161" s="234"/>
      <c r="BP1161" s="11"/>
      <c r="BQ1161" s="11"/>
      <c r="BR1161" s="235"/>
      <c r="BV1161" s="158"/>
      <c r="BY1161" s="158"/>
      <c r="CB1161" s="158"/>
    </row>
    <row r="1162" ht="18.0" hidden="1" customHeight="1">
      <c r="A1162" s="222">
        <f>IFERROR(__xludf.DUMMYFUNCTION("""COMPUTED_VALUE"""),2026.0)</f>
        <v>2026</v>
      </c>
      <c r="B1162" s="221">
        <f>IFERROR(__xludf.DUMMYFUNCTION("""COMPUTED_VALUE"""),1.1219463E7)</f>
        <v>11219463</v>
      </c>
      <c r="C1162" s="222" t="str">
        <f>IFERROR(__xludf.DUMMYFUNCTION("""COMPUTED_VALUE"""),"MDN PT3 P7I12 TTG-FD PERUM GREEN PETUNIA")</f>
        <v>MDN PT3 P7I12 TTG-FD PERUM GREEN PETUNIA</v>
      </c>
      <c r="D1162" s="222" t="str">
        <f>IFERROR(__xludf.DUMMYFUNCTION("""COMPUTED_VALUE"""),"REGIONAL I")</f>
        <v>REGIONAL I</v>
      </c>
      <c r="E1162" s="222" t="str">
        <f>IFERROR(__xludf.DUMMYFUNCTION("""COMPUTED_VALUE"""),"MEDAN")</f>
        <v>MEDAN</v>
      </c>
      <c r="F1162" s="222" t="str">
        <f>IFERROR(__xludf.DUMMYFUNCTION("""COMPUTED_VALUE"""),"TTG")</f>
        <v>TTG</v>
      </c>
      <c r="G1162" s="222" t="str">
        <f>IFERROR(__xludf.DUMMYFUNCTION("""COMPUTED_VALUE"""),"SUMBAGUT")</f>
        <v>SUMBAGUT</v>
      </c>
      <c r="H1162" s="222" t="str">
        <f>IFERROR(__xludf.DUMMYFUNCTION("""COMPUTED_VALUE"""),"MEDAN")</f>
        <v>MEDAN</v>
      </c>
      <c r="I1162" s="222" t="str">
        <f>IFERROR(__xludf.DUMMYFUNCTION("""COMPUTED_VALUE"""),"Batch 2")</f>
        <v>Batch 2</v>
      </c>
      <c r="J1162" s="225">
        <f>IFERROR(__xludf.DUMMYFUNCTION("""COMPUTED_VALUE"""),8.0)</f>
        <v>8</v>
      </c>
      <c r="K1162" s="224">
        <f>IFERROR(__xludf.DUMMYFUNCTION("""COMPUTED_VALUE"""),64.0)</f>
        <v>64</v>
      </c>
      <c r="L1162" s="226">
        <f>IFERROR(__xludf.DUMMYFUNCTION("""COMPUTED_VALUE"""),1335620.0)</f>
        <v>1335620</v>
      </c>
      <c r="M1162" s="227">
        <f>IFERROR(__xludf.DUMMYFUNCTION("""COMPUTED_VALUE"""),8.5479638E7)</f>
        <v>85479638</v>
      </c>
      <c r="N1162" s="222" t="str">
        <f>IFERROR(__xludf.DUMMYFUNCTION("""COMPUTED_VALUE"""),"PT FAJAR MITRA KRIDA ABADI")</f>
        <v>PT FAJAR MITRA KRIDA ABADI</v>
      </c>
      <c r="O1162" s="222" t="str">
        <f>IFERROR(__xludf.DUMMYFUNCTION("""COMPUTED_VALUE"""),"0. DROP")</f>
        <v>0. DROP</v>
      </c>
      <c r="P1162" s="222" t="str">
        <f>IFERROR(__xludf.DUMMYFUNCTION("""COMPUTED_VALUE"""),"0.4 CPP Tinggi Acc ED TIF")</f>
        <v>0.4 CPP Tinggi Acc ED TIF</v>
      </c>
      <c r="Q1162" s="222" t="str">
        <f>IFERROR(__xludf.DUMMYFUNCTION("""COMPUTED_VALUE"""),"01/11 Feeder Loss
(24/09) Perizinan Warga dan Kades / Lurah
(23/09) Perizinan Warga dan Kades / Lurah
15/09 proses aanwijzing")</f>
        <v>01/11 Feeder Loss
(24/09) Perizinan Warga dan Kades / Lurah
(23/09) Perizinan Warga dan Kades / Lurah
15/09 proses aanwijzing</v>
      </c>
      <c r="R1162" s="228"/>
      <c r="S1162" s="11"/>
      <c r="T1162" s="11"/>
      <c r="U1162" s="11"/>
      <c r="V1162" s="229"/>
      <c r="W1162" s="229"/>
      <c r="X1162" s="229" t="str">
        <f>IFERROR(__xludf.DUMMYFUNCTION("""COMPUTED_VALUE"""),"BELUM GOLIVE")</f>
        <v>BELUM GOLIVE</v>
      </c>
      <c r="Y1162" s="229"/>
      <c r="Z1162" s="229" t="str">
        <f>IFERROR(__xludf.DUMMYFUNCTION("""COMPUTED_VALUE"""),"#N/A")</f>
        <v>#N/A</v>
      </c>
      <c r="AA1162" s="229"/>
      <c r="AB1162" s="229"/>
      <c r="AC1162" s="229"/>
      <c r="AD1162" s="232"/>
      <c r="AE1162" s="233"/>
      <c r="AF1162" s="54" t="str">
        <f>IFERROR(__xludf.DUMMYFUNCTION("""COMPUTED_VALUE"""),"Draft BA DROP")</f>
        <v>Draft BA DROP</v>
      </c>
      <c r="AG1162" s="54"/>
      <c r="AH1162" s="54"/>
      <c r="AI1162" s="55" t="str">
        <f t="shared" ref="AI1162:AI1175" si="127">IF(OR(R1162="",AE1162=""),"",R1162-AE1162)</f>
        <v/>
      </c>
      <c r="AW1162" s="234"/>
      <c r="BP1162" s="11"/>
      <c r="BQ1162" s="11"/>
      <c r="BR1162" s="235"/>
      <c r="BV1162" s="158"/>
      <c r="BY1162" s="158"/>
      <c r="CB1162" s="158"/>
    </row>
    <row r="1163" ht="18.0" hidden="1" customHeight="1">
      <c r="A1163" s="222">
        <f>IFERROR(__xludf.DUMMYFUNCTION("""COMPUTED_VALUE"""),2026.0)</f>
        <v>2026</v>
      </c>
      <c r="B1163" s="221">
        <f>IFERROR(__xludf.DUMMYFUNCTION("""COMPUTED_VALUE"""),1.2133099E7)</f>
        <v>12133099</v>
      </c>
      <c r="C1163" s="222" t="str">
        <f>IFERROR(__xludf.DUMMYFUNCTION("""COMPUTED_VALUE"""),"LPG PT3 JPP JL TJ JATI KATIBUNG KLA")</f>
        <v>LPG PT3 JPP JL TJ JATI KATIBUNG KLA</v>
      </c>
      <c r="D1163" s="222" t="str">
        <f>IFERROR(__xludf.DUMMYFUNCTION("""COMPUTED_VALUE"""),"REGIONAL I")</f>
        <v>REGIONAL I</v>
      </c>
      <c r="E1163" s="222" t="str">
        <f>IFERROR(__xludf.DUMMYFUNCTION("""COMPUTED_VALUE"""),"LAMPUNG")</f>
        <v>LAMPUNG</v>
      </c>
      <c r="F1163" s="222" t="str">
        <f>IFERROR(__xludf.DUMMYFUNCTION("""COMPUTED_VALUE"""),"KLA")</f>
        <v>KLA</v>
      </c>
      <c r="G1163" s="222" t="str">
        <f>IFERROR(__xludf.DUMMYFUNCTION("""COMPUTED_VALUE"""),"SUMBAGSEL")</f>
        <v>SUMBAGSEL</v>
      </c>
      <c r="H1163" s="222" t="str">
        <f>IFERROR(__xludf.DUMMYFUNCTION("""COMPUTED_VALUE"""),"LAMPUNG")</f>
        <v>LAMPUNG</v>
      </c>
      <c r="I1163" s="222" t="str">
        <f>IFERROR(__xludf.DUMMYFUNCTION("""COMPUTED_VALUE"""),"Batch 2")</f>
        <v>Batch 2</v>
      </c>
      <c r="J1163" s="225">
        <f>IFERROR(__xludf.DUMMYFUNCTION("""COMPUTED_VALUE"""),5.0)</f>
        <v>5</v>
      </c>
      <c r="K1163" s="224">
        <f>IFERROR(__xludf.DUMMYFUNCTION("""COMPUTED_VALUE"""),40.0)</f>
        <v>40</v>
      </c>
      <c r="L1163" s="226">
        <f>IFERROR(__xludf.DUMMYFUNCTION("""COMPUTED_VALUE"""),858892.0)</f>
        <v>858892</v>
      </c>
      <c r="M1163" s="227">
        <f>IFERROR(__xludf.DUMMYFUNCTION("""COMPUTED_VALUE"""),3.4355666E7)</f>
        <v>34355666</v>
      </c>
      <c r="N1163" s="222" t="str">
        <f>IFERROR(__xludf.DUMMYFUNCTION("""COMPUTED_VALUE"""),"PT ACERO CETHA METALINDO")</f>
        <v>PT ACERO CETHA METALINDO</v>
      </c>
      <c r="O1163" s="222" t="str">
        <f>IFERROR(__xludf.DUMMYFUNCTION("""COMPUTED_VALUE"""),"0. DROP")</f>
        <v>0. DROP</v>
      </c>
      <c r="P1163" s="222" t="str">
        <f>IFERROR(__xludf.DUMMYFUNCTION("""COMPUTED_VALUE"""),"0.1 Double Order")</f>
        <v>0.1 Double Order</v>
      </c>
      <c r="Q1163" s="222" t="str">
        <f>IFERROR(__xludf.DUMMYFUNCTION("""COMPUTED_VALUE"""),"6/2 drop masuk ke lop sidomekar 
30/1 sudah masuk ke lop sidomekar 
28/1 menungu boq terudate dari sdi 23/1 plan matdel senin 
28/1 menungu boq terupdate dan menungu pengajuan pid  
19/1 proses pengacekan core dan perizinan")</f>
        <v>6/2 drop masuk ke lop sidomekar 
30/1 sudah masuk ke lop sidomekar 
28/1 menungu boq terudate dari sdi 23/1 plan matdel senin 
28/1 menungu boq terupdate dan menungu pengajuan pid  
19/1 proses pengacekan core dan perizinan</v>
      </c>
      <c r="R1163" s="228"/>
      <c r="S1163" s="11"/>
      <c r="T1163" s="11"/>
      <c r="U1163" s="11"/>
      <c r="V1163" s="229"/>
      <c r="W1163" s="229"/>
      <c r="X1163" s="229" t="str">
        <f>IFERROR(__xludf.DUMMYFUNCTION("""COMPUTED_VALUE"""),"BELUM GOLIVE")</f>
        <v>BELUM GOLIVE</v>
      </c>
      <c r="Y1163" s="229"/>
      <c r="Z1163" s="229" t="str">
        <f>IFERROR(__xludf.DUMMYFUNCTION("""COMPUTED_VALUE"""),"#N/A")</f>
        <v>#N/A</v>
      </c>
      <c r="AA1163" s="229"/>
      <c r="AB1163" s="229"/>
      <c r="AC1163" s="229"/>
      <c r="AD1163" s="232"/>
      <c r="AE1163" s="233"/>
      <c r="AF1163" s="54" t="str">
        <f>IFERROR(__xludf.DUMMYFUNCTION("""COMPUTED_VALUE"""),"Draft BA DROP")</f>
        <v>Draft BA DROP</v>
      </c>
      <c r="AG1163" s="54"/>
      <c r="AH1163" s="54"/>
      <c r="AI1163" s="55" t="str">
        <f t="shared" si="127"/>
        <v/>
      </c>
      <c r="AW1163" s="234"/>
      <c r="BP1163" s="11"/>
      <c r="BQ1163" s="11"/>
      <c r="BR1163" s="235"/>
      <c r="BV1163" s="158"/>
      <c r="BY1163" s="158"/>
      <c r="CB1163" s="158"/>
    </row>
    <row r="1164" ht="18.0" hidden="1" customHeight="1">
      <c r="A1164" s="222">
        <f>IFERROR(__xludf.DUMMYFUNCTION("""COMPUTED_VALUE"""),2026.0)</f>
        <v>2026</v>
      </c>
      <c r="B1164" s="221">
        <f>IFERROR(__xludf.DUMMYFUNCTION("""COMPUTED_VALUE"""),1.2213605E7)</f>
        <v>12213605</v>
      </c>
      <c r="C1164" s="222" t="str">
        <f>IFERROR(__xludf.DUMMYFUNCTION("""COMPUTED_VALUE"""),"SMS P3I4 PT3 PBM FBK D01 GUNUNG KEMALO")</f>
        <v>SMS P3I4 PT3 PBM FBK D01 GUNUNG KEMALO</v>
      </c>
      <c r="D1164" s="222" t="str">
        <f>IFERROR(__xludf.DUMMYFUNCTION("""COMPUTED_VALUE"""),"REGIONAL I")</f>
        <v>REGIONAL I</v>
      </c>
      <c r="E1164" s="222" t="str">
        <f>IFERROR(__xludf.DUMMYFUNCTION("""COMPUTED_VALUE"""),"SUMSEL")</f>
        <v>SUMSEL</v>
      </c>
      <c r="F1164" s="222" t="str">
        <f>IFERROR(__xludf.DUMMYFUNCTION("""COMPUTED_VALUE"""),"PBM")</f>
        <v>PBM</v>
      </c>
      <c r="G1164" s="222" t="str">
        <f>IFERROR(__xludf.DUMMYFUNCTION("""COMPUTED_VALUE"""),"SUMBAGSEL")</f>
        <v>SUMBAGSEL</v>
      </c>
      <c r="H1164" s="222" t="str">
        <f>IFERROR(__xludf.DUMMYFUNCTION("""COMPUTED_VALUE"""),"PALEMBANG")</f>
        <v>PALEMBANG</v>
      </c>
      <c r="I1164" s="222" t="str">
        <f>IFERROR(__xludf.DUMMYFUNCTION("""COMPUTED_VALUE"""),"Batch 2")</f>
        <v>Batch 2</v>
      </c>
      <c r="J1164" s="225">
        <f>IFERROR(__xludf.DUMMYFUNCTION("""COMPUTED_VALUE"""),3.0)</f>
        <v>3</v>
      </c>
      <c r="K1164" s="224">
        <f>IFERROR(__xludf.DUMMYFUNCTION("""COMPUTED_VALUE"""),24.0)</f>
        <v>24</v>
      </c>
      <c r="L1164" s="226">
        <f>IFERROR(__xludf.DUMMYFUNCTION("""COMPUTED_VALUE"""),858876.0)</f>
        <v>858876</v>
      </c>
      <c r="M1164" s="227">
        <f>IFERROR(__xludf.DUMMYFUNCTION("""COMPUTED_VALUE"""),2.0613001E7)</f>
        <v>20613001</v>
      </c>
      <c r="N1164" s="222" t="str">
        <f>IFERROR(__xludf.DUMMYFUNCTION("""COMPUTED_VALUE"""),"PT ACERO CETHA METALINDO")</f>
        <v>PT ACERO CETHA METALINDO</v>
      </c>
      <c r="O1164" s="222" t="str">
        <f>IFERROR(__xludf.DUMMYFUNCTION("""COMPUTED_VALUE"""),"7. GOLIVE")</f>
        <v>7. GOLIVE</v>
      </c>
      <c r="P1164" s="222" t="str">
        <f>IFERROR(__xludf.DUMMYFUNCTION("""COMPUTED_VALUE"""),"7.2 Golive Full / OA / DONE OTB")</f>
        <v>7.2 Golive Full / OA / DONE OTB</v>
      </c>
      <c r="Q1164" s="222" t="str">
        <f>IFERROR(__xludf.DUMMYFUNCTION("""COMPUTED_VALUE"""),"01/04 GOLIVE, 30/03 DONE SUBMIT ABD KE SDI, 30/03 DONE VALINS, 27/03 LANJUT PROGRESS TERMINASI ODP, 25/03 PROGRESS TERMINASI ODP, 24/03  LANJUT PROGRESS SETELAH LEBARAN, 21/03 LANJUT PROGRESS SETELAH LEBARAN DIKARENAKAN PJS SDH MUDIK, 19/03 MASIH PROGRESS"&amp;" PEMASANGAN ODP, 17/03 MENUNGGU ANTRIAN PEKERJAAN LOP JLN LINGKAR, 16/03 HARI INI PROGRESS PASANG ODP, 13/03 EST TGL 16 MAR MULAI PROGRESS PASANG ODP, 12/03 MENUNGGU ANTRIAN PEKERJAAN, 11/03 OGP PASANG ODP DAN TERMINASI, 10/03 MASIH KENDALA ONT RUSAK, 06/"&amp;"03 OGP VALINS - KENDALA ONT RUSAK,  04/03 PROGRESS PEMASANGAN ODP, 03/03 DONE PENANAMAN 10 TIANG DAN PENARIKAN KABEL 430M, 02/03 PROGRESS HARI INI, 27/02 PARALEL, MENUNGGU ANTRIAN PEKERJAAN, 26/02 PARALEL, MENUNGGU ANTRIAN PEKERJAAN, 24/02 SUDAH RFC, TING"&amp;"GAL NUNGGU MITRA AMBIL MATERIAL, 23/02 OGP MATDEL, 22/2 menunggu material TIANG  20/02 DONE INPUT MATERIAL, 17/02 PROSES INPUT MATERIAL - KENDALA OVER BUDGET, 11/2 izin Lurah OK- Plan Matdel 15 Feb 10/02 PROSES PERIZINAN, 09/02 MENUNGGU PID UTK INPUT MATE"&amp;"RIAL, 6/2 proses create pid Input material 9 FEB 05/02 LANJUT DRM, 04/02 DONE EVAL - PROSES PERIZINAN, (21/01) menunggu antrian aanwizjing, (15/1) ORDER DITERIMA MITRA 14/1, plan Aanwijdzing 19 Jan  (06/01)order JPP batch-2 2026 ((14/11)HOLD-  tidak masuk"&amp;" target Optimis 2025 (14/11 menunggu jadwal aanwidjzing, (11/11) Penunjukkan MITRA  oleh Procurement 
14/01 penunjukan mitra oleh procurement")</f>
        <v>01/04 GOLIVE, 30/03 DONE SUBMIT ABD KE SDI, 30/03 DONE VALINS, 27/03 LANJUT PROGRESS TERMINASI ODP, 25/03 PROGRESS TERMINASI ODP, 24/03  LANJUT PROGRESS SETELAH LEBARAN, 21/03 LANJUT PROGRESS SETELAH LEBARAN DIKARENAKAN PJS SDH MUDIK, 19/03 MASIH PROGRESS PEMASANGAN ODP, 17/03 MENUNGGU ANTRIAN PEKERJAAN LOP JLN LINGKAR, 16/03 HARI INI PROGRESS PASANG ODP, 13/03 EST TGL 16 MAR MULAI PROGRESS PASANG ODP, 12/03 MENUNGGU ANTRIAN PEKERJAAN, 11/03 OGP PASANG ODP DAN TERMINASI, 10/03 MASIH KENDALA ONT RUSAK, 06/03 OGP VALINS - KENDALA ONT RUSAK,  04/03 PROGRESS PEMASANGAN ODP, 03/03 DONE PENANAMAN 10 TIANG DAN PENARIKAN KABEL 430M, 02/03 PROGRESS HARI INI, 27/02 PARALEL, MENUNGGU ANTRIAN PEKERJAAN, 26/02 PARALEL, MENUNGGU ANTRIAN PEKERJAAN, 24/02 SUDAH RFC, TINGGAL NUNGGU MITRA AMBIL MATERIAL, 23/02 OGP MATDEL, 22/2 menunggu material TIANG  20/02 DONE INPUT MATERIAL, 17/02 PROSES INPUT MATERIAL - KENDALA OVER BUDGET, 11/2 izin Lurah OK- Plan Matdel 15 Feb 10/02 PROSES PERIZINAN, 09/02 MENUNGGU PID UTK INPUT MATERIAL, 6/2 proses create pid Input material 9 FEB 05/02 LANJUT DRM, 04/02 DONE EVAL - PROSES PERIZINAN, (21/01) menunggu antrian aanwizjing, (15/1) ORDER DITERIMA MITRA 14/1, plan Aanwijdzing 19 Jan  (06/01)order JPP batch-2 2026 ((14/11)HOLD-  tidak masuk target Optimis 2025 (14/11 menunggu jadwal aanwidjzing, (11/11) Penunjukkan MITRA  oleh Procurement 
14/01 penunjukan mitra oleh procurement</v>
      </c>
      <c r="R1164" s="228">
        <f>IFERROR(__xludf.DUMMYFUNCTION("""COMPUTED_VALUE"""),46089.0)</f>
        <v>46089</v>
      </c>
      <c r="S1164" s="11" t="str">
        <f>IFERROR(__xludf.DUMMYFUNCTION("""COMPUTED_VALUE"""),"MAR")</f>
        <v>MAR</v>
      </c>
      <c r="T1164" s="11" t="str">
        <f>IFERROR(__xludf.DUMMYFUNCTION("""COMPUTED_VALUE"""),"P1")</f>
        <v>P1</v>
      </c>
      <c r="U1164" s="11"/>
      <c r="V1164" s="229" t="str">
        <f>IFERROR(__xludf.DUMMYFUNCTION("""COMPUTED_VALUE"""),"ILHAM")</f>
        <v>ILHAM</v>
      </c>
      <c r="W1164" s="229"/>
      <c r="X1164" s="229" t="str">
        <f>IFERROR(__xludf.DUMMYFUNCTION("""COMPUTED_VALUE"""),"GOLIVE")</f>
        <v>GOLIVE</v>
      </c>
      <c r="Y1164" s="229" t="str">
        <f>IFERROR(__xludf.DUMMYFUNCTION("""COMPUTED_VALUE"""),"DONE")</f>
        <v>DONE</v>
      </c>
      <c r="Z1164" s="229" t="str">
        <f>IFERROR(__xludf.DUMMYFUNCTION("""COMPUTED_VALUE"""),"#N/A")</f>
        <v>#N/A</v>
      </c>
      <c r="AA1164" s="229">
        <f>IFERROR(__xludf.DUMMYFUNCTION("""COMPUTED_VALUE"""),3.0)</f>
        <v>3</v>
      </c>
      <c r="AB1164" s="229"/>
      <c r="AC1164" s="229" t="str">
        <f>IFERROR(__xludf.DUMMYFUNCTION("""COMPUTED_VALUE"""),"8948749#8948754")</f>
        <v>8948749#8948754</v>
      </c>
      <c r="AD1164" s="232">
        <f>IFERROR(__xludf.DUMMYFUNCTION("""COMPUTED_VALUE"""),24.0)</f>
        <v>24</v>
      </c>
      <c r="AE1164" s="233">
        <f>IFERROR(__xludf.DUMMYFUNCTION("""COMPUTED_VALUE"""),46111.0)</f>
        <v>46111</v>
      </c>
      <c r="AF1164" s="54"/>
      <c r="AG1164" s="54"/>
      <c r="AH1164" s="54">
        <v>46089.0</v>
      </c>
      <c r="AI1164" s="55">
        <f t="shared" si="127"/>
        <v>-22</v>
      </c>
      <c r="AW1164" s="234"/>
      <c r="BP1164" s="11"/>
      <c r="BQ1164" s="11"/>
      <c r="BR1164" s="235"/>
      <c r="BV1164" s="158"/>
      <c r="BY1164" s="158"/>
      <c r="CB1164" s="158"/>
    </row>
    <row r="1165" ht="18.0" hidden="1" customHeight="1">
      <c r="A1165" s="222">
        <f>IFERROR(__xludf.DUMMYFUNCTION("""COMPUTED_VALUE"""),2026.0)</f>
        <v>2026</v>
      </c>
      <c r="B1165" s="221">
        <f>IFERROR(__xludf.DUMMYFUNCTION("""COMPUTED_VALUE"""),1.1088559E7)</f>
        <v>11088559</v>
      </c>
      <c r="C1165" s="222" t="str">
        <f>IFERROR(__xludf.DUMMYFUNCTION("""COMPUTED_VALUE"""),"MDN PT3 KUL-FKA JL.LAUMULGAP")</f>
        <v>MDN PT3 KUL-FKA JL.LAUMULGAP</v>
      </c>
      <c r="D1165" s="222" t="str">
        <f>IFERROR(__xludf.DUMMYFUNCTION("""COMPUTED_VALUE"""),"REGIONAL I")</f>
        <v>REGIONAL I</v>
      </c>
      <c r="E1165" s="222" t="str">
        <f>IFERROR(__xludf.DUMMYFUNCTION("""COMPUTED_VALUE"""),"MEDAN")</f>
        <v>MEDAN</v>
      </c>
      <c r="F1165" s="222" t="str">
        <f>IFERROR(__xludf.DUMMYFUNCTION("""COMPUTED_VALUE"""),"KUL")</f>
        <v>KUL</v>
      </c>
      <c r="G1165" s="222" t="str">
        <f>IFERROR(__xludf.DUMMYFUNCTION("""COMPUTED_VALUE"""),"SUMBAGUT")</f>
        <v>SUMBAGUT</v>
      </c>
      <c r="H1165" s="222" t="str">
        <f>IFERROR(__xludf.DUMMYFUNCTION("""COMPUTED_VALUE"""),"BINJAI")</f>
        <v>BINJAI</v>
      </c>
      <c r="I1165" s="222" t="str">
        <f>IFERROR(__xludf.DUMMYFUNCTION("""COMPUTED_VALUE"""),"Batch 2")</f>
        <v>Batch 2</v>
      </c>
      <c r="J1165" s="225">
        <f>IFERROR(__xludf.DUMMYFUNCTION("""COMPUTED_VALUE"""),5.0)</f>
        <v>5</v>
      </c>
      <c r="K1165" s="224">
        <f>IFERROR(__xludf.DUMMYFUNCTION("""COMPUTED_VALUE"""),40.0)</f>
        <v>40</v>
      </c>
      <c r="L1165" s="226">
        <f>IFERROR(__xludf.DUMMYFUNCTION("""COMPUTED_VALUE"""),858856.0)</f>
        <v>858856</v>
      </c>
      <c r="M1165" s="227">
        <f>IFERROR(__xludf.DUMMYFUNCTION("""COMPUTED_VALUE"""),3.4354212E7)</f>
        <v>34354212</v>
      </c>
      <c r="N1165" s="222" t="str">
        <f>IFERROR(__xludf.DUMMYFUNCTION("""COMPUTED_VALUE"""),"PT KENCANA RAYA INDONESIA")</f>
        <v>PT KENCANA RAYA INDONESIA</v>
      </c>
      <c r="O1165" s="222" t="str">
        <f>IFERROR(__xludf.DUMMYFUNCTION("""COMPUTED_VALUE"""),"0. DROP")</f>
        <v>0. DROP</v>
      </c>
      <c r="P1165" s="222" t="str">
        <f>IFERROR(__xludf.DUMMYFUNCTION("""COMPUTED_VALUE"""),"0.1 Double Order")</f>
        <v>0.1 Double Order</v>
      </c>
      <c r="Q1165" s="222" t="str">
        <f>IFERROR(__xludf.DUMMYFUNCTION("""COMPUTED_VALUE"""),"(13/02) Feeder idle tidak ada yang tembus (08/01) kendala feeder penuh.  KENDALA FEEDER TRS-FA FULL, BUTUH NEW FEEDER (07/01) Persiapan")</f>
        <v>(13/02) Feeder idle tidak ada yang tembus (08/01) kendala feeder penuh.  KENDALA FEEDER TRS-FA FULL, BUTUH NEW FEEDER (07/01) Persiapan</v>
      </c>
      <c r="R1165" s="228"/>
      <c r="S1165" s="11"/>
      <c r="T1165" s="11"/>
      <c r="U1165" s="11"/>
      <c r="V1165" s="229"/>
      <c r="W1165" s="229"/>
      <c r="X1165" s="229" t="str">
        <f>IFERROR(__xludf.DUMMYFUNCTION("""COMPUTED_VALUE"""),"BELUM GOLIVE")</f>
        <v>BELUM GOLIVE</v>
      </c>
      <c r="Y1165" s="229"/>
      <c r="Z1165" s="229" t="str">
        <f>IFERROR(__xludf.DUMMYFUNCTION("""COMPUTED_VALUE"""),"#N/A")</f>
        <v>#N/A</v>
      </c>
      <c r="AA1165" s="229"/>
      <c r="AB1165" s="229"/>
      <c r="AC1165" s="229"/>
      <c r="AD1165" s="232"/>
      <c r="AE1165" s="233"/>
      <c r="AF1165" s="54"/>
      <c r="AG1165" s="54"/>
      <c r="AH1165" s="54"/>
      <c r="AI1165" s="55" t="str">
        <f t="shared" si="127"/>
        <v/>
      </c>
      <c r="AW1165" s="234"/>
      <c r="BP1165" s="11"/>
      <c r="BQ1165" s="11"/>
      <c r="BR1165" s="235"/>
      <c r="BV1165" s="158"/>
      <c r="BY1165" s="158"/>
      <c r="CB1165" s="158"/>
    </row>
    <row r="1166" ht="18.0" customHeight="1">
      <c r="A1166" s="222">
        <f>IFERROR(__xludf.DUMMYFUNCTION("""COMPUTED_VALUE"""),2026.0)</f>
        <v>2026</v>
      </c>
      <c r="B1166" s="221">
        <f>IFERROR(__xludf.DUMMYFUNCTION("""COMPUTED_VALUE"""),1.1418878E7)</f>
        <v>11418878</v>
      </c>
      <c r="C1166" s="222" t="str">
        <f>IFERROR(__xludf.DUMMYFUNCTION("""COMPUTED_VALUE"""),"SMB P3I1 VERTA RIPA F")</f>
        <v>SMB P3I1 VERTA RIPA F</v>
      </c>
      <c r="D1166" s="222" t="str">
        <f>IFERROR(__xludf.DUMMYFUNCTION("""COMPUTED_VALUE"""),"REGIONAL I")</f>
        <v>REGIONAL I</v>
      </c>
      <c r="E1166" s="222" t="str">
        <f>IFERROR(__xludf.DUMMYFUNCTION("""COMPUTED_VALUE"""),"SUMBAR")</f>
        <v>SUMBAR</v>
      </c>
      <c r="F1166" s="222" t="str">
        <f>IFERROR(__xludf.DUMMYFUNCTION("""COMPUTED_VALUE"""),"TRS")</f>
        <v>TRS</v>
      </c>
      <c r="G1166" s="222" t="str">
        <f>IFERROR(__xludf.DUMMYFUNCTION("""COMPUTED_VALUE"""),"SUMBAGTENG")</f>
        <v>SUMBAGTENG</v>
      </c>
      <c r="H1166" s="222" t="str">
        <f>IFERROR(__xludf.DUMMYFUNCTION("""COMPUTED_VALUE"""),"PADANG")</f>
        <v>PADANG</v>
      </c>
      <c r="I1166" s="222" t="str">
        <f>IFERROR(__xludf.DUMMYFUNCTION("""COMPUTED_VALUE"""),"Batch 2")</f>
        <v>Batch 2</v>
      </c>
      <c r="J1166" s="225">
        <f>IFERROR(__xludf.DUMMYFUNCTION("""COMPUTED_VALUE"""),4.0)</f>
        <v>4</v>
      </c>
      <c r="K1166" s="224">
        <f>IFERROR(__xludf.DUMMYFUNCTION("""COMPUTED_VALUE"""),32.0)</f>
        <v>32</v>
      </c>
      <c r="L1166" s="226">
        <f>IFERROR(__xludf.DUMMYFUNCTION("""COMPUTED_VALUE"""),857039.0)</f>
        <v>857039</v>
      </c>
      <c r="M1166" s="227">
        <f>IFERROR(__xludf.DUMMYFUNCTION("""COMPUTED_VALUE"""),2.7425219E7)</f>
        <v>27425219</v>
      </c>
      <c r="N1166" s="222" t="str">
        <f>IFERROR(__xludf.DUMMYFUNCTION("""COMPUTED_VALUE"""),"PT ACERO CETHA METALINDO")</f>
        <v>PT ACERO CETHA METALINDO</v>
      </c>
      <c r="O1166" s="222" t="str">
        <f>IFERROR(__xludf.DUMMYFUNCTION("""COMPUTED_VALUE"""),"4. MATDEL")</f>
        <v>4. MATDEL</v>
      </c>
      <c r="P1166" s="222" t="str">
        <f>IFERROR(__xludf.DUMMYFUNCTION("""COMPUTED_VALUE"""),"4.4 Proses Pengiriman Pabribak ke WH")</f>
        <v>4.4 Proses Pengiriman Pabribak ke WH</v>
      </c>
      <c r="Q1166" s="222" t="str">
        <f>IFERROR(__xludf.DUMMYFUNCTION("""COMPUTED_VALUE"""),"(27/04) menunggu PO kabel 24 ADSS (20/04) sudah aanwijziing, proses eval  (10/04) Proses aanwijziing , LOP HOLD FEEDER FULL ACC GO (26/01)  kendala feeder penuh.  KENDALA FEEDER TRS-FA FULL, BUTUH NEW FEEDER")</f>
        <v>(27/04) menunggu PO kabel 24 ADSS (20/04) sudah aanwijziing, proses eval  (10/04) Proses aanwijziing , LOP HOLD FEEDER FULL ACC GO (26/01)  kendala feeder penuh.  KENDALA FEEDER TRS-FA FULL, BUTUH NEW FEEDER</v>
      </c>
      <c r="R1166" s="228"/>
      <c r="S1166" s="11"/>
      <c r="T1166" s="11"/>
      <c r="U1166" s="11"/>
      <c r="V1166" s="229" t="str">
        <f>IFERROR(__xludf.DUMMYFUNCTION("""COMPUTED_VALUE"""),"PRAMADIO SEPWILMAN")</f>
        <v>PRAMADIO SEPWILMAN</v>
      </c>
      <c r="W1166" s="229" t="str">
        <f>IFERROR(__xludf.DUMMYFUNCTION("""COMPUTED_VALUE"""),"MELKO NARWADI")</f>
        <v>MELKO NARWADI</v>
      </c>
      <c r="X1166" s="229" t="str">
        <f>IFERROR(__xludf.DUMMYFUNCTION("""COMPUTED_VALUE"""),"BELUM GOLIVE")</f>
        <v>BELUM GOLIVE</v>
      </c>
      <c r="Y1166" s="229"/>
      <c r="Z1166" s="229" t="str">
        <f>IFERROR(__xludf.DUMMYFUNCTION("""COMPUTED_VALUE"""),"#N/A")</f>
        <v>#N/A</v>
      </c>
      <c r="AA1166" s="229"/>
      <c r="AB1166" s="229"/>
      <c r="AC1166" s="229"/>
      <c r="AD1166" s="232"/>
      <c r="AE1166" s="233"/>
      <c r="AF1166" s="54" t="str">
        <f>IFERROR(__xludf.DUMMYFUNCTION("""COMPUTED_VALUE"""),"Draft BA DROP")</f>
        <v>Draft BA DROP</v>
      </c>
      <c r="AG1166" s="54"/>
      <c r="AH1166" s="54"/>
      <c r="AI1166" s="55" t="str">
        <f t="shared" si="127"/>
        <v/>
      </c>
      <c r="AW1166" s="234"/>
      <c r="BP1166" s="11"/>
      <c r="BQ1166" s="11"/>
      <c r="BR1166" s="235"/>
      <c r="BV1166" s="158"/>
      <c r="BY1166" s="158"/>
      <c r="CB1166" s="158"/>
    </row>
    <row r="1167" ht="18.0" hidden="1" customHeight="1">
      <c r="A1167" s="222">
        <f>IFERROR(__xludf.DUMMYFUNCTION("""COMPUTED_VALUE"""),2026.0)</f>
        <v>2026</v>
      </c>
      <c r="B1167" s="221">
        <f>IFERROR(__xludf.DUMMYFUNCTION("""COMPUTED_VALUE"""),1.1843125E7)</f>
        <v>11843125</v>
      </c>
      <c r="C1167" s="222" t="str">
        <f>IFERROR(__xludf.DUMMYFUNCTION("""COMPUTED_VALUE"""),"MDN PT3 TJR-FK JL.HUTAN TUA_MD25")</f>
        <v>MDN PT3 TJR-FK JL.HUTAN TUA_MD25</v>
      </c>
      <c r="D1167" s="222" t="str">
        <f>IFERROR(__xludf.DUMMYFUNCTION("""COMPUTED_VALUE"""),"REGIONAL I")</f>
        <v>REGIONAL I</v>
      </c>
      <c r="E1167" s="222" t="str">
        <f>IFERROR(__xludf.DUMMYFUNCTION("""COMPUTED_VALUE"""),"MEDAN")</f>
        <v>MEDAN</v>
      </c>
      <c r="F1167" s="222" t="str">
        <f>IFERROR(__xludf.DUMMYFUNCTION("""COMPUTED_VALUE"""),"TJR")</f>
        <v>TJR</v>
      </c>
      <c r="G1167" s="222" t="str">
        <f>IFERROR(__xludf.DUMMYFUNCTION("""COMPUTED_VALUE"""),"SUMBAGUT")</f>
        <v>SUMBAGUT</v>
      </c>
      <c r="H1167" s="222" t="str">
        <f>IFERROR(__xludf.DUMMYFUNCTION("""COMPUTED_VALUE"""),"MEDAN")</f>
        <v>MEDAN</v>
      </c>
      <c r="I1167" s="222" t="str">
        <f>IFERROR(__xludf.DUMMYFUNCTION("""COMPUTED_VALUE"""),"Batch 2")</f>
        <v>Batch 2</v>
      </c>
      <c r="J1167" s="225">
        <f>IFERROR(__xludf.DUMMYFUNCTION("""COMPUTED_VALUE"""),3.0)</f>
        <v>3</v>
      </c>
      <c r="K1167" s="224">
        <f>IFERROR(__xludf.DUMMYFUNCTION("""COMPUTED_VALUE"""),24.0)</f>
        <v>24</v>
      </c>
      <c r="L1167" s="226">
        <f>IFERROR(__xludf.DUMMYFUNCTION("""COMPUTED_VALUE"""),1058786.0)</f>
        <v>1058786</v>
      </c>
      <c r="M1167" s="227">
        <f>IFERROR(__xludf.DUMMYFUNCTION("""COMPUTED_VALUE"""),2.5410861E7)</f>
        <v>25410861</v>
      </c>
      <c r="N1167" s="222" t="str">
        <f>IFERROR(__xludf.DUMMYFUNCTION("""COMPUTED_VALUE"""),"PT MEDCOM SOLUTION")</f>
        <v>PT MEDCOM SOLUTION</v>
      </c>
      <c r="O1167" s="222" t="str">
        <f>IFERROR(__xludf.DUMMYFUNCTION("""COMPUTED_VALUE"""),"0. DROP")</f>
        <v>0. DROP</v>
      </c>
      <c r="P1167" s="222" t="str">
        <f>IFERROR(__xludf.DUMMYFUNCTION("""COMPUTED_VALUE"""),"0.2 Tidak Dapat Izin Warga/Kades/Lurah/Developer")</f>
        <v>0.2 Tidak Dapat Izin Warga/Kades/Lurah/Developer</v>
      </c>
      <c r="Q1167" s="222" t="str">
        <f>IFERROR(__xludf.DUMMYFUNCTION("""COMPUTED_VALUE"""),"12/02 tdk ada space tanam tiang
(07/01) Persiapan")</f>
        <v>12/02 tdk ada space tanam tiang
(07/01) Persiapan</v>
      </c>
      <c r="R1167" s="228"/>
      <c r="S1167" s="11"/>
      <c r="T1167" s="11"/>
      <c r="U1167" s="11"/>
      <c r="V1167" s="229"/>
      <c r="W1167" s="229"/>
      <c r="X1167" s="229" t="str">
        <f>IFERROR(__xludf.DUMMYFUNCTION("""COMPUTED_VALUE"""),"BELUM GOLIVE")</f>
        <v>BELUM GOLIVE</v>
      </c>
      <c r="Y1167" s="229"/>
      <c r="Z1167" s="229" t="str">
        <f>IFERROR(__xludf.DUMMYFUNCTION("""COMPUTED_VALUE"""),"#N/A")</f>
        <v>#N/A</v>
      </c>
      <c r="AA1167" s="229"/>
      <c r="AB1167" s="229"/>
      <c r="AC1167" s="229"/>
      <c r="AD1167" s="232"/>
      <c r="AE1167" s="233"/>
      <c r="AF1167" s="54" t="str">
        <f>IFERROR(__xludf.DUMMYFUNCTION("""COMPUTED_VALUE"""),"Draft BA DROP")</f>
        <v>Draft BA DROP</v>
      </c>
      <c r="AG1167" s="54"/>
      <c r="AH1167" s="54"/>
      <c r="AI1167" s="55" t="str">
        <f t="shared" si="127"/>
        <v/>
      </c>
      <c r="AW1167" s="234"/>
      <c r="BP1167" s="11"/>
      <c r="BQ1167" s="11"/>
      <c r="BR1167" s="235"/>
      <c r="BV1167" s="158"/>
      <c r="BY1167" s="158"/>
      <c r="CB1167" s="158"/>
    </row>
    <row r="1168" ht="18.0" hidden="1" customHeight="1">
      <c r="A1168" s="222">
        <f>IFERROR(__xludf.DUMMYFUNCTION("""COMPUTED_VALUE"""),2026.0)</f>
        <v>2026</v>
      </c>
      <c r="B1168" s="221">
        <f>IFERROR(__xludf.DUMMYFUNCTION("""COMPUTED_VALUE"""),1.1220034E7)</f>
        <v>11220034</v>
      </c>
      <c r="C1168" s="222" t="str">
        <f>IFERROR(__xludf.DUMMYFUNCTION("""COMPUTED_VALUE"""),"MDN PT3 P7I6 DLT-FAD RORINATA TAHAP 2")</f>
        <v>MDN PT3 P7I6 DLT-FAD RORINATA TAHAP 2</v>
      </c>
      <c r="D1168" s="222" t="str">
        <f>IFERROR(__xludf.DUMMYFUNCTION("""COMPUTED_VALUE"""),"REGIONAL I")</f>
        <v>REGIONAL I</v>
      </c>
      <c r="E1168" s="222" t="str">
        <f>IFERROR(__xludf.DUMMYFUNCTION("""COMPUTED_VALUE"""),"MEDAN")</f>
        <v>MEDAN</v>
      </c>
      <c r="F1168" s="222" t="str">
        <f>IFERROR(__xludf.DUMMYFUNCTION("""COMPUTED_VALUE"""),"DLT")</f>
        <v>DLT</v>
      </c>
      <c r="G1168" s="222" t="str">
        <f>IFERROR(__xludf.DUMMYFUNCTION("""COMPUTED_VALUE"""),"SUMBAGUT")</f>
        <v>SUMBAGUT</v>
      </c>
      <c r="H1168" s="222" t="str">
        <f>IFERROR(__xludf.DUMMYFUNCTION("""COMPUTED_VALUE"""),"MEDAN")</f>
        <v>MEDAN</v>
      </c>
      <c r="I1168" s="222" t="str">
        <f>IFERROR(__xludf.DUMMYFUNCTION("""COMPUTED_VALUE"""),"Batch 2")</f>
        <v>Batch 2</v>
      </c>
      <c r="J1168" s="225">
        <f>IFERROR(__xludf.DUMMYFUNCTION("""COMPUTED_VALUE"""),6.0)</f>
        <v>6</v>
      </c>
      <c r="K1168" s="224">
        <f>IFERROR(__xludf.DUMMYFUNCTION("""COMPUTED_VALUE"""),48.0)</f>
        <v>48</v>
      </c>
      <c r="L1168" s="226">
        <f>IFERROR(__xludf.DUMMYFUNCTION("""COMPUTED_VALUE"""),1411853.0)</f>
        <v>1411853</v>
      </c>
      <c r="M1168" s="227">
        <f>IFERROR(__xludf.DUMMYFUNCTION("""COMPUTED_VALUE"""),6.7768906E7)</f>
        <v>67768906</v>
      </c>
      <c r="N1168" s="222" t="str">
        <f>IFERROR(__xludf.DUMMYFUNCTION("""COMPUTED_VALUE"""),"PT UPENTEL INTERNASIONAL")</f>
        <v>PT UPENTEL INTERNASIONAL</v>
      </c>
      <c r="O1168" s="222" t="str">
        <f>IFERROR(__xludf.DUMMYFUNCTION("""COMPUTED_VALUE"""),"0. DROP")</f>
        <v>0. DROP</v>
      </c>
      <c r="P1168" s="222" t="str">
        <f>IFERROR(__xludf.DUMMYFUNCTION("""COMPUTED_VALUE"""),"0.4 CPP Tinggi Acc ED TIF")</f>
        <v>0.4 CPP Tinggi Acc ED TIF</v>
      </c>
      <c r="Q1168"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1168" s="228"/>
      <c r="S1168" s="11"/>
      <c r="T1168" s="11"/>
      <c r="U1168" s="11"/>
      <c r="V1168" s="229"/>
      <c r="W1168" s="229"/>
      <c r="X1168" s="229" t="str">
        <f>IFERROR(__xludf.DUMMYFUNCTION("""COMPUTED_VALUE"""),"BELUM GOLIVE")</f>
        <v>BELUM GOLIVE</v>
      </c>
      <c r="Y1168" s="229"/>
      <c r="Z1168" s="229" t="str">
        <f>IFERROR(__xludf.DUMMYFUNCTION("""COMPUTED_VALUE"""),"#N/A")</f>
        <v>#N/A</v>
      </c>
      <c r="AA1168" s="229"/>
      <c r="AB1168" s="229"/>
      <c r="AC1168" s="229"/>
      <c r="AD1168" s="232"/>
      <c r="AE1168" s="233"/>
      <c r="AF1168" s="54" t="str">
        <f>IFERROR(__xludf.DUMMYFUNCTION("""COMPUTED_VALUE"""),"Draft BA DROP")</f>
        <v>Draft BA DROP</v>
      </c>
      <c r="AG1168" s="54"/>
      <c r="AH1168" s="54"/>
      <c r="AI1168" s="55" t="str">
        <f t="shared" si="127"/>
        <v/>
      </c>
      <c r="AW1168" s="234"/>
      <c r="BP1168" s="11"/>
      <c r="BQ1168" s="11"/>
      <c r="BR1168" s="235"/>
      <c r="BV1168" s="158"/>
      <c r="BY1168" s="158"/>
      <c r="CB1168" s="158"/>
    </row>
    <row r="1169" ht="18.0" customHeight="1">
      <c r="A1169" s="222">
        <f>IFERROR(__xludf.DUMMYFUNCTION("""COMPUTED_VALUE"""),2026.0)</f>
        <v>2026</v>
      </c>
      <c r="B1169" s="221">
        <f>IFERROR(__xludf.DUMMYFUNCTION("""COMPUTED_VALUE"""),1.1290186E7)</f>
        <v>11290186</v>
      </c>
      <c r="C1169" s="222" t="str">
        <f>IFERROR(__xludf.DUMMYFUNCTION("""COMPUTED_VALUE"""),"SMB P2I1 Jl. kebun Balai Gadang UIN")</f>
        <v>SMB P2I1 Jl. kebun Balai Gadang UIN</v>
      </c>
      <c r="D1169" s="222" t="str">
        <f>IFERROR(__xludf.DUMMYFUNCTION("""COMPUTED_VALUE"""),"REGIONAL I")</f>
        <v>REGIONAL I</v>
      </c>
      <c r="E1169" s="222" t="str">
        <f>IFERROR(__xludf.DUMMYFUNCTION("""COMPUTED_VALUE"""),"SUMBAR")</f>
        <v>SUMBAR</v>
      </c>
      <c r="F1169" s="222" t="str">
        <f>IFERROR(__xludf.DUMMYFUNCTION("""COMPUTED_VALUE"""),"LBY")</f>
        <v>LBY</v>
      </c>
      <c r="G1169" s="222" t="str">
        <f>IFERROR(__xludf.DUMMYFUNCTION("""COMPUTED_VALUE"""),"SUMBAGTENG")</f>
        <v>SUMBAGTENG</v>
      </c>
      <c r="H1169" s="222" t="str">
        <f>IFERROR(__xludf.DUMMYFUNCTION("""COMPUTED_VALUE"""),"PADANG")</f>
        <v>PADANG</v>
      </c>
      <c r="I1169" s="222" t="str">
        <f>IFERROR(__xludf.DUMMYFUNCTION("""COMPUTED_VALUE"""),"Batch 2")</f>
        <v>Batch 2</v>
      </c>
      <c r="J1169" s="225">
        <f>IFERROR(__xludf.DUMMYFUNCTION("""COMPUTED_VALUE"""),6.0)</f>
        <v>6</v>
      </c>
      <c r="K1169" s="224">
        <f>IFERROR(__xludf.DUMMYFUNCTION("""COMPUTED_VALUE"""),48.0)</f>
        <v>48</v>
      </c>
      <c r="L1169" s="226">
        <f>IFERROR(__xludf.DUMMYFUNCTION("""COMPUTED_VALUE"""),856769.0)</f>
        <v>856769</v>
      </c>
      <c r="M1169" s="227">
        <f>IFERROR(__xludf.DUMMYFUNCTION("""COMPUTED_VALUE"""),4.1124888E7)</f>
        <v>41124888</v>
      </c>
      <c r="N1169" s="222" t="str">
        <f>IFERROR(__xludf.DUMMYFUNCTION("""COMPUTED_VALUE"""),"PT TRI PENAMAS")</f>
        <v>PT TRI PENAMAS</v>
      </c>
      <c r="O1169" s="222" t="str">
        <f>IFERROR(__xludf.DUMMYFUNCTION("""COMPUTED_VALUE"""),"0. DROP")</f>
        <v>0. DROP</v>
      </c>
      <c r="P1169" s="222" t="str">
        <f>IFERROR(__xludf.DUMMYFUNCTION("""COMPUTED_VALUE"""),"0.3 Feeder Full")</f>
        <v>0.3 Feeder Full</v>
      </c>
      <c r="Q1169" s="222" t="str">
        <f>IFERROR(__xludf.DUMMYFUNCTION("""COMPUTED_VALUE"""),"23/01 : Kendala feeder LBY-FM FULL")</f>
        <v>23/01 : Kendala feeder LBY-FM FULL</v>
      </c>
      <c r="R1169" s="228"/>
      <c r="S1169" s="11"/>
      <c r="T1169" s="11"/>
      <c r="U1169" s="11"/>
      <c r="V1169" s="229"/>
      <c r="W1169" s="229"/>
      <c r="X1169" s="229" t="str">
        <f>IFERROR(__xludf.DUMMYFUNCTION("""COMPUTED_VALUE"""),"BELUM GOLIVE")</f>
        <v>BELUM GOLIVE</v>
      </c>
      <c r="Y1169" s="229"/>
      <c r="Z1169" s="229" t="str">
        <f>IFERROR(__xludf.DUMMYFUNCTION("""COMPUTED_VALUE"""),"#N/A")</f>
        <v>#N/A</v>
      </c>
      <c r="AA1169" s="229"/>
      <c r="AB1169" s="229"/>
      <c r="AC1169" s="229"/>
      <c r="AD1169" s="232"/>
      <c r="AE1169" s="233"/>
      <c r="AF1169" s="54" t="str">
        <f>IFERROR(__xludf.DUMMYFUNCTION("""COMPUTED_VALUE"""),"Draft BA DROP")</f>
        <v>Draft BA DROP</v>
      </c>
      <c r="AG1169" s="54"/>
      <c r="AH1169" s="54"/>
      <c r="AI1169" s="55" t="str">
        <f t="shared" si="127"/>
        <v/>
      </c>
      <c r="AW1169" s="234"/>
      <c r="BP1169" s="11"/>
      <c r="BQ1169" s="11"/>
      <c r="BR1169" s="235"/>
      <c r="BV1169" s="158"/>
      <c r="BY1169" s="158"/>
      <c r="CB1169" s="158"/>
    </row>
    <row r="1170" ht="18.0" hidden="1" customHeight="1">
      <c r="A1170" s="222">
        <f>IFERROR(__xludf.DUMMYFUNCTION("""COMPUTED_VALUE"""),2026.0)</f>
        <v>2026</v>
      </c>
      <c r="B1170" s="221">
        <f>IFERROR(__xludf.DUMMYFUNCTION("""COMPUTED_VALUE"""),1.1266521E7)</f>
        <v>11266521</v>
      </c>
      <c r="C1170" s="222" t="str">
        <f>IFERROR(__xludf.DUMMYFUNCTION("""COMPUTED_VALUE"""),"ACH PT3 LSM-FAW D05 BR LHOK MON PUTEH")</f>
        <v>ACH PT3 LSM-FAW D05 BR LHOK MON PUTEH</v>
      </c>
      <c r="D1170" s="222" t="str">
        <f>IFERROR(__xludf.DUMMYFUNCTION("""COMPUTED_VALUE"""),"REGIONAL I")</f>
        <v>REGIONAL I</v>
      </c>
      <c r="E1170" s="222" t="str">
        <f>IFERROR(__xludf.DUMMYFUNCTION("""COMPUTED_VALUE"""),"ACEH")</f>
        <v>ACEH</v>
      </c>
      <c r="F1170" s="222" t="str">
        <f>IFERROR(__xludf.DUMMYFUNCTION("""COMPUTED_VALUE"""),"LSM")</f>
        <v>LSM</v>
      </c>
      <c r="G1170" s="222" t="str">
        <f>IFERROR(__xludf.DUMMYFUNCTION("""COMPUTED_VALUE"""),"SUMBAGUT")</f>
        <v>SUMBAGUT</v>
      </c>
      <c r="H1170" s="222" t="str">
        <f>IFERROR(__xludf.DUMMYFUNCTION("""COMPUTED_VALUE"""),"BINJAI")</f>
        <v>BINJAI</v>
      </c>
      <c r="I1170" s="222" t="str">
        <f>IFERROR(__xludf.DUMMYFUNCTION("""COMPUTED_VALUE"""),"Batch 2")</f>
        <v>Batch 2</v>
      </c>
      <c r="J1170" s="225">
        <f>IFERROR(__xludf.DUMMYFUNCTION("""COMPUTED_VALUE"""),5.0)</f>
        <v>5</v>
      </c>
      <c r="K1170" s="224">
        <f>IFERROR(__xludf.DUMMYFUNCTION("""COMPUTED_VALUE"""),40.0)</f>
        <v>40</v>
      </c>
      <c r="L1170" s="226">
        <f>IFERROR(__xludf.DUMMYFUNCTION("""COMPUTED_VALUE"""),856745.0)</f>
        <v>856745</v>
      </c>
      <c r="M1170" s="227">
        <f>IFERROR(__xludf.DUMMYFUNCTION("""COMPUTED_VALUE"""),3.4269778E7)</f>
        <v>34269778</v>
      </c>
      <c r="N1170" s="222" t="str">
        <f>IFERROR(__xludf.DUMMYFUNCTION("""COMPUTED_VALUE"""),"PT TRIPOLA PANATA")</f>
        <v>PT TRIPOLA PANATA</v>
      </c>
      <c r="O1170" s="222" t="str">
        <f>IFERROR(__xludf.DUMMYFUNCTION("""COMPUTED_VALUE"""),"2. DONE AANWIJZING")</f>
        <v>2. DONE AANWIJZING</v>
      </c>
      <c r="P1170" s="222" t="str">
        <f>IFERROR(__xludf.DUMMYFUNCTION("""COMPUTED_VALUE"""),"2.9 Kendala - Distribusi Penuh / Rusak")</f>
        <v>2.9 Kendala - Distribusi Penuh / Rusak</v>
      </c>
      <c r="Q1170" s="222" t="str">
        <f>IFERROR(__xludf.DUMMYFUNCTION("""COMPUTED_VALUE"""),"(01/04) Proses Redesign (16/02) Proses Negosiasi dgn Warga Desa (08/01) Peralihan Mitra (07/01) Persiapan")</f>
        <v>(01/04) Proses Redesign (16/02) Proses Negosiasi dgn Warga Desa (08/01) Peralihan Mitra (07/01) Persiapan</v>
      </c>
      <c r="R1170" s="228"/>
      <c r="S1170" s="11"/>
      <c r="T1170" s="11"/>
      <c r="U1170" s="11"/>
      <c r="V1170" s="229"/>
      <c r="W1170" s="229"/>
      <c r="X1170" s="229" t="str">
        <f>IFERROR(__xludf.DUMMYFUNCTION("""COMPUTED_VALUE"""),"BELUM GOLIVE")</f>
        <v>BELUM GOLIVE</v>
      </c>
      <c r="Y1170" s="229"/>
      <c r="Z1170" s="229" t="str">
        <f>IFERROR(__xludf.DUMMYFUNCTION("""COMPUTED_VALUE"""),"#N/A")</f>
        <v>#N/A</v>
      </c>
      <c r="AA1170" s="229"/>
      <c r="AB1170" s="229"/>
      <c r="AC1170" s="229"/>
      <c r="AD1170" s="232"/>
      <c r="AE1170" s="233"/>
      <c r="AF1170" s="54"/>
      <c r="AG1170" s="54"/>
      <c r="AH1170" s="54"/>
      <c r="AI1170" s="55" t="str">
        <f t="shared" si="127"/>
        <v/>
      </c>
      <c r="AW1170" s="234"/>
      <c r="BP1170" s="11"/>
      <c r="BQ1170" s="11"/>
      <c r="BR1170" s="235"/>
      <c r="BV1170" s="158"/>
      <c r="BY1170" s="158"/>
      <c r="CB1170" s="158"/>
    </row>
    <row r="1171" ht="18.0" customHeight="1">
      <c r="A1171" s="222">
        <f>IFERROR(__xludf.DUMMYFUNCTION("""COMPUTED_VALUE"""),2026.0)</f>
        <v>2026</v>
      </c>
      <c r="B1171" s="221">
        <f>IFERROR(__xludf.DUMMYFUNCTION("""COMPUTED_VALUE"""),1.177758E7)</f>
        <v>11777580</v>
      </c>
      <c r="C1171" s="222" t="str">
        <f>IFERROR(__xludf.DUMMYFUNCTION("""COMPUTED_VALUE"""),"SMB SLK PT3-FATMA ROZA")</f>
        <v>SMB SLK PT3-FATMA ROZA</v>
      </c>
      <c r="D1171" s="222" t="str">
        <f>IFERROR(__xludf.DUMMYFUNCTION("""COMPUTED_VALUE"""),"REGIONAL I")</f>
        <v>REGIONAL I</v>
      </c>
      <c r="E1171" s="222" t="str">
        <f>IFERROR(__xludf.DUMMYFUNCTION("""COMPUTED_VALUE"""),"SUMBAR")</f>
        <v>SUMBAR</v>
      </c>
      <c r="F1171" s="222" t="str">
        <f>IFERROR(__xludf.DUMMYFUNCTION("""COMPUTED_VALUE"""),"SLK")</f>
        <v>SLK</v>
      </c>
      <c r="G1171" s="222" t="str">
        <f>IFERROR(__xludf.DUMMYFUNCTION("""COMPUTED_VALUE"""),"SUMBAGTENG")</f>
        <v>SUMBAGTENG</v>
      </c>
      <c r="H1171" s="222" t="str">
        <f>IFERROR(__xludf.DUMMYFUNCTION("""COMPUTED_VALUE"""),"PADANG")</f>
        <v>PADANG</v>
      </c>
      <c r="I1171" s="222" t="str">
        <f>IFERROR(__xludf.DUMMYFUNCTION("""COMPUTED_VALUE"""),"Batch 2")</f>
        <v>Batch 2</v>
      </c>
      <c r="J1171" s="225">
        <f>IFERROR(__xludf.DUMMYFUNCTION("""COMPUTED_VALUE"""),2.0)</f>
        <v>2</v>
      </c>
      <c r="K1171" s="224">
        <f>IFERROR(__xludf.DUMMYFUNCTION("""COMPUTED_VALUE"""),16.0)</f>
        <v>16</v>
      </c>
      <c r="L1171" s="226">
        <f>IFERROR(__xludf.DUMMYFUNCTION("""COMPUTED_VALUE"""),856356.0)</f>
        <v>856356</v>
      </c>
      <c r="M1171" s="227">
        <f>IFERROR(__xludf.DUMMYFUNCTION("""COMPUTED_VALUE"""),1.3701691E7)</f>
        <v>13701691</v>
      </c>
      <c r="N1171" s="222" t="str">
        <f>IFERROR(__xludf.DUMMYFUNCTION("""COMPUTED_VALUE"""),"PT TANJUNG PUTRA PRIMA")</f>
        <v>PT TANJUNG PUTRA PRIMA</v>
      </c>
      <c r="O1171" s="222" t="str">
        <f>IFERROR(__xludf.DUMMYFUNCTION("""COMPUTED_VALUE"""),"8. UJI TERIMA")</f>
        <v>8. UJI TERIMA</v>
      </c>
      <c r="P1171" s="222" t="str">
        <f>IFERROR(__xludf.DUMMYFUNCTION("""COMPUTED_VALUE"""),"8.1 Proses UT")</f>
        <v>8.1 Proses UT</v>
      </c>
      <c r="Q1171" s="222" t="str">
        <f>IFERROR(__xludf.DUMMYFUNCTION("""COMPUTED_VALUE"""),"(07/01) Persiapan")</f>
        <v>(07/01) Persiapan</v>
      </c>
      <c r="R1171" s="228"/>
      <c r="S1171" s="11"/>
      <c r="T1171" s="11"/>
      <c r="U1171" s="11" t="str">
        <f>IFERROR(__xludf.DUMMYFUNCTION("""COMPUTED_VALUE"""),"W10-1706/2025 25KT03R158-0483")</f>
        <v>W10-1706/2025 25KT03R158-0483</v>
      </c>
      <c r="V1171" s="229" t="str">
        <f>IFERROR(__xludf.DUMMYFUNCTION("""COMPUTED_VALUE"""),"FAISAL NURHAMDI")</f>
        <v>FAISAL NURHAMDI</v>
      </c>
      <c r="W1171" s="229" t="str">
        <f>IFERROR(__xludf.DUMMYFUNCTION("""COMPUTED_VALUE"""),"MELKO NARWADI")</f>
        <v>MELKO NARWADI</v>
      </c>
      <c r="X1171" s="229" t="str">
        <f>IFERROR(__xludf.DUMMYFUNCTION("""COMPUTED_VALUE"""),"GOLIVE")</f>
        <v>GOLIVE</v>
      </c>
      <c r="Y1171" s="229" t="str">
        <f>IFERROR(__xludf.DUMMYFUNCTION("""COMPUTED_VALUE"""),"DONE")</f>
        <v>DONE</v>
      </c>
      <c r="Z1171" s="229" t="str">
        <f>IFERROR(__xludf.DUMMYFUNCTION("""COMPUTED_VALUE"""),"#N/A")</f>
        <v>#N/A</v>
      </c>
      <c r="AA1171" s="229">
        <f>IFERROR(__xludf.DUMMYFUNCTION("""COMPUTED_VALUE"""),2.0)</f>
        <v>2</v>
      </c>
      <c r="AB1171" s="229"/>
      <c r="AC1171" s="229" t="str">
        <f>IFERROR(__xludf.DUMMYFUNCTION("""COMPUTED_VALUE"""),"8939286#8939291")</f>
        <v>8939286#8939291</v>
      </c>
      <c r="AD1171" s="232">
        <f>IFERROR(__xludf.DUMMYFUNCTION("""COMPUTED_VALUE"""),16.0)</f>
        <v>16</v>
      </c>
      <c r="AE1171" s="233">
        <f>IFERROR(__xludf.DUMMYFUNCTION("""COMPUTED_VALUE"""),46031.0)</f>
        <v>46031</v>
      </c>
      <c r="AF1171" s="54"/>
      <c r="AG1171" s="54"/>
      <c r="AH1171" s="54"/>
      <c r="AI1171" s="55" t="str">
        <f t="shared" si="127"/>
        <v/>
      </c>
      <c r="AW1171" s="234"/>
      <c r="BP1171" s="11"/>
      <c r="BQ1171" s="11"/>
      <c r="BR1171" s="235"/>
      <c r="BV1171" s="158"/>
      <c r="BY1171" s="158"/>
      <c r="CB1171" s="158"/>
    </row>
    <row r="1172" ht="18.0" hidden="1" customHeight="1">
      <c r="A1172" s="222">
        <f>IFERROR(__xludf.DUMMYFUNCTION("""COMPUTED_VALUE"""),2026.0)</f>
        <v>2026</v>
      </c>
      <c r="B1172" s="221">
        <f>IFERROR(__xludf.DUMMYFUNCTION("""COMPUTED_VALUE"""),1.2300302E7)</f>
        <v>12300302</v>
      </c>
      <c r="C1172" s="222" t="str">
        <f>IFERROR(__xludf.DUMMYFUNCTION("""COMPUTED_VALUE"""),"SMU PSP-FAZ D08 CLUST KAYU OMBUN")</f>
        <v>SMU PSP-FAZ D08 CLUST KAYU OMBUN</v>
      </c>
      <c r="D1172" s="222" t="str">
        <f>IFERROR(__xludf.DUMMYFUNCTION("""COMPUTED_VALUE"""),"REGIONAL I")</f>
        <v>REGIONAL I</v>
      </c>
      <c r="E1172" s="222" t="str">
        <f>IFERROR(__xludf.DUMMYFUNCTION("""COMPUTED_VALUE"""),"SUMUT")</f>
        <v>SUMUT</v>
      </c>
      <c r="F1172" s="222" t="str">
        <f>IFERROR(__xludf.DUMMYFUNCTION("""COMPUTED_VALUE"""),"PSP")</f>
        <v>PSP</v>
      </c>
      <c r="G1172" s="222" t="str">
        <f>IFERROR(__xludf.DUMMYFUNCTION("""COMPUTED_VALUE"""),"SUMBAGUT")</f>
        <v>SUMBAGUT</v>
      </c>
      <c r="H1172" s="222" t="str">
        <f>IFERROR(__xludf.DUMMYFUNCTION("""COMPUTED_VALUE"""),"PADANG SIDEMPUAN")</f>
        <v>PADANG SIDEMPUAN</v>
      </c>
      <c r="I1172" s="222" t="str">
        <f>IFERROR(__xludf.DUMMYFUNCTION("""COMPUTED_VALUE"""),"Batch 2")</f>
        <v>Batch 2</v>
      </c>
      <c r="J1172" s="225">
        <f>IFERROR(__xludf.DUMMYFUNCTION("""COMPUTED_VALUE"""),8.0)</f>
        <v>8</v>
      </c>
      <c r="K1172" s="224">
        <f>IFERROR(__xludf.DUMMYFUNCTION("""COMPUTED_VALUE"""),64.0)</f>
        <v>64</v>
      </c>
      <c r="L1172" s="226">
        <f>IFERROR(__xludf.DUMMYFUNCTION("""COMPUTED_VALUE"""),856227.0)</f>
        <v>856227</v>
      </c>
      <c r="M1172" s="227">
        <f>IFERROR(__xludf.DUMMYFUNCTION("""COMPUTED_VALUE"""),5.4798479E7)</f>
        <v>54798479</v>
      </c>
      <c r="N1172" s="222" t="str">
        <f>IFERROR(__xludf.DUMMYFUNCTION("""COMPUTED_VALUE"""),"PT SALTTEK DUMPANG JAYA")</f>
        <v>PT SALTTEK DUMPANG JAYA</v>
      </c>
      <c r="O1172" s="222" t="str">
        <f>IFERROR(__xludf.DUMMYFUNCTION("""COMPUTED_VALUE"""),"7. GOLIVE")</f>
        <v>7. GOLIVE</v>
      </c>
      <c r="P1172" s="222" t="str">
        <f>IFERROR(__xludf.DUMMYFUNCTION("""COMPUTED_VALUE"""),"7.2 Golive Full / OA / DONE OTB")</f>
        <v>7.2 Golive Full / OA / DONE OTB</v>
      </c>
      <c r="Q1172" s="222" t="str">
        <f>IFERROR(__xludf.DUMMYFUNCTION("""COMPUTED_VALUE"""),"27/2 validasi9 sdi, 26/2 proses bad mancore, 25/2 proses abd 6 odp sisa 1 odp redting, 24/2 plan hari ini submit abd, 22/2 proses instal odp dan terminasi 7 odp, 20/2 proses instal odp dan terminasi 7 odp, 19/2 plan team keloaksi sabtu 21 feb, sisa instal"&amp;" 7 odp, ku 12 (1750 selesai, tiang 4 selesai, 16/2 sisa instal 7 odp, ku 12 (1750 selesai, tiang 4 selesai, 13/2 prepair tim partial di lop psp fbe, 12/2 prepair tim partial di lop psp fbe, 11/2 prepair tim partial di lop psp fbe, 10/2 prepair tim untuk p"&amp;"rogress di lokasi est 11/2,  9/2 prepair pengiriman matrial kelokasi, 6/2 prepare pengiriman material dari wh ke site, 5/2 prepair team untuk deliv matrial dari gudang,  3/2 prepair team untuk deliv matrial dari gudang,  2/2 done req material, 1/2 menungg"&amp;"u req matrial,  30/1 menunggu req matrial, 28/1 menunggu req matrial, 27/1 menunggu req matrial, 26/1 menunggu hasil report survey dan boq kml survey, 23/1 menunggu boq kml survey, 22/1 menunggu report hasil survey paralel boq kml,  21/1 menunggu report h"&amp;"asil survey paralel boq kml, 20/1 plan survey 21/1, 19/1 plan survey 21/1,  15/1 plan survey 21/1, 14/1 plan survey 20/1, 13/1 prepair tim untuk penjadwalan survey, (07/01) Persiapan")</f>
        <v>27/2 validasi9 sdi, 26/2 proses bad mancore, 25/2 proses abd 6 odp sisa 1 odp redting, 24/2 plan hari ini submit abd, 22/2 proses instal odp dan terminasi 7 odp, 20/2 proses instal odp dan terminasi 7 odp, 19/2 plan team keloaksi sabtu 21 feb, sisa instal 7 odp, ku 12 (1750 selesai, tiang 4 selesai, 16/2 sisa instal 7 odp, ku 12 (1750 selesai, tiang 4 selesai, 13/2 prepair tim partial di lop psp fbe, 12/2 prepair tim partial di lop psp fbe, 11/2 prepair tim partial di lop psp fbe, 10/2 prepair tim untuk progress di lokasi est 11/2,  9/2 prepair pengiriman matrial kelokasi, 6/2 prepare pengiriman material dari wh ke site, 5/2 prepair team untuk deliv matrial dari gudang,  3/2 prepair team untuk deliv matrial dari gudang,  2/2 done req material, 1/2 menunggu req matrial,  30/1 menunggu req matrial, 28/1 menunggu req matrial, 27/1 menunggu req matrial, 26/1 menunggu hasil report survey dan boq kml survey, 23/1 menunggu boq kml survey, 22/1 menunggu report hasil survey paralel boq kml,  21/1 menunggu report hasil survey paralel boq kml, 20/1 plan survey 21/1, 19/1 plan survey 21/1,  15/1 plan survey 21/1, 14/1 plan survey 20/1, 13/1 prepair tim untuk penjadwalan survey, (07/01) Persiapan</v>
      </c>
      <c r="R1172" s="228"/>
      <c r="S1172" s="11"/>
      <c r="T1172" s="11"/>
      <c r="U1172" s="11" t="str">
        <f>IFERROR(__xludf.DUMMYFUNCTION("""COMPUTED_VALUE"""),"TIF-1383/2026")</f>
        <v>TIF-1383/2026</v>
      </c>
      <c r="V1172" s="229"/>
      <c r="W1172" s="229"/>
      <c r="X1172" s="229" t="str">
        <f>IFERROR(__xludf.DUMMYFUNCTION("""COMPUTED_VALUE"""),"GOLIVE")</f>
        <v>GOLIVE</v>
      </c>
      <c r="Y1172" s="229" t="str">
        <f>IFERROR(__xludf.DUMMYFUNCTION("""COMPUTED_VALUE"""),"DONE")</f>
        <v>DONE</v>
      </c>
      <c r="Z1172" s="229" t="str">
        <f>IFERROR(__xludf.DUMMYFUNCTION("""COMPUTED_VALUE"""),"#N/A")</f>
        <v>#N/A</v>
      </c>
      <c r="AA1172" s="229">
        <f>IFERROR(__xludf.DUMMYFUNCTION("""COMPUTED_VALUE"""),8.0)</f>
        <v>8</v>
      </c>
      <c r="AB1172" s="229"/>
      <c r="AC1172" s="229" t="str">
        <f>IFERROR(__xludf.DUMMYFUNCTION("""COMPUTED_VALUE"""),"9157837#9157842")</f>
        <v>9157837#9157842</v>
      </c>
      <c r="AD1172" s="232">
        <f>IFERROR(__xludf.DUMMYFUNCTION("""COMPUTED_VALUE"""),64.0)</f>
        <v>64</v>
      </c>
      <c r="AE1172" s="233">
        <f>IFERROR(__xludf.DUMMYFUNCTION("""COMPUTED_VALUE"""),46080.0)</f>
        <v>46080</v>
      </c>
      <c r="AF1172" s="54"/>
      <c r="AG1172" s="54"/>
      <c r="AH1172" s="54"/>
      <c r="AI1172" s="55" t="str">
        <f t="shared" si="127"/>
        <v/>
      </c>
      <c r="AW1172" s="234"/>
      <c r="BP1172" s="11"/>
      <c r="BQ1172" s="11"/>
      <c r="BR1172" s="235"/>
      <c r="BV1172" s="158"/>
      <c r="BY1172" s="158"/>
      <c r="CB1172" s="158"/>
    </row>
    <row r="1173" ht="18.0" hidden="1" customHeight="1">
      <c r="A1173" s="222">
        <f>IFERROR(__xludf.DUMMYFUNCTION("""COMPUTED_VALUE"""),2026.0)</f>
        <v>2026</v>
      </c>
      <c r="B1173" s="221">
        <f>IFERROR(__xludf.DUMMYFUNCTION("""COMPUTED_VALUE"""),1.1442197E7)</f>
        <v>11442197</v>
      </c>
      <c r="C1173" s="222" t="str">
        <f>IFERROR(__xludf.DUMMYFUNCTION("""COMPUTED_VALUE"""),"LPG PT3 JPP Perum Puri Cantika 2 KDT")</f>
        <v>LPG PT3 JPP Perum Puri Cantika 2 KDT</v>
      </c>
      <c r="D1173" s="222" t="str">
        <f>IFERROR(__xludf.DUMMYFUNCTION("""COMPUTED_VALUE"""),"REGIONAL I")</f>
        <v>REGIONAL I</v>
      </c>
      <c r="E1173" s="222" t="str">
        <f>IFERROR(__xludf.DUMMYFUNCTION("""COMPUTED_VALUE"""),"LAMPUNG")</f>
        <v>LAMPUNG</v>
      </c>
      <c r="F1173" s="222" t="str">
        <f>IFERROR(__xludf.DUMMYFUNCTION("""COMPUTED_VALUE"""),"KDT")</f>
        <v>KDT</v>
      </c>
      <c r="G1173" s="222" t="str">
        <f>IFERROR(__xludf.DUMMYFUNCTION("""COMPUTED_VALUE"""),"SUMBAGSEL")</f>
        <v>SUMBAGSEL</v>
      </c>
      <c r="H1173" s="222" t="str">
        <f>IFERROR(__xludf.DUMMYFUNCTION("""COMPUTED_VALUE"""),"LAMPUNG")</f>
        <v>LAMPUNG</v>
      </c>
      <c r="I1173" s="222" t="str">
        <f>IFERROR(__xludf.DUMMYFUNCTION("""COMPUTED_VALUE"""),"Batch 2")</f>
        <v>Batch 2</v>
      </c>
      <c r="J1173" s="225">
        <f>IFERROR(__xludf.DUMMYFUNCTION("""COMPUTED_VALUE"""),7.0)</f>
        <v>7</v>
      </c>
      <c r="K1173" s="224">
        <f>IFERROR(__xludf.DUMMYFUNCTION("""COMPUTED_VALUE"""),56.0)</f>
        <v>56</v>
      </c>
      <c r="L1173" s="226">
        <f>IFERROR(__xludf.DUMMYFUNCTION("""COMPUTED_VALUE"""),855897.0)</f>
        <v>855897</v>
      </c>
      <c r="M1173" s="227">
        <f>IFERROR(__xludf.DUMMYFUNCTION("""COMPUTED_VALUE"""),4.7930195E7)</f>
        <v>47930195</v>
      </c>
      <c r="N1173" s="222" t="str">
        <f>IFERROR(__xludf.DUMMYFUNCTION("""COMPUTED_VALUE"""),"PT GARINDO TECHNO MANDIRI")</f>
        <v>PT GARINDO TECHNO MANDIRI</v>
      </c>
      <c r="O1173" s="222" t="str">
        <f>IFERROR(__xludf.DUMMYFUNCTION("""COMPUTED_VALUE"""),"0. DROP")</f>
        <v>0. DROP</v>
      </c>
      <c r="P1173" s="222" t="str">
        <f>IFERROR(__xludf.DUMMYFUNCTION("""COMPUTED_VALUE"""),"0.2 Tidak Dapat Izin Warga/Kades/Lurah/Developer")</f>
        <v>0.2 Tidak Dapat Izin Warga/Kades/Lurah/Developer</v>
      </c>
      <c r="Q1173" s="222" t="str">
        <f>IFERROR(__xludf.DUMMYFUNCTION("""COMPUTED_VALUE"""),"15/1 lurah minta surat perkim,diskominfo dan tata kota")</f>
        <v>15/1 lurah minta surat perkim,diskominfo dan tata kota</v>
      </c>
      <c r="R1173" s="228"/>
      <c r="S1173" s="11"/>
      <c r="T1173" s="11"/>
      <c r="U1173" s="11" t="str">
        <f>IFERROR(__xludf.DUMMYFUNCTION("""COMPUTED_VALUE"""),"W02-514/2025")</f>
        <v>W02-514/2025</v>
      </c>
      <c r="V1173" s="229"/>
      <c r="W1173" s="229"/>
      <c r="X1173" s="229" t="str">
        <f>IFERROR(__xludf.DUMMYFUNCTION("""COMPUTED_VALUE"""),"BELUM GOLIVE")</f>
        <v>BELUM GOLIVE</v>
      </c>
      <c r="Y1173" s="229" t="str">
        <f>IFERROR(__xludf.DUMMYFUNCTION("""COMPUTED_VALUE"""),"PORT OLT Penuh")</f>
        <v>PORT OLT Penuh</v>
      </c>
      <c r="Z1173" s="229" t="str">
        <f>IFERROR(__xludf.DUMMYFUNCTION("""COMPUTED_VALUE"""),"#N/A")</f>
        <v>#N/A</v>
      </c>
      <c r="AA1173" s="229"/>
      <c r="AB1173" s="229"/>
      <c r="AC1173" s="229"/>
      <c r="AD1173" s="232"/>
      <c r="AE1173" s="233"/>
      <c r="AF1173" s="54" t="str">
        <f>IFERROR(__xludf.DUMMYFUNCTION("""COMPUTED_VALUE"""),"Draft BA DROP")</f>
        <v>Draft BA DROP</v>
      </c>
      <c r="AG1173" s="54"/>
      <c r="AH1173" s="54"/>
      <c r="AI1173" s="55" t="str">
        <f t="shared" si="127"/>
        <v/>
      </c>
      <c r="AW1173" s="234"/>
      <c r="BP1173" s="11"/>
      <c r="BQ1173" s="11"/>
      <c r="BR1173" s="235"/>
      <c r="BV1173" s="158"/>
      <c r="BY1173" s="158"/>
      <c r="CB1173" s="158"/>
    </row>
    <row r="1174" ht="18.0" hidden="1" customHeight="1">
      <c r="A1174" s="222">
        <f>IFERROR(__xludf.DUMMYFUNCTION("""COMPUTED_VALUE"""),2026.0)</f>
        <v>2026</v>
      </c>
      <c r="B1174" s="221">
        <f>IFERROR(__xludf.DUMMYFUNCTION("""COMPUTED_VALUE"""),1.1487348E7)</f>
        <v>11487348</v>
      </c>
      <c r="C1174" s="222" t="str">
        <f>IFERROR(__xludf.DUMMYFUNCTION("""COMPUTED_VALUE"""),"BNK-PT3-BNC-FP-JPPTSEL- KEBUN BELER")</f>
        <v>BNK-PT3-BNC-FP-JPPTSEL- KEBUN BELER</v>
      </c>
      <c r="D1174" s="222" t="str">
        <f>IFERROR(__xludf.DUMMYFUNCTION("""COMPUTED_VALUE"""),"REGIONAL I")</f>
        <v>REGIONAL I</v>
      </c>
      <c r="E1174" s="222" t="str">
        <f>IFERROR(__xludf.DUMMYFUNCTION("""COMPUTED_VALUE"""),"BENGKULU")</f>
        <v>BENGKULU</v>
      </c>
      <c r="F1174" s="222" t="str">
        <f>IFERROR(__xludf.DUMMYFUNCTION("""COMPUTED_VALUE"""),"BNC")</f>
        <v>BNC</v>
      </c>
      <c r="G1174" s="222" t="str">
        <f>IFERROR(__xludf.DUMMYFUNCTION("""COMPUTED_VALUE"""),"SUMBAGSEL")</f>
        <v>SUMBAGSEL</v>
      </c>
      <c r="H1174" s="222" t="str">
        <f>IFERROR(__xludf.DUMMYFUNCTION("""COMPUTED_VALUE"""),"BENGKULU")</f>
        <v>BENGKULU</v>
      </c>
      <c r="I1174" s="222" t="str">
        <f>IFERROR(__xludf.DUMMYFUNCTION("""COMPUTED_VALUE"""),"Batch 2")</f>
        <v>Batch 2</v>
      </c>
      <c r="J1174" s="225">
        <f>IFERROR(__xludf.DUMMYFUNCTION("""COMPUTED_VALUE"""),14.0)</f>
        <v>14</v>
      </c>
      <c r="K1174" s="224">
        <f>IFERROR(__xludf.DUMMYFUNCTION("""COMPUTED_VALUE"""),112.0)</f>
        <v>112</v>
      </c>
      <c r="L1174" s="226">
        <f>IFERROR(__xludf.DUMMYFUNCTION("""COMPUTED_VALUE"""),1272922.0)</f>
        <v>1272922</v>
      </c>
      <c r="M1174" s="227">
        <f>IFERROR(__xludf.DUMMYFUNCTION("""COMPUTED_VALUE"""),1.4256717E8)</f>
        <v>142567170</v>
      </c>
      <c r="N1174" s="222" t="str">
        <f>IFERROR(__xludf.DUMMYFUNCTION("""COMPUTED_VALUE"""),"PT SARANA MITRA PERSADA")</f>
        <v>PT SARANA MITRA PERSADA</v>
      </c>
      <c r="O1174" s="222" t="str">
        <f>IFERROR(__xludf.DUMMYFUNCTION("""COMPUTED_VALUE"""),"0. DROP")</f>
        <v>0. DROP</v>
      </c>
      <c r="P1174" s="222" t="str">
        <f>IFERROR(__xludf.DUMMYFUNCTION("""COMPUTED_VALUE"""),"0.2 Tidak Dapat Izin Warga/Kades/Lurah/Developer")</f>
        <v>0.2 Tidak Dapat Izin Warga/Kades/Lurah/Developer</v>
      </c>
      <c r="Q1174" s="222" t="str">
        <f>IFERROR(__xludf.DUMMYFUNCTION("""COMPUTED_VALUE"""),"22/2 tidak mendapat IZIN 23/01 : Drop TSEL")</f>
        <v>22/2 tidak mendapat IZIN 23/01 : Drop TSEL</v>
      </c>
      <c r="R1174" s="228"/>
      <c r="S1174" s="11"/>
      <c r="T1174" s="11"/>
      <c r="U1174" s="11"/>
      <c r="V1174" s="229"/>
      <c r="W1174" s="229"/>
      <c r="X1174" s="229" t="str">
        <f>IFERROR(__xludf.DUMMYFUNCTION("""COMPUTED_VALUE"""),"BELUM GOLIVE")</f>
        <v>BELUM GOLIVE</v>
      </c>
      <c r="Y1174" s="229"/>
      <c r="Z1174" s="229" t="str">
        <f>IFERROR(__xludf.DUMMYFUNCTION("""COMPUTED_VALUE"""),"#N/A")</f>
        <v>#N/A</v>
      </c>
      <c r="AA1174" s="229"/>
      <c r="AB1174" s="229"/>
      <c r="AC1174" s="229"/>
      <c r="AD1174" s="232"/>
      <c r="AE1174" s="233"/>
      <c r="AF1174" s="54" t="str">
        <f>IFERROR(__xludf.DUMMYFUNCTION("""COMPUTED_VALUE"""),"Draft BA DROP")</f>
        <v>Draft BA DROP</v>
      </c>
      <c r="AG1174" s="54"/>
      <c r="AH1174" s="54"/>
      <c r="AI1174" s="55" t="str">
        <f t="shared" si="127"/>
        <v/>
      </c>
      <c r="AW1174" s="234"/>
      <c r="BP1174" s="11"/>
      <c r="BQ1174" s="11"/>
      <c r="BR1174" s="235"/>
      <c r="BV1174" s="158"/>
      <c r="BY1174" s="158"/>
      <c r="CB1174" s="158"/>
    </row>
    <row r="1175" ht="18.0" hidden="1" customHeight="1">
      <c r="A1175" s="222">
        <f>IFERROR(__xludf.DUMMYFUNCTION("""COMPUTED_VALUE"""),2026.0)</f>
        <v>2026</v>
      </c>
      <c r="B1175" s="221">
        <f>IFERROR(__xludf.DUMMYFUNCTION("""COMPUTED_VALUE"""),1.2082617E7)</f>
        <v>12082617</v>
      </c>
      <c r="C1175" s="222" t="str">
        <f>IFERROR(__xludf.DUMMYFUNCTION("""COMPUTED_VALUE"""),"MDN PT3 CTD-FAH GRAHA TAMAN SARI_MD25")</f>
        <v>MDN PT3 CTD-FAH GRAHA TAMAN SARI_MD25</v>
      </c>
      <c r="D1175" s="222" t="str">
        <f>IFERROR(__xludf.DUMMYFUNCTION("""COMPUTED_VALUE"""),"REGIONAL I")</f>
        <v>REGIONAL I</v>
      </c>
      <c r="E1175" s="222" t="str">
        <f>IFERROR(__xludf.DUMMYFUNCTION("""COMPUTED_VALUE"""),"MEDAN")</f>
        <v>MEDAN</v>
      </c>
      <c r="F1175" s="222" t="str">
        <f>IFERROR(__xludf.DUMMYFUNCTION("""COMPUTED_VALUE"""),"CTD")</f>
        <v>CTD</v>
      </c>
      <c r="G1175" s="222" t="str">
        <f>IFERROR(__xludf.DUMMYFUNCTION("""COMPUTED_VALUE"""),"SUMBAGUT")</f>
        <v>SUMBAGUT</v>
      </c>
      <c r="H1175" s="222" t="str">
        <f>IFERROR(__xludf.DUMMYFUNCTION("""COMPUTED_VALUE"""),"MEDAN")</f>
        <v>MEDAN</v>
      </c>
      <c r="I1175" s="222" t="str">
        <f>IFERROR(__xludf.DUMMYFUNCTION("""COMPUTED_VALUE"""),"Batch 2")</f>
        <v>Batch 2</v>
      </c>
      <c r="J1175" s="225">
        <f>IFERROR(__xludf.DUMMYFUNCTION("""COMPUTED_VALUE"""),1.0)</f>
        <v>1</v>
      </c>
      <c r="K1175" s="224">
        <f>IFERROR(__xludf.DUMMYFUNCTION("""COMPUTED_VALUE"""),8.0)</f>
        <v>8</v>
      </c>
      <c r="L1175" s="226">
        <f>IFERROR(__xludf.DUMMYFUNCTION("""COMPUTED_VALUE"""),852421.0)</f>
        <v>852421</v>
      </c>
      <c r="M1175" s="227">
        <f>IFERROR(__xludf.DUMMYFUNCTION("""COMPUTED_VALUE"""),6819361.0)</f>
        <v>6819361</v>
      </c>
      <c r="N1175" s="222" t="str">
        <f>IFERROR(__xludf.DUMMYFUNCTION("""COMPUTED_VALUE"""),"PT GLOBAL KARYA WANDA")</f>
        <v>PT GLOBAL KARYA WANDA</v>
      </c>
      <c r="O1175" s="222" t="str">
        <f>IFERROR(__xludf.DUMMYFUNCTION("""COMPUTED_VALUE"""),"7. GOLIVE")</f>
        <v>7. GOLIVE</v>
      </c>
      <c r="P1175" s="222" t="str">
        <f>IFERROR(__xludf.DUMMYFUNCTION("""COMPUTED_VALUE"""),"7.2 Golive Full / OA / DONE OTB")</f>
        <v>7.2 Golive Full / OA / DONE OTB</v>
      </c>
      <c r="Q1175" s="222" t="str">
        <f>IFERROR(__xludf.DUMMYFUNCTION("""COMPUTED_VALUE"""),"21/02 Valins 16/02 Penarikan kabel dan tiang baru 11/02 Prelim Approved TIF 07/02 Pengajuan Commcase 600 rb menunggu approval")</f>
        <v>21/02 Valins 16/02 Penarikan kabel dan tiang baru 11/02 Prelim Approved TIF 07/02 Pengajuan Commcase 600 rb menunggu approval</v>
      </c>
      <c r="R1175" s="228"/>
      <c r="S1175" s="11"/>
      <c r="T1175" s="11"/>
      <c r="U1175" s="11" t="str">
        <f>IFERROR(__xludf.DUMMYFUNCTION("""COMPUTED_VALUE"""),"TIF-3232/2026")</f>
        <v>TIF-3232/2026</v>
      </c>
      <c r="V1175" s="229"/>
      <c r="W1175" s="229"/>
      <c r="X1175" s="229" t="str">
        <f>IFERROR(__xludf.DUMMYFUNCTION("""COMPUTED_VALUE"""),"GOLIVE")</f>
        <v>GOLIVE</v>
      </c>
      <c r="Y1175" s="229" t="str">
        <f>IFERROR(__xludf.DUMMYFUNCTION("""COMPUTED_VALUE"""),"DONE")</f>
        <v>DONE</v>
      </c>
      <c r="Z1175" s="229" t="str">
        <f>IFERROR(__xludf.DUMMYFUNCTION("""COMPUTED_VALUE"""),"#N/A")</f>
        <v>#N/A</v>
      </c>
      <c r="AA1175" s="229">
        <f>IFERROR(__xludf.DUMMYFUNCTION("""COMPUTED_VALUE"""),1.0)</f>
        <v>1</v>
      </c>
      <c r="AB1175" s="229"/>
      <c r="AC1175" s="229" t="str">
        <f>IFERROR(__xludf.DUMMYFUNCTION("""COMPUTED_VALUE"""),"9150799#9150804")</f>
        <v>9150799#9150804</v>
      </c>
      <c r="AD1175" s="232">
        <f>IFERROR(__xludf.DUMMYFUNCTION("""COMPUTED_VALUE"""),8.0)</f>
        <v>8</v>
      </c>
      <c r="AE1175" s="233">
        <f>IFERROR(__xludf.DUMMYFUNCTION("""COMPUTED_VALUE"""),46078.0)</f>
        <v>46078</v>
      </c>
      <c r="AF1175" s="54"/>
      <c r="AG1175" s="54"/>
      <c r="AH1175" s="54"/>
      <c r="AI1175" s="55" t="str">
        <f t="shared" si="127"/>
        <v/>
      </c>
      <c r="AW1175" s="234"/>
      <c r="BP1175" s="11"/>
      <c r="BQ1175" s="11"/>
      <c r="BR1175" s="235"/>
      <c r="BV1175" s="158"/>
      <c r="BY1175" s="158"/>
      <c r="CB1175" s="158"/>
    </row>
    <row r="1176" ht="18.0" hidden="1" customHeight="1">
      <c r="A1176" s="222">
        <f>IFERROR(__xludf.DUMMYFUNCTION("""COMPUTED_VALUE"""),2026.0)</f>
        <v>2026</v>
      </c>
      <c r="B1176" s="221">
        <f>IFERROR(__xludf.DUMMYFUNCTION("""COMPUTED_VALUE"""),1.2213594E7)</f>
        <v>12213594</v>
      </c>
      <c r="C1176" s="222" t="str">
        <f>IFERROR(__xludf.DUMMYFUNCTION("""COMPUTED_VALUE"""),"SMS P3I4 PT3 PBM FAQ D01 GG SERAI YONKAV")</f>
        <v>SMS P3I4 PT3 PBM FAQ D01 GG SERAI YONKAV</v>
      </c>
      <c r="D1176" s="222" t="str">
        <f>IFERROR(__xludf.DUMMYFUNCTION("""COMPUTED_VALUE"""),"REGIONAL I")</f>
        <v>REGIONAL I</v>
      </c>
      <c r="E1176" s="222" t="str">
        <f>IFERROR(__xludf.DUMMYFUNCTION("""COMPUTED_VALUE"""),"SUMSEL")</f>
        <v>SUMSEL</v>
      </c>
      <c r="F1176" s="222" t="str">
        <f>IFERROR(__xludf.DUMMYFUNCTION("""COMPUTED_VALUE"""),"PBM")</f>
        <v>PBM</v>
      </c>
      <c r="G1176" s="222" t="str">
        <f>IFERROR(__xludf.DUMMYFUNCTION("""COMPUTED_VALUE"""),"SUMBAGSEL")</f>
        <v>SUMBAGSEL</v>
      </c>
      <c r="H1176" s="222" t="str">
        <f>IFERROR(__xludf.DUMMYFUNCTION("""COMPUTED_VALUE"""),"PALEMBANG")</f>
        <v>PALEMBANG</v>
      </c>
      <c r="I1176" s="222" t="str">
        <f>IFERROR(__xludf.DUMMYFUNCTION("""COMPUTED_VALUE"""),"Batch 2")</f>
        <v>Batch 2</v>
      </c>
      <c r="J1176" s="225">
        <f>IFERROR(__xludf.DUMMYFUNCTION("""COMPUTED_VALUE"""),3.0)</f>
        <v>3</v>
      </c>
      <c r="K1176" s="224">
        <f>IFERROR(__xludf.DUMMYFUNCTION("""COMPUTED_VALUE"""),24.0)</f>
        <v>24</v>
      </c>
      <c r="L1176" s="226">
        <f>IFERROR(__xludf.DUMMYFUNCTION("""COMPUTED_VALUE"""),851437.0)</f>
        <v>851437</v>
      </c>
      <c r="M1176" s="227">
        <f>IFERROR(__xludf.DUMMYFUNCTION("""COMPUTED_VALUE"""),2.0434482E7)</f>
        <v>20434482</v>
      </c>
      <c r="N1176" s="222" t="str">
        <f>IFERROR(__xludf.DUMMYFUNCTION("""COMPUTED_VALUE"""),"PT ACERO CETHA METALINDO")</f>
        <v>PT ACERO CETHA METALINDO</v>
      </c>
      <c r="O1176" s="222" t="str">
        <f>IFERROR(__xludf.DUMMYFUNCTION("""COMPUTED_VALUE"""),"5. INSTALASI")</f>
        <v>5. INSTALASI</v>
      </c>
      <c r="P1176" s="222" t="str">
        <f>IFERROR(__xludf.DUMMYFUNCTION("""COMPUTED_VALUE"""),"5.9 Proses Pemasangan/Terminasi ODP/OTB")</f>
        <v>5.9 Proses Pemasangan/Terminasi ODP/OTB</v>
      </c>
      <c r="Q1176" s="222" t="str">
        <f>IFERROR(__xludf.DUMMYFUNCTION("""COMPUTED_VALUE"""),"27/04 PROGRESS JOIN ODP, 25/4 TPAS sudah rilis, menunggu mini olt 24/04 menunggu tpas site SAt017 untuk jumper mini olt dan pasang odp,22/04 menunggu tpas site SAt017 untuk jumper mini olt dan pasang odp, 17/04 DONE PENARIKAN KABEL 850M, PASANG ODP 15/04 "&amp;"Progres tanam tiang, 13/04 Plan kirim material 14 Apr 09/04 PRoses input material,plan matdel 11 APR 08/04 DONE PR PO, 07/04 MENUNGGU PR PO, 06/04 PENGAJUAN PR PO, 04/04 DONE DRM, 01/04 MASIH MENUNGGU TTD DRM MITRA, 30/03 MENUNGGU TTD DRM MITRA, 27/03 PRO"&amp;"SES DRM, 26/03 EST TGL 26 MAR DRM, 24/03 EST TGL 30 MAR DRM, 21/03 EST TGL 30 MAR DRM, 16/03 EST TGL 30 MAR DRM, 13/03 OGP DRM, 10/03 KONFIRM DARI WASPANG - LANJUT DRM, 03/03  HOLD KARENA DI LOKASI ADA PERUBAHAN DRI DIST 1 KE DIST 2, DAN DI LOKASI MENGGUN"&amp;"AKAN TIANG EXST MTEL, DAN ADA KENAIKAN BOQ SEBESAR 16% DAN CPP 1,005 JT, 23/02 DROP - BOQ NAIK DARI PLAN SBSR 16% - SDH ADA BA DROP, 06/02 drop, redesain masuk ke order selanjut nya by tsel, 03/02 DONE EVAL, HOLD KARENA DI LOKASI ADA PERUBAHAN DRI DIST 1 "&amp;"KE DIST 2, DAN DI LOKASI MENGGUNAKAN TIANG EXST MTEL, DAN ADA KENAIKAN BOQ SEBESAR 16% DAN CPP 1,005 JT 03/02 DONE EVAL, HOLD KARENA DI LOKASI ADA PERUBAHAN DRI DIST 1 KE DIST 2, DAN DI LOKASI MENGGUNAKAN TIANG EXST MTEL, DAN ADA KENAIKAN BOQ SEBESAR 16% "&amp;"DAN CPP 1,005 JT, 30/01 PROSES PERIZINAN, 23/01 DONE AANWIDJZING, (21/01) menunggu antrian aanwizjing, (15/1) ORDER DITERIMA MITRA 14/1, plan Aanwijdzing 19 Jan (06/01)order JPP batch-2 2026 ((14/11)HOLD- tidak masuk target Optimis 2025 (14/11 menunggu ja"&amp;"dwal aanwidjzing, (11/11) Penunjukkan MITRA oleh Procurement 
 14/01 penunjukan mitra oleh procurement")</f>
        <v>27/04 PROGRESS JOIN ODP, 25/4 TPAS sudah rilis, menunggu mini olt 24/04 menunggu tpas site SAt017 untuk jumper mini olt dan pasang odp,22/04 menunggu tpas site SAt017 untuk jumper mini olt dan pasang odp, 17/04 DONE PENARIKAN KABEL 850M, PASANG ODP 15/04 Progres tanam tiang, 13/04 Plan kirim material 14 Apr 09/04 PRoses input material,plan matdel 11 APR 08/04 DONE PR PO, 07/04 MENUNGGU PR PO, 06/04 PENGAJUAN PR PO, 04/04 DONE DRM, 01/04 MASIH MENUNGGU TTD DRM MITRA, 30/03 MENUNGGU TTD DRM MITRA, 27/03 PROSES DRM, 26/03 EST TGL 26 MAR DRM, 24/03 EST TGL 30 MAR DRM, 21/03 EST TGL 30 MAR DRM, 16/03 EST TGL 30 MAR DRM, 13/03 OGP DRM, 10/03 KONFIRM DARI WASPANG - LANJUT DRM, 03/03  HOLD KARENA DI LOKASI ADA PERUBAHAN DRI DIST 1 KE DIST 2, DAN DI LOKASI MENGGUNAKAN TIANG EXST MTEL, DAN ADA KENAIKAN BOQ SEBESAR 16% DAN CPP 1,005 JT, 23/02 DROP - BOQ NAIK DARI PLAN SBSR 16% - SDH ADA BA DROP, 06/02 drop, redesain masuk ke order selanjut nya by tsel, 03/02 DONE EVAL, HOLD KARENA DI LOKASI ADA PERUBAHAN DRI DIST 1 KE DIST 2, DAN DI LOKASI MENGGUNAKAN TIANG EXST MTEL, DAN ADA KENAIKAN BOQ SEBESAR 16% DAN CPP 1,005 JT 03/02 DONE EVAL, HOLD KARENA DI LOKASI ADA PERUBAHAN DRI DIST 1 KE DIST 2, DAN DI LOKASI MENGGUNAKAN TIANG EXST MTEL, DAN ADA KENAIKAN BOQ SEBESAR 16% DAN CPP 1,005 JT, 30/01 PROSES PERIZINAN, 23/01 DONE AANWIDJZING, (21/01) menunggu antrian aanwizjing, (15/1) ORDER DITERIMA MITRA 14/1, plan Aanwijdzing 19 Jan (06/01)order JPP batch-2 2026 ((14/11)HOLD- tidak masuk target Optimis 2025 (14/11 menunggu jadwal aanwidjzing, (11/11) Penunjukkan MITRA oleh Procurement 
 14/01 penunjukan mitra oleh procurement</v>
      </c>
      <c r="R1176" s="228">
        <f>IFERROR(__xludf.DUMMYFUNCTION("""COMPUTED_VALUE"""),46142.0)</f>
        <v>46142</v>
      </c>
      <c r="S1176" s="11" t="str">
        <f>IFERROR(__xludf.DUMMYFUNCTION("""COMPUTED_VALUE"""),"APR")</f>
        <v>APR</v>
      </c>
      <c r="T1176" s="73"/>
      <c r="U1176" s="11"/>
      <c r="V1176" s="229" t="str">
        <f>IFERROR(__xludf.DUMMYFUNCTION("""COMPUTED_VALUE"""),"ILHAM")</f>
        <v>ILHAM</v>
      </c>
      <c r="W1176" s="229"/>
      <c r="X1176" s="229" t="str">
        <f>IFERROR(__xludf.DUMMYFUNCTION("""COMPUTED_VALUE"""),"BELUM GOLIVE")</f>
        <v>BELUM GOLIVE</v>
      </c>
      <c r="Y1176" s="229"/>
      <c r="Z1176" s="229" t="str">
        <f>IFERROR(__xludf.DUMMYFUNCTION("""COMPUTED_VALUE"""),"#N/A")</f>
        <v>#N/A</v>
      </c>
      <c r="AA1176" s="229"/>
      <c r="AB1176" s="229"/>
      <c r="AC1176" s="229"/>
      <c r="AD1176" s="232"/>
      <c r="AE1176" s="233"/>
      <c r="AF1176" s="54"/>
      <c r="AG1176" s="54"/>
      <c r="AH1176" s="54">
        <v>46137.0</v>
      </c>
      <c r="AI1176" s="237">
        <f>AH1176-NOW()</f>
        <v>-3.377989919</v>
      </c>
      <c r="AJ1176" s="229" t="str">
        <f>if(AI1176&gt;=0,"In Komitmen","Out Komitmen")</f>
        <v>Out Komitmen</v>
      </c>
      <c r="AK1176" s="229" t="e">
        <v>#N/A</v>
      </c>
      <c r="AW1176" s="234"/>
      <c r="BP1176" s="11"/>
      <c r="BQ1176" s="11"/>
      <c r="BR1176" s="235"/>
      <c r="BV1176" s="158"/>
      <c r="BY1176" s="158"/>
      <c r="CB1176" s="158"/>
    </row>
    <row r="1177" ht="18.0" customHeight="1">
      <c r="A1177" s="222">
        <f>IFERROR(__xludf.DUMMYFUNCTION("""COMPUTED_VALUE"""),2026.0)</f>
        <v>2026</v>
      </c>
      <c r="B1177" s="221">
        <f>IFERROR(__xludf.DUMMYFUNCTION("""COMPUTED_VALUE"""),1.1620119E7)</f>
        <v>11620119</v>
      </c>
      <c r="C1177" s="222" t="str">
        <f>IFERROR(__xludf.DUMMYFUNCTION("""COMPUTED_VALUE"""),"SMB SLK PT3-PT4 SYAFRIZAL-ZAINAR-MSAIFUI")</f>
        <v>SMB SLK PT3-PT4 SYAFRIZAL-ZAINAR-MSAIFUI</v>
      </c>
      <c r="D1177" s="222" t="str">
        <f>IFERROR(__xludf.DUMMYFUNCTION("""COMPUTED_VALUE"""),"REGIONAL I")</f>
        <v>REGIONAL I</v>
      </c>
      <c r="E1177" s="222" t="str">
        <f>IFERROR(__xludf.DUMMYFUNCTION("""COMPUTED_VALUE"""),"SUMBAR")</f>
        <v>SUMBAR</v>
      </c>
      <c r="F1177" s="222" t="str">
        <f>IFERROR(__xludf.DUMMYFUNCTION("""COMPUTED_VALUE"""),"SLK")</f>
        <v>SLK</v>
      </c>
      <c r="G1177" s="222" t="str">
        <f>IFERROR(__xludf.DUMMYFUNCTION("""COMPUTED_VALUE"""),"SUMBAGTENG")</f>
        <v>SUMBAGTENG</v>
      </c>
      <c r="H1177" s="222" t="str">
        <f>IFERROR(__xludf.DUMMYFUNCTION("""COMPUTED_VALUE"""),"PADANG")</f>
        <v>PADANG</v>
      </c>
      <c r="I1177" s="222" t="str">
        <f>IFERROR(__xludf.DUMMYFUNCTION("""COMPUTED_VALUE"""),"Batch 2")</f>
        <v>Batch 2</v>
      </c>
      <c r="J1177" s="225">
        <f>IFERROR(__xludf.DUMMYFUNCTION("""COMPUTED_VALUE"""),7.0)</f>
        <v>7</v>
      </c>
      <c r="K1177" s="224">
        <f>IFERROR(__xludf.DUMMYFUNCTION("""COMPUTED_VALUE"""),56.0)</f>
        <v>56</v>
      </c>
      <c r="L1177" s="226">
        <f>IFERROR(__xludf.DUMMYFUNCTION("""COMPUTED_VALUE"""),851128.0)</f>
        <v>851128</v>
      </c>
      <c r="M1177" s="227">
        <f>IFERROR(__xludf.DUMMYFUNCTION("""COMPUTED_VALUE"""),4.7663161E7)</f>
        <v>47663161</v>
      </c>
      <c r="N1177" s="222" t="str">
        <f>IFERROR(__xludf.DUMMYFUNCTION("""COMPUTED_VALUE"""),"PT TRI PENAMAS")</f>
        <v>PT TRI PENAMAS</v>
      </c>
      <c r="O1177" s="222" t="str">
        <f>IFERROR(__xludf.DUMMYFUNCTION("""COMPUTED_VALUE"""),"5. INSTALASI")</f>
        <v>5. INSTALASI</v>
      </c>
      <c r="P1177" s="222" t="str">
        <f>IFERROR(__xludf.DUMMYFUNCTION("""COMPUTED_VALUE"""),"5.6 Proses Penarikan Kabel")</f>
        <v>5.6 Proses Penarikan Kabel</v>
      </c>
      <c r="Q1177" s="222" t="str">
        <f>IFERROR(__xludf.DUMMYFUNCTION("""COMPUTED_VALUE"""),"(27/04) proses terminasi odp  (20/04) penarikan kabel (13/04) Proses create PID (26/01) Kendala feeder SLK-FG full ")</f>
        <v>(27/04) proses terminasi odp  (20/04) penarikan kabel (13/04) Proses create PID (26/01) Kendala feeder SLK-FG full </v>
      </c>
      <c r="R1177" s="228">
        <f>IFERROR(__xludf.DUMMYFUNCTION("""COMPUTED_VALUE"""),46140.0)</f>
        <v>46140</v>
      </c>
      <c r="S1177" s="11"/>
      <c r="T1177" s="11"/>
      <c r="U1177" s="11"/>
      <c r="V1177" s="229" t="str">
        <f>IFERROR(__xludf.DUMMYFUNCTION("""COMPUTED_VALUE"""),"FABIO RAHMAN")</f>
        <v>FABIO RAHMAN</v>
      </c>
      <c r="W1177" s="229" t="str">
        <f>IFERROR(__xludf.DUMMYFUNCTION("""COMPUTED_VALUE"""),"MELKO NARWADI")</f>
        <v>MELKO NARWADI</v>
      </c>
      <c r="X1177" s="229" t="str">
        <f>IFERROR(__xludf.DUMMYFUNCTION("""COMPUTED_VALUE"""),"BELUM GOLIVE")</f>
        <v>BELUM GOLIVE</v>
      </c>
      <c r="Y1177" s="229"/>
      <c r="Z1177" s="229" t="str">
        <f>IFERROR(__xludf.DUMMYFUNCTION("""COMPUTED_VALUE"""),"#N/A")</f>
        <v>#N/A</v>
      </c>
      <c r="AA1177" s="229"/>
      <c r="AB1177" s="229"/>
      <c r="AC1177" s="229"/>
      <c r="AD1177" s="232"/>
      <c r="AE1177" s="233"/>
      <c r="AF1177" s="54"/>
      <c r="AG1177" s="54"/>
      <c r="AH1177" s="54"/>
      <c r="AI1177" s="55" t="str">
        <f t="shared" ref="AI1177:AI1188" si="128">IF(OR(R1177="",AE1177=""),"",R1177-AE1177)</f>
        <v/>
      </c>
      <c r="AW1177" s="234"/>
      <c r="BP1177" s="11"/>
      <c r="BQ1177" s="11"/>
      <c r="BR1177" s="235"/>
      <c r="BV1177" s="158"/>
      <c r="BY1177" s="158"/>
      <c r="CB1177" s="158"/>
    </row>
    <row r="1178" ht="18.0" hidden="1" customHeight="1">
      <c r="A1178" s="222">
        <f>IFERROR(__xludf.DUMMYFUNCTION("""COMPUTED_VALUE"""),2026.0)</f>
        <v>2026</v>
      </c>
      <c r="B1178" s="221">
        <f>IFERROR(__xludf.DUMMYFUNCTION("""COMPUTED_VALUE"""),1.2114145E7)</f>
        <v>12114145</v>
      </c>
      <c r="C1178" s="222" t="str">
        <f>IFERROR(__xludf.DUMMYFUNCTION("""COMPUTED_VALUE"""),"BNK PT3 CRP FAJ JPPTSEL 134821_H2_2025")</f>
        <v>BNK PT3 CRP FAJ JPPTSEL 134821_H2_2025</v>
      </c>
      <c r="D1178" s="222" t="str">
        <f>IFERROR(__xludf.DUMMYFUNCTION("""COMPUTED_VALUE"""),"REGIONAL I")</f>
        <v>REGIONAL I</v>
      </c>
      <c r="E1178" s="222" t="str">
        <f>IFERROR(__xludf.DUMMYFUNCTION("""COMPUTED_VALUE"""),"BENGKULU")</f>
        <v>BENGKULU</v>
      </c>
      <c r="F1178" s="222" t="str">
        <f>IFERROR(__xludf.DUMMYFUNCTION("""COMPUTED_VALUE"""),"CRP")</f>
        <v>CRP</v>
      </c>
      <c r="G1178" s="222" t="str">
        <f>IFERROR(__xludf.DUMMYFUNCTION("""COMPUTED_VALUE"""),"SUMBAGSEL")</f>
        <v>SUMBAGSEL</v>
      </c>
      <c r="H1178" s="222" t="str">
        <f>IFERROR(__xludf.DUMMYFUNCTION("""COMPUTED_VALUE"""),"BENGKULU")</f>
        <v>BENGKULU</v>
      </c>
      <c r="I1178" s="222" t="str">
        <f>IFERROR(__xludf.DUMMYFUNCTION("""COMPUTED_VALUE"""),"Batch 2")</f>
        <v>Batch 2</v>
      </c>
      <c r="J1178" s="225">
        <f>IFERROR(__xludf.DUMMYFUNCTION("""COMPUTED_VALUE"""),2.0)</f>
        <v>2</v>
      </c>
      <c r="K1178" s="224">
        <f>IFERROR(__xludf.DUMMYFUNCTION("""COMPUTED_VALUE"""),16.0)</f>
        <v>16</v>
      </c>
      <c r="L1178" s="226">
        <f>IFERROR(__xludf.DUMMYFUNCTION("""COMPUTED_VALUE"""),851079.0)</f>
        <v>851079</v>
      </c>
      <c r="M1178" s="227">
        <f>IFERROR(__xludf.DUMMYFUNCTION("""COMPUTED_VALUE"""),1.3617254E7)</f>
        <v>13617254</v>
      </c>
      <c r="N1178" s="222" t="str">
        <f>IFERROR(__xludf.DUMMYFUNCTION("""COMPUTED_VALUE"""),"PT JAGO MULTI DIMENSI")</f>
        <v>PT JAGO MULTI DIMENSI</v>
      </c>
      <c r="O1178" s="222" t="str">
        <f>IFERROR(__xludf.DUMMYFUNCTION("""COMPUTED_VALUE"""),"0. DROP")</f>
        <v>0. DROP</v>
      </c>
      <c r="P1178" s="222" t="str">
        <f>IFERROR(__xludf.DUMMYFUNCTION("""COMPUTED_VALUE"""),"0.4 CPP Tinggi Acc ED TIF")</f>
        <v>0.4 CPP Tinggi Acc ED TIF</v>
      </c>
      <c r="Q1178" s="222" t="str">
        <f>IFERROR(__xludf.DUMMYFUNCTION("""COMPUTED_VALUE"""),"3/3 hasil kesepakatan ED area 1 - ed region - ta region dan ta area, CPP tinggi lokasi d i drop02/03 : CPP Tinggi // 23/01 : REDESIGN, CORE DS EKSISTING FULL, CPP TIDAK MASUK")</f>
        <v>3/3 hasil kesepakatan ED area 1 - ed region - ta region dan ta area, CPP tinggi lokasi d i drop02/03 : CPP Tinggi // 23/01 : REDESIGN, CORE DS EKSISTING FULL, CPP TIDAK MASUK</v>
      </c>
      <c r="R1178" s="228"/>
      <c r="S1178" s="11"/>
      <c r="T1178" s="11"/>
      <c r="U1178" s="11"/>
      <c r="V1178" s="229"/>
      <c r="W1178" s="229"/>
      <c r="X1178" s="229" t="str">
        <f>IFERROR(__xludf.DUMMYFUNCTION("""COMPUTED_VALUE"""),"BELUM GOLIVE")</f>
        <v>BELUM GOLIVE</v>
      </c>
      <c r="Y1178" s="229"/>
      <c r="Z1178" s="229" t="str">
        <f>IFERROR(__xludf.DUMMYFUNCTION("""COMPUTED_VALUE"""),"#N/A")</f>
        <v>#N/A</v>
      </c>
      <c r="AA1178" s="229"/>
      <c r="AB1178" s="229"/>
      <c r="AC1178" s="229"/>
      <c r="AD1178" s="232"/>
      <c r="AE1178" s="233"/>
      <c r="AF1178" s="54" t="str">
        <f>IFERROR(__xludf.DUMMYFUNCTION("""COMPUTED_VALUE"""),"Draft BA DROP")</f>
        <v>Draft BA DROP</v>
      </c>
      <c r="AG1178" s="54"/>
      <c r="AH1178" s="54"/>
      <c r="AI1178" s="55" t="str">
        <f t="shared" si="128"/>
        <v/>
      </c>
      <c r="AW1178" s="234"/>
      <c r="BP1178" s="11"/>
      <c r="BQ1178" s="11"/>
      <c r="BR1178" s="235"/>
      <c r="BV1178" s="158"/>
      <c r="BY1178" s="158"/>
      <c r="CB1178" s="158"/>
    </row>
    <row r="1179" ht="18.0" hidden="1" customHeight="1">
      <c r="A1179" s="222">
        <f>IFERROR(__xludf.DUMMYFUNCTION("""COMPUTED_VALUE"""),2026.0)</f>
        <v>2026</v>
      </c>
      <c r="B1179" s="221">
        <f>IFERROR(__xludf.DUMMYFUNCTION("""COMPUTED_VALUE"""),1.2266168E7)</f>
        <v>12266168</v>
      </c>
      <c r="C1179" s="222" t="str">
        <f>IFERROR(__xludf.DUMMYFUNCTION("""COMPUTED_VALUE"""),"ACH PT3 LSM-FD D10 BR PALOH PINEUNG")</f>
        <v>ACH PT3 LSM-FD D10 BR PALOH PINEUNG</v>
      </c>
      <c r="D1179" s="222" t="str">
        <f>IFERROR(__xludf.DUMMYFUNCTION("""COMPUTED_VALUE"""),"REGIONAL I")</f>
        <v>REGIONAL I</v>
      </c>
      <c r="E1179" s="222" t="str">
        <f>IFERROR(__xludf.DUMMYFUNCTION("""COMPUTED_VALUE"""),"ACEH")</f>
        <v>ACEH</v>
      </c>
      <c r="F1179" s="222" t="str">
        <f>IFERROR(__xludf.DUMMYFUNCTION("""COMPUTED_VALUE"""),"LSM")</f>
        <v>LSM</v>
      </c>
      <c r="G1179" s="222" t="str">
        <f>IFERROR(__xludf.DUMMYFUNCTION("""COMPUTED_VALUE"""),"SUMBAGUT")</f>
        <v>SUMBAGUT</v>
      </c>
      <c r="H1179" s="222" t="str">
        <f>IFERROR(__xludf.DUMMYFUNCTION("""COMPUTED_VALUE"""),"BINJAI")</f>
        <v>BINJAI</v>
      </c>
      <c r="I1179" s="222" t="str">
        <f>IFERROR(__xludf.DUMMYFUNCTION("""COMPUTED_VALUE"""),"Batch 2")</f>
        <v>Batch 2</v>
      </c>
      <c r="J1179" s="225">
        <f>IFERROR(__xludf.DUMMYFUNCTION("""COMPUTED_VALUE"""),3.0)</f>
        <v>3</v>
      </c>
      <c r="K1179" s="224">
        <f>IFERROR(__xludf.DUMMYFUNCTION("""COMPUTED_VALUE"""),24.0)</f>
        <v>24</v>
      </c>
      <c r="L1179" s="226">
        <f>IFERROR(__xludf.DUMMYFUNCTION("""COMPUTED_VALUE"""),848888.0)</f>
        <v>848888</v>
      </c>
      <c r="M1179" s="227">
        <f>IFERROR(__xludf.DUMMYFUNCTION("""COMPUTED_VALUE"""),2.0373292E7)</f>
        <v>20373292</v>
      </c>
      <c r="N1179" s="222" t="str">
        <f>IFERROR(__xludf.DUMMYFUNCTION("""COMPUTED_VALUE"""),"PT TRIPOLA PANATA")</f>
        <v>PT TRIPOLA PANATA</v>
      </c>
      <c r="O1179" s="222" t="str">
        <f>IFERROR(__xludf.DUMMYFUNCTION("""COMPUTED_VALUE"""),"7. GOLIVE")</f>
        <v>7. GOLIVE</v>
      </c>
      <c r="P1179" s="222" t="str">
        <f>IFERROR(__xludf.DUMMYFUNCTION("""COMPUTED_VALUE"""),"7.2 Golive Full / OA / DONE OTB")</f>
        <v>7.2 Golive Full / OA / DONE OTB</v>
      </c>
      <c r="Q1179" s="222" t="str">
        <f>IFERROR(__xludf.DUMMYFUNCTION("""COMPUTED_VALUE"""),"(08/04) Penarikan Kabel (06/04) Tanam Tiang (03/03) PO Material (07/01) Persiapan")</f>
        <v>(08/04) Penarikan Kabel (06/04) Tanam Tiang (03/03) PO Material (07/01) Persiapan</v>
      </c>
      <c r="R1179" s="228">
        <f>IFERROR(__xludf.DUMMYFUNCTION("""COMPUTED_VALUE"""),46122.0)</f>
        <v>46122</v>
      </c>
      <c r="S1179" s="11"/>
      <c r="T1179" s="73"/>
      <c r="U1179" s="11"/>
      <c r="V1179" s="229"/>
      <c r="W1179" s="229" t="str">
        <f>IFERROR(__xludf.DUMMYFUNCTION("""COMPUTED_VALUE"""),"#N/A")</f>
        <v>#N/A</v>
      </c>
      <c r="X1179" s="229" t="str">
        <f>IFERROR(__xludf.DUMMYFUNCTION("""COMPUTED_VALUE"""),"GOLIVE")</f>
        <v>GOLIVE</v>
      </c>
      <c r="Y1179" s="229" t="str">
        <f>IFERROR(__xludf.DUMMYFUNCTION("""COMPUTED_VALUE"""),"DONE")</f>
        <v>DONE</v>
      </c>
      <c r="Z1179" s="229" t="str">
        <f>IFERROR(__xludf.DUMMYFUNCTION("""COMPUTED_VALUE"""),"#N/A")</f>
        <v>#N/A</v>
      </c>
      <c r="AA1179" s="229">
        <f>IFERROR(__xludf.DUMMYFUNCTION("""COMPUTED_VALUE"""),3.0)</f>
        <v>3</v>
      </c>
      <c r="AB1179" s="229"/>
      <c r="AC1179" s="229" t="str">
        <f>IFERROR(__xludf.DUMMYFUNCTION("""COMPUTED_VALUE"""),"9245222#9245227")</f>
        <v>9245222#9245227</v>
      </c>
      <c r="AD1179" s="232">
        <f>IFERROR(__xludf.DUMMYFUNCTION("""COMPUTED_VALUE"""),24.0)</f>
        <v>24</v>
      </c>
      <c r="AE1179" s="233">
        <f>IFERROR(__xludf.DUMMYFUNCTION("""COMPUTED_VALUE"""),46122.0)</f>
        <v>46122</v>
      </c>
      <c r="AF1179" s="54" t="str">
        <f>IFERROR(__xludf.DUMMYFUNCTION("""COMPUTED_VALUE"""),"od")</f>
        <v>od</v>
      </c>
      <c r="AG1179" s="54"/>
      <c r="AH1179" s="54">
        <v>46122.0</v>
      </c>
      <c r="AI1179" s="55">
        <f t="shared" si="128"/>
        <v>0</v>
      </c>
      <c r="AW1179" s="234"/>
      <c r="BP1179" s="11"/>
      <c r="BQ1179" s="11"/>
      <c r="BR1179" s="235"/>
      <c r="BV1179" s="158"/>
      <c r="BY1179" s="158"/>
      <c r="CB1179" s="158"/>
    </row>
    <row r="1180" ht="18.0" customHeight="1">
      <c r="A1180" s="222">
        <f>IFERROR(__xludf.DUMMYFUNCTION("""COMPUTED_VALUE"""),2026.0)</f>
        <v>2026</v>
      </c>
      <c r="B1180" s="221">
        <f>IFERROR(__xludf.DUMMYFUNCTION("""COMPUTED_VALUE"""),1.1668523E7)</f>
        <v>11668523</v>
      </c>
      <c r="C1180" s="222" t="str">
        <f>IFERROR(__xludf.DUMMYFUNCTION("""COMPUTED_VALUE"""),"SMB P3I2 NRS SCATTER PANTAI BELIBIS")</f>
        <v>SMB P3I2 NRS SCATTER PANTAI BELIBIS</v>
      </c>
      <c r="D1180" s="222" t="str">
        <f>IFERROR(__xludf.DUMMYFUNCTION("""COMPUTED_VALUE"""),"REGIONAL I")</f>
        <v>REGIONAL I</v>
      </c>
      <c r="E1180" s="222" t="str">
        <f>IFERROR(__xludf.DUMMYFUNCTION("""COMPUTED_VALUE"""),"SUMBAR")</f>
        <v>SUMBAR</v>
      </c>
      <c r="F1180" s="222" t="str">
        <f>IFERROR(__xludf.DUMMYFUNCTION("""COMPUTED_VALUE"""),"NRS")</f>
        <v>NRS</v>
      </c>
      <c r="G1180" s="222" t="str">
        <f>IFERROR(__xludf.DUMMYFUNCTION("""COMPUTED_VALUE"""),"SUMBAGTENG")</f>
        <v>SUMBAGTENG</v>
      </c>
      <c r="H1180" s="222" t="str">
        <f>IFERROR(__xludf.DUMMYFUNCTION("""COMPUTED_VALUE"""),"BUKIT TINGGI")</f>
        <v>BUKIT TINGGI</v>
      </c>
      <c r="I1180" s="222" t="str">
        <f>IFERROR(__xludf.DUMMYFUNCTION("""COMPUTED_VALUE"""),"Batch 2")</f>
        <v>Batch 2</v>
      </c>
      <c r="J1180" s="225">
        <f>IFERROR(__xludf.DUMMYFUNCTION("""COMPUTED_VALUE"""),10.0)</f>
        <v>10</v>
      </c>
      <c r="K1180" s="224">
        <f>IFERROR(__xludf.DUMMYFUNCTION("""COMPUTED_VALUE"""),80.0)</f>
        <v>80</v>
      </c>
      <c r="L1180" s="226">
        <f>IFERROR(__xludf.DUMMYFUNCTION("""COMPUTED_VALUE"""),847557.0)</f>
        <v>847557</v>
      </c>
      <c r="M1180" s="227">
        <f>IFERROR(__xludf.DUMMYFUNCTION("""COMPUTED_VALUE"""),6.7804494E7)</f>
        <v>67804494</v>
      </c>
      <c r="N1180" s="222" t="str">
        <f>IFERROR(__xludf.DUMMYFUNCTION("""COMPUTED_VALUE"""),"PT TRI LESMA INDONESIA")</f>
        <v>PT TRI LESMA INDONESIA</v>
      </c>
      <c r="O1180" s="222" t="str">
        <f>IFERROR(__xludf.DUMMYFUNCTION("""COMPUTED_VALUE"""),"8. UJI TERIMA")</f>
        <v>8. UJI TERIMA</v>
      </c>
      <c r="P1180" s="222" t="str">
        <f>IFERROR(__xludf.DUMMYFUNCTION("""COMPUTED_VALUE"""),"8.1 Proses UT")</f>
        <v>8.1 Proses UT</v>
      </c>
      <c r="Q1180" s="222" t="str">
        <f>IFERROR(__xludf.DUMMYFUNCTION("""COMPUTED_VALUE"""),"(08/01) kendala feeder penuh, kendala feeder full, Belum Masuk EL  (07/01) Persiapan")</f>
        <v>(08/01) kendala feeder penuh, kendala feeder full, Belum Masuk EL  (07/01) Persiapan</v>
      </c>
      <c r="R1180" s="228"/>
      <c r="S1180" s="11"/>
      <c r="T1180" s="11"/>
      <c r="U1180" s="11" t="str">
        <f>IFERROR(__xludf.DUMMYFUNCTION("""COMPUTED_VALUE"""),"W10-1754/2025 25KT03R158-0490")</f>
        <v>W10-1754/2025 25KT03R158-0490</v>
      </c>
      <c r="V1180" s="229" t="str">
        <f>IFERROR(__xludf.DUMMYFUNCTION("""COMPUTED_VALUE"""),"ALDI EFENDI")</f>
        <v>ALDI EFENDI</v>
      </c>
      <c r="W1180" s="229" t="str">
        <f>IFERROR(__xludf.DUMMYFUNCTION("""COMPUTED_VALUE"""),"MELKO NARWADI")</f>
        <v>MELKO NARWADI</v>
      </c>
      <c r="X1180" s="229" t="str">
        <f>IFERROR(__xludf.DUMMYFUNCTION("""COMPUTED_VALUE"""),"GOLIVE")</f>
        <v>GOLIVE</v>
      </c>
      <c r="Y1180" s="229" t="str">
        <f>IFERROR(__xludf.DUMMYFUNCTION("""COMPUTED_VALUE"""),"DONE")</f>
        <v>DONE</v>
      </c>
      <c r="Z1180" s="229" t="str">
        <f>IFERROR(__xludf.DUMMYFUNCTION("""COMPUTED_VALUE"""),"#N/A")</f>
        <v>#N/A</v>
      </c>
      <c r="AA1180" s="229">
        <f>IFERROR(__xludf.DUMMYFUNCTION("""COMPUTED_VALUE"""),10.0)</f>
        <v>10</v>
      </c>
      <c r="AB1180" s="229"/>
      <c r="AC1180" s="229" t="str">
        <f>IFERROR(__xludf.DUMMYFUNCTION("""COMPUTED_VALUE"""),"8958914#8958920")</f>
        <v>8958914#8958920</v>
      </c>
      <c r="AD1180" s="232">
        <f>IFERROR(__xludf.DUMMYFUNCTION("""COMPUTED_VALUE"""),80.0)</f>
        <v>80</v>
      </c>
      <c r="AE1180" s="233">
        <f>IFERROR(__xludf.DUMMYFUNCTION("""COMPUTED_VALUE"""),46036.0)</f>
        <v>46036</v>
      </c>
      <c r="AF1180" s="54"/>
      <c r="AG1180" s="54"/>
      <c r="AH1180" s="54"/>
      <c r="AI1180" s="55" t="str">
        <f t="shared" si="128"/>
        <v/>
      </c>
      <c r="AW1180" s="234"/>
      <c r="BP1180" s="11"/>
      <c r="BQ1180" s="11"/>
      <c r="BR1180" s="235"/>
      <c r="BV1180" s="158"/>
      <c r="BY1180" s="158"/>
      <c r="CB1180" s="158"/>
    </row>
    <row r="1181" ht="18.0" customHeight="1">
      <c r="A1181" s="222">
        <f>IFERROR(__xludf.DUMMYFUNCTION("""COMPUTED_VALUE"""),2026.0)</f>
        <v>2026</v>
      </c>
      <c r="B1181" s="221">
        <f>IFERROR(__xludf.DUMMYFUNCTION("""COMPUTED_VALUE"""),1.1245698E7)</f>
        <v>11245698</v>
      </c>
      <c r="C1181" s="222" t="str">
        <f>IFERROR(__xludf.DUMMYFUNCTION("""COMPUTED_VALUE"""),"SMB P2I1 Durian Korong Gadang-Graha D A6")</f>
        <v>SMB P2I1 Durian Korong Gadang-Graha D A6</v>
      </c>
      <c r="D1181" s="222" t="str">
        <f>IFERROR(__xludf.DUMMYFUNCTION("""COMPUTED_VALUE"""),"REGIONAL I")</f>
        <v>REGIONAL I</v>
      </c>
      <c r="E1181" s="222" t="str">
        <f>IFERROR(__xludf.DUMMYFUNCTION("""COMPUTED_VALUE"""),"SUMBAR")</f>
        <v>SUMBAR</v>
      </c>
      <c r="F1181" s="222" t="str">
        <f>IFERROR(__xludf.DUMMYFUNCTION("""COMPUTED_VALUE"""),"KJI")</f>
        <v>KJI</v>
      </c>
      <c r="G1181" s="222" t="str">
        <f>IFERROR(__xludf.DUMMYFUNCTION("""COMPUTED_VALUE"""),"SUMBAGTENG")</f>
        <v>SUMBAGTENG</v>
      </c>
      <c r="H1181" s="222" t="str">
        <f>IFERROR(__xludf.DUMMYFUNCTION("""COMPUTED_VALUE"""),"PADANG")</f>
        <v>PADANG</v>
      </c>
      <c r="I1181" s="222" t="str">
        <f>IFERROR(__xludf.DUMMYFUNCTION("""COMPUTED_VALUE"""),"Batch 2")</f>
        <v>Batch 2</v>
      </c>
      <c r="J1181" s="225">
        <f>IFERROR(__xludf.DUMMYFUNCTION("""COMPUTED_VALUE"""),7.0)</f>
        <v>7</v>
      </c>
      <c r="K1181" s="224">
        <f>IFERROR(__xludf.DUMMYFUNCTION("""COMPUTED_VALUE"""),56.0)</f>
        <v>56</v>
      </c>
      <c r="L1181" s="226">
        <f>IFERROR(__xludf.DUMMYFUNCTION("""COMPUTED_VALUE"""),847540.0)</f>
        <v>847540</v>
      </c>
      <c r="M1181" s="227">
        <f>IFERROR(__xludf.DUMMYFUNCTION("""COMPUTED_VALUE"""),4.7462224E7)</f>
        <v>47462224</v>
      </c>
      <c r="N1181" s="222" t="str">
        <f>IFERROR(__xludf.DUMMYFUNCTION("""COMPUTED_VALUE"""),"PT TRI PENAMAS")</f>
        <v>PT TRI PENAMAS</v>
      </c>
      <c r="O1181" s="222" t="str">
        <f>IFERROR(__xludf.DUMMYFUNCTION("""COMPUTED_VALUE"""),"4. MATDEL")</f>
        <v>4. MATDEL</v>
      </c>
      <c r="P1181" s="222" t="str">
        <f>IFERROR(__xludf.DUMMYFUNCTION("""COMPUTED_VALUE"""),"4.4 Proses Pengiriman Pabribak ke WH")</f>
        <v>4.4 Proses Pengiriman Pabribak ke WH</v>
      </c>
      <c r="Q1181" s="222" t="str">
        <f>IFERROR(__xludf.DUMMYFUNCTION("""COMPUTED_VALUE"""),"(27/04) menunggu PO kabel 24 ADSS (20/04) sudah aanwijziing, proses eval  (02/03) feeder KJI-FC FULL")</f>
        <v>(27/04) menunggu PO kabel 24 ADSS (20/04) sudah aanwijziing, proses eval  (02/03) feeder KJI-FC FULL</v>
      </c>
      <c r="R1181" s="228"/>
      <c r="S1181" s="11"/>
      <c r="T1181" s="11"/>
      <c r="U1181" s="11"/>
      <c r="V1181" s="229" t="str">
        <f>IFERROR(__xludf.DUMMYFUNCTION("""COMPUTED_VALUE"""),"FABIO RAHMAN")</f>
        <v>FABIO RAHMAN</v>
      </c>
      <c r="W1181" s="229" t="str">
        <f>IFERROR(__xludf.DUMMYFUNCTION("""COMPUTED_VALUE"""),"MELKO NARWADI")</f>
        <v>MELKO NARWADI</v>
      </c>
      <c r="X1181" s="229" t="str">
        <f>IFERROR(__xludf.DUMMYFUNCTION("""COMPUTED_VALUE"""),"BELUM GOLIVE")</f>
        <v>BELUM GOLIVE</v>
      </c>
      <c r="Y1181" s="229"/>
      <c r="Z1181" s="229" t="str">
        <f>IFERROR(__xludf.DUMMYFUNCTION("""COMPUTED_VALUE"""),"#N/A")</f>
        <v>#N/A</v>
      </c>
      <c r="AA1181" s="229"/>
      <c r="AB1181" s="229"/>
      <c r="AC1181" s="229"/>
      <c r="AD1181" s="232"/>
      <c r="AE1181" s="233"/>
      <c r="AF1181" s="54" t="str">
        <f>IFERROR(__xludf.DUMMYFUNCTION("""COMPUTED_VALUE"""),"Draft BA DROP")</f>
        <v>Draft BA DROP</v>
      </c>
      <c r="AG1181" s="54"/>
      <c r="AH1181" s="54"/>
      <c r="AI1181" s="55" t="str">
        <f t="shared" si="128"/>
        <v/>
      </c>
      <c r="AW1181" s="234"/>
      <c r="BP1181" s="11"/>
      <c r="BQ1181" s="11"/>
      <c r="BR1181" s="235"/>
      <c r="BV1181" s="158"/>
      <c r="BY1181" s="158"/>
      <c r="CB1181" s="158"/>
    </row>
    <row r="1182" ht="18.0" hidden="1" customHeight="1">
      <c r="A1182" s="222">
        <f>IFERROR(__xludf.DUMMYFUNCTION("""COMPUTED_VALUE"""),2026.0)</f>
        <v>2026</v>
      </c>
      <c r="B1182" s="221">
        <f>IFERROR(__xludf.DUMMYFUNCTION("""COMPUTED_VALUE"""),1.1571714E7)</f>
        <v>11571714</v>
      </c>
      <c r="C1182" s="222" t="str">
        <f>IFERROR(__xludf.DUMMYFUNCTION("""COMPUTED_VALUE"""),"BNK-PT3 BRC-JPPTSEL-PADANG HARAPAN 2")</f>
        <v>BNK-PT3 BRC-JPPTSEL-PADANG HARAPAN 2</v>
      </c>
      <c r="D1182" s="222" t="str">
        <f>IFERROR(__xludf.DUMMYFUNCTION("""COMPUTED_VALUE"""),"REGIONAL I")</f>
        <v>REGIONAL I</v>
      </c>
      <c r="E1182" s="222" t="str">
        <f>IFERROR(__xludf.DUMMYFUNCTION("""COMPUTED_VALUE"""),"BENGKULU")</f>
        <v>BENGKULU</v>
      </c>
      <c r="F1182" s="222" t="str">
        <f>IFERROR(__xludf.DUMMYFUNCTION("""COMPUTED_VALUE"""),"BNC")</f>
        <v>BNC</v>
      </c>
      <c r="G1182" s="222" t="str">
        <f>IFERROR(__xludf.DUMMYFUNCTION("""COMPUTED_VALUE"""),"SUMBAGSEL")</f>
        <v>SUMBAGSEL</v>
      </c>
      <c r="H1182" s="222" t="str">
        <f>IFERROR(__xludf.DUMMYFUNCTION("""COMPUTED_VALUE"""),"BENGKULU")</f>
        <v>BENGKULU</v>
      </c>
      <c r="I1182" s="222" t="str">
        <f>IFERROR(__xludf.DUMMYFUNCTION("""COMPUTED_VALUE"""),"Batch 2")</f>
        <v>Batch 2</v>
      </c>
      <c r="J1182" s="225">
        <f>IFERROR(__xludf.DUMMYFUNCTION("""COMPUTED_VALUE"""),10.0)</f>
        <v>10</v>
      </c>
      <c r="K1182" s="224">
        <f>IFERROR(__xludf.DUMMYFUNCTION("""COMPUTED_VALUE"""),80.0)</f>
        <v>80</v>
      </c>
      <c r="L1182" s="226">
        <f>IFERROR(__xludf.DUMMYFUNCTION("""COMPUTED_VALUE"""),847513.0)</f>
        <v>847513</v>
      </c>
      <c r="M1182" s="227">
        <f>IFERROR(__xludf.DUMMYFUNCTION("""COMPUTED_VALUE"""),6.7801013E7)</f>
        <v>67801013</v>
      </c>
      <c r="N1182" s="222" t="str">
        <f>IFERROR(__xludf.DUMMYFUNCTION("""COMPUTED_VALUE"""),"SWAKELOLA")</f>
        <v>SWAKELOLA</v>
      </c>
      <c r="O1182" s="222" t="str">
        <f>IFERROR(__xludf.DUMMYFUNCTION("""COMPUTED_VALUE"""),"0. DROP")</f>
        <v>0. DROP</v>
      </c>
      <c r="P1182" s="222" t="str">
        <f>IFERROR(__xludf.DUMMYFUNCTION("""COMPUTED_VALUE"""),"0.3 Feeder Full")</f>
        <v>0.3 Feeder Full</v>
      </c>
      <c r="Q1182" s="222" t="str">
        <f>IFERROR(__xludf.DUMMYFUNCTION("""COMPUTED_VALUE"""),"02/03 : FEEDER FULL , AAnwijziing Done, menunggu EL ,proses eval dengan tsel(07/01) Persiapan")</f>
        <v>02/03 : FEEDER FULL , AAnwijziing Done, menunggu EL ,proses eval dengan tsel(07/01) Persiapan</v>
      </c>
      <c r="R1182" s="228"/>
      <c r="S1182" s="11"/>
      <c r="T1182" s="11"/>
      <c r="U1182" s="11"/>
      <c r="V1182" s="229"/>
      <c r="W1182" s="229"/>
      <c r="X1182" s="229" t="str">
        <f>IFERROR(__xludf.DUMMYFUNCTION("""COMPUTED_VALUE"""),"BELUM GOLIVE")</f>
        <v>BELUM GOLIVE</v>
      </c>
      <c r="Y1182" s="229"/>
      <c r="Z1182" s="229" t="str">
        <f>IFERROR(__xludf.DUMMYFUNCTION("""COMPUTED_VALUE"""),"#N/A")</f>
        <v>#N/A</v>
      </c>
      <c r="AA1182" s="229"/>
      <c r="AB1182" s="229"/>
      <c r="AC1182" s="229"/>
      <c r="AD1182" s="232"/>
      <c r="AE1182" s="233"/>
      <c r="AF1182" s="54" t="str">
        <f>IFERROR(__xludf.DUMMYFUNCTION("""COMPUTED_VALUE"""),"Draft BA DROP")</f>
        <v>Draft BA DROP</v>
      </c>
      <c r="AG1182" s="54"/>
      <c r="AH1182" s="54"/>
      <c r="AI1182" s="55" t="str">
        <f t="shared" si="128"/>
        <v/>
      </c>
      <c r="AW1182" s="234"/>
      <c r="BP1182" s="11"/>
      <c r="BQ1182" s="11"/>
      <c r="BR1182" s="235"/>
      <c r="BV1182" s="158"/>
      <c r="BY1182" s="158"/>
      <c r="CB1182" s="158"/>
    </row>
    <row r="1183" ht="18.0" customHeight="1">
      <c r="A1183" s="222">
        <f>IFERROR(__xludf.DUMMYFUNCTION("""COMPUTED_VALUE"""),2026.0)</f>
        <v>2026</v>
      </c>
      <c r="B1183" s="221">
        <f>IFERROR(__xludf.DUMMYFUNCTION("""COMPUTED_VALUE"""),1.1132359E7)</f>
        <v>11132359</v>
      </c>
      <c r="C1183" s="222" t="str">
        <f>IFERROR(__xludf.DUMMYFUNCTION("""COMPUTED_VALUE"""),"SMB P1I1 TAMBAHAN BANDAR REJO")</f>
        <v>SMB P1I1 TAMBAHAN BANDAR REJO</v>
      </c>
      <c r="D1183" s="222" t="str">
        <f>IFERROR(__xludf.DUMMYFUNCTION("""COMPUTED_VALUE"""),"REGIONAL I")</f>
        <v>REGIONAL I</v>
      </c>
      <c r="E1183" s="222" t="str">
        <f>IFERROR(__xludf.DUMMYFUNCTION("""COMPUTED_VALUE"""),"SUMBAR")</f>
        <v>SUMBAR</v>
      </c>
      <c r="F1183" s="222" t="str">
        <f>IFERROR(__xludf.DUMMYFUNCTION("""COMPUTED_VALUE"""),"LBS")</f>
        <v>LBS</v>
      </c>
      <c r="G1183" s="222" t="str">
        <f>IFERROR(__xludf.DUMMYFUNCTION("""COMPUTED_VALUE"""),"SUMBAGTENG")</f>
        <v>SUMBAGTENG</v>
      </c>
      <c r="H1183" s="222" t="str">
        <f>IFERROR(__xludf.DUMMYFUNCTION("""COMPUTED_VALUE"""),"BUKIT TINGGI")</f>
        <v>BUKIT TINGGI</v>
      </c>
      <c r="I1183" s="222" t="str">
        <f>IFERROR(__xludf.DUMMYFUNCTION("""COMPUTED_VALUE"""),"Batch 2")</f>
        <v>Batch 2</v>
      </c>
      <c r="J1183" s="225">
        <f>IFERROR(__xludf.DUMMYFUNCTION("""COMPUTED_VALUE"""),11.0)</f>
        <v>11</v>
      </c>
      <c r="K1183" s="224">
        <f>IFERROR(__xludf.DUMMYFUNCTION("""COMPUTED_VALUE"""),88.0)</f>
        <v>88</v>
      </c>
      <c r="L1183" s="226">
        <f>IFERROR(__xludf.DUMMYFUNCTION("""COMPUTED_VALUE"""),847188.0)</f>
        <v>847188</v>
      </c>
      <c r="M1183" s="227">
        <f>IFERROR(__xludf.DUMMYFUNCTION("""COMPUTED_VALUE"""),7.4552496E7)</f>
        <v>74552496</v>
      </c>
      <c r="N1183" s="222" t="str">
        <f>IFERROR(__xludf.DUMMYFUNCTION("""COMPUTED_VALUE"""),"PT TIGA AKSES MANDIRI")</f>
        <v>PT TIGA AKSES MANDIRI</v>
      </c>
      <c r="O1183" s="222" t="str">
        <f>IFERROR(__xludf.DUMMYFUNCTION("""COMPUTED_VALUE"""),"0. DROP")</f>
        <v>0. DROP</v>
      </c>
      <c r="P1183" s="222" t="str">
        <f>IFERROR(__xludf.DUMMYFUNCTION("""COMPUTED_VALUE"""),"0.3 Feeder Full")</f>
        <v>0.3 Feeder Full</v>
      </c>
      <c r="Q1183" s="222" t="str">
        <f>IFERROR(__xludf.DUMMYFUNCTION("""COMPUTED_VALUE"""),"(26/01) fEEDER SPE-FC FULL")</f>
        <v>(26/01) fEEDER SPE-FC FULL</v>
      </c>
      <c r="R1183" s="228"/>
      <c r="S1183" s="11"/>
      <c r="T1183" s="11"/>
      <c r="U1183" s="11"/>
      <c r="V1183" s="229"/>
      <c r="W1183" s="229"/>
      <c r="X1183" s="229" t="str">
        <f>IFERROR(__xludf.DUMMYFUNCTION("""COMPUTED_VALUE"""),"BELUM GOLIVE")</f>
        <v>BELUM GOLIVE</v>
      </c>
      <c r="Y1183" s="229"/>
      <c r="Z1183" s="229" t="str">
        <f>IFERROR(__xludf.DUMMYFUNCTION("""COMPUTED_VALUE"""),"#N/A")</f>
        <v>#N/A</v>
      </c>
      <c r="AA1183" s="229"/>
      <c r="AB1183" s="229"/>
      <c r="AC1183" s="229"/>
      <c r="AD1183" s="232"/>
      <c r="AE1183" s="233"/>
      <c r="AF1183" s="54" t="str">
        <f>IFERROR(__xludf.DUMMYFUNCTION("""COMPUTED_VALUE"""),"Draft BA DROP")</f>
        <v>Draft BA DROP</v>
      </c>
      <c r="AG1183" s="54"/>
      <c r="AH1183" s="54"/>
      <c r="AI1183" s="55" t="str">
        <f t="shared" si="128"/>
        <v/>
      </c>
      <c r="AW1183" s="234"/>
      <c r="BP1183" s="11"/>
      <c r="BQ1183" s="11"/>
      <c r="BR1183" s="235"/>
      <c r="BV1183" s="158"/>
      <c r="BY1183" s="158"/>
      <c r="CB1183" s="158"/>
    </row>
    <row r="1184" ht="18.0" hidden="1" customHeight="1">
      <c r="A1184" s="222">
        <f>IFERROR(__xludf.DUMMYFUNCTION("""COMPUTED_VALUE"""),2026.0)</f>
        <v>2026</v>
      </c>
      <c r="B1184" s="221">
        <f>IFERROR(__xludf.DUMMYFUNCTION("""COMPUTED_VALUE"""),1.2083133E7)</f>
        <v>12083133</v>
      </c>
      <c r="C1184" s="222" t="str">
        <f>IFERROR(__xludf.DUMMYFUNCTION("""COMPUTED_VALUE"""),"LPG PT3 JPP DS TARAHAN BUMI JAYA PJN")</f>
        <v>LPG PT3 JPP DS TARAHAN BUMI JAYA PJN</v>
      </c>
      <c r="D1184" s="222" t="str">
        <f>IFERROR(__xludf.DUMMYFUNCTION("""COMPUTED_VALUE"""),"REGIONAL I")</f>
        <v>REGIONAL I</v>
      </c>
      <c r="E1184" s="222" t="str">
        <f>IFERROR(__xludf.DUMMYFUNCTION("""COMPUTED_VALUE"""),"LAMPUNG")</f>
        <v>LAMPUNG</v>
      </c>
      <c r="F1184" s="222" t="str">
        <f>IFERROR(__xludf.DUMMYFUNCTION("""COMPUTED_VALUE"""),"PJN")</f>
        <v>PJN</v>
      </c>
      <c r="G1184" s="222" t="str">
        <f>IFERROR(__xludf.DUMMYFUNCTION("""COMPUTED_VALUE"""),"SUMBAGSEL")</f>
        <v>SUMBAGSEL</v>
      </c>
      <c r="H1184" s="222" t="str">
        <f>IFERROR(__xludf.DUMMYFUNCTION("""COMPUTED_VALUE"""),"LAMPUNG")</f>
        <v>LAMPUNG</v>
      </c>
      <c r="I1184" s="222" t="str">
        <f>IFERROR(__xludf.DUMMYFUNCTION("""COMPUTED_VALUE"""),"Batch 2")</f>
        <v>Batch 2</v>
      </c>
      <c r="J1184" s="225">
        <f>IFERROR(__xludf.DUMMYFUNCTION("""COMPUTED_VALUE"""),4.0)</f>
        <v>4</v>
      </c>
      <c r="K1184" s="224">
        <f>IFERROR(__xludf.DUMMYFUNCTION("""COMPUTED_VALUE"""),32.0)</f>
        <v>32</v>
      </c>
      <c r="L1184" s="226">
        <f>IFERROR(__xludf.DUMMYFUNCTION("""COMPUTED_VALUE"""),844719.0)</f>
        <v>844719</v>
      </c>
      <c r="M1184" s="227">
        <f>IFERROR(__xludf.DUMMYFUNCTION("""COMPUTED_VALUE"""),2.7030998E7)</f>
        <v>27030998</v>
      </c>
      <c r="N1184" s="222" t="str">
        <f>IFERROR(__xludf.DUMMYFUNCTION("""COMPUTED_VALUE"""),"PT BANGTELINDO")</f>
        <v>PT BANGTELINDO</v>
      </c>
      <c r="O1184" s="222" t="str">
        <f>IFERROR(__xludf.DUMMYFUNCTION("""COMPUTED_VALUE"""),"0. DROP")</f>
        <v>0. DROP</v>
      </c>
      <c r="P1184" s="222" t="str">
        <f>IFERROR(__xludf.DUMMYFUNCTION("""COMPUTED_VALUE"""),"0.5 DROP TSEL - Acc ED TIF")</f>
        <v>0.5 DROP TSEL - Acc ED TIF</v>
      </c>
      <c r="Q1184" s="222" t="str">
        <f>IFERROR(__xludf.DUMMYFUNCTION("""COMPUTED_VALUE""")," 2/3 new disgn karna bergabung dengan LOP lain menjadi PT 4
27/2  odc penuh dan feeder rusak konfir k tift
29/01 Feeder rusak &amp; perlu penambahan biq OLT 
19/01 Butuh Penambahan FEEDER &amp; MINI OLT ")</f>
        <v> 2/3 new disgn karna bergabung dengan LOP lain menjadi PT 4
27/2  odc penuh dan feeder rusak konfir k tift
29/01 Feeder rusak &amp; perlu penambahan biq OLT 
19/01 Butuh Penambahan FEEDER &amp; MINI OLT </v>
      </c>
      <c r="R1184" s="228"/>
      <c r="S1184" s="11"/>
      <c r="T1184" s="11"/>
      <c r="U1184" s="11"/>
      <c r="V1184" s="229"/>
      <c r="W1184" s="229"/>
      <c r="X1184" s="229" t="str">
        <f>IFERROR(__xludf.DUMMYFUNCTION("""COMPUTED_VALUE"""),"BELUM GOLIVE")</f>
        <v>BELUM GOLIVE</v>
      </c>
      <c r="Y1184" s="229"/>
      <c r="Z1184" s="229" t="str">
        <f>IFERROR(__xludf.DUMMYFUNCTION("""COMPUTED_VALUE"""),"#N/A")</f>
        <v>#N/A</v>
      </c>
      <c r="AA1184" s="229"/>
      <c r="AB1184" s="229"/>
      <c r="AC1184" s="229"/>
      <c r="AD1184" s="232"/>
      <c r="AE1184" s="233"/>
      <c r="AF1184" s="54" t="str">
        <f>IFERROR(__xludf.DUMMYFUNCTION("""COMPUTED_VALUE"""),"Draft BA DROP")</f>
        <v>Draft BA DROP</v>
      </c>
      <c r="AG1184" s="54"/>
      <c r="AH1184" s="54"/>
      <c r="AI1184" s="55" t="str">
        <f t="shared" si="128"/>
        <v/>
      </c>
      <c r="AW1184" s="234"/>
      <c r="BP1184" s="11"/>
      <c r="BQ1184" s="11"/>
      <c r="BR1184" s="235"/>
      <c r="BV1184" s="158"/>
      <c r="BY1184" s="158"/>
      <c r="CB1184" s="158"/>
    </row>
    <row r="1185" ht="18.0" customHeight="1">
      <c r="A1185" s="222">
        <f>IFERROR(__xludf.DUMMYFUNCTION("""COMPUTED_VALUE"""),2026.0)</f>
        <v>2026</v>
      </c>
      <c r="B1185" s="221">
        <f>IFERROR(__xludf.DUMMYFUNCTION("""COMPUTED_VALUE"""),1.090583E7)</f>
        <v>10905830</v>
      </c>
      <c r="C1185" s="222" t="str">
        <f>IFERROR(__xludf.DUMMYFUNCTION("""COMPUTED_VALUE"""),"RDR JPP P4I1 PT3 MELATI HIGHLAND II")</f>
        <v>RDR JPP P4I1 PT3 MELATI HIGHLAND II</v>
      </c>
      <c r="D1185" s="222" t="str">
        <f>IFERROR(__xludf.DUMMYFUNCTION("""COMPUTED_VALUE"""),"REGIONAL I")</f>
        <v>REGIONAL I</v>
      </c>
      <c r="E1185" s="222" t="str">
        <f>IFERROR(__xludf.DUMMYFUNCTION("""COMPUTED_VALUE"""),"RIDAR")</f>
        <v>RIDAR</v>
      </c>
      <c r="F1185" s="222" t="str">
        <f>IFERROR(__xludf.DUMMYFUNCTION("""COMPUTED_VALUE"""),"ARK")</f>
        <v>ARK</v>
      </c>
      <c r="G1185" s="222" t="str">
        <f>IFERROR(__xludf.DUMMYFUNCTION("""COMPUTED_VALUE"""),"SUMBAGTENG")</f>
        <v>SUMBAGTENG</v>
      </c>
      <c r="H1185" s="222" t="str">
        <f>IFERROR(__xludf.DUMMYFUNCTION("""COMPUTED_VALUE"""),"PEKANBARU")</f>
        <v>PEKANBARU</v>
      </c>
      <c r="I1185" s="222" t="str">
        <f>IFERROR(__xludf.DUMMYFUNCTION("""COMPUTED_VALUE"""),"Batch 2")</f>
        <v>Batch 2</v>
      </c>
      <c r="J1185" s="225">
        <f>IFERROR(__xludf.DUMMYFUNCTION("""COMPUTED_VALUE"""),11.0)</f>
        <v>11</v>
      </c>
      <c r="K1185" s="224">
        <f>IFERROR(__xludf.DUMMYFUNCTION("""COMPUTED_VALUE"""),88.0)</f>
        <v>88</v>
      </c>
      <c r="L1185" s="226">
        <f>IFERROR(__xludf.DUMMYFUNCTION("""COMPUTED_VALUE"""),844323.0)</f>
        <v>844323</v>
      </c>
      <c r="M1185" s="227">
        <f>IFERROR(__xludf.DUMMYFUNCTION("""COMPUTED_VALUE"""),7.4300381E7)</f>
        <v>74300381</v>
      </c>
      <c r="N1185" s="222"/>
      <c r="O1185" s="222" t="str">
        <f>IFERROR(__xludf.DUMMYFUNCTION("""COMPUTED_VALUE"""),"0. DROP")</f>
        <v>0. DROP</v>
      </c>
      <c r="P1185" s="222" t="str">
        <f>IFERROR(__xludf.DUMMYFUNCTION("""COMPUTED_VALUE"""),"0.2 Tidak Dapat Izin Warga/Kades/Lurah/Developer")</f>
        <v>0.2 Tidak Dapat Izin Warga/Kades/Lurah/Developer</v>
      </c>
      <c r="Q1185" s="222" t="str">
        <f>IFERROR(__xludf.DUMMYFUNCTION("""COMPUTED_VALUE"""),"20/01 Tidak dapat izin RT/RW dan Warga (07/01) Persiapan")</f>
        <v>20/01 Tidak dapat izin RT/RW dan Warga (07/01) Persiapan</v>
      </c>
      <c r="R1185" s="228"/>
      <c r="S1185" s="11"/>
      <c r="T1185" s="11"/>
      <c r="U1185" s="11"/>
      <c r="V1185" s="229"/>
      <c r="W1185" s="229"/>
      <c r="X1185" s="229" t="str">
        <f>IFERROR(__xludf.DUMMYFUNCTION("""COMPUTED_VALUE"""),"BELUM GOLIVE")</f>
        <v>BELUM GOLIVE</v>
      </c>
      <c r="Y1185" s="229"/>
      <c r="Z1185" s="229" t="str">
        <f>IFERROR(__xludf.DUMMYFUNCTION("""COMPUTED_VALUE"""),"#N/A")</f>
        <v>#N/A</v>
      </c>
      <c r="AA1185" s="229"/>
      <c r="AB1185" s="229"/>
      <c r="AC1185" s="229"/>
      <c r="AD1185" s="232"/>
      <c r="AE1185" s="233"/>
      <c r="AF1185" s="54" t="str">
        <f>IFERROR(__xludf.DUMMYFUNCTION("""COMPUTED_VALUE"""),"Draft BA DROP")</f>
        <v>Draft BA DROP</v>
      </c>
      <c r="AG1185" s="54"/>
      <c r="AH1185" s="54"/>
      <c r="AI1185" s="55" t="str">
        <f t="shared" si="128"/>
        <v/>
      </c>
      <c r="AW1185" s="234"/>
      <c r="BP1185" s="11"/>
      <c r="BQ1185" s="11"/>
      <c r="BR1185" s="235"/>
      <c r="BV1185" s="158"/>
      <c r="BY1185" s="158"/>
      <c r="CB1185" s="158"/>
    </row>
    <row r="1186" ht="18.0" customHeight="1">
      <c r="A1186" s="222">
        <f>IFERROR(__xludf.DUMMYFUNCTION("""COMPUTED_VALUE"""),2026.0)</f>
        <v>2026</v>
      </c>
      <c r="B1186" s="221">
        <f>IFERROR(__xludf.DUMMYFUNCTION("""COMPUTED_VALUE"""),1.221062E7)</f>
        <v>12210620</v>
      </c>
      <c r="C1186" s="222" t="str">
        <f>IFERROR(__xludf.DUMMYFUNCTION("""COMPUTED_VALUE"""),"RDR JPP PT3 KOTA PEKANBARU_175763")</f>
        <v>RDR JPP PT3 KOTA PEKANBARU_175763</v>
      </c>
      <c r="D1186" s="222" t="str">
        <f>IFERROR(__xludf.DUMMYFUNCTION("""COMPUTED_VALUE"""),"REGIONAL I")</f>
        <v>REGIONAL I</v>
      </c>
      <c r="E1186" s="222" t="str">
        <f>IFERROR(__xludf.DUMMYFUNCTION("""COMPUTED_VALUE"""),"RIDAR")</f>
        <v>RIDAR</v>
      </c>
      <c r="F1186" s="222" t="str">
        <f>IFERROR(__xludf.DUMMYFUNCTION("""COMPUTED_VALUE"""),"ARK")</f>
        <v>ARK</v>
      </c>
      <c r="G1186" s="222" t="str">
        <f>IFERROR(__xludf.DUMMYFUNCTION("""COMPUTED_VALUE"""),"SUMBAGTENG")</f>
        <v>SUMBAGTENG</v>
      </c>
      <c r="H1186" s="222" t="str">
        <f>IFERROR(__xludf.DUMMYFUNCTION("""COMPUTED_VALUE"""),"PEKANBARU")</f>
        <v>PEKANBARU</v>
      </c>
      <c r="I1186" s="222" t="str">
        <f>IFERROR(__xludf.DUMMYFUNCTION("""COMPUTED_VALUE"""),"Batch 2")</f>
        <v>Batch 2</v>
      </c>
      <c r="J1186" s="225">
        <f>IFERROR(__xludf.DUMMYFUNCTION("""COMPUTED_VALUE"""),4.0)</f>
        <v>4</v>
      </c>
      <c r="K1186" s="224">
        <f>IFERROR(__xludf.DUMMYFUNCTION("""COMPUTED_VALUE"""),32.0)</f>
        <v>32</v>
      </c>
      <c r="L1186" s="226">
        <f>IFERROR(__xludf.DUMMYFUNCTION("""COMPUTED_VALUE"""),844207.0)</f>
        <v>844207</v>
      </c>
      <c r="M1186" s="227">
        <f>IFERROR(__xludf.DUMMYFUNCTION("""COMPUTED_VALUE"""),2.701461E7)</f>
        <v>27014610</v>
      </c>
      <c r="N1186" s="222" t="str">
        <f>IFERROR(__xludf.DUMMYFUNCTION("""COMPUTED_VALUE"""),"PT SAMUDERA PUTRA KENCANA")</f>
        <v>PT SAMUDERA PUTRA KENCANA</v>
      </c>
      <c r="O1186" s="222" t="str">
        <f>IFERROR(__xludf.DUMMYFUNCTION("""COMPUTED_VALUE"""),"0. DROP")</f>
        <v>0. DROP</v>
      </c>
      <c r="P1186" s="222" t="str">
        <f>IFERROR(__xludf.DUMMYFUNCTION("""COMPUTED_VALUE"""),"0.2 Tidak Dapat Izin Warga/Kades/Lurah/Developer")</f>
        <v>0.2 Tidak Dapat Izin Warga/Kades/Lurah/Developer</v>
      </c>
      <c r="Q1186" s="222" t="str">
        <f>IFERROR(__xludf.DUMMYFUNCTION("""COMPUTED_VALUE"""),"20/01 Tidak dapat izin tanam tiang (07/01) Persiapan")</f>
        <v>20/01 Tidak dapat izin tanam tiang (07/01) Persiapan</v>
      </c>
      <c r="R1186" s="228"/>
      <c r="S1186" s="11"/>
      <c r="T1186" s="11"/>
      <c r="U1186" s="11"/>
      <c r="V1186" s="229" t="str">
        <f>IFERROR(__xludf.DUMMYFUNCTION("""COMPUTED_VALUE"""),"TEGUH IMAM PERDANA")</f>
        <v>TEGUH IMAM PERDANA</v>
      </c>
      <c r="W1186" s="229" t="str">
        <f>IFERROR(__xludf.DUMMYFUNCTION("""COMPUTED_VALUE"""),"DESLITA RAHMADANI")</f>
        <v>DESLITA RAHMADANI</v>
      </c>
      <c r="X1186" s="229" t="str">
        <f>IFERROR(__xludf.DUMMYFUNCTION("""COMPUTED_VALUE"""),"BELUM GOLIVE")</f>
        <v>BELUM GOLIVE</v>
      </c>
      <c r="Y1186" s="229"/>
      <c r="Z1186" s="229" t="str">
        <f>IFERROR(__xludf.DUMMYFUNCTION("""COMPUTED_VALUE"""),"#N/A")</f>
        <v>#N/A</v>
      </c>
      <c r="AA1186" s="229"/>
      <c r="AB1186" s="229"/>
      <c r="AC1186" s="229"/>
      <c r="AD1186" s="232"/>
      <c r="AE1186" s="233"/>
      <c r="AF1186" s="54" t="str">
        <f>IFERROR(__xludf.DUMMYFUNCTION("""COMPUTED_VALUE"""),"Draft BA DROP")</f>
        <v>Draft BA DROP</v>
      </c>
      <c r="AG1186" s="54"/>
      <c r="AH1186" s="54"/>
      <c r="AI1186" s="55" t="str">
        <f t="shared" si="128"/>
        <v/>
      </c>
      <c r="AW1186" s="234"/>
      <c r="BP1186" s="11"/>
      <c r="BQ1186" s="11"/>
      <c r="BR1186" s="235"/>
      <c r="BV1186" s="158"/>
      <c r="BY1186" s="158"/>
      <c r="CB1186" s="158"/>
    </row>
    <row r="1187" ht="18.0" hidden="1" customHeight="1">
      <c r="A1187" s="222">
        <f>IFERROR(__xludf.DUMMYFUNCTION("""COMPUTED_VALUE"""),2026.0)</f>
        <v>2026</v>
      </c>
      <c r="B1187" s="221">
        <f>IFERROR(__xludf.DUMMYFUNCTION("""COMPUTED_VALUE"""),1.1131004E7)</f>
        <v>11131004</v>
      </c>
      <c r="C1187" s="222" t="str">
        <f>IFERROR(__xludf.DUMMYFUNCTION("""COMPUTED_VALUE"""),"MDN PT3 TMU-FH KOMP PERTIWI RESIDENCE OK")</f>
        <v>MDN PT3 TMU-FH KOMP PERTIWI RESIDENCE OK</v>
      </c>
      <c r="D1187" s="222" t="str">
        <f>IFERROR(__xludf.DUMMYFUNCTION("""COMPUTED_VALUE"""),"REGIONAL I")</f>
        <v>REGIONAL I</v>
      </c>
      <c r="E1187" s="222" t="str">
        <f>IFERROR(__xludf.DUMMYFUNCTION("""COMPUTED_VALUE"""),"MEDAN")</f>
        <v>MEDAN</v>
      </c>
      <c r="F1187" s="222" t="str">
        <f>IFERROR(__xludf.DUMMYFUNCTION("""COMPUTED_VALUE"""),"TMU")</f>
        <v>TMU</v>
      </c>
      <c r="G1187" s="222" t="str">
        <f>IFERROR(__xludf.DUMMYFUNCTION("""COMPUTED_VALUE"""),"SUMBAGUT")</f>
        <v>SUMBAGUT</v>
      </c>
      <c r="H1187" s="222" t="str">
        <f>IFERROR(__xludf.DUMMYFUNCTION("""COMPUTED_VALUE"""),"MEDAN")</f>
        <v>MEDAN</v>
      </c>
      <c r="I1187" s="222" t="str">
        <f>IFERROR(__xludf.DUMMYFUNCTION("""COMPUTED_VALUE"""),"Batch 2")</f>
        <v>Batch 2</v>
      </c>
      <c r="J1187" s="225">
        <f>IFERROR(__xludf.DUMMYFUNCTION("""COMPUTED_VALUE"""),2.0)</f>
        <v>2</v>
      </c>
      <c r="K1187" s="224">
        <f>IFERROR(__xludf.DUMMYFUNCTION("""COMPUTED_VALUE"""),16.0)</f>
        <v>16</v>
      </c>
      <c r="L1187" s="226">
        <f>IFERROR(__xludf.DUMMYFUNCTION("""COMPUTED_VALUE"""),843489.0)</f>
        <v>843489</v>
      </c>
      <c r="M1187" s="227">
        <f>IFERROR(__xludf.DUMMYFUNCTION("""COMPUTED_VALUE"""),1.3495815E7)</f>
        <v>13495815</v>
      </c>
      <c r="N1187" s="222" t="str">
        <f>IFERROR(__xludf.DUMMYFUNCTION("""COMPUTED_VALUE"""),"PT GLOBAL KARYA WANDA")</f>
        <v>PT GLOBAL KARYA WANDA</v>
      </c>
      <c r="O1187" s="222" t="str">
        <f>IFERROR(__xludf.DUMMYFUNCTION("""COMPUTED_VALUE"""),"2. DONE AANWIJZING")</f>
        <v>2. DONE AANWIJZING</v>
      </c>
      <c r="P1187" s="222" t="str">
        <f>IFERROR(__xludf.DUMMYFUNCTION("""COMPUTED_VALUE"""),"2.10 Kendala - Feeder Rusak")</f>
        <v>2.10 Kendala - Feeder Rusak</v>
      </c>
      <c r="Q1187" s="222" t="str">
        <f>IFERROR(__xludf.DUMMYFUNCTION("""COMPUTED_VALUE"""),"21/04 pengecekan tipus / butuh qe
11/03 FE Redti 08/03 alih mitra 27/02 done order")</f>
        <v>21/04 pengecekan tipus / butuh qe
11/03 FE Redti 08/03 alih mitra 27/02 done order</v>
      </c>
      <c r="R1187" s="228"/>
      <c r="S1187" s="11"/>
      <c r="T1187" s="11"/>
      <c r="U1187" s="11"/>
      <c r="V1187" s="229"/>
      <c r="W1187" s="229"/>
      <c r="X1187" s="229" t="str">
        <f>IFERROR(__xludf.DUMMYFUNCTION("""COMPUTED_VALUE"""),"BELUM GOLIVE")</f>
        <v>BELUM GOLIVE</v>
      </c>
      <c r="Y1187" s="229"/>
      <c r="Z1187" s="229" t="str">
        <f>IFERROR(__xludf.DUMMYFUNCTION("""COMPUTED_VALUE"""),"#N/A")</f>
        <v>#N/A</v>
      </c>
      <c r="AA1187" s="229"/>
      <c r="AB1187" s="229"/>
      <c r="AC1187" s="229"/>
      <c r="AD1187" s="232"/>
      <c r="AE1187" s="233"/>
      <c r="AF1187" s="54"/>
      <c r="AG1187" s="54"/>
      <c r="AH1187" s="54"/>
      <c r="AI1187" s="55" t="str">
        <f t="shared" si="128"/>
        <v/>
      </c>
      <c r="AW1187" s="234"/>
      <c r="BP1187" s="11"/>
      <c r="BQ1187" s="11"/>
      <c r="BR1187" s="235"/>
      <c r="BV1187" s="158"/>
      <c r="BY1187" s="158"/>
      <c r="CB1187" s="158"/>
    </row>
    <row r="1188" ht="18.0" customHeight="1">
      <c r="A1188" s="222">
        <f>IFERROR(__xludf.DUMMYFUNCTION("""COMPUTED_VALUE"""),2026.0)</f>
        <v>2026</v>
      </c>
      <c r="B1188" s="221">
        <f>IFERROR(__xludf.DUMMYFUNCTION("""COMPUTED_VALUE"""),1.1418865E7)</f>
        <v>11418865</v>
      </c>
      <c r="C1188" s="222" t="str">
        <f>IFERROR(__xludf.DUMMYFUNCTION("""COMPUTED_VALUE"""),"SMB AOk42504210336497770e34b0 YOSERIZAL")</f>
        <v>SMB AOk42504210336497770e34b0 YOSERIZAL</v>
      </c>
      <c r="D1188" s="222" t="str">
        <f>IFERROR(__xludf.DUMMYFUNCTION("""COMPUTED_VALUE"""),"REGIONAL I")</f>
        <v>REGIONAL I</v>
      </c>
      <c r="E1188" s="222" t="str">
        <f>IFERROR(__xludf.DUMMYFUNCTION("""COMPUTED_VALUE"""),"SUMBAR")</f>
        <v>SUMBAR</v>
      </c>
      <c r="F1188" s="222" t="str">
        <f>IFERROR(__xludf.DUMMYFUNCTION("""COMPUTED_VALUE"""),"PNN")</f>
        <v>PNN</v>
      </c>
      <c r="G1188" s="222" t="str">
        <f>IFERROR(__xludf.DUMMYFUNCTION("""COMPUTED_VALUE"""),"SUMBAGTENG")</f>
        <v>SUMBAGTENG</v>
      </c>
      <c r="H1188" s="222" t="str">
        <f>IFERROR(__xludf.DUMMYFUNCTION("""COMPUTED_VALUE"""),"PADANG")</f>
        <v>PADANG</v>
      </c>
      <c r="I1188" s="222" t="str">
        <f>IFERROR(__xludf.DUMMYFUNCTION("""COMPUTED_VALUE"""),"Batch 2")</f>
        <v>Batch 2</v>
      </c>
      <c r="J1188" s="225">
        <f>IFERROR(__xludf.DUMMYFUNCTION("""COMPUTED_VALUE"""),8.0)</f>
        <v>8</v>
      </c>
      <c r="K1188" s="224">
        <f>IFERROR(__xludf.DUMMYFUNCTION("""COMPUTED_VALUE"""),64.0)</f>
        <v>64</v>
      </c>
      <c r="L1188" s="226">
        <f>IFERROR(__xludf.DUMMYFUNCTION("""COMPUTED_VALUE"""),843186.0)</f>
        <v>843186</v>
      </c>
      <c r="M1188" s="227">
        <f>IFERROR(__xludf.DUMMYFUNCTION("""COMPUTED_VALUE"""),5.3963892E7)</f>
        <v>53963892</v>
      </c>
      <c r="N1188" s="222" t="str">
        <f>IFERROR(__xludf.DUMMYFUNCTION("""COMPUTED_VALUE"""),"PT ALAM UTAMA MULIA")</f>
        <v>PT ALAM UTAMA MULIA</v>
      </c>
      <c r="O1188" s="222" t="str">
        <f>IFERROR(__xludf.DUMMYFUNCTION("""COMPUTED_VALUE"""),"8. UJI TERIMA")</f>
        <v>8. UJI TERIMA</v>
      </c>
      <c r="P1188" s="222" t="str">
        <f>IFERROR(__xludf.DUMMYFUNCTION("""COMPUTED_VALUE"""),"8.1 Proses UT")</f>
        <v>8.1 Proses UT</v>
      </c>
      <c r="Q1188" s="222" t="str">
        <f>IFERROR(__xludf.DUMMYFUNCTION("""COMPUTED_VALUE"""),"(06/02) Proses jumper di STO (29/01) terminasi ODP (21/01) proses create PID (07/01) Persiapan")</f>
        <v>(06/02) Proses jumper di STO (29/01) terminasi ODP (21/01) proses create PID (07/01) Persiapan</v>
      </c>
      <c r="R1188" s="228">
        <f>IFERROR(__xludf.DUMMYFUNCTION("""COMPUTED_VALUE"""),46065.0)</f>
        <v>46065</v>
      </c>
      <c r="S1188" s="11"/>
      <c r="T1188" s="11"/>
      <c r="U1188" s="11" t="str">
        <f>IFERROR(__xludf.DUMMYFUNCTION("""COMPUTED_VALUE"""),"TIF-1820/2026 26KT03R158-0008")</f>
        <v>TIF-1820/2026 26KT03R158-0008</v>
      </c>
      <c r="V1188" s="229" t="str">
        <f>IFERROR(__xludf.DUMMYFUNCTION("""COMPUTED_VALUE"""),"PRAMADIO SEPWILMAN")</f>
        <v>PRAMADIO SEPWILMAN</v>
      </c>
      <c r="W1188" s="229" t="str">
        <f>IFERROR(__xludf.DUMMYFUNCTION("""COMPUTED_VALUE"""),"MELKO NARWADI")</f>
        <v>MELKO NARWADI</v>
      </c>
      <c r="X1188" s="229" t="str">
        <f>IFERROR(__xludf.DUMMYFUNCTION("""COMPUTED_VALUE"""),"GOLIVE")</f>
        <v>GOLIVE</v>
      </c>
      <c r="Y1188" s="229" t="str">
        <f>IFERROR(__xludf.DUMMYFUNCTION("""COMPUTED_VALUE"""),"DONE")</f>
        <v>DONE</v>
      </c>
      <c r="Z1188" s="229" t="str">
        <f>IFERROR(__xludf.DUMMYFUNCTION("""COMPUTED_VALUE"""),"#N/A")</f>
        <v>#N/A</v>
      </c>
      <c r="AA1188" s="229">
        <f>IFERROR(__xludf.DUMMYFUNCTION("""COMPUTED_VALUE"""),8.0)</f>
        <v>8</v>
      </c>
      <c r="AB1188" s="229"/>
      <c r="AC1188" s="229" t="str">
        <f>IFERROR(__xludf.DUMMYFUNCTION("""COMPUTED_VALUE"""),"9100939#9100944")</f>
        <v>9100939#9100944</v>
      </c>
      <c r="AD1188" s="232">
        <f>IFERROR(__xludf.DUMMYFUNCTION("""COMPUTED_VALUE"""),64.0)</f>
        <v>64</v>
      </c>
      <c r="AE1188" s="233">
        <f>IFERROR(__xludf.DUMMYFUNCTION("""COMPUTED_VALUE"""),46069.0)</f>
        <v>46069</v>
      </c>
      <c r="AF1188" s="54"/>
      <c r="AG1188" s="54"/>
      <c r="AH1188" s="54">
        <v>46065.0</v>
      </c>
      <c r="AI1188" s="55">
        <f t="shared" si="128"/>
        <v>-4</v>
      </c>
      <c r="AW1188" s="234"/>
      <c r="BP1188" s="11"/>
      <c r="BQ1188" s="11"/>
      <c r="BR1188" s="235"/>
      <c r="BV1188" s="158"/>
      <c r="BY1188" s="158"/>
      <c r="CB1188" s="158"/>
    </row>
    <row r="1189" ht="18.0" hidden="1" customHeight="1">
      <c r="A1189" s="222">
        <f>IFERROR(__xludf.DUMMYFUNCTION("""COMPUTED_VALUE"""),2026.0)</f>
        <v>2026</v>
      </c>
      <c r="B1189" s="221">
        <f>IFERROR(__xludf.DUMMYFUNCTION("""COMPUTED_VALUE"""),1.2309619E7)</f>
        <v>12309619</v>
      </c>
      <c r="C1189" s="222" t="str">
        <f>IFERROR(__xludf.DUMMYFUNCTION("""COMPUTED_VALUE"""),"SMS P4I3 PT3 PDT FQ D04 PENI ASMITA")</f>
        <v>SMS P4I3 PT3 PDT FQ D04 PENI ASMITA</v>
      </c>
      <c r="D1189" s="222" t="str">
        <f>IFERROR(__xludf.DUMMYFUNCTION("""COMPUTED_VALUE"""),"REGIONAL I")</f>
        <v>REGIONAL I</v>
      </c>
      <c r="E1189" s="222" t="str">
        <f>IFERROR(__xludf.DUMMYFUNCTION("""COMPUTED_VALUE"""),"SUMSEL")</f>
        <v>SUMSEL</v>
      </c>
      <c r="F1189" s="222" t="str">
        <f>IFERROR(__xludf.DUMMYFUNCTION("""COMPUTED_VALUE"""),"PDT")</f>
        <v>PDT</v>
      </c>
      <c r="G1189" s="222" t="str">
        <f>IFERROR(__xludf.DUMMYFUNCTION("""COMPUTED_VALUE"""),"SUMBAGSEL")</f>
        <v>SUMBAGSEL</v>
      </c>
      <c r="H1189" s="222" t="str">
        <f>IFERROR(__xludf.DUMMYFUNCTION("""COMPUTED_VALUE"""),"PALEMBANG")</f>
        <v>PALEMBANG</v>
      </c>
      <c r="I1189" s="222" t="str">
        <f>IFERROR(__xludf.DUMMYFUNCTION("""COMPUTED_VALUE"""),"Batch 2")</f>
        <v>Batch 2</v>
      </c>
      <c r="J1189" s="225">
        <f>IFERROR(__xludf.DUMMYFUNCTION("""COMPUTED_VALUE"""),4.0)</f>
        <v>4</v>
      </c>
      <c r="K1189" s="224">
        <f>IFERROR(__xludf.DUMMYFUNCTION("""COMPUTED_VALUE"""),32.0)</f>
        <v>32</v>
      </c>
      <c r="L1189" s="226">
        <f>IFERROR(__xludf.DUMMYFUNCTION("""COMPUTED_VALUE"""),842980.0)</f>
        <v>842980</v>
      </c>
      <c r="M1189" s="227">
        <f>IFERROR(__xludf.DUMMYFUNCTION("""COMPUTED_VALUE"""),2.6975339E7)</f>
        <v>26975339</v>
      </c>
      <c r="N1189" s="222" t="str">
        <f>IFERROR(__xludf.DUMMYFUNCTION("""COMPUTED_VALUE"""),"PT ACERO CETHA METALINDO")</f>
        <v>PT ACERO CETHA METALINDO</v>
      </c>
      <c r="O1189" s="222" t="str">
        <f>IFERROR(__xludf.DUMMYFUNCTION("""COMPUTED_VALUE"""),"5. INSTALASI")</f>
        <v>5. INSTALASI</v>
      </c>
      <c r="P1189" s="222" t="str">
        <f>IFERROR(__xludf.DUMMYFUNCTION("""COMPUTED_VALUE"""),"5.9 Proses Pemasangan/Terminasi ODP/OTB")</f>
        <v>5.9 Proses Pemasangan/Terminasi ODP/OTB</v>
      </c>
      <c r="Q1189" s="222" t="str">
        <f>IFERROR(__xludf.DUMMYFUNCTION("""COMPUTED_VALUE"""),"27/04 PROGRESS JOIN ODP, 25/4 komitmen 27 apr  24/04 MENUNGGU ANTRIAN PEKERJAAN, 23/04 material onsite - menunggu antrian pekerjaan, 22/04 material delivery, 21/04 menunggu material kabel adsss-12 , stok gudang habis, 13/04 Plan kirim material 14 Apr 09/0"&amp;"4 PRoses input material,plan matdel 11 APR 08/04 DONE PR PO, 07/04 MENUNGGU PR PO, 06/04 PENGAJUAN PR PO, 04/04 DONE DRM, 01/04 MASIH MENUNGGU TTD DRM MITRA, 30/03 MENUNGGU TTD DRM MITRA, 27/03 PROSES DRM, 26/03 PERIZINAN PARAREL DRM MITRA,  25/03 MEMASTI"&amp;"KAN TITIK KABEL PUTUS UTK DILANJUTKAN QE - PARALEL PROGRESS PBM SELESAI,  24/03 MEMASTIKAN TITIK KABEL PUTUS UTK DILANJUTKAN QE, 21/03 MASIH MEMASTIKAN TITIK KABEL PUTUS UTK DILANJUTKAN QE, 17/03  MASIH MEMASTIKAN TITIK KABEL PUTUS UTK DILANJUTKAN QE, 16/"&amp;"03 MASIH MEMASTIKAN TITIK KABEL PUTUS UTK DILANJUTKAN QE, 13/03 OGP DRM, 10/03 OGP DRM, 03/03 LANJUT DRM, 02/03  DROP, TERMASUK DLM PEMBANGUNAN LOKASI GRIYA TAZA II - SDH ADA BA DROP, 23/02 DROP, TERMASUK DLM PEMBANGUNAN LOKASI GRIYA TAZA II - SDH ADA BA "&amp;"DROP, 06/02 HASIL REVIEW TSEL DROP - REDESIGN, 30/01 DONE EVAL, KRENA SEJALUR DG LOKASI SMS P3I1 PT3 PDT FQ D04 GRIYA TAZA II YANG D HOLD KARENA KENAIKAN BOQ 04/02 HOLD - CPP NAIK 14%, 30/01 DONE EVAL, KRENA SEJALUR DG LOKASI SMS P3I1 PT3 PDT FQ D04 GRIYA"&amp;" TAZA II YANG D HOLD KARENA KENAIKAN BOQ, 25/01 DONE AANWIDJZING, 23/01 OGP AANWIDJZING, (21/01) menunggu antrian aanwizjing, (15/1) ORDER DITERIMA MITRA 14/1, plan Aanwijdzing 19 Jan (06/01)order JPP batch-2 2026 ((14/11)HOLD- tidak masuk target Optimis "&amp;"2025 ((11/11) Penunjukkan MITRA oleh Procurement 3/11 penunjukan mitra
 14/01 penunjukan mitra oleh procurement")</f>
        <v>27/04 PROGRESS JOIN ODP, 25/4 komitmen 27 apr  24/04 MENUNGGU ANTRIAN PEKERJAAN, 23/04 material onsite - menunggu antrian pekerjaan, 22/04 material delivery, 21/04 menunggu material kabel adsss-12 , stok gudang habis, 13/04 Plan kirim material 14 Apr 09/04 PRoses input material,plan matdel 11 APR 08/04 DONE PR PO, 07/04 MENUNGGU PR PO, 06/04 PENGAJUAN PR PO, 04/04 DONE DRM, 01/04 MASIH MENUNGGU TTD DRM MITRA, 30/03 MENUNGGU TTD DRM MITRA, 27/03 PROSES DRM, 26/03 PERIZINAN PARAREL DRM MITRA,  25/03 MEMASTIKAN TITIK KABEL PUTUS UTK DILANJUTKAN QE - PARALEL PROGRESS PBM SELESAI,  24/03 MEMASTIKAN TITIK KABEL PUTUS UTK DILANJUTKAN QE, 21/03 MASIH MEMASTIKAN TITIK KABEL PUTUS UTK DILANJUTKAN QE, 17/03  MASIH MEMASTIKAN TITIK KABEL PUTUS UTK DILANJUTKAN QE, 16/03 MASIH MEMASTIKAN TITIK KABEL PUTUS UTK DILANJUTKAN QE, 13/03 OGP DRM, 10/03 OGP DRM, 03/03 LANJUT DRM, 02/03  DROP, TERMASUK DLM PEMBANGUNAN LOKASI GRIYA TAZA II - SDH ADA BA DROP, 23/02 DROP, TERMASUK DLM PEMBANGUNAN LOKASI GRIYA TAZA II - SDH ADA BA DROP, 06/02 HASIL REVIEW TSEL DROP - REDESIGN, 30/01 DONE EVAL, KRENA SEJALUR DG LOKASI SMS P3I1 PT3 PDT FQ D04 GRIYA TAZA II YANG D HOLD KARENA KENAIKAN BOQ 04/02 HOLD - CPP NAIK 14%, 30/01 DONE EVAL, KRENA SEJALUR DG LOKASI SMS P3I1 PT3 PDT FQ D04 GRIYA TAZA II YANG D HOLD KARENA KENAIKAN BOQ, 25/01 DONE AANWIDJZING, 23/01 OGP AANWIDJZING, (21/01) menunggu antrian aanwizjing, (15/1) ORDER DITERIMA MITRA 14/1, plan Aanwijdzing 19 Jan (06/01)order JPP batch-2 2026 ((14/11)HOLD- tidak masuk target Optimis 2025 ((11/11) Penunjukkan MITRA oleh Procurement 3/11 penunjukan mitra
 14/01 penunjukan mitra oleh procurement</v>
      </c>
      <c r="R1189" s="228">
        <f>IFERROR(__xludf.DUMMYFUNCTION("""COMPUTED_VALUE"""),46139.0)</f>
        <v>46139</v>
      </c>
      <c r="S1189" s="11"/>
      <c r="T1189" s="11"/>
      <c r="U1189" s="11"/>
      <c r="V1189" s="229" t="str">
        <f>IFERROR(__xludf.DUMMYFUNCTION("""COMPUTED_VALUE"""),"ILHAM")</f>
        <v>ILHAM</v>
      </c>
      <c r="W1189" s="229"/>
      <c r="X1189" s="229" t="str">
        <f>IFERROR(__xludf.DUMMYFUNCTION("""COMPUTED_VALUE"""),"BELUM GOLIVE")</f>
        <v>BELUM GOLIVE</v>
      </c>
      <c r="Y1189" s="229"/>
      <c r="Z1189" s="229" t="str">
        <f>IFERROR(__xludf.DUMMYFUNCTION("""COMPUTED_VALUE"""),"#N/A")</f>
        <v>#N/A</v>
      </c>
      <c r="AA1189" s="229"/>
      <c r="AB1189" s="229"/>
      <c r="AC1189" s="229"/>
      <c r="AD1189" s="232"/>
      <c r="AE1189" s="233"/>
      <c r="AF1189" s="54"/>
      <c r="AG1189" s="54"/>
      <c r="AH1189" s="54">
        <v>46128.0</v>
      </c>
      <c r="AI1189" s="237">
        <f>AH1189-NOW()</f>
        <v>-12.37798992</v>
      </c>
      <c r="AJ1189" s="229" t="str">
        <f>if(AI1189&gt;=0,"In Komitmen","Out Komitmen")</f>
        <v>Out Komitmen</v>
      </c>
      <c r="AK1189" s="229" t="s">
        <v>199</v>
      </c>
      <c r="AW1189" s="234"/>
      <c r="BP1189" s="11"/>
      <c r="BQ1189" s="11"/>
      <c r="BR1189" s="235"/>
      <c r="BV1189" s="158"/>
      <c r="BY1189" s="158"/>
      <c r="CB1189" s="158"/>
    </row>
    <row r="1190" ht="18.0" customHeight="1">
      <c r="A1190" s="222">
        <f>IFERROR(__xludf.DUMMYFUNCTION("""COMPUTED_VALUE"""),2026.0)</f>
        <v>2026</v>
      </c>
      <c r="B1190" s="221">
        <f>IFERROR(__xludf.DUMMYFUNCTION("""COMPUTED_VALUE"""),1.1552015E7)</f>
        <v>11552015</v>
      </c>
      <c r="C1190" s="222" t="str">
        <f>IFERROR(__xludf.DUMMYFUNCTION("""COMPUTED_VALUE"""),"RKP TSEL PT3 KAI-FT JL. PATIMURA PUNGGUR")</f>
        <v>RKP TSEL PT3 KAI-FT JL. PATIMURA PUNGGUR</v>
      </c>
      <c r="D1190" s="222" t="str">
        <f>IFERROR(__xludf.DUMMYFUNCTION("""COMPUTED_VALUE"""),"REGIONAL I")</f>
        <v>REGIONAL I</v>
      </c>
      <c r="E1190" s="222" t="str">
        <f>IFERROR(__xludf.DUMMYFUNCTION("""COMPUTED_VALUE"""),"RIKEP")</f>
        <v>RIKEP</v>
      </c>
      <c r="F1190" s="222" t="str">
        <f>IFERROR(__xludf.DUMMYFUNCTION("""COMPUTED_VALUE"""),"KAI")</f>
        <v>KAI</v>
      </c>
      <c r="G1190" s="222" t="str">
        <f>IFERROR(__xludf.DUMMYFUNCTION("""COMPUTED_VALUE"""),"SUMBAGTENG")</f>
        <v>SUMBAGTENG</v>
      </c>
      <c r="H1190" s="222" t="str">
        <f>IFERROR(__xludf.DUMMYFUNCTION("""COMPUTED_VALUE"""),"BATAM")</f>
        <v>BATAM</v>
      </c>
      <c r="I1190" s="222" t="str">
        <f>IFERROR(__xludf.DUMMYFUNCTION("""COMPUTED_VALUE"""),"Batch 2")</f>
        <v>Batch 2</v>
      </c>
      <c r="J1190" s="225">
        <f>IFERROR(__xludf.DUMMYFUNCTION("""COMPUTED_VALUE"""),2.0)</f>
        <v>2</v>
      </c>
      <c r="K1190" s="224">
        <f>IFERROR(__xludf.DUMMYFUNCTION("""COMPUTED_VALUE"""),16.0)</f>
        <v>16</v>
      </c>
      <c r="L1190" s="226">
        <f>IFERROR(__xludf.DUMMYFUNCTION("""COMPUTED_VALUE"""),841820.0)</f>
        <v>841820</v>
      </c>
      <c r="M1190" s="227">
        <f>IFERROR(__xludf.DUMMYFUNCTION("""COMPUTED_VALUE"""),1.3469114E7)</f>
        <v>13469114</v>
      </c>
      <c r="N1190" s="222" t="str">
        <f>IFERROR(__xludf.DUMMYFUNCTION("""COMPUTED_VALUE"""),"PT MITRA AKSES INSANI")</f>
        <v>PT MITRA AKSES INSANI</v>
      </c>
      <c r="O1190" s="222" t="str">
        <f>IFERROR(__xludf.DUMMYFUNCTION("""COMPUTED_VALUE"""),"7. GOLIVE")</f>
        <v>7. GOLIVE</v>
      </c>
      <c r="P1190" s="222" t="str">
        <f>IFERROR(__xludf.DUMMYFUNCTION("""COMPUTED_VALUE"""),"7.2 Golive Full / OA / DONE OTB")</f>
        <v>7.2 Golive Full / OA / DONE OTB</v>
      </c>
      <c r="Q1190" s="222" t="str">
        <f>IFERROR(__xludf.DUMMYFUNCTION("""COMPUTED_VALUE"""),"22/04 Proses Valins.
20/04 Terminasi ODP. 
17/04 Penarikan KU. Plan GL 21 Apr
13/04 Proeses REQ Material, tim serial.
06/04 Tim KU dari jawa sampai ke batam tanggal 03 april, plan progres, 12 april, plan GL 14 april.30/03 Tim mitra masih di pulau tanjung "&amp;"batu dan belum bisa balik ke pulau batam. 03/03 izin OK tim KU masih di pulau tanjung batu. 16/02 Plan FU perizinan besok 18Feb. 09/02 perizinan blm di FU mitra. 26/01 Anwijzing OK, Proses perizinan ke RW. 22/01 Plan survey 24 Jan ")</f>
        <v>22/04 Proses Valins.
20/04 Terminasi ODP. 
17/04 Penarikan KU. Plan GL 21 Apr
13/04 Proeses REQ Material, tim serial.
06/04 Tim KU dari jawa sampai ke batam tanggal 03 april, plan progres, 12 april, plan GL 14 april.30/03 Tim mitra masih di pulau tanjung batu dan belum bisa balik ke pulau batam. 03/03 izin OK tim KU masih di pulau tanjung batu. 16/02 Plan FU perizinan besok 18Feb. 09/02 perizinan blm di FU mitra. 26/01 Anwijzing OK, Proses perizinan ke RW. 22/01 Plan survey 24 Jan </v>
      </c>
      <c r="R1190" s="228">
        <f>IFERROR(__xludf.DUMMYFUNCTION("""COMPUTED_VALUE"""),46139.0)</f>
        <v>46139</v>
      </c>
      <c r="S1190" s="11" t="str">
        <f>IFERROR(__xludf.DUMMYFUNCTION("""COMPUTED_VALUE"""),"APR")</f>
        <v>APR</v>
      </c>
      <c r="T1190" s="73"/>
      <c r="U1190" s="11" t="str">
        <f>IFERROR(__xludf.DUMMYFUNCTION("""COMPUTED_VALUE"""),"W09-232/2026")</f>
        <v>W09-232/2026</v>
      </c>
      <c r="V1190" s="229" t="str">
        <f>IFERROR(__xludf.DUMMYFUNCTION("""COMPUTED_VALUE"""),"GANI PRASTYO")</f>
        <v>GANI PRASTYO</v>
      </c>
      <c r="W1190" s="229" t="str">
        <f>IFERROR(__xludf.DUMMYFUNCTION("""COMPUTED_VALUE"""),"LEVITA INDRIYANI")</f>
        <v>LEVITA INDRIYANI</v>
      </c>
      <c r="X1190" s="229" t="str">
        <f>IFERROR(__xludf.DUMMYFUNCTION("""COMPUTED_VALUE"""),"GOLIVE")</f>
        <v>GOLIVE</v>
      </c>
      <c r="Y1190" s="229" t="str">
        <f>IFERROR(__xludf.DUMMYFUNCTION("""COMPUTED_VALUE"""),"DONE")</f>
        <v>DONE</v>
      </c>
      <c r="Z1190" s="229" t="str">
        <f>IFERROR(__xludf.DUMMYFUNCTION("""COMPUTED_VALUE"""),"#N/A")</f>
        <v>#N/A</v>
      </c>
      <c r="AA1190" s="229">
        <f>IFERROR(__xludf.DUMMYFUNCTION("""COMPUTED_VALUE"""),1.0)</f>
        <v>1</v>
      </c>
      <c r="AB1190" s="229"/>
      <c r="AC1190" s="229" t="str">
        <f>IFERROR(__xludf.DUMMYFUNCTION("""COMPUTED_VALUE"""),"9199693#9199698")</f>
        <v>9199693#9199698</v>
      </c>
      <c r="AD1190" s="232">
        <f>IFERROR(__xludf.DUMMYFUNCTION("""COMPUTED_VALUE"""),16.0)</f>
        <v>16</v>
      </c>
      <c r="AE1190" s="233">
        <f>IFERROR(__xludf.DUMMYFUNCTION("""COMPUTED_VALUE"""),46139.0)</f>
        <v>46139</v>
      </c>
      <c r="AF1190" s="54"/>
      <c r="AG1190" s="54"/>
      <c r="AH1190" s="54">
        <v>46128.0</v>
      </c>
      <c r="AI1190" s="55">
        <f>AH1190-AE1190</f>
        <v>-11</v>
      </c>
      <c r="AJ1190" s="229" t="str">
        <f>if(AI1190&gt;=0,"Gl in Komitmen","Gl out komitmen")</f>
        <v>Gl out komitmen</v>
      </c>
      <c r="AK1190" s="231" t="s">
        <v>199</v>
      </c>
      <c r="AW1190" s="234"/>
      <c r="BP1190" s="11"/>
      <c r="BQ1190" s="11"/>
      <c r="BR1190" s="235"/>
      <c r="BV1190" s="158"/>
      <c r="BY1190" s="158"/>
      <c r="CB1190" s="158"/>
    </row>
    <row r="1191" ht="18.0" hidden="1" customHeight="1">
      <c r="A1191" s="222">
        <f>IFERROR(__xludf.DUMMYFUNCTION("""COMPUTED_VALUE"""),2026.0)</f>
        <v>2026</v>
      </c>
      <c r="B1191" s="221">
        <f>IFERROR(__xludf.DUMMYFUNCTION("""COMPUTED_VALUE"""),1.1536043E7)</f>
        <v>11536043</v>
      </c>
      <c r="C1191" s="222" t="str">
        <f>IFERROR(__xludf.DUMMYFUNCTION("""COMPUTED_VALUE"""),"MDN PT3 CTD-FBP JL.KELAMBIR 5 GG.KAMBOJA")</f>
        <v>MDN PT3 CTD-FBP JL.KELAMBIR 5 GG.KAMBOJA</v>
      </c>
      <c r="D1191" s="222" t="str">
        <f>IFERROR(__xludf.DUMMYFUNCTION("""COMPUTED_VALUE"""),"REGIONAL I")</f>
        <v>REGIONAL I</v>
      </c>
      <c r="E1191" s="222" t="str">
        <f>IFERROR(__xludf.DUMMYFUNCTION("""COMPUTED_VALUE"""),"MEDAN")</f>
        <v>MEDAN</v>
      </c>
      <c r="F1191" s="222" t="str">
        <f>IFERROR(__xludf.DUMMYFUNCTION("""COMPUTED_VALUE"""),"CTD")</f>
        <v>CTD</v>
      </c>
      <c r="G1191" s="222" t="str">
        <f>IFERROR(__xludf.DUMMYFUNCTION("""COMPUTED_VALUE"""),"SUMBAGUT")</f>
        <v>SUMBAGUT</v>
      </c>
      <c r="H1191" s="222" t="str">
        <f>IFERROR(__xludf.DUMMYFUNCTION("""COMPUTED_VALUE"""),"MEDAN")</f>
        <v>MEDAN</v>
      </c>
      <c r="I1191" s="222" t="str">
        <f>IFERROR(__xludf.DUMMYFUNCTION("""COMPUTED_VALUE"""),"Batch 2")</f>
        <v>Batch 2</v>
      </c>
      <c r="J1191" s="225">
        <f>IFERROR(__xludf.DUMMYFUNCTION("""COMPUTED_VALUE"""),3.0)</f>
        <v>3</v>
      </c>
      <c r="K1191" s="224">
        <f>IFERROR(__xludf.DUMMYFUNCTION("""COMPUTED_VALUE"""),24.0)</f>
        <v>24</v>
      </c>
      <c r="L1191" s="226">
        <f>IFERROR(__xludf.DUMMYFUNCTION("""COMPUTED_VALUE"""),841733.0)</f>
        <v>841733</v>
      </c>
      <c r="M1191" s="227">
        <f>IFERROR(__xludf.DUMMYFUNCTION("""COMPUTED_VALUE"""),2.0201575E7)</f>
        <v>20201575</v>
      </c>
      <c r="N1191" s="222" t="str">
        <f>IFERROR(__xludf.DUMMYFUNCTION("""COMPUTED_VALUE"""),"PT TRIPOLA PANATA")</f>
        <v>PT TRIPOLA PANATA</v>
      </c>
      <c r="O1191" s="222" t="str">
        <f>IFERROR(__xludf.DUMMYFUNCTION("""COMPUTED_VALUE"""),"2. DONE AANWIJZING")</f>
        <v>2. DONE AANWIJZING</v>
      </c>
      <c r="P1191" s="222" t="str">
        <f>IFERROR(__xludf.DUMMYFUNCTION("""COMPUTED_VALUE"""),"2.10 Kendala - Feeder Rusak")</f>
        <v>2.10 Kendala - Feeder Rusak</v>
      </c>
      <c r="Q1191" s="222" t="str">
        <f>IFERROR(__xludf.DUMMYFUNCTION("""COMPUTED_VALUE"""),"22/04 pengecekan tipus butuh QE
(29/10) Feeder Tidak Tembus 2 Basetray CTD-FBP")</f>
        <v>22/04 pengecekan tipus butuh QE
(29/10) Feeder Tidak Tembus 2 Basetray CTD-FBP</v>
      </c>
      <c r="R1191" s="228"/>
      <c r="S1191" s="11"/>
      <c r="T1191" s="11"/>
      <c r="U1191" s="11"/>
      <c r="V1191" s="229"/>
      <c r="W1191" s="229"/>
      <c r="X1191" s="229" t="str">
        <f>IFERROR(__xludf.DUMMYFUNCTION("""COMPUTED_VALUE"""),"BELUM GOLIVE")</f>
        <v>BELUM GOLIVE</v>
      </c>
      <c r="Y1191" s="229"/>
      <c r="Z1191" s="229" t="str">
        <f>IFERROR(__xludf.DUMMYFUNCTION("""COMPUTED_VALUE"""),"#N/A")</f>
        <v>#N/A</v>
      </c>
      <c r="AA1191" s="229"/>
      <c r="AB1191" s="229"/>
      <c r="AC1191" s="229"/>
      <c r="AD1191" s="232"/>
      <c r="AE1191" s="233"/>
      <c r="AF1191" s="54"/>
      <c r="AG1191" s="54"/>
      <c r="AH1191" s="54"/>
      <c r="AI1191" s="55" t="str">
        <f t="shared" ref="AI1191:AI1193" si="129">IF(OR(R1191="",AE1191=""),"",R1191-AE1191)</f>
        <v/>
      </c>
      <c r="AW1191" s="234"/>
      <c r="BP1191" s="11"/>
      <c r="BQ1191" s="11"/>
      <c r="BR1191" s="235"/>
      <c r="BV1191" s="158"/>
      <c r="BY1191" s="158"/>
      <c r="CB1191" s="158"/>
    </row>
    <row r="1192" ht="18.0" hidden="1" customHeight="1">
      <c r="A1192" s="222">
        <f>IFERROR(__xludf.DUMMYFUNCTION("""COMPUTED_VALUE"""),2026.0)</f>
        <v>2026</v>
      </c>
      <c r="B1192" s="221">
        <f>IFERROR(__xludf.DUMMYFUNCTION("""COMPUTED_VALUE"""),1.1272362E7)</f>
        <v>11272362</v>
      </c>
      <c r="C1192" s="222" t="str">
        <f>IFERROR(__xludf.DUMMYFUNCTION("""COMPUTED_VALUE"""),"MDN PT3 P1I1 BJI-FGF JL.TJ.JATI")</f>
        <v>MDN PT3 P1I1 BJI-FGF JL.TJ.JATI</v>
      </c>
      <c r="D1192" s="222" t="str">
        <f>IFERROR(__xludf.DUMMYFUNCTION("""COMPUTED_VALUE"""),"REGIONAL I")</f>
        <v>REGIONAL I</v>
      </c>
      <c r="E1192" s="222" t="str">
        <f>IFERROR(__xludf.DUMMYFUNCTION("""COMPUTED_VALUE"""),"MEDAN")</f>
        <v>MEDAN</v>
      </c>
      <c r="F1192" s="222" t="str">
        <f>IFERROR(__xludf.DUMMYFUNCTION("""COMPUTED_VALUE"""),"BJI")</f>
        <v>BJI</v>
      </c>
      <c r="G1192" s="222" t="str">
        <f>IFERROR(__xludf.DUMMYFUNCTION("""COMPUTED_VALUE"""),"SUMBAGUT")</f>
        <v>SUMBAGUT</v>
      </c>
      <c r="H1192" s="222" t="str">
        <f>IFERROR(__xludf.DUMMYFUNCTION("""COMPUTED_VALUE"""),"BINJAI")</f>
        <v>BINJAI</v>
      </c>
      <c r="I1192" s="222" t="str">
        <f>IFERROR(__xludf.DUMMYFUNCTION("""COMPUTED_VALUE"""),"Batch 2")</f>
        <v>Batch 2</v>
      </c>
      <c r="J1192" s="225">
        <f>IFERROR(__xludf.DUMMYFUNCTION("""COMPUTED_VALUE"""),10.0)</f>
        <v>10</v>
      </c>
      <c r="K1192" s="224">
        <f>IFERROR(__xludf.DUMMYFUNCTION("""COMPUTED_VALUE"""),80.0)</f>
        <v>80</v>
      </c>
      <c r="L1192" s="226">
        <f>IFERROR(__xludf.DUMMYFUNCTION("""COMPUTED_VALUE"""),1277506.0)</f>
        <v>1277506</v>
      </c>
      <c r="M1192" s="227">
        <f>IFERROR(__xludf.DUMMYFUNCTION("""COMPUTED_VALUE"""),1.0220041E8)</f>
        <v>102200410</v>
      </c>
      <c r="N1192" s="222" t="str">
        <f>IFERROR(__xludf.DUMMYFUNCTION("""COMPUTED_VALUE"""),"PT FIBERHOME TECHNOLOGIES INDONESIA")</f>
        <v>PT FIBERHOME TECHNOLOGIES INDONESIA</v>
      </c>
      <c r="O1192" s="222" t="str">
        <f>IFERROR(__xludf.DUMMYFUNCTION("""COMPUTED_VALUE"""),"0. DROP")</f>
        <v>0. DROP</v>
      </c>
      <c r="P1192" s="222" t="str">
        <f>IFERROR(__xludf.DUMMYFUNCTION("""COMPUTED_VALUE"""),"0.2 Tidak Dapat Izin Warga/Kades/Lurah/Developer")</f>
        <v>0.2 Tidak Dapat Izin Warga/Kades/Lurah/Developer</v>
      </c>
      <c r="Q1192" s="222" t="str">
        <f>IFERROR(__xludf.DUMMYFUNCTION("""COMPUTED_VALUE"""),"(07/02) kepling tetap meminta 2,7 jt dari permintaan nego TIF 1,7 jt
 (08/01) kendala feeder penuh, kendala feeder full, Belum Masuk EL
 (07/01) Persiapan")</f>
        <v>(07/02) kepling tetap meminta 2,7 jt dari permintaan nego TIF 1,7 jt
 (08/01) kendala feeder penuh, kendala feeder full, Belum Masuk EL
 (07/01) Persiapan</v>
      </c>
      <c r="R1192" s="228"/>
      <c r="S1192" s="11"/>
      <c r="T1192" s="11"/>
      <c r="U1192" s="11"/>
      <c r="V1192" s="229"/>
      <c r="W1192" s="229"/>
      <c r="X1192" s="229" t="str">
        <f>IFERROR(__xludf.DUMMYFUNCTION("""COMPUTED_VALUE"""),"BELUM GOLIVE")</f>
        <v>BELUM GOLIVE</v>
      </c>
      <c r="Y1192" s="229"/>
      <c r="Z1192" s="229" t="str">
        <f>IFERROR(__xludf.DUMMYFUNCTION("""COMPUTED_VALUE"""),"#N/A")</f>
        <v>#N/A</v>
      </c>
      <c r="AA1192" s="229"/>
      <c r="AB1192" s="229"/>
      <c r="AC1192" s="229"/>
      <c r="AD1192" s="232"/>
      <c r="AE1192" s="233"/>
      <c r="AF1192" s="54" t="str">
        <f>IFERROR(__xludf.DUMMYFUNCTION("""COMPUTED_VALUE"""),"Draft BA DROP")</f>
        <v>Draft BA DROP</v>
      </c>
      <c r="AG1192" s="54"/>
      <c r="AH1192" s="54"/>
      <c r="AI1192" s="55" t="str">
        <f t="shared" si="129"/>
        <v/>
      </c>
      <c r="AW1192" s="234"/>
      <c r="BP1192" s="11"/>
      <c r="BQ1192" s="11"/>
      <c r="BR1192" s="235"/>
      <c r="BV1192" s="158"/>
      <c r="BY1192" s="158"/>
      <c r="CB1192" s="158"/>
    </row>
    <row r="1193" ht="18.0" customHeight="1">
      <c r="A1193" s="222">
        <f>IFERROR(__xludf.DUMMYFUNCTION("""COMPUTED_VALUE"""),2026.0)</f>
        <v>2026</v>
      </c>
      <c r="B1193" s="221">
        <f>IFERROR(__xludf.DUMMYFUNCTION("""COMPUTED_VALUE"""),1.1138677E7)</f>
        <v>11138677</v>
      </c>
      <c r="C1193" s="222" t="str">
        <f>IFERROR(__xludf.DUMMYFUNCTION("""COMPUTED_VALUE"""),"SMB P7I13 Perumahan Lubuk Mutiara Indah")</f>
        <v>SMB P7I13 Perumahan Lubuk Mutiara Indah</v>
      </c>
      <c r="D1193" s="222" t="str">
        <f>IFERROR(__xludf.DUMMYFUNCTION("""COMPUTED_VALUE"""),"REGIONAL I")</f>
        <v>REGIONAL I</v>
      </c>
      <c r="E1193" s="222" t="str">
        <f>IFERROR(__xludf.DUMMYFUNCTION("""COMPUTED_VALUE"""),"SUMBAR")</f>
        <v>SUMBAR</v>
      </c>
      <c r="F1193" s="222" t="str">
        <f>IFERROR(__xludf.DUMMYFUNCTION("""COMPUTED_VALUE"""),"LBB")</f>
        <v>LBB</v>
      </c>
      <c r="G1193" s="222" t="str">
        <f>IFERROR(__xludf.DUMMYFUNCTION("""COMPUTED_VALUE"""),"SUMBAGTENG")</f>
        <v>SUMBAGTENG</v>
      </c>
      <c r="H1193" s="222" t="str">
        <f>IFERROR(__xludf.DUMMYFUNCTION("""COMPUTED_VALUE"""),"BUKIT TINGGI")</f>
        <v>BUKIT TINGGI</v>
      </c>
      <c r="I1193" s="222" t="str">
        <f>IFERROR(__xludf.DUMMYFUNCTION("""COMPUTED_VALUE"""),"Batch 2")</f>
        <v>Batch 2</v>
      </c>
      <c r="J1193" s="225">
        <f>IFERROR(__xludf.DUMMYFUNCTION("""COMPUTED_VALUE"""),2.0)</f>
        <v>2</v>
      </c>
      <c r="K1193" s="224">
        <f>IFERROR(__xludf.DUMMYFUNCTION("""COMPUTED_VALUE"""),16.0)</f>
        <v>16</v>
      </c>
      <c r="L1193" s="226">
        <f>IFERROR(__xludf.DUMMYFUNCTION("""COMPUTED_VALUE"""),840622.0)</f>
        <v>840622</v>
      </c>
      <c r="M1193" s="227">
        <f>IFERROR(__xludf.DUMMYFUNCTION("""COMPUTED_VALUE"""),1.3449946E7)</f>
        <v>13449946</v>
      </c>
      <c r="N1193" s="222" t="str">
        <f>IFERROR(__xludf.DUMMYFUNCTION("""COMPUTED_VALUE"""),"PT TIGA AKSES MANDIRI")</f>
        <v>PT TIGA AKSES MANDIRI</v>
      </c>
      <c r="O1193" s="222" t="str">
        <f>IFERROR(__xludf.DUMMYFUNCTION("""COMPUTED_VALUE"""),"0. DROP")</f>
        <v>0. DROP</v>
      </c>
      <c r="P1193" s="222" t="str">
        <f>IFERROR(__xludf.DUMMYFUNCTION("""COMPUTED_VALUE"""),"0.5 DROP TSEL - Acc ED TIF")</f>
        <v>0.5 DROP TSEL - Acc ED TIF</v>
      </c>
      <c r="Q1193"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1193" s="228"/>
      <c r="S1193" s="11"/>
      <c r="T1193" s="11"/>
      <c r="U1193" s="11"/>
      <c r="V1193" s="229" t="str">
        <f>IFERROR(__xludf.DUMMYFUNCTION("""COMPUTED_VALUE"""),"JANUAR RIZAL")</f>
        <v>JANUAR RIZAL</v>
      </c>
      <c r="W1193" s="229" t="str">
        <f>IFERROR(__xludf.DUMMYFUNCTION("""COMPUTED_VALUE"""),"MELKO NARWADI")</f>
        <v>MELKO NARWADI</v>
      </c>
      <c r="X1193" s="229" t="str">
        <f>IFERROR(__xludf.DUMMYFUNCTION("""COMPUTED_VALUE"""),"BELUM GOLIVE")</f>
        <v>BELUM GOLIVE</v>
      </c>
      <c r="Y1193" s="229"/>
      <c r="Z1193" s="229" t="str">
        <f>IFERROR(__xludf.DUMMYFUNCTION("""COMPUTED_VALUE"""),"#N/A")</f>
        <v>#N/A</v>
      </c>
      <c r="AA1193" s="229"/>
      <c r="AB1193" s="229"/>
      <c r="AC1193" s="229"/>
      <c r="AD1193" s="232"/>
      <c r="AE1193" s="233"/>
      <c r="AF1193" s="54"/>
      <c r="AG1193" s="54"/>
      <c r="AH1193" s="54">
        <v>46128.0</v>
      </c>
      <c r="AI1193" s="55" t="str">
        <f t="shared" si="129"/>
        <v/>
      </c>
      <c r="AJ1193" s="229" t="str">
        <f t="shared" ref="AJ1193:AJ1194" si="130">if(AI1193&gt;=0,"Gl in Komitmen","Gl out komitmen")</f>
        <v>Gl in Komitmen</v>
      </c>
      <c r="AW1193" s="234"/>
      <c r="BP1193" s="11"/>
      <c r="BQ1193" s="11"/>
      <c r="BR1193" s="235"/>
      <c r="BV1193" s="158"/>
      <c r="BY1193" s="158"/>
      <c r="CB1193" s="158"/>
    </row>
    <row r="1194" ht="18.0" customHeight="1">
      <c r="A1194" s="222">
        <f>IFERROR(__xludf.DUMMYFUNCTION("""COMPUTED_VALUE"""),2026.0)</f>
        <v>2026</v>
      </c>
      <c r="B1194" s="221">
        <f>IFERROR(__xludf.DUMMYFUNCTION("""COMPUTED_VALUE"""),1.119789E7)</f>
        <v>11197890</v>
      </c>
      <c r="C1194" s="222" t="str">
        <f>IFERROR(__xludf.DUMMYFUNCTION("""COMPUTED_VALUE"""),"RKP PT3 TSEL TJT-FH JL SUNARYO")</f>
        <v>RKP PT3 TSEL TJT-FH JL SUNARYO</v>
      </c>
      <c r="D1194" s="222" t="str">
        <f>IFERROR(__xludf.DUMMYFUNCTION("""COMPUTED_VALUE"""),"REGIONAL I")</f>
        <v>REGIONAL I</v>
      </c>
      <c r="E1194" s="222" t="str">
        <f>IFERROR(__xludf.DUMMYFUNCTION("""COMPUTED_VALUE"""),"RIKEP")</f>
        <v>RIKEP</v>
      </c>
      <c r="F1194" s="222" t="str">
        <f>IFERROR(__xludf.DUMMYFUNCTION("""COMPUTED_VALUE"""),"TJT")</f>
        <v>TJT</v>
      </c>
      <c r="G1194" s="222" t="str">
        <f>IFERROR(__xludf.DUMMYFUNCTION("""COMPUTED_VALUE"""),"SUMBAGTENG")</f>
        <v>SUMBAGTENG</v>
      </c>
      <c r="H1194" s="222" t="str">
        <f>IFERROR(__xludf.DUMMYFUNCTION("""COMPUTED_VALUE"""),"BATAM")</f>
        <v>BATAM</v>
      </c>
      <c r="I1194" s="222" t="str">
        <f>IFERROR(__xludf.DUMMYFUNCTION("""COMPUTED_VALUE"""),"Batch 2")</f>
        <v>Batch 2</v>
      </c>
      <c r="J1194" s="225">
        <f>IFERROR(__xludf.DUMMYFUNCTION("""COMPUTED_VALUE"""),10.0)</f>
        <v>10</v>
      </c>
      <c r="K1194" s="224">
        <f>IFERROR(__xludf.DUMMYFUNCTION("""COMPUTED_VALUE"""),80.0)</f>
        <v>80</v>
      </c>
      <c r="L1194" s="226">
        <f>IFERROR(__xludf.DUMMYFUNCTION("""COMPUTED_VALUE"""),837326.0)</f>
        <v>837326</v>
      </c>
      <c r="M1194" s="227">
        <f>IFERROR(__xludf.DUMMYFUNCTION("""COMPUTED_VALUE"""),6.6986016E7)</f>
        <v>66986016</v>
      </c>
      <c r="N1194" s="222" t="str">
        <f>IFERROR(__xludf.DUMMYFUNCTION("""COMPUTED_VALUE"""),"PT MITRA AKSES INSANI")</f>
        <v>PT MITRA AKSES INSANI</v>
      </c>
      <c r="O1194" s="222" t="str">
        <f>IFERROR(__xludf.DUMMYFUNCTION("""COMPUTED_VALUE"""),"7. GOLIVE")</f>
        <v>7. GOLIVE</v>
      </c>
      <c r="P1194" s="222" t="str">
        <f>IFERROR(__xludf.DUMMYFUNCTION("""COMPUTED_VALUE"""),"7.2 Golive Full / OA / DONE OTB")</f>
        <v>7.2 Golive Full / OA / DONE OTB</v>
      </c>
      <c r="Q1194" s="222" t="str">
        <f>IFERROR(__xludf.DUMMYFUNCTION("""COMPUTED_VALUE"""),"20/04 Proses Golive. 
17/04 Proses Terminasi ODP. 13/04 Plan FI tanggal  18 apr, plan GL 19 Apr.
 07/04 penarikan DONE, plan terminasi di pulau tanjung batu serial, target golive sesuai komitmen golive
31/03 Tim terminasi berangkat dari pulau batam ke pua"&amp;"lau tanjung batu tanggal 04 april, plan GL 14 apr. 27/03 Tim terminasi belum berangkat dari batam ke Pulau tanjung batu. 16/03 Tim terminasi berangkat ke pulau tanjung batu dari batam setelah lebaran. 
09/03 Terminasi ODP. 
05/ 03 proses penarikan kabel
2"&amp;"6/02 Tanam tiang DONE, proses tarik kabel tim serial. 13/02 Jadwal kapal ke pulau tanjung batu di hari rabu, karena kapal hari minggu sudah penuh. 09/02 LOP belum di survey oleh mitra, komitmen terakhi hari minggu tgl 8 feb tim berangkat ke pulau tanjung "&amp;"batu. 29/01 mitra MAI sudah acc dan plan survey senin 2 Februari. 21/01 Plan anwijzing Lokasi di pulau outer Tanjung batu")</f>
        <v>20/04 Proses Golive. 
17/04 Proses Terminasi ODP. 13/04 Plan FI tanggal  18 apr, plan GL 19 Apr.
 07/04 penarikan DONE, plan terminasi di pulau tanjung batu serial, target golive sesuai komitmen golive
31/03 Tim terminasi berangkat dari pulau batam ke pualau tanjung batu tanggal 04 april, plan GL 14 apr. 27/03 Tim terminasi belum berangkat dari batam ke Pulau tanjung batu. 16/03 Tim terminasi berangkat ke pulau tanjung batu dari batam setelah lebaran. 
09/03 Terminasi ODP. 
05/ 03 proses penarikan kabel
26/02 Tanam tiang DONE, proses tarik kabel tim serial.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1194" s="228">
        <f>IFERROR(__xludf.DUMMYFUNCTION("""COMPUTED_VALUE"""),46132.0)</f>
        <v>46132</v>
      </c>
      <c r="S1194" s="11" t="str">
        <f>IFERROR(__xludf.DUMMYFUNCTION("""COMPUTED_VALUE"""),"APR")</f>
        <v>APR</v>
      </c>
      <c r="T1194" s="73"/>
      <c r="U1194" s="11" t="str">
        <f>IFERROR(__xludf.DUMMYFUNCTION("""COMPUTED_VALUE"""),"W09-158/2026")</f>
        <v>W09-158/2026</v>
      </c>
      <c r="V1194" s="229" t="str">
        <f>IFERROR(__xludf.DUMMYFUNCTION("""COMPUTED_VALUE"""),"MOHAMMAD FAUZY")</f>
        <v>MOHAMMAD FAUZY</v>
      </c>
      <c r="W1194" s="229" t="str">
        <f>IFERROR(__xludf.DUMMYFUNCTION("""COMPUTED_VALUE"""),"LEVITA INDRIYANI")</f>
        <v>LEVITA INDRIYANI</v>
      </c>
      <c r="X1194" s="229" t="str">
        <f>IFERROR(__xludf.DUMMYFUNCTION("""COMPUTED_VALUE"""),"GOLIVE")</f>
        <v>GOLIVE</v>
      </c>
      <c r="Y1194" s="229" t="str">
        <f>IFERROR(__xludf.DUMMYFUNCTION("""COMPUTED_VALUE"""),"DONE")</f>
        <v>DONE</v>
      </c>
      <c r="Z1194" s="229" t="str">
        <f>IFERROR(__xludf.DUMMYFUNCTION("""COMPUTED_VALUE"""),"#N/A")</f>
        <v>#N/A</v>
      </c>
      <c r="AA1194" s="229">
        <f>IFERROR(__xludf.DUMMYFUNCTION("""COMPUTED_VALUE"""),10.0)</f>
        <v>10</v>
      </c>
      <c r="AB1194" s="229"/>
      <c r="AC1194" s="229" t="str">
        <f>IFERROR(__xludf.DUMMYFUNCTION("""COMPUTED_VALUE"""),"9130464#9130469")</f>
        <v>9130464#9130469</v>
      </c>
      <c r="AD1194" s="232">
        <f>IFERROR(__xludf.DUMMYFUNCTION("""COMPUTED_VALUE"""),80.0)</f>
        <v>80</v>
      </c>
      <c r="AE1194" s="233">
        <f>IFERROR(__xludf.DUMMYFUNCTION("""COMPUTED_VALUE"""),46132.0)</f>
        <v>46132</v>
      </c>
      <c r="AF1194" s="54"/>
      <c r="AG1194" s="54"/>
      <c r="AH1194" s="54">
        <v>46128.0</v>
      </c>
      <c r="AI1194" s="55">
        <f>IF(OR(AH1194="",AE1194=""),"",AH1194-AE1194)</f>
        <v>-4</v>
      </c>
      <c r="AJ1194" s="229" t="str">
        <f t="shared" si="130"/>
        <v>Gl out komitmen</v>
      </c>
      <c r="AK1194" s="231" t="s">
        <v>199</v>
      </c>
      <c r="AW1194" s="234"/>
      <c r="BP1194" s="11"/>
      <c r="BQ1194" s="11"/>
      <c r="BR1194" s="235"/>
      <c r="BV1194" s="158"/>
      <c r="BY1194" s="158"/>
      <c r="CB1194" s="158"/>
    </row>
    <row r="1195" ht="18.0" hidden="1" customHeight="1">
      <c r="A1195" s="222">
        <f>IFERROR(__xludf.DUMMYFUNCTION("""COMPUTED_VALUE"""),2026.0)</f>
        <v>2026</v>
      </c>
      <c r="B1195" s="221">
        <f>IFERROR(__xludf.DUMMYFUNCTION("""COMPUTED_VALUE"""),1.213314E7)</f>
        <v>12133140</v>
      </c>
      <c r="C1195" s="222" t="str">
        <f>IFERROR(__xludf.DUMMYFUNCTION("""COMPUTED_VALUE"""),"LPG PT3 JPP GG NANGKA 4 KORPRI RAYA KDT")</f>
        <v>LPG PT3 JPP GG NANGKA 4 KORPRI RAYA KDT</v>
      </c>
      <c r="D1195" s="222" t="str">
        <f>IFERROR(__xludf.DUMMYFUNCTION("""COMPUTED_VALUE"""),"REGIONAL I")</f>
        <v>REGIONAL I</v>
      </c>
      <c r="E1195" s="222" t="str">
        <f>IFERROR(__xludf.DUMMYFUNCTION("""COMPUTED_VALUE"""),"LAMPUNG")</f>
        <v>LAMPUNG</v>
      </c>
      <c r="F1195" s="222" t="str">
        <f>IFERROR(__xludf.DUMMYFUNCTION("""COMPUTED_VALUE"""),"KDT")</f>
        <v>KDT</v>
      </c>
      <c r="G1195" s="222" t="str">
        <f>IFERROR(__xludf.DUMMYFUNCTION("""COMPUTED_VALUE"""),"SUMBAGSEL")</f>
        <v>SUMBAGSEL</v>
      </c>
      <c r="H1195" s="222" t="str">
        <f>IFERROR(__xludf.DUMMYFUNCTION("""COMPUTED_VALUE"""),"LAMPUNG")</f>
        <v>LAMPUNG</v>
      </c>
      <c r="I1195" s="222" t="str">
        <f>IFERROR(__xludf.DUMMYFUNCTION("""COMPUTED_VALUE"""),"Batch 2")</f>
        <v>Batch 2</v>
      </c>
      <c r="J1195" s="225">
        <f>IFERROR(__xludf.DUMMYFUNCTION("""COMPUTED_VALUE"""),4.0)</f>
        <v>4</v>
      </c>
      <c r="K1195" s="224">
        <f>IFERROR(__xludf.DUMMYFUNCTION("""COMPUTED_VALUE"""),32.0)</f>
        <v>32</v>
      </c>
      <c r="L1195" s="226">
        <f>IFERROR(__xludf.DUMMYFUNCTION("""COMPUTED_VALUE"""),837047.0)</f>
        <v>837047</v>
      </c>
      <c r="M1195" s="227">
        <f>IFERROR(__xludf.DUMMYFUNCTION("""COMPUTED_VALUE"""),2.6785481E7)</f>
        <v>26785481</v>
      </c>
      <c r="N1195" s="222" t="str">
        <f>IFERROR(__xludf.DUMMYFUNCTION("""COMPUTED_VALUE"""),"PT BANGTELINDO")</f>
        <v>PT BANGTELINDO</v>
      </c>
      <c r="O1195" s="222" t="str">
        <f>IFERROR(__xludf.DUMMYFUNCTION("""COMPUTED_VALUE"""),"0. DROP")</f>
        <v>0. DROP</v>
      </c>
      <c r="P1195" s="222" t="str">
        <f>IFERROR(__xludf.DUMMYFUNCTION("""COMPUTED_VALUE"""),"0.2 Tidak Dapat Izin Warga/Kades/Lurah/Developer")</f>
        <v>0.2 Tidak Dapat Izin Warga/Kades/Lurah/Developer</v>
      </c>
      <c r="Q1195" s="222" t="str">
        <f>IFERROR(__xludf.DUMMYFUNCTION("""COMPUTED_VALUE"""),"6/2  lurah belum plng umroh sekdes tidaka bisa putuskan ,folow uf 09/2 ,estimasi 12/2
4/2 lurah belum plng umroh sekdes tidaka bisa putuskan 
28/1 lurah belum pulang umroh 
21/progres cek eletrical odc dan olt
19/1 butuh repair feeder di odc tidak ada pig"&amp;"tail")</f>
        <v>6/2  lurah belum plng umroh sekdes tidaka bisa putuskan ,folow uf 09/2 ,estimasi 12/2
4/2 lurah belum plng umroh sekdes tidaka bisa putuskan 
28/1 lurah belum pulang umroh 
21/progres cek eletrical odc dan olt
19/1 butuh repair feeder di odc tidak ada pigtail</v>
      </c>
      <c r="R1195" s="228"/>
      <c r="S1195" s="11"/>
      <c r="T1195" s="11"/>
      <c r="U1195" s="11" t="str">
        <f>IFERROR(__xludf.DUMMYFUNCTION("""COMPUTED_VALUE"""),"TIF-1905/2026")</f>
        <v>TIF-1905/2026</v>
      </c>
      <c r="V1195" s="229"/>
      <c r="W1195" s="229"/>
      <c r="X1195" s="229" t="str">
        <f>IFERROR(__xludf.DUMMYFUNCTION("""COMPUTED_VALUE"""),"BELUM GOLIVE")</f>
        <v>BELUM GOLIVE</v>
      </c>
      <c r="Y1195" s="229"/>
      <c r="Z1195" s="229" t="str">
        <f>IFERROR(__xludf.DUMMYFUNCTION("""COMPUTED_VALUE"""),"#N/A")</f>
        <v>#N/A</v>
      </c>
      <c r="AA1195" s="229"/>
      <c r="AB1195" s="229"/>
      <c r="AC1195" s="229"/>
      <c r="AD1195" s="232"/>
      <c r="AE1195" s="233"/>
      <c r="AF1195" s="54" t="str">
        <f>IFERROR(__xludf.DUMMYFUNCTION("""COMPUTED_VALUE"""),"Draft BA DROP")</f>
        <v>Draft BA DROP</v>
      </c>
      <c r="AG1195" s="54"/>
      <c r="AH1195" s="54"/>
      <c r="AI1195" s="55" t="str">
        <f t="shared" ref="AI1195:AI1199" si="131">IF(OR(R1195="",AE1195=""),"",R1195-AE1195)</f>
        <v/>
      </c>
      <c r="AW1195" s="234"/>
      <c r="BP1195" s="11"/>
      <c r="BQ1195" s="11"/>
      <c r="BR1195" s="235"/>
      <c r="BV1195" s="158"/>
      <c r="BY1195" s="158"/>
      <c r="CB1195" s="158"/>
    </row>
    <row r="1196" ht="18.0" hidden="1" customHeight="1">
      <c r="A1196" s="222">
        <f>IFERROR(__xludf.DUMMYFUNCTION("""COMPUTED_VALUE"""),2026.0)</f>
        <v>2026</v>
      </c>
      <c r="B1196" s="221">
        <f>IFERROR(__xludf.DUMMYFUNCTION("""COMPUTED_VALUE"""),1.2438779E7)</f>
        <v>12438779</v>
      </c>
      <c r="C1196" s="222" t="str">
        <f>IFERROR(__xludf.DUMMYFUNCTION("""COMPUTED_VALUE"""),"SMS P4I4 PT3 MPA FL D02 AGUNG MAULANA")</f>
        <v>SMS P4I4 PT3 MPA FL D02 AGUNG MAULANA</v>
      </c>
      <c r="D1196" s="222" t="str">
        <f>IFERROR(__xludf.DUMMYFUNCTION("""COMPUTED_VALUE"""),"REGIONAL I")</f>
        <v>REGIONAL I</v>
      </c>
      <c r="E1196" s="222" t="str">
        <f>IFERROR(__xludf.DUMMYFUNCTION("""COMPUTED_VALUE"""),"SUMSEL")</f>
        <v>SUMSEL</v>
      </c>
      <c r="F1196" s="222" t="str">
        <f>IFERROR(__xludf.DUMMYFUNCTION("""COMPUTED_VALUE"""),"MPA")</f>
        <v>MPA</v>
      </c>
      <c r="G1196" s="222" t="str">
        <f>IFERROR(__xludf.DUMMYFUNCTION("""COMPUTED_VALUE"""),"SUMBAGSEL")</f>
        <v>SUMBAGSEL</v>
      </c>
      <c r="H1196" s="222" t="str">
        <f>IFERROR(__xludf.DUMMYFUNCTION("""COMPUTED_VALUE"""),"PALEMBANG")</f>
        <v>PALEMBANG</v>
      </c>
      <c r="I1196" s="222" t="str">
        <f>IFERROR(__xludf.DUMMYFUNCTION("""COMPUTED_VALUE"""),"Batch 2")</f>
        <v>Batch 2</v>
      </c>
      <c r="J1196" s="225">
        <f>IFERROR(__xludf.DUMMYFUNCTION("""COMPUTED_VALUE"""),2.0)</f>
        <v>2</v>
      </c>
      <c r="K1196" s="224">
        <f>IFERROR(__xludf.DUMMYFUNCTION("""COMPUTED_VALUE"""),16.0)</f>
        <v>16</v>
      </c>
      <c r="L1196" s="226">
        <f>IFERROR(__xludf.DUMMYFUNCTION("""COMPUTED_VALUE"""),836316.0)</f>
        <v>836316</v>
      </c>
      <c r="M1196" s="227">
        <f>IFERROR(__xludf.DUMMYFUNCTION("""COMPUTED_VALUE"""),1.3381046E7)</f>
        <v>13381046</v>
      </c>
      <c r="N1196" s="222" t="str">
        <f>IFERROR(__xludf.DUMMYFUNCTION("""COMPUTED_VALUE"""),"PT GARINDO TECHNO MANDIRI")</f>
        <v>PT GARINDO TECHNO MANDIRI</v>
      </c>
      <c r="O1196" s="222" t="str">
        <f>IFERROR(__xludf.DUMMYFUNCTION("""COMPUTED_VALUE"""),"7. GOLIVE")</f>
        <v>7. GOLIVE</v>
      </c>
      <c r="P1196" s="222" t="str">
        <f>IFERROR(__xludf.DUMMYFUNCTION("""COMPUTED_VALUE"""),"7.2 Golive Full / OA / DONE OTB")</f>
        <v>7.2 Golive Full / OA / DONE OTB</v>
      </c>
      <c r="Q1196" s="222" t="str">
        <f>IFERROR(__xludf.DUMMYFUNCTION("""COMPUTED_VALUE"""),"11/03 GOLIVE, 10/03 DONE SUBMIT ABD KE SDI, 10/03 PROGRESS JOINT ODP - VALINS, 09/03 DONE TANAM 6 TIANG, TARIK KABEL 310M DAN PEMASANGAN AKSESORIS, 06/03 MENUNGGU ANTRIAN PEKERJAAN, 04/03 MATERIAL ONSITE, 03/03 MATDEL, 02/03 HARI INI AMBIL TIANG, 27/02 DO"&amp;"NE RFC,OGP AMBIL MATERIAL EST TGL 02/03, 26/02 MENUNGGU RFC UTK PENGAMBILAN MATERIAL, 25/02 MASIH MENUNGGU TIANG, 24/02 LANJUT PROGRESS SDH ADA RFC DAN MENUNGGU TIANG, 23/02 BELUM INPUT MATERIAL TIANG KRNA TIANG HABIS,  22/2 menunggu material TIANG  20/02"&amp;" DONE INPUT MATERIAL, 18/02 PROGRESS INPUT MATERIAL - KENDALA OVER BUDGET, 18/02 BELUM BISA INPUT MATERIAL - MSH MENUNGGU PA, 11/2 menunggu PRPO  10/02 MASIH PROGRESS DRM, 06/02 HASIL REVIEW TSEL LANJUT DRM, 03/02 DONE EVAL, HOLD ADA KENAIAKAN SEBESAR 28 "&amp;"RB (0,2%) CPP 845 RB 31/1 Plan menemui kades lagi pararel pekerjaan yg dekat dengan lokasi 30/01 MENUNGGU PERIZINAN KADES, (15/1) SUDAH AANWIDJZING, MENUNGGU HASIL EVAL PALIM LAMBAT TANGGAL 23 JAN (15/1) ORDER DITERIMA MITRA 14/1,MENUNGGU PLAN AANWIJDZING"&amp;" (06/01)order JPP batch-2 2026 ((11/11) Penunjukkan MITRA oleh Procurement")</f>
        <v>11/03 GOLIVE, 10/03 DONE SUBMIT ABD KE SDI, 10/03 PROGRESS JOINT ODP - VALINS, 09/03 DONE TANAM 6 TIANG, TARIK KABEL 310M DAN PEMASANGAN AKSESORIS, 06/03 MENUNGGU ANTRIAN PEKERJAAN, 04/03 MATERIAL ONSITE, 03/03 MATDEL, 02/03 HARI INI AMBIL TIANG, 27/02 DONE RFC,OGP AMBIL MATERIAL EST TGL 02/03, 26/02 MENUNGGU RFC UTK PENGAMBILAN MATERIAL, 25/02 MASIH MENUNGGU TIANG, 24/02 LANJUT PROGRESS SDH ADA RFC DAN MENUNGGU TIANG, 23/02 BELUM INPUT MATERIAL TIANG KRNA TIANG HABIS,  22/2 menunggu material TIANG  20/02 DONE INPUT MATERIAL, 18/02 PROGRESS INPUT MATERIAL - KENDALA OVER BUDGET, 18/02 BELUM BISA INPUT MATERIAL - MSH MENUNGGU PA, 11/2 menunggu PRPO  10/02 MASIH PROGRESS DRM, 06/02 HASIL REVIEW TSEL LANJUT DRM, 03/02 DONE EVAL, HOLD ADA KENAIAKAN SEBESAR 28 RB (0,2%) CPP 845 RB 31/1 Plan menemui kades lagi pararel pekerjaan yg dekat dengan lokasi 30/01 MENUNGGU PERIZINAN KADES, (15/1) SUDAH AANWIDJZING, MENUNGGU HASIL EVAL PALIM LAMBAT TANGGAL 23 JAN (15/1) ORDER DITERIMA MITRA 14/1,MENUNGGU PLAN AANWIJDZING (06/01)order JPP batch-2 2026 ((11/11) Penunjukkan MITRA oleh Procurement</v>
      </c>
      <c r="R1196" s="228">
        <f>IFERROR(__xludf.DUMMYFUNCTION("""COMPUTED_VALUE"""),46096.0)</f>
        <v>46096</v>
      </c>
      <c r="S1196" s="11" t="str">
        <f>IFERROR(__xludf.DUMMYFUNCTION("""COMPUTED_VALUE"""),"MAR")</f>
        <v>MAR</v>
      </c>
      <c r="T1196" s="11"/>
      <c r="U1196" s="11"/>
      <c r="V1196" s="229" t="str">
        <f>IFERROR(__xludf.DUMMYFUNCTION("""COMPUTED_VALUE"""),"TANTOWI")</f>
        <v>TANTOWI</v>
      </c>
      <c r="W1196" s="229"/>
      <c r="X1196" s="229" t="str">
        <f>IFERROR(__xludf.DUMMYFUNCTION("""COMPUTED_VALUE"""),"GOLIVE")</f>
        <v>GOLIVE</v>
      </c>
      <c r="Y1196" s="229" t="str">
        <f>IFERROR(__xludf.DUMMYFUNCTION("""COMPUTED_VALUE"""),"DONE")</f>
        <v>DONE</v>
      </c>
      <c r="Z1196" s="229" t="str">
        <f>IFERROR(__xludf.DUMMYFUNCTION("""COMPUTED_VALUE"""),"#N/A")</f>
        <v>#N/A</v>
      </c>
      <c r="AA1196" s="229">
        <f>IFERROR(__xludf.DUMMYFUNCTION("""COMPUTED_VALUE"""),2.0)</f>
        <v>2</v>
      </c>
      <c r="AB1196" s="229"/>
      <c r="AC1196" s="229" t="str">
        <f>IFERROR(__xludf.DUMMYFUNCTION("""COMPUTED_VALUE"""),"8946556#8946561")</f>
        <v>8946556#8946561</v>
      </c>
      <c r="AD1196" s="232">
        <f>IFERROR(__xludf.DUMMYFUNCTION("""COMPUTED_VALUE"""),16.0)</f>
        <v>16</v>
      </c>
      <c r="AE1196" s="233">
        <f>IFERROR(__xludf.DUMMYFUNCTION("""COMPUTED_VALUE"""),46091.0)</f>
        <v>46091</v>
      </c>
      <c r="AF1196" s="54"/>
      <c r="AG1196" s="54"/>
      <c r="AH1196" s="54">
        <v>46096.0</v>
      </c>
      <c r="AI1196" s="55">
        <f t="shared" si="131"/>
        <v>5</v>
      </c>
      <c r="AW1196" s="234"/>
      <c r="BP1196" s="11"/>
      <c r="BQ1196" s="11"/>
      <c r="BR1196" s="235"/>
      <c r="BV1196" s="158"/>
      <c r="BY1196" s="158"/>
      <c r="CB1196" s="158"/>
    </row>
    <row r="1197" ht="18.0" hidden="1" customHeight="1">
      <c r="A1197" s="222">
        <f>IFERROR(__xludf.DUMMYFUNCTION("""COMPUTED_VALUE"""),2026.0)</f>
        <v>2026</v>
      </c>
      <c r="B1197" s="221">
        <f>IFERROR(__xludf.DUMMYFUNCTION("""COMPUTED_VALUE"""),1.2174278E7)</f>
        <v>12174278</v>
      </c>
      <c r="C1197" s="222" t="str">
        <f>IFERROR(__xludf.DUMMYFUNCTION("""COMPUTED_VALUE"""),"BNK PT3 BRC MUKO MUKO_55743_H2_2025")</f>
        <v>BNK PT3 BRC MUKO MUKO_55743_H2_2025</v>
      </c>
      <c r="D1197" s="222" t="str">
        <f>IFERROR(__xludf.DUMMYFUNCTION("""COMPUTED_VALUE"""),"REGIONAL I")</f>
        <v>REGIONAL I</v>
      </c>
      <c r="E1197" s="222" t="str">
        <f>IFERROR(__xludf.DUMMYFUNCTION("""COMPUTED_VALUE"""),"BENGKULU")</f>
        <v>BENGKULU</v>
      </c>
      <c r="F1197" s="222" t="str">
        <f>IFERROR(__xludf.DUMMYFUNCTION("""COMPUTED_VALUE"""),"MKO")</f>
        <v>MKO</v>
      </c>
      <c r="G1197" s="222" t="str">
        <f>IFERROR(__xludf.DUMMYFUNCTION("""COMPUTED_VALUE"""),"SUMBAGSEL")</f>
        <v>SUMBAGSEL</v>
      </c>
      <c r="H1197" s="222" t="str">
        <f>IFERROR(__xludf.DUMMYFUNCTION("""COMPUTED_VALUE"""),"BENGKULU")</f>
        <v>BENGKULU</v>
      </c>
      <c r="I1197" s="222" t="str">
        <f>IFERROR(__xludf.DUMMYFUNCTION("""COMPUTED_VALUE"""),"Batch 2")</f>
        <v>Batch 2</v>
      </c>
      <c r="J1197" s="225">
        <f>IFERROR(__xludf.DUMMYFUNCTION("""COMPUTED_VALUE"""),1.0)</f>
        <v>1</v>
      </c>
      <c r="K1197" s="224">
        <f>IFERROR(__xludf.DUMMYFUNCTION("""COMPUTED_VALUE"""),8.0)</f>
        <v>8</v>
      </c>
      <c r="L1197" s="226">
        <f>IFERROR(__xludf.DUMMYFUNCTION("""COMPUTED_VALUE"""),835139.0)</f>
        <v>835139</v>
      </c>
      <c r="M1197" s="227">
        <f>IFERROR(__xludf.DUMMYFUNCTION("""COMPUTED_VALUE"""),6681106.0)</f>
        <v>6681106</v>
      </c>
      <c r="N1197" s="222" t="str">
        <f>IFERROR(__xludf.DUMMYFUNCTION("""COMPUTED_VALUE"""),"PT GITA PRIMA TAMBA PERKASA")</f>
        <v>PT GITA PRIMA TAMBA PERKASA</v>
      </c>
      <c r="O1197" s="222" t="str">
        <f>IFERROR(__xludf.DUMMYFUNCTION("""COMPUTED_VALUE"""),"0. DROP")</f>
        <v>0. DROP</v>
      </c>
      <c r="P1197" s="222" t="str">
        <f>IFERROR(__xludf.DUMMYFUNCTION("""COMPUTED_VALUE"""),"0.1 Double Order")</f>
        <v>0.1 Double Order</v>
      </c>
      <c r="Q1197" s="222" t="str">
        <f>IFERROR(__xludf.DUMMYFUNCTION("""COMPUTED_VALUE"""),"08/01 : sudah golive di project sebelum nya (07/01) Persiapan")</f>
        <v>08/01 : sudah golive di project sebelum nya (07/01) Persiapan</v>
      </c>
      <c r="R1197" s="228"/>
      <c r="S1197" s="11"/>
      <c r="T1197" s="11"/>
      <c r="U1197" s="11"/>
      <c r="V1197" s="229"/>
      <c r="W1197" s="229"/>
      <c r="X1197" s="229" t="str">
        <f>IFERROR(__xludf.DUMMYFUNCTION("""COMPUTED_VALUE"""),"BELUM GOLIVE")</f>
        <v>BELUM GOLIVE</v>
      </c>
      <c r="Y1197" s="229"/>
      <c r="Z1197" s="229" t="str">
        <f>IFERROR(__xludf.DUMMYFUNCTION("""COMPUTED_VALUE"""),"#N/A")</f>
        <v>#N/A</v>
      </c>
      <c r="AA1197" s="229"/>
      <c r="AB1197" s="229"/>
      <c r="AC1197" s="229"/>
      <c r="AD1197" s="232"/>
      <c r="AE1197" s="233"/>
      <c r="AF1197" s="54" t="str">
        <f>IFERROR(__xludf.DUMMYFUNCTION("""COMPUTED_VALUE"""),"Draft BA DROP")</f>
        <v>Draft BA DROP</v>
      </c>
      <c r="AG1197" s="54"/>
      <c r="AH1197" s="54"/>
      <c r="AI1197" s="55" t="str">
        <f t="shared" si="131"/>
        <v/>
      </c>
      <c r="AW1197" s="234"/>
      <c r="BP1197" s="11"/>
      <c r="BQ1197" s="11"/>
      <c r="BR1197" s="235"/>
      <c r="BV1197" s="158"/>
      <c r="BY1197" s="158"/>
      <c r="CB1197" s="158"/>
    </row>
    <row r="1198" ht="18.0" customHeight="1">
      <c r="A1198" s="222">
        <f>IFERROR(__xludf.DUMMYFUNCTION("""COMPUTED_VALUE"""),2026.0)</f>
        <v>2026</v>
      </c>
      <c r="B1198" s="221">
        <f>IFERROR(__xludf.DUMMYFUNCTION("""COMPUTED_VALUE"""),1.1348012E7)</f>
        <v>11348012</v>
      </c>
      <c r="C1198" s="222" t="str">
        <f>IFERROR(__xludf.DUMMYFUNCTION("""COMPUTED_VALUE"""),"SMB P2I2 MD PASAMAN_15722")</f>
        <v>SMB P2I2 MD PASAMAN_15722</v>
      </c>
      <c r="D1198" s="222" t="str">
        <f>IFERROR(__xludf.DUMMYFUNCTION("""COMPUTED_VALUE"""),"REGIONAL I")</f>
        <v>REGIONAL I</v>
      </c>
      <c r="E1198" s="222" t="str">
        <f>IFERROR(__xludf.DUMMYFUNCTION("""COMPUTED_VALUE"""),"SUMBAR")</f>
        <v>SUMBAR</v>
      </c>
      <c r="F1198" s="222" t="str">
        <f>IFERROR(__xludf.DUMMYFUNCTION("""COMPUTED_VALUE"""),"LBS")</f>
        <v>LBS</v>
      </c>
      <c r="G1198" s="222" t="str">
        <f>IFERROR(__xludf.DUMMYFUNCTION("""COMPUTED_VALUE"""),"SUMBAGTENG")</f>
        <v>SUMBAGTENG</v>
      </c>
      <c r="H1198" s="222" t="str">
        <f>IFERROR(__xludf.DUMMYFUNCTION("""COMPUTED_VALUE"""),"BUKIT TINGGI")</f>
        <v>BUKIT TINGGI</v>
      </c>
      <c r="I1198" s="222" t="str">
        <f>IFERROR(__xludf.DUMMYFUNCTION("""COMPUTED_VALUE"""),"Batch 2")</f>
        <v>Batch 2</v>
      </c>
      <c r="J1198" s="225">
        <f>IFERROR(__xludf.DUMMYFUNCTION("""COMPUTED_VALUE"""),4.0)</f>
        <v>4</v>
      </c>
      <c r="K1198" s="224">
        <f>IFERROR(__xludf.DUMMYFUNCTION("""COMPUTED_VALUE"""),32.0)</f>
        <v>32</v>
      </c>
      <c r="L1198" s="226">
        <f>IFERROR(__xludf.DUMMYFUNCTION("""COMPUTED_VALUE"""),834591.0)</f>
        <v>834591</v>
      </c>
      <c r="M1198" s="227">
        <f>IFERROR(__xludf.DUMMYFUNCTION("""COMPUTED_VALUE"""),2.6706912E7)</f>
        <v>26706912</v>
      </c>
      <c r="N1198" s="222" t="str">
        <f>IFERROR(__xludf.DUMMYFUNCTION("""COMPUTED_VALUE"""),"PT GARINDO TECHNO MANDIRI")</f>
        <v>PT GARINDO TECHNO MANDIRI</v>
      </c>
      <c r="O1198" s="222" t="str">
        <f>IFERROR(__xludf.DUMMYFUNCTION("""COMPUTED_VALUE"""),"0. DROP")</f>
        <v>0. DROP</v>
      </c>
      <c r="P1198" s="222" t="str">
        <f>IFERROR(__xludf.DUMMYFUNCTION("""COMPUTED_VALUE"""),"0.5 DROP TSEL - Acc ED TIF")</f>
        <v>0.5 DROP TSEL - Acc ED TIF</v>
      </c>
      <c r="Q1198" s="222" t="str">
        <f>IFERROR(__xludf.DUMMYFUNCTION("""COMPUTED_VALUE"""),"(05/03) doubel dengan LOP SMB PASAMAN_15172_15722  07/03 (02/03) proses aanwijziing (26/01) DROP, permintaan tsel (tidak potensial) ")</f>
        <v>(05/03) doubel dengan LOP SMB PASAMAN_15172_15722  07/03 (02/03) proses aanwijziing (26/01) DROP, permintaan tsel (tidak potensial) </v>
      </c>
      <c r="R1198" s="228"/>
      <c r="S1198" s="11"/>
      <c r="T1198" s="11"/>
      <c r="U1198" s="11"/>
      <c r="V1198" s="229" t="str">
        <f>IFERROR(__xludf.DUMMYFUNCTION("""COMPUTED_VALUE"""),"DELPA YANDA")</f>
        <v>DELPA YANDA</v>
      </c>
      <c r="W1198" s="229" t="str">
        <f>IFERROR(__xludf.DUMMYFUNCTION("""COMPUTED_VALUE"""),"MELKO NARWADI")</f>
        <v>MELKO NARWADI</v>
      </c>
      <c r="X1198" s="229" t="str">
        <f>IFERROR(__xludf.DUMMYFUNCTION("""COMPUTED_VALUE"""),"BELUM GOLIVE")</f>
        <v>BELUM GOLIVE</v>
      </c>
      <c r="Y1198" s="229"/>
      <c r="Z1198" s="229" t="str">
        <f>IFERROR(__xludf.DUMMYFUNCTION("""COMPUTED_VALUE"""),"#N/A")</f>
        <v>#N/A</v>
      </c>
      <c r="AA1198" s="229"/>
      <c r="AB1198" s="229"/>
      <c r="AC1198" s="229"/>
      <c r="AD1198" s="232"/>
      <c r="AE1198" s="233"/>
      <c r="AF1198" s="54"/>
      <c r="AG1198" s="54"/>
      <c r="AH1198" s="54"/>
      <c r="AI1198" s="55" t="str">
        <f t="shared" si="131"/>
        <v/>
      </c>
      <c r="AW1198" s="234"/>
      <c r="BP1198" s="11"/>
      <c r="BQ1198" s="11"/>
      <c r="BR1198" s="235"/>
      <c r="BV1198" s="158"/>
      <c r="BY1198" s="158"/>
      <c r="CB1198" s="158"/>
    </row>
    <row r="1199" ht="18.0" hidden="1" customHeight="1">
      <c r="A1199" s="222">
        <f>IFERROR(__xludf.DUMMYFUNCTION("""COMPUTED_VALUE"""),2026.0)</f>
        <v>2026</v>
      </c>
      <c r="B1199" s="221">
        <f>IFERROR(__xludf.DUMMYFUNCTION("""COMPUTED_VALUE"""),1.1192774E7)</f>
        <v>11192774</v>
      </c>
      <c r="C1199" s="222" t="str">
        <f>IFERROR(__xludf.DUMMYFUNCTION("""COMPUTED_VALUE"""),"MDN PT3 TTG-FBE JL.TALI AIR GG.SEJUK")</f>
        <v>MDN PT3 TTG-FBE JL.TALI AIR GG.SEJUK</v>
      </c>
      <c r="D1199" s="222" t="str">
        <f>IFERROR(__xludf.DUMMYFUNCTION("""COMPUTED_VALUE"""),"REGIONAL I")</f>
        <v>REGIONAL I</v>
      </c>
      <c r="E1199" s="222" t="str">
        <f>IFERROR(__xludf.DUMMYFUNCTION("""COMPUTED_VALUE"""),"MEDAN")</f>
        <v>MEDAN</v>
      </c>
      <c r="F1199" s="222" t="str">
        <f>IFERROR(__xludf.DUMMYFUNCTION("""COMPUTED_VALUE"""),"TTG")</f>
        <v>TTG</v>
      </c>
      <c r="G1199" s="222" t="str">
        <f>IFERROR(__xludf.DUMMYFUNCTION("""COMPUTED_VALUE"""),"SUMBAGUT")</f>
        <v>SUMBAGUT</v>
      </c>
      <c r="H1199" s="222" t="str">
        <f>IFERROR(__xludf.DUMMYFUNCTION("""COMPUTED_VALUE"""),"MEDAN")</f>
        <v>MEDAN</v>
      </c>
      <c r="I1199" s="222" t="str">
        <f>IFERROR(__xludf.DUMMYFUNCTION("""COMPUTED_VALUE"""),"Batch 2")</f>
        <v>Batch 2</v>
      </c>
      <c r="J1199" s="225">
        <f>IFERROR(__xludf.DUMMYFUNCTION("""COMPUTED_VALUE"""),3.0)</f>
        <v>3</v>
      </c>
      <c r="K1199" s="224">
        <f>IFERROR(__xludf.DUMMYFUNCTION("""COMPUTED_VALUE"""),24.0)</f>
        <v>24</v>
      </c>
      <c r="L1199" s="226">
        <f>IFERROR(__xludf.DUMMYFUNCTION("""COMPUTED_VALUE"""),1191139.0)</f>
        <v>1191139</v>
      </c>
      <c r="M1199" s="227">
        <f>IFERROR(__xludf.DUMMYFUNCTION("""COMPUTED_VALUE"""),2.8587327E7)</f>
        <v>28587327</v>
      </c>
      <c r="N1199" s="222" t="str">
        <f>IFERROR(__xludf.DUMMYFUNCTION("""COMPUTED_VALUE"""),"SWAKELOLA")</f>
        <v>SWAKELOLA</v>
      </c>
      <c r="O1199" s="222" t="str">
        <f>IFERROR(__xludf.DUMMYFUNCTION("""COMPUTED_VALUE"""),"0. DROP")</f>
        <v>0. DROP</v>
      </c>
      <c r="P1199" s="222" t="str">
        <f>IFERROR(__xludf.DUMMYFUNCTION("""COMPUTED_VALUE"""),"0.4 CPP Tinggi Acc ED TIF")</f>
        <v>0.4 CPP Tinggi Acc ED TIF</v>
      </c>
      <c r="Q1199" s="222" t="str">
        <f>IFERROR(__xludf.DUMMYFUNCTION("""COMPUTED_VALUE"""),"(07/01) Persiapan")</f>
        <v>(07/01) Persiapan</v>
      </c>
      <c r="R1199" s="228"/>
      <c r="S1199" s="11"/>
      <c r="T1199" s="11"/>
      <c r="U1199" s="11"/>
      <c r="V1199" s="229"/>
      <c r="W1199" s="229"/>
      <c r="X1199" s="229" t="str">
        <f>IFERROR(__xludf.DUMMYFUNCTION("""COMPUTED_VALUE"""),"BELUM GOLIVE")</f>
        <v>BELUM GOLIVE</v>
      </c>
      <c r="Y1199" s="229"/>
      <c r="Z1199" s="229" t="str">
        <f>IFERROR(__xludf.DUMMYFUNCTION("""COMPUTED_VALUE"""),"#N/A")</f>
        <v>#N/A</v>
      </c>
      <c r="AA1199" s="229"/>
      <c r="AB1199" s="229"/>
      <c r="AC1199" s="229"/>
      <c r="AD1199" s="232"/>
      <c r="AE1199" s="233"/>
      <c r="AF1199" s="54" t="str">
        <f>IFERROR(__xludf.DUMMYFUNCTION("""COMPUTED_VALUE"""),"Draft BA DROP")</f>
        <v>Draft BA DROP</v>
      </c>
      <c r="AG1199" s="54"/>
      <c r="AH1199" s="54"/>
      <c r="AI1199" s="55" t="str">
        <f t="shared" si="131"/>
        <v/>
      </c>
      <c r="AW1199" s="234"/>
      <c r="BP1199" s="11"/>
      <c r="BQ1199" s="11"/>
      <c r="BR1199" s="235"/>
      <c r="BV1199" s="158"/>
      <c r="BY1199" s="158"/>
      <c r="CB1199" s="158"/>
    </row>
    <row r="1200" ht="18.0" customHeight="1">
      <c r="A1200" s="222">
        <f>IFERROR(__xludf.DUMMYFUNCTION("""COMPUTED_VALUE"""),2026.0)</f>
        <v>2026</v>
      </c>
      <c r="B1200" s="221">
        <f>IFERROR(__xludf.DUMMYFUNCTION("""COMPUTED_VALUE"""),1.1552122E7)</f>
        <v>11552122</v>
      </c>
      <c r="C1200" s="222" t="str">
        <f>IFERROR(__xludf.DUMMYFUNCTION("""COMPUTED_VALUE"""),"RDR SOK PT3 P3I1 SOK DUA FC")</f>
        <v>RDR SOK PT3 P3I1 SOK DUA FC</v>
      </c>
      <c r="D1200" s="222" t="str">
        <f>IFERROR(__xludf.DUMMYFUNCTION("""COMPUTED_VALUE"""),"REGIONAL I")</f>
        <v>REGIONAL I</v>
      </c>
      <c r="E1200" s="222" t="str">
        <f>IFERROR(__xludf.DUMMYFUNCTION("""COMPUTED_VALUE"""),"RIDAR")</f>
        <v>RIDAR</v>
      </c>
      <c r="F1200" s="222" t="str">
        <f>IFERROR(__xludf.DUMMYFUNCTION("""COMPUTED_VALUE"""),"SOK")</f>
        <v>SOK</v>
      </c>
      <c r="G1200" s="222" t="str">
        <f>IFERROR(__xludf.DUMMYFUNCTION("""COMPUTED_VALUE"""),"SUMBAGTENG")</f>
        <v>SUMBAGTENG</v>
      </c>
      <c r="H1200" s="222" t="str">
        <f>IFERROR(__xludf.DUMMYFUNCTION("""COMPUTED_VALUE"""),"PEKANBARU")</f>
        <v>PEKANBARU</v>
      </c>
      <c r="I1200" s="222" t="str">
        <f>IFERROR(__xludf.DUMMYFUNCTION("""COMPUTED_VALUE"""),"Batch 2")</f>
        <v>Batch 2</v>
      </c>
      <c r="J1200" s="225">
        <f>IFERROR(__xludf.DUMMYFUNCTION("""COMPUTED_VALUE"""),11.0)</f>
        <v>11</v>
      </c>
      <c r="K1200" s="224">
        <f>IFERROR(__xludf.DUMMYFUNCTION("""COMPUTED_VALUE"""),88.0)</f>
        <v>88</v>
      </c>
      <c r="L1200" s="226">
        <f>IFERROR(__xludf.DUMMYFUNCTION("""COMPUTED_VALUE"""),1279440.0)</f>
        <v>1279440</v>
      </c>
      <c r="M1200" s="227">
        <f>IFERROR(__xludf.DUMMYFUNCTION("""COMPUTED_VALUE"""),1.12590658E8)</f>
        <v>112590658</v>
      </c>
      <c r="N1200" s="222" t="str">
        <f>IFERROR(__xludf.DUMMYFUNCTION("""COMPUTED_VALUE"""),"PT KENCANA RAYA INDONESIA")</f>
        <v>PT KENCANA RAYA INDONESIA</v>
      </c>
      <c r="O1200" s="222" t="str">
        <f>IFERROR(__xludf.DUMMYFUNCTION("""COMPUTED_VALUE"""),"7. GOLIVE")</f>
        <v>7. GOLIVE</v>
      </c>
      <c r="P1200" s="222" t="str">
        <f>IFERROR(__xludf.DUMMYFUNCTION("""COMPUTED_VALUE"""),"7.2 Golive Full / OA / DONE OTB")</f>
        <v>7.2 Golive Full / OA / DONE OTB</v>
      </c>
      <c r="Q1200" s="222" t="str">
        <f>IFERROR(__xludf.DUMMYFUNCTION("""COMPUTED_VALUE"""),"(07/01) Persiapan")</f>
        <v>(07/01) Persiapan</v>
      </c>
      <c r="R1200" s="228"/>
      <c r="S1200" s="11"/>
      <c r="T1200" s="11"/>
      <c r="U1200" s="11" t="str">
        <f>IFERROR(__xludf.DUMMYFUNCTION("""COMPUTED_VALUE"""),"W08-1413/2025")</f>
        <v>W08-1413/2025</v>
      </c>
      <c r="V1200" s="229" t="str">
        <f>IFERROR(__xludf.DUMMYFUNCTION("""COMPUTED_VALUE"""),"PIKI NOFRI SAPUTRA")</f>
        <v>PIKI NOFRI SAPUTRA</v>
      </c>
      <c r="W1200" s="229" t="str">
        <f>IFERROR(__xludf.DUMMYFUNCTION("""COMPUTED_VALUE"""),"ANZALA SAKINAH")</f>
        <v>ANZALA SAKINAH</v>
      </c>
      <c r="X1200" s="229" t="str">
        <f>IFERROR(__xludf.DUMMYFUNCTION("""COMPUTED_VALUE"""),"GOLIVE")</f>
        <v>GOLIVE</v>
      </c>
      <c r="Y1200" s="229" t="str">
        <f>IFERROR(__xludf.DUMMYFUNCTION("""COMPUTED_VALUE"""),"DONE")</f>
        <v>DONE</v>
      </c>
      <c r="Z1200" s="229" t="str">
        <f>IFERROR(__xludf.DUMMYFUNCTION("""COMPUTED_VALUE"""),"#N/A")</f>
        <v>#N/A</v>
      </c>
      <c r="AA1200" s="229">
        <f>IFERROR(__xludf.DUMMYFUNCTION("""COMPUTED_VALUE"""),11.0)</f>
        <v>11</v>
      </c>
      <c r="AB1200" s="229"/>
      <c r="AC1200" s="229" t="str">
        <f>IFERROR(__xludf.DUMMYFUNCTION("""COMPUTED_VALUE"""),"8650686#8650691")</f>
        <v>8650686#8650691</v>
      </c>
      <c r="AD1200" s="232">
        <f>IFERROR(__xludf.DUMMYFUNCTION("""COMPUTED_VALUE"""),88.0)</f>
        <v>88</v>
      </c>
      <c r="AE1200" s="233">
        <f>IFERROR(__xludf.DUMMYFUNCTION("""COMPUTED_VALUE"""),46036.0)</f>
        <v>46036</v>
      </c>
      <c r="AF1200" s="54"/>
      <c r="AG1200" s="54"/>
      <c r="AH1200" s="54"/>
      <c r="AI1200" s="55" t="str">
        <f>IF(OR(AH1200="",AE1200=""),"",AH1200-AE1200)</f>
        <v/>
      </c>
      <c r="AW1200" s="234"/>
      <c r="BP1200" s="11"/>
      <c r="BQ1200" s="11"/>
      <c r="BR1200" s="235"/>
      <c r="BV1200" s="158"/>
      <c r="BY1200" s="158"/>
      <c r="CB1200" s="158"/>
    </row>
    <row r="1201" ht="18.0" hidden="1" customHeight="1">
      <c r="A1201" s="222">
        <f>IFERROR(__xludf.DUMMYFUNCTION("""COMPUTED_VALUE"""),2026.0)</f>
        <v>2026</v>
      </c>
      <c r="B1201" s="221">
        <f>IFERROR(__xludf.DUMMYFUNCTION("""COMPUTED_VALUE"""),1.1266449E7)</f>
        <v>11266449</v>
      </c>
      <c r="C1201" s="222" t="str">
        <f>IFERROR(__xludf.DUMMYFUNCTION("""COMPUTED_VALUE"""),"ACH PT3 KGH-FB D07 BR BLUKA TEUBAI_MD")</f>
        <v>ACH PT3 KGH-FB D07 BR BLUKA TEUBAI_MD</v>
      </c>
      <c r="D1201" s="222" t="str">
        <f>IFERROR(__xludf.DUMMYFUNCTION("""COMPUTED_VALUE"""),"REGIONAL I")</f>
        <v>REGIONAL I</v>
      </c>
      <c r="E1201" s="222" t="str">
        <f>IFERROR(__xludf.DUMMYFUNCTION("""COMPUTED_VALUE"""),"ACEH")</f>
        <v>ACEH</v>
      </c>
      <c r="F1201" s="222" t="str">
        <f>IFERROR(__xludf.DUMMYFUNCTION("""COMPUTED_VALUE"""),"KGH")</f>
        <v>KGH</v>
      </c>
      <c r="G1201" s="222" t="str">
        <f>IFERROR(__xludf.DUMMYFUNCTION("""COMPUTED_VALUE"""),"SUMBAGUT")</f>
        <v>SUMBAGUT</v>
      </c>
      <c r="H1201" s="222" t="str">
        <f>IFERROR(__xludf.DUMMYFUNCTION("""COMPUTED_VALUE"""),"BINJAI")</f>
        <v>BINJAI</v>
      </c>
      <c r="I1201" s="222" t="str">
        <f>IFERROR(__xludf.DUMMYFUNCTION("""COMPUTED_VALUE"""),"Batch 2")</f>
        <v>Batch 2</v>
      </c>
      <c r="J1201" s="225">
        <f>IFERROR(__xludf.DUMMYFUNCTION("""COMPUTED_VALUE"""),12.0)</f>
        <v>12</v>
      </c>
      <c r="K1201" s="224">
        <f>IFERROR(__xludf.DUMMYFUNCTION("""COMPUTED_VALUE"""),96.0)</f>
        <v>96</v>
      </c>
      <c r="L1201" s="226">
        <f>IFERROR(__xludf.DUMMYFUNCTION("""COMPUTED_VALUE"""),833976.0)</f>
        <v>833976</v>
      </c>
      <c r="M1201" s="227">
        <f>IFERROR(__xludf.DUMMYFUNCTION("""COMPUTED_VALUE"""),8.0061672E7)</f>
        <v>80061672</v>
      </c>
      <c r="N1201" s="222" t="str">
        <f>IFERROR(__xludf.DUMMYFUNCTION("""COMPUTED_VALUE"""),"PT MITRA AKSES INSANI")</f>
        <v>PT MITRA AKSES INSANI</v>
      </c>
      <c r="O1201" s="222" t="str">
        <f>IFERROR(__xludf.DUMMYFUNCTION("""COMPUTED_VALUE"""),"0. DROP")</f>
        <v>0. DROP</v>
      </c>
      <c r="P1201" s="222" t="str">
        <f>IFERROR(__xludf.DUMMYFUNCTION("""COMPUTED_VALUE"""),"0.2 Tidak Dapat Izin Warga/Kades/Lurah/Developer")</f>
        <v>0.2 Tidak Dapat Izin Warga/Kades/Lurah/Developer</v>
      </c>
      <c r="Q1201" s="222" t="str">
        <f>IFERROR(__xludf.DUMMYFUNCTION("""COMPUTED_VALUE"""),"(10/03) Purpose Drop, Tidak mendapatkan Izin, Penarikan crossing perlintasan Rel Kereta Api(05/03) Konfirmasi status izin KAI (07/01) Persiapan")</f>
        <v>(10/03) Purpose Drop, Tidak mendapatkan Izin, Penarikan crossing perlintasan Rel Kereta Api(05/03) Konfirmasi status izin KAI (07/01) Persiapan</v>
      </c>
      <c r="R1201" s="228"/>
      <c r="S1201" s="11"/>
      <c r="T1201" s="73"/>
      <c r="U1201" s="11"/>
      <c r="V1201" s="229" t="str">
        <f>IFERROR(__xludf.DUMMYFUNCTION("""COMPUTED_VALUE"""),"27/Apr/2026")</f>
        <v>27/Apr/2026</v>
      </c>
      <c r="W1201" s="229"/>
      <c r="X1201" s="229" t="str">
        <f>IFERROR(__xludf.DUMMYFUNCTION("""COMPUTED_VALUE"""),"BELUM GOLIVE")</f>
        <v>BELUM GOLIVE</v>
      </c>
      <c r="Y1201" s="229"/>
      <c r="Z1201" s="229" t="str">
        <f>IFERROR(__xludf.DUMMYFUNCTION("""COMPUTED_VALUE"""),"#N/A")</f>
        <v>#N/A</v>
      </c>
      <c r="AA1201" s="229"/>
      <c r="AB1201" s="229"/>
      <c r="AC1201" s="229"/>
      <c r="AD1201" s="232"/>
      <c r="AE1201" s="233"/>
      <c r="AF1201" s="54"/>
      <c r="AG1201" s="54"/>
      <c r="AH1201" s="54"/>
      <c r="AI1201" s="55" t="str">
        <f t="shared" ref="AI1201:AI1239" si="132">IF(OR(R1201="",AE1201=""),"",R1201-AE1201)</f>
        <v/>
      </c>
      <c r="AW1201" s="234"/>
      <c r="BP1201" s="11"/>
      <c r="BQ1201" s="11"/>
      <c r="BR1201" s="235"/>
      <c r="BV1201" s="158"/>
      <c r="BY1201" s="158"/>
      <c r="CB1201" s="158"/>
    </row>
    <row r="1202" ht="18.0" hidden="1" customHeight="1">
      <c r="A1202" s="222">
        <f>IFERROR(__xludf.DUMMYFUNCTION("""COMPUTED_VALUE"""),2026.0)</f>
        <v>2026</v>
      </c>
      <c r="B1202" s="221">
        <f>IFERROR(__xludf.DUMMYFUNCTION("""COMPUTED_VALUE"""),1.121943E7)</f>
        <v>11219430</v>
      </c>
      <c r="C1202" s="222" t="str">
        <f>IFERROR(__xludf.DUMMYFUNCTION("""COMPUTED_VALUE"""),"MDN PT3 P7I12 PUB-FF JL.MASJID ULAYAT")</f>
        <v>MDN PT3 P7I12 PUB-FF JL.MASJID ULAYAT</v>
      </c>
      <c r="D1202" s="222" t="str">
        <f>IFERROR(__xludf.DUMMYFUNCTION("""COMPUTED_VALUE"""),"REGIONAL I")</f>
        <v>REGIONAL I</v>
      </c>
      <c r="E1202" s="222" t="str">
        <f>IFERROR(__xludf.DUMMYFUNCTION("""COMPUTED_VALUE"""),"MEDAN")</f>
        <v>MEDAN</v>
      </c>
      <c r="F1202" s="222" t="str">
        <f>IFERROR(__xludf.DUMMYFUNCTION("""COMPUTED_VALUE"""),"PUB")</f>
        <v>PUB</v>
      </c>
      <c r="G1202" s="222" t="str">
        <f>IFERROR(__xludf.DUMMYFUNCTION("""COMPUTED_VALUE"""),"SUMBAGUT")</f>
        <v>SUMBAGUT</v>
      </c>
      <c r="H1202" s="222" t="str">
        <f>IFERROR(__xludf.DUMMYFUNCTION("""COMPUTED_VALUE"""),"MEDAN")</f>
        <v>MEDAN</v>
      </c>
      <c r="I1202" s="222" t="str">
        <f>IFERROR(__xludf.DUMMYFUNCTION("""COMPUTED_VALUE"""),"Batch 2")</f>
        <v>Batch 2</v>
      </c>
      <c r="J1202" s="225">
        <f>IFERROR(__xludf.DUMMYFUNCTION("""COMPUTED_VALUE"""),3.0)</f>
        <v>3</v>
      </c>
      <c r="K1202" s="224">
        <f>IFERROR(__xludf.DUMMYFUNCTION("""COMPUTED_VALUE"""),24.0)</f>
        <v>24</v>
      </c>
      <c r="L1202" s="226">
        <f>IFERROR(__xludf.DUMMYFUNCTION("""COMPUTED_VALUE"""),1374241.0)</f>
        <v>1374241</v>
      </c>
      <c r="M1202" s="227">
        <f>IFERROR(__xludf.DUMMYFUNCTION("""COMPUTED_VALUE"""),3.2981773E7)</f>
        <v>32981773</v>
      </c>
      <c r="N1202" s="222" t="str">
        <f>IFERROR(__xludf.DUMMYFUNCTION("""COMPUTED_VALUE"""),"PT BENWA  MITRA PRATAMA")</f>
        <v>PT BENWA  MITRA PRATAMA</v>
      </c>
      <c r="O1202" s="222" t="str">
        <f>IFERROR(__xludf.DUMMYFUNCTION("""COMPUTED_VALUE"""),"0. DROP")</f>
        <v>0. DROP</v>
      </c>
      <c r="P1202" s="222" t="str">
        <f>IFERROR(__xludf.DUMMYFUNCTION("""COMPUTED_VALUE"""),"0.4 CPP Tinggi Acc ED TIF")</f>
        <v>0.4 CPP Tinggi Acc ED TIF</v>
      </c>
      <c r="Q1202" s="222" t="str">
        <f>IFERROR(__xludf.DUMMYFUNCTION("""COMPUTED_VALUE"""),"(25/09) Feeder Tidak Tembus PUB-FF
(24/09) Perizinan Warga dan Kades / Lurah
(23/09) Perizinan Warga dan Kades / Lurah
15/09 proses aanwijzing")</f>
        <v>(25/09) Feeder Tidak Tembus PUB-FF
(24/09) Perizinan Warga dan Kades / Lurah
(23/09) Perizinan Warga dan Kades / Lurah
15/09 proses aanwijzing</v>
      </c>
      <c r="R1202" s="228"/>
      <c r="S1202" s="11"/>
      <c r="T1202" s="11"/>
      <c r="U1202" s="11"/>
      <c r="V1202" s="229"/>
      <c r="W1202" s="229"/>
      <c r="X1202" s="229" t="str">
        <f>IFERROR(__xludf.DUMMYFUNCTION("""COMPUTED_VALUE"""),"BELUM GOLIVE")</f>
        <v>BELUM GOLIVE</v>
      </c>
      <c r="Y1202" s="229"/>
      <c r="Z1202" s="229" t="str">
        <f>IFERROR(__xludf.DUMMYFUNCTION("""COMPUTED_VALUE"""),"#N/A")</f>
        <v>#N/A</v>
      </c>
      <c r="AA1202" s="229"/>
      <c r="AB1202" s="229"/>
      <c r="AC1202" s="229"/>
      <c r="AD1202" s="232"/>
      <c r="AE1202" s="233"/>
      <c r="AF1202" s="54" t="str">
        <f>IFERROR(__xludf.DUMMYFUNCTION("""COMPUTED_VALUE"""),"Draft BA DROP")</f>
        <v>Draft BA DROP</v>
      </c>
      <c r="AG1202" s="54"/>
      <c r="AH1202" s="54"/>
      <c r="AI1202" s="55" t="str">
        <f t="shared" si="132"/>
        <v/>
      </c>
      <c r="AW1202" s="234"/>
      <c r="BP1202" s="11"/>
      <c r="BQ1202" s="11"/>
      <c r="BR1202" s="235"/>
      <c r="BV1202" s="158"/>
      <c r="BY1202" s="158"/>
      <c r="CB1202" s="158"/>
    </row>
    <row r="1203" ht="18.0" hidden="1" customHeight="1">
      <c r="A1203" s="222">
        <f>IFERROR(__xludf.DUMMYFUNCTION("""COMPUTED_VALUE"""),2026.0)</f>
        <v>2026</v>
      </c>
      <c r="B1203" s="221">
        <f>IFERROR(__xludf.DUMMYFUNCTION("""COMPUTED_VALUE"""),1.1197193E7)</f>
        <v>11197193</v>
      </c>
      <c r="C1203" s="222" t="str">
        <f>IFERROR(__xludf.DUMMYFUNCTION("""COMPUTED_VALUE"""),"MDN PT3 TMU-FV GG.MAWAR 38")</f>
        <v>MDN PT3 TMU-FV GG.MAWAR 38</v>
      </c>
      <c r="D1203" s="222" t="str">
        <f>IFERROR(__xludf.DUMMYFUNCTION("""COMPUTED_VALUE"""),"REGIONAL I")</f>
        <v>REGIONAL I</v>
      </c>
      <c r="E1203" s="222" t="str">
        <f>IFERROR(__xludf.DUMMYFUNCTION("""COMPUTED_VALUE"""),"MEDAN")</f>
        <v>MEDAN</v>
      </c>
      <c r="F1203" s="222" t="str">
        <f>IFERROR(__xludf.DUMMYFUNCTION("""COMPUTED_VALUE"""),"TMU")</f>
        <v>TMU</v>
      </c>
      <c r="G1203" s="222" t="str">
        <f>IFERROR(__xludf.DUMMYFUNCTION("""COMPUTED_VALUE"""),"SUMBAGUT")</f>
        <v>SUMBAGUT</v>
      </c>
      <c r="H1203" s="222" t="str">
        <f>IFERROR(__xludf.DUMMYFUNCTION("""COMPUTED_VALUE"""),"MEDAN")</f>
        <v>MEDAN</v>
      </c>
      <c r="I1203" s="222" t="str">
        <f>IFERROR(__xludf.DUMMYFUNCTION("""COMPUTED_VALUE"""),"Batch 2")</f>
        <v>Batch 2</v>
      </c>
      <c r="J1203" s="225">
        <f>IFERROR(__xludf.DUMMYFUNCTION("""COMPUTED_VALUE"""),1.0)</f>
        <v>1</v>
      </c>
      <c r="K1203" s="224">
        <f>IFERROR(__xludf.DUMMYFUNCTION("""COMPUTED_VALUE"""),8.0)</f>
        <v>8</v>
      </c>
      <c r="L1203" s="226">
        <f>IFERROR(__xludf.DUMMYFUNCTION("""COMPUTED_VALUE"""),1409561.0)</f>
        <v>1409561</v>
      </c>
      <c r="M1203" s="227">
        <f>IFERROR(__xludf.DUMMYFUNCTION("""COMPUTED_VALUE"""),1.1276481E7)</f>
        <v>11276481</v>
      </c>
      <c r="N1203" s="222" t="str">
        <f>IFERROR(__xludf.DUMMYFUNCTION("""COMPUTED_VALUE"""),"PT GLOBAL KARYA WANDA")</f>
        <v>PT GLOBAL KARYA WANDA</v>
      </c>
      <c r="O1203" s="222" t="str">
        <f>IFERROR(__xludf.DUMMYFUNCTION("""COMPUTED_VALUE"""),"0. DROP")</f>
        <v>0. DROP</v>
      </c>
      <c r="P1203" s="222" t="str">
        <f>IFERROR(__xludf.DUMMYFUNCTION("""COMPUTED_VALUE"""),"0.4 CPP Tinggi Acc ED TIF")</f>
        <v>0.4 CPP Tinggi Acc ED TIF</v>
      </c>
      <c r="Q1203"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1203" s="228"/>
      <c r="S1203" s="11"/>
      <c r="T1203" s="11"/>
      <c r="U1203" s="11"/>
      <c r="V1203" s="229"/>
      <c r="W1203" s="229"/>
      <c r="X1203" s="229" t="str">
        <f>IFERROR(__xludf.DUMMYFUNCTION("""COMPUTED_VALUE"""),"BELUM GOLIVE")</f>
        <v>BELUM GOLIVE</v>
      </c>
      <c r="Y1203" s="229"/>
      <c r="Z1203" s="229" t="str">
        <f>IFERROR(__xludf.DUMMYFUNCTION("""COMPUTED_VALUE"""),"#N/A")</f>
        <v>#N/A</v>
      </c>
      <c r="AA1203" s="229"/>
      <c r="AB1203" s="229"/>
      <c r="AC1203" s="229"/>
      <c r="AD1203" s="232"/>
      <c r="AE1203" s="233"/>
      <c r="AF1203" s="54" t="str">
        <f>IFERROR(__xludf.DUMMYFUNCTION("""COMPUTED_VALUE"""),"Draft BA DROP")</f>
        <v>Draft BA DROP</v>
      </c>
      <c r="AG1203" s="54"/>
      <c r="AH1203" s="54"/>
      <c r="AI1203" s="55" t="str">
        <f t="shared" si="132"/>
        <v/>
      </c>
      <c r="AW1203" s="234"/>
      <c r="BP1203" s="11"/>
      <c r="BQ1203" s="11"/>
      <c r="BR1203" s="235"/>
      <c r="BV1203" s="158"/>
      <c r="BY1203" s="158"/>
      <c r="CB1203" s="158"/>
    </row>
    <row r="1204" ht="18.0" customHeight="1">
      <c r="A1204" s="222">
        <f>IFERROR(__xludf.DUMMYFUNCTION("""COMPUTED_VALUE"""),2026.0)</f>
        <v>2026</v>
      </c>
      <c r="B1204" s="221">
        <f>IFERROR(__xludf.DUMMYFUNCTION("""COMPUTED_VALUE"""),1.1115361E7)</f>
        <v>11115361</v>
      </c>
      <c r="C1204" s="222" t="str">
        <f>IFERROR(__xludf.DUMMYFUNCTION("""COMPUTED_VALUE"""),"SMB P7I11 Ktr Walinagari Sungai Cubadak")</f>
        <v>SMB P7I11 Ktr Walinagari Sungai Cubadak</v>
      </c>
      <c r="D1204" s="222" t="str">
        <f>IFERROR(__xludf.DUMMYFUNCTION("""COMPUTED_VALUE"""),"REGIONAL I")</f>
        <v>REGIONAL I</v>
      </c>
      <c r="E1204" s="222" t="str">
        <f>IFERROR(__xludf.DUMMYFUNCTION("""COMPUTED_VALUE"""),"SUMBAR")</f>
        <v>SUMBAR</v>
      </c>
      <c r="F1204" s="222" t="str">
        <f>IFERROR(__xludf.DUMMYFUNCTION("""COMPUTED_VALUE"""),"BSO")</f>
        <v>BSO</v>
      </c>
      <c r="G1204" s="222" t="str">
        <f>IFERROR(__xludf.DUMMYFUNCTION("""COMPUTED_VALUE"""),"SUMBAGTENG")</f>
        <v>SUMBAGTENG</v>
      </c>
      <c r="H1204" s="222" t="str">
        <f>IFERROR(__xludf.DUMMYFUNCTION("""COMPUTED_VALUE"""),"BUKIT TINGGI")</f>
        <v>BUKIT TINGGI</v>
      </c>
      <c r="I1204" s="222" t="str">
        <f>IFERROR(__xludf.DUMMYFUNCTION("""COMPUTED_VALUE"""),"Batch 2")</f>
        <v>Batch 2</v>
      </c>
      <c r="J1204" s="225">
        <f>IFERROR(__xludf.DUMMYFUNCTION("""COMPUTED_VALUE"""),3.0)</f>
        <v>3</v>
      </c>
      <c r="K1204" s="224">
        <f>IFERROR(__xludf.DUMMYFUNCTION("""COMPUTED_VALUE"""),24.0)</f>
        <v>24</v>
      </c>
      <c r="L1204" s="226">
        <f>IFERROR(__xludf.DUMMYFUNCTION("""COMPUTED_VALUE"""),1280090.0)</f>
        <v>1280090</v>
      </c>
      <c r="M1204" s="227">
        <f>IFERROR(__xludf.DUMMYFUNCTION("""COMPUTED_VALUE"""),3.0722138E7)</f>
        <v>30722138</v>
      </c>
      <c r="N1204" s="222" t="str">
        <f>IFERROR(__xludf.DUMMYFUNCTION("""COMPUTED_VALUE"""),"PT GARINDO TECHNO MANDIRI")</f>
        <v>PT GARINDO TECHNO MANDIRI</v>
      </c>
      <c r="O1204" s="222" t="str">
        <f>IFERROR(__xludf.DUMMYFUNCTION("""COMPUTED_VALUE"""),"0. DROP")</f>
        <v>0. DROP</v>
      </c>
      <c r="P1204" s="222" t="str">
        <f>IFERROR(__xludf.DUMMYFUNCTION("""COMPUTED_VALUE"""),"0.2 Tidak Dapat Izin Warga/Kades/Lurah/Developer")</f>
        <v>0.2 Tidak Dapat Izin Warga/Kades/Lurah/Developer</v>
      </c>
      <c r="Q1204" s="222" t="str">
        <f>IFERROR(__xludf.DUMMYFUNCTION("""COMPUTED_VALUE""")," KENDALA PERIZINAN RT RW 
(07/01) Persiapan")</f>
        <v> KENDALA PERIZINAN RT RW 
(07/01) Persiapan</v>
      </c>
      <c r="R1204" s="228"/>
      <c r="S1204" s="11"/>
      <c r="T1204" s="11"/>
      <c r="U1204" s="11"/>
      <c r="V1204" s="229"/>
      <c r="W1204" s="229"/>
      <c r="X1204" s="229" t="str">
        <f>IFERROR(__xludf.DUMMYFUNCTION("""COMPUTED_VALUE"""),"BELUM GOLIVE")</f>
        <v>BELUM GOLIVE</v>
      </c>
      <c r="Y1204" s="229"/>
      <c r="Z1204" s="229" t="str">
        <f>IFERROR(__xludf.DUMMYFUNCTION("""COMPUTED_VALUE"""),"#N/A")</f>
        <v>#N/A</v>
      </c>
      <c r="AA1204" s="229"/>
      <c r="AB1204" s="229"/>
      <c r="AC1204" s="229"/>
      <c r="AD1204" s="232"/>
      <c r="AE1204" s="233"/>
      <c r="AF1204" s="54" t="str">
        <f>IFERROR(__xludf.DUMMYFUNCTION("""COMPUTED_VALUE"""),"Draft BA DROP")</f>
        <v>Draft BA DROP</v>
      </c>
      <c r="AG1204" s="54"/>
      <c r="AH1204" s="54"/>
      <c r="AI1204" s="55" t="str">
        <f t="shared" si="132"/>
        <v/>
      </c>
      <c r="AW1204" s="234"/>
      <c r="BP1204" s="11"/>
      <c r="BQ1204" s="11"/>
      <c r="BR1204" s="235"/>
      <c r="BV1204" s="158"/>
      <c r="BY1204" s="158"/>
      <c r="CB1204" s="158"/>
    </row>
    <row r="1205" ht="18.0" hidden="1" customHeight="1">
      <c r="A1205" s="222">
        <f>IFERROR(__xludf.DUMMYFUNCTION("""COMPUTED_VALUE"""),2026.0)</f>
        <v>2026</v>
      </c>
      <c r="B1205" s="221">
        <f>IFERROR(__xludf.DUMMYFUNCTION("""COMPUTED_VALUE"""),1.1425759E7)</f>
        <v>11425759</v>
      </c>
      <c r="C1205" s="222" t="str">
        <f>IFERROR(__xludf.DUMMYFUNCTION("""COMPUTED_VALUE"""),"BNK-PT3-BRC-BNC-JPPTSEL- LAGAN")</f>
        <v>BNK-PT3-BRC-BNC-JPPTSEL- LAGAN</v>
      </c>
      <c r="D1205" s="222" t="str">
        <f>IFERROR(__xludf.DUMMYFUNCTION("""COMPUTED_VALUE"""),"REGIONAL I")</f>
        <v>REGIONAL I</v>
      </c>
      <c r="E1205" s="222" t="str">
        <f>IFERROR(__xludf.DUMMYFUNCTION("""COMPUTED_VALUE"""),"BENGKULU")</f>
        <v>BENGKULU</v>
      </c>
      <c r="F1205" s="222" t="str">
        <f>IFERROR(__xludf.DUMMYFUNCTION("""COMPUTED_VALUE"""),"BNC")</f>
        <v>BNC</v>
      </c>
      <c r="G1205" s="222" t="str">
        <f>IFERROR(__xludf.DUMMYFUNCTION("""COMPUTED_VALUE"""),"SUMBAGSEL")</f>
        <v>SUMBAGSEL</v>
      </c>
      <c r="H1205" s="222" t="str">
        <f>IFERROR(__xludf.DUMMYFUNCTION("""COMPUTED_VALUE"""),"BENGKULU")</f>
        <v>BENGKULU</v>
      </c>
      <c r="I1205" s="222" t="str">
        <f>IFERROR(__xludf.DUMMYFUNCTION("""COMPUTED_VALUE"""),"Batch 2")</f>
        <v>Batch 2</v>
      </c>
      <c r="J1205" s="225">
        <f>IFERROR(__xludf.DUMMYFUNCTION("""COMPUTED_VALUE"""),9.0)</f>
        <v>9</v>
      </c>
      <c r="K1205" s="224">
        <f>IFERROR(__xludf.DUMMYFUNCTION("""COMPUTED_VALUE"""),72.0)</f>
        <v>72</v>
      </c>
      <c r="L1205" s="226">
        <f>IFERROR(__xludf.DUMMYFUNCTION("""COMPUTED_VALUE"""),832881.0)</f>
        <v>832881</v>
      </c>
      <c r="M1205" s="227">
        <f>IFERROR(__xludf.DUMMYFUNCTION("""COMPUTED_VALUE"""),5.996741E7)</f>
        <v>59967410</v>
      </c>
      <c r="N1205" s="222" t="str">
        <f>IFERROR(__xludf.DUMMYFUNCTION("""COMPUTED_VALUE"""),"PT Raharja Prakarsa Nusantara")</f>
        <v>PT Raharja Prakarsa Nusantara</v>
      </c>
      <c r="O1205" s="222" t="str">
        <f>IFERROR(__xludf.DUMMYFUNCTION("""COMPUTED_VALUE"""),"0. DROP")</f>
        <v>0. DROP</v>
      </c>
      <c r="P1205" s="222" t="str">
        <f>IFERROR(__xludf.DUMMYFUNCTION("""COMPUTED_VALUE"""),"0.3 Feeder Full")</f>
        <v>0.3 Feeder Full</v>
      </c>
      <c r="Q1205" s="222" t="str">
        <f>IFERROR(__xludf.DUMMYFUNCTION("""COMPUTED_VALUE"""),"02/03: kendala fedeer full ,Proses mapping mitra (07/01) Persiapan")</f>
        <v>02/03: kendala fedeer full ,Proses mapping mitra (07/01) Persiapan</v>
      </c>
      <c r="R1205" s="228"/>
      <c r="S1205" s="11"/>
      <c r="T1205" s="11"/>
      <c r="U1205" s="11"/>
      <c r="V1205" s="229"/>
      <c r="W1205" s="229"/>
      <c r="X1205" s="229" t="str">
        <f>IFERROR(__xludf.DUMMYFUNCTION("""COMPUTED_VALUE"""),"BELUM GOLIVE")</f>
        <v>BELUM GOLIVE</v>
      </c>
      <c r="Y1205" s="229"/>
      <c r="Z1205" s="229" t="str">
        <f>IFERROR(__xludf.DUMMYFUNCTION("""COMPUTED_VALUE"""),"#N/A")</f>
        <v>#N/A</v>
      </c>
      <c r="AA1205" s="229"/>
      <c r="AB1205" s="229"/>
      <c r="AC1205" s="229"/>
      <c r="AD1205" s="232"/>
      <c r="AE1205" s="233"/>
      <c r="AF1205" s="54" t="str">
        <f>IFERROR(__xludf.DUMMYFUNCTION("""COMPUTED_VALUE"""),"Draft BA DROP")</f>
        <v>Draft BA DROP</v>
      </c>
      <c r="AG1205" s="54"/>
      <c r="AH1205" s="54"/>
      <c r="AI1205" s="55" t="str">
        <f t="shared" si="132"/>
        <v/>
      </c>
      <c r="AW1205" s="234"/>
      <c r="BP1205" s="11"/>
      <c r="BQ1205" s="11"/>
      <c r="BR1205" s="235"/>
      <c r="BV1205" s="158"/>
      <c r="BY1205" s="158"/>
      <c r="CB1205" s="158"/>
    </row>
    <row r="1206" ht="18.0" customHeight="1">
      <c r="A1206" s="222">
        <f>IFERROR(__xludf.DUMMYFUNCTION("""COMPUTED_VALUE"""),2026.0)</f>
        <v>2026</v>
      </c>
      <c r="B1206" s="221">
        <f>IFERROR(__xludf.DUMMYFUNCTION("""COMPUTED_VALUE"""),1.1016757E7)</f>
        <v>11016757</v>
      </c>
      <c r="C1206" s="222" t="str">
        <f>IFERROR(__xludf.DUMMYFUNCTION("""COMPUTED_VALUE"""),"SMB P7I5 STTF PT3 Batipuah Panjang Koto Tangah")</f>
        <v>SMB P7I5 STTF PT3 Batipuah Panjang Koto Tangah</v>
      </c>
      <c r="D1206" s="222" t="str">
        <f>IFERROR(__xludf.DUMMYFUNCTION("""COMPUTED_VALUE"""),"REGIONAL I")</f>
        <v>REGIONAL I</v>
      </c>
      <c r="E1206" s="222" t="str">
        <f>IFERROR(__xludf.DUMMYFUNCTION("""COMPUTED_VALUE"""),"SUMBAR")</f>
        <v>SUMBAR</v>
      </c>
      <c r="F1206" s="222" t="str">
        <f>IFERROR(__xludf.DUMMYFUNCTION("""COMPUTED_VALUE"""),"LBY")</f>
        <v>LBY</v>
      </c>
      <c r="G1206" s="222" t="str">
        <f>IFERROR(__xludf.DUMMYFUNCTION("""COMPUTED_VALUE"""),"SUMBAGTENG")</f>
        <v>SUMBAGTENG</v>
      </c>
      <c r="H1206" s="222" t="str">
        <f>IFERROR(__xludf.DUMMYFUNCTION("""COMPUTED_VALUE"""),"PADANG")</f>
        <v>PADANG</v>
      </c>
      <c r="I1206" s="222" t="str">
        <f>IFERROR(__xludf.DUMMYFUNCTION("""COMPUTED_VALUE"""),"Batch 2")</f>
        <v>Batch 2</v>
      </c>
      <c r="J1206" s="225">
        <f>IFERROR(__xludf.DUMMYFUNCTION("""COMPUTED_VALUE"""),3.0)</f>
        <v>3</v>
      </c>
      <c r="K1206" s="224">
        <f>IFERROR(__xludf.DUMMYFUNCTION("""COMPUTED_VALUE"""),24.0)</f>
        <v>24</v>
      </c>
      <c r="L1206" s="226">
        <f>IFERROR(__xludf.DUMMYFUNCTION("""COMPUTED_VALUE"""),832363.0)</f>
        <v>832363</v>
      </c>
      <c r="M1206" s="227">
        <f>IFERROR(__xludf.DUMMYFUNCTION("""COMPUTED_VALUE"""),1.9976707E7)</f>
        <v>19976707</v>
      </c>
      <c r="N1206" s="222" t="str">
        <f>IFERROR(__xludf.DUMMYFUNCTION("""COMPUTED_VALUE"""),"PT TRI LESMA INDONESIA")</f>
        <v>PT TRI LESMA INDONESIA</v>
      </c>
      <c r="O1206" s="222" t="str">
        <f>IFERROR(__xludf.DUMMYFUNCTION("""COMPUTED_VALUE"""),"0. DROP")</f>
        <v>0. DROP</v>
      </c>
      <c r="P1206" s="222" t="str">
        <f>IFERROR(__xludf.DUMMYFUNCTION("""COMPUTED_VALUE"""),"0.3 Feeder Full")</f>
        <v>0.3 Feeder Full</v>
      </c>
      <c r="Q1206" s="222" t="str">
        <f>IFERROR(__xludf.DUMMYFUNCTION("""COMPUTED_VALUE"""),"(07/01) kendala feeder LBY-FH full")</f>
        <v>(07/01) kendala feeder LBY-FH full</v>
      </c>
      <c r="R1206" s="228"/>
      <c r="S1206" s="11"/>
      <c r="T1206" s="11"/>
      <c r="U1206" s="11"/>
      <c r="V1206" s="229"/>
      <c r="W1206" s="229"/>
      <c r="X1206" s="229" t="str">
        <f>IFERROR(__xludf.DUMMYFUNCTION("""COMPUTED_VALUE"""),"BELUM GOLIVE")</f>
        <v>BELUM GOLIVE</v>
      </c>
      <c r="Y1206" s="229"/>
      <c r="Z1206" s="229" t="str">
        <f>IFERROR(__xludf.DUMMYFUNCTION("""COMPUTED_VALUE"""),"#N/A")</f>
        <v>#N/A</v>
      </c>
      <c r="AA1206" s="229"/>
      <c r="AB1206" s="229"/>
      <c r="AC1206" s="229"/>
      <c r="AD1206" s="232"/>
      <c r="AE1206" s="233"/>
      <c r="AF1206" s="54" t="str">
        <f>IFERROR(__xludf.DUMMYFUNCTION("""COMPUTED_VALUE"""),"Draft BA DROP")</f>
        <v>Draft BA DROP</v>
      </c>
      <c r="AG1206" s="54"/>
      <c r="AH1206" s="54"/>
      <c r="AI1206" s="55" t="str">
        <f t="shared" si="132"/>
        <v/>
      </c>
      <c r="AW1206" s="234"/>
      <c r="BP1206" s="11"/>
      <c r="BQ1206" s="11"/>
      <c r="BR1206" s="235"/>
      <c r="BV1206" s="158"/>
      <c r="BY1206" s="158"/>
      <c r="CB1206" s="158"/>
    </row>
    <row r="1207" ht="18.0" hidden="1" customHeight="1">
      <c r="A1207" s="222">
        <f>IFERROR(__xludf.DUMMYFUNCTION("""COMPUTED_VALUE"""),2026.0)</f>
        <v>2026</v>
      </c>
      <c r="B1207" s="221">
        <f>IFERROR(__xludf.DUMMYFUNCTION("""COMPUTED_VALUE"""),1.1533071E7)</f>
        <v>11533071</v>
      </c>
      <c r="C1207" s="222" t="str">
        <f>IFERROR(__xludf.DUMMYFUNCTION("""COMPUTED_VALUE"""),"MDN PT3 BJI-FRC ROYALE MUTIARA")</f>
        <v>MDN PT3 BJI-FRC ROYALE MUTIARA</v>
      </c>
      <c r="D1207" s="222" t="str">
        <f>IFERROR(__xludf.DUMMYFUNCTION("""COMPUTED_VALUE"""),"REGIONAL I")</f>
        <v>REGIONAL I</v>
      </c>
      <c r="E1207" s="222" t="str">
        <f>IFERROR(__xludf.DUMMYFUNCTION("""COMPUTED_VALUE"""),"MEDAN")</f>
        <v>MEDAN</v>
      </c>
      <c r="F1207" s="222" t="str">
        <f>IFERROR(__xludf.DUMMYFUNCTION("""COMPUTED_VALUE"""),"BJI")</f>
        <v>BJI</v>
      </c>
      <c r="G1207" s="222" t="str">
        <f>IFERROR(__xludf.DUMMYFUNCTION("""COMPUTED_VALUE"""),"SUMBAGUT")</f>
        <v>SUMBAGUT</v>
      </c>
      <c r="H1207" s="222" t="str">
        <f>IFERROR(__xludf.DUMMYFUNCTION("""COMPUTED_VALUE"""),"BINJAI")</f>
        <v>BINJAI</v>
      </c>
      <c r="I1207" s="222" t="str">
        <f>IFERROR(__xludf.DUMMYFUNCTION("""COMPUTED_VALUE"""),"Batch 2")</f>
        <v>Batch 2</v>
      </c>
      <c r="J1207" s="225">
        <f>IFERROR(__xludf.DUMMYFUNCTION("""COMPUTED_VALUE"""),13.0)</f>
        <v>13</v>
      </c>
      <c r="K1207" s="224">
        <f>IFERROR(__xludf.DUMMYFUNCTION("""COMPUTED_VALUE"""),104.0)</f>
        <v>104</v>
      </c>
      <c r="L1207" s="226">
        <f>IFERROR(__xludf.DUMMYFUNCTION("""COMPUTED_VALUE"""),1037616.0)</f>
        <v>1037616</v>
      </c>
      <c r="M1207" s="227">
        <f>IFERROR(__xludf.DUMMYFUNCTION("""COMPUTED_VALUE"""),1.07911975E8)</f>
        <v>107911975</v>
      </c>
      <c r="N1207" s="222" t="str">
        <f>IFERROR(__xludf.DUMMYFUNCTION("""COMPUTED_VALUE"""),"PT KENCANA RAYA INDONESIA")</f>
        <v>PT KENCANA RAYA INDONESIA</v>
      </c>
      <c r="O1207" s="222" t="str">
        <f>IFERROR(__xludf.DUMMYFUNCTION("""COMPUTED_VALUE"""),"0. DROP")</f>
        <v>0. DROP</v>
      </c>
      <c r="P1207" s="222" t="str">
        <f>IFERROR(__xludf.DUMMYFUNCTION("""COMPUTED_VALUE"""),"0.2 Tidak Dapat Izin Warga/Kades/Lurah/Developer")</f>
        <v>0.2 Tidak Dapat Izin Warga/Kades/Lurah/Developer</v>
      </c>
      <c r="Q1207" s="222" t="str">
        <f>IFERROR(__xludf.DUMMYFUNCTION("""COMPUTED_VALUE"""),"20/04 tidak dapat izin
27/03 feeder dist ready
(08/01) kendala feeder penuh.  KENDALA FEEDER BGS-FC FULL, BUTUH NEW FEEDER (07/01) Persiapan")</f>
        <v>20/04 tidak dapat izin
27/03 feeder dist ready
(08/01) kendala feeder penuh.  KENDALA FEEDER BGS-FC FULL, BUTUH NEW FEEDER (07/01) Persiapan</v>
      </c>
      <c r="R1207" s="228"/>
      <c r="S1207" s="11"/>
      <c r="T1207" s="11"/>
      <c r="U1207" s="11"/>
      <c r="V1207" s="229"/>
      <c r="W1207" s="229"/>
      <c r="X1207" s="229" t="str">
        <f>IFERROR(__xludf.DUMMYFUNCTION("""COMPUTED_VALUE"""),"BELUM GOLIVE")</f>
        <v>BELUM GOLIVE</v>
      </c>
      <c r="Y1207" s="229"/>
      <c r="Z1207" s="229" t="str">
        <f>IFERROR(__xludf.DUMMYFUNCTION("""COMPUTED_VALUE"""),"#N/A")</f>
        <v>#N/A</v>
      </c>
      <c r="AA1207" s="229"/>
      <c r="AB1207" s="229"/>
      <c r="AC1207" s="229"/>
      <c r="AD1207" s="232"/>
      <c r="AE1207" s="233"/>
      <c r="AF1207" s="54"/>
      <c r="AG1207" s="54"/>
      <c r="AH1207" s="54"/>
      <c r="AI1207" s="55" t="str">
        <f t="shared" si="132"/>
        <v/>
      </c>
      <c r="AW1207" s="234"/>
      <c r="BP1207" s="11"/>
      <c r="BQ1207" s="11"/>
      <c r="BR1207" s="235"/>
      <c r="BV1207" s="158"/>
      <c r="BY1207" s="158"/>
      <c r="CB1207" s="158"/>
    </row>
    <row r="1208" ht="18.0" customHeight="1">
      <c r="A1208" s="222">
        <f>IFERROR(__xludf.DUMMYFUNCTION("""COMPUTED_VALUE"""),2026.0)</f>
        <v>2026</v>
      </c>
      <c r="B1208" s="221">
        <f>IFERROR(__xludf.DUMMYFUNCTION("""COMPUTED_VALUE"""),1.1481643E7)</f>
        <v>11481643</v>
      </c>
      <c r="C1208" s="222" t="str">
        <f>IFERROR(__xludf.DUMMYFUNCTION("""COMPUTED_VALUE"""),"SMB MD-SINDI PERMATASARI-WELDA SARI-JONI")</f>
        <v>SMB MD-SINDI PERMATASARI-WELDA SARI-JONI</v>
      </c>
      <c r="D1208" s="222" t="str">
        <f>IFERROR(__xludf.DUMMYFUNCTION("""COMPUTED_VALUE"""),"REGIONAL I")</f>
        <v>REGIONAL I</v>
      </c>
      <c r="E1208" s="222" t="str">
        <f>IFERROR(__xludf.DUMMYFUNCTION("""COMPUTED_VALUE"""),"SUMBAR")</f>
        <v>SUMBAR</v>
      </c>
      <c r="F1208" s="222" t="str">
        <f>IFERROR(__xludf.DUMMYFUNCTION("""COMPUTED_VALUE"""),"TRS")</f>
        <v>TRS</v>
      </c>
      <c r="G1208" s="222" t="str">
        <f>IFERROR(__xludf.DUMMYFUNCTION("""COMPUTED_VALUE"""),"SUMBAGTENG")</f>
        <v>SUMBAGTENG</v>
      </c>
      <c r="H1208" s="222" t="str">
        <f>IFERROR(__xludf.DUMMYFUNCTION("""COMPUTED_VALUE"""),"PADANG")</f>
        <v>PADANG</v>
      </c>
      <c r="I1208" s="222" t="str">
        <f>IFERROR(__xludf.DUMMYFUNCTION("""COMPUTED_VALUE"""),"Batch 2")</f>
        <v>Batch 2</v>
      </c>
      <c r="J1208" s="225">
        <f>IFERROR(__xludf.DUMMYFUNCTION("""COMPUTED_VALUE"""),8.0)</f>
        <v>8</v>
      </c>
      <c r="K1208" s="224">
        <f>IFERROR(__xludf.DUMMYFUNCTION("""COMPUTED_VALUE"""),64.0)</f>
        <v>64</v>
      </c>
      <c r="L1208" s="226">
        <f>IFERROR(__xludf.DUMMYFUNCTION("""COMPUTED_VALUE"""),831526.0)</f>
        <v>831526</v>
      </c>
      <c r="M1208" s="227">
        <f>IFERROR(__xludf.DUMMYFUNCTION("""COMPUTED_VALUE"""),5.3217616E7)</f>
        <v>53217616</v>
      </c>
      <c r="N1208" s="222" t="str">
        <f>IFERROR(__xludf.DUMMYFUNCTION("""COMPUTED_VALUE"""),"PT ACERO CETHA METALINDO")</f>
        <v>PT ACERO CETHA METALINDO</v>
      </c>
      <c r="O1208" s="222" t="str">
        <f>IFERROR(__xludf.DUMMYFUNCTION("""COMPUTED_VALUE"""),"4. MATDEL")</f>
        <v>4. MATDEL</v>
      </c>
      <c r="P1208" s="222" t="str">
        <f>IFERROR(__xludf.DUMMYFUNCTION("""COMPUTED_VALUE"""),"4.4 Proses Pengiriman Pabribak ke WH")</f>
        <v>4.4 Proses Pengiriman Pabribak ke WH</v>
      </c>
      <c r="Q1208" s="222" t="str">
        <f>IFERROR(__xludf.DUMMYFUNCTION("""COMPUTED_VALUE"""),"(27/04) menunggu PO kabel 24 ADSS (20/04) sudah aanwijziing, proses eval  (10/04) Proses aanwijziing , LOP HOLD FEEDER FULL ACC GO (26/01)  KENDALA FEEDER BGS-FC FULL, BUTUH NEW FEEDER")</f>
        <v>(27/04) menunggu PO kabel 24 ADSS (20/04) sudah aanwijziing, proses eval  (10/04) Proses aanwijziing , LOP HOLD FEEDER FULL ACC GO (26/01)  KENDALA FEEDER BGS-FC FULL, BUTUH NEW FEEDER</v>
      </c>
      <c r="R1208" s="228"/>
      <c r="S1208" s="11"/>
      <c r="T1208" s="11"/>
      <c r="U1208" s="11"/>
      <c r="V1208" s="229" t="str">
        <f>IFERROR(__xludf.DUMMYFUNCTION("""COMPUTED_VALUE"""),"PRAMADIO SEPWILMAN")</f>
        <v>PRAMADIO SEPWILMAN</v>
      </c>
      <c r="W1208" s="229" t="str">
        <f>IFERROR(__xludf.DUMMYFUNCTION("""COMPUTED_VALUE"""),"MELKO NARWADI")</f>
        <v>MELKO NARWADI</v>
      </c>
      <c r="X1208" s="229" t="str">
        <f>IFERROR(__xludf.DUMMYFUNCTION("""COMPUTED_VALUE"""),"BELUM GOLIVE")</f>
        <v>BELUM GOLIVE</v>
      </c>
      <c r="Y1208" s="229"/>
      <c r="Z1208" s="229" t="str">
        <f>IFERROR(__xludf.DUMMYFUNCTION("""COMPUTED_VALUE"""),"#N/A")</f>
        <v>#N/A</v>
      </c>
      <c r="AA1208" s="229"/>
      <c r="AB1208" s="229"/>
      <c r="AC1208" s="229"/>
      <c r="AD1208" s="232"/>
      <c r="AE1208" s="233"/>
      <c r="AF1208" s="54" t="str">
        <f>IFERROR(__xludf.DUMMYFUNCTION("""COMPUTED_VALUE"""),"Draft BA DROP")</f>
        <v>Draft BA DROP</v>
      </c>
      <c r="AG1208" s="54"/>
      <c r="AH1208" s="54"/>
      <c r="AI1208" s="55" t="str">
        <f t="shared" si="132"/>
        <v/>
      </c>
      <c r="AW1208" s="234"/>
      <c r="BP1208" s="11"/>
      <c r="BQ1208" s="11"/>
      <c r="BR1208" s="235"/>
      <c r="BV1208" s="158"/>
      <c r="BY1208" s="158"/>
      <c r="CB1208" s="158"/>
    </row>
    <row r="1209" ht="18.0" customHeight="1">
      <c r="A1209" s="222">
        <f>IFERROR(__xludf.DUMMYFUNCTION("""COMPUTED_VALUE"""),2026.0)</f>
        <v>2026</v>
      </c>
      <c r="B1209" s="221">
        <f>IFERROR(__xludf.DUMMYFUNCTION("""COMPUTED_VALUE"""),1.1155404E7)</f>
        <v>11155404</v>
      </c>
      <c r="C1209" s="222" t="str">
        <f>IFERROR(__xludf.DUMMYFUNCTION("""COMPUTED_VALUE"""),"SMB P1I1 Dekat Balingka Kec.Iv Koto")</f>
        <v>SMB P1I1 Dekat Balingka Kec.Iv Koto</v>
      </c>
      <c r="D1209" s="222" t="str">
        <f>IFERROR(__xludf.DUMMYFUNCTION("""COMPUTED_VALUE"""),"REGIONAL I")</f>
        <v>REGIONAL I</v>
      </c>
      <c r="E1209" s="222" t="str">
        <f>IFERROR(__xludf.DUMMYFUNCTION("""COMPUTED_VALUE"""),"SUMBAR")</f>
        <v>SUMBAR</v>
      </c>
      <c r="F1209" s="222" t="str">
        <f>IFERROR(__xludf.DUMMYFUNCTION("""COMPUTED_VALUE"""),"BKT")</f>
        <v>BKT</v>
      </c>
      <c r="G1209" s="222" t="str">
        <f>IFERROR(__xludf.DUMMYFUNCTION("""COMPUTED_VALUE"""),"SUMBAGTENG")</f>
        <v>SUMBAGTENG</v>
      </c>
      <c r="H1209" s="222" t="str">
        <f>IFERROR(__xludf.DUMMYFUNCTION("""COMPUTED_VALUE"""),"BUKIT TINGGI")</f>
        <v>BUKIT TINGGI</v>
      </c>
      <c r="I1209" s="222" t="str">
        <f>IFERROR(__xludf.DUMMYFUNCTION("""COMPUTED_VALUE"""),"Batch 2")</f>
        <v>Batch 2</v>
      </c>
      <c r="J1209" s="225">
        <f>IFERROR(__xludf.DUMMYFUNCTION("""COMPUTED_VALUE"""),8.0)</f>
        <v>8</v>
      </c>
      <c r="K1209" s="224">
        <f>IFERROR(__xludf.DUMMYFUNCTION("""COMPUTED_VALUE"""),64.0)</f>
        <v>64</v>
      </c>
      <c r="L1209" s="226">
        <f>IFERROR(__xludf.DUMMYFUNCTION("""COMPUTED_VALUE"""),829575.0)</f>
        <v>829575</v>
      </c>
      <c r="M1209" s="227">
        <f>IFERROR(__xludf.DUMMYFUNCTION("""COMPUTED_VALUE"""),5.3092769E7)</f>
        <v>53092769</v>
      </c>
      <c r="N1209" s="222" t="str">
        <f>IFERROR(__xludf.DUMMYFUNCTION("""COMPUTED_VALUE"""),"PT GARINDO TECHNO MANDIRI")</f>
        <v>PT GARINDO TECHNO MANDIRI</v>
      </c>
      <c r="O1209" s="222" t="str">
        <f>IFERROR(__xludf.DUMMYFUNCTION("""COMPUTED_VALUE"""),"0. DROP")</f>
        <v>0. DROP</v>
      </c>
      <c r="P1209" s="222" t="str">
        <f>IFERROR(__xludf.DUMMYFUNCTION("""COMPUTED_VALUE"""),"0.5 DROP TSEL - Acc ED TIF")</f>
        <v>0.5 DROP TSEL - Acc ED TIF</v>
      </c>
      <c r="Q1209" s="222" t="str">
        <f>IFERROR(__xludf.DUMMYFUNCTION("""COMPUTED_VALUE"""),"(05/03) kendala space tanam tiang dan izin oleh pemilik lahan dan walnag  07/03 (02/03) proses aanwijziing (26/01) DROP, permintaan tsel (tidak potensial) ")</f>
        <v>(05/03) kendala space tanam tiang dan izin oleh pemilik lahan dan walnag  07/03 (02/03) proses aanwijziing (26/01) DROP, permintaan tsel (tidak potensial) </v>
      </c>
      <c r="R1209" s="228"/>
      <c r="S1209" s="11"/>
      <c r="T1209" s="11"/>
      <c r="U1209" s="11"/>
      <c r="V1209" s="229" t="str">
        <f>IFERROR(__xludf.DUMMYFUNCTION("""COMPUTED_VALUE"""),"DELPA YANDA")</f>
        <v>DELPA YANDA</v>
      </c>
      <c r="W1209" s="229" t="str">
        <f>IFERROR(__xludf.DUMMYFUNCTION("""COMPUTED_VALUE"""),"MELKO NARWADI")</f>
        <v>MELKO NARWADI</v>
      </c>
      <c r="X1209" s="229" t="str">
        <f>IFERROR(__xludf.DUMMYFUNCTION("""COMPUTED_VALUE"""),"BELUM GOLIVE")</f>
        <v>BELUM GOLIVE</v>
      </c>
      <c r="Y1209" s="229"/>
      <c r="Z1209" s="229" t="str">
        <f>IFERROR(__xludf.DUMMYFUNCTION("""COMPUTED_VALUE"""),"#N/A")</f>
        <v>#N/A</v>
      </c>
      <c r="AA1209" s="229"/>
      <c r="AB1209" s="229"/>
      <c r="AC1209" s="229"/>
      <c r="AD1209" s="232"/>
      <c r="AE1209" s="233"/>
      <c r="AF1209" s="54"/>
      <c r="AG1209" s="54"/>
      <c r="AH1209" s="54"/>
      <c r="AI1209" s="55" t="str">
        <f t="shared" si="132"/>
        <v/>
      </c>
      <c r="AW1209" s="234"/>
      <c r="BP1209" s="11"/>
      <c r="BQ1209" s="11"/>
      <c r="BR1209" s="235"/>
      <c r="BV1209" s="158"/>
      <c r="BY1209" s="158"/>
      <c r="CB1209" s="158"/>
    </row>
    <row r="1210" ht="18.0" hidden="1" customHeight="1">
      <c r="A1210" s="222">
        <f>IFERROR(__xludf.DUMMYFUNCTION("""COMPUTED_VALUE"""),2026.0)</f>
        <v>2026</v>
      </c>
      <c r="B1210" s="221">
        <f>IFERROR(__xludf.DUMMYFUNCTION("""COMPUTED_VALUE"""),1.1219502E7)</f>
        <v>11219502</v>
      </c>
      <c r="C1210" s="222" t="str">
        <f>IFERROR(__xludf.DUMMYFUNCTION("""COMPUTED_VALUE"""),"MDN PT3 P7I12 TMU-FK JL.DATUK")</f>
        <v>MDN PT3 P7I12 TMU-FK JL.DATUK</v>
      </c>
      <c r="D1210" s="222" t="str">
        <f>IFERROR(__xludf.DUMMYFUNCTION("""COMPUTED_VALUE"""),"REGIONAL I")</f>
        <v>REGIONAL I</v>
      </c>
      <c r="E1210" s="222" t="str">
        <f>IFERROR(__xludf.DUMMYFUNCTION("""COMPUTED_VALUE"""),"MEDAN")</f>
        <v>MEDAN</v>
      </c>
      <c r="F1210" s="222" t="str">
        <f>IFERROR(__xludf.DUMMYFUNCTION("""COMPUTED_VALUE"""),"TMU")</f>
        <v>TMU</v>
      </c>
      <c r="G1210" s="222" t="str">
        <f>IFERROR(__xludf.DUMMYFUNCTION("""COMPUTED_VALUE"""),"SUMBAGUT")</f>
        <v>SUMBAGUT</v>
      </c>
      <c r="H1210" s="222" t="str">
        <f>IFERROR(__xludf.DUMMYFUNCTION("""COMPUTED_VALUE"""),"MEDAN")</f>
        <v>MEDAN</v>
      </c>
      <c r="I1210" s="222" t="str">
        <f>IFERROR(__xludf.DUMMYFUNCTION("""COMPUTED_VALUE"""),"Batch 2")</f>
        <v>Batch 2</v>
      </c>
      <c r="J1210" s="225">
        <f>IFERROR(__xludf.DUMMYFUNCTION("""COMPUTED_VALUE"""),4.0)</f>
        <v>4</v>
      </c>
      <c r="K1210" s="224">
        <f>IFERROR(__xludf.DUMMYFUNCTION("""COMPUTED_VALUE"""),32.0)</f>
        <v>32</v>
      </c>
      <c r="L1210" s="226">
        <f>IFERROR(__xludf.DUMMYFUNCTION("""COMPUTED_VALUE"""),1164471.0)</f>
        <v>1164471</v>
      </c>
      <c r="M1210" s="227">
        <f>IFERROR(__xludf.DUMMYFUNCTION("""COMPUTED_VALUE"""),3.7263042E7)</f>
        <v>37263042</v>
      </c>
      <c r="N1210" s="222" t="str">
        <f>IFERROR(__xludf.DUMMYFUNCTION("""COMPUTED_VALUE"""),"SWAKELOLA")</f>
        <v>SWAKELOLA</v>
      </c>
      <c r="O1210" s="222" t="str">
        <f>IFERROR(__xludf.DUMMYFUNCTION("""COMPUTED_VALUE"""),"0. DROP")</f>
        <v>0. DROP</v>
      </c>
      <c r="P1210" s="222" t="str">
        <f>IFERROR(__xludf.DUMMYFUNCTION("""COMPUTED_VALUE"""),"0.4 CPP Tinggi Acc ED TIF")</f>
        <v>0.4 CPP Tinggi Acc ED TIF</v>
      </c>
      <c r="Q1210" s="222" t="str">
        <f>IFERROR(__xludf.DUMMYFUNCTION("""COMPUTED_VALUE"""),"(07/01) Persiapan")</f>
        <v>(07/01) Persiapan</v>
      </c>
      <c r="R1210" s="228"/>
      <c r="S1210" s="11"/>
      <c r="T1210" s="11"/>
      <c r="U1210" s="11"/>
      <c r="V1210" s="229"/>
      <c r="W1210" s="229"/>
      <c r="X1210" s="229" t="str">
        <f>IFERROR(__xludf.DUMMYFUNCTION("""COMPUTED_VALUE"""),"BELUM GOLIVE")</f>
        <v>BELUM GOLIVE</v>
      </c>
      <c r="Y1210" s="229"/>
      <c r="Z1210" s="229" t="str">
        <f>IFERROR(__xludf.DUMMYFUNCTION("""COMPUTED_VALUE"""),"#N/A")</f>
        <v>#N/A</v>
      </c>
      <c r="AA1210" s="229"/>
      <c r="AB1210" s="229"/>
      <c r="AC1210" s="229"/>
      <c r="AD1210" s="232"/>
      <c r="AE1210" s="233"/>
      <c r="AF1210" s="54" t="str">
        <f>IFERROR(__xludf.DUMMYFUNCTION("""COMPUTED_VALUE"""),"Draft BA DROP")</f>
        <v>Draft BA DROP</v>
      </c>
      <c r="AG1210" s="54"/>
      <c r="AH1210" s="54"/>
      <c r="AI1210" s="55" t="str">
        <f t="shared" si="132"/>
        <v/>
      </c>
      <c r="AW1210" s="234"/>
      <c r="BP1210" s="11"/>
      <c r="BQ1210" s="11"/>
      <c r="BR1210" s="235"/>
      <c r="BV1210" s="158"/>
      <c r="BY1210" s="158"/>
      <c r="CB1210" s="158"/>
    </row>
    <row r="1211" ht="18.0" hidden="1" customHeight="1">
      <c r="A1211" s="222">
        <f>IFERROR(__xludf.DUMMYFUNCTION("""COMPUTED_VALUE"""),2026.0)</f>
        <v>2026</v>
      </c>
      <c r="B1211" s="221">
        <f>IFERROR(__xludf.DUMMYFUNCTION("""COMPUTED_VALUE"""),1.2108713E7)</f>
        <v>12108713</v>
      </c>
      <c r="C1211" s="222" t="str">
        <f>IFERROR(__xludf.DUMMYFUNCTION("""COMPUTED_VALUE"""),"LPG PT3 JPP KETAPANG BAKAUHENI LAM")</f>
        <v>LPG PT3 JPP KETAPANG BAKAUHENI LAM</v>
      </c>
      <c r="D1211" s="222" t="str">
        <f>IFERROR(__xludf.DUMMYFUNCTION("""COMPUTED_VALUE"""),"REGIONAL I")</f>
        <v>REGIONAL I</v>
      </c>
      <c r="E1211" s="222" t="str">
        <f>IFERROR(__xludf.DUMMYFUNCTION("""COMPUTED_VALUE"""),"LAMPUNG")</f>
        <v>LAMPUNG</v>
      </c>
      <c r="F1211" s="222" t="str">
        <f>IFERROR(__xludf.DUMMYFUNCTION("""COMPUTED_VALUE"""),"LAM")</f>
        <v>LAM</v>
      </c>
      <c r="G1211" s="222" t="str">
        <f>IFERROR(__xludf.DUMMYFUNCTION("""COMPUTED_VALUE"""),"SUMBAGSEL")</f>
        <v>SUMBAGSEL</v>
      </c>
      <c r="H1211" s="222" t="str">
        <f>IFERROR(__xludf.DUMMYFUNCTION("""COMPUTED_VALUE"""),"LAMPUNG")</f>
        <v>LAMPUNG</v>
      </c>
      <c r="I1211" s="222" t="str">
        <f>IFERROR(__xludf.DUMMYFUNCTION("""COMPUTED_VALUE"""),"Batch 2")</f>
        <v>Batch 2</v>
      </c>
      <c r="J1211" s="225">
        <f>IFERROR(__xludf.DUMMYFUNCTION("""COMPUTED_VALUE"""),8.0)</f>
        <v>8</v>
      </c>
      <c r="K1211" s="224">
        <f>IFERROR(__xludf.DUMMYFUNCTION("""COMPUTED_VALUE"""),64.0)</f>
        <v>64</v>
      </c>
      <c r="L1211" s="226">
        <f>IFERROR(__xludf.DUMMYFUNCTION("""COMPUTED_VALUE"""),829205.0)</f>
        <v>829205</v>
      </c>
      <c r="M1211" s="227">
        <f>IFERROR(__xludf.DUMMYFUNCTION("""COMPUTED_VALUE"""),5.3069072E7)</f>
        <v>53069072</v>
      </c>
      <c r="N1211" s="222" t="str">
        <f>IFERROR(__xludf.DUMMYFUNCTION("""COMPUTED_VALUE"""),"PT ACERO CETHA METALINDO")</f>
        <v>PT ACERO CETHA METALINDO</v>
      </c>
      <c r="O1211" s="222" t="str">
        <f>IFERROR(__xludf.DUMMYFUNCTION("""COMPUTED_VALUE"""),"0. DROP")</f>
        <v>0. DROP</v>
      </c>
      <c r="P1211" s="222" t="str">
        <f>IFERROR(__xludf.DUMMYFUNCTION("""COMPUTED_VALUE"""),"0.4 CPP Tinggi Acc ED TIF")</f>
        <v>0.4 CPP Tinggi Acc ED TIF</v>
      </c>
      <c r="Q1211" s="222" t="str">
        <f>IFERROR(__xludf.DUMMYFUNCTION("""COMPUTED_VALUE"""),"3/3 drop - kenaikan BOQ tinggi  23/2 butuh repair distribusi (butuh qe )
30/1 proses perhitungan kebutuhan repair distribusi 
23/1 butuh repair kabel distribusi15/1 butuh repair kabel distribusu cacat di titik 15KM")</f>
        <v>3/3 drop - kenaikan BOQ tinggi  23/2 butuh repair distribusi (butuh qe )
30/1 proses perhitungan kebutuhan repair distribusi 
23/1 butuh repair kabel distribusi15/1 butuh repair kabel distribusu cacat di titik 15KM</v>
      </c>
      <c r="R1211" s="228"/>
      <c r="S1211" s="11"/>
      <c r="T1211" s="11"/>
      <c r="U1211" s="11"/>
      <c r="V1211" s="229"/>
      <c r="W1211" s="229"/>
      <c r="X1211" s="229" t="str">
        <f>IFERROR(__xludf.DUMMYFUNCTION("""COMPUTED_VALUE"""),"BELUM GOLIVE")</f>
        <v>BELUM GOLIVE</v>
      </c>
      <c r="Y1211" s="229"/>
      <c r="Z1211" s="229" t="str">
        <f>IFERROR(__xludf.DUMMYFUNCTION("""COMPUTED_VALUE"""),"#N/A")</f>
        <v>#N/A</v>
      </c>
      <c r="AA1211" s="229"/>
      <c r="AB1211" s="229"/>
      <c r="AC1211" s="229"/>
      <c r="AD1211" s="232"/>
      <c r="AE1211" s="233"/>
      <c r="AF1211" s="54" t="str">
        <f>IFERROR(__xludf.DUMMYFUNCTION("""COMPUTED_VALUE"""),"Draft BA DROP")</f>
        <v>Draft BA DROP</v>
      </c>
      <c r="AG1211" s="54"/>
      <c r="AH1211" s="54"/>
      <c r="AI1211" s="55" t="str">
        <f t="shared" si="132"/>
        <v/>
      </c>
      <c r="AW1211" s="234"/>
      <c r="BP1211" s="11"/>
      <c r="BQ1211" s="11"/>
      <c r="BR1211" s="235"/>
      <c r="BV1211" s="158"/>
      <c r="BY1211" s="158"/>
      <c r="CB1211" s="158"/>
    </row>
    <row r="1212" ht="18.0" hidden="1" customHeight="1">
      <c r="A1212" s="222">
        <f>IFERROR(__xludf.DUMMYFUNCTION("""COMPUTED_VALUE"""),2026.0)</f>
        <v>2026</v>
      </c>
      <c r="B1212" s="221">
        <f>IFERROR(__xludf.DUMMYFUNCTION("""COMPUTED_VALUE"""),1.128845E7)</f>
        <v>11288450</v>
      </c>
      <c r="C1212" s="222" t="str">
        <f>IFERROR(__xludf.DUMMYFUNCTION("""COMPUTED_VALUE"""),"MDN PT3 DLT-FS JL.KARYA UJUNG MARINDAL I")</f>
        <v>MDN PT3 DLT-FS JL.KARYA UJUNG MARINDAL I</v>
      </c>
      <c r="D1212" s="222" t="str">
        <f>IFERROR(__xludf.DUMMYFUNCTION("""COMPUTED_VALUE"""),"REGIONAL I")</f>
        <v>REGIONAL I</v>
      </c>
      <c r="E1212" s="222" t="str">
        <f>IFERROR(__xludf.DUMMYFUNCTION("""COMPUTED_VALUE"""),"MEDAN")</f>
        <v>MEDAN</v>
      </c>
      <c r="F1212" s="222" t="str">
        <f>IFERROR(__xludf.DUMMYFUNCTION("""COMPUTED_VALUE"""),"DLT")</f>
        <v>DLT</v>
      </c>
      <c r="G1212" s="222" t="str">
        <f>IFERROR(__xludf.DUMMYFUNCTION("""COMPUTED_VALUE"""),"SUMBAGUT")</f>
        <v>SUMBAGUT</v>
      </c>
      <c r="H1212" s="222" t="str">
        <f>IFERROR(__xludf.DUMMYFUNCTION("""COMPUTED_VALUE"""),"MEDAN")</f>
        <v>MEDAN</v>
      </c>
      <c r="I1212" s="222" t="str">
        <f>IFERROR(__xludf.DUMMYFUNCTION("""COMPUTED_VALUE"""),"Batch 2")</f>
        <v>Batch 2</v>
      </c>
      <c r="J1212" s="225">
        <f>IFERROR(__xludf.DUMMYFUNCTION("""COMPUTED_VALUE"""),4.0)</f>
        <v>4</v>
      </c>
      <c r="K1212" s="224">
        <f>IFERROR(__xludf.DUMMYFUNCTION("""COMPUTED_VALUE"""),32.0)</f>
        <v>32</v>
      </c>
      <c r="L1212" s="226">
        <f>IFERROR(__xludf.DUMMYFUNCTION("""COMPUTED_VALUE"""),1348243.0)</f>
        <v>1348243</v>
      </c>
      <c r="M1212" s="227">
        <f>IFERROR(__xludf.DUMMYFUNCTION("""COMPUTED_VALUE"""),4.3143764E7)</f>
        <v>43143764</v>
      </c>
      <c r="N1212" s="222" t="str">
        <f>IFERROR(__xludf.DUMMYFUNCTION("""COMPUTED_VALUE"""),"PT UPENTEL INTERNASIONAL")</f>
        <v>PT UPENTEL INTERNASIONAL</v>
      </c>
      <c r="O1212" s="222" t="str">
        <f>IFERROR(__xludf.DUMMYFUNCTION("""COMPUTED_VALUE"""),"0. DROP")</f>
        <v>0. DROP</v>
      </c>
      <c r="P1212" s="222" t="str">
        <f>IFERROR(__xludf.DUMMYFUNCTION("""COMPUTED_VALUE"""),"0.2 Tidak Dapat Izin Warga/Kades/Lurah/Developer")</f>
        <v>0.2 Tidak Dapat Izin Warga/Kades/Lurah/Developer</v>
      </c>
      <c r="Q1212" s="222" t="str">
        <f>IFERROR(__xludf.DUMMYFUNCTION("""COMPUTED_VALUE"""),"Tidak Ada Space Tanam Tiang (07/01) Persiapan")</f>
        <v>Tidak Ada Space Tanam Tiang (07/01) Persiapan</v>
      </c>
      <c r="R1212" s="228"/>
      <c r="S1212" s="11"/>
      <c r="T1212" s="11"/>
      <c r="U1212" s="11"/>
      <c r="V1212" s="229"/>
      <c r="W1212" s="229"/>
      <c r="X1212" s="229" t="str">
        <f>IFERROR(__xludf.DUMMYFUNCTION("""COMPUTED_VALUE"""),"BELUM GOLIVE")</f>
        <v>BELUM GOLIVE</v>
      </c>
      <c r="Y1212" s="229"/>
      <c r="Z1212" s="229" t="str">
        <f>IFERROR(__xludf.DUMMYFUNCTION("""COMPUTED_VALUE"""),"#N/A")</f>
        <v>#N/A</v>
      </c>
      <c r="AA1212" s="229"/>
      <c r="AB1212" s="229"/>
      <c r="AC1212" s="229"/>
      <c r="AD1212" s="232"/>
      <c r="AE1212" s="233"/>
      <c r="AF1212" s="54" t="str">
        <f>IFERROR(__xludf.DUMMYFUNCTION("""COMPUTED_VALUE"""),"Draft BA DROP")</f>
        <v>Draft BA DROP</v>
      </c>
      <c r="AG1212" s="54"/>
      <c r="AH1212" s="54"/>
      <c r="AI1212" s="55" t="str">
        <f t="shared" si="132"/>
        <v/>
      </c>
      <c r="AW1212" s="234"/>
      <c r="BP1212" s="11"/>
      <c r="BQ1212" s="11"/>
      <c r="BR1212" s="235"/>
      <c r="BV1212" s="158"/>
      <c r="BY1212" s="158"/>
      <c r="CB1212" s="158"/>
    </row>
    <row r="1213" ht="18.0" hidden="1" customHeight="1">
      <c r="A1213" s="222">
        <f>IFERROR(__xludf.DUMMYFUNCTION("""COMPUTED_VALUE"""),2026.0)</f>
        <v>2026</v>
      </c>
      <c r="B1213" s="221">
        <f>IFERROR(__xludf.DUMMYFUNCTION("""COMPUTED_VALUE"""),1.1206522E7)</f>
        <v>11206522</v>
      </c>
      <c r="C1213" s="222" t="str">
        <f>IFERROR(__xludf.DUMMYFUNCTION("""COMPUTED_VALUE"""),"MDN PT3 P7I12 CTD-FCW GG.PALA 3")</f>
        <v>MDN PT3 P7I12 CTD-FCW GG.PALA 3</v>
      </c>
      <c r="D1213" s="222" t="str">
        <f>IFERROR(__xludf.DUMMYFUNCTION("""COMPUTED_VALUE"""),"REGIONAL I")</f>
        <v>REGIONAL I</v>
      </c>
      <c r="E1213" s="222" t="str">
        <f>IFERROR(__xludf.DUMMYFUNCTION("""COMPUTED_VALUE"""),"MEDAN")</f>
        <v>MEDAN</v>
      </c>
      <c r="F1213" s="222" t="str">
        <f>IFERROR(__xludf.DUMMYFUNCTION("""COMPUTED_VALUE"""),"CTD")</f>
        <v>CTD</v>
      </c>
      <c r="G1213" s="222" t="str">
        <f>IFERROR(__xludf.DUMMYFUNCTION("""COMPUTED_VALUE"""),"SUMBAGUT")</f>
        <v>SUMBAGUT</v>
      </c>
      <c r="H1213" s="222" t="str">
        <f>IFERROR(__xludf.DUMMYFUNCTION("""COMPUTED_VALUE"""),"MEDAN")</f>
        <v>MEDAN</v>
      </c>
      <c r="I1213" s="222" t="str">
        <f>IFERROR(__xludf.DUMMYFUNCTION("""COMPUTED_VALUE"""),"Batch 2")</f>
        <v>Batch 2</v>
      </c>
      <c r="J1213" s="225">
        <f>IFERROR(__xludf.DUMMYFUNCTION("""COMPUTED_VALUE"""),1.0)</f>
        <v>1</v>
      </c>
      <c r="K1213" s="224">
        <f>IFERROR(__xludf.DUMMYFUNCTION("""COMPUTED_VALUE"""),8.0)</f>
        <v>8</v>
      </c>
      <c r="L1213" s="226">
        <f>IFERROR(__xludf.DUMMYFUNCTION("""COMPUTED_VALUE"""),1360210.0)</f>
        <v>1360210</v>
      </c>
      <c r="M1213" s="227">
        <f>IFERROR(__xludf.DUMMYFUNCTION("""COMPUTED_VALUE"""),1.0881679E7)</f>
        <v>10881679</v>
      </c>
      <c r="N1213" s="222" t="str">
        <f>IFERROR(__xludf.DUMMYFUNCTION("""COMPUTED_VALUE"""),"PT GLOBAL KARYA WANDA")</f>
        <v>PT GLOBAL KARYA WANDA</v>
      </c>
      <c r="O1213" s="222" t="str">
        <f>IFERROR(__xludf.DUMMYFUNCTION("""COMPUTED_VALUE"""),"0. DROP")</f>
        <v>0. DROP</v>
      </c>
      <c r="P1213" s="222" t="str">
        <f>IFERROR(__xludf.DUMMYFUNCTION("""COMPUTED_VALUE"""),"0.4 CPP Tinggi Acc ED TIF")</f>
        <v>0.4 CPP Tinggi Acc ED TIF</v>
      </c>
      <c r="Q1213" s="222" t="str">
        <f>IFERROR(__xludf.DUMMYFUNCTION("""COMPUTED_VALUE"""),"Menunggu perizinan KADUS ke WARGA")</f>
        <v>Menunggu perizinan KADUS ke WARGA</v>
      </c>
      <c r="R1213" s="228"/>
      <c r="S1213" s="11"/>
      <c r="T1213" s="11"/>
      <c r="U1213" s="11"/>
      <c r="V1213" s="229"/>
      <c r="W1213" s="229"/>
      <c r="X1213" s="229" t="str">
        <f>IFERROR(__xludf.DUMMYFUNCTION("""COMPUTED_VALUE"""),"BELUM GOLIVE")</f>
        <v>BELUM GOLIVE</v>
      </c>
      <c r="Y1213" s="229"/>
      <c r="Z1213" s="229" t="str">
        <f>IFERROR(__xludf.DUMMYFUNCTION("""COMPUTED_VALUE"""),"#N/A")</f>
        <v>#N/A</v>
      </c>
      <c r="AA1213" s="229"/>
      <c r="AB1213" s="229"/>
      <c r="AC1213" s="229"/>
      <c r="AD1213" s="232"/>
      <c r="AE1213" s="233"/>
      <c r="AF1213" s="54" t="str">
        <f>IFERROR(__xludf.DUMMYFUNCTION("""COMPUTED_VALUE"""),"Draft BA DROP")</f>
        <v>Draft BA DROP</v>
      </c>
      <c r="AG1213" s="54"/>
      <c r="AH1213" s="54"/>
      <c r="AI1213" s="55" t="str">
        <f t="shared" si="132"/>
        <v/>
      </c>
      <c r="AW1213" s="234"/>
      <c r="BP1213" s="11"/>
      <c r="BQ1213" s="11"/>
      <c r="BR1213" s="235"/>
      <c r="BV1213" s="158"/>
      <c r="BY1213" s="158"/>
      <c r="CB1213" s="158"/>
    </row>
    <row r="1214" ht="18.0" hidden="1" customHeight="1">
      <c r="A1214" s="222">
        <f>IFERROR(__xludf.DUMMYFUNCTION("""COMPUTED_VALUE"""),2026.0)</f>
        <v>2026</v>
      </c>
      <c r="B1214" s="221">
        <f>IFERROR(__xludf.DUMMYFUNCTION("""COMPUTED_VALUE"""),1.1188633E7)</f>
        <v>11188633</v>
      </c>
      <c r="C1214" s="222" t="str">
        <f>IFERROR(__xludf.DUMMYFUNCTION("""COMPUTED_VALUE"""),"MDN PT3 DLT-FC JL.PERTAHANAN GG.MUSTIKA")</f>
        <v>MDN PT3 DLT-FC JL.PERTAHANAN GG.MUSTIKA</v>
      </c>
      <c r="D1214" s="222" t="str">
        <f>IFERROR(__xludf.DUMMYFUNCTION("""COMPUTED_VALUE"""),"REGIONAL I")</f>
        <v>REGIONAL I</v>
      </c>
      <c r="E1214" s="222" t="str">
        <f>IFERROR(__xludf.DUMMYFUNCTION("""COMPUTED_VALUE"""),"MEDAN")</f>
        <v>MEDAN</v>
      </c>
      <c r="F1214" s="222" t="str">
        <f>IFERROR(__xludf.DUMMYFUNCTION("""COMPUTED_VALUE"""),"DLT")</f>
        <v>DLT</v>
      </c>
      <c r="G1214" s="222" t="str">
        <f>IFERROR(__xludf.DUMMYFUNCTION("""COMPUTED_VALUE"""),"SUMBAGUT")</f>
        <v>SUMBAGUT</v>
      </c>
      <c r="H1214" s="222" t="str">
        <f>IFERROR(__xludf.DUMMYFUNCTION("""COMPUTED_VALUE"""),"MEDAN")</f>
        <v>MEDAN</v>
      </c>
      <c r="I1214" s="222" t="str">
        <f>IFERROR(__xludf.DUMMYFUNCTION("""COMPUTED_VALUE"""),"Batch 2")</f>
        <v>Batch 2</v>
      </c>
      <c r="J1214" s="225">
        <f>IFERROR(__xludf.DUMMYFUNCTION("""COMPUTED_VALUE"""),2.0)</f>
        <v>2</v>
      </c>
      <c r="K1214" s="224">
        <f>IFERROR(__xludf.DUMMYFUNCTION("""COMPUTED_VALUE"""),16.0)</f>
        <v>16</v>
      </c>
      <c r="L1214" s="226">
        <f>IFERROR(__xludf.DUMMYFUNCTION("""COMPUTED_VALUE"""),1256473.0)</f>
        <v>1256473</v>
      </c>
      <c r="M1214" s="227">
        <f>IFERROR(__xludf.DUMMYFUNCTION("""COMPUTED_VALUE"""),2.0103561E7)</f>
        <v>20103561</v>
      </c>
      <c r="N1214" s="222" t="str">
        <f>IFERROR(__xludf.DUMMYFUNCTION("""COMPUTED_VALUE"""),"PT SALTTEK DUMPANG JAYA")</f>
        <v>PT SALTTEK DUMPANG JAYA</v>
      </c>
      <c r="O1214" s="222" t="str">
        <f>IFERROR(__xludf.DUMMYFUNCTION("""COMPUTED_VALUE"""),"0. DROP")</f>
        <v>0. DROP</v>
      </c>
      <c r="P1214" s="222" t="str">
        <f>IFERROR(__xludf.DUMMYFUNCTION("""COMPUTED_VALUE"""),"0.4 CPP Tinggi Acc ED TIF")</f>
        <v>0.4 CPP Tinggi Acc ED TIF</v>
      </c>
      <c r="Q1214" s="222" t="str">
        <f>IFERROR(__xludf.DUMMYFUNCTION("""COMPUTED_VALUE"""),"05/02 Feeder Redti")</f>
        <v>05/02 Feeder Redti</v>
      </c>
      <c r="R1214" s="228"/>
      <c r="S1214" s="11"/>
      <c r="T1214" s="11"/>
      <c r="U1214" s="11"/>
      <c r="V1214" s="229"/>
      <c r="W1214" s="229"/>
      <c r="X1214" s="229" t="str">
        <f>IFERROR(__xludf.DUMMYFUNCTION("""COMPUTED_VALUE"""),"BELUM GOLIVE")</f>
        <v>BELUM GOLIVE</v>
      </c>
      <c r="Y1214" s="229"/>
      <c r="Z1214" s="229" t="str">
        <f>IFERROR(__xludf.DUMMYFUNCTION("""COMPUTED_VALUE"""),"#N/A")</f>
        <v>#N/A</v>
      </c>
      <c r="AA1214" s="229"/>
      <c r="AB1214" s="229"/>
      <c r="AC1214" s="229"/>
      <c r="AD1214" s="232"/>
      <c r="AE1214" s="233"/>
      <c r="AF1214" s="54" t="str">
        <f>IFERROR(__xludf.DUMMYFUNCTION("""COMPUTED_VALUE"""),"Draft BA DROP")</f>
        <v>Draft BA DROP</v>
      </c>
      <c r="AG1214" s="54"/>
      <c r="AH1214" s="54"/>
      <c r="AI1214" s="55" t="str">
        <f t="shared" si="132"/>
        <v/>
      </c>
      <c r="AW1214" s="234"/>
      <c r="BP1214" s="11"/>
      <c r="BQ1214" s="11"/>
      <c r="BR1214" s="235"/>
      <c r="BV1214" s="158"/>
      <c r="BY1214" s="158"/>
      <c r="CB1214" s="158"/>
    </row>
    <row r="1215" ht="18.0" customHeight="1">
      <c r="A1215" s="222">
        <f>IFERROR(__xludf.DUMMYFUNCTION("""COMPUTED_VALUE"""),2026.0)</f>
        <v>2026</v>
      </c>
      <c r="B1215" s="221">
        <f>IFERROR(__xludf.DUMMYFUNCTION("""COMPUTED_VALUE"""),1.1186487E7)</f>
        <v>11186487</v>
      </c>
      <c r="C1215" s="222" t="str">
        <f>IFERROR(__xludf.DUMMYFUNCTION("""COMPUTED_VALUE"""),"SMB P1I1 Boraspati Residence")</f>
        <v>SMB P1I1 Boraspati Residence</v>
      </c>
      <c r="D1215" s="222" t="str">
        <f>IFERROR(__xludf.DUMMYFUNCTION("""COMPUTED_VALUE"""),"REGIONAL I")</f>
        <v>REGIONAL I</v>
      </c>
      <c r="E1215" s="222" t="str">
        <f>IFERROR(__xludf.DUMMYFUNCTION("""COMPUTED_VALUE"""),"SUMBAR")</f>
        <v>SUMBAR</v>
      </c>
      <c r="F1215" s="222" t="str">
        <f>IFERROR(__xludf.DUMMYFUNCTION("""COMPUTED_VALUE"""),"LBY")</f>
        <v>LBY</v>
      </c>
      <c r="G1215" s="222" t="str">
        <f>IFERROR(__xludf.DUMMYFUNCTION("""COMPUTED_VALUE"""),"SUMBAGTENG")</f>
        <v>SUMBAGTENG</v>
      </c>
      <c r="H1215" s="222" t="str">
        <f>IFERROR(__xludf.DUMMYFUNCTION("""COMPUTED_VALUE"""),"PADANG")</f>
        <v>PADANG</v>
      </c>
      <c r="I1215" s="222" t="str">
        <f>IFERROR(__xludf.DUMMYFUNCTION("""COMPUTED_VALUE"""),"Batch 2")</f>
        <v>Batch 2</v>
      </c>
      <c r="J1215" s="225">
        <f>IFERROR(__xludf.DUMMYFUNCTION("""COMPUTED_VALUE"""),3.0)</f>
        <v>3</v>
      </c>
      <c r="K1215" s="224">
        <f>IFERROR(__xludf.DUMMYFUNCTION("""COMPUTED_VALUE"""),24.0)</f>
        <v>24</v>
      </c>
      <c r="L1215" s="226">
        <f>IFERROR(__xludf.DUMMYFUNCTION("""COMPUTED_VALUE"""),827775.0)</f>
        <v>827775</v>
      </c>
      <c r="M1215" s="227">
        <f>IFERROR(__xludf.DUMMYFUNCTION("""COMPUTED_VALUE"""),1.986659E7)</f>
        <v>19866590</v>
      </c>
      <c r="N1215" s="222" t="str">
        <f>IFERROR(__xludf.DUMMYFUNCTION("""COMPUTED_VALUE"""),"PT TRI PENAMAS")</f>
        <v>PT TRI PENAMAS</v>
      </c>
      <c r="O1215" s="222" t="str">
        <f>IFERROR(__xludf.DUMMYFUNCTION("""COMPUTED_VALUE"""),"0. DROP")</f>
        <v>0. DROP</v>
      </c>
      <c r="P1215" s="222" t="str">
        <f>IFERROR(__xludf.DUMMYFUNCTION("""COMPUTED_VALUE"""),"0.3 Feeder Full")</f>
        <v>0.3 Feeder Full</v>
      </c>
      <c r="Q1215" s="222" t="str">
        <f>IFERROR(__xludf.DUMMYFUNCTION("""COMPUTED_VALUE"""),"(27/01)  kendala Feeder LBY-FC Full")</f>
        <v>(27/01)  kendala Feeder LBY-FC Full</v>
      </c>
      <c r="R1215" s="228"/>
      <c r="S1215" s="11"/>
      <c r="T1215" s="11"/>
      <c r="U1215" s="11"/>
      <c r="V1215" s="229"/>
      <c r="W1215" s="229"/>
      <c r="X1215" s="229" t="str">
        <f>IFERROR(__xludf.DUMMYFUNCTION("""COMPUTED_VALUE"""),"BELUM GOLIVE")</f>
        <v>BELUM GOLIVE</v>
      </c>
      <c r="Y1215" s="229"/>
      <c r="Z1215" s="229" t="str">
        <f>IFERROR(__xludf.DUMMYFUNCTION("""COMPUTED_VALUE"""),"#N/A")</f>
        <v>#N/A</v>
      </c>
      <c r="AA1215" s="229"/>
      <c r="AB1215" s="229"/>
      <c r="AC1215" s="229"/>
      <c r="AD1215" s="232"/>
      <c r="AE1215" s="233"/>
      <c r="AF1215" s="54" t="str">
        <f>IFERROR(__xludf.DUMMYFUNCTION("""COMPUTED_VALUE"""),"Draft BA DROP")</f>
        <v>Draft BA DROP</v>
      </c>
      <c r="AG1215" s="54"/>
      <c r="AH1215" s="54"/>
      <c r="AI1215" s="55" t="str">
        <f t="shared" si="132"/>
        <v/>
      </c>
      <c r="AW1215" s="234"/>
      <c r="BP1215" s="11"/>
      <c r="BQ1215" s="11"/>
      <c r="BR1215" s="235"/>
      <c r="BV1215" s="158"/>
      <c r="BY1215" s="158"/>
      <c r="CB1215" s="158"/>
    </row>
    <row r="1216" ht="18.0" hidden="1" customHeight="1">
      <c r="A1216" s="222">
        <f>IFERROR(__xludf.DUMMYFUNCTION("""COMPUTED_VALUE"""),2026.0)</f>
        <v>2026</v>
      </c>
      <c r="B1216" s="221">
        <f>IFERROR(__xludf.DUMMYFUNCTION("""COMPUTED_VALUE"""),1.1192615E7)</f>
        <v>11192615</v>
      </c>
      <c r="C1216" s="222" t="str">
        <f>IFERROR(__xludf.DUMMYFUNCTION("""COMPUTED_VALUE"""),"MDN PT3 TMU-FAE JL.PERJUANGAN GG.BERSAMA")</f>
        <v>MDN PT3 TMU-FAE JL.PERJUANGAN GG.BERSAMA</v>
      </c>
      <c r="D1216" s="222" t="str">
        <f>IFERROR(__xludf.DUMMYFUNCTION("""COMPUTED_VALUE"""),"REGIONAL I")</f>
        <v>REGIONAL I</v>
      </c>
      <c r="E1216" s="222" t="str">
        <f>IFERROR(__xludf.DUMMYFUNCTION("""COMPUTED_VALUE"""),"MEDAN")</f>
        <v>MEDAN</v>
      </c>
      <c r="F1216" s="222" t="str">
        <f>IFERROR(__xludf.DUMMYFUNCTION("""COMPUTED_VALUE"""),"TMU")</f>
        <v>TMU</v>
      </c>
      <c r="G1216" s="222" t="str">
        <f>IFERROR(__xludf.DUMMYFUNCTION("""COMPUTED_VALUE"""),"SUMBAGUT")</f>
        <v>SUMBAGUT</v>
      </c>
      <c r="H1216" s="222" t="str">
        <f>IFERROR(__xludf.DUMMYFUNCTION("""COMPUTED_VALUE"""),"MEDAN")</f>
        <v>MEDAN</v>
      </c>
      <c r="I1216" s="222" t="str">
        <f>IFERROR(__xludf.DUMMYFUNCTION("""COMPUTED_VALUE"""),"Batch 2")</f>
        <v>Batch 2</v>
      </c>
      <c r="J1216" s="225">
        <f>IFERROR(__xludf.DUMMYFUNCTION("""COMPUTED_VALUE"""),1.0)</f>
        <v>1</v>
      </c>
      <c r="K1216" s="224">
        <f>IFERROR(__xludf.DUMMYFUNCTION("""COMPUTED_VALUE"""),8.0)</f>
        <v>8</v>
      </c>
      <c r="L1216" s="226">
        <f>IFERROR(__xludf.DUMMYFUNCTION("""COMPUTED_VALUE"""),1371161.0)</f>
        <v>1371161</v>
      </c>
      <c r="M1216" s="227">
        <f>IFERROR(__xludf.DUMMYFUNCTION("""COMPUTED_VALUE"""),1.0969281E7)</f>
        <v>10969281</v>
      </c>
      <c r="N1216" s="222" t="str">
        <f>IFERROR(__xludf.DUMMYFUNCTION("""COMPUTED_VALUE"""),"PT GLOBAL KARYA WANDA")</f>
        <v>PT GLOBAL KARYA WANDA</v>
      </c>
      <c r="O1216" s="222" t="str">
        <f>IFERROR(__xludf.DUMMYFUNCTION("""COMPUTED_VALUE"""),"0. DROP")</f>
        <v>0. DROP</v>
      </c>
      <c r="P1216" s="222" t="str">
        <f>IFERROR(__xludf.DUMMYFUNCTION("""COMPUTED_VALUE"""),"0.4 CPP Tinggi Acc ED TIF")</f>
        <v>0.4 CPP Tinggi Acc ED TIF</v>
      </c>
      <c r="Q1216" s="222" t="str">
        <f>IFERROR(__xludf.DUMMYFUNCTION("""COMPUTED_VALUE"""),"14/11 Feeder redeti
16/10 Feeder Redaman Tinggi
(24/09) Perizinan Warga dan Kades / Lurah
(23/09) Perizinan Warga dan Kades / Lurah
15/09 proses aanwijzing")</f>
        <v>14/11 Feeder redeti
16/10 Feeder Redaman Tinggi
(24/09) Perizinan Warga dan Kades / Lurah
(23/09) Perizinan Warga dan Kades / Lurah
15/09 proses aanwijzing</v>
      </c>
      <c r="R1216" s="228"/>
      <c r="S1216" s="11"/>
      <c r="T1216" s="11"/>
      <c r="U1216" s="11"/>
      <c r="V1216" s="229"/>
      <c r="W1216" s="229"/>
      <c r="X1216" s="229" t="str">
        <f>IFERROR(__xludf.DUMMYFUNCTION("""COMPUTED_VALUE"""),"BELUM GOLIVE")</f>
        <v>BELUM GOLIVE</v>
      </c>
      <c r="Y1216" s="229"/>
      <c r="Z1216" s="229" t="str">
        <f>IFERROR(__xludf.DUMMYFUNCTION("""COMPUTED_VALUE"""),"#N/A")</f>
        <v>#N/A</v>
      </c>
      <c r="AA1216" s="229"/>
      <c r="AB1216" s="229"/>
      <c r="AC1216" s="229"/>
      <c r="AD1216" s="232"/>
      <c r="AE1216" s="233"/>
      <c r="AF1216" s="54" t="str">
        <f>IFERROR(__xludf.DUMMYFUNCTION("""COMPUTED_VALUE"""),"Draft BA DROP")</f>
        <v>Draft BA DROP</v>
      </c>
      <c r="AG1216" s="54"/>
      <c r="AH1216" s="54"/>
      <c r="AI1216" s="55" t="str">
        <f t="shared" si="132"/>
        <v/>
      </c>
      <c r="AW1216" s="234"/>
      <c r="BP1216" s="11"/>
      <c r="BQ1216" s="11"/>
      <c r="BR1216" s="235"/>
      <c r="BV1216" s="158"/>
      <c r="BY1216" s="158"/>
      <c r="CB1216" s="158"/>
    </row>
    <row r="1217" ht="18.0" hidden="1" customHeight="1">
      <c r="A1217" s="222">
        <f>IFERROR(__xludf.DUMMYFUNCTION("""COMPUTED_VALUE"""),2026.0)</f>
        <v>2026</v>
      </c>
      <c r="B1217" s="221">
        <f>IFERROR(__xludf.DUMMYFUNCTION("""COMPUTED_VALUE"""),1.1761451E7)</f>
        <v>11761451</v>
      </c>
      <c r="C1217" s="222" t="str">
        <f>IFERROR(__xludf.DUMMYFUNCTION("""COMPUTED_VALUE"""),"SMS P4I2 PT3 SPP FZ D04 JLN SUHADA")</f>
        <v>SMS P4I2 PT3 SPP FZ D04 JLN SUHADA</v>
      </c>
      <c r="D1217" s="222" t="str">
        <f>IFERROR(__xludf.DUMMYFUNCTION("""COMPUTED_VALUE"""),"REGIONAL I")</f>
        <v>REGIONAL I</v>
      </c>
      <c r="E1217" s="222" t="str">
        <f>IFERROR(__xludf.DUMMYFUNCTION("""COMPUTED_VALUE"""),"SUMSEL")</f>
        <v>SUMSEL</v>
      </c>
      <c r="F1217" s="222" t="str">
        <f>IFERROR(__xludf.DUMMYFUNCTION("""COMPUTED_VALUE"""),"SPP")</f>
        <v>SPP</v>
      </c>
      <c r="G1217" s="222" t="str">
        <f>IFERROR(__xludf.DUMMYFUNCTION("""COMPUTED_VALUE"""),"SUMBAGSEL")</f>
        <v>SUMBAGSEL</v>
      </c>
      <c r="H1217" s="222" t="str">
        <f>IFERROR(__xludf.DUMMYFUNCTION("""COMPUTED_VALUE"""),"BENGKULU")</f>
        <v>BENGKULU</v>
      </c>
      <c r="I1217" s="222" t="str">
        <f>IFERROR(__xludf.DUMMYFUNCTION("""COMPUTED_VALUE"""),"Batch 2")</f>
        <v>Batch 2</v>
      </c>
      <c r="J1217" s="225">
        <f>IFERROR(__xludf.DUMMYFUNCTION("""COMPUTED_VALUE"""),5.0)</f>
        <v>5</v>
      </c>
      <c r="K1217" s="224">
        <f>IFERROR(__xludf.DUMMYFUNCTION("""COMPUTED_VALUE"""),40.0)</f>
        <v>40</v>
      </c>
      <c r="L1217" s="226">
        <f>IFERROR(__xludf.DUMMYFUNCTION("""COMPUTED_VALUE"""),827432.0)</f>
        <v>827432</v>
      </c>
      <c r="M1217" s="227">
        <f>IFERROR(__xludf.DUMMYFUNCTION("""COMPUTED_VALUE"""),3.3097267E7)</f>
        <v>33097267</v>
      </c>
      <c r="N1217" s="222" t="str">
        <f>IFERROR(__xludf.DUMMYFUNCTION("""COMPUTED_VALUE"""),"PT HAN SUNG INDONESIA")</f>
        <v>PT HAN SUNG INDONESIA</v>
      </c>
      <c r="O1217" s="222" t="str">
        <f>IFERROR(__xludf.DUMMYFUNCTION("""COMPUTED_VALUE"""),"7. GOLIVE")</f>
        <v>7. GOLIVE</v>
      </c>
      <c r="P1217" s="222" t="str">
        <f>IFERROR(__xludf.DUMMYFUNCTION("""COMPUTED_VALUE"""),"7.2 Golive Full / OA / DONE OTB")</f>
        <v>7.2 Golive Full / OA / DONE OTB</v>
      </c>
      <c r="Q1217" s="222" t="str">
        <f>IFERROR(__xludf.DUMMYFUNCTION("""COMPUTED_VALUE"""),"25/03 NEED REPAIR KRNA REDAMAN TINGGI, 17/03 GOLIVE, 16/03 DONE SUBMIT ABD KE SDI, 14/03 OGP VALINS, 13/03 LANJUT PROGRESS LAPANGAN, 12/03 DONE PENCARIAN CORE - SOLUSINYA DR ODC SPP FAC dl jadi dr SPP FZ, 11/03 MASIH PENCARIAN CORE FEEDER, 02/03 MASIH PEN"&amp;"CARIAN CORE FEEDER, (28/2)need support mtc untuk pencarian core feeder (27/02) MASIH PELURUSAN CORE FEEDER, 24/02 PELURUSAN FEEDER YG LOSS, 22/2 progress JUMPER 16/02 PEMASANGAN 5 ODP, 15/02 PENANAMAN TIANG 16 DAN PENARIKAN KABEL 860, (14/2)material onsit"&amp;"e 12/02 PROSES MATDEL, 11/2 PLAN 12 FEB MATDEL  09/02, DONE INPUT MATERIAL, 6/2 sdh create PID - kendala di ALISTA  04/02 LANJUT DRM, (30/01) DONE EVAL, LANJUT PROGRES ADA KENAIKAN 5% DRI BOQ PLAN, (26/1) tim TIF belum bisa EVAL hasil anwijzing karena lag"&amp;"i diluar kota , estimasi 29 jan baru kembali ke Palembang, (24/1) menunggu hasil eval ke tif plan 26 jan  (21/01) done aanwizjing, proses pembuatan update anawjizng untuk eval dg tif, (06/01)order JPP batch-2 2026 ((14/11)HOLD-  tidak masuk target Optimis"&amp;" 2025 ((11/11) Penunjukkan MITRA  oleh Procurement 
14/01 sudah penunjukan mitra oleh procurement")</f>
        <v>25/03 NEED REPAIR KRNA REDAMAN TINGGI, 17/03 GOLIVE, 16/03 DONE SUBMIT ABD KE SDI, 14/03 OGP VALINS, 13/03 LANJUT PROGRESS LAPANGAN, 12/03 DONE PENCARIAN CORE - SOLUSINYA DR ODC SPP FAC dl jadi dr SPP FZ, 11/03 MASIH PENCARIAN CORE FEEDER, 02/03 MASIH PENCARIAN CORE FEEDER, (28/2)need support mtc untuk pencarian core feeder (27/02) MASIH PELURUSAN CORE FEEDER, 24/02 PELURUSAN FEEDER YG LOSS, 22/2 progress JUMPER 16/02 PEMASANGAN 5 ODP, 15/02 PENANAMAN TIANG 16 DAN PENARIKAN KABEL 860, (14/2)material onsite 12/02 PROSES MATDEL, 11/2 PLAN 12 FEB MATDEL  09/02, DONE INPUT MATERIAL, 6/2 sdh create PID - kendala di ALISTA  04/02 LANJUT DRM, (30/01) DONE EVAL, LANJUT PROGRES ADA KENAIKAN 5% DRI BOQ PLAN, (26/1) tim TIF belum bisa EVAL hasil anwijzing karena lagi diluar kota , estimasi 29 jan baru kembali ke Palembang, (24/1) menunggu hasil eval ke tif plan 26 jan  (21/01) done aanwizjing, proses pembuatan update anawjizng untuk eval dg tif, (06/01)order JPP batch-2 2026 ((14/11)HOLD-  tidak masuk target Optimis 2025 ((11/11) Penunjukkan MITRA  oleh Procurement 
14/01 sudah penunjukan mitra oleh procurement</v>
      </c>
      <c r="R1217" s="228">
        <f>IFERROR(__xludf.DUMMYFUNCTION("""COMPUTED_VALUE"""),46112.0)</f>
        <v>46112</v>
      </c>
      <c r="S1217" s="11" t="str">
        <f>IFERROR(__xludf.DUMMYFUNCTION("""COMPUTED_VALUE"""),"MAR")</f>
        <v>MAR</v>
      </c>
      <c r="T1217" s="11" t="str">
        <f>IFERROR(__xludf.DUMMYFUNCTION("""COMPUTED_VALUE"""),"P1")</f>
        <v>P1</v>
      </c>
      <c r="U1217" s="11"/>
      <c r="V1217" s="229" t="str">
        <f>IFERROR(__xludf.DUMMYFUNCTION("""COMPUTED_VALUE"""),"PUTRA")</f>
        <v>PUTRA</v>
      </c>
      <c r="W1217" s="229"/>
      <c r="X1217" s="229" t="str">
        <f>IFERROR(__xludf.DUMMYFUNCTION("""COMPUTED_VALUE"""),"GOLIVE")</f>
        <v>GOLIVE</v>
      </c>
      <c r="Y1217" s="229" t="str">
        <f>IFERROR(__xludf.DUMMYFUNCTION("""COMPUTED_VALUE"""),"DONE")</f>
        <v>DONE</v>
      </c>
      <c r="Z1217" s="229" t="str">
        <f>IFERROR(__xludf.DUMMYFUNCTION("""COMPUTED_VALUE"""),"#N/A")</f>
        <v>#N/A</v>
      </c>
      <c r="AA1217" s="229">
        <f>IFERROR(__xludf.DUMMYFUNCTION("""COMPUTED_VALUE"""),5.0)</f>
        <v>5</v>
      </c>
      <c r="AB1217" s="229"/>
      <c r="AC1217" s="229" t="str">
        <f>IFERROR(__xludf.DUMMYFUNCTION("""COMPUTED_VALUE"""),"8938653#8938658")</f>
        <v>8938653#8938658</v>
      </c>
      <c r="AD1217" s="232">
        <f>IFERROR(__xludf.DUMMYFUNCTION("""COMPUTED_VALUE"""),40.0)</f>
        <v>40</v>
      </c>
      <c r="AE1217" s="233">
        <f>IFERROR(__xludf.DUMMYFUNCTION("""COMPUTED_VALUE"""),46097.0)</f>
        <v>46097</v>
      </c>
      <c r="AF1217" s="54"/>
      <c r="AG1217" s="54"/>
      <c r="AH1217" s="54">
        <v>46112.0</v>
      </c>
      <c r="AI1217" s="55">
        <f t="shared" si="132"/>
        <v>15</v>
      </c>
      <c r="AW1217" s="234"/>
      <c r="BP1217" s="11"/>
      <c r="BQ1217" s="11"/>
      <c r="BR1217" s="235"/>
      <c r="BV1217" s="158"/>
      <c r="BY1217" s="158"/>
      <c r="CB1217" s="158"/>
    </row>
    <row r="1218" ht="18.0" hidden="1" customHeight="1">
      <c r="A1218" s="222">
        <f>IFERROR(__xludf.DUMMYFUNCTION("""COMPUTED_VALUE"""),2026.0)</f>
        <v>2026</v>
      </c>
      <c r="B1218" s="221">
        <f>IFERROR(__xludf.DUMMYFUNCTION("""COMPUTED_VALUE"""),1.1272382E7)</f>
        <v>11272382</v>
      </c>
      <c r="C1218" s="222" t="str">
        <f>IFERROR(__xludf.DUMMYFUNCTION("""COMPUTED_VALUE"""),"MDN PT3 P1I1 TJR-FAL ASRI TAREMEDANG")</f>
        <v>MDN PT3 P1I1 TJR-FAL ASRI TAREMEDANG</v>
      </c>
      <c r="D1218" s="222" t="str">
        <f>IFERROR(__xludf.DUMMYFUNCTION("""COMPUTED_VALUE"""),"REGIONAL I")</f>
        <v>REGIONAL I</v>
      </c>
      <c r="E1218" s="222" t="str">
        <f>IFERROR(__xludf.DUMMYFUNCTION("""COMPUTED_VALUE"""),"MEDAN")</f>
        <v>MEDAN</v>
      </c>
      <c r="F1218" s="222" t="str">
        <f>IFERROR(__xludf.DUMMYFUNCTION("""COMPUTED_VALUE"""),"TJR")</f>
        <v>TJR</v>
      </c>
      <c r="G1218" s="222" t="str">
        <f>IFERROR(__xludf.DUMMYFUNCTION("""COMPUTED_VALUE"""),"SUMBAGUT")</f>
        <v>SUMBAGUT</v>
      </c>
      <c r="H1218" s="222" t="str">
        <f>IFERROR(__xludf.DUMMYFUNCTION("""COMPUTED_VALUE"""),"MEDAN")</f>
        <v>MEDAN</v>
      </c>
      <c r="I1218" s="222" t="str">
        <f>IFERROR(__xludf.DUMMYFUNCTION("""COMPUTED_VALUE"""),"Batch 2")</f>
        <v>Batch 2</v>
      </c>
      <c r="J1218" s="225">
        <f>IFERROR(__xludf.DUMMYFUNCTION("""COMPUTED_VALUE"""),8.0)</f>
        <v>8</v>
      </c>
      <c r="K1218" s="224">
        <f>IFERROR(__xludf.DUMMYFUNCTION("""COMPUTED_VALUE"""),64.0)</f>
        <v>64</v>
      </c>
      <c r="L1218" s="226">
        <f>IFERROR(__xludf.DUMMYFUNCTION("""COMPUTED_VALUE"""),826457.0)</f>
        <v>826457</v>
      </c>
      <c r="M1218" s="227">
        <f>IFERROR(__xludf.DUMMYFUNCTION("""COMPUTED_VALUE"""),5.2893239E7)</f>
        <v>52893239</v>
      </c>
      <c r="N1218" s="222" t="str">
        <f>IFERROR(__xludf.DUMMYFUNCTION("""COMPUTED_VALUE"""),"PT NIAGA NUSANTARA DIVA")</f>
        <v>PT NIAGA NUSANTARA DIVA</v>
      </c>
      <c r="O1218" s="222" t="str">
        <f>IFERROR(__xludf.DUMMYFUNCTION("""COMPUTED_VALUE"""),"7. GOLIVE")</f>
        <v>7. GOLIVE</v>
      </c>
      <c r="P1218" s="222" t="str">
        <f>IFERROR(__xludf.DUMMYFUNCTION("""COMPUTED_VALUE"""),"7.2 Golive Full / OA / DONE OTB")</f>
        <v>7.2 Golive Full / OA / DONE OTB</v>
      </c>
      <c r="Q1218" s="222" t="str">
        <f>IFERROR(__xludf.DUMMYFUNCTION("""COMPUTED_VALUE"""),"26/03 golive sdi
26/03 pengecekan abd mancore
19/03 finish instalasi fisik
14/03 tanam tiang &amp; penarikan kabel
11/03 proses material
25/02 proses perizinan comcase 4 JT
01/02 order mitra
(07/01) Persiapan")</f>
        <v>26/03 golive sdi
26/03 pengecekan abd mancore
19/03 finish instalasi fisik
14/03 tanam tiang &amp; penarikan kabel
11/03 proses material
25/02 proses perizinan comcase 4 JT
01/02 order mitra
(07/01) Persiapan</v>
      </c>
      <c r="R1218" s="228"/>
      <c r="S1218" s="11"/>
      <c r="T1218" s="11"/>
      <c r="U1218" s="11"/>
      <c r="V1218" s="229"/>
      <c r="W1218" s="229"/>
      <c r="X1218" s="229" t="str">
        <f>IFERROR(__xludf.DUMMYFUNCTION("""COMPUTED_VALUE"""),"GOLIVE")</f>
        <v>GOLIVE</v>
      </c>
      <c r="Y1218" s="229" t="str">
        <f>IFERROR(__xludf.DUMMYFUNCTION("""COMPUTED_VALUE"""),"DONE")</f>
        <v>DONE</v>
      </c>
      <c r="Z1218" s="229" t="str">
        <f>IFERROR(__xludf.DUMMYFUNCTION("""COMPUTED_VALUE"""),"#N/A")</f>
        <v>#N/A</v>
      </c>
      <c r="AA1218" s="229">
        <f>IFERROR(__xludf.DUMMYFUNCTION("""COMPUTED_VALUE"""),8.0)</f>
        <v>8</v>
      </c>
      <c r="AB1218" s="229"/>
      <c r="AC1218" s="229" t="str">
        <f>IFERROR(__xludf.DUMMYFUNCTION("""COMPUTED_VALUE"""),"9223503#9223508")</f>
        <v>9223503#9223508</v>
      </c>
      <c r="AD1218" s="232">
        <f>IFERROR(__xludf.DUMMYFUNCTION("""COMPUTED_VALUE"""),64.0)</f>
        <v>64</v>
      </c>
      <c r="AE1218" s="233">
        <f>IFERROR(__xludf.DUMMYFUNCTION("""COMPUTED_VALUE"""),46107.0)</f>
        <v>46107</v>
      </c>
      <c r="AF1218" s="54"/>
      <c r="AG1218" s="54"/>
      <c r="AH1218" s="54"/>
      <c r="AI1218" s="55" t="str">
        <f t="shared" si="132"/>
        <v/>
      </c>
      <c r="AW1218" s="234"/>
      <c r="BP1218" s="11"/>
      <c r="BQ1218" s="11"/>
      <c r="BR1218" s="235"/>
      <c r="BV1218" s="158"/>
      <c r="BY1218" s="158"/>
      <c r="CB1218" s="158"/>
    </row>
    <row r="1219" ht="18.0" hidden="1" customHeight="1">
      <c r="A1219" s="222">
        <f>IFERROR(__xludf.DUMMYFUNCTION("""COMPUTED_VALUE"""),2026.0)</f>
        <v>2026</v>
      </c>
      <c r="B1219" s="221">
        <f>IFERROR(__xludf.DUMMYFUNCTION("""COMPUTED_VALUE"""),1.1197203E7)</f>
        <v>11197203</v>
      </c>
      <c r="C1219" s="222" t="str">
        <f>IFERROR(__xludf.DUMMYFUNCTION("""COMPUTED_VALUE"""),"MDN PT3 P7I7 DLT-FAA SCATER PALM")</f>
        <v>MDN PT3 P7I7 DLT-FAA SCATER PALM</v>
      </c>
      <c r="D1219" s="222" t="str">
        <f>IFERROR(__xludf.DUMMYFUNCTION("""COMPUTED_VALUE"""),"REGIONAL I")</f>
        <v>REGIONAL I</v>
      </c>
      <c r="E1219" s="222" t="str">
        <f>IFERROR(__xludf.DUMMYFUNCTION("""COMPUTED_VALUE"""),"MEDAN")</f>
        <v>MEDAN</v>
      </c>
      <c r="F1219" s="222" t="str">
        <f>IFERROR(__xludf.DUMMYFUNCTION("""COMPUTED_VALUE"""),"DLT")</f>
        <v>DLT</v>
      </c>
      <c r="G1219" s="222" t="str">
        <f>IFERROR(__xludf.DUMMYFUNCTION("""COMPUTED_VALUE"""),"SUMBAGUT")</f>
        <v>SUMBAGUT</v>
      </c>
      <c r="H1219" s="222" t="str">
        <f>IFERROR(__xludf.DUMMYFUNCTION("""COMPUTED_VALUE"""),"MEDAN")</f>
        <v>MEDAN</v>
      </c>
      <c r="I1219" s="222" t="str">
        <f>IFERROR(__xludf.DUMMYFUNCTION("""COMPUTED_VALUE"""),"Batch 2")</f>
        <v>Batch 2</v>
      </c>
      <c r="J1219" s="225">
        <f>IFERROR(__xludf.DUMMYFUNCTION("""COMPUTED_VALUE"""),2.0)</f>
        <v>2</v>
      </c>
      <c r="K1219" s="224">
        <f>IFERROR(__xludf.DUMMYFUNCTION("""COMPUTED_VALUE"""),16.0)</f>
        <v>16</v>
      </c>
      <c r="L1219" s="226">
        <f>IFERROR(__xludf.DUMMYFUNCTION("""COMPUTED_VALUE"""),1296326.0)</f>
        <v>1296326</v>
      </c>
      <c r="M1219" s="227">
        <f>IFERROR(__xludf.DUMMYFUNCTION("""COMPUTED_VALUE"""),2.0741208E7)</f>
        <v>20741208</v>
      </c>
      <c r="N1219" s="222" t="str">
        <f>IFERROR(__xludf.DUMMYFUNCTION("""COMPUTED_VALUE"""),"PT SALTTEK DUMPANG JAYA")</f>
        <v>PT SALTTEK DUMPANG JAYA</v>
      </c>
      <c r="O1219" s="222" t="str">
        <f>IFERROR(__xludf.DUMMYFUNCTION("""COMPUTED_VALUE"""),"7. GOLIVE")</f>
        <v>7. GOLIVE</v>
      </c>
      <c r="P1219" s="222" t="str">
        <f>IFERROR(__xludf.DUMMYFUNCTION("""COMPUTED_VALUE"""),"7.2 Golive Full / OA / DONE OTB")</f>
        <v>7.2 Golive Full / OA / DONE OTB</v>
      </c>
      <c r="Q1219" s="222" t="str">
        <f>IFERROR(__xludf.DUMMYFUNCTION("""COMPUTED_VALUE"""),"03/03 pengajuan redesign petikan ke DS 06 karena plan sisa 1 core 02/03 komitmen ABD 05/03 03/02 Penarikan KU dan tanam tiang 19/02 Req Material 05/02 Kades minta comcase 8.5 jt")</f>
        <v>03/03 pengajuan redesign petikan ke DS 06 karena plan sisa 1 core 02/03 komitmen ABD 05/03 03/02 Penarikan KU dan tanam tiang 19/02 Req Material 05/02 Kades minta comcase 8.5 jt</v>
      </c>
      <c r="R1219" s="228">
        <f>IFERROR(__xludf.DUMMYFUNCTION("""COMPUTED_VALUE"""),46088.0)</f>
        <v>46088</v>
      </c>
      <c r="S1219" s="11" t="str">
        <f>IFERROR(__xludf.DUMMYFUNCTION("""COMPUTED_VALUE"""),"MAR")</f>
        <v>MAR</v>
      </c>
      <c r="T1219" s="11"/>
      <c r="U1219" s="11"/>
      <c r="V1219" s="229"/>
      <c r="W1219" s="229"/>
      <c r="X1219" s="229" t="str">
        <f>IFERROR(__xludf.DUMMYFUNCTION("""COMPUTED_VALUE"""),"GOLIVE")</f>
        <v>GOLIVE</v>
      </c>
      <c r="Y1219" s="229" t="str">
        <f>IFERROR(__xludf.DUMMYFUNCTION("""COMPUTED_VALUE"""),"DONE")</f>
        <v>DONE</v>
      </c>
      <c r="Z1219" s="229" t="str">
        <f>IFERROR(__xludf.DUMMYFUNCTION("""COMPUTED_VALUE"""),"#N/A")</f>
        <v>#N/A</v>
      </c>
      <c r="AA1219" s="229">
        <f>IFERROR(__xludf.DUMMYFUNCTION("""COMPUTED_VALUE"""),2.0)</f>
        <v>2</v>
      </c>
      <c r="AB1219" s="229"/>
      <c r="AC1219" s="229" t="str">
        <f>IFERROR(__xludf.DUMMYFUNCTION("""COMPUTED_VALUE"""),"9186651#9186656")</f>
        <v>9186651#9186656</v>
      </c>
      <c r="AD1219" s="232">
        <f>IFERROR(__xludf.DUMMYFUNCTION("""COMPUTED_VALUE"""),16.0)</f>
        <v>16</v>
      </c>
      <c r="AE1219" s="233">
        <f>IFERROR(__xludf.DUMMYFUNCTION("""COMPUTED_VALUE"""),46088.0)</f>
        <v>46088</v>
      </c>
      <c r="AF1219" s="54"/>
      <c r="AG1219" s="54"/>
      <c r="AH1219" s="54">
        <v>46088.0</v>
      </c>
      <c r="AI1219" s="55">
        <f t="shared" si="132"/>
        <v>0</v>
      </c>
      <c r="AW1219" s="234"/>
      <c r="BP1219" s="11"/>
      <c r="BQ1219" s="11"/>
      <c r="BR1219" s="235"/>
      <c r="BV1219" s="158"/>
      <c r="BY1219" s="158"/>
      <c r="CB1219" s="158"/>
    </row>
    <row r="1220" ht="18.0" hidden="1" customHeight="1">
      <c r="A1220" s="222">
        <f>IFERROR(__xludf.DUMMYFUNCTION("""COMPUTED_VALUE"""),2026.0)</f>
        <v>2026</v>
      </c>
      <c r="B1220" s="221">
        <f>IFERROR(__xludf.DUMMYFUNCTION("""COMPUTED_VALUE"""),1.1782844E7)</f>
        <v>11782844</v>
      </c>
      <c r="C1220" s="222" t="str">
        <f>IFERROR(__xludf.DUMMYFUNCTION("""COMPUTED_VALUE"""),"LPG PT3 JPP BANJARAN PADANG CERMIN TJK")</f>
        <v>LPG PT3 JPP BANJARAN PADANG CERMIN TJK</v>
      </c>
      <c r="D1220" s="222" t="str">
        <f>IFERROR(__xludf.DUMMYFUNCTION("""COMPUTED_VALUE"""),"REGIONAL I")</f>
        <v>REGIONAL I</v>
      </c>
      <c r="E1220" s="222" t="str">
        <f>IFERROR(__xludf.DUMMYFUNCTION("""COMPUTED_VALUE"""),"LAMPUNG")</f>
        <v>LAMPUNG</v>
      </c>
      <c r="F1220" s="222" t="str">
        <f>IFERROR(__xludf.DUMMYFUNCTION("""COMPUTED_VALUE"""),"TJK")</f>
        <v>TJK</v>
      </c>
      <c r="G1220" s="222" t="str">
        <f>IFERROR(__xludf.DUMMYFUNCTION("""COMPUTED_VALUE"""),"SUMBAGSEL")</f>
        <v>SUMBAGSEL</v>
      </c>
      <c r="H1220" s="222" t="str">
        <f>IFERROR(__xludf.DUMMYFUNCTION("""COMPUTED_VALUE"""),"LAMPUNG")</f>
        <v>LAMPUNG</v>
      </c>
      <c r="I1220" s="222" t="str">
        <f>IFERROR(__xludf.DUMMYFUNCTION("""COMPUTED_VALUE"""),"Batch 2")</f>
        <v>Batch 2</v>
      </c>
      <c r="J1220" s="225">
        <f>IFERROR(__xludf.DUMMYFUNCTION("""COMPUTED_VALUE"""),46.0)</f>
        <v>46</v>
      </c>
      <c r="K1220" s="224">
        <f>IFERROR(__xludf.DUMMYFUNCTION("""COMPUTED_VALUE"""),368.0)</f>
        <v>368</v>
      </c>
      <c r="L1220" s="226">
        <f>IFERROR(__xludf.DUMMYFUNCTION("""COMPUTED_VALUE"""),1282645.0)</f>
        <v>1282645</v>
      </c>
      <c r="M1220" s="227">
        <f>IFERROR(__xludf.DUMMYFUNCTION("""COMPUTED_VALUE"""),4.7201302E8)</f>
        <v>472013020</v>
      </c>
      <c r="N1220" s="222" t="str">
        <f>IFERROR(__xludf.DUMMYFUNCTION("""COMPUTED_VALUE"""),"PT SARANA MITRA PERSADA")</f>
        <v>PT SARANA MITRA PERSADA</v>
      </c>
      <c r="O1220" s="222" t="str">
        <f>IFERROR(__xludf.DUMMYFUNCTION("""COMPUTED_VALUE"""),"6. FINISH INSTALASI")</f>
        <v>6. FINISH INSTALASI</v>
      </c>
      <c r="P1220" s="222" t="str">
        <f>IFERROR(__xludf.DUMMYFUNCTION("""COMPUTED_VALUE"""),"6.4 Kendala - Modul OLT")</f>
        <v>6.4 Kendala - Modul OLT</v>
      </c>
      <c r="Q1220" s="222" t="str">
        <f>IFERROR(__xludf.DUMMYFUNCTION("""COMPUTED_VALUE"""),"24/4 kendala kurang olt 4 port, 6/4 Port OLT habis kurang 4 Port dari total 12 Port 2/4 proses instalasi odp 
31/3 proses instalasi dan proses negosiasi dengan polisi 
25/3 PROGRESS DI HOLD OLEH PIHAK POLSEK  13/3 proses penarikan kabel , plan fi 17/3 ,pl"&amp;"an abd/valin
2/3 hari ini ambil material , plan fi 25/3 plan golive  3/4 
27/2 PROGRES MATDEL, 23/2 plan matdel 25/2 18/2  menunggu pak radit konfirmasi ke pak erwin 11/2 KENDALA AMBIL MATERIAL, KARENA PRPO BARU CLEAR PLAN 13 FEB  (9/2)PLAN MATDEL 10 FEB "&amp;"6/2 plan matdel 10/2 
4/2 stok material kosong ,estimasi tiba 07/2 
19/1 PENGECEKAN MINI OLT ")</f>
        <v>24/4 kendala kurang olt 4 port, 6/4 Port OLT habis kurang 4 Port dari total 12 Port 2/4 proses instalasi odp 
31/3 proses instalasi dan proses negosiasi dengan polisi 
25/3 PROGRESS DI HOLD OLEH PIHAK POLSEK  13/3 proses penarikan kabel , plan fi 17/3 ,plan abd/valin
2/3 hari ini ambil material , plan fi 25/3 plan golive  3/4 
27/2 PROGRES MATDEL, 23/2 plan matdel 25/2 18/2  menunggu pak radit konfirmasi ke pak erwin 11/2 KENDALA AMBIL MATERIAL, KARENA PRPO BARU CLEAR PLAN 13 FEB  (9/2)PLAN MATDEL 10 FEB 6/2 plan matdel 10/2 
4/2 stok material kosong ,estimasi tiba 07/2 
19/1 PENGECEKAN MINI OLT </v>
      </c>
      <c r="R1220" s="228">
        <f>IFERROR(__xludf.DUMMYFUNCTION("""COMPUTED_VALUE"""),46142.0)</f>
        <v>46142</v>
      </c>
      <c r="S1220" s="11"/>
      <c r="T1220" s="11" t="str">
        <f>IFERROR(__xludf.DUMMYFUNCTION("""COMPUTED_VALUE"""),"P1")</f>
        <v>P1</v>
      </c>
      <c r="U1220" s="11" t="str">
        <f>IFERROR(__xludf.DUMMYFUNCTION("""COMPUTED_VALUE"""),"TIF-3635/2026")</f>
        <v>TIF-3635/2026</v>
      </c>
      <c r="V1220" s="229"/>
      <c r="W1220" s="229"/>
      <c r="X1220" s="229" t="str">
        <f>IFERROR(__xludf.DUMMYFUNCTION("""COMPUTED_VALUE"""),"BELUM GOLIVE")</f>
        <v>BELUM GOLIVE</v>
      </c>
      <c r="Y1220" s="229"/>
      <c r="Z1220" s="229" t="str">
        <f>IFERROR(__xludf.DUMMYFUNCTION("""COMPUTED_VALUE"""),"#N/A")</f>
        <v>#N/A</v>
      </c>
      <c r="AA1220" s="229"/>
      <c r="AB1220" s="229"/>
      <c r="AC1220" s="229"/>
      <c r="AD1220" s="232"/>
      <c r="AE1220" s="233"/>
      <c r="AF1220" s="54"/>
      <c r="AG1220" s="54"/>
      <c r="AH1220" s="54"/>
      <c r="AI1220" s="55" t="str">
        <f t="shared" si="132"/>
        <v/>
      </c>
      <c r="AW1220" s="234"/>
      <c r="BP1220" s="11"/>
      <c r="BQ1220" s="11"/>
      <c r="BR1220" s="235"/>
      <c r="BV1220" s="158"/>
      <c r="BY1220" s="158"/>
      <c r="CB1220" s="158"/>
    </row>
    <row r="1221" ht="18.0" customHeight="1">
      <c r="A1221" s="222">
        <f>IFERROR(__xludf.DUMMYFUNCTION("""COMPUTED_VALUE"""),2026.0)</f>
        <v>2026</v>
      </c>
      <c r="B1221" s="221">
        <f>IFERROR(__xludf.DUMMYFUNCTION("""COMPUTED_VALUE"""),1.13146E7)</f>
        <v>11314600</v>
      </c>
      <c r="C1221" s="222" t="str">
        <f>IFERROR(__xludf.DUMMYFUNCTION("""COMPUTED_VALUE"""),"SMB P2I1 STTF - SWL 02")</f>
        <v>SMB P2I1 STTF - SWL 02</v>
      </c>
      <c r="D1221" s="222" t="str">
        <f>IFERROR(__xludf.DUMMYFUNCTION("""COMPUTED_VALUE"""),"REGIONAL I")</f>
        <v>REGIONAL I</v>
      </c>
      <c r="E1221" s="222" t="str">
        <f>IFERROR(__xludf.DUMMYFUNCTION("""COMPUTED_VALUE"""),"SUMBAR")</f>
        <v>SUMBAR</v>
      </c>
      <c r="F1221" s="222" t="str">
        <f>IFERROR(__xludf.DUMMYFUNCTION("""COMPUTED_VALUE"""),"TWI")</f>
        <v>TWI</v>
      </c>
      <c r="G1221" s="222" t="str">
        <f>IFERROR(__xludf.DUMMYFUNCTION("""COMPUTED_VALUE"""),"SUMBAGTENG")</f>
        <v>SUMBAGTENG</v>
      </c>
      <c r="H1221" s="222" t="str">
        <f>IFERROR(__xludf.DUMMYFUNCTION("""COMPUTED_VALUE"""),"PADANG")</f>
        <v>PADANG</v>
      </c>
      <c r="I1221" s="222" t="str">
        <f>IFERROR(__xludf.DUMMYFUNCTION("""COMPUTED_VALUE"""),"Batch 2")</f>
        <v>Batch 2</v>
      </c>
      <c r="J1221" s="225">
        <f>IFERROR(__xludf.DUMMYFUNCTION("""COMPUTED_VALUE"""),3.0)</f>
        <v>3</v>
      </c>
      <c r="K1221" s="224">
        <f>IFERROR(__xludf.DUMMYFUNCTION("""COMPUTED_VALUE"""),24.0)</f>
        <v>24</v>
      </c>
      <c r="L1221" s="226">
        <f>IFERROR(__xludf.DUMMYFUNCTION("""COMPUTED_VALUE"""),826455.0)</f>
        <v>826455</v>
      </c>
      <c r="M1221" s="227">
        <f>IFERROR(__xludf.DUMMYFUNCTION("""COMPUTED_VALUE"""),1.9834908E7)</f>
        <v>19834908</v>
      </c>
      <c r="N1221" s="222" t="str">
        <f>IFERROR(__xludf.DUMMYFUNCTION("""COMPUTED_VALUE"""),"PT TANJUNG PUTRA PRIMA")</f>
        <v>PT TANJUNG PUTRA PRIMA</v>
      </c>
      <c r="O1221" s="222" t="str">
        <f>IFERROR(__xludf.DUMMYFUNCTION("""COMPUTED_VALUE"""),"0. DROP")</f>
        <v>0. DROP</v>
      </c>
      <c r="P1221" s="222" t="str">
        <f>IFERROR(__xludf.DUMMYFUNCTION("""COMPUTED_VALUE"""),"0.5 DROP TSEL - Acc ED TIF")</f>
        <v>0.5 DROP TSEL - Acc ED TIF</v>
      </c>
      <c r="Q1221" s="222" t="str">
        <f>IFERROR(__xludf.DUMMYFUNCTION("""COMPUTED_VALUE"""),"(05/03) doubel order SMB P2I1 STTF - SWL 02   (02/03) proses aanwijziing (26/01) DROP, permintaan tsel (tidak potensial) ")</f>
        <v>(05/03) doubel order SMB P2I1 STTF - SWL 02   (02/03) proses aanwijziing (26/01) DROP, permintaan tsel (tidak potensial) </v>
      </c>
      <c r="R1221" s="228"/>
      <c r="S1221" s="11"/>
      <c r="T1221" s="11"/>
      <c r="U1221" s="11"/>
      <c r="V1221" s="229" t="str">
        <f>IFERROR(__xludf.DUMMYFUNCTION("""COMPUTED_VALUE"""),"YULIO NOVIKO")</f>
        <v>YULIO NOVIKO</v>
      </c>
      <c r="W1221" s="229" t="str">
        <f>IFERROR(__xludf.DUMMYFUNCTION("""COMPUTED_VALUE"""),"MELKO NARWADI")</f>
        <v>MELKO NARWADI</v>
      </c>
      <c r="X1221" s="229" t="str">
        <f>IFERROR(__xludf.DUMMYFUNCTION("""COMPUTED_VALUE"""),"BELUM GOLIVE")</f>
        <v>BELUM GOLIVE</v>
      </c>
      <c r="Y1221" s="229"/>
      <c r="Z1221" s="229" t="str">
        <f>IFERROR(__xludf.DUMMYFUNCTION("""COMPUTED_VALUE"""),"#N/A")</f>
        <v>#N/A</v>
      </c>
      <c r="AA1221" s="229"/>
      <c r="AB1221" s="229"/>
      <c r="AC1221" s="229"/>
      <c r="AD1221" s="232"/>
      <c r="AE1221" s="233"/>
      <c r="AF1221" s="54"/>
      <c r="AG1221" s="54"/>
      <c r="AH1221" s="54"/>
      <c r="AI1221" s="55" t="str">
        <f t="shared" si="132"/>
        <v/>
      </c>
      <c r="AW1221" s="234"/>
      <c r="BP1221" s="11"/>
      <c r="BQ1221" s="11"/>
      <c r="BR1221" s="235"/>
      <c r="BV1221" s="158"/>
      <c r="BY1221" s="158"/>
      <c r="CB1221" s="158"/>
    </row>
    <row r="1222" ht="18.0" hidden="1" customHeight="1">
      <c r="A1222" s="222">
        <f>IFERROR(__xludf.DUMMYFUNCTION("""COMPUTED_VALUE"""),2026.0)</f>
        <v>2026</v>
      </c>
      <c r="B1222" s="221">
        <f>IFERROR(__xludf.DUMMYFUNCTION("""COMPUTED_VALUE"""),1.1192345E7)</f>
        <v>11192345</v>
      </c>
      <c r="C1222" s="222" t="str">
        <f>IFERROR(__xludf.DUMMYFUNCTION("""COMPUTED_VALUE"""),"MDN PT3 TMU-FAC JL.RUKUN GG.PERBATASAN")</f>
        <v>MDN PT3 TMU-FAC JL.RUKUN GG.PERBATASAN</v>
      </c>
      <c r="D1222" s="222" t="str">
        <f>IFERROR(__xludf.DUMMYFUNCTION("""COMPUTED_VALUE"""),"REGIONAL I")</f>
        <v>REGIONAL I</v>
      </c>
      <c r="E1222" s="222" t="str">
        <f>IFERROR(__xludf.DUMMYFUNCTION("""COMPUTED_VALUE"""),"MEDAN")</f>
        <v>MEDAN</v>
      </c>
      <c r="F1222" s="222" t="str">
        <f>IFERROR(__xludf.DUMMYFUNCTION("""COMPUTED_VALUE"""),"TMU")</f>
        <v>TMU</v>
      </c>
      <c r="G1222" s="222" t="str">
        <f>IFERROR(__xludf.DUMMYFUNCTION("""COMPUTED_VALUE"""),"SUMBAGUT")</f>
        <v>SUMBAGUT</v>
      </c>
      <c r="H1222" s="222" t="str">
        <f>IFERROR(__xludf.DUMMYFUNCTION("""COMPUTED_VALUE"""),"MEDAN")</f>
        <v>MEDAN</v>
      </c>
      <c r="I1222" s="222" t="str">
        <f>IFERROR(__xludf.DUMMYFUNCTION("""COMPUTED_VALUE"""),"Batch 2")</f>
        <v>Batch 2</v>
      </c>
      <c r="J1222" s="225">
        <f>IFERROR(__xludf.DUMMYFUNCTION("""COMPUTED_VALUE"""),2.0)</f>
        <v>2</v>
      </c>
      <c r="K1222" s="224">
        <f>IFERROR(__xludf.DUMMYFUNCTION("""COMPUTED_VALUE"""),16.0)</f>
        <v>16</v>
      </c>
      <c r="L1222" s="226">
        <f>IFERROR(__xludf.DUMMYFUNCTION("""COMPUTED_VALUE"""),1301537.0)</f>
        <v>1301537</v>
      </c>
      <c r="M1222" s="227">
        <f>IFERROR(__xludf.DUMMYFUNCTION("""COMPUTED_VALUE"""),2.0824581E7)</f>
        <v>20824581</v>
      </c>
      <c r="N1222" s="222" t="str">
        <f>IFERROR(__xludf.DUMMYFUNCTION("""COMPUTED_VALUE"""),"PT DUL JAYA TAMA")</f>
        <v>PT DUL JAYA TAMA</v>
      </c>
      <c r="O1222" s="222" t="str">
        <f>IFERROR(__xludf.DUMMYFUNCTION("""COMPUTED_VALUE"""),"0. DROP")</f>
        <v>0. DROP</v>
      </c>
      <c r="P1222" s="222" t="str">
        <f>IFERROR(__xludf.DUMMYFUNCTION("""COMPUTED_VALUE"""),"0.4 CPP Tinggi Acc ED TIF")</f>
        <v>0.4 CPP Tinggi Acc ED TIF</v>
      </c>
      <c r="Q1222" s="222" t="str">
        <f>IFERROR(__xludf.DUMMYFUNCTION("""COMPUTED_VALUE"""),"29/01 Done Order, lnjut Aanwidzing")</f>
        <v>29/01 Done Order, lnjut Aanwidzing</v>
      </c>
      <c r="R1222" s="228"/>
      <c r="S1222" s="11"/>
      <c r="T1222" s="11"/>
      <c r="U1222" s="11"/>
      <c r="V1222" s="229"/>
      <c r="W1222" s="229"/>
      <c r="X1222" s="229" t="str">
        <f>IFERROR(__xludf.DUMMYFUNCTION("""COMPUTED_VALUE"""),"BELUM GOLIVE")</f>
        <v>BELUM GOLIVE</v>
      </c>
      <c r="Y1222" s="229"/>
      <c r="Z1222" s="229" t="str">
        <f>IFERROR(__xludf.DUMMYFUNCTION("""COMPUTED_VALUE"""),"#N/A")</f>
        <v>#N/A</v>
      </c>
      <c r="AA1222" s="229"/>
      <c r="AB1222" s="229"/>
      <c r="AC1222" s="229"/>
      <c r="AD1222" s="232"/>
      <c r="AE1222" s="233"/>
      <c r="AF1222" s="54" t="str">
        <f>IFERROR(__xludf.DUMMYFUNCTION("""COMPUTED_VALUE"""),"Draft BA DROP")</f>
        <v>Draft BA DROP</v>
      </c>
      <c r="AG1222" s="54"/>
      <c r="AH1222" s="54"/>
      <c r="AI1222" s="55" t="str">
        <f t="shared" si="132"/>
        <v/>
      </c>
      <c r="AW1222" s="234"/>
      <c r="BP1222" s="11"/>
      <c r="BQ1222" s="11"/>
      <c r="BR1222" s="235"/>
      <c r="BV1222" s="158"/>
      <c r="BY1222" s="158"/>
      <c r="CB1222" s="158"/>
    </row>
    <row r="1223" ht="18.0" customHeight="1">
      <c r="A1223" s="222">
        <f>IFERROR(__xludf.DUMMYFUNCTION("""COMPUTED_VALUE"""),2026.0)</f>
        <v>2026</v>
      </c>
      <c r="B1223" s="221">
        <f>IFERROR(__xludf.DUMMYFUNCTION("""COMPUTED_VALUE"""),1.2075799E7)</f>
        <v>12075799</v>
      </c>
      <c r="C1223" s="222" t="str">
        <f>IFERROR(__xludf.DUMMYFUNCTION("""COMPUTED_VALUE"""),"RKP TSEL PT3 SLU-FDC KAV. BUKIT MELATI 2")</f>
        <v>RKP TSEL PT3 SLU-FDC KAV. BUKIT MELATI 2</v>
      </c>
      <c r="D1223" s="222" t="str">
        <f>IFERROR(__xludf.DUMMYFUNCTION("""COMPUTED_VALUE"""),"REGIONAL I")</f>
        <v>REGIONAL I</v>
      </c>
      <c r="E1223" s="222" t="str">
        <f>IFERROR(__xludf.DUMMYFUNCTION("""COMPUTED_VALUE"""),"RIKEP")</f>
        <v>RIKEP</v>
      </c>
      <c r="F1223" s="222" t="str">
        <f>IFERROR(__xludf.DUMMYFUNCTION("""COMPUTED_VALUE"""),"SLU")</f>
        <v>SLU</v>
      </c>
      <c r="G1223" s="222" t="str">
        <f>IFERROR(__xludf.DUMMYFUNCTION("""COMPUTED_VALUE"""),"SUMBAGTENG")</f>
        <v>SUMBAGTENG</v>
      </c>
      <c r="H1223" s="222" t="str">
        <f>IFERROR(__xludf.DUMMYFUNCTION("""COMPUTED_VALUE"""),"BATAM")</f>
        <v>BATAM</v>
      </c>
      <c r="I1223" s="222" t="str">
        <f>IFERROR(__xludf.DUMMYFUNCTION("""COMPUTED_VALUE"""),"Batch 2")</f>
        <v>Batch 2</v>
      </c>
      <c r="J1223" s="225">
        <f>IFERROR(__xludf.DUMMYFUNCTION("""COMPUTED_VALUE"""),1.0)</f>
        <v>1</v>
      </c>
      <c r="K1223" s="224">
        <f>IFERROR(__xludf.DUMMYFUNCTION("""COMPUTED_VALUE"""),8.0)</f>
        <v>8</v>
      </c>
      <c r="L1223" s="226">
        <f>IFERROR(__xludf.DUMMYFUNCTION("""COMPUTED_VALUE"""),826222.0)</f>
        <v>826222</v>
      </c>
      <c r="M1223" s="227">
        <f>IFERROR(__xludf.DUMMYFUNCTION("""COMPUTED_VALUE"""),6609772.0)</f>
        <v>6609772</v>
      </c>
      <c r="N1223" s="222" t="str">
        <f>IFERROR(__xludf.DUMMYFUNCTION("""COMPUTED_VALUE"""),"PT MITRA HOSINDO SEJAHTERA")</f>
        <v>PT MITRA HOSINDO SEJAHTERA</v>
      </c>
      <c r="O1223" s="222" t="str">
        <f>IFERROR(__xludf.DUMMYFUNCTION("""COMPUTED_VALUE"""),"0. DROP")</f>
        <v>0. DROP</v>
      </c>
      <c r="P1223" s="222" t="str">
        <f>IFERROR(__xludf.DUMMYFUNCTION("""COMPUTED_VALUE"""),"0.2 Tidak Dapat Izin Warga/Kades/Lurah/Developer")</f>
        <v>0.2 Tidak Dapat Izin Warga/Kades/Lurah/Developer</v>
      </c>
      <c r="Q1223" s="222" t="str">
        <f>IFERROR(__xludf.DUMMYFUNCTION("""COMPUTED_VALUE"""),"29/01 Izin tanam tiang tidak di acc, dan di dalam perumahan sudah ada provider intai, Proxy dan RT/RW net/ 28/01 Plan survey HI.. 21/01 plansurvey 28 Jan")</f>
        <v>29/01 Izin tanam tiang tidak di acc, dan di dalam perumahan sudah ada provider intai, Proxy dan RT/RW net/ 28/01 Plan survey HI.. 21/01 plansurvey 28 Jan</v>
      </c>
      <c r="R1223" s="228"/>
      <c r="S1223" s="11"/>
      <c r="T1223" s="11"/>
      <c r="U1223" s="11"/>
      <c r="V1223" s="229" t="str">
        <f>IFERROR(__xludf.DUMMYFUNCTION("""COMPUTED_VALUE"""),"MUHAMMAD RIDHO FALFO")</f>
        <v>MUHAMMAD RIDHO FALFO</v>
      </c>
      <c r="W1223" s="229" t="str">
        <f>IFERROR(__xludf.DUMMYFUNCTION("""COMPUTED_VALUE"""),"LEVITA INDRIYANI")</f>
        <v>LEVITA INDRIYANI</v>
      </c>
      <c r="X1223" s="229" t="str">
        <f>IFERROR(__xludf.DUMMYFUNCTION("""COMPUTED_VALUE"""),"BELUM GOLIVE")</f>
        <v>BELUM GOLIVE</v>
      </c>
      <c r="Y1223" s="229"/>
      <c r="Z1223" s="229" t="str">
        <f>IFERROR(__xludf.DUMMYFUNCTION("""COMPUTED_VALUE"""),"#N/A")</f>
        <v>#N/A</v>
      </c>
      <c r="AA1223" s="229"/>
      <c r="AB1223" s="229"/>
      <c r="AC1223" s="229"/>
      <c r="AD1223" s="232"/>
      <c r="AE1223" s="233"/>
      <c r="AF1223" s="54" t="str">
        <f>IFERROR(__xludf.DUMMYFUNCTION("""COMPUTED_VALUE"""),"Draft BA DROP")</f>
        <v>Draft BA DROP</v>
      </c>
      <c r="AG1223" s="54"/>
      <c r="AH1223" s="54"/>
      <c r="AI1223" s="55" t="str">
        <f t="shared" si="132"/>
        <v/>
      </c>
      <c r="AW1223" s="234"/>
      <c r="BP1223" s="11"/>
      <c r="BQ1223" s="11"/>
      <c r="BR1223" s="235"/>
      <c r="BV1223" s="158"/>
      <c r="BY1223" s="158"/>
      <c r="CB1223" s="158"/>
    </row>
    <row r="1224" ht="18.0" customHeight="1">
      <c r="A1224" s="222">
        <f>IFERROR(__xludf.DUMMYFUNCTION("""COMPUTED_VALUE"""),2026.0)</f>
        <v>2026</v>
      </c>
      <c r="B1224" s="221">
        <f>IFERROR(__xludf.DUMMYFUNCTION("""COMPUTED_VALUE"""),1.2358218E7)</f>
        <v>12358218</v>
      </c>
      <c r="C1224" s="222" t="str">
        <f>IFERROR(__xludf.DUMMYFUNCTION("""COMPUTED_VALUE"""),"SMB-PT3-ODC-PDJ-FE-81444-158736-98994")</f>
        <v>SMB-PT3-ODC-PDJ-FE-81444-158736-98994</v>
      </c>
      <c r="D1224" s="222" t="str">
        <f>IFERROR(__xludf.DUMMYFUNCTION("""COMPUTED_VALUE"""),"REGIONAL I")</f>
        <v>REGIONAL I</v>
      </c>
      <c r="E1224" s="222" t="str">
        <f>IFERROR(__xludf.DUMMYFUNCTION("""COMPUTED_VALUE"""),"SUMBAR")</f>
        <v>SUMBAR</v>
      </c>
      <c r="F1224" s="222" t="str">
        <f>IFERROR(__xludf.DUMMYFUNCTION("""COMPUTED_VALUE"""),"PDJ")</f>
        <v>PDJ</v>
      </c>
      <c r="G1224" s="222" t="str">
        <f>IFERROR(__xludf.DUMMYFUNCTION("""COMPUTED_VALUE"""),"SUMBAGTENG")</f>
        <v>SUMBAGTENG</v>
      </c>
      <c r="H1224" s="222" t="str">
        <f>IFERROR(__xludf.DUMMYFUNCTION("""COMPUTED_VALUE"""),"BUKIT TINGGI")</f>
        <v>BUKIT TINGGI</v>
      </c>
      <c r="I1224" s="222" t="str">
        <f>IFERROR(__xludf.DUMMYFUNCTION("""COMPUTED_VALUE"""),"Batch 2")</f>
        <v>Batch 2</v>
      </c>
      <c r="J1224" s="225">
        <f>IFERROR(__xludf.DUMMYFUNCTION("""COMPUTED_VALUE"""),10.0)</f>
        <v>10</v>
      </c>
      <c r="K1224" s="224">
        <f>IFERROR(__xludf.DUMMYFUNCTION("""COMPUTED_VALUE"""),80.0)</f>
        <v>80</v>
      </c>
      <c r="L1224" s="226">
        <f>IFERROR(__xludf.DUMMYFUNCTION("""COMPUTED_VALUE"""),824773.0)</f>
        <v>824773</v>
      </c>
      <c r="M1224" s="227">
        <f>IFERROR(__xludf.DUMMYFUNCTION("""COMPUTED_VALUE"""),6.5981771E7)</f>
        <v>65981771</v>
      </c>
      <c r="N1224" s="222" t="str">
        <f>IFERROR(__xludf.DUMMYFUNCTION("""COMPUTED_VALUE"""),"PT TSUIKA BERKAH RAYA")</f>
        <v>PT TSUIKA BERKAH RAYA</v>
      </c>
      <c r="O1224" s="222" t="str">
        <f>IFERROR(__xludf.DUMMYFUNCTION("""COMPUTED_VALUE"""),"0. DROP")</f>
        <v>0. DROP</v>
      </c>
      <c r="P1224" s="222" t="str">
        <f>IFERROR(__xludf.DUMMYFUNCTION("""COMPUTED_VALUE"""),"0.3 Feeder Full")</f>
        <v>0.3 Feeder Full</v>
      </c>
      <c r="Q1224" s="222" t="str">
        <f>IFERROR(__xludf.DUMMYFUNCTION("""COMPUTED_VALUE"""),"(26/01) Kendala feeder NRS-FB Full , Proses mapping mitra  (07/01) Persiapan")</f>
        <v>(26/01) Kendala feeder NRS-FB Full , Proses mapping mitra  (07/01) Persiapan</v>
      </c>
      <c r="R1224" s="228"/>
      <c r="S1224" s="11"/>
      <c r="T1224" s="11"/>
      <c r="U1224" s="11"/>
      <c r="V1224" s="229"/>
      <c r="W1224" s="229"/>
      <c r="X1224" s="229" t="str">
        <f>IFERROR(__xludf.DUMMYFUNCTION("""COMPUTED_VALUE"""),"BELUM GOLIVE")</f>
        <v>BELUM GOLIVE</v>
      </c>
      <c r="Y1224" s="229"/>
      <c r="Z1224" s="229" t="str">
        <f>IFERROR(__xludf.DUMMYFUNCTION("""COMPUTED_VALUE"""),"#N/A")</f>
        <v>#N/A</v>
      </c>
      <c r="AA1224" s="229"/>
      <c r="AB1224" s="229"/>
      <c r="AC1224" s="229"/>
      <c r="AD1224" s="232"/>
      <c r="AE1224" s="233"/>
      <c r="AF1224" s="54" t="str">
        <f>IFERROR(__xludf.DUMMYFUNCTION("""COMPUTED_VALUE"""),"Draft BA DROP")</f>
        <v>Draft BA DROP</v>
      </c>
      <c r="AG1224" s="54"/>
      <c r="AH1224" s="54"/>
      <c r="AI1224" s="55" t="str">
        <f t="shared" si="132"/>
        <v/>
      </c>
      <c r="AW1224" s="234"/>
      <c r="BP1224" s="11"/>
      <c r="BQ1224" s="11"/>
      <c r="BR1224" s="235"/>
      <c r="BV1224" s="158"/>
      <c r="BY1224" s="158"/>
      <c r="CB1224" s="158"/>
    </row>
    <row r="1225" ht="18.0" customHeight="1">
      <c r="A1225" s="222">
        <f>IFERROR(__xludf.DUMMYFUNCTION("""COMPUTED_VALUE"""),2026.0)</f>
        <v>2026</v>
      </c>
      <c r="B1225" s="221">
        <f>IFERROR(__xludf.DUMMYFUNCTION("""COMPUTED_VALUE"""),1.1243812E7)</f>
        <v>11243812</v>
      </c>
      <c r="C1225" s="222" t="str">
        <f>IFERROR(__xludf.DUMMYFUNCTION("""COMPUTED_VALUE"""),"SMB P2I1 PERUM LANEVA 2 PARIAMAN")</f>
        <v>SMB P2I1 PERUM LANEVA 2 PARIAMAN</v>
      </c>
      <c r="D1225" s="222" t="str">
        <f>IFERROR(__xludf.DUMMYFUNCTION("""COMPUTED_VALUE"""),"REGIONAL I")</f>
        <v>REGIONAL I</v>
      </c>
      <c r="E1225" s="222" t="str">
        <f>IFERROR(__xludf.DUMMYFUNCTION("""COMPUTED_VALUE"""),"SUMBAR")</f>
        <v>SUMBAR</v>
      </c>
      <c r="F1225" s="222" t="str">
        <f>IFERROR(__xludf.DUMMYFUNCTION("""COMPUTED_VALUE"""),"NRS")</f>
        <v>NRS</v>
      </c>
      <c r="G1225" s="222" t="str">
        <f>IFERROR(__xludf.DUMMYFUNCTION("""COMPUTED_VALUE"""),"SUMBAGTENG")</f>
        <v>SUMBAGTENG</v>
      </c>
      <c r="H1225" s="222" t="str">
        <f>IFERROR(__xludf.DUMMYFUNCTION("""COMPUTED_VALUE"""),"BUKIT TINGGI")</f>
        <v>BUKIT TINGGI</v>
      </c>
      <c r="I1225" s="222" t="str">
        <f>IFERROR(__xludf.DUMMYFUNCTION("""COMPUTED_VALUE"""),"Batch 2")</f>
        <v>Batch 2</v>
      </c>
      <c r="J1225" s="225">
        <f>IFERROR(__xludf.DUMMYFUNCTION("""COMPUTED_VALUE"""),4.0)</f>
        <v>4</v>
      </c>
      <c r="K1225" s="224">
        <f>IFERROR(__xludf.DUMMYFUNCTION("""COMPUTED_VALUE"""),32.0)</f>
        <v>32</v>
      </c>
      <c r="L1225" s="226">
        <f>IFERROR(__xludf.DUMMYFUNCTION("""COMPUTED_VALUE"""),823161.0)</f>
        <v>823161</v>
      </c>
      <c r="M1225" s="227">
        <f>IFERROR(__xludf.DUMMYFUNCTION("""COMPUTED_VALUE"""),2.6341125E7)</f>
        <v>26341125</v>
      </c>
      <c r="N1225" s="222" t="str">
        <f>IFERROR(__xludf.DUMMYFUNCTION("""COMPUTED_VALUE"""),"PT TRI LESMA INDONESIA")</f>
        <v>PT TRI LESMA INDONESIA</v>
      </c>
      <c r="O1225" s="222" t="str">
        <f>IFERROR(__xludf.DUMMYFUNCTION("""COMPUTED_VALUE"""),"0. DROP")</f>
        <v>0. DROP</v>
      </c>
      <c r="P1225" s="222" t="str">
        <f>IFERROR(__xludf.DUMMYFUNCTION("""COMPUTED_VALUE"""),"0.3 Feeder Full")</f>
        <v>0.3 Feeder Full</v>
      </c>
      <c r="Q1225" s="222" t="str">
        <f>IFERROR(__xludf.DUMMYFUNCTION("""COMPUTED_VALUE"""),"(08/01) BUTUH REPAIR FEEDER PYK-FU FULL (07/01) Persiapan")</f>
        <v>(08/01) BUTUH REPAIR FEEDER PYK-FU FULL (07/01) Persiapan</v>
      </c>
      <c r="R1225" s="228"/>
      <c r="S1225" s="11"/>
      <c r="T1225" s="11"/>
      <c r="U1225" s="11"/>
      <c r="V1225" s="229"/>
      <c r="W1225" s="229"/>
      <c r="X1225" s="229" t="str">
        <f>IFERROR(__xludf.DUMMYFUNCTION("""COMPUTED_VALUE"""),"BELUM GOLIVE")</f>
        <v>BELUM GOLIVE</v>
      </c>
      <c r="Y1225" s="229"/>
      <c r="Z1225" s="229" t="str">
        <f>IFERROR(__xludf.DUMMYFUNCTION("""COMPUTED_VALUE"""),"#N/A")</f>
        <v>#N/A</v>
      </c>
      <c r="AA1225" s="229"/>
      <c r="AB1225" s="229"/>
      <c r="AC1225" s="229"/>
      <c r="AD1225" s="232"/>
      <c r="AE1225" s="233"/>
      <c r="AF1225" s="54" t="str">
        <f>IFERROR(__xludf.DUMMYFUNCTION("""COMPUTED_VALUE"""),"Draft BA DROP")</f>
        <v>Draft BA DROP</v>
      </c>
      <c r="AG1225" s="54"/>
      <c r="AH1225" s="54"/>
      <c r="AI1225" s="55" t="str">
        <f t="shared" si="132"/>
        <v/>
      </c>
      <c r="AW1225" s="234"/>
      <c r="BP1225" s="11"/>
      <c r="BQ1225" s="11"/>
      <c r="BR1225" s="235"/>
      <c r="BV1225" s="158"/>
      <c r="BY1225" s="158"/>
      <c r="CB1225" s="158"/>
    </row>
    <row r="1226" ht="18.0" customHeight="1">
      <c r="A1226" s="222">
        <f>IFERROR(__xludf.DUMMYFUNCTION("""COMPUTED_VALUE"""),2026.0)</f>
        <v>2026</v>
      </c>
      <c r="B1226" s="221">
        <f>IFERROR(__xludf.DUMMYFUNCTION("""COMPUTED_VALUE"""),1.1438124E7)</f>
        <v>11438124</v>
      </c>
      <c r="C1226" s="222" t="str">
        <f>IFERROR(__xludf.DUMMYFUNCTION("""COMPUTED_VALUE"""),"SMB KOTA PAYAKUMBUH_15384")</f>
        <v>SMB KOTA PAYAKUMBUH_15384</v>
      </c>
      <c r="D1226" s="222" t="str">
        <f>IFERROR(__xludf.DUMMYFUNCTION("""COMPUTED_VALUE"""),"REGIONAL I")</f>
        <v>REGIONAL I</v>
      </c>
      <c r="E1226" s="222" t="str">
        <f>IFERROR(__xludf.DUMMYFUNCTION("""COMPUTED_VALUE"""),"SUMBAR")</f>
        <v>SUMBAR</v>
      </c>
      <c r="F1226" s="222" t="str">
        <f>IFERROR(__xludf.DUMMYFUNCTION("""COMPUTED_VALUE"""),"PYK")</f>
        <v>PYK</v>
      </c>
      <c r="G1226" s="222" t="str">
        <f>IFERROR(__xludf.DUMMYFUNCTION("""COMPUTED_VALUE"""),"SUMBAGTENG")</f>
        <v>SUMBAGTENG</v>
      </c>
      <c r="H1226" s="222" t="str">
        <f>IFERROR(__xludf.DUMMYFUNCTION("""COMPUTED_VALUE"""),"BUKIT TINGGI")</f>
        <v>BUKIT TINGGI</v>
      </c>
      <c r="I1226" s="222" t="str">
        <f>IFERROR(__xludf.DUMMYFUNCTION("""COMPUTED_VALUE"""),"Batch 2")</f>
        <v>Batch 2</v>
      </c>
      <c r="J1226" s="225">
        <f>IFERROR(__xludf.DUMMYFUNCTION("""COMPUTED_VALUE"""),7.0)</f>
        <v>7</v>
      </c>
      <c r="K1226" s="224">
        <f>IFERROR(__xludf.DUMMYFUNCTION("""COMPUTED_VALUE"""),56.0)</f>
        <v>56</v>
      </c>
      <c r="L1226" s="226">
        <f>IFERROR(__xludf.DUMMYFUNCTION("""COMPUTED_VALUE"""),822908.0)</f>
        <v>822908</v>
      </c>
      <c r="M1226" s="227">
        <f>IFERROR(__xludf.DUMMYFUNCTION("""COMPUTED_VALUE"""),4.6082793E7)</f>
        <v>46082793</v>
      </c>
      <c r="N1226" s="222" t="str">
        <f>IFERROR(__xludf.DUMMYFUNCTION("""COMPUTED_VALUE"""),"PT TSUIKA BERKAH RAYA")</f>
        <v>PT TSUIKA BERKAH RAYA</v>
      </c>
      <c r="O1226" s="222" t="str">
        <f>IFERROR(__xludf.DUMMYFUNCTION("""COMPUTED_VALUE"""),"0. DROP")</f>
        <v>0. DROP</v>
      </c>
      <c r="P1226" s="222" t="str">
        <f>IFERROR(__xludf.DUMMYFUNCTION("""COMPUTED_VALUE"""),"0.3 Feeder Full")</f>
        <v>0.3 Feeder Full</v>
      </c>
      <c r="Q1226" s="222" t="str">
        <f>IFERROR(__xludf.DUMMYFUNCTION("""COMPUTED_VALUE"""),"23/01 : BUTUH REPAIR FEEDER PYK-FU FULL (07/01) Persiapan")</f>
        <v>23/01 : BUTUH REPAIR FEEDER PYK-FU FULL (07/01) Persiapan</v>
      </c>
      <c r="R1226" s="228"/>
      <c r="S1226" s="11"/>
      <c r="T1226" s="11"/>
      <c r="U1226" s="11"/>
      <c r="V1226" s="229"/>
      <c r="W1226" s="229"/>
      <c r="X1226" s="229" t="str">
        <f>IFERROR(__xludf.DUMMYFUNCTION("""COMPUTED_VALUE"""),"BELUM GOLIVE")</f>
        <v>BELUM GOLIVE</v>
      </c>
      <c r="Y1226" s="229"/>
      <c r="Z1226" s="229" t="str">
        <f>IFERROR(__xludf.DUMMYFUNCTION("""COMPUTED_VALUE"""),"#N/A")</f>
        <v>#N/A</v>
      </c>
      <c r="AA1226" s="229"/>
      <c r="AB1226" s="229"/>
      <c r="AC1226" s="229"/>
      <c r="AD1226" s="232"/>
      <c r="AE1226" s="233"/>
      <c r="AF1226" s="54" t="str">
        <f>IFERROR(__xludf.DUMMYFUNCTION("""COMPUTED_VALUE"""),"Draft BA DROP")</f>
        <v>Draft BA DROP</v>
      </c>
      <c r="AG1226" s="54"/>
      <c r="AH1226" s="54"/>
      <c r="AI1226" s="55" t="str">
        <f t="shared" si="132"/>
        <v/>
      </c>
      <c r="AW1226" s="234"/>
      <c r="BP1226" s="11"/>
      <c r="BQ1226" s="11"/>
      <c r="BR1226" s="235"/>
      <c r="BV1226" s="158"/>
      <c r="BY1226" s="158"/>
      <c r="CB1226" s="158"/>
    </row>
    <row r="1227" ht="18.0" hidden="1" customHeight="1">
      <c r="A1227" s="222">
        <f>IFERROR(__xludf.DUMMYFUNCTION("""COMPUTED_VALUE"""),2026.0)</f>
        <v>2026</v>
      </c>
      <c r="B1227" s="221">
        <f>IFERROR(__xludf.DUMMYFUNCTION("""COMPUTED_VALUE"""),1.1536019E7)</f>
        <v>11536019</v>
      </c>
      <c r="C1227" s="222" t="str">
        <f>IFERROR(__xludf.DUMMYFUNCTION("""COMPUTED_VALUE"""),"MDN PT3 LBP-FJ GG.AMAN")</f>
        <v>MDN PT3 LBP-FJ GG.AMAN</v>
      </c>
      <c r="D1227" s="222" t="str">
        <f>IFERROR(__xludf.DUMMYFUNCTION("""COMPUTED_VALUE"""),"REGIONAL I")</f>
        <v>REGIONAL I</v>
      </c>
      <c r="E1227" s="222" t="str">
        <f>IFERROR(__xludf.DUMMYFUNCTION("""COMPUTED_VALUE"""),"MEDAN")</f>
        <v>MEDAN</v>
      </c>
      <c r="F1227" s="222" t="str">
        <f>IFERROR(__xludf.DUMMYFUNCTION("""COMPUTED_VALUE"""),"LBP")</f>
        <v>LBP</v>
      </c>
      <c r="G1227" s="222" t="str">
        <f>IFERROR(__xludf.DUMMYFUNCTION("""COMPUTED_VALUE"""),"SUMBAGUT")</f>
        <v>SUMBAGUT</v>
      </c>
      <c r="H1227" s="222" t="str">
        <f>IFERROR(__xludf.DUMMYFUNCTION("""COMPUTED_VALUE"""),"MEDAN")</f>
        <v>MEDAN</v>
      </c>
      <c r="I1227" s="222" t="str">
        <f>IFERROR(__xludf.DUMMYFUNCTION("""COMPUTED_VALUE"""),"Batch 2")</f>
        <v>Batch 2</v>
      </c>
      <c r="J1227" s="225">
        <f>IFERROR(__xludf.DUMMYFUNCTION("""COMPUTED_VALUE"""),3.0)</f>
        <v>3</v>
      </c>
      <c r="K1227" s="224">
        <f>IFERROR(__xludf.DUMMYFUNCTION("""COMPUTED_VALUE"""),24.0)</f>
        <v>24</v>
      </c>
      <c r="L1227" s="226">
        <f>IFERROR(__xludf.DUMMYFUNCTION("""COMPUTED_VALUE"""),1006105.0)</f>
        <v>1006105</v>
      </c>
      <c r="M1227" s="227">
        <f>IFERROR(__xludf.DUMMYFUNCTION("""COMPUTED_VALUE"""),2.4146517E7)</f>
        <v>24146517</v>
      </c>
      <c r="N1227" s="222" t="str">
        <f>IFERROR(__xludf.DUMMYFUNCTION("""COMPUTED_VALUE"""),"SWAKELOLA")</f>
        <v>SWAKELOLA</v>
      </c>
      <c r="O1227" s="222" t="str">
        <f>IFERROR(__xludf.DUMMYFUNCTION("""COMPUTED_VALUE"""),"3. PERIZINAN")</f>
        <v>3. PERIZINAN</v>
      </c>
      <c r="P1227" s="222" t="str">
        <f>IFERROR(__xludf.DUMMYFUNCTION("""COMPUTED_VALUE"""),"3.9 Izin Kades / Lurah / RTRW")</f>
        <v>3.9 Izin Kades / Lurah / RTRW</v>
      </c>
      <c r="Q1227" s="222" t="str">
        <f>IFERROR(__xludf.DUMMYFUNCTION("""COMPUTED_VALUE"""),"20/04 OGP perizinan
10/04 take over ke swakelola dari mitra bsa
16/02 comcase 10JT desa tumpatan
(07/01) Persiapan")</f>
        <v>20/04 OGP perizinan
10/04 take over ke swakelola dari mitra bsa
16/02 comcase 10JT desa tumpatan
(07/01) Persiapan</v>
      </c>
      <c r="R1227" s="228"/>
      <c r="S1227" s="11"/>
      <c r="T1227" s="73"/>
      <c r="U1227" s="11"/>
      <c r="V1227" s="229" t="str">
        <f>IFERROR(__xludf.DUMMYFUNCTION("""COMPUTED_VALUE"""),"28/Apr/2026")</f>
        <v>28/Apr/2026</v>
      </c>
      <c r="W1227" s="229"/>
      <c r="X1227" s="229" t="str">
        <f>IFERROR(__xludf.DUMMYFUNCTION("""COMPUTED_VALUE"""),"BELUM GOLIVE")</f>
        <v>BELUM GOLIVE</v>
      </c>
      <c r="Y1227" s="229"/>
      <c r="Z1227" s="229" t="str">
        <f>IFERROR(__xludf.DUMMYFUNCTION("""COMPUTED_VALUE"""),"#N/A")</f>
        <v>#N/A</v>
      </c>
      <c r="AA1227" s="229"/>
      <c r="AB1227" s="229"/>
      <c r="AC1227" s="229"/>
      <c r="AD1227" s="232"/>
      <c r="AE1227" s="233"/>
      <c r="AF1227" s="54"/>
      <c r="AG1227" s="54"/>
      <c r="AH1227" s="54"/>
      <c r="AI1227" s="55" t="str">
        <f t="shared" si="132"/>
        <v/>
      </c>
      <c r="AW1227" s="234"/>
      <c r="BP1227" s="11"/>
      <c r="BQ1227" s="11"/>
      <c r="BR1227" s="235"/>
      <c r="BV1227" s="158"/>
      <c r="BY1227" s="158"/>
      <c r="CB1227" s="158"/>
    </row>
    <row r="1228" ht="18.0" hidden="1" customHeight="1">
      <c r="A1228" s="222">
        <f>IFERROR(__xludf.DUMMYFUNCTION("""COMPUTED_VALUE"""),2026.0)</f>
        <v>2026</v>
      </c>
      <c r="B1228" s="221">
        <f>IFERROR(__xludf.DUMMYFUNCTION("""COMPUTED_VALUE"""),1.1468681E7)</f>
        <v>11468681</v>
      </c>
      <c r="C1228" s="222" t="str">
        <f>IFERROR(__xludf.DUMMYFUNCTION("""COMPUTED_VALUE"""),"BNK-PT3-PDW-FZ-JPPTSEL-BETUNGAN 2")</f>
        <v>BNK-PT3-PDW-FZ-JPPTSEL-BETUNGAN 2</v>
      </c>
      <c r="D1228" s="222" t="str">
        <f>IFERROR(__xludf.DUMMYFUNCTION("""COMPUTED_VALUE"""),"REGIONAL I")</f>
        <v>REGIONAL I</v>
      </c>
      <c r="E1228" s="222" t="str">
        <f>IFERROR(__xludf.DUMMYFUNCTION("""COMPUTED_VALUE"""),"BENGKULU")</f>
        <v>BENGKULU</v>
      </c>
      <c r="F1228" s="222" t="str">
        <f>IFERROR(__xludf.DUMMYFUNCTION("""COMPUTED_VALUE"""),"PDW")</f>
        <v>PDW</v>
      </c>
      <c r="G1228" s="222" t="str">
        <f>IFERROR(__xludf.DUMMYFUNCTION("""COMPUTED_VALUE"""),"SUMBAGSEL")</f>
        <v>SUMBAGSEL</v>
      </c>
      <c r="H1228" s="222" t="str">
        <f>IFERROR(__xludf.DUMMYFUNCTION("""COMPUTED_VALUE"""),"BENGKULU")</f>
        <v>BENGKULU</v>
      </c>
      <c r="I1228" s="222" t="str">
        <f>IFERROR(__xludf.DUMMYFUNCTION("""COMPUTED_VALUE"""),"Batch 2")</f>
        <v>Batch 2</v>
      </c>
      <c r="J1228" s="225">
        <f>IFERROR(__xludf.DUMMYFUNCTION("""COMPUTED_VALUE"""),24.0)</f>
        <v>24</v>
      </c>
      <c r="K1228" s="224">
        <f>IFERROR(__xludf.DUMMYFUNCTION("""COMPUTED_VALUE"""),192.0)</f>
        <v>192</v>
      </c>
      <c r="L1228" s="226">
        <f>IFERROR(__xludf.DUMMYFUNCTION("""COMPUTED_VALUE"""),1176574.0)</f>
        <v>1176574</v>
      </c>
      <c r="M1228" s="227">
        <f>IFERROR(__xludf.DUMMYFUNCTION("""COMPUTED_VALUE"""),2.25902072E8)</f>
        <v>225902072</v>
      </c>
      <c r="N1228" s="222" t="str">
        <f>IFERROR(__xludf.DUMMYFUNCTION("""COMPUTED_VALUE"""),"PT JAGO MULTI DIMENSI")</f>
        <v>PT JAGO MULTI DIMENSI</v>
      </c>
      <c r="O1228" s="222" t="str">
        <f>IFERROR(__xludf.DUMMYFUNCTION("""COMPUTED_VALUE"""),"0. DROP")</f>
        <v>0. DROP</v>
      </c>
      <c r="P1228" s="222" t="str">
        <f>IFERROR(__xludf.DUMMYFUNCTION("""COMPUTED_VALUE"""),"0.4 CPP Tinggi Acc ED TIF")</f>
        <v>0.4 CPP Tinggi Acc ED TIF</v>
      </c>
      <c r="Q1228" s="222" t="str">
        <f>IFERROR(__xludf.DUMMYFUNCTION("""COMPUTED_VALUE"""),"3/3 Drop - BOQ Tinggi, sudah acc TIF 19/02 : belum ada konfirmasi tif terkait Pekerjaan - dari Awal CPP Tinggi  09/02://08/02://07/02://06/02://05/02://03/02 :  konfirmasi TIF, masih menunggu keputusan HO TIF terkait comcase RT/RW dengan total senilai 30 "&amp;"juta // 22/01 : Konfirmasi tif estimasi comecase sebesar 30 jt // 15/01 :  Semua RT yg minta kompensasi tidak mau menuliskan permintaan nya di BAKP // 14/01 : Hasil anwijzing sudah setor, RT minta kompensasi lampu jalan // (07/01) Persiapan")</f>
        <v>3/3 Drop - BOQ Tinggi, sudah acc TIF 19/02 : belum ada konfirmasi tif terkait Pekerjaan - dari Awal CPP Tinggi  09/02://08/02://07/02://06/02://05/02://03/02 :  konfirmasi TIF, masih menunggu keputusan HO TIF terkait comcase RT/RW dengan total senilai 30 juta // 22/01 : Konfirmasi tif estimasi comecase sebesar 30 jt // 15/01 :  Semua RT yg minta kompensasi tidak mau menuliskan permintaan nya di BAKP // 14/01 : Hasil anwijzing sudah setor, RT minta kompensasi lampu jalan // (07/01) Persiapan</v>
      </c>
      <c r="R1228" s="228"/>
      <c r="S1228" s="11"/>
      <c r="T1228" s="11"/>
      <c r="U1228" s="11" t="str">
        <f>IFERROR(__xludf.DUMMYFUNCTION("""COMPUTED_VALUE"""),"W06-238/2025")</f>
        <v>W06-238/2025</v>
      </c>
      <c r="V1228" s="229"/>
      <c r="W1228" s="229"/>
      <c r="X1228" s="229" t="str">
        <f>IFERROR(__xludf.DUMMYFUNCTION("""COMPUTED_VALUE"""),"BELUM GOLIVE")</f>
        <v>BELUM GOLIVE</v>
      </c>
      <c r="Y1228" s="229"/>
      <c r="Z1228" s="229" t="str">
        <f>IFERROR(__xludf.DUMMYFUNCTION("""COMPUTED_VALUE"""),"#N/A")</f>
        <v>#N/A</v>
      </c>
      <c r="AA1228" s="229"/>
      <c r="AB1228" s="229"/>
      <c r="AC1228" s="229"/>
      <c r="AD1228" s="232"/>
      <c r="AE1228" s="233"/>
      <c r="AF1228" s="54" t="str">
        <f>IFERROR(__xludf.DUMMYFUNCTION("""COMPUTED_VALUE"""),"Draft BA DROP")</f>
        <v>Draft BA DROP</v>
      </c>
      <c r="AG1228" s="54"/>
      <c r="AH1228" s="54"/>
      <c r="AI1228" s="55" t="str">
        <f t="shared" si="132"/>
        <v/>
      </c>
      <c r="AW1228" s="234"/>
      <c r="BP1228" s="11"/>
      <c r="BQ1228" s="11"/>
      <c r="BR1228" s="235"/>
      <c r="BV1228" s="158"/>
      <c r="BY1228" s="158"/>
      <c r="CB1228" s="158"/>
    </row>
    <row r="1229" ht="18.0" hidden="1" customHeight="1">
      <c r="A1229" s="222">
        <f>IFERROR(__xludf.DUMMYFUNCTION("""COMPUTED_VALUE"""),2026.0)</f>
        <v>2026</v>
      </c>
      <c r="B1229" s="221">
        <f>IFERROR(__xludf.DUMMYFUNCTION("""COMPUTED_VALUE"""),1.1587405E7)</f>
        <v>11587405</v>
      </c>
      <c r="C1229" s="222" t="str">
        <f>IFERROR(__xludf.DUMMYFUNCTION("""COMPUTED_VALUE"""),"ACH JHO PT3 JHO-FC PERUM CARE JANTHO")</f>
        <v>ACH JHO PT3 JHO-FC PERUM CARE JANTHO</v>
      </c>
      <c r="D1229" s="222" t="str">
        <f>IFERROR(__xludf.DUMMYFUNCTION("""COMPUTED_VALUE"""),"REGIONAL I")</f>
        <v>REGIONAL I</v>
      </c>
      <c r="E1229" s="222" t="str">
        <f>IFERROR(__xludf.DUMMYFUNCTION("""COMPUTED_VALUE"""),"ACEH")</f>
        <v>ACEH</v>
      </c>
      <c r="F1229" s="222" t="str">
        <f>IFERROR(__xludf.DUMMYFUNCTION("""COMPUTED_VALUE"""),"JHO")</f>
        <v>JHO</v>
      </c>
      <c r="G1229" s="222" t="str">
        <f>IFERROR(__xludf.DUMMYFUNCTION("""COMPUTED_VALUE"""),"SUMBAGUT")</f>
        <v>SUMBAGUT</v>
      </c>
      <c r="H1229" s="222" t="str">
        <f>IFERROR(__xludf.DUMMYFUNCTION("""COMPUTED_VALUE"""),"BANDA ACEH")</f>
        <v>BANDA ACEH</v>
      </c>
      <c r="I1229" s="222" t="str">
        <f>IFERROR(__xludf.DUMMYFUNCTION("""COMPUTED_VALUE"""),"Batch 2")</f>
        <v>Batch 2</v>
      </c>
      <c r="J1229" s="225">
        <f>IFERROR(__xludf.DUMMYFUNCTION("""COMPUTED_VALUE"""),11.0)</f>
        <v>11</v>
      </c>
      <c r="K1229" s="224">
        <f>IFERROR(__xludf.DUMMYFUNCTION("""COMPUTED_VALUE"""),88.0)</f>
        <v>88</v>
      </c>
      <c r="L1229" s="226">
        <f>IFERROR(__xludf.DUMMYFUNCTION("""COMPUTED_VALUE"""),820368.0)</f>
        <v>820368</v>
      </c>
      <c r="M1229" s="227">
        <f>IFERROR(__xludf.DUMMYFUNCTION("""COMPUTED_VALUE"""),7.2192371E7)</f>
        <v>72192371</v>
      </c>
      <c r="N1229" s="222" t="str">
        <f>IFERROR(__xludf.DUMMYFUNCTION("""COMPUTED_VALUE"""),"PT TRIPOLA PANATA")</f>
        <v>PT TRIPOLA PANATA</v>
      </c>
      <c r="O1229" s="222" t="str">
        <f>IFERROR(__xludf.DUMMYFUNCTION("""COMPUTED_VALUE"""),"7. GOLIVE")</f>
        <v>7. GOLIVE</v>
      </c>
      <c r="P1229" s="222" t="str">
        <f>IFERROR(__xludf.DUMMYFUNCTION("""COMPUTED_VALUE"""),"7.2 Golive Full / OA / DONE OTB")</f>
        <v>7.2 Golive Full / OA / DONE OTB</v>
      </c>
      <c r="Q1229" s="222" t="str">
        <f>IFERROR(__xludf.DUMMYFUNCTION("""COMPUTED_VALUE"""),"(13/02) Terminasi (07/02) Tanam Tiang (02/02) MOS (30/01/)delmat (07/01) Persiapan")</f>
        <v>(13/02) Terminasi (07/02) Tanam Tiang (02/02) MOS (30/01/)delmat (07/01) Persiapan</v>
      </c>
      <c r="R1229" s="228">
        <f>IFERROR(__xludf.DUMMYFUNCTION("""COMPUTED_VALUE"""),46074.0)</f>
        <v>46074</v>
      </c>
      <c r="S1229" s="11"/>
      <c r="T1229" s="11"/>
      <c r="U1229" s="11" t="str">
        <f>IFERROR(__xludf.DUMMYFUNCTION("""COMPUTED_VALUE"""),"W04-1041/2025")</f>
        <v>W04-1041/2025</v>
      </c>
      <c r="V1229" s="229"/>
      <c r="W1229" s="229"/>
      <c r="X1229" s="229" t="str">
        <f>IFERROR(__xludf.DUMMYFUNCTION("""COMPUTED_VALUE"""),"GOLIVE")</f>
        <v>GOLIVE</v>
      </c>
      <c r="Y1229" s="229" t="str">
        <f>IFERROR(__xludf.DUMMYFUNCTION("""COMPUTED_VALUE"""),"DONE")</f>
        <v>DONE</v>
      </c>
      <c r="Z1229" s="229" t="str">
        <f>IFERROR(__xludf.DUMMYFUNCTION("""COMPUTED_VALUE"""),"#N/A")</f>
        <v>#N/A</v>
      </c>
      <c r="AA1229" s="229">
        <f>IFERROR(__xludf.DUMMYFUNCTION("""COMPUTED_VALUE"""),11.0)</f>
        <v>11</v>
      </c>
      <c r="AB1229" s="229">
        <f>IFERROR(__xludf.DUMMYFUNCTION("""COMPUTED_VALUE"""),0.0)</f>
        <v>0</v>
      </c>
      <c r="AC1229" s="229" t="str">
        <f>IFERROR(__xludf.DUMMYFUNCTION("""COMPUTED_VALUE"""),"9121965#9121970")</f>
        <v>9121965#9121970</v>
      </c>
      <c r="AD1229" s="232">
        <f>IFERROR(__xludf.DUMMYFUNCTION("""COMPUTED_VALUE"""),88.0)</f>
        <v>88</v>
      </c>
      <c r="AE1229" s="233">
        <f>IFERROR(__xludf.DUMMYFUNCTION("""COMPUTED_VALUE"""),46074.0)</f>
        <v>46074</v>
      </c>
      <c r="AF1229" s="54"/>
      <c r="AG1229" s="54"/>
      <c r="AH1229" s="54">
        <v>46074.0</v>
      </c>
      <c r="AI1229" s="55">
        <f t="shared" si="132"/>
        <v>0</v>
      </c>
      <c r="AW1229" s="234"/>
      <c r="BP1229" s="11"/>
      <c r="BQ1229" s="11"/>
      <c r="BR1229" s="235"/>
      <c r="BV1229" s="158"/>
      <c r="BY1229" s="158"/>
      <c r="CB1229" s="158"/>
    </row>
    <row r="1230" ht="18.0" hidden="1" customHeight="1">
      <c r="A1230" s="222">
        <f>IFERROR(__xludf.DUMMYFUNCTION("""COMPUTED_VALUE"""),2026.0)</f>
        <v>2026</v>
      </c>
      <c r="B1230" s="221">
        <f>IFERROR(__xludf.DUMMYFUNCTION("""COMPUTED_VALUE"""),1.1976857E7)</f>
        <v>11976857</v>
      </c>
      <c r="C1230" s="222" t="str">
        <f>IFERROR(__xludf.DUMMYFUNCTION("""COMPUTED_VALUE"""),"SMS P4I1 PT3 PBM FBB D01 BUKIT CAMBAI")</f>
        <v>SMS P4I1 PT3 PBM FBB D01 BUKIT CAMBAI</v>
      </c>
      <c r="D1230" s="222" t="str">
        <f>IFERROR(__xludf.DUMMYFUNCTION("""COMPUTED_VALUE"""),"REGIONAL I")</f>
        <v>REGIONAL I</v>
      </c>
      <c r="E1230" s="222" t="str">
        <f>IFERROR(__xludf.DUMMYFUNCTION("""COMPUTED_VALUE"""),"SUMSEL")</f>
        <v>SUMSEL</v>
      </c>
      <c r="F1230" s="222" t="str">
        <f>IFERROR(__xludf.DUMMYFUNCTION("""COMPUTED_VALUE"""),"PBM")</f>
        <v>PBM</v>
      </c>
      <c r="G1230" s="222" t="str">
        <f>IFERROR(__xludf.DUMMYFUNCTION("""COMPUTED_VALUE"""),"SUMBAGSEL")</f>
        <v>SUMBAGSEL</v>
      </c>
      <c r="H1230" s="222" t="str">
        <f>IFERROR(__xludf.DUMMYFUNCTION("""COMPUTED_VALUE"""),"PALEMBANG")</f>
        <v>PALEMBANG</v>
      </c>
      <c r="I1230" s="222" t="str">
        <f>IFERROR(__xludf.DUMMYFUNCTION("""COMPUTED_VALUE"""),"Batch 2")</f>
        <v>Batch 2</v>
      </c>
      <c r="J1230" s="225">
        <f>IFERROR(__xludf.DUMMYFUNCTION("""COMPUTED_VALUE"""),3.0)</f>
        <v>3</v>
      </c>
      <c r="K1230" s="224">
        <f>IFERROR(__xludf.DUMMYFUNCTION("""COMPUTED_VALUE"""),24.0)</f>
        <v>24</v>
      </c>
      <c r="L1230" s="226">
        <f>IFERROR(__xludf.DUMMYFUNCTION("""COMPUTED_VALUE"""),819346.0)</f>
        <v>819346</v>
      </c>
      <c r="M1230" s="227">
        <f>IFERROR(__xludf.DUMMYFUNCTION("""COMPUTED_VALUE"""),1.9664298E7)</f>
        <v>19664298</v>
      </c>
      <c r="N1230" s="222" t="str">
        <f>IFERROR(__xludf.DUMMYFUNCTION("""COMPUTED_VALUE"""),"PT ACERO CETHA METALINDO")</f>
        <v>PT ACERO CETHA METALINDO</v>
      </c>
      <c r="O1230" s="222" t="str">
        <f>IFERROR(__xludf.DUMMYFUNCTION("""COMPUTED_VALUE"""),"0. DROP")</f>
        <v>0. DROP</v>
      </c>
      <c r="P1230" s="222" t="str">
        <f>IFERROR(__xludf.DUMMYFUNCTION("""COMPUTED_VALUE"""),"0.3 Feeder Full")</f>
        <v>0.3 Feeder Full</v>
      </c>
      <c r="Q1230" s="222" t="str">
        <f>IFERROR(__xludf.DUMMYFUNCTION("""COMPUTED_VALUE"""),"20/04 DROP, stub feeder habis, ODC kapasitas 48, dan sdh konfirm sales untuk drop, 13/04 Plan kirim material 14 Apr 26/03 KOORDINASI DG TIM SQUAD TERKAIT PENGECEKAN DAN PELURUSAN CORE, 25/03 KOORDINASI DG TIM SQUAD TERKAIT PENGECEKAN DAN PELURUSAN CORE, 2"&amp;"4/03 MEMASTIKAN APAKAH BISA UPGRADE ODC BARU ATAU TIDAK, 21/03 MASIH MEMASTIKAN APAKAH BISA UPGRADE ODC BARU ATAU TIDAK, 13/03 MASIH MEMASTIKAN APAKAH BISA UPGRADE ODC BARU ATAU TIDAK, 12/03 MASIH MEMASTIKAN APAKAH BISA UPGRADE ODC BARU ATAU TIDAK, 10/03 "&amp;"DROP - STUB CORE HABIS, 04/03 OGP DRM, 03/03 HASIL REVIEW TIF LANJUT, 02/03 OGP REVIEW TIF, 27/02 MASIH KOORDINASI STUB CORE DAN CPP NAIK, 24/02 KOORDINASI STUB CORE DAN CPP NAIK, 22/2 HOLD stub feeder habis 10/02 KONFIRM DARI WASPANG DROP , 09/02 OGP TTD"&amp;" NODIN DRM MITRA, 07/02 KONFIRM DRI WASPANG LANJUT DRM, 06/02 konfirm sales dan waspang untuk lokasi ini lanjut atau tidak, 03/02 DONE EVAL. DORP KARENA STUB CORE FEEDER ODC 48 HABIS, SDH TERPAKAI UNTUK PEMBANGUNAN LOKASI SMS P3I1 PT3 PBM FBB D02 JALAN KR"&amp;"AKATAU 03/02 DONE EVAL. DORP KARENA STUB CORE FEEDER ODC 48 HABIS, SDH TERPAKAI UNTUK PEMBANGUNAN LOKASI SMS P3I1 PT3 PBM FBB D02 JALAN KRAKATAU, 30/01 MASIH MENUNGGU ANTRIAN AANWIJDZING, (21/01) menunggu antrian aanwizjing, (15/1) ORDER DITERIMA MITRA 14"&amp;"/1, plan Aanwijdzing 19 Jan (06/01)order JPP batch-2 2026 ((14/11)HOLD- tidak masuk target Optimis 2025 (14/11 masih penunjukkan mitra, 13/11 lop di tolak mitra, jadi masih penunjukkan mitra 12/11 masih penunjukkan mitra 11/11 masih penunjukkan mitra 05/1"&amp;"1 menunggu Aanwijzing 23/10 penunjukan mitra
 14/01 penunjukan mitra oleh procurement")</f>
        <v>20/04 DROP, stub feeder habis, ODC kapasitas 48, dan sdh konfirm sales untuk drop, 13/04 Plan kirim material 14 Apr 26/03 KOORDINASI DG TIM SQUAD TERKAIT PENGECEKAN DAN PELURUSAN CORE, 25/03 KOORDINASI DG TIM SQUAD TERKAIT PENGECEKAN DAN PELURUSAN CORE, 24/03 MEMASTIKAN APAKAH BISA UPGRADE ODC BARU ATAU TIDAK, 21/03 MASIH MEMASTIKAN APAKAH BISA UPGRADE ODC BARU ATAU TIDAK, 13/03 MASIH MEMASTIKAN APAKAH BISA UPGRADE ODC BARU ATAU TIDAK, 12/03 MASIH MEMASTIKAN APAKAH BISA UPGRADE ODC BARU ATAU TIDAK, 10/03 DROP - STUB CORE HABIS, 04/03 OGP DRM, 03/03 HASIL REVIEW TIF LANJUT, 02/03 OGP REVIEW TIF, 27/02 MASIH KOORDINASI STUB CORE DAN CPP NAIK, 24/02 KOORDINASI STUB CORE DAN CPP NAIK, 22/2 HOLD stub feeder habis 10/02 KONFIRM DARI WASPANG DROP , 09/02 OGP TTD NODIN DRM MITRA, 07/02 KONFIRM DRI WASPANG LANJUT DRM, 06/02 konfirm sales dan waspang untuk lokasi ini lanjut atau tidak, 03/02 DONE EVAL. DORP KARENA STUB CORE FEEDER ODC 48 HABIS, SDH TERPAKAI UNTUK PEMBANGUNAN LOKASI SMS P3I1 PT3 PBM FBB D02 JALAN KRAKATAU 03/02 DONE EVAL. DORP KARENA STUB CORE FEEDER ODC 48 HABIS, SDH TERPAKAI UNTUK PEMBANGUNAN LOKASI SMS P3I1 PT3 PBM FBB D02 JALAN KRAKATAU, 30/01 MASIH MENUNGGU ANTRIAN AANWIJDZING, (21/01) menunggu antrian aanwizjing, (15/1) ORDER DITERIMA MITRA 14/1, plan Aanwijdzing 19 Jan (06/01)order JPP batch-2 2026 ((14/11)HOLD- tidak masuk target Optimis 2025 (14/11 masih penunjukkan mitra, 13/11 lop di tolak mitra, jadi masih penunjukkan mitra 12/11 masih penunjukkan mitra 11/11 masih penunjukkan mitra 05/11 menunggu Aanwijzing 23/10 penunjukan mitra
 14/01 penunjukan mitra oleh procurement</v>
      </c>
      <c r="R1230" s="228"/>
      <c r="S1230" s="11"/>
      <c r="T1230" s="11"/>
      <c r="U1230" s="11"/>
      <c r="V1230" s="229" t="str">
        <f>IFERROR(__xludf.DUMMYFUNCTION("""COMPUTED_VALUE"""),"ILHAM")</f>
        <v>ILHAM</v>
      </c>
      <c r="W1230" s="229"/>
      <c r="X1230" s="229" t="str">
        <f>IFERROR(__xludf.DUMMYFUNCTION("""COMPUTED_VALUE"""),"BELUM GOLIVE")</f>
        <v>BELUM GOLIVE</v>
      </c>
      <c r="Y1230" s="229"/>
      <c r="Z1230" s="229" t="str">
        <f>IFERROR(__xludf.DUMMYFUNCTION("""COMPUTED_VALUE"""),"#N/A")</f>
        <v>#N/A</v>
      </c>
      <c r="AA1230" s="229"/>
      <c r="AB1230" s="229"/>
      <c r="AC1230" s="229"/>
      <c r="AD1230" s="232"/>
      <c r="AE1230" s="233"/>
      <c r="AF1230" s="54" t="str">
        <f>IFERROR(__xludf.DUMMYFUNCTION("""COMPUTED_VALUE"""),"Draft BA DROP")</f>
        <v>Draft BA DROP</v>
      </c>
      <c r="AG1230" s="54"/>
      <c r="AH1230" s="54"/>
      <c r="AI1230" s="55" t="str">
        <f t="shared" si="132"/>
        <v/>
      </c>
      <c r="AW1230" s="234"/>
      <c r="BP1230" s="11"/>
      <c r="BQ1230" s="11"/>
      <c r="BR1230" s="235"/>
      <c r="BV1230" s="158"/>
      <c r="BY1230" s="158"/>
      <c r="CB1230" s="158"/>
    </row>
    <row r="1231" ht="18.0" hidden="1" customHeight="1">
      <c r="A1231" s="222">
        <f>IFERROR(__xludf.DUMMYFUNCTION("""COMPUTED_VALUE"""),2026.0)</f>
        <v>2026</v>
      </c>
      <c r="B1231" s="221">
        <f>IFERROR(__xludf.DUMMYFUNCTION("""COMPUTED_VALUE"""),1.1536031E7)</f>
        <v>11536031</v>
      </c>
      <c r="C1231" s="222" t="str">
        <f>IFERROR(__xludf.DUMMYFUNCTION("""COMPUTED_VALUE"""),"MDN PT3 PDB-FCB JL.BUNGA ESTER")</f>
        <v>MDN PT3 PDB-FCB JL.BUNGA ESTER</v>
      </c>
      <c r="D1231" s="222" t="str">
        <f>IFERROR(__xludf.DUMMYFUNCTION("""COMPUTED_VALUE"""),"REGIONAL I")</f>
        <v>REGIONAL I</v>
      </c>
      <c r="E1231" s="222" t="str">
        <f>IFERROR(__xludf.DUMMYFUNCTION("""COMPUTED_VALUE"""),"MEDAN")</f>
        <v>MEDAN</v>
      </c>
      <c r="F1231" s="222" t="str">
        <f>IFERROR(__xludf.DUMMYFUNCTION("""COMPUTED_VALUE"""),"PDB")</f>
        <v>PDB</v>
      </c>
      <c r="G1231" s="222" t="str">
        <f>IFERROR(__xludf.DUMMYFUNCTION("""COMPUTED_VALUE"""),"SUMBAGUT")</f>
        <v>SUMBAGUT</v>
      </c>
      <c r="H1231" s="222" t="str">
        <f>IFERROR(__xludf.DUMMYFUNCTION("""COMPUTED_VALUE"""),"MEDAN")</f>
        <v>MEDAN</v>
      </c>
      <c r="I1231" s="222" t="str">
        <f>IFERROR(__xludf.DUMMYFUNCTION("""COMPUTED_VALUE"""),"Batch 2")</f>
        <v>Batch 2</v>
      </c>
      <c r="J1231" s="225">
        <f>IFERROR(__xludf.DUMMYFUNCTION("""COMPUTED_VALUE"""),3.0)</f>
        <v>3</v>
      </c>
      <c r="K1231" s="224">
        <f>IFERROR(__xludf.DUMMYFUNCTION("""COMPUTED_VALUE"""),24.0)</f>
        <v>24</v>
      </c>
      <c r="L1231" s="226">
        <f>IFERROR(__xludf.DUMMYFUNCTION("""COMPUTED_VALUE"""),1075104.0)</f>
        <v>1075104</v>
      </c>
      <c r="M1231" s="227">
        <f>IFERROR(__xludf.DUMMYFUNCTION("""COMPUTED_VALUE"""),2.5802476E7)</f>
        <v>25802476</v>
      </c>
      <c r="N1231" s="222" t="str">
        <f>IFERROR(__xludf.DUMMYFUNCTION("""COMPUTED_VALUE"""),"PT MITRA AKSES INSANI")</f>
        <v>PT MITRA AKSES INSANI</v>
      </c>
      <c r="O1231" s="222" t="str">
        <f>IFERROR(__xludf.DUMMYFUNCTION("""COMPUTED_VALUE"""),"2. DONE AANWIJZING")</f>
        <v>2. DONE AANWIJZING</v>
      </c>
      <c r="P1231" s="222" t="str">
        <f>IFERROR(__xludf.DUMMYFUNCTION("""COMPUTED_VALUE"""),"2.10 Kendala - Feeder Rusak")</f>
        <v>2.10 Kendala - Feeder Rusak</v>
      </c>
      <c r="Q1231" s="222" t="str">
        <f>IFERROR(__xludf.DUMMYFUNCTION("""COMPUTED_VALUE"""),"01/11 Feeder Loss
(24/09) Perizinan Warga dan Kades / Lurah
(23/09) Perizinan Warga dan Kades / Lurah
15/09 proses aanwijzing")</f>
        <v>01/11 Feeder Loss
(24/09) Perizinan Warga dan Kades / Lurah
(23/09) Perizinan Warga dan Kades / Lurah
15/09 proses aanwijzing</v>
      </c>
      <c r="R1231" s="228"/>
      <c r="S1231" s="11"/>
      <c r="T1231" s="11"/>
      <c r="U1231" s="11"/>
      <c r="V1231" s="229"/>
      <c r="W1231" s="229"/>
      <c r="X1231" s="229" t="str">
        <f>IFERROR(__xludf.DUMMYFUNCTION("""COMPUTED_VALUE"""),"BELUM GOLIVE")</f>
        <v>BELUM GOLIVE</v>
      </c>
      <c r="Y1231" s="229"/>
      <c r="Z1231" s="229" t="str">
        <f>IFERROR(__xludf.DUMMYFUNCTION("""COMPUTED_VALUE"""),"#N/A")</f>
        <v>#N/A</v>
      </c>
      <c r="AA1231" s="229"/>
      <c r="AB1231" s="229"/>
      <c r="AC1231" s="229"/>
      <c r="AD1231" s="232"/>
      <c r="AE1231" s="233"/>
      <c r="AF1231" s="54"/>
      <c r="AG1231" s="54"/>
      <c r="AH1231" s="54"/>
      <c r="AI1231" s="55" t="str">
        <f t="shared" si="132"/>
        <v/>
      </c>
      <c r="AW1231" s="234"/>
      <c r="BP1231" s="11"/>
      <c r="BQ1231" s="11"/>
      <c r="BR1231" s="235"/>
      <c r="BV1231" s="158"/>
      <c r="BY1231" s="158"/>
      <c r="CB1231" s="158"/>
    </row>
    <row r="1232" ht="18.0" hidden="1" customHeight="1">
      <c r="A1232" s="222">
        <f>IFERROR(__xludf.DUMMYFUNCTION("""COMPUTED_VALUE"""),2026.0)</f>
        <v>2026</v>
      </c>
      <c r="B1232" s="221">
        <f>IFERROR(__xludf.DUMMYFUNCTION("""COMPUTED_VALUE"""),1.1137521E7)</f>
        <v>11137521</v>
      </c>
      <c r="C1232" s="222" t="str">
        <f>IFERROR(__xludf.DUMMYFUNCTION("""COMPUTED_VALUE"""),"MDN PT3 P7I7 SKI-FAP GG.CENDRAWASIH")</f>
        <v>MDN PT3 P7I7 SKI-FAP GG.CENDRAWASIH</v>
      </c>
      <c r="D1232" s="222" t="str">
        <f>IFERROR(__xludf.DUMMYFUNCTION("""COMPUTED_VALUE"""),"REGIONAL I")</f>
        <v>REGIONAL I</v>
      </c>
      <c r="E1232" s="222" t="str">
        <f>IFERROR(__xludf.DUMMYFUNCTION("""COMPUTED_VALUE"""),"MEDAN")</f>
        <v>MEDAN</v>
      </c>
      <c r="F1232" s="222" t="str">
        <f>IFERROR(__xludf.DUMMYFUNCTION("""COMPUTED_VALUE"""),"SKI")</f>
        <v>SKI</v>
      </c>
      <c r="G1232" s="222" t="str">
        <f>IFERROR(__xludf.DUMMYFUNCTION("""COMPUTED_VALUE"""),"SUMBAGUT")</f>
        <v>SUMBAGUT</v>
      </c>
      <c r="H1232" s="222" t="str">
        <f>IFERROR(__xludf.DUMMYFUNCTION("""COMPUTED_VALUE"""),"MEDAN")</f>
        <v>MEDAN</v>
      </c>
      <c r="I1232" s="222" t="str">
        <f>IFERROR(__xludf.DUMMYFUNCTION("""COMPUTED_VALUE"""),"Batch 2")</f>
        <v>Batch 2</v>
      </c>
      <c r="J1232" s="225">
        <f>IFERROR(__xludf.DUMMYFUNCTION("""COMPUTED_VALUE"""),2.0)</f>
        <v>2</v>
      </c>
      <c r="K1232" s="224">
        <f>IFERROR(__xludf.DUMMYFUNCTION("""COMPUTED_VALUE"""),16.0)</f>
        <v>16</v>
      </c>
      <c r="L1232" s="226">
        <f>IFERROR(__xludf.DUMMYFUNCTION("""COMPUTED_VALUE"""),818754.0)</f>
        <v>818754</v>
      </c>
      <c r="M1232" s="227">
        <f>IFERROR(__xludf.DUMMYFUNCTION("""COMPUTED_VALUE"""),1.3100049E7)</f>
        <v>13100049</v>
      </c>
      <c r="N1232" s="222" t="str">
        <f>IFERROR(__xludf.DUMMYFUNCTION("""COMPUTED_VALUE"""),"PT UPENTEL INTERNASIONAL")</f>
        <v>PT UPENTEL INTERNASIONAL</v>
      </c>
      <c r="O1232" s="222" t="str">
        <f>IFERROR(__xludf.DUMMYFUNCTION("""COMPUTED_VALUE"""),"2. DONE AANWIJZING")</f>
        <v>2. DONE AANWIJZING</v>
      </c>
      <c r="P1232" s="222" t="str">
        <f>IFERROR(__xludf.DUMMYFUNCTION("""COMPUTED_VALUE"""),"2.10 Kendala - Feeder Rusak")</f>
        <v>2.10 Kendala - Feeder Rusak</v>
      </c>
      <c r="Q1232" s="222" t="str">
        <f>IFERROR(__xludf.DUMMYFUNCTION("""COMPUTED_VALUE"""),"21/04 pengecekan tipus / butuh qe
SMS P1I1 PT3 TRA FF D02 PINANG MAS")</f>
        <v>21/04 pengecekan tipus / butuh qe
SMS P1I1 PT3 TRA FF D02 PINANG MAS</v>
      </c>
      <c r="R1232" s="228"/>
      <c r="S1232" s="11"/>
      <c r="T1232" s="11"/>
      <c r="U1232" s="11"/>
      <c r="V1232" s="229"/>
      <c r="W1232" s="229"/>
      <c r="X1232" s="229" t="str">
        <f>IFERROR(__xludf.DUMMYFUNCTION("""COMPUTED_VALUE"""),"BELUM GOLIVE")</f>
        <v>BELUM GOLIVE</v>
      </c>
      <c r="Y1232" s="229"/>
      <c r="Z1232" s="229" t="str">
        <f>IFERROR(__xludf.DUMMYFUNCTION("""COMPUTED_VALUE"""),"#N/A")</f>
        <v>#N/A</v>
      </c>
      <c r="AA1232" s="229"/>
      <c r="AB1232" s="229"/>
      <c r="AC1232" s="229"/>
      <c r="AD1232" s="232"/>
      <c r="AE1232" s="233"/>
      <c r="AF1232" s="54"/>
      <c r="AG1232" s="54"/>
      <c r="AH1232" s="54"/>
      <c r="AI1232" s="55" t="str">
        <f t="shared" si="132"/>
        <v/>
      </c>
      <c r="AW1232" s="234"/>
      <c r="BP1232" s="11"/>
      <c r="BQ1232" s="11"/>
      <c r="BR1232" s="235"/>
      <c r="BV1232" s="158"/>
      <c r="BY1232" s="158"/>
      <c r="CB1232" s="158"/>
    </row>
    <row r="1233" ht="18.0" hidden="1" customHeight="1">
      <c r="A1233" s="222">
        <f>IFERROR(__xludf.DUMMYFUNCTION("""COMPUTED_VALUE"""),2026.0)</f>
        <v>2026</v>
      </c>
      <c r="B1233" s="221">
        <f>IFERROR(__xludf.DUMMYFUNCTION("""COMPUTED_VALUE"""),1.1223707E7)</f>
        <v>11223707</v>
      </c>
      <c r="C1233" s="222" t="str">
        <f>IFERROR(__xludf.DUMMYFUNCTION("""COMPUTED_VALUE"""),"ACH PT3 SGI-FA BR.D01 DSC")</f>
        <v>ACH PT3 SGI-FA BR.D01 DSC</v>
      </c>
      <c r="D1233" s="222" t="str">
        <f>IFERROR(__xludf.DUMMYFUNCTION("""COMPUTED_VALUE"""),"REGIONAL I")</f>
        <v>REGIONAL I</v>
      </c>
      <c r="E1233" s="222" t="str">
        <f>IFERROR(__xludf.DUMMYFUNCTION("""COMPUTED_VALUE"""),"ACEH")</f>
        <v>ACEH</v>
      </c>
      <c r="F1233" s="222" t="str">
        <f>IFERROR(__xludf.DUMMYFUNCTION("""COMPUTED_VALUE"""),"SGI")</f>
        <v>SGI</v>
      </c>
      <c r="G1233" s="222" t="str">
        <f>IFERROR(__xludf.DUMMYFUNCTION("""COMPUTED_VALUE"""),"SUMBAGUT")</f>
        <v>SUMBAGUT</v>
      </c>
      <c r="H1233" s="222" t="str">
        <f>IFERROR(__xludf.DUMMYFUNCTION("""COMPUTED_VALUE"""),"BANDA ACEH")</f>
        <v>BANDA ACEH</v>
      </c>
      <c r="I1233" s="222" t="str">
        <f>IFERROR(__xludf.DUMMYFUNCTION("""COMPUTED_VALUE"""),"Batch 2")</f>
        <v>Batch 2</v>
      </c>
      <c r="J1233" s="225">
        <f>IFERROR(__xludf.DUMMYFUNCTION("""COMPUTED_VALUE"""),1.0)</f>
        <v>1</v>
      </c>
      <c r="K1233" s="224">
        <f>IFERROR(__xludf.DUMMYFUNCTION("""COMPUTED_VALUE"""),8.0)</f>
        <v>8</v>
      </c>
      <c r="L1233" s="226">
        <f>IFERROR(__xludf.DUMMYFUNCTION("""COMPUTED_VALUE"""),818238.0)</f>
        <v>818238</v>
      </c>
      <c r="M1233" s="227">
        <f>IFERROR(__xludf.DUMMYFUNCTION("""COMPUTED_VALUE"""),6545902.0)</f>
        <v>6545902</v>
      </c>
      <c r="N1233" s="222" t="str">
        <f>IFERROR(__xludf.DUMMYFUNCTION("""COMPUTED_VALUE"""),"PT NIAGA NUSANTARA DIVA")</f>
        <v>PT NIAGA NUSANTARA DIVA</v>
      </c>
      <c r="O1233" s="222" t="str">
        <f>IFERROR(__xludf.DUMMYFUNCTION("""COMPUTED_VALUE"""),"7. GOLIVE")</f>
        <v>7. GOLIVE</v>
      </c>
      <c r="P1233" s="222" t="str">
        <f>IFERROR(__xludf.DUMMYFUNCTION("""COMPUTED_VALUE"""),"7.2 Golive Full / OA / DONE OTB")</f>
        <v>7.2 Golive Full / OA / DONE OTB</v>
      </c>
      <c r="Q1233" s="222" t="str">
        <f>IFERROR(__xludf.DUMMYFUNCTION("""COMPUTED_VALUE"""),"(23/02) Tanam Tiang (07/02) DelMat (30/01) done survey (07/01) Persiapan")</f>
        <v>(23/02) Tanam Tiang (07/02) DelMat (30/01) done survey (07/01) Persiapan</v>
      </c>
      <c r="R1233" s="228">
        <f>IFERROR(__xludf.DUMMYFUNCTION("""COMPUTED_VALUE"""),46081.0)</f>
        <v>46081</v>
      </c>
      <c r="S1233" s="11"/>
      <c r="T1233" s="11"/>
      <c r="U1233" s="11" t="str">
        <f>IFERROR(__xludf.DUMMYFUNCTION("""COMPUTED_VALUE"""),"W04-966/2025")</f>
        <v>W04-966/2025</v>
      </c>
      <c r="V1233" s="229"/>
      <c r="W1233" s="229"/>
      <c r="X1233" s="229" t="str">
        <f>IFERROR(__xludf.DUMMYFUNCTION("""COMPUTED_VALUE"""),"GOLIVE")</f>
        <v>GOLIVE</v>
      </c>
      <c r="Y1233" s="229" t="str">
        <f>IFERROR(__xludf.DUMMYFUNCTION("""COMPUTED_VALUE"""),"DONE")</f>
        <v>DONE</v>
      </c>
      <c r="Z1233" s="229" t="str">
        <f>IFERROR(__xludf.DUMMYFUNCTION("""COMPUTED_VALUE"""),"#N/A")</f>
        <v>#N/A</v>
      </c>
      <c r="AA1233" s="229">
        <f>IFERROR(__xludf.DUMMYFUNCTION("""COMPUTED_VALUE"""),1.0)</f>
        <v>1</v>
      </c>
      <c r="AB1233" s="229"/>
      <c r="AC1233" s="229" t="str">
        <f>IFERROR(__xludf.DUMMYFUNCTION("""COMPUTED_VALUE"""),"9155985#9155990")</f>
        <v>9155985#9155990</v>
      </c>
      <c r="AD1233" s="232">
        <f>IFERROR(__xludf.DUMMYFUNCTION("""COMPUTED_VALUE"""),8.0)</f>
        <v>8</v>
      </c>
      <c r="AE1233" s="233">
        <f>IFERROR(__xludf.DUMMYFUNCTION("""COMPUTED_VALUE"""),46080.0)</f>
        <v>46080</v>
      </c>
      <c r="AF1233" s="54"/>
      <c r="AG1233" s="54"/>
      <c r="AH1233" s="54">
        <v>46081.0</v>
      </c>
      <c r="AI1233" s="55">
        <f t="shared" si="132"/>
        <v>1</v>
      </c>
      <c r="AW1233" s="234"/>
      <c r="BP1233" s="11"/>
      <c r="BQ1233" s="11"/>
      <c r="BR1233" s="235"/>
      <c r="BV1233" s="158"/>
      <c r="BY1233" s="158"/>
      <c r="CB1233" s="158"/>
    </row>
    <row r="1234" ht="18.0" hidden="1" customHeight="1">
      <c r="A1234" s="222">
        <f>IFERROR(__xludf.DUMMYFUNCTION("""COMPUTED_VALUE"""),2026.0)</f>
        <v>2026</v>
      </c>
      <c r="B1234" s="221">
        <f>IFERROR(__xludf.DUMMYFUNCTION("""COMPUTED_VALUE"""),1.1041227E7)</f>
        <v>11041227</v>
      </c>
      <c r="C1234" s="222" t="str">
        <f>IFERROR(__xludf.DUMMYFUNCTION("""COMPUTED_VALUE"""),"MDN PT3 P7I1 PRT-FE HUTA BAKARA DESA CINTA DAMAI")</f>
        <v>MDN PT3 P7I1 PRT-FE HUTA BAKARA DESA CINTA DAMAI</v>
      </c>
      <c r="D1234" s="222" t="str">
        <f>IFERROR(__xludf.DUMMYFUNCTION("""COMPUTED_VALUE"""),"REGIONAL I")</f>
        <v>REGIONAL I</v>
      </c>
      <c r="E1234" s="222" t="str">
        <f>IFERROR(__xludf.DUMMYFUNCTION("""COMPUTED_VALUE"""),"MEDAN")</f>
        <v>MEDAN</v>
      </c>
      <c r="F1234" s="222" t="str">
        <f>IFERROR(__xludf.DUMMYFUNCTION("""COMPUTED_VALUE"""),"PRT")</f>
        <v>PRT</v>
      </c>
      <c r="G1234" s="222" t="str">
        <f>IFERROR(__xludf.DUMMYFUNCTION("""COMPUTED_VALUE"""),"SUMBAGUT")</f>
        <v>SUMBAGUT</v>
      </c>
      <c r="H1234" s="222" t="str">
        <f>IFERROR(__xludf.DUMMYFUNCTION("""COMPUTED_VALUE"""),"MEDAN")</f>
        <v>MEDAN</v>
      </c>
      <c r="I1234" s="222" t="str">
        <f>IFERROR(__xludf.DUMMYFUNCTION("""COMPUTED_VALUE"""),"Batch 2")</f>
        <v>Batch 2</v>
      </c>
      <c r="J1234" s="225">
        <f>IFERROR(__xludf.DUMMYFUNCTION("""COMPUTED_VALUE"""),3.0)</f>
        <v>3</v>
      </c>
      <c r="K1234" s="224">
        <f>IFERROR(__xludf.DUMMYFUNCTION("""COMPUTED_VALUE"""),24.0)</f>
        <v>24</v>
      </c>
      <c r="L1234" s="226">
        <f>IFERROR(__xludf.DUMMYFUNCTION("""COMPUTED_VALUE"""),818057.0)</f>
        <v>818057</v>
      </c>
      <c r="M1234" s="227">
        <f>IFERROR(__xludf.DUMMYFUNCTION("""COMPUTED_VALUE"""),1.9633363E7)</f>
        <v>19633363</v>
      </c>
      <c r="N1234" s="222" t="str">
        <f>IFERROR(__xludf.DUMMYFUNCTION("""COMPUTED_VALUE"""),"PT BENWA  MITRA PRATAMA")</f>
        <v>PT BENWA  MITRA PRATAMA</v>
      </c>
      <c r="O1234" s="222" t="str">
        <f>IFERROR(__xludf.DUMMYFUNCTION("""COMPUTED_VALUE"""),"0. DROP")</f>
        <v>0. DROP</v>
      </c>
      <c r="P1234" s="222" t="str">
        <f>IFERROR(__xludf.DUMMYFUNCTION("""COMPUTED_VALUE"""),"0.2 Tidak Dapat Izin Warga/Kades/Lurah/Developer")</f>
        <v>0.2 Tidak Dapat Izin Warga/Kades/Lurah/Developer</v>
      </c>
      <c r="Q1234" s="222" t="str">
        <f>IFERROR(__xludf.DUMMYFUNCTION("""COMPUTED_VALUE"""),"30/01 Done Aanwidzing, Lanjut perizinan")</f>
        <v>30/01 Done Aanwidzing, Lanjut perizinan</v>
      </c>
      <c r="R1234" s="228"/>
      <c r="S1234" s="11"/>
      <c r="T1234" s="11"/>
      <c r="U1234" s="11"/>
      <c r="V1234" s="229"/>
      <c r="W1234" s="229"/>
      <c r="X1234" s="229" t="str">
        <f>IFERROR(__xludf.DUMMYFUNCTION("""COMPUTED_VALUE"""),"BELUM GOLIVE")</f>
        <v>BELUM GOLIVE</v>
      </c>
      <c r="Y1234" s="229"/>
      <c r="Z1234" s="229" t="str">
        <f>IFERROR(__xludf.DUMMYFUNCTION("""COMPUTED_VALUE"""),"#N/A")</f>
        <v>#N/A</v>
      </c>
      <c r="AA1234" s="229"/>
      <c r="AB1234" s="229"/>
      <c r="AC1234" s="229"/>
      <c r="AD1234" s="232"/>
      <c r="AE1234" s="233"/>
      <c r="AF1234" s="54"/>
      <c r="AG1234" s="54"/>
      <c r="AH1234" s="54"/>
      <c r="AI1234" s="55" t="str">
        <f t="shared" si="132"/>
        <v/>
      </c>
      <c r="AW1234" s="234"/>
      <c r="BP1234" s="11"/>
      <c r="BQ1234" s="11"/>
      <c r="BR1234" s="235"/>
      <c r="BV1234" s="158"/>
      <c r="BY1234" s="158"/>
      <c r="CB1234" s="158"/>
    </row>
    <row r="1235" ht="18.0" hidden="1" customHeight="1">
      <c r="A1235" s="222">
        <f>IFERROR(__xludf.DUMMYFUNCTION("""COMPUTED_VALUE"""),2026.0)</f>
        <v>2026</v>
      </c>
      <c r="B1235" s="221">
        <f>IFERROR(__xludf.DUMMYFUNCTION("""COMPUTED_VALUE"""),1.2385749E7)</f>
        <v>12385749</v>
      </c>
      <c r="C1235" s="222" t="str">
        <f>IFERROR(__xludf.DUMMYFUNCTION("""COMPUTED_VALUE"""),"BBL PT3 P4I3 EXPAND PENGANAK")</f>
        <v>BBL PT3 P4I3 EXPAND PENGANAK</v>
      </c>
      <c r="D1235" s="222" t="str">
        <f>IFERROR(__xludf.DUMMYFUNCTION("""COMPUTED_VALUE"""),"REGIONAL I")</f>
        <v>REGIONAL I</v>
      </c>
      <c r="E1235" s="222" t="str">
        <f>IFERROR(__xludf.DUMMYFUNCTION("""COMPUTED_VALUE"""),"BABEL")</f>
        <v>BABEL</v>
      </c>
      <c r="F1235" s="222" t="str">
        <f>IFERROR(__xludf.DUMMYFUNCTION("""COMPUTED_VALUE"""),"JBS")</f>
        <v>JBS</v>
      </c>
      <c r="G1235" s="222" t="str">
        <f>IFERROR(__xludf.DUMMYFUNCTION("""COMPUTED_VALUE"""),"SUMBAGSEL")</f>
        <v>SUMBAGSEL</v>
      </c>
      <c r="H1235" s="222" t="str">
        <f>IFERROR(__xludf.DUMMYFUNCTION("""COMPUTED_VALUE"""),"PANGKAL PINANG")</f>
        <v>PANGKAL PINANG</v>
      </c>
      <c r="I1235" s="222" t="str">
        <f>IFERROR(__xludf.DUMMYFUNCTION("""COMPUTED_VALUE"""),"Batch 2")</f>
        <v>Batch 2</v>
      </c>
      <c r="J1235" s="225">
        <f>IFERROR(__xludf.DUMMYFUNCTION("""COMPUTED_VALUE"""),8.0)</f>
        <v>8</v>
      </c>
      <c r="K1235" s="224">
        <f>IFERROR(__xludf.DUMMYFUNCTION("""COMPUTED_VALUE"""),112.0)</f>
        <v>112</v>
      </c>
      <c r="L1235" s="226">
        <f>IFERROR(__xludf.DUMMYFUNCTION("""COMPUTED_VALUE"""),816946.0)</f>
        <v>816946</v>
      </c>
      <c r="M1235" s="227">
        <f>IFERROR(__xludf.DUMMYFUNCTION("""COMPUTED_VALUE"""),9.1497951E7)</f>
        <v>91497951</v>
      </c>
      <c r="N1235" s="222" t="str">
        <f>IFERROR(__xludf.DUMMYFUNCTION("""COMPUTED_VALUE"""),"PT BAYUMI CAHAYA NUSANTARA")</f>
        <v>PT BAYUMI CAHAYA NUSANTARA</v>
      </c>
      <c r="O1235" s="222" t="str">
        <f>IFERROR(__xludf.DUMMYFUNCTION("""COMPUTED_VALUE"""),"7. GOLIVE")</f>
        <v>7. GOLIVE</v>
      </c>
      <c r="P1235" s="222" t="str">
        <f>IFERROR(__xludf.DUMMYFUNCTION("""COMPUTED_VALUE"""),"7.2 Golive Full / OA / DONE OTB")</f>
        <v>7.2 Golive Full / OA / DONE OTB</v>
      </c>
      <c r="Q1235" s="222" t="str">
        <f>IFERROR(__xludf.DUMMYFUNCTION("""COMPUTED_VALUE"""),"08/03 finish instalasi  (06/03) perlu repar feeder 48 &amp; 24 (26/2) progres GOLIVE 24/02) perlu repar feeder 48 &amp; 24  (6/2) GOLIVE SDI 2 FEB (06/02) Done Penambaha Modul (12/01) Kendala Modul OLT (7/1)  REKAP V4 (06/01)order JPP batch-2 2026 (02/01 perapiha"&amp;"n (16/12) perapian selesai tanam tiang dan tarik kabel 04/12 penanaman tiang 7/27 (28/11) mitra masih mengerjakan lokasi lain (17/11) material onsite 14/11 pengambilan material (13/11) Plan Besok Ambil Material 10/11 pengajuan PRPO (08/11) optimis submit "&amp;"abd  DES-25 (28/10) Penunjukan mitra")</f>
        <v>08/03 finish instalasi  (06/03) perlu repar feeder 48 &amp; 24 (26/2) progres GOLIVE 24/02) perlu repar feeder 48 &amp; 24  (6/2) GOLIVE SDI 2 FEB (06/02) Done Penambaha Modul (12/01) Kendala Modul OLT (7/1)  REKAP V4 (06/01)order JPP batch-2 2026 (02/01 perapihan (16/12) perapian selesai tanam tiang dan tarik kabel 04/12 penanaman tiang 7/27 (28/11) mitra masih mengerjakan lokasi lain (17/11) material onsite 14/11 pengambilan material (13/11) Plan Besok Ambil Material 10/11 pengajuan PRPO (08/11) optimis submit abd  DES-25 (28/10) Penunjukan mitra</v>
      </c>
      <c r="R1235" s="228">
        <f>IFERROR(__xludf.DUMMYFUNCTION("""COMPUTED_VALUE"""),46090.0)</f>
        <v>46090</v>
      </c>
      <c r="S1235" s="11" t="str">
        <f>IFERROR(__xludf.DUMMYFUNCTION("""COMPUTED_VALUE"""),"MAR")</f>
        <v>MAR</v>
      </c>
      <c r="T1235" s="11"/>
      <c r="U1235" s="11"/>
      <c r="V1235" s="229"/>
      <c r="W1235" s="229"/>
      <c r="X1235" s="229" t="str">
        <f>IFERROR(__xludf.DUMMYFUNCTION("""COMPUTED_VALUE"""),"GOLIVE")</f>
        <v>GOLIVE</v>
      </c>
      <c r="Y1235" s="229" t="str">
        <f>IFERROR(__xludf.DUMMYFUNCTION("""COMPUTED_VALUE"""),"DONE")</f>
        <v>DONE</v>
      </c>
      <c r="Z1235" s="229" t="str">
        <f>IFERROR(__xludf.DUMMYFUNCTION("""COMPUTED_VALUE"""),"#N/A")</f>
        <v>#N/A</v>
      </c>
      <c r="AA1235" s="229">
        <f>IFERROR(__xludf.DUMMYFUNCTION("""COMPUTED_VALUE"""),6.0)</f>
        <v>6</v>
      </c>
      <c r="AB1235" s="229">
        <f>IFERROR(__xludf.DUMMYFUNCTION("""COMPUTED_VALUE"""),2.0)</f>
        <v>2</v>
      </c>
      <c r="AC1235" s="229" t="str">
        <f>IFERROR(__xludf.DUMMYFUNCTION("""COMPUTED_VALUE"""),"9137382#9137387")</f>
        <v>9137382#9137387</v>
      </c>
      <c r="AD1235" s="232">
        <f>IFERROR(__xludf.DUMMYFUNCTION("""COMPUTED_VALUE"""),80.0)</f>
        <v>80</v>
      </c>
      <c r="AE1235" s="233">
        <f>IFERROR(__xludf.DUMMYFUNCTION("""COMPUTED_VALUE"""),46090.0)</f>
        <v>46090</v>
      </c>
      <c r="AF1235" s="54"/>
      <c r="AG1235" s="54"/>
      <c r="AH1235" s="54">
        <v>46090.0</v>
      </c>
      <c r="AI1235" s="55">
        <f t="shared" si="132"/>
        <v>0</v>
      </c>
      <c r="AW1235" s="234"/>
      <c r="BP1235" s="11"/>
      <c r="BQ1235" s="11"/>
      <c r="BR1235" s="235"/>
      <c r="BV1235" s="158"/>
      <c r="BY1235" s="158"/>
      <c r="CB1235" s="158"/>
    </row>
    <row r="1236" ht="18.0" hidden="1" customHeight="1">
      <c r="A1236" s="222">
        <f>IFERROR(__xludf.DUMMYFUNCTION("""COMPUTED_VALUE"""),2026.0)</f>
        <v>2026</v>
      </c>
      <c r="B1236" s="221">
        <f>IFERROR(__xludf.DUMMYFUNCTION("""COMPUTED_VALUE"""),1.1434814E7)</f>
        <v>11434814</v>
      </c>
      <c r="C1236" s="222" t="str">
        <f>IFERROR(__xludf.DUMMYFUNCTION("""COMPUTED_VALUE"""),"SMS P3I1 PT3 LLG FAW D03 KOPI ADINDA")</f>
        <v>SMS P3I1 PT3 LLG FAW D03 KOPI ADINDA</v>
      </c>
      <c r="D1236" s="222" t="str">
        <f>IFERROR(__xludf.DUMMYFUNCTION("""COMPUTED_VALUE"""),"REGIONAL I")</f>
        <v>REGIONAL I</v>
      </c>
      <c r="E1236" s="222" t="str">
        <f>IFERROR(__xludf.DUMMYFUNCTION("""COMPUTED_VALUE"""),"SUMSEL")</f>
        <v>SUMSEL</v>
      </c>
      <c r="F1236" s="222" t="str">
        <f>IFERROR(__xludf.DUMMYFUNCTION("""COMPUTED_VALUE"""),"LLG")</f>
        <v>LLG</v>
      </c>
      <c r="G1236" s="222" t="str">
        <f>IFERROR(__xludf.DUMMYFUNCTION("""COMPUTED_VALUE"""),"SUMBAGSEL")</f>
        <v>SUMBAGSEL</v>
      </c>
      <c r="H1236" s="222" t="str">
        <f>IFERROR(__xludf.DUMMYFUNCTION("""COMPUTED_VALUE"""),"BENGKULU")</f>
        <v>BENGKULU</v>
      </c>
      <c r="I1236" s="222" t="str">
        <f>IFERROR(__xludf.DUMMYFUNCTION("""COMPUTED_VALUE"""),"Batch 2")</f>
        <v>Batch 2</v>
      </c>
      <c r="J1236" s="225">
        <f>IFERROR(__xludf.DUMMYFUNCTION("""COMPUTED_VALUE"""),6.0)</f>
        <v>6</v>
      </c>
      <c r="K1236" s="224">
        <f>IFERROR(__xludf.DUMMYFUNCTION("""COMPUTED_VALUE"""),48.0)</f>
        <v>48</v>
      </c>
      <c r="L1236" s="226">
        <f>IFERROR(__xludf.DUMMYFUNCTION("""COMPUTED_VALUE"""),816137.0)</f>
        <v>816137</v>
      </c>
      <c r="M1236" s="227">
        <f>IFERROR(__xludf.DUMMYFUNCTION("""COMPUTED_VALUE"""),3.917455E7)</f>
        <v>39174550</v>
      </c>
      <c r="N1236" s="222" t="str">
        <f>IFERROR(__xludf.DUMMYFUNCTION("""COMPUTED_VALUE"""),"PT DIAN KARYA")</f>
        <v>PT DIAN KARYA</v>
      </c>
      <c r="O1236" s="222" t="str">
        <f>IFERROR(__xludf.DUMMYFUNCTION("""COMPUTED_VALUE"""),"8. UJI TERIMA")</f>
        <v>8. UJI TERIMA</v>
      </c>
      <c r="P1236" s="222" t="str">
        <f>IFERROR(__xludf.DUMMYFUNCTION("""COMPUTED_VALUE"""),"8.1 Proses UT")</f>
        <v>8.1 Proses UT</v>
      </c>
      <c r="Q1236" s="222" t="str">
        <f>IFERROR(__xludf.DUMMYFUNCTION("""COMPUTED_VALUE"""),"(4/2)golive sdi (4/2)sudah submit abd v4, (4/2)blm submit abd ek sdi (31/1) 2feb Plan Jumper dan GOLIVE (21/01) selesai fisik, kendala BIG OLT STO LLG belum ready, (18/01) KENDALA BIG OLT STO LLG, 01/12 menunggu redaman dari OLT, 25/11 terminasi ODP, 21/1"&amp;"1 selesai tanam tiang, 20/11 OGP tanam tiang, 19/11 OGP matdel, 17/11 masih matdel, 14/11 matdel, 13/11 MATDEL, (07/11) Matdel ditanggung TA ,BA ttd GM (04/11)  Kendala pengiriman Matrial Mitra 3/11 Kendala pengiriman Matrial Mitra 08/10 kirim material ke"&amp;" lokasi
(01/10) proses pengiriman material
(25/09) persiapan input material
(19/09) proses izin dg pihak RT setempat
(15/09) Proses Redesign Permintaan Sales Tsel")</f>
        <v>(4/2)golive sdi (4/2)sudah submit abd v4, (4/2)blm submit abd ek sdi (31/1) 2feb Plan Jumper dan GOLIVE (21/01) selesai fisik, kendala BIG OLT STO LLG belum ready, (18/01) KENDALA BIG OLT STO LLG, 01/12 menunggu redaman dari OLT, 25/11 terminasi ODP, 21/11 selesai tanam tiang, 20/11 OGP tanam tiang, 19/11 OGP matdel, 17/11 masih matdel, 14/11 matdel, 13/11 MATDEL, (07/11) Matdel ditanggung TA ,BA ttd GM (04/11)  Kendala pengiriman Matrial Mitra 3/11 Kendala pengiriman Matrial Mitra 08/10 kirim material ke lokasi
(01/10) proses pengiriman material
(25/09) persiapan input material
(19/09) proses izin dg pihak RT setempat
(15/09) Proses Redesign Permintaan Sales Tsel</v>
      </c>
      <c r="R1236" s="228"/>
      <c r="S1236" s="11"/>
      <c r="T1236" s="11"/>
      <c r="U1236" s="11"/>
      <c r="V1236" s="229" t="str">
        <f>IFERROR(__xludf.DUMMYFUNCTION("""COMPUTED_VALUE"""),"PUTRA")</f>
        <v>PUTRA</v>
      </c>
      <c r="W1236" s="229"/>
      <c r="X1236" s="229" t="str">
        <f>IFERROR(__xludf.DUMMYFUNCTION("""COMPUTED_VALUE"""),"GOLIVE")</f>
        <v>GOLIVE</v>
      </c>
      <c r="Y1236" s="229" t="str">
        <f>IFERROR(__xludf.DUMMYFUNCTION("""COMPUTED_VALUE"""),"DONE")</f>
        <v>DONE</v>
      </c>
      <c r="Z1236" s="229" t="str">
        <f>IFERROR(__xludf.DUMMYFUNCTION("""COMPUTED_VALUE"""),"#N/A")</f>
        <v>#N/A</v>
      </c>
      <c r="AA1236" s="229">
        <f>IFERROR(__xludf.DUMMYFUNCTION("""COMPUTED_VALUE"""),6.0)</f>
        <v>6</v>
      </c>
      <c r="AB1236" s="229"/>
      <c r="AC1236" s="229" t="str">
        <f>IFERROR(__xludf.DUMMYFUNCTION("""COMPUTED_VALUE"""),"9065386#9065391")</f>
        <v>9065386#9065391</v>
      </c>
      <c r="AD1236" s="232">
        <f>IFERROR(__xludf.DUMMYFUNCTION("""COMPUTED_VALUE"""),48.0)</f>
        <v>48</v>
      </c>
      <c r="AE1236" s="233">
        <f>IFERROR(__xludf.DUMMYFUNCTION("""COMPUTED_VALUE"""),46057.0)</f>
        <v>46057</v>
      </c>
      <c r="AF1236" s="54"/>
      <c r="AG1236" s="54"/>
      <c r="AH1236" s="54"/>
      <c r="AI1236" s="55" t="str">
        <f t="shared" si="132"/>
        <v/>
      </c>
      <c r="AW1236" s="234"/>
      <c r="BP1236" s="11"/>
      <c r="BQ1236" s="11"/>
      <c r="BR1236" s="235"/>
      <c r="BV1236" s="158"/>
      <c r="BY1236" s="158"/>
      <c r="CB1236" s="158"/>
    </row>
    <row r="1237" ht="18.0" hidden="1" customHeight="1">
      <c r="A1237" s="222">
        <f>IFERROR(__xludf.DUMMYFUNCTION("""COMPUTED_VALUE"""),2026.0)</f>
        <v>2026</v>
      </c>
      <c r="B1237" s="221">
        <f>IFERROR(__xludf.DUMMYFUNCTION("""COMPUTED_VALUE"""),1.2438907E7)</f>
        <v>12438907</v>
      </c>
      <c r="C1237" s="222" t="str">
        <f>IFERROR(__xludf.DUMMYFUNCTION("""COMPUTED_VALUE"""),"SMS P4I4 PT3 BTA FJ D04 KEVAS RESIDENCE")</f>
        <v>SMS P4I4 PT3 BTA FJ D04 KEVAS RESIDENCE</v>
      </c>
      <c r="D1237" s="222" t="str">
        <f>IFERROR(__xludf.DUMMYFUNCTION("""COMPUTED_VALUE"""),"REGIONAL I")</f>
        <v>REGIONAL I</v>
      </c>
      <c r="E1237" s="222" t="str">
        <f>IFERROR(__xludf.DUMMYFUNCTION("""COMPUTED_VALUE"""),"SUMSEL")</f>
        <v>SUMSEL</v>
      </c>
      <c r="F1237" s="222" t="str">
        <f>IFERROR(__xludf.DUMMYFUNCTION("""COMPUTED_VALUE"""),"BTA")</f>
        <v>BTA</v>
      </c>
      <c r="G1237" s="222" t="str">
        <f>IFERROR(__xludf.DUMMYFUNCTION("""COMPUTED_VALUE"""),"SUMBAGSEL")</f>
        <v>SUMBAGSEL</v>
      </c>
      <c r="H1237" s="222" t="str">
        <f>IFERROR(__xludf.DUMMYFUNCTION("""COMPUTED_VALUE"""),"PALEMBANG")</f>
        <v>PALEMBANG</v>
      </c>
      <c r="I1237" s="222" t="str">
        <f>IFERROR(__xludf.DUMMYFUNCTION("""COMPUTED_VALUE"""),"Batch 2")</f>
        <v>Batch 2</v>
      </c>
      <c r="J1237" s="225">
        <f>IFERROR(__xludf.DUMMYFUNCTION("""COMPUTED_VALUE"""),4.0)</f>
        <v>4</v>
      </c>
      <c r="K1237" s="224">
        <f>IFERROR(__xludf.DUMMYFUNCTION("""COMPUTED_VALUE"""),32.0)</f>
        <v>32</v>
      </c>
      <c r="L1237" s="226">
        <f>IFERROR(__xludf.DUMMYFUNCTION("""COMPUTED_VALUE"""),813202.0)</f>
        <v>813202</v>
      </c>
      <c r="M1237" s="227">
        <f>IFERROR(__xludf.DUMMYFUNCTION("""COMPUTED_VALUE"""),2.6022433E7)</f>
        <v>26022433</v>
      </c>
      <c r="N1237" s="222" t="str">
        <f>IFERROR(__xludf.DUMMYFUNCTION("""COMPUTED_VALUE"""),"PT GARINDO TECHNO MANDIRI")</f>
        <v>PT GARINDO TECHNO MANDIRI</v>
      </c>
      <c r="O1237" s="222" t="str">
        <f>IFERROR(__xludf.DUMMYFUNCTION("""COMPUTED_VALUE"""),"0. DROP")</f>
        <v>0. DROP</v>
      </c>
      <c r="P1237" s="222" t="str">
        <f>IFERROR(__xludf.DUMMYFUNCTION("""COMPUTED_VALUE"""),"0.2 Tidak Dapat Izin Warga/Kades/Lurah/Developer")</f>
        <v>0.2 Tidak Dapat Izin Warga/Kades/Lurah/Developer</v>
      </c>
      <c r="Q1237" s="222" t="str">
        <f>IFERROR(__xludf.DUMMYFUNCTION("""COMPUTED_VALUE"""),"13/03 HOLD KRNA DEVELOPER MEMINTA TIANG &amp; LAMPU JALAN SEBANYAK 5 LAMPU DAN 1 TIANG LAMPU PERKIRAAN HARGANYA 500RB, 02/03 OGP REVIEW TIF, 27/02 HOLD KARENA DEVELOPER MEMINTA PEMASANGAN TIANG LAMPU JALAN SEBANYAK 5 LAMPU, 1 LAMPU 500RB, 20/02 HOLD KARENA AD"&amp;"A PRELIM DAN TDK DPT IZIN DARI DEVELOPER, 12/02 HOLD - KENDALA DI PERIZINAN DEVELOPER DAN PRELIM, (11/02) KONFIRM SALES UNTUK BANTU IZIN KE DEPLOVER, 11/2 menunggu PRPO 10/02 MASIH PROGRESS DRM, 06/02 HASIL REVIEW TSEL LANJUT DRM, 03/02 DONE EVAL, HOLD AD"&amp;"A KENAIAKN BOQ SEBESAR 6% DARI PLAN DAN CPP 869 RB 30/01 MENUNGGU EVAL - PLAN TGL 02 FEB, 25/01 DONE AANWIDJZING - LANJUT EVAL, (21/01) menunggu antrian aanwizjing, (15/1) ORDER DITERIMA MITRA 14/1,MENUNGGU PLAN AANWIJDZING (06/01)order JPP batch-2 2026 ("&amp;"(14/11)HOLD- tidak masuk target Optimis 2025 (14/11 menunggu jadwal aanwidjzing, (11/11) Penunjukkan MITRA oleh Procurement")</f>
        <v>13/03 HOLD KRNA DEVELOPER MEMINTA TIANG &amp; LAMPU JALAN SEBANYAK 5 LAMPU DAN 1 TIANG LAMPU PERKIRAAN HARGANYA 500RB, 02/03 OGP REVIEW TIF, 27/02 HOLD KARENA DEVELOPER MEMINTA PEMASANGAN TIANG LAMPU JALAN SEBANYAK 5 LAMPU, 1 LAMPU 500RB, 20/02 HOLD KARENA ADA PRELIM DAN TDK DPT IZIN DARI DEVELOPER, 12/02 HOLD - KENDALA DI PERIZINAN DEVELOPER DAN PRELIM, (11/02) KONFIRM SALES UNTUK BANTU IZIN KE DEPLOVER, 11/2 menunggu PRPO 10/02 MASIH PROGRESS DRM, 06/02 HASIL REVIEW TSEL LANJUT DRM, 03/02 DONE EVAL, HOLD ADA KENAIAKN BOQ SEBESAR 6% DARI PLAN DAN CPP 869 RB 30/01 MENUNGGU EVAL - PLAN TGL 02 FEB, 25/01 DONE AANWIDJZING - LANJUT EVAL, (21/01) menunggu antrian aanwizjing, (15/1) ORDER DITERIMA MITRA 14/1,MENUNGGU PLAN AANWIJDZING (06/01)order JPP batch-2 2026 ((14/11)HOLD- tidak masuk target Optimis 2025 (14/11 menunggu jadwal aanwidjzing, (11/11) Penunjukkan MITRA oleh Procurement</v>
      </c>
      <c r="R1237" s="228"/>
      <c r="S1237" s="11"/>
      <c r="T1237" s="11"/>
      <c r="U1237" s="11"/>
      <c r="V1237" s="229" t="str">
        <f>IFERROR(__xludf.DUMMYFUNCTION("""COMPUTED_VALUE"""),"TANTOWI")</f>
        <v>TANTOWI</v>
      </c>
      <c r="W1237" s="229"/>
      <c r="X1237" s="229" t="str">
        <f>IFERROR(__xludf.DUMMYFUNCTION("""COMPUTED_VALUE"""),"BELUM GOLIVE")</f>
        <v>BELUM GOLIVE</v>
      </c>
      <c r="Y1237" s="229"/>
      <c r="Z1237" s="229" t="str">
        <f>IFERROR(__xludf.DUMMYFUNCTION("""COMPUTED_VALUE"""),"#N/A")</f>
        <v>#N/A</v>
      </c>
      <c r="AA1237" s="229"/>
      <c r="AB1237" s="229"/>
      <c r="AC1237" s="229"/>
      <c r="AD1237" s="232"/>
      <c r="AE1237" s="233"/>
      <c r="AF1237" s="54" t="str">
        <f>IFERROR(__xludf.DUMMYFUNCTION("""COMPUTED_VALUE"""),"Draft BA DROP")</f>
        <v>Draft BA DROP</v>
      </c>
      <c r="AG1237" s="54"/>
      <c r="AH1237" s="54"/>
      <c r="AI1237" s="55" t="str">
        <f t="shared" si="132"/>
        <v/>
      </c>
      <c r="AW1237" s="234"/>
      <c r="BP1237" s="11"/>
      <c r="BQ1237" s="11"/>
      <c r="BR1237" s="235"/>
      <c r="BV1237" s="158"/>
      <c r="BY1237" s="158"/>
      <c r="CB1237" s="158"/>
    </row>
    <row r="1238" ht="18.0" hidden="1" customHeight="1">
      <c r="A1238" s="222">
        <f>IFERROR(__xludf.DUMMYFUNCTION("""COMPUTED_VALUE"""),2026.0)</f>
        <v>2026</v>
      </c>
      <c r="B1238" s="221">
        <f>IFERROR(__xludf.DUMMYFUNCTION("""COMPUTED_VALUE"""),1.1535877E7)</f>
        <v>11535877</v>
      </c>
      <c r="C1238" s="222" t="str">
        <f>IFERROR(__xludf.DUMMYFUNCTION("""COMPUTED_VALUE"""),"MDN PT3 SPM-FAV JL.SEJATI")</f>
        <v>MDN PT3 SPM-FAV JL.SEJATI</v>
      </c>
      <c r="D1238" s="222" t="str">
        <f>IFERROR(__xludf.DUMMYFUNCTION("""COMPUTED_VALUE"""),"REGIONAL I")</f>
        <v>REGIONAL I</v>
      </c>
      <c r="E1238" s="222" t="str">
        <f>IFERROR(__xludf.DUMMYFUNCTION("""COMPUTED_VALUE"""),"MEDAN")</f>
        <v>MEDAN</v>
      </c>
      <c r="F1238" s="222" t="str">
        <f>IFERROR(__xludf.DUMMYFUNCTION("""COMPUTED_VALUE"""),"SPM")</f>
        <v>SPM</v>
      </c>
      <c r="G1238" s="222" t="str">
        <f>IFERROR(__xludf.DUMMYFUNCTION("""COMPUTED_VALUE"""),"SUMBAGUT")</f>
        <v>SUMBAGUT</v>
      </c>
      <c r="H1238" s="222" t="str">
        <f>IFERROR(__xludf.DUMMYFUNCTION("""COMPUTED_VALUE"""),"MEDAN")</f>
        <v>MEDAN</v>
      </c>
      <c r="I1238" s="222" t="str">
        <f>IFERROR(__xludf.DUMMYFUNCTION("""COMPUTED_VALUE"""),"Batch 2")</f>
        <v>Batch 2</v>
      </c>
      <c r="J1238" s="225">
        <f>IFERROR(__xludf.DUMMYFUNCTION("""COMPUTED_VALUE"""),1.0)</f>
        <v>1</v>
      </c>
      <c r="K1238" s="224">
        <f>IFERROR(__xludf.DUMMYFUNCTION("""COMPUTED_VALUE"""),8.0)</f>
        <v>8</v>
      </c>
      <c r="L1238" s="226">
        <f>IFERROR(__xludf.DUMMYFUNCTION("""COMPUTED_VALUE"""),1015608.0)</f>
        <v>1015608</v>
      </c>
      <c r="M1238" s="227">
        <f>IFERROR(__xludf.DUMMYFUNCTION("""COMPUTED_VALUE"""),8124860.0)</f>
        <v>8124860</v>
      </c>
      <c r="N1238" s="222" t="str">
        <f>IFERROR(__xludf.DUMMYFUNCTION("""COMPUTED_VALUE"""),"PT UPENTEL INTERNASIONAL")</f>
        <v>PT UPENTEL INTERNASIONAL</v>
      </c>
      <c r="O1238" s="222" t="str">
        <f>IFERROR(__xludf.DUMMYFUNCTION("""COMPUTED_VALUE"""),"0. DROP")</f>
        <v>0. DROP</v>
      </c>
      <c r="P1238" s="222" t="str">
        <f>IFERROR(__xludf.DUMMYFUNCTION("""COMPUTED_VALUE"""),"0.1 Double Order")</f>
        <v>0.1 Double Order</v>
      </c>
      <c r="Q1238" s="222" t="str">
        <f>IFERROR(__xludf.DUMMYFUNCTION("""COMPUTED_VALUE"""),"30/01 SUDAH TERCOVER FTTH
(07/01) Persiapan")</f>
        <v>30/01 SUDAH TERCOVER FTTH
(07/01) Persiapan</v>
      </c>
      <c r="R1238" s="228"/>
      <c r="S1238" s="11"/>
      <c r="T1238" s="11"/>
      <c r="U1238" s="11"/>
      <c r="V1238" s="229"/>
      <c r="W1238" s="229"/>
      <c r="X1238" s="229" t="str">
        <f>IFERROR(__xludf.DUMMYFUNCTION("""COMPUTED_VALUE"""),"BELUM GOLIVE")</f>
        <v>BELUM GOLIVE</v>
      </c>
      <c r="Y1238" s="229"/>
      <c r="Z1238" s="229" t="str">
        <f>IFERROR(__xludf.DUMMYFUNCTION("""COMPUTED_VALUE"""),"#N/A")</f>
        <v>#N/A</v>
      </c>
      <c r="AA1238" s="229"/>
      <c r="AB1238" s="229"/>
      <c r="AC1238" s="229"/>
      <c r="AD1238" s="232"/>
      <c r="AE1238" s="233"/>
      <c r="AF1238" s="54" t="str">
        <f>IFERROR(__xludf.DUMMYFUNCTION("""COMPUTED_VALUE"""),"Draft BA DROP")</f>
        <v>Draft BA DROP</v>
      </c>
      <c r="AG1238" s="54"/>
      <c r="AH1238" s="54"/>
      <c r="AI1238" s="55" t="str">
        <f t="shared" si="132"/>
        <v/>
      </c>
      <c r="AW1238" s="234"/>
      <c r="BP1238" s="11"/>
      <c r="BQ1238" s="11"/>
      <c r="BR1238" s="235"/>
      <c r="BV1238" s="158"/>
      <c r="BY1238" s="158"/>
      <c r="CB1238" s="158"/>
    </row>
    <row r="1239" ht="18.0" hidden="1" customHeight="1">
      <c r="A1239" s="222">
        <f>IFERROR(__xludf.DUMMYFUNCTION("""COMPUTED_VALUE"""),2026.0)</f>
        <v>2026</v>
      </c>
      <c r="B1239" s="221">
        <f>IFERROR(__xludf.DUMMYFUNCTION("""COMPUTED_VALUE"""),1.1127949E7)</f>
        <v>11127949</v>
      </c>
      <c r="C1239" s="222" t="str">
        <f>IFERROR(__xludf.DUMMYFUNCTION("""COMPUTED_VALUE"""),"MDN PT3 P7I2 GLG-FQ PERUM ABDILLAND II_")</f>
        <v>MDN PT3 P7I2 GLG-FQ PERUM ABDILLAND II_</v>
      </c>
      <c r="D1239" s="222" t="str">
        <f>IFERROR(__xludf.DUMMYFUNCTION("""COMPUTED_VALUE"""),"REGIONAL I")</f>
        <v>REGIONAL I</v>
      </c>
      <c r="E1239" s="222" t="str">
        <f>IFERROR(__xludf.DUMMYFUNCTION("""COMPUTED_VALUE"""),"MEDAN")</f>
        <v>MEDAN</v>
      </c>
      <c r="F1239" s="222" t="str">
        <f>IFERROR(__xludf.DUMMYFUNCTION("""COMPUTED_VALUE"""),"GLG")</f>
        <v>GLG</v>
      </c>
      <c r="G1239" s="222" t="str">
        <f>IFERROR(__xludf.DUMMYFUNCTION("""COMPUTED_VALUE"""),"SUMBAGUT")</f>
        <v>SUMBAGUT</v>
      </c>
      <c r="H1239" s="222" t="str">
        <f>IFERROR(__xludf.DUMMYFUNCTION("""COMPUTED_VALUE"""),"MEDAN")</f>
        <v>MEDAN</v>
      </c>
      <c r="I1239" s="222" t="str">
        <f>IFERROR(__xludf.DUMMYFUNCTION("""COMPUTED_VALUE"""),"Batch 2")</f>
        <v>Batch 2</v>
      </c>
      <c r="J1239" s="225">
        <f>IFERROR(__xludf.DUMMYFUNCTION("""COMPUTED_VALUE"""),3.0)</f>
        <v>3</v>
      </c>
      <c r="K1239" s="224">
        <f>IFERROR(__xludf.DUMMYFUNCTION("""COMPUTED_VALUE"""),24.0)</f>
        <v>24</v>
      </c>
      <c r="L1239" s="226">
        <f>IFERROR(__xludf.DUMMYFUNCTION("""COMPUTED_VALUE"""),812276.0)</f>
        <v>812276</v>
      </c>
      <c r="M1239" s="227">
        <f>IFERROR(__xludf.DUMMYFUNCTION("""COMPUTED_VALUE"""),1.9494624E7)</f>
        <v>19494624</v>
      </c>
      <c r="N1239" s="222" t="str">
        <f>IFERROR(__xludf.DUMMYFUNCTION("""COMPUTED_VALUE"""),"PT UPAYA TEKNIK")</f>
        <v>PT UPAYA TEKNIK</v>
      </c>
      <c r="O1239" s="222" t="str">
        <f>IFERROR(__xludf.DUMMYFUNCTION("""COMPUTED_VALUE"""),"2. DONE AANWIJZING")</f>
        <v>2. DONE AANWIJZING</v>
      </c>
      <c r="P1239" s="222" t="str">
        <f>IFERROR(__xludf.DUMMYFUNCTION("""COMPUTED_VALUE"""),"2.10 Kendala - Feeder Rusak")</f>
        <v>2.10 Kendala - Feeder Rusak</v>
      </c>
      <c r="Q1239" s="222" t="str">
        <f>IFERROR(__xludf.DUMMYFUNCTION("""COMPUTED_VALUE"""),"20/04 pengecekan tipus/butuh qe
09/03 feeder REDTI &amp; dist HABIS
(07/01) Persiapan")</f>
        <v>20/04 pengecekan tipus/butuh qe
09/03 feeder REDTI &amp; dist HABIS
(07/01) Persiapan</v>
      </c>
      <c r="R1239" s="228"/>
      <c r="S1239" s="11"/>
      <c r="T1239" s="11"/>
      <c r="U1239" s="11"/>
      <c r="V1239" s="229"/>
      <c r="W1239" s="229"/>
      <c r="X1239" s="229" t="str">
        <f>IFERROR(__xludf.DUMMYFUNCTION("""COMPUTED_VALUE"""),"BELUM GOLIVE")</f>
        <v>BELUM GOLIVE</v>
      </c>
      <c r="Y1239" s="229"/>
      <c r="Z1239" s="229" t="str">
        <f>IFERROR(__xludf.DUMMYFUNCTION("""COMPUTED_VALUE"""),"#N/A")</f>
        <v>#N/A</v>
      </c>
      <c r="AA1239" s="229"/>
      <c r="AB1239" s="229"/>
      <c r="AC1239" s="229"/>
      <c r="AD1239" s="232"/>
      <c r="AE1239" s="233"/>
      <c r="AF1239" s="54"/>
      <c r="AG1239" s="54"/>
      <c r="AH1239" s="54"/>
      <c r="AI1239" s="55" t="str">
        <f t="shared" si="132"/>
        <v/>
      </c>
      <c r="AW1239" s="234"/>
      <c r="BP1239" s="11"/>
      <c r="BQ1239" s="11"/>
      <c r="BR1239" s="235"/>
      <c r="BV1239" s="158"/>
      <c r="BY1239" s="158"/>
      <c r="CB1239" s="158"/>
    </row>
    <row r="1240" ht="18.0" customHeight="1">
      <c r="A1240" s="222">
        <f>IFERROR(__xludf.DUMMYFUNCTION("""COMPUTED_VALUE"""),2026.0)</f>
        <v>2026</v>
      </c>
      <c r="B1240" s="221">
        <f>IFERROR(__xludf.DUMMYFUNCTION("""COMPUTED_VALUE"""),1.1277675E7)</f>
        <v>11277675</v>
      </c>
      <c r="C1240" s="222" t="str">
        <f>IFERROR(__xludf.DUMMYFUNCTION("""COMPUTED_VALUE"""),"SMB P2I1 10504719660001 INDRIANI")</f>
        <v>SMB P2I1 10504719660001 INDRIANI</v>
      </c>
      <c r="D1240" s="222" t="str">
        <f>IFERROR(__xludf.DUMMYFUNCTION("""COMPUTED_VALUE"""),"REGIONAL I")</f>
        <v>REGIONAL I</v>
      </c>
      <c r="E1240" s="222" t="str">
        <f>IFERROR(__xludf.DUMMYFUNCTION("""COMPUTED_VALUE"""),"SUMBAR")</f>
        <v>SUMBAR</v>
      </c>
      <c r="F1240" s="222" t="str">
        <f>IFERROR(__xludf.DUMMYFUNCTION("""COMPUTED_VALUE"""),"SLA")</f>
        <v>SLA</v>
      </c>
      <c r="G1240" s="222" t="str">
        <f>IFERROR(__xludf.DUMMYFUNCTION("""COMPUTED_VALUE"""),"SUMBAGTENG")</f>
        <v>SUMBAGTENG</v>
      </c>
      <c r="H1240" s="222" t="str">
        <f>IFERROR(__xludf.DUMMYFUNCTION("""COMPUTED_VALUE"""),"PADANG")</f>
        <v>PADANG</v>
      </c>
      <c r="I1240" s="222" t="str">
        <f>IFERROR(__xludf.DUMMYFUNCTION("""COMPUTED_VALUE"""),"Batch 2")</f>
        <v>Batch 2</v>
      </c>
      <c r="J1240" s="225">
        <f>IFERROR(__xludf.DUMMYFUNCTION("""COMPUTED_VALUE"""),1.0)</f>
        <v>1</v>
      </c>
      <c r="K1240" s="224">
        <f>IFERROR(__xludf.DUMMYFUNCTION("""COMPUTED_VALUE"""),8.0)</f>
        <v>8</v>
      </c>
      <c r="L1240" s="226">
        <f>IFERROR(__xludf.DUMMYFUNCTION("""COMPUTED_VALUE"""),811932.0)</f>
        <v>811932</v>
      </c>
      <c r="M1240" s="227">
        <f>IFERROR(__xludf.DUMMYFUNCTION("""COMPUTED_VALUE"""),6495455.0)</f>
        <v>6495455</v>
      </c>
      <c r="N1240" s="222" t="str">
        <f>IFERROR(__xludf.DUMMYFUNCTION("""COMPUTED_VALUE"""),"PT TRI PENAMAS")</f>
        <v>PT TRI PENAMAS</v>
      </c>
      <c r="O1240" s="222" t="str">
        <f>IFERROR(__xludf.DUMMYFUNCTION("""COMPUTED_VALUE"""),"0. DROP")</f>
        <v>0. DROP</v>
      </c>
      <c r="P1240" s="222" t="str">
        <f>IFERROR(__xludf.DUMMYFUNCTION("""COMPUTED_VALUE"""),"0.3 Feeder Full")</f>
        <v>0.3 Feeder Full</v>
      </c>
      <c r="Q1240" s="222" t="str">
        <f>IFERROR(__xludf.DUMMYFUNCTION("""COMPUTED_VALUE"""),"(08/01) kendala FEEDER SUM-FD FULL  (07/01) Persiapan")</f>
        <v>(08/01) kendala FEEDER SUM-FD FULL  (07/01) Persiapan</v>
      </c>
      <c r="R1240" s="228"/>
      <c r="S1240" s="11"/>
      <c r="T1240" s="11"/>
      <c r="U1240" s="11"/>
      <c r="V1240" s="229"/>
      <c r="W1240" s="229"/>
      <c r="X1240" s="229" t="str">
        <f>IFERROR(__xludf.DUMMYFUNCTION("""COMPUTED_VALUE"""),"BELUM GOLIVE")</f>
        <v>BELUM GOLIVE</v>
      </c>
      <c r="Y1240" s="229"/>
      <c r="Z1240" s="229" t="str">
        <f>IFERROR(__xludf.DUMMYFUNCTION("""COMPUTED_VALUE"""),"#N/A")</f>
        <v>#N/A</v>
      </c>
      <c r="AA1240" s="229"/>
      <c r="AB1240" s="229"/>
      <c r="AC1240" s="229"/>
      <c r="AD1240" s="232"/>
      <c r="AE1240" s="233"/>
      <c r="AF1240" s="54" t="str">
        <f>IFERROR(__xludf.DUMMYFUNCTION("""COMPUTED_VALUE"""),"Draft BA DROP")</f>
        <v>Draft BA DROP</v>
      </c>
      <c r="AG1240" s="54"/>
      <c r="AH1240" s="54">
        <v>46137.0</v>
      </c>
      <c r="AI1240" s="237">
        <f>AH1240-NOW()</f>
        <v>-3.377989919</v>
      </c>
      <c r="AJ1240" s="229" t="str">
        <f>if(AI1240&gt;=0,"In Komitmen","Out Komitmen")</f>
        <v>Out Komitmen</v>
      </c>
      <c r="AW1240" s="234"/>
      <c r="BP1240" s="11"/>
      <c r="BQ1240" s="11"/>
      <c r="BR1240" s="235"/>
      <c r="BV1240" s="158"/>
      <c r="BY1240" s="158"/>
      <c r="CB1240" s="158"/>
    </row>
    <row r="1241" ht="18.0" customHeight="1">
      <c r="A1241" s="222">
        <f>IFERROR(__xludf.DUMMYFUNCTION("""COMPUTED_VALUE"""),2026.0)</f>
        <v>2026</v>
      </c>
      <c r="B1241" s="221">
        <f>IFERROR(__xludf.DUMMYFUNCTION("""COMPUTED_VALUE"""),1.1011874E7)</f>
        <v>11011874</v>
      </c>
      <c r="C1241" s="222" t="str">
        <f>IFERROR(__xludf.DUMMYFUNCTION("""COMPUTED_VALUE"""),"SMB P7I3 Gando SLA")</f>
        <v>SMB P7I3 Gando SLA</v>
      </c>
      <c r="D1241" s="222" t="str">
        <f>IFERROR(__xludf.DUMMYFUNCTION("""COMPUTED_VALUE"""),"REGIONAL I")</f>
        <v>REGIONAL I</v>
      </c>
      <c r="E1241" s="222" t="str">
        <f>IFERROR(__xludf.DUMMYFUNCTION("""COMPUTED_VALUE"""),"SUMBAR")</f>
        <v>SUMBAR</v>
      </c>
      <c r="F1241" s="222" t="str">
        <f>IFERROR(__xludf.DUMMYFUNCTION("""COMPUTED_VALUE"""),"SLA")</f>
        <v>SLA</v>
      </c>
      <c r="G1241" s="222" t="str">
        <f>IFERROR(__xludf.DUMMYFUNCTION("""COMPUTED_VALUE"""),"SUMBAGTENG")</f>
        <v>SUMBAGTENG</v>
      </c>
      <c r="H1241" s="222" t="str">
        <f>IFERROR(__xludf.DUMMYFUNCTION("""COMPUTED_VALUE"""),"PADANG")</f>
        <v>PADANG</v>
      </c>
      <c r="I1241" s="222" t="str">
        <f>IFERROR(__xludf.DUMMYFUNCTION("""COMPUTED_VALUE"""),"Batch 2")</f>
        <v>Batch 2</v>
      </c>
      <c r="J1241" s="225">
        <f>IFERROR(__xludf.DUMMYFUNCTION("""COMPUTED_VALUE"""),5.0)</f>
        <v>5</v>
      </c>
      <c r="K1241" s="224">
        <f>IFERROR(__xludf.DUMMYFUNCTION("""COMPUTED_VALUE"""),40.0)</f>
        <v>40</v>
      </c>
      <c r="L1241" s="226">
        <f>IFERROR(__xludf.DUMMYFUNCTION("""COMPUTED_VALUE"""),811060.0)</f>
        <v>811060</v>
      </c>
      <c r="M1241" s="227">
        <f>IFERROR(__xludf.DUMMYFUNCTION("""COMPUTED_VALUE"""),3.2442392E7)</f>
        <v>32442392</v>
      </c>
      <c r="N1241" s="222" t="str">
        <f>IFERROR(__xludf.DUMMYFUNCTION("""COMPUTED_VALUE"""),"PT TRI PENAMAS")</f>
        <v>PT TRI PENAMAS</v>
      </c>
      <c r="O1241" s="222" t="str">
        <f>IFERROR(__xludf.DUMMYFUNCTION("""COMPUTED_VALUE"""),"4. MATDEL")</f>
        <v>4. MATDEL</v>
      </c>
      <c r="P1241" s="222" t="str">
        <f>IFERROR(__xludf.DUMMYFUNCTION("""COMPUTED_VALUE"""),"4.4 Proses Pengiriman Pabribak ke WH")</f>
        <v>4.4 Proses Pengiriman Pabribak ke WH</v>
      </c>
      <c r="Q1241" s="222" t="str">
        <f>IFERROR(__xludf.DUMMYFUNCTION("""COMPUTED_VALUE"""),"(27/04) menunggu PO kabel 24 ADSS (20/04) matdel ke LOP  (13/04) Proses create PID (10/04) Proses aanwijziing , LOP HOLD FEEDER FULL ACC GO (12/01) kendala feeder SLA-FA FULL")</f>
        <v>(27/04) menunggu PO kabel 24 ADSS (20/04) matdel ke LOP  (13/04) Proses create PID (10/04) Proses aanwijziing , LOP HOLD FEEDER FULL ACC GO (12/01) kendala feeder SLA-FA FULL</v>
      </c>
      <c r="R1241" s="228">
        <f>IFERROR(__xludf.DUMMYFUNCTION("""COMPUTED_VALUE"""),46150.0)</f>
        <v>46150</v>
      </c>
      <c r="S1241" s="11"/>
      <c r="T1241" s="11"/>
      <c r="U1241" s="11"/>
      <c r="V1241" s="229" t="str">
        <f>IFERROR(__xludf.DUMMYFUNCTION("""COMPUTED_VALUE"""),"FABIO RAHMAN")</f>
        <v>FABIO RAHMAN</v>
      </c>
      <c r="W1241" s="229" t="str">
        <f>IFERROR(__xludf.DUMMYFUNCTION("""COMPUTED_VALUE"""),"MELKO NARWADI")</f>
        <v>MELKO NARWADI</v>
      </c>
      <c r="X1241" s="229" t="str">
        <f>IFERROR(__xludf.DUMMYFUNCTION("""COMPUTED_VALUE"""),"BELUM GOLIVE")</f>
        <v>BELUM GOLIVE</v>
      </c>
      <c r="Y1241" s="229"/>
      <c r="Z1241" s="229" t="str">
        <f>IFERROR(__xludf.DUMMYFUNCTION("""COMPUTED_VALUE"""),"#N/A")</f>
        <v>#N/A</v>
      </c>
      <c r="AA1241" s="229"/>
      <c r="AB1241" s="229"/>
      <c r="AC1241" s="229"/>
      <c r="AD1241" s="232"/>
      <c r="AE1241" s="233"/>
      <c r="AF1241" s="54"/>
      <c r="AG1241" s="54"/>
      <c r="AH1241" s="54"/>
      <c r="AI1241" s="55" t="str">
        <f t="shared" ref="AI1241:AI1246" si="133">IF(OR(R1241="",AE1241=""),"",R1241-AE1241)</f>
        <v/>
      </c>
      <c r="AW1241" s="234"/>
      <c r="BP1241" s="11"/>
      <c r="BQ1241" s="11"/>
      <c r="BR1241" s="235"/>
      <c r="BV1241" s="158"/>
      <c r="BY1241" s="158"/>
      <c r="CB1241" s="158"/>
    </row>
    <row r="1242" ht="18.0" customHeight="1">
      <c r="A1242" s="222">
        <f>IFERROR(__xludf.DUMMYFUNCTION("""COMPUTED_VALUE"""),2026.0)</f>
        <v>2026</v>
      </c>
      <c r="B1242" s="221">
        <f>IFERROR(__xludf.DUMMYFUNCTION("""COMPUTED_VALUE"""),1.2377696E7)</f>
        <v>12377696</v>
      </c>
      <c r="C1242" s="222" t="str">
        <f>IFERROR(__xludf.DUMMYFUNCTION("""COMPUTED_VALUE"""),"SMB P4I3 Sawit muaro jorong IV Suroboyo")</f>
        <v>SMB P4I3 Sawit muaro jorong IV Suroboyo</v>
      </c>
      <c r="D1242" s="222" t="str">
        <f>IFERROR(__xludf.DUMMYFUNCTION("""COMPUTED_VALUE"""),"REGIONAL I")</f>
        <v>REGIONAL I</v>
      </c>
      <c r="E1242" s="222" t="str">
        <f>IFERROR(__xludf.DUMMYFUNCTION("""COMPUTED_VALUE"""),"SUMBAR")</f>
        <v>SUMBAR</v>
      </c>
      <c r="F1242" s="222" t="str">
        <f>IFERROR(__xludf.DUMMYFUNCTION("""COMPUTED_VALUE"""),"LBB")</f>
        <v>LBB</v>
      </c>
      <c r="G1242" s="222" t="str">
        <f>IFERROR(__xludf.DUMMYFUNCTION("""COMPUTED_VALUE"""),"SUMBAGTENG")</f>
        <v>SUMBAGTENG</v>
      </c>
      <c r="H1242" s="222" t="str">
        <f>IFERROR(__xludf.DUMMYFUNCTION("""COMPUTED_VALUE"""),"BUKIT TINGGI")</f>
        <v>BUKIT TINGGI</v>
      </c>
      <c r="I1242" s="222" t="str">
        <f>IFERROR(__xludf.DUMMYFUNCTION("""COMPUTED_VALUE"""),"Batch 2")</f>
        <v>Batch 2</v>
      </c>
      <c r="J1242" s="225">
        <f>IFERROR(__xludf.DUMMYFUNCTION("""COMPUTED_VALUE"""),2.0)</f>
        <v>2</v>
      </c>
      <c r="K1242" s="224">
        <f>IFERROR(__xludf.DUMMYFUNCTION("""COMPUTED_VALUE"""),16.0)</f>
        <v>16</v>
      </c>
      <c r="L1242" s="226">
        <f>IFERROR(__xludf.DUMMYFUNCTION("""COMPUTED_VALUE"""),810943.0)</f>
        <v>810943</v>
      </c>
      <c r="M1242" s="227">
        <f>IFERROR(__xludf.DUMMYFUNCTION("""COMPUTED_VALUE"""),1.2975086E7)</f>
        <v>12975086</v>
      </c>
      <c r="N1242" s="222" t="str">
        <f>IFERROR(__xludf.DUMMYFUNCTION("""COMPUTED_VALUE"""),"PT TIGA AKSES MANDIRI")</f>
        <v>PT TIGA AKSES MANDIRI</v>
      </c>
      <c r="O1242" s="222" t="str">
        <f>IFERROR(__xludf.DUMMYFUNCTION("""COMPUTED_VALUE"""),"0. DROP")</f>
        <v>0. DROP</v>
      </c>
      <c r="P1242" s="222" t="str">
        <f>IFERROR(__xludf.DUMMYFUNCTION("""COMPUTED_VALUE"""),"0.4 CPP Tinggi Acc ED TIF")</f>
        <v>0.4 CPP Tinggi Acc ED TIF</v>
      </c>
      <c r="Q1242" s="222" t="str">
        <f>IFERROR(__xludf.DUMMYFUNCTION("""COMPUTED_VALUE"""),"3/3 Meeting ED1 - TAREGION - TA AREA DROP CPP Tinggi (27/01) Proses aanwijziing (23/01) CPP Tinggi 2,6 jta butuh tambah 2 ODP lagi (21/01) proses aanwijziing (08/01) kendala core feeder SUR-FA Full , proses eval, Proses mapping mitra  (07/01) Persiapan")</f>
        <v>3/3 Meeting ED1 - TAREGION - TA AREA DROP CPP Tinggi (27/01) Proses aanwijziing (23/01) CPP Tinggi 2,6 jta butuh tambah 2 ODP lagi (21/01) proses aanwijziing (08/01) kendala core feeder SUR-FA Full , proses eval, Proses mapping mitra  (07/01) Persiapan</v>
      </c>
      <c r="R1242" s="228"/>
      <c r="S1242" s="11"/>
      <c r="T1242" s="11"/>
      <c r="U1242" s="11"/>
      <c r="V1242" s="229" t="str">
        <f>IFERROR(__xludf.DUMMYFUNCTION("""COMPUTED_VALUE"""),"JANUAR RIZAL")</f>
        <v>JANUAR RIZAL</v>
      </c>
      <c r="W1242" s="229" t="str">
        <f>IFERROR(__xludf.DUMMYFUNCTION("""COMPUTED_VALUE"""),"MELKO NARWADI")</f>
        <v>MELKO NARWADI</v>
      </c>
      <c r="X1242" s="229" t="str">
        <f>IFERROR(__xludf.DUMMYFUNCTION("""COMPUTED_VALUE"""),"BELUM GOLIVE")</f>
        <v>BELUM GOLIVE</v>
      </c>
      <c r="Y1242" s="229"/>
      <c r="Z1242" s="229" t="str">
        <f>IFERROR(__xludf.DUMMYFUNCTION("""COMPUTED_VALUE"""),"#N/A")</f>
        <v>#N/A</v>
      </c>
      <c r="AA1242" s="229"/>
      <c r="AB1242" s="229"/>
      <c r="AC1242" s="229"/>
      <c r="AD1242" s="232"/>
      <c r="AE1242" s="233"/>
      <c r="AF1242" s="54" t="str">
        <f>IFERROR(__xludf.DUMMYFUNCTION("""COMPUTED_VALUE"""),"Draft BA DROP")</f>
        <v>Draft BA DROP</v>
      </c>
      <c r="AG1242" s="54"/>
      <c r="AH1242" s="54"/>
      <c r="AI1242" s="55" t="str">
        <f t="shared" si="133"/>
        <v/>
      </c>
      <c r="AW1242" s="234"/>
      <c r="BP1242" s="11"/>
      <c r="BQ1242" s="11"/>
      <c r="BR1242" s="235"/>
      <c r="BV1242" s="158"/>
      <c r="BY1242" s="158"/>
      <c r="CB1242" s="158"/>
    </row>
    <row r="1243" ht="18.0" customHeight="1">
      <c r="A1243" s="222">
        <f>IFERROR(__xludf.DUMMYFUNCTION("""COMPUTED_VALUE"""),2026.0)</f>
        <v>2026</v>
      </c>
      <c r="B1243" s="221">
        <f>IFERROR(__xludf.DUMMYFUNCTION("""COMPUTED_VALUE"""),1.0985975E7)</f>
        <v>10985975</v>
      </c>
      <c r="C1243" s="222" t="str">
        <f>IFERROR(__xludf.DUMMYFUNCTION("""COMPUTED_VALUE"""),"SMB P7I2 SMB PT3 Perumahan Kambang Baru Permai")</f>
        <v>SMB P7I2 SMB PT3 Perumahan Kambang Baru Permai</v>
      </c>
      <c r="D1243" s="222" t="str">
        <f>IFERROR(__xludf.DUMMYFUNCTION("""COMPUTED_VALUE"""),"REGIONAL I")</f>
        <v>REGIONAL I</v>
      </c>
      <c r="E1243" s="222" t="str">
        <f>IFERROR(__xludf.DUMMYFUNCTION("""COMPUTED_VALUE"""),"SUMBAR")</f>
        <v>SUMBAR</v>
      </c>
      <c r="F1243" s="222" t="str">
        <f>IFERROR(__xludf.DUMMYFUNCTION("""COMPUTED_VALUE"""),"SUR")</f>
        <v>SUR</v>
      </c>
      <c r="G1243" s="222" t="str">
        <f>IFERROR(__xludf.DUMMYFUNCTION("""COMPUTED_VALUE"""),"SUMBAGTENG")</f>
        <v>SUMBAGTENG</v>
      </c>
      <c r="H1243" s="222" t="str">
        <f>IFERROR(__xludf.DUMMYFUNCTION("""COMPUTED_VALUE"""),"PADANG")</f>
        <v>PADANG</v>
      </c>
      <c r="I1243" s="222" t="str">
        <f>IFERROR(__xludf.DUMMYFUNCTION("""COMPUTED_VALUE"""),"Batch 2")</f>
        <v>Batch 2</v>
      </c>
      <c r="J1243" s="225">
        <f>IFERROR(__xludf.DUMMYFUNCTION("""COMPUTED_VALUE"""),3.0)</f>
        <v>3</v>
      </c>
      <c r="K1243" s="224">
        <f>IFERROR(__xludf.DUMMYFUNCTION("""COMPUTED_VALUE"""),24.0)</f>
        <v>24</v>
      </c>
      <c r="L1243" s="226">
        <f>IFERROR(__xludf.DUMMYFUNCTION("""COMPUTED_VALUE"""),809638.0)</f>
        <v>809638</v>
      </c>
      <c r="M1243" s="227">
        <f>IFERROR(__xludf.DUMMYFUNCTION("""COMPUTED_VALUE"""),1.9431299E7)</f>
        <v>19431299</v>
      </c>
      <c r="N1243" s="222" t="str">
        <f>IFERROR(__xludf.DUMMYFUNCTION("""COMPUTED_VALUE"""),"PT TIGA AKSES MANDIRI")</f>
        <v>PT TIGA AKSES MANDIRI</v>
      </c>
      <c r="O1243" s="222" t="str">
        <f>IFERROR(__xludf.DUMMYFUNCTION("""COMPUTED_VALUE"""),"4. MATDEL")</f>
        <v>4. MATDEL</v>
      </c>
      <c r="P1243" s="222" t="str">
        <f>IFERROR(__xludf.DUMMYFUNCTION("""COMPUTED_VALUE"""),"4.4 Proses Pengiriman Pabribak ke WH")</f>
        <v>4.4 Proses Pengiriman Pabribak ke WH</v>
      </c>
      <c r="Q1243" s="222" t="str">
        <f>IFERROR(__xludf.DUMMYFUNCTION("""COMPUTED_VALUE"""),"(27/04) menunggu PO kabel 24 ADSS (20/04) tunggu hasil eval penambahan ODP karena CPP tinggi  (10/04) Proses aanwijziing , LOP HOLD FEEDER FULL ACC GO (07/01) Pkendala core feeder SUR-FA Full")</f>
        <v>(27/04) menunggu PO kabel 24 ADSS (20/04) tunggu hasil eval penambahan ODP karena CPP tinggi  (10/04) Proses aanwijziing , LOP HOLD FEEDER FULL ACC GO (07/01) Pkendala core feeder SUR-FA Full</v>
      </c>
      <c r="R1243" s="228"/>
      <c r="S1243" s="11"/>
      <c r="T1243" s="11"/>
      <c r="U1243" s="11"/>
      <c r="V1243" s="229"/>
      <c r="W1243" s="229"/>
      <c r="X1243" s="229" t="str">
        <f>IFERROR(__xludf.DUMMYFUNCTION("""COMPUTED_VALUE"""),"BELUM GOLIVE")</f>
        <v>BELUM GOLIVE</v>
      </c>
      <c r="Y1243" s="229"/>
      <c r="Z1243" s="229" t="str">
        <f>IFERROR(__xludf.DUMMYFUNCTION("""COMPUTED_VALUE"""),"#N/A")</f>
        <v>#N/A</v>
      </c>
      <c r="AA1243" s="229"/>
      <c r="AB1243" s="229"/>
      <c r="AC1243" s="229"/>
      <c r="AD1243" s="232"/>
      <c r="AE1243" s="233"/>
      <c r="AF1243" s="54" t="str">
        <f>IFERROR(__xludf.DUMMYFUNCTION("""COMPUTED_VALUE"""),"Draft BA DROP")</f>
        <v>Draft BA DROP</v>
      </c>
      <c r="AG1243" s="54"/>
      <c r="AH1243" s="54"/>
      <c r="AI1243" s="55" t="str">
        <f t="shared" si="133"/>
        <v/>
      </c>
      <c r="AW1243" s="234"/>
      <c r="BP1243" s="11"/>
      <c r="BQ1243" s="11"/>
      <c r="BR1243" s="235"/>
      <c r="BV1243" s="158"/>
      <c r="BY1243" s="158"/>
      <c r="CB1243" s="158"/>
    </row>
    <row r="1244" ht="18.0" hidden="1" customHeight="1">
      <c r="A1244" s="222">
        <f>IFERROR(__xludf.DUMMYFUNCTION("""COMPUTED_VALUE"""),2026.0)</f>
        <v>2026</v>
      </c>
      <c r="B1244" s="221">
        <f>IFERROR(__xludf.DUMMYFUNCTION("""COMPUTED_VALUE"""),1.2422645E7)</f>
        <v>12422645</v>
      </c>
      <c r="C1244" s="222" t="str">
        <f>IFERROR(__xludf.DUMMYFUNCTION("""COMPUTED_VALUE"""),"MDN PT3 STB-FA 250_1665_1553")</f>
        <v>MDN PT3 STB-FA 250_1665_1553</v>
      </c>
      <c r="D1244" s="222" t="str">
        <f>IFERROR(__xludf.DUMMYFUNCTION("""COMPUTED_VALUE"""),"REGIONAL I")</f>
        <v>REGIONAL I</v>
      </c>
      <c r="E1244" s="222" t="str">
        <f>IFERROR(__xludf.DUMMYFUNCTION("""COMPUTED_VALUE"""),"MEDAN")</f>
        <v>MEDAN</v>
      </c>
      <c r="F1244" s="222" t="str">
        <f>IFERROR(__xludf.DUMMYFUNCTION("""COMPUTED_VALUE"""),"STB")</f>
        <v>STB</v>
      </c>
      <c r="G1244" s="222" t="str">
        <f>IFERROR(__xludf.DUMMYFUNCTION("""COMPUTED_VALUE"""),"SUMBAGUT")</f>
        <v>SUMBAGUT</v>
      </c>
      <c r="H1244" s="222" t="str">
        <f>IFERROR(__xludf.DUMMYFUNCTION("""COMPUTED_VALUE"""),"BINJAI")</f>
        <v>BINJAI</v>
      </c>
      <c r="I1244" s="222" t="str">
        <f>IFERROR(__xludf.DUMMYFUNCTION("""COMPUTED_VALUE"""),"Batch 2")</f>
        <v>Batch 2</v>
      </c>
      <c r="J1244" s="225">
        <f>IFERROR(__xludf.DUMMYFUNCTION("""COMPUTED_VALUE"""),2.0)</f>
        <v>2</v>
      </c>
      <c r="K1244" s="224">
        <f>IFERROR(__xludf.DUMMYFUNCTION("""COMPUTED_VALUE"""),16.0)</f>
        <v>16</v>
      </c>
      <c r="L1244" s="226">
        <f>IFERROR(__xludf.DUMMYFUNCTION("""COMPUTED_VALUE"""),808087.0)</f>
        <v>808087</v>
      </c>
      <c r="M1244" s="227">
        <f>IFERROR(__xludf.DUMMYFUNCTION("""COMPUTED_VALUE"""),1.2929385E7)</f>
        <v>12929385</v>
      </c>
      <c r="N1244" s="222" t="str">
        <f>IFERROR(__xludf.DUMMYFUNCTION("""COMPUTED_VALUE"""),"PT FIBERHOME TECHNOLOGIES INDONESIA")</f>
        <v>PT FIBERHOME TECHNOLOGIES INDONESIA</v>
      </c>
      <c r="O1244" s="222" t="str">
        <f>IFERROR(__xludf.DUMMYFUNCTION("""COMPUTED_VALUE"""),"7. GOLIVE")</f>
        <v>7. GOLIVE</v>
      </c>
      <c r="P1244" s="222" t="str">
        <f>IFERROR(__xludf.DUMMYFUNCTION("""COMPUTED_VALUE"""),"7.2 Golive Full / OA / DONE OTB")</f>
        <v>7.2 Golive Full / OA / DONE OTB</v>
      </c>
      <c r="Q1244" s="222" t="str">
        <f>IFERROR(__xludf.DUMMYFUNCTION("""COMPUTED_VALUE"""),"13/03 golive
05/03 proses pemasangan odp
27/02 proses penanaman tiang dan penarikan KU
19/02 input material
18/02 feeder dist ready
07/01) Persiapan")</f>
        <v>13/03 golive
05/03 proses pemasangan odp
27/02 proses penanaman tiang dan penarikan KU
19/02 input material
18/02 feeder dist ready
07/01) Persiapan</v>
      </c>
      <c r="R1244" s="228">
        <f>IFERROR(__xludf.DUMMYFUNCTION("""COMPUTED_VALUE"""),46111.0)</f>
        <v>46111</v>
      </c>
      <c r="S1244" s="11" t="str">
        <f>IFERROR(__xludf.DUMMYFUNCTION("""COMPUTED_VALUE"""),"MAR")</f>
        <v>MAR</v>
      </c>
      <c r="T1244" s="11"/>
      <c r="U1244" s="11"/>
      <c r="V1244" s="229"/>
      <c r="W1244" s="229"/>
      <c r="X1244" s="229" t="str">
        <f>IFERROR(__xludf.DUMMYFUNCTION("""COMPUTED_VALUE"""),"GOLIVE")</f>
        <v>GOLIVE</v>
      </c>
      <c r="Y1244" s="229" t="str">
        <f>IFERROR(__xludf.DUMMYFUNCTION("""COMPUTED_VALUE"""),"DONE")</f>
        <v>DONE</v>
      </c>
      <c r="Z1244" s="229" t="str">
        <f>IFERROR(__xludf.DUMMYFUNCTION("""COMPUTED_VALUE"""),"#N/A")</f>
        <v>#N/A</v>
      </c>
      <c r="AA1244" s="229">
        <f>IFERROR(__xludf.DUMMYFUNCTION("""COMPUTED_VALUE"""),2.0)</f>
        <v>2</v>
      </c>
      <c r="AB1244" s="229"/>
      <c r="AC1244" s="229" t="str">
        <f>IFERROR(__xludf.DUMMYFUNCTION("""COMPUTED_VALUE"""),"9204739#9204744")</f>
        <v>9204739#9204744</v>
      </c>
      <c r="AD1244" s="232">
        <f>IFERROR(__xludf.DUMMYFUNCTION("""COMPUTED_VALUE"""),16.0)</f>
        <v>16</v>
      </c>
      <c r="AE1244" s="233">
        <f>IFERROR(__xludf.DUMMYFUNCTION("""COMPUTED_VALUE"""),46094.0)</f>
        <v>46094</v>
      </c>
      <c r="AF1244" s="54"/>
      <c r="AG1244" s="54"/>
      <c r="AH1244" s="54">
        <v>46111.0</v>
      </c>
      <c r="AI1244" s="55">
        <f t="shared" si="133"/>
        <v>17</v>
      </c>
      <c r="AW1244" s="234"/>
      <c r="BP1244" s="11"/>
      <c r="BQ1244" s="11"/>
      <c r="BR1244" s="235"/>
      <c r="BV1244" s="158"/>
      <c r="BY1244" s="158"/>
      <c r="CB1244" s="158"/>
    </row>
    <row r="1245" ht="18.0" hidden="1" customHeight="1">
      <c r="A1245" s="222">
        <f>IFERROR(__xludf.DUMMYFUNCTION("""COMPUTED_VALUE"""),2026.0)</f>
        <v>2026</v>
      </c>
      <c r="B1245" s="221">
        <f>IFERROR(__xludf.DUMMYFUNCTION("""COMPUTED_VALUE"""),1.2156109E7)</f>
        <v>12156109</v>
      </c>
      <c r="C1245" s="222" t="str">
        <f>IFERROR(__xludf.DUMMYFUNCTION("""COMPUTED_VALUE"""),"JBI-PT3 BRAN-BKO-FR-MERANGIN_36381")</f>
        <v>JBI-PT3 BRAN-BKO-FR-MERANGIN_36381</v>
      </c>
      <c r="D1245" s="222" t="str">
        <f>IFERROR(__xludf.DUMMYFUNCTION("""COMPUTED_VALUE"""),"REGIONAL I")</f>
        <v>REGIONAL I</v>
      </c>
      <c r="E1245" s="222" t="str">
        <f>IFERROR(__xludf.DUMMYFUNCTION("""COMPUTED_VALUE"""),"JAMBI")</f>
        <v>JAMBI</v>
      </c>
      <c r="F1245" s="222" t="str">
        <f>IFERROR(__xludf.DUMMYFUNCTION("""COMPUTED_VALUE"""),"BKO")</f>
        <v>BKO</v>
      </c>
      <c r="G1245" s="222" t="str">
        <f>IFERROR(__xludf.DUMMYFUNCTION("""COMPUTED_VALUE"""),"SUMBAGSEL")</f>
        <v>SUMBAGSEL</v>
      </c>
      <c r="H1245" s="222" t="str">
        <f>IFERROR(__xludf.DUMMYFUNCTION("""COMPUTED_VALUE"""),"JAMBI")</f>
        <v>JAMBI</v>
      </c>
      <c r="I1245" s="222" t="str">
        <f>IFERROR(__xludf.DUMMYFUNCTION("""COMPUTED_VALUE"""),"Batch 2")</f>
        <v>Batch 2</v>
      </c>
      <c r="J1245" s="225">
        <f>IFERROR(__xludf.DUMMYFUNCTION("""COMPUTED_VALUE"""),2.0)</f>
        <v>2</v>
      </c>
      <c r="K1245" s="224">
        <f>IFERROR(__xludf.DUMMYFUNCTION("""COMPUTED_VALUE"""),16.0)</f>
        <v>16</v>
      </c>
      <c r="L1245" s="226">
        <f>IFERROR(__xludf.DUMMYFUNCTION("""COMPUTED_VALUE"""),807841.0)</f>
        <v>807841</v>
      </c>
      <c r="M1245" s="227">
        <f>IFERROR(__xludf.DUMMYFUNCTION("""COMPUTED_VALUE"""),1.2925452E7)</f>
        <v>12925452</v>
      </c>
      <c r="N1245" s="222" t="str">
        <f>IFERROR(__xludf.DUMMYFUNCTION("""COMPUTED_VALUE"""),"PT TSUIKA BERKAH RAYA")</f>
        <v>PT TSUIKA BERKAH RAYA</v>
      </c>
      <c r="O1245" s="222" t="str">
        <f>IFERROR(__xludf.DUMMYFUNCTION("""COMPUTED_VALUE"""),"0. DROP")</f>
        <v>0. DROP</v>
      </c>
      <c r="P1245" s="222" t="str">
        <f>IFERROR(__xludf.DUMMYFUNCTION("""COMPUTED_VALUE"""),"0.5 DROP TSEL - Acc ED TIF")</f>
        <v>0.5 DROP TSEL - Acc ED TIF</v>
      </c>
      <c r="Q1245" s="222" t="str">
        <f>IFERROR(__xludf.DUMMYFUNCTION("""COMPUTED_VALUE"""),"09/04 BA Drop Sirkulir - Permintaan Tsel Market tidak OK  (12/1) BA Drop Sirkulir - Permintaan Tsel Market tidak OK  (06/01)order JPP batch-2 2026 ((18/11) tidak masuk target optimis 2025 (17/11 kendala mitra ,redesign 10/11 matdel (15/10) Mapping Mitra")</f>
        <v>09/04 BA Drop Sirkulir - Permintaan Tsel Market tidak OK  (12/1) BA Drop Sirkulir - Permintaan Tsel Market tidak OK  (06/01)order JPP batch-2 2026 ((18/11) tidak masuk target optimis 2025 (17/11 kendala mitra ,redesign 10/11 matdel (15/10) Mapping Mitra</v>
      </c>
      <c r="R1245" s="228"/>
      <c r="S1245" s="11"/>
      <c r="T1245" s="11"/>
      <c r="U1245" s="11"/>
      <c r="V1245" s="229"/>
      <c r="W1245" s="229"/>
      <c r="X1245" s="229" t="str">
        <f>IFERROR(__xludf.DUMMYFUNCTION("""COMPUTED_VALUE"""),"BELUM GOLIVE")</f>
        <v>BELUM GOLIVE</v>
      </c>
      <c r="Y1245" s="229"/>
      <c r="Z1245" s="229" t="str">
        <f>IFERROR(__xludf.DUMMYFUNCTION("""COMPUTED_VALUE"""),"#N/A")</f>
        <v>#N/A</v>
      </c>
      <c r="AA1245" s="229"/>
      <c r="AB1245" s="229"/>
      <c r="AC1245" s="229"/>
      <c r="AD1245" s="232"/>
      <c r="AE1245" s="233"/>
      <c r="AF1245" s="54"/>
      <c r="AG1245" s="54"/>
      <c r="AH1245" s="54"/>
      <c r="AI1245" s="55" t="str">
        <f t="shared" si="133"/>
        <v/>
      </c>
      <c r="AW1245" s="234"/>
      <c r="BP1245" s="11"/>
      <c r="BQ1245" s="11"/>
      <c r="BR1245" s="235"/>
      <c r="BV1245" s="158"/>
      <c r="BY1245" s="158"/>
      <c r="CB1245" s="158"/>
    </row>
    <row r="1246" ht="18.0" customHeight="1">
      <c r="A1246" s="222">
        <f>IFERROR(__xludf.DUMMYFUNCTION("""COMPUTED_VALUE"""),2026.0)</f>
        <v>2026</v>
      </c>
      <c r="B1246" s="221">
        <f>IFERROR(__xludf.DUMMYFUNCTION("""COMPUTED_VALUE"""),1.2429672E7)</f>
        <v>12429672</v>
      </c>
      <c r="C1246" s="222" t="str">
        <f>IFERROR(__xludf.DUMMYFUNCTION("""COMPUTED_VALUE"""),"RDR JPP PT3 JL. RUPAT BUKIT BATREM")</f>
        <v>RDR JPP PT3 JL. RUPAT BUKIT BATREM</v>
      </c>
      <c r="D1246" s="222" t="str">
        <f>IFERROR(__xludf.DUMMYFUNCTION("""COMPUTED_VALUE"""),"REGIONAL I")</f>
        <v>REGIONAL I</v>
      </c>
      <c r="E1246" s="222" t="str">
        <f>IFERROR(__xludf.DUMMYFUNCTION("""COMPUTED_VALUE"""),"RIDAR")</f>
        <v>RIDAR</v>
      </c>
      <c r="F1246" s="222" t="str">
        <f>IFERROR(__xludf.DUMMYFUNCTION("""COMPUTED_VALUE"""),"DUM")</f>
        <v>DUM</v>
      </c>
      <c r="G1246" s="222" t="str">
        <f>IFERROR(__xludf.DUMMYFUNCTION("""COMPUTED_VALUE"""),"SUMBAGTENG")</f>
        <v>SUMBAGTENG</v>
      </c>
      <c r="H1246" s="222" t="str">
        <f>IFERROR(__xludf.DUMMYFUNCTION("""COMPUTED_VALUE"""),"DUMAI")</f>
        <v>DUMAI</v>
      </c>
      <c r="I1246" s="222" t="str">
        <f>IFERROR(__xludf.DUMMYFUNCTION("""COMPUTED_VALUE"""),"Batch 2")</f>
        <v>Batch 2</v>
      </c>
      <c r="J1246" s="225">
        <f>IFERROR(__xludf.DUMMYFUNCTION("""COMPUTED_VALUE"""),12.0)</f>
        <v>12</v>
      </c>
      <c r="K1246" s="224">
        <f>IFERROR(__xludf.DUMMYFUNCTION("""COMPUTED_VALUE"""),96.0)</f>
        <v>96</v>
      </c>
      <c r="L1246" s="226">
        <f>IFERROR(__xludf.DUMMYFUNCTION("""COMPUTED_VALUE"""),807841.0)</f>
        <v>807841</v>
      </c>
      <c r="M1246" s="227">
        <f>IFERROR(__xludf.DUMMYFUNCTION("""COMPUTED_VALUE"""),7.7552693E7)</f>
        <v>77552693</v>
      </c>
      <c r="N1246" s="222" t="str">
        <f>IFERROR(__xludf.DUMMYFUNCTION("""COMPUTED_VALUE"""),"PT LIBER PERSADA MANDIRI")</f>
        <v>PT LIBER PERSADA MANDIRI</v>
      </c>
      <c r="O1246" s="222" t="str">
        <f>IFERROR(__xludf.DUMMYFUNCTION("""COMPUTED_VALUE"""),"0. DROP")</f>
        <v>0. DROP</v>
      </c>
      <c r="P1246" s="222" t="str">
        <f>IFERROR(__xludf.DUMMYFUNCTION("""COMPUTED_VALUE"""),"0.2 Tidak Dapat Izin Warga/Kades/Lurah/Developer")</f>
        <v>0.2 Tidak Dapat Izin Warga/Kades/Lurah/Developer</v>
      </c>
      <c r="Q1246" s="222" t="str">
        <f>IFERROR(__xludf.DUMMYFUNCTION("""COMPUTED_VALUE"""),"29/01 Tidak dapat izin tanam tiang (07/01) Persiapan")</f>
        <v>29/01 Tidak dapat izin tanam tiang (07/01) Persiapan</v>
      </c>
      <c r="R1246" s="228"/>
      <c r="S1246" s="11"/>
      <c r="T1246" s="11"/>
      <c r="U1246" s="11" t="str">
        <f>IFERROR(__xludf.DUMMYFUNCTION("""COMPUTED_VALUE"""),"W08-2047/2025")</f>
        <v>W08-2047/2025</v>
      </c>
      <c r="V1246" s="229" t="str">
        <f>IFERROR(__xludf.DUMMYFUNCTION("""COMPUTED_VALUE"""),"ONDI EKA SAPUTRA")</f>
        <v>ONDI EKA SAPUTRA</v>
      </c>
      <c r="W1246" s="229" t="str">
        <f>IFERROR(__xludf.DUMMYFUNCTION("""COMPUTED_VALUE"""),"DESLITA RAHMADANI")</f>
        <v>DESLITA RAHMADANI</v>
      </c>
      <c r="X1246" s="229" t="str">
        <f>IFERROR(__xludf.DUMMYFUNCTION("""COMPUTED_VALUE"""),"BELUM GOLIVE")</f>
        <v>BELUM GOLIVE</v>
      </c>
      <c r="Y1246" s="229"/>
      <c r="Z1246" s="229" t="str">
        <f>IFERROR(__xludf.DUMMYFUNCTION("""COMPUTED_VALUE"""),"#N/A")</f>
        <v>#N/A</v>
      </c>
      <c r="AA1246" s="229"/>
      <c r="AB1246" s="229"/>
      <c r="AC1246" s="229"/>
      <c r="AD1246" s="232"/>
      <c r="AE1246" s="233"/>
      <c r="AF1246" s="54" t="str">
        <f>IFERROR(__xludf.DUMMYFUNCTION("""COMPUTED_VALUE"""),"Draft BA DROP")</f>
        <v>Draft BA DROP</v>
      </c>
      <c r="AG1246" s="54"/>
      <c r="AH1246" s="54"/>
      <c r="AI1246" s="55" t="str">
        <f t="shared" si="133"/>
        <v/>
      </c>
      <c r="AW1246" s="234"/>
      <c r="BP1246" s="11"/>
      <c r="BQ1246" s="11"/>
      <c r="BR1246" s="235"/>
      <c r="BV1246" s="158"/>
      <c r="BY1246" s="158"/>
      <c r="CB1246" s="158"/>
    </row>
    <row r="1247" ht="18.0" customHeight="1">
      <c r="A1247" s="222">
        <f>IFERROR(__xludf.DUMMYFUNCTION("""COMPUTED_VALUE"""),2026.0)</f>
        <v>2026</v>
      </c>
      <c r="B1247" s="221">
        <f>IFERROR(__xludf.DUMMYFUNCTION("""COMPUTED_VALUE"""),1.23645E7)</f>
        <v>12364500</v>
      </c>
      <c r="C1247" s="222" t="str">
        <f>IFERROR(__xludf.DUMMYFUNCTION("""COMPUTED_VALUE"""),"RDR JPP PT3 EXPAND RBI FA")</f>
        <v>RDR JPP PT3 EXPAND RBI FA</v>
      </c>
      <c r="D1247" s="222" t="str">
        <f>IFERROR(__xludf.DUMMYFUNCTION("""COMPUTED_VALUE"""),"REGIONAL I")</f>
        <v>REGIONAL I</v>
      </c>
      <c r="E1247" s="222" t="str">
        <f>IFERROR(__xludf.DUMMYFUNCTION("""COMPUTED_VALUE"""),"RIDAR")</f>
        <v>RIDAR</v>
      </c>
      <c r="F1247" s="222" t="str">
        <f>IFERROR(__xludf.DUMMYFUNCTION("""COMPUTED_VALUE"""),"RBI")</f>
        <v>RBI</v>
      </c>
      <c r="G1247" s="222" t="str">
        <f>IFERROR(__xludf.DUMMYFUNCTION("""COMPUTED_VALUE"""),"SUMBAGTENG")</f>
        <v>SUMBAGTENG</v>
      </c>
      <c r="H1247" s="222" t="str">
        <f>IFERROR(__xludf.DUMMYFUNCTION("""COMPUTED_VALUE"""),"PEKANBARU")</f>
        <v>PEKANBARU</v>
      </c>
      <c r="I1247" s="222" t="str">
        <f>IFERROR(__xludf.DUMMYFUNCTION("""COMPUTED_VALUE"""),"Batch 2")</f>
        <v>Batch 2</v>
      </c>
      <c r="J1247" s="225">
        <f>IFERROR(__xludf.DUMMYFUNCTION("""COMPUTED_VALUE"""),7.0)</f>
        <v>7</v>
      </c>
      <c r="K1247" s="224">
        <f>IFERROR(__xludf.DUMMYFUNCTION("""COMPUTED_VALUE"""),56.0)</f>
        <v>56</v>
      </c>
      <c r="L1247" s="226">
        <f>IFERROR(__xludf.DUMMYFUNCTION("""COMPUTED_VALUE"""),807734.0)</f>
        <v>807734</v>
      </c>
      <c r="M1247" s="227">
        <f>IFERROR(__xludf.DUMMYFUNCTION("""COMPUTED_VALUE"""),4.5233071E7)</f>
        <v>45233071</v>
      </c>
      <c r="N1247" s="222" t="str">
        <f>IFERROR(__xludf.DUMMYFUNCTION("""COMPUTED_VALUE"""),"PT UPAYA TEKNIK")</f>
        <v>PT UPAYA TEKNIK</v>
      </c>
      <c r="O1247" s="222" t="str">
        <f>IFERROR(__xludf.DUMMYFUNCTION("""COMPUTED_VALUE"""),"7. GOLIVE")</f>
        <v>7. GOLIVE</v>
      </c>
      <c r="P1247" s="222" t="str">
        <f>IFERROR(__xludf.DUMMYFUNCTION("""COMPUTED_VALUE"""),"7.2 Golive Full / OA / DONE OTB")</f>
        <v>7.2 Golive Full / OA / DONE OTB</v>
      </c>
      <c r="Q1247" s="222" t="str">
        <f>IFERROR(__xludf.DUMMYFUNCTION("""COMPUTED_VALUE"""),"29/01 Penarikan kabel 21/01 Penanaman tiang (07/01) Persiapan")</f>
        <v>29/01 Penarikan kabel 21/01 Penanaman tiang (07/01) Persiapan</v>
      </c>
      <c r="R1247" s="228">
        <f>IFERROR(__xludf.DUMMYFUNCTION("""COMPUTED_VALUE"""),46063.0)</f>
        <v>46063</v>
      </c>
      <c r="S1247" s="11"/>
      <c r="T1247" s="11"/>
      <c r="U1247" s="11" t="str">
        <f>IFERROR(__xludf.DUMMYFUNCTION("""COMPUTED_VALUE"""),"W08-1990/2025")</f>
        <v>W08-1990/2025</v>
      </c>
      <c r="V1247" s="229" t="str">
        <f>IFERROR(__xludf.DUMMYFUNCTION("""COMPUTED_VALUE"""),"GUSKAR DIYONAL")</f>
        <v>GUSKAR DIYONAL</v>
      </c>
      <c r="W1247" s="229" t="str">
        <f>IFERROR(__xludf.DUMMYFUNCTION("""COMPUTED_VALUE"""),"ANZALA SAKINAH")</f>
        <v>ANZALA SAKINAH</v>
      </c>
      <c r="X1247" s="229" t="str">
        <f>IFERROR(__xludf.DUMMYFUNCTION("""COMPUTED_VALUE"""),"GOLIVE")</f>
        <v>GOLIVE</v>
      </c>
      <c r="Y1247" s="229" t="str">
        <f>IFERROR(__xludf.DUMMYFUNCTION("""COMPUTED_VALUE"""),"DONE")</f>
        <v>DONE</v>
      </c>
      <c r="Z1247" s="229" t="str">
        <f>IFERROR(__xludf.DUMMYFUNCTION("""COMPUTED_VALUE"""),"#N/A")</f>
        <v>#N/A</v>
      </c>
      <c r="AA1247" s="229">
        <f>IFERROR(__xludf.DUMMYFUNCTION("""COMPUTED_VALUE"""),7.0)</f>
        <v>7</v>
      </c>
      <c r="AB1247" s="229"/>
      <c r="AC1247" s="229" t="str">
        <f>IFERROR(__xludf.DUMMYFUNCTION("""COMPUTED_VALUE"""),"8701808#8701813")</f>
        <v>8701808#8701813</v>
      </c>
      <c r="AD1247" s="232">
        <f>IFERROR(__xludf.DUMMYFUNCTION("""COMPUTED_VALUE"""),56.0)</f>
        <v>56</v>
      </c>
      <c r="AE1247" s="233">
        <f>IFERROR(__xludf.DUMMYFUNCTION("""COMPUTED_VALUE"""),46064.0)</f>
        <v>46064</v>
      </c>
      <c r="AF1247" s="54"/>
      <c r="AG1247" s="54"/>
      <c r="AH1247" s="54">
        <v>46063.0</v>
      </c>
      <c r="AI1247" s="55">
        <f>IF(OR(AH1247="",AE1247=""),"",AH1247-AE1247)</f>
        <v>-1</v>
      </c>
      <c r="AW1247" s="234"/>
      <c r="BP1247" s="11"/>
      <c r="BQ1247" s="11"/>
      <c r="BR1247" s="235"/>
      <c r="BV1247" s="158"/>
      <c r="BY1247" s="158"/>
      <c r="CB1247" s="158"/>
    </row>
    <row r="1248" ht="18.0" hidden="1" customHeight="1">
      <c r="A1248" s="222">
        <f>IFERROR(__xludf.DUMMYFUNCTION("""COMPUTED_VALUE"""),2026.0)</f>
        <v>2026</v>
      </c>
      <c r="B1248" s="221">
        <f>IFERROR(__xludf.DUMMYFUNCTION("""COMPUTED_VALUE"""),1.0989043E7)</f>
        <v>10989043</v>
      </c>
      <c r="C1248" s="222" t="str">
        <f>IFERROR(__xludf.DUMMYFUNCTION("""COMPUTED_VALUE"""),"JBI-PT3 BRANCHING-MAB-FH-DADANG ANDIKA PUTRA")</f>
        <v>JBI-PT3 BRANCHING-MAB-FH-DADANG ANDIKA PUTRA</v>
      </c>
      <c r="D1248" s="222" t="str">
        <f>IFERROR(__xludf.DUMMYFUNCTION("""COMPUTED_VALUE"""),"REGIONAL I")</f>
        <v>REGIONAL I</v>
      </c>
      <c r="E1248" s="222" t="str">
        <f>IFERROR(__xludf.DUMMYFUNCTION("""COMPUTED_VALUE"""),"JAMBI")</f>
        <v>JAMBI</v>
      </c>
      <c r="F1248" s="222" t="str">
        <f>IFERROR(__xludf.DUMMYFUNCTION("""COMPUTED_VALUE"""),"MAB")</f>
        <v>MAB</v>
      </c>
      <c r="G1248" s="222" t="str">
        <f>IFERROR(__xludf.DUMMYFUNCTION("""COMPUTED_VALUE"""),"SUMBAGSEL")</f>
        <v>SUMBAGSEL</v>
      </c>
      <c r="H1248" s="222" t="str">
        <f>IFERROR(__xludf.DUMMYFUNCTION("""COMPUTED_VALUE"""),"JAMBI")</f>
        <v>JAMBI</v>
      </c>
      <c r="I1248" s="222" t="str">
        <f>IFERROR(__xludf.DUMMYFUNCTION("""COMPUTED_VALUE"""),"Batch 2")</f>
        <v>Batch 2</v>
      </c>
      <c r="J1248" s="225">
        <f>IFERROR(__xludf.DUMMYFUNCTION("""COMPUTED_VALUE"""),1.0)</f>
        <v>1</v>
      </c>
      <c r="K1248" s="224">
        <f>IFERROR(__xludf.DUMMYFUNCTION("""COMPUTED_VALUE"""),8.0)</f>
        <v>8</v>
      </c>
      <c r="L1248" s="226">
        <f>IFERROR(__xludf.DUMMYFUNCTION("""COMPUTED_VALUE"""),807084.0)</f>
        <v>807084</v>
      </c>
      <c r="M1248" s="227">
        <f>IFERROR(__xludf.DUMMYFUNCTION("""COMPUTED_VALUE"""),6456666.0)</f>
        <v>6456666</v>
      </c>
      <c r="N1248" s="222" t="str">
        <f>IFERROR(__xludf.DUMMYFUNCTION("""COMPUTED_VALUE"""),"PT TSUIKA BERKAH RAYA")</f>
        <v>PT TSUIKA BERKAH RAYA</v>
      </c>
      <c r="O1248" s="222" t="str">
        <f>IFERROR(__xludf.DUMMYFUNCTION("""COMPUTED_VALUE"""),"0. DROP")</f>
        <v>0. DROP</v>
      </c>
      <c r="P1248" s="222" t="str">
        <f>IFERROR(__xludf.DUMMYFUNCTION("""COMPUTED_VALUE"""),"0.3 Feeder Full")</f>
        <v>0.3 Feeder Full</v>
      </c>
      <c r="Q1248" s="222" t="str">
        <f>IFERROR(__xludf.DUMMYFUNCTION("""COMPUTED_VALUE"""),"(12/1) BA Drop Sirkulir-ODC  MAB FH  feeder habis  (06/01)order JPP batch-2 2026 ((18/11) tidak masuk target optimis 2025 (17/11 kendala mitra ,redesign  10/11 matdel (05/11)Req Material (15/10) Mapping Mitra")</f>
        <v>(12/1) BA Drop Sirkulir-ODC  MAB FH  feeder habis  (06/01)order JPP batch-2 2026 ((18/11) tidak masuk target optimis 2025 (17/11 kendala mitra ,redesign  10/11 matdel (05/11)Req Material (15/10) Mapping Mitra</v>
      </c>
      <c r="R1248" s="228"/>
      <c r="S1248" s="11"/>
      <c r="T1248" s="11"/>
      <c r="U1248" s="11"/>
      <c r="V1248" s="229"/>
      <c r="W1248" s="229"/>
      <c r="X1248" s="229" t="str">
        <f>IFERROR(__xludf.DUMMYFUNCTION("""COMPUTED_VALUE"""),"BELUM GOLIVE")</f>
        <v>BELUM GOLIVE</v>
      </c>
      <c r="Y1248" s="229"/>
      <c r="Z1248" s="229" t="str">
        <f>IFERROR(__xludf.DUMMYFUNCTION("""COMPUTED_VALUE"""),"#N/A")</f>
        <v>#N/A</v>
      </c>
      <c r="AA1248" s="229"/>
      <c r="AB1248" s="229"/>
      <c r="AC1248" s="229"/>
      <c r="AD1248" s="232"/>
      <c r="AE1248" s="233"/>
      <c r="AF1248" s="54" t="str">
        <f>IFERROR(__xludf.DUMMYFUNCTION("""COMPUTED_VALUE"""),"Draft BA DROP")</f>
        <v>Draft BA DROP</v>
      </c>
      <c r="AG1248" s="54"/>
      <c r="AH1248" s="54"/>
      <c r="AI1248" s="55" t="str">
        <f t="shared" ref="AI1248:AI1249" si="134">IF(OR(R1248="",AE1248=""),"",R1248-AE1248)</f>
        <v/>
      </c>
      <c r="AW1248" s="234"/>
      <c r="BP1248" s="11"/>
      <c r="BQ1248" s="11"/>
      <c r="BR1248" s="235"/>
      <c r="BV1248" s="158"/>
      <c r="BY1248" s="158"/>
      <c r="CB1248" s="158"/>
    </row>
    <row r="1249" ht="18.0" customHeight="1">
      <c r="A1249" s="222">
        <f>IFERROR(__xludf.DUMMYFUNCTION("""COMPUTED_VALUE"""),2026.0)</f>
        <v>2026</v>
      </c>
      <c r="B1249" s="221">
        <f>IFERROR(__xludf.DUMMYFUNCTION("""COMPUTED_VALUE"""),1.1224536E7)</f>
        <v>11224536</v>
      </c>
      <c r="C1249" s="222" t="str">
        <f>IFERROR(__xludf.DUMMYFUNCTION("""COMPUTED_VALUE"""),"SMB P1I2 Perumahan PTPN Kayu Jao TLN")</f>
        <v>SMB P1I2 Perumahan PTPN Kayu Jao TLN</v>
      </c>
      <c r="D1249" s="222" t="str">
        <f>IFERROR(__xludf.DUMMYFUNCTION("""COMPUTED_VALUE"""),"REGIONAL I")</f>
        <v>REGIONAL I</v>
      </c>
      <c r="E1249" s="222" t="str">
        <f>IFERROR(__xludf.DUMMYFUNCTION("""COMPUTED_VALUE"""),"SUMBAR")</f>
        <v>SUMBAR</v>
      </c>
      <c r="F1249" s="222" t="str">
        <f>IFERROR(__xludf.DUMMYFUNCTION("""COMPUTED_VALUE"""),"TLN")</f>
        <v>TLN</v>
      </c>
      <c r="G1249" s="222" t="str">
        <f>IFERROR(__xludf.DUMMYFUNCTION("""COMPUTED_VALUE"""),"SUMBAGTENG")</f>
        <v>SUMBAGTENG</v>
      </c>
      <c r="H1249" s="222" t="str">
        <f>IFERROR(__xludf.DUMMYFUNCTION("""COMPUTED_VALUE"""),"PADANG")</f>
        <v>PADANG</v>
      </c>
      <c r="I1249" s="222" t="str">
        <f>IFERROR(__xludf.DUMMYFUNCTION("""COMPUTED_VALUE"""),"Batch 2")</f>
        <v>Batch 2</v>
      </c>
      <c r="J1249" s="225">
        <f>IFERROR(__xludf.DUMMYFUNCTION("""COMPUTED_VALUE"""),5.0)</f>
        <v>5</v>
      </c>
      <c r="K1249" s="224">
        <f>IFERROR(__xludf.DUMMYFUNCTION("""COMPUTED_VALUE"""),40.0)</f>
        <v>40</v>
      </c>
      <c r="L1249" s="226">
        <f>IFERROR(__xludf.DUMMYFUNCTION("""COMPUTED_VALUE"""),806354.0)</f>
        <v>806354</v>
      </c>
      <c r="M1249" s="227">
        <f>IFERROR(__xludf.DUMMYFUNCTION("""COMPUTED_VALUE"""),3.2254153E7)</f>
        <v>32254153</v>
      </c>
      <c r="N1249" s="222" t="str">
        <f>IFERROR(__xludf.DUMMYFUNCTION("""COMPUTED_VALUE"""),"PT TRI PENAMAS")</f>
        <v>PT TRI PENAMAS</v>
      </c>
      <c r="O1249" s="222" t="str">
        <f>IFERROR(__xludf.DUMMYFUNCTION("""COMPUTED_VALUE"""),"2. DONE AANWIJZING")</f>
        <v>2. DONE AANWIJZING</v>
      </c>
      <c r="P1249" s="222" t="str">
        <f>IFERROR(__xludf.DUMMYFUNCTION("""COMPUTED_VALUE"""),"2.9 Kendala - Distribusi Penuh / Rusak")</f>
        <v>2.9 Kendala - Distribusi Penuh / Rusak</v>
      </c>
      <c r="Q1249" s="222" t="str">
        <f>IFERROR(__xludf.DUMMYFUNCTION("""COMPUTED_VALUE"""),"(27/01) kendala dist 2 TLN-FA FULL")</f>
        <v>(27/01) kendala dist 2 TLN-FA FULL</v>
      </c>
      <c r="R1249" s="228"/>
      <c r="S1249" s="11"/>
      <c r="T1249" s="11"/>
      <c r="U1249" s="11"/>
      <c r="V1249" s="229"/>
      <c r="W1249" s="229"/>
      <c r="X1249" s="229" t="str">
        <f>IFERROR(__xludf.DUMMYFUNCTION("""COMPUTED_VALUE"""),"BELUM GOLIVE")</f>
        <v>BELUM GOLIVE</v>
      </c>
      <c r="Y1249" s="229"/>
      <c r="Z1249" s="229" t="str">
        <f>IFERROR(__xludf.DUMMYFUNCTION("""COMPUTED_VALUE"""),"#N/A")</f>
        <v>#N/A</v>
      </c>
      <c r="AA1249" s="229"/>
      <c r="AB1249" s="229"/>
      <c r="AC1249" s="229"/>
      <c r="AD1249" s="232"/>
      <c r="AE1249" s="233"/>
      <c r="AF1249" s="54"/>
      <c r="AG1249" s="54"/>
      <c r="AH1249" s="54"/>
      <c r="AI1249" s="55" t="str">
        <f t="shared" si="134"/>
        <v/>
      </c>
      <c r="AW1249" s="234"/>
      <c r="BP1249" s="11"/>
      <c r="BQ1249" s="11"/>
      <c r="BR1249" s="235"/>
      <c r="BV1249" s="158"/>
      <c r="BY1249" s="158"/>
      <c r="CB1249" s="158"/>
    </row>
    <row r="1250" ht="18.0" customHeight="1">
      <c r="A1250" s="222">
        <f>IFERROR(__xludf.DUMMYFUNCTION("""COMPUTED_VALUE"""),2026.0)</f>
        <v>2026</v>
      </c>
      <c r="B1250" s="221">
        <f>IFERROR(__xludf.DUMMYFUNCTION("""COMPUTED_VALUE"""),1.1418702E7)</f>
        <v>11418702</v>
      </c>
      <c r="C1250" s="222" t="str">
        <f>IFERROR(__xludf.DUMMYFUNCTION("""COMPUTED_VALUE"""),"RKP PT3 TSEL NGS-FAB KEBON PISANG")</f>
        <v>RKP PT3 TSEL NGS-FAB KEBON PISANG</v>
      </c>
      <c r="D1250" s="222" t="str">
        <f>IFERROR(__xludf.DUMMYFUNCTION("""COMPUTED_VALUE"""),"REGIONAL I")</f>
        <v>REGIONAL I</v>
      </c>
      <c r="E1250" s="222" t="str">
        <f>IFERROR(__xludf.DUMMYFUNCTION("""COMPUTED_VALUE"""),"RIKEP")</f>
        <v>RIKEP</v>
      </c>
      <c r="F1250" s="222" t="str">
        <f>IFERROR(__xludf.DUMMYFUNCTION("""COMPUTED_VALUE"""),"NGS")</f>
        <v>NGS</v>
      </c>
      <c r="G1250" s="222" t="str">
        <f>IFERROR(__xludf.DUMMYFUNCTION("""COMPUTED_VALUE"""),"SUMBAGTENG")</f>
        <v>SUMBAGTENG</v>
      </c>
      <c r="H1250" s="222" t="str">
        <f>IFERROR(__xludf.DUMMYFUNCTION("""COMPUTED_VALUE"""),"BATAM")</f>
        <v>BATAM</v>
      </c>
      <c r="I1250" s="222" t="str">
        <f>IFERROR(__xludf.DUMMYFUNCTION("""COMPUTED_VALUE"""),"Batch 2")</f>
        <v>Batch 2</v>
      </c>
      <c r="J1250" s="225">
        <f>IFERROR(__xludf.DUMMYFUNCTION("""COMPUTED_VALUE"""),7.0)</f>
        <v>7</v>
      </c>
      <c r="K1250" s="224">
        <f>IFERROR(__xludf.DUMMYFUNCTION("""COMPUTED_VALUE"""),56.0)</f>
        <v>56</v>
      </c>
      <c r="L1250" s="226">
        <f>IFERROR(__xludf.DUMMYFUNCTION("""COMPUTED_VALUE"""),804091.0)</f>
        <v>804091</v>
      </c>
      <c r="M1250" s="227">
        <f>IFERROR(__xludf.DUMMYFUNCTION("""COMPUTED_VALUE"""),4.5029084E7)</f>
        <v>45029084</v>
      </c>
      <c r="N1250" s="222" t="str">
        <f>IFERROR(__xludf.DUMMYFUNCTION("""COMPUTED_VALUE"""),"PT MITRA AKSES INSANI")</f>
        <v>PT MITRA AKSES INSANI</v>
      </c>
      <c r="O1250" s="222" t="str">
        <f>IFERROR(__xludf.DUMMYFUNCTION("""COMPUTED_VALUE"""),"7. GOLIVE")</f>
        <v>7. GOLIVE</v>
      </c>
      <c r="P1250" s="222" t="str">
        <f>IFERROR(__xludf.DUMMYFUNCTION("""COMPUTED_VALUE"""),"7.2 Golive Full / OA / DONE OTB")</f>
        <v>7.2 Golive Full / OA / DONE OTB</v>
      </c>
      <c r="Q1250" s="222" t="str">
        <f>IFERROR(__xludf.DUMMYFUNCTION("""COMPUTED_VALUE"""),"18/02 Plan FI tanggal 22 Feb, Submit ABD tanggal 24 Feb. 16/02 Terminasi ODP. 09/02 Progres galian rojok. 29/01 Plan survey tanggal 30 karena PIC mitra sdg berhalangan. 28/01 Izin OK, plan anwijzing HI. 22/01 Plan survey 24 Jan ")</f>
        <v>18/02 Plan FI tanggal 22 Feb, Submit ABD tanggal 24 Feb. 16/02 Terminasi ODP. 09/02 Progres galian rojok. 29/01 Plan survey tanggal 30 karena PIC mitra sdg berhalangan. 28/01 Izin OK, plan anwijzing HI. 22/01 Plan survey 24 Jan </v>
      </c>
      <c r="R1250" s="228">
        <f>IFERROR(__xludf.DUMMYFUNCTION("""COMPUTED_VALUE"""),46089.0)</f>
        <v>46089</v>
      </c>
      <c r="S1250" s="11" t="str">
        <f>IFERROR(__xludf.DUMMYFUNCTION("""COMPUTED_VALUE"""),"MAR")</f>
        <v>MAR</v>
      </c>
      <c r="T1250" s="11"/>
      <c r="U1250" s="11" t="str">
        <f>IFERROR(__xludf.DUMMYFUNCTION("""COMPUTED_VALUE"""),"W09-149/2026")</f>
        <v>W09-149/2026</v>
      </c>
      <c r="V1250" s="229" t="str">
        <f>IFERROR(__xludf.DUMMYFUNCTION("""COMPUTED_VALUE"""),"GANI PRASTYO")</f>
        <v>GANI PRASTYO</v>
      </c>
      <c r="W1250" s="229" t="str">
        <f>IFERROR(__xludf.DUMMYFUNCTION("""COMPUTED_VALUE"""),"LEVITA INDRIYANI")</f>
        <v>LEVITA INDRIYANI</v>
      </c>
      <c r="X1250" s="229" t="str">
        <f>IFERROR(__xludf.DUMMYFUNCTION("""COMPUTED_VALUE"""),"GOLIVE")</f>
        <v>GOLIVE</v>
      </c>
      <c r="Y1250" s="229" t="str">
        <f>IFERROR(__xludf.DUMMYFUNCTION("""COMPUTED_VALUE"""),"DONE")</f>
        <v>DONE</v>
      </c>
      <c r="Z1250" s="229" t="str">
        <f>IFERROR(__xludf.DUMMYFUNCTION("""COMPUTED_VALUE"""),"#N/A")</f>
        <v>#N/A</v>
      </c>
      <c r="AA1250" s="229">
        <f>IFERROR(__xludf.DUMMYFUNCTION("""COMPUTED_VALUE"""),7.0)</f>
        <v>7</v>
      </c>
      <c r="AB1250" s="229"/>
      <c r="AC1250" s="229" t="str">
        <f>IFERROR(__xludf.DUMMYFUNCTION("""COMPUTED_VALUE"""),"9098026#9098037")</f>
        <v>9098026#9098037</v>
      </c>
      <c r="AD1250" s="232">
        <f>IFERROR(__xludf.DUMMYFUNCTION("""COMPUTED_VALUE"""),56.0)</f>
        <v>56</v>
      </c>
      <c r="AE1250" s="233">
        <f>IFERROR(__xludf.DUMMYFUNCTION("""COMPUTED_VALUE"""),46083.0)</f>
        <v>46083</v>
      </c>
      <c r="AF1250" s="54"/>
      <c r="AG1250" s="54"/>
      <c r="AH1250" s="54">
        <v>46089.0</v>
      </c>
      <c r="AI1250" s="55">
        <f>IF(OR(AH1250="",AE1250=""),"",AH1250-AE1250)</f>
        <v>6</v>
      </c>
      <c r="AW1250" s="234"/>
      <c r="BP1250" s="11"/>
      <c r="BQ1250" s="11"/>
      <c r="BR1250" s="235"/>
      <c r="BV1250" s="158"/>
      <c r="BY1250" s="158"/>
      <c r="CB1250" s="158"/>
    </row>
    <row r="1251" ht="18.0" hidden="1" customHeight="1">
      <c r="A1251" s="222">
        <f>IFERROR(__xludf.DUMMYFUNCTION("""COMPUTED_VALUE"""),2026.0)</f>
        <v>2026</v>
      </c>
      <c r="B1251" s="221">
        <f>IFERROR(__xludf.DUMMYFUNCTION("""COMPUTED_VALUE"""),1.2438212E7)</f>
        <v>12438212</v>
      </c>
      <c r="C1251" s="222" t="str">
        <f>IFERROR(__xludf.DUMMYFUNCTION("""COMPUTED_VALUE"""),"SMS P4I4 PT3 TRA FB D01 KENDALA ONI TRA")</f>
        <v>SMS P4I4 PT3 TRA FB D01 KENDALA ONI TRA</v>
      </c>
      <c r="D1251" s="222" t="str">
        <f>IFERROR(__xludf.DUMMYFUNCTION("""COMPUTED_VALUE"""),"REGIONAL I")</f>
        <v>REGIONAL I</v>
      </c>
      <c r="E1251" s="222" t="str">
        <f>IFERROR(__xludf.DUMMYFUNCTION("""COMPUTED_VALUE"""),"SUMSEL")</f>
        <v>SUMSEL</v>
      </c>
      <c r="F1251" s="222" t="str">
        <f>IFERROR(__xludf.DUMMYFUNCTION("""COMPUTED_VALUE"""),"TRA")</f>
        <v>TRA</v>
      </c>
      <c r="G1251" s="222" t="str">
        <f>IFERROR(__xludf.DUMMYFUNCTION("""COMPUTED_VALUE"""),"SUMBAGSEL")</f>
        <v>SUMBAGSEL</v>
      </c>
      <c r="H1251" s="222" t="str">
        <f>IFERROR(__xludf.DUMMYFUNCTION("""COMPUTED_VALUE"""),"PALEMBANG")</f>
        <v>PALEMBANG</v>
      </c>
      <c r="I1251" s="222" t="str">
        <f>IFERROR(__xludf.DUMMYFUNCTION("""COMPUTED_VALUE"""),"Batch 2")</f>
        <v>Batch 2</v>
      </c>
      <c r="J1251" s="225">
        <f>IFERROR(__xludf.DUMMYFUNCTION("""COMPUTED_VALUE"""),4.0)</f>
        <v>4</v>
      </c>
      <c r="K1251" s="224">
        <f>IFERROR(__xludf.DUMMYFUNCTION("""COMPUTED_VALUE"""),32.0)</f>
        <v>32</v>
      </c>
      <c r="L1251" s="226">
        <f>IFERROR(__xludf.DUMMYFUNCTION("""COMPUTED_VALUE"""),803929.0)</f>
        <v>803929</v>
      </c>
      <c r="M1251" s="227">
        <f>IFERROR(__xludf.DUMMYFUNCTION("""COMPUTED_VALUE"""),2.5725697E7)</f>
        <v>25725697</v>
      </c>
      <c r="N1251" s="222" t="str">
        <f>IFERROR(__xludf.DUMMYFUNCTION("""COMPUTED_VALUE"""),"PT SARANA MITRA PERSADA")</f>
        <v>PT SARANA MITRA PERSADA</v>
      </c>
      <c r="O1251" s="222" t="str">
        <f>IFERROR(__xludf.DUMMYFUNCTION("""COMPUTED_VALUE"""),"7. GOLIVE")</f>
        <v>7. GOLIVE</v>
      </c>
      <c r="P1251" s="222" t="str">
        <f>IFERROR(__xludf.DUMMYFUNCTION("""COMPUTED_VALUE"""),"7.2 Golive Full / OA / DONE OTB")</f>
        <v>7.2 Golive Full / OA / DONE OTB</v>
      </c>
      <c r="Q1251" s="222" t="str">
        <f>IFERROR(__xludf.DUMMYFUNCTION("""COMPUTED_VALUE"""),"24/04 PROSES GOLIVE - DONE SUBMIT ABD KE SDI, 24/04 PROSES INSTAL ODP VALINS, 22/04 PROSES INSTAL ODP VALINS, 21/04 proses pasang odp dan jumper sto, 17/04 Penanaman tiang &amp; Penarikan kabel 9/04  proses instalasi  08/4 MATDEL  07/04 DONE INPUT MATERIAL, P"&amp;"LAN 08 APR AMBIL MATERIAL, 07/04 DONE DRM LANJUT PROSES INPUT MATERIAL, 06/04 MASIH MENUNGGU PR PO, 02/04 PENGAJUAN PR PO, 01/04 DONE DRM, 31/03 PERIZINAN OKE, LANJUT DRM, 30/03 MASIH KOORDINASI DG MITRA TERKAIT PERIZINAN DAN PARALEL INPUT ULANG MATERIAL,"&amp;" 27/03 PROGRESS PERIZINAN KADES  25/03 INPUT ULANG MATERIAL - MSIH KOORDINASI DG MITRA, 21/03 DONE PR PO - EST TGL 30 MAR AMBIL MATERIAL, 14/03 PLAN PROGRESS 30 MAR, 10/03 MSH KOORDINASI DG MITRA 06/03 EST 09 MAR DRM KRNA MAU KOORDINASI DG MITRA DULU, 05/"&amp;"03 MASIH KOORDINASI DG MITRA, 04/03 OGP DRM, 03/03 HASIL REVIEW TIF LANJUT, 24/02 DROP BOQ NAIK DARI PLAN SEBESAR 21% - SDH ADA BA DROP, 22/2 perubahan design CPP naik 21% 06/02 HASIL REVIEW TSEL PROPOSE DROP - REDESIGN DAN MASUK KE BATCH SELANJUTNYA, 30/"&amp;"01 DONE EVAL, LANJUT PROGRES ADA KENAIKAN BOQ SEBESAR 21 % DAN CPP 1.022 JT 31/01 menunggu DRM 30/01 DONE EVAL, LANJUT PROGRES ADA KENAIKAN BOQ SEBESAR 21 % DAN CPP 1.022 JT, 25/01 DONE AANWIDJZING - PERIZINAN OK, (21/01) AANWIDJZING, (15/1) ORDER DITERIM"&amp;"A 14/1, PLAN AANWIJDZING 21 JAN 26 (06/01)order JPP batch-2 2026 ((14/11)HOLD- tidak masuk target Optimis 2025 (
 14/01 penunjukan mitra oleh procurement`")</f>
        <v>24/04 PROSES GOLIVE - DONE SUBMIT ABD KE SDI, 24/04 PROSES INSTAL ODP VALINS, 22/04 PROSES INSTAL ODP VALINS, 21/04 proses pasang odp dan jumper sto, 17/04 Penanaman tiang &amp; Penarikan kabel 9/04  proses instalasi  08/4 MATDEL  07/04 DONE INPUT MATERIAL, PLAN 08 APR AMBIL MATERIAL, 07/04 DONE DRM LANJUT PROSES INPUT MATERIAL, 06/04 MASIH MENUNGGU PR PO, 02/04 PENGAJUAN PR PO, 01/04 DONE DRM, 31/03 PERIZINAN OKE, LANJUT DRM, 30/03 MASIH KOORDINASI DG MITRA TERKAIT PERIZINAN DAN PARALEL INPUT ULANG MATERIAL, 27/03 PROGRESS PERIZINAN KADES  25/03 INPUT ULANG MATERIAL - MSIH KOORDINASI DG MITRA, 21/03 DONE PR PO - EST TGL 30 MAR AMBIL MATERIAL, 14/03 PLAN PROGRESS 30 MAR, 10/03 MSH KOORDINASI DG MITRA 06/03 EST 09 MAR DRM KRNA MAU KOORDINASI DG MITRA DULU, 05/03 MASIH KOORDINASI DG MITRA, 04/03 OGP DRM, 03/03 HASIL REVIEW TIF LANJUT, 24/02 DROP BOQ NAIK DARI PLAN SEBESAR 21% - SDH ADA BA DROP, 22/2 perubahan design CPP naik 21% 06/02 HASIL REVIEW TSEL PROPOSE DROP - REDESIGN DAN MASUK KE BATCH SELANJUTNYA, 30/01 DONE EVAL, LANJUT PROGRES ADA KENAIKAN BOQ SEBESAR 21 % DAN CPP 1.022 JT 31/01 menunggu DRM 30/01 DONE EVAL, LANJUT PROGRES ADA KENAIKAN BOQ SEBESAR 21 % DAN CPP 1.022 JT, 25/01 DONE AANWIDJZING - PERIZINAN OK, (21/01) AANWIDJZING, (15/1) ORDER DITERIMA 14/1, PLAN AANWIJDZING 21 JAN 26 (06/01)order JPP batch-2 2026 ((14/11)HOLD- tidak masuk target Optimis 2025 (
 14/01 penunjukan mitra oleh procurement`</v>
      </c>
      <c r="R1251" s="228">
        <f>IFERROR(__xludf.DUMMYFUNCTION("""COMPUTED_VALUE"""),46136.0)</f>
        <v>46136</v>
      </c>
      <c r="S1251" s="11" t="str">
        <f>IFERROR(__xludf.DUMMYFUNCTION("""COMPUTED_VALUE"""),"APR")</f>
        <v>APR</v>
      </c>
      <c r="T1251" s="73" t="str">
        <f>IFERROR(__xludf.DUMMYFUNCTION("""COMPUTED_VALUE"""),"P1")</f>
        <v>P1</v>
      </c>
      <c r="U1251" s="11"/>
      <c r="V1251" s="229" t="str">
        <f>IFERROR(__xludf.DUMMYFUNCTION("""COMPUTED_VALUE"""),"RENALDO")</f>
        <v>RENALDO</v>
      </c>
      <c r="W1251" s="229"/>
      <c r="X1251" s="229" t="str">
        <f>IFERROR(__xludf.DUMMYFUNCTION("""COMPUTED_VALUE"""),"GOLIVE")</f>
        <v>GOLIVE</v>
      </c>
      <c r="Y1251" s="229" t="str">
        <f>IFERROR(__xludf.DUMMYFUNCTION("""COMPUTED_VALUE"""),"DONE")</f>
        <v>DONE</v>
      </c>
      <c r="Z1251" s="229" t="str">
        <f>IFERROR(__xludf.DUMMYFUNCTION("""COMPUTED_VALUE"""),"#N/A")</f>
        <v>#N/A</v>
      </c>
      <c r="AA1251" s="229">
        <f>IFERROR(__xludf.DUMMYFUNCTION("""COMPUTED_VALUE"""),4.0)</f>
        <v>4</v>
      </c>
      <c r="AB1251" s="229"/>
      <c r="AC1251" s="229"/>
      <c r="AD1251" s="232">
        <f>IFERROR(__xludf.DUMMYFUNCTION("""COMPUTED_VALUE"""),32.0)</f>
        <v>32</v>
      </c>
      <c r="AE1251" s="233">
        <f>IFERROR(__xludf.DUMMYFUNCTION("""COMPUTED_VALUE"""),46136.0)</f>
        <v>46136</v>
      </c>
      <c r="AF1251" s="54"/>
      <c r="AG1251" s="54"/>
      <c r="AH1251" s="54">
        <v>46140.0</v>
      </c>
      <c r="AI1251" s="55">
        <f t="shared" ref="AI1251:AI1263" si="135">IF(OR(R1251="",AE1251=""),"",R1251-AE1251)</f>
        <v>0</v>
      </c>
      <c r="AW1251" s="234"/>
      <c r="BP1251" s="11"/>
      <c r="BQ1251" s="11"/>
      <c r="BR1251" s="235"/>
      <c r="BV1251" s="158"/>
      <c r="BY1251" s="158"/>
      <c r="CB1251" s="158"/>
    </row>
    <row r="1252" ht="18.0" hidden="1" customHeight="1">
      <c r="A1252" s="222">
        <f>IFERROR(__xludf.DUMMYFUNCTION("""COMPUTED_VALUE"""),2026.0)</f>
        <v>2026</v>
      </c>
      <c r="B1252" s="221">
        <f>IFERROR(__xludf.DUMMYFUNCTION("""COMPUTED_VALUE"""),1.1206675E7)</f>
        <v>11206675</v>
      </c>
      <c r="C1252" s="222" t="str">
        <f>IFERROR(__xludf.DUMMYFUNCTION("""COMPUTED_VALUE"""),"MDN PT3 P7I12 PRT-FB JL.HANG TUAH")</f>
        <v>MDN PT3 P7I12 PRT-FB JL.HANG TUAH</v>
      </c>
      <c r="D1252" s="222" t="str">
        <f>IFERROR(__xludf.DUMMYFUNCTION("""COMPUTED_VALUE"""),"REGIONAL I")</f>
        <v>REGIONAL I</v>
      </c>
      <c r="E1252" s="222" t="str">
        <f>IFERROR(__xludf.DUMMYFUNCTION("""COMPUTED_VALUE"""),"MEDAN")</f>
        <v>MEDAN</v>
      </c>
      <c r="F1252" s="222" t="str">
        <f>IFERROR(__xludf.DUMMYFUNCTION("""COMPUTED_VALUE"""),"PRT")</f>
        <v>PRT</v>
      </c>
      <c r="G1252" s="222" t="str">
        <f>IFERROR(__xludf.DUMMYFUNCTION("""COMPUTED_VALUE"""),"SUMBAGUT")</f>
        <v>SUMBAGUT</v>
      </c>
      <c r="H1252" s="222" t="str">
        <f>IFERROR(__xludf.DUMMYFUNCTION("""COMPUTED_VALUE"""),"MEDAN")</f>
        <v>MEDAN</v>
      </c>
      <c r="I1252" s="222" t="str">
        <f>IFERROR(__xludf.DUMMYFUNCTION("""COMPUTED_VALUE"""),"Batch 2")</f>
        <v>Batch 2</v>
      </c>
      <c r="J1252" s="225">
        <f>IFERROR(__xludf.DUMMYFUNCTION("""COMPUTED_VALUE"""),3.0)</f>
        <v>3</v>
      </c>
      <c r="K1252" s="224">
        <f>IFERROR(__xludf.DUMMYFUNCTION("""COMPUTED_VALUE"""),24.0)</f>
        <v>24</v>
      </c>
      <c r="L1252" s="226">
        <f>IFERROR(__xludf.DUMMYFUNCTION("""COMPUTED_VALUE"""),1289392.0)</f>
        <v>1289392</v>
      </c>
      <c r="M1252" s="227">
        <f>IFERROR(__xludf.DUMMYFUNCTION("""COMPUTED_VALUE"""),3.0945403E7)</f>
        <v>30945403</v>
      </c>
      <c r="N1252" s="222" t="str">
        <f>IFERROR(__xludf.DUMMYFUNCTION("""COMPUTED_VALUE"""),"PT BENWA  MITRA PRATAMA")</f>
        <v>PT BENWA  MITRA PRATAMA</v>
      </c>
      <c r="O1252" s="222" t="str">
        <f>IFERROR(__xludf.DUMMYFUNCTION("""COMPUTED_VALUE"""),"0. DROP")</f>
        <v>0. DROP</v>
      </c>
      <c r="P1252" s="222" t="str">
        <f>IFERROR(__xludf.DUMMYFUNCTION("""COMPUTED_VALUE"""),"0.4 CPP Tinggi Acc ED TIF")</f>
        <v>0.4 CPP Tinggi Acc ED TIF</v>
      </c>
      <c r="Q1252" s="222" t="str">
        <f>IFERROR(__xludf.DUMMYFUNCTION("""COMPUTED_VALUE"""),"(29/01) Feeder Habis")</f>
        <v>(29/01) Feeder Habis</v>
      </c>
      <c r="R1252" s="228"/>
      <c r="S1252" s="11"/>
      <c r="T1252" s="11"/>
      <c r="U1252" s="11"/>
      <c r="V1252" s="229"/>
      <c r="W1252" s="229"/>
      <c r="X1252" s="229" t="str">
        <f>IFERROR(__xludf.DUMMYFUNCTION("""COMPUTED_VALUE"""),"BELUM GOLIVE")</f>
        <v>BELUM GOLIVE</v>
      </c>
      <c r="Y1252" s="229"/>
      <c r="Z1252" s="229" t="str">
        <f>IFERROR(__xludf.DUMMYFUNCTION("""COMPUTED_VALUE"""),"#N/A")</f>
        <v>#N/A</v>
      </c>
      <c r="AA1252" s="229"/>
      <c r="AB1252" s="229"/>
      <c r="AC1252" s="229"/>
      <c r="AD1252" s="232"/>
      <c r="AE1252" s="233"/>
      <c r="AF1252" s="54" t="str">
        <f>IFERROR(__xludf.DUMMYFUNCTION("""COMPUTED_VALUE"""),"Draft BA DROP")</f>
        <v>Draft BA DROP</v>
      </c>
      <c r="AG1252" s="54"/>
      <c r="AH1252" s="54"/>
      <c r="AI1252" s="55" t="str">
        <f t="shared" si="135"/>
        <v/>
      </c>
      <c r="AW1252" s="234"/>
      <c r="BP1252" s="11"/>
      <c r="BQ1252" s="11"/>
      <c r="BR1252" s="235"/>
      <c r="BV1252" s="158"/>
      <c r="BY1252" s="158"/>
      <c r="CB1252" s="158"/>
    </row>
    <row r="1253" ht="18.0" customHeight="1">
      <c r="A1253" s="222">
        <f>IFERROR(__xludf.DUMMYFUNCTION("""COMPUTED_VALUE"""),2026.0)</f>
        <v>2026</v>
      </c>
      <c r="B1253" s="221">
        <f>IFERROR(__xludf.DUMMYFUNCTION("""COMPUTED_VALUE"""),1.0964215E7)</f>
        <v>10964215</v>
      </c>
      <c r="C1253" s="222" t="str">
        <f>IFERROR(__xludf.DUMMYFUNCTION("""COMPUTED_VALUE"""),"SMB P7I2 MICRODEMAND SUMATERA BARAT_365")</f>
        <v>SMB P7I2 MICRODEMAND SUMATERA BARAT_365</v>
      </c>
      <c r="D1253" s="222" t="str">
        <f>IFERROR(__xludf.DUMMYFUNCTION("""COMPUTED_VALUE"""),"REGIONAL I")</f>
        <v>REGIONAL I</v>
      </c>
      <c r="E1253" s="222" t="str">
        <f>IFERROR(__xludf.DUMMYFUNCTION("""COMPUTED_VALUE"""),"SUMBAR")</f>
        <v>SUMBAR</v>
      </c>
      <c r="F1253" s="222" t="str">
        <f>IFERROR(__xludf.DUMMYFUNCTION("""COMPUTED_VALUE"""),"KGG")</f>
        <v>KGG</v>
      </c>
      <c r="G1253" s="222" t="str">
        <f>IFERROR(__xludf.DUMMYFUNCTION("""COMPUTED_VALUE"""),"SUMBAGTENG")</f>
        <v>SUMBAGTENG</v>
      </c>
      <c r="H1253" s="222" t="str">
        <f>IFERROR(__xludf.DUMMYFUNCTION("""COMPUTED_VALUE"""),"PADANG")</f>
        <v>PADANG</v>
      </c>
      <c r="I1253" s="222" t="str">
        <f>IFERROR(__xludf.DUMMYFUNCTION("""COMPUTED_VALUE"""),"Batch 2")</f>
        <v>Batch 2</v>
      </c>
      <c r="J1253" s="225">
        <f>IFERROR(__xludf.DUMMYFUNCTION("""COMPUTED_VALUE"""),9.0)</f>
        <v>9</v>
      </c>
      <c r="K1253" s="224">
        <f>IFERROR(__xludf.DUMMYFUNCTION("""COMPUTED_VALUE"""),72.0)</f>
        <v>72</v>
      </c>
      <c r="L1253" s="226">
        <f>IFERROR(__xludf.DUMMYFUNCTION("""COMPUTED_VALUE"""),803407.0)</f>
        <v>803407</v>
      </c>
      <c r="M1253" s="227">
        <f>IFERROR(__xludf.DUMMYFUNCTION("""COMPUTED_VALUE"""),5.7845272E7)</f>
        <v>57845272</v>
      </c>
      <c r="N1253" s="222" t="str">
        <f>IFERROR(__xludf.DUMMYFUNCTION("""COMPUTED_VALUE"""),"PT TANJUNG PUTRA PRIMA")</f>
        <v>PT TANJUNG PUTRA PRIMA</v>
      </c>
      <c r="O1253" s="222" t="str">
        <f>IFERROR(__xludf.DUMMYFUNCTION("""COMPUTED_VALUE"""),"0. DROP")</f>
        <v>0. DROP</v>
      </c>
      <c r="P1253" s="222" t="str">
        <f>IFERROR(__xludf.DUMMYFUNCTION("""COMPUTED_VALUE"""),"0.1 Double Order")</f>
        <v>0.1 Double Order</v>
      </c>
      <c r="Q1253" s="222" t="str">
        <f>IFERROR(__xludf.DUMMYFUNCTION("""COMPUTED_VALUE"""),"(02/03) doubel order ")</f>
        <v>(02/03) doubel order </v>
      </c>
      <c r="R1253" s="228"/>
      <c r="S1253" s="11"/>
      <c r="T1253" s="11"/>
      <c r="U1253" s="11"/>
      <c r="V1253" s="229"/>
      <c r="W1253" s="229"/>
      <c r="X1253" s="229" t="str">
        <f>IFERROR(__xludf.DUMMYFUNCTION("""COMPUTED_VALUE"""),"BELUM GOLIVE")</f>
        <v>BELUM GOLIVE</v>
      </c>
      <c r="Y1253" s="229"/>
      <c r="Z1253" s="229" t="str">
        <f>IFERROR(__xludf.DUMMYFUNCTION("""COMPUTED_VALUE"""),"#N/A")</f>
        <v>#N/A</v>
      </c>
      <c r="AA1253" s="229"/>
      <c r="AB1253" s="229"/>
      <c r="AC1253" s="229"/>
      <c r="AD1253" s="232"/>
      <c r="AE1253" s="233"/>
      <c r="AF1253" s="54" t="str">
        <f>IFERROR(__xludf.DUMMYFUNCTION("""COMPUTED_VALUE"""),"Draft BA DROP")</f>
        <v>Draft BA DROP</v>
      </c>
      <c r="AG1253" s="54"/>
      <c r="AH1253" s="54"/>
      <c r="AI1253" s="55" t="str">
        <f t="shared" si="135"/>
        <v/>
      </c>
      <c r="AW1253" s="234"/>
      <c r="BP1253" s="11"/>
      <c r="BQ1253" s="11"/>
      <c r="BR1253" s="235"/>
      <c r="BV1253" s="158"/>
      <c r="BY1253" s="158"/>
      <c r="CB1253" s="158"/>
    </row>
    <row r="1254" ht="18.0" hidden="1" customHeight="1">
      <c r="A1254" s="222">
        <f>IFERROR(__xludf.DUMMYFUNCTION("""COMPUTED_VALUE"""),2026.0)</f>
        <v>2026</v>
      </c>
      <c r="B1254" s="221">
        <f>IFERROR(__xludf.DUMMYFUNCTION("""COMPUTED_VALUE"""),1.1367743E7)</f>
        <v>11367743</v>
      </c>
      <c r="C1254" s="222" t="str">
        <f>IFERROR(__xludf.DUMMYFUNCTION("""COMPUTED_VALUE"""),"MDN PT3 DELI SERDANG_8711")</f>
        <v>MDN PT3 DELI SERDANG_8711</v>
      </c>
      <c r="D1254" s="222" t="str">
        <f>IFERROR(__xludf.DUMMYFUNCTION("""COMPUTED_VALUE"""),"REGIONAL I")</f>
        <v>REGIONAL I</v>
      </c>
      <c r="E1254" s="222" t="str">
        <f>IFERROR(__xludf.DUMMYFUNCTION("""COMPUTED_VALUE"""),"MEDAN")</f>
        <v>MEDAN</v>
      </c>
      <c r="F1254" s="222" t="str">
        <f>IFERROR(__xludf.DUMMYFUNCTION("""COMPUTED_VALUE"""),"CTD")</f>
        <v>CTD</v>
      </c>
      <c r="G1254" s="222" t="str">
        <f>IFERROR(__xludf.DUMMYFUNCTION("""COMPUTED_VALUE"""),"SUMBAGUT")</f>
        <v>SUMBAGUT</v>
      </c>
      <c r="H1254" s="222" t="str">
        <f>IFERROR(__xludf.DUMMYFUNCTION("""COMPUTED_VALUE"""),"MEDAN")</f>
        <v>MEDAN</v>
      </c>
      <c r="I1254" s="222" t="str">
        <f>IFERROR(__xludf.DUMMYFUNCTION("""COMPUTED_VALUE"""),"Batch 2")</f>
        <v>Batch 2</v>
      </c>
      <c r="J1254" s="225">
        <f>IFERROR(__xludf.DUMMYFUNCTION("""COMPUTED_VALUE"""),1.0)</f>
        <v>1</v>
      </c>
      <c r="K1254" s="224">
        <f>IFERROR(__xludf.DUMMYFUNCTION("""COMPUTED_VALUE"""),8.0)</f>
        <v>8</v>
      </c>
      <c r="L1254" s="226">
        <f>IFERROR(__xludf.DUMMYFUNCTION("""COMPUTED_VALUE"""),985140.0)</f>
        <v>985140</v>
      </c>
      <c r="M1254" s="227">
        <f>IFERROR(__xludf.DUMMYFUNCTION("""COMPUTED_VALUE"""),7881113.0)</f>
        <v>7881113</v>
      </c>
      <c r="N1254" s="222" t="str">
        <f>IFERROR(__xludf.DUMMYFUNCTION("""COMPUTED_VALUE"""),"PT TRIPOLA PANATA")</f>
        <v>PT TRIPOLA PANATA</v>
      </c>
      <c r="O1254" s="222" t="str">
        <f>IFERROR(__xludf.DUMMYFUNCTION("""COMPUTED_VALUE"""),"2. DONE AANWIJZING")</f>
        <v>2. DONE AANWIJZING</v>
      </c>
      <c r="P1254" s="222" t="str">
        <f>IFERROR(__xludf.DUMMYFUNCTION("""COMPUTED_VALUE"""),"2.10 Kendala - Feeder Rusak")</f>
        <v>2.10 Kendala - Feeder Rusak</v>
      </c>
      <c r="Q1254" s="222" t="str">
        <f>IFERROR(__xludf.DUMMYFUNCTION("""COMPUTED_VALUE"""),"22/04 pengecekan tipus butuh QE
30/01 Feeder Redti
(07/01) Persiapan")</f>
        <v>22/04 pengecekan tipus butuh QE
30/01 Feeder Redti
(07/01) Persiapan</v>
      </c>
      <c r="R1254" s="228"/>
      <c r="S1254" s="11"/>
      <c r="T1254" s="11"/>
      <c r="U1254" s="11"/>
      <c r="V1254" s="229"/>
      <c r="W1254" s="229"/>
      <c r="X1254" s="229" t="str">
        <f>IFERROR(__xludf.DUMMYFUNCTION("""COMPUTED_VALUE"""),"BELUM GOLIVE")</f>
        <v>BELUM GOLIVE</v>
      </c>
      <c r="Y1254" s="229"/>
      <c r="Z1254" s="229" t="str">
        <f>IFERROR(__xludf.DUMMYFUNCTION("""COMPUTED_VALUE"""),"#N/A")</f>
        <v>#N/A</v>
      </c>
      <c r="AA1254" s="229"/>
      <c r="AB1254" s="229"/>
      <c r="AC1254" s="229"/>
      <c r="AD1254" s="232"/>
      <c r="AE1254" s="233"/>
      <c r="AF1254" s="54"/>
      <c r="AG1254" s="54"/>
      <c r="AH1254" s="54"/>
      <c r="AI1254" s="55" t="str">
        <f t="shared" si="135"/>
        <v/>
      </c>
      <c r="AW1254" s="234"/>
      <c r="BP1254" s="11"/>
      <c r="BQ1254" s="11"/>
      <c r="BR1254" s="235"/>
      <c r="BV1254" s="158"/>
      <c r="BY1254" s="158"/>
      <c r="CB1254" s="158"/>
    </row>
    <row r="1255" ht="18.0" customHeight="1">
      <c r="A1255" s="222">
        <f>IFERROR(__xludf.DUMMYFUNCTION("""COMPUTED_VALUE"""),2026.0)</f>
        <v>2026</v>
      </c>
      <c r="B1255" s="221">
        <f>IFERROR(__xludf.DUMMYFUNCTION("""COMPUTED_VALUE"""),1.2101082E7)</f>
        <v>12101082</v>
      </c>
      <c r="C1255" s="222" t="str">
        <f>IFERROR(__xludf.DUMMYFUNCTION("""COMPUTED_VALUE"""),"SMB-PT3-ODC-LIN-FC-Sijunjung 5 Cluster")</f>
        <v>SMB-PT3-ODC-LIN-FC-Sijunjung 5 Cluster</v>
      </c>
      <c r="D1255" s="222" t="str">
        <f>IFERROR(__xludf.DUMMYFUNCTION("""COMPUTED_VALUE"""),"REGIONAL I")</f>
        <v>REGIONAL I</v>
      </c>
      <c r="E1255" s="222" t="str">
        <f>IFERROR(__xludf.DUMMYFUNCTION("""COMPUTED_VALUE"""),"SUMBAR")</f>
        <v>SUMBAR</v>
      </c>
      <c r="F1255" s="222" t="str">
        <f>IFERROR(__xludf.DUMMYFUNCTION("""COMPUTED_VALUE"""),"LIN")</f>
        <v>LIN</v>
      </c>
      <c r="G1255" s="222" t="str">
        <f>IFERROR(__xludf.DUMMYFUNCTION("""COMPUTED_VALUE"""),"SUMBAGTENG")</f>
        <v>SUMBAGTENG</v>
      </c>
      <c r="H1255" s="222" t="str">
        <f>IFERROR(__xludf.DUMMYFUNCTION("""COMPUTED_VALUE"""),"BUKIT TINGGI")</f>
        <v>BUKIT TINGGI</v>
      </c>
      <c r="I1255" s="222" t="str">
        <f>IFERROR(__xludf.DUMMYFUNCTION("""COMPUTED_VALUE"""),"Batch 2")</f>
        <v>Batch 2</v>
      </c>
      <c r="J1255" s="225">
        <f>IFERROR(__xludf.DUMMYFUNCTION("""COMPUTED_VALUE"""),9.0)</f>
        <v>9</v>
      </c>
      <c r="K1255" s="224">
        <f>IFERROR(__xludf.DUMMYFUNCTION("""COMPUTED_VALUE"""),72.0)</f>
        <v>72</v>
      </c>
      <c r="L1255" s="226">
        <f>IFERROR(__xludf.DUMMYFUNCTION("""COMPUTED_VALUE"""),803334.0)</f>
        <v>803334</v>
      </c>
      <c r="M1255" s="227">
        <f>IFERROR(__xludf.DUMMYFUNCTION("""COMPUTED_VALUE"""),5.7839999E7)</f>
        <v>57839999</v>
      </c>
      <c r="N1255" s="222" t="str">
        <f>IFERROR(__xludf.DUMMYFUNCTION("""COMPUTED_VALUE"""),"PT RATRI PRIMA MANDIRI")</f>
        <v>PT RATRI PRIMA MANDIRI</v>
      </c>
      <c r="O1255" s="222" t="str">
        <f>IFERROR(__xludf.DUMMYFUNCTION("""COMPUTED_VALUE"""),"2. DONE AANWIJZING")</f>
        <v>2. DONE AANWIJZING</v>
      </c>
      <c r="P1255" s="222" t="str">
        <f>IFERROR(__xludf.DUMMYFUNCTION("""COMPUTED_VALUE"""),"2.9 Kendala - Distribusi Penuh / Rusak")</f>
        <v>2.9 Kendala - Distribusi Penuh / Rusak</v>
      </c>
      <c r="Q1255" s="222" t="str">
        <f>IFERROR(__xludf.DUMMYFUNCTION("""COMPUTED_VALUE"""),"(27/01) kendala core dist 5 full")</f>
        <v>(27/01) kendala core dist 5 full</v>
      </c>
      <c r="R1255" s="228"/>
      <c r="S1255" s="11"/>
      <c r="T1255" s="11"/>
      <c r="U1255" s="11"/>
      <c r="V1255" s="229"/>
      <c r="W1255" s="229"/>
      <c r="X1255" s="229" t="str">
        <f>IFERROR(__xludf.DUMMYFUNCTION("""COMPUTED_VALUE"""),"BELUM GOLIVE")</f>
        <v>BELUM GOLIVE</v>
      </c>
      <c r="Y1255" s="229"/>
      <c r="Z1255" s="229" t="str">
        <f>IFERROR(__xludf.DUMMYFUNCTION("""COMPUTED_VALUE"""),"#N/A")</f>
        <v>#N/A</v>
      </c>
      <c r="AA1255" s="229"/>
      <c r="AB1255" s="229"/>
      <c r="AC1255" s="229"/>
      <c r="AD1255" s="232"/>
      <c r="AE1255" s="233"/>
      <c r="AF1255" s="54"/>
      <c r="AG1255" s="54"/>
      <c r="AH1255" s="54"/>
      <c r="AI1255" s="55" t="str">
        <f t="shared" si="135"/>
        <v/>
      </c>
      <c r="AW1255" s="234"/>
      <c r="BP1255" s="11"/>
      <c r="BQ1255" s="11"/>
      <c r="BR1255" s="235"/>
      <c r="BV1255" s="158"/>
      <c r="BY1255" s="158"/>
      <c r="CB1255" s="158"/>
    </row>
    <row r="1256" ht="18.0" customHeight="1">
      <c r="A1256" s="222">
        <f>IFERROR(__xludf.DUMMYFUNCTION("""COMPUTED_VALUE"""),2026.0)</f>
        <v>2026</v>
      </c>
      <c r="B1256" s="221">
        <f>IFERROR(__xludf.DUMMYFUNCTION("""COMPUTED_VALUE"""),1.1037241E7)</f>
        <v>11037241</v>
      </c>
      <c r="C1256" s="222" t="str">
        <f>IFERROR(__xludf.DUMMYFUNCTION("""COMPUTED_VALUE"""),"SMB P7I5 Graha Indah Asri Lubuk Buaya")</f>
        <v>SMB P7I5 Graha Indah Asri Lubuk Buaya</v>
      </c>
      <c r="D1256" s="222" t="str">
        <f>IFERROR(__xludf.DUMMYFUNCTION("""COMPUTED_VALUE"""),"REGIONAL I")</f>
        <v>REGIONAL I</v>
      </c>
      <c r="E1256" s="222" t="str">
        <f>IFERROR(__xludf.DUMMYFUNCTION("""COMPUTED_VALUE"""),"SUMBAR")</f>
        <v>SUMBAR</v>
      </c>
      <c r="F1256" s="222" t="str">
        <f>IFERROR(__xludf.DUMMYFUNCTION("""COMPUTED_VALUE"""),"LBY")</f>
        <v>LBY</v>
      </c>
      <c r="G1256" s="222" t="str">
        <f>IFERROR(__xludf.DUMMYFUNCTION("""COMPUTED_VALUE"""),"SUMBAGTENG")</f>
        <v>SUMBAGTENG</v>
      </c>
      <c r="H1256" s="222" t="str">
        <f>IFERROR(__xludf.DUMMYFUNCTION("""COMPUTED_VALUE"""),"PADANG")</f>
        <v>PADANG</v>
      </c>
      <c r="I1256" s="222" t="str">
        <f>IFERROR(__xludf.DUMMYFUNCTION("""COMPUTED_VALUE"""),"Batch 2")</f>
        <v>Batch 2</v>
      </c>
      <c r="J1256" s="225">
        <f>IFERROR(__xludf.DUMMYFUNCTION("""COMPUTED_VALUE"""),3.0)</f>
        <v>3</v>
      </c>
      <c r="K1256" s="224">
        <f>IFERROR(__xludf.DUMMYFUNCTION("""COMPUTED_VALUE"""),24.0)</f>
        <v>24</v>
      </c>
      <c r="L1256" s="226">
        <f>IFERROR(__xludf.DUMMYFUNCTION("""COMPUTED_VALUE"""),803259.0)</f>
        <v>803259</v>
      </c>
      <c r="M1256" s="227">
        <f>IFERROR(__xludf.DUMMYFUNCTION("""COMPUTED_VALUE"""),1.9278198E7)</f>
        <v>19278198</v>
      </c>
      <c r="N1256" s="222" t="str">
        <f>IFERROR(__xludf.DUMMYFUNCTION("""COMPUTED_VALUE"""),"PT PUTRI JAYA AKSES")</f>
        <v>PT PUTRI JAYA AKSES</v>
      </c>
      <c r="O1256" s="222" t="str">
        <f>IFERROR(__xludf.DUMMYFUNCTION("""COMPUTED_VALUE"""),"0. DROP")</f>
        <v>0. DROP</v>
      </c>
      <c r="P1256" s="222" t="str">
        <f>IFERROR(__xludf.DUMMYFUNCTION("""COMPUTED_VALUE"""),"0.5 DROP TSEL - Acc ED TIF")</f>
        <v>0.5 DROP TSEL - Acc ED TIF</v>
      </c>
      <c r="Q1256" s="222" t="str">
        <f>IFERROR(__xludf.DUMMYFUNCTION("""COMPUTED_VALUE"""),"(04/03) tidak dapat izin tanam tiang karena kendala spcae sama pemilik lahan (02/03) proses aanwijziing (26/01) DROP, permintaan tsel (tidak potensial) ")</f>
        <v>(04/03) tidak dapat izin tanam tiang karena kendala spcae sama pemilik lahan (02/03) proses aanwijziing (26/01) DROP, permintaan tsel (tidak potensial) </v>
      </c>
      <c r="R1256" s="228"/>
      <c r="S1256" s="11"/>
      <c r="T1256" s="11"/>
      <c r="U1256" s="11"/>
      <c r="V1256" s="229"/>
      <c r="W1256" s="229"/>
      <c r="X1256" s="229" t="str">
        <f>IFERROR(__xludf.DUMMYFUNCTION("""COMPUTED_VALUE"""),"BELUM GOLIVE")</f>
        <v>BELUM GOLIVE</v>
      </c>
      <c r="Y1256" s="229"/>
      <c r="Z1256" s="229" t="str">
        <f>IFERROR(__xludf.DUMMYFUNCTION("""COMPUTED_VALUE"""),"#N/A")</f>
        <v>#N/A</v>
      </c>
      <c r="AA1256" s="229"/>
      <c r="AB1256" s="229"/>
      <c r="AC1256" s="229"/>
      <c r="AD1256" s="232"/>
      <c r="AE1256" s="233"/>
      <c r="AF1256" s="54"/>
      <c r="AG1256" s="54"/>
      <c r="AH1256" s="54"/>
      <c r="AI1256" s="55" t="str">
        <f t="shared" si="135"/>
        <v/>
      </c>
      <c r="AW1256" s="234"/>
      <c r="BP1256" s="11"/>
      <c r="BQ1256" s="11"/>
      <c r="BR1256" s="235"/>
      <c r="BV1256" s="158"/>
      <c r="BY1256" s="158"/>
      <c r="CB1256" s="158"/>
    </row>
    <row r="1257" ht="18.0" hidden="1" customHeight="1">
      <c r="A1257" s="222">
        <f>IFERROR(__xludf.DUMMYFUNCTION("""COMPUTED_VALUE"""),2026.0)</f>
        <v>2026</v>
      </c>
      <c r="B1257" s="221">
        <f>IFERROR(__xludf.DUMMYFUNCTION("""COMPUTED_VALUE"""),1.1530234E7)</f>
        <v>11530234</v>
      </c>
      <c r="C1257" s="222" t="str">
        <f>IFERROR(__xludf.DUMMYFUNCTION("""COMPUTED_VALUE"""),"BNK-PT3-BNC-JPPTSEL- BENTIRING PERMAI 2")</f>
        <v>BNK-PT3-BNC-JPPTSEL- BENTIRING PERMAI 2</v>
      </c>
      <c r="D1257" s="222" t="str">
        <f>IFERROR(__xludf.DUMMYFUNCTION("""COMPUTED_VALUE"""),"REGIONAL I")</f>
        <v>REGIONAL I</v>
      </c>
      <c r="E1257" s="222" t="str">
        <f>IFERROR(__xludf.DUMMYFUNCTION("""COMPUTED_VALUE"""),"BENGKULU")</f>
        <v>BENGKULU</v>
      </c>
      <c r="F1257" s="222" t="str">
        <f>IFERROR(__xludf.DUMMYFUNCTION("""COMPUTED_VALUE"""),"BNC")</f>
        <v>BNC</v>
      </c>
      <c r="G1257" s="222" t="str">
        <f>IFERROR(__xludf.DUMMYFUNCTION("""COMPUTED_VALUE"""),"SUMBAGSEL")</f>
        <v>SUMBAGSEL</v>
      </c>
      <c r="H1257" s="222" t="str">
        <f>IFERROR(__xludf.DUMMYFUNCTION("""COMPUTED_VALUE"""),"BENGKULU")</f>
        <v>BENGKULU</v>
      </c>
      <c r="I1257" s="222" t="str">
        <f>IFERROR(__xludf.DUMMYFUNCTION("""COMPUTED_VALUE"""),"Batch 2")</f>
        <v>Batch 2</v>
      </c>
      <c r="J1257" s="225">
        <f>IFERROR(__xludf.DUMMYFUNCTION("""COMPUTED_VALUE"""),10.0)</f>
        <v>10</v>
      </c>
      <c r="K1257" s="224">
        <f>IFERROR(__xludf.DUMMYFUNCTION("""COMPUTED_VALUE"""),80.0)</f>
        <v>80</v>
      </c>
      <c r="L1257" s="226">
        <f>IFERROR(__xludf.DUMMYFUNCTION("""COMPUTED_VALUE"""),802318.0)</f>
        <v>802318</v>
      </c>
      <c r="M1257" s="227">
        <f>IFERROR(__xludf.DUMMYFUNCTION("""COMPUTED_VALUE"""),6.4185409E7)</f>
        <v>64185409</v>
      </c>
      <c r="N1257" s="222" t="str">
        <f>IFERROR(__xludf.DUMMYFUNCTION("""COMPUTED_VALUE"""),"SWAKELOLA")</f>
        <v>SWAKELOLA</v>
      </c>
      <c r="O1257" s="222" t="str">
        <f>IFERROR(__xludf.DUMMYFUNCTION("""COMPUTED_VALUE"""),"0. DROP")</f>
        <v>0. DROP</v>
      </c>
      <c r="P1257" s="222" t="str">
        <f>IFERROR(__xludf.DUMMYFUNCTION("""COMPUTED_VALUE"""),"0.2 Tidak Dapat Izin Warga/Kades/Lurah/Developer")</f>
        <v>0.2 Tidak Dapat Izin Warga/Kades/Lurah/Developer</v>
      </c>
      <c r="Q1257" s="222" t="str">
        <f>IFERROR(__xludf.DUMMYFUNCTION("""COMPUTED_VALUE"""),"22/01: tidak dapat izin rt dan warga")</f>
        <v>22/01: tidak dapat izin rt dan warga</v>
      </c>
      <c r="R1257" s="228"/>
      <c r="S1257" s="11"/>
      <c r="T1257" s="11"/>
      <c r="U1257" s="11"/>
      <c r="V1257" s="229"/>
      <c r="W1257" s="229"/>
      <c r="X1257" s="229" t="str">
        <f>IFERROR(__xludf.DUMMYFUNCTION("""COMPUTED_VALUE"""),"BELUM GOLIVE")</f>
        <v>BELUM GOLIVE</v>
      </c>
      <c r="Y1257" s="229"/>
      <c r="Z1257" s="229" t="str">
        <f>IFERROR(__xludf.DUMMYFUNCTION("""COMPUTED_VALUE"""),"#N/A")</f>
        <v>#N/A</v>
      </c>
      <c r="AA1257" s="229"/>
      <c r="AB1257" s="229"/>
      <c r="AC1257" s="229"/>
      <c r="AD1257" s="232"/>
      <c r="AE1257" s="233"/>
      <c r="AF1257" s="54" t="str">
        <f>IFERROR(__xludf.DUMMYFUNCTION("""COMPUTED_VALUE"""),"Draft BA DROP")</f>
        <v>Draft BA DROP</v>
      </c>
      <c r="AG1257" s="54"/>
      <c r="AH1257" s="54"/>
      <c r="AI1257" s="55" t="str">
        <f t="shared" si="135"/>
        <v/>
      </c>
      <c r="AW1257" s="234"/>
      <c r="BP1257" s="11"/>
      <c r="BQ1257" s="11"/>
      <c r="BR1257" s="235"/>
      <c r="BV1257" s="158"/>
      <c r="BY1257" s="158"/>
      <c r="CB1257" s="158"/>
    </row>
    <row r="1258" ht="18.0" hidden="1" customHeight="1">
      <c r="A1258" s="222">
        <f>IFERROR(__xludf.DUMMYFUNCTION("""COMPUTED_VALUE"""),2026.0)</f>
        <v>2026</v>
      </c>
      <c r="B1258" s="221">
        <f>IFERROR(__xludf.DUMMYFUNCTION("""COMPUTED_VALUE"""),1.1192607E7)</f>
        <v>11192607</v>
      </c>
      <c r="C1258" s="222" t="str">
        <f>IFERROR(__xludf.DUMMYFUNCTION("""COMPUTED_VALUE"""),"MDN PT3 P7I8 TMU-FAC PERUM CRISELLA 2")</f>
        <v>MDN PT3 P7I8 TMU-FAC PERUM CRISELLA 2</v>
      </c>
      <c r="D1258" s="222" t="str">
        <f>IFERROR(__xludf.DUMMYFUNCTION("""COMPUTED_VALUE"""),"REGIONAL I")</f>
        <v>REGIONAL I</v>
      </c>
      <c r="E1258" s="222" t="str">
        <f>IFERROR(__xludf.DUMMYFUNCTION("""COMPUTED_VALUE"""),"MEDAN")</f>
        <v>MEDAN</v>
      </c>
      <c r="F1258" s="222" t="str">
        <f>IFERROR(__xludf.DUMMYFUNCTION("""COMPUTED_VALUE"""),"TMU")</f>
        <v>TMU</v>
      </c>
      <c r="G1258" s="222" t="str">
        <f>IFERROR(__xludf.DUMMYFUNCTION("""COMPUTED_VALUE"""),"SUMBAGUT")</f>
        <v>SUMBAGUT</v>
      </c>
      <c r="H1258" s="222" t="str">
        <f>IFERROR(__xludf.DUMMYFUNCTION("""COMPUTED_VALUE"""),"MEDAN")</f>
        <v>MEDAN</v>
      </c>
      <c r="I1258" s="222" t="str">
        <f>IFERROR(__xludf.DUMMYFUNCTION("""COMPUTED_VALUE"""),"Batch 2")</f>
        <v>Batch 2</v>
      </c>
      <c r="J1258" s="225">
        <f>IFERROR(__xludf.DUMMYFUNCTION("""COMPUTED_VALUE"""),3.0)</f>
        <v>3</v>
      </c>
      <c r="K1258" s="224">
        <f>IFERROR(__xludf.DUMMYFUNCTION("""COMPUTED_VALUE"""),24.0)</f>
        <v>24</v>
      </c>
      <c r="L1258" s="226">
        <f>IFERROR(__xludf.DUMMYFUNCTION("""COMPUTED_VALUE"""),1334679.0)</f>
        <v>1334679</v>
      </c>
      <c r="M1258" s="227">
        <f>IFERROR(__xludf.DUMMYFUNCTION("""COMPUTED_VALUE"""),3.2032288E7)</f>
        <v>32032288</v>
      </c>
      <c r="N1258" s="222" t="str">
        <f>IFERROR(__xludf.DUMMYFUNCTION("""COMPUTED_VALUE"""),"PT DUL JAYA TAMA")</f>
        <v>PT DUL JAYA TAMA</v>
      </c>
      <c r="O1258" s="222" t="str">
        <f>IFERROR(__xludf.DUMMYFUNCTION("""COMPUTED_VALUE"""),"0. DROP")</f>
        <v>0. DROP</v>
      </c>
      <c r="P1258" s="222" t="str">
        <f>IFERROR(__xludf.DUMMYFUNCTION("""COMPUTED_VALUE"""),"0.4 CPP Tinggi Acc ED TIF")</f>
        <v>0.4 CPP Tinggi Acc ED TIF</v>
      </c>
      <c r="Q1258" s="222" t="str">
        <f>IFERROR(__xludf.DUMMYFUNCTION("""COMPUTED_VALUE"""),"29/01 Done Order, lnjut Aanwidzing")</f>
        <v>29/01 Done Order, lnjut Aanwidzing</v>
      </c>
      <c r="R1258" s="228"/>
      <c r="S1258" s="11"/>
      <c r="T1258" s="11"/>
      <c r="U1258" s="11"/>
      <c r="V1258" s="229"/>
      <c r="W1258" s="229"/>
      <c r="X1258" s="229" t="str">
        <f>IFERROR(__xludf.DUMMYFUNCTION("""COMPUTED_VALUE"""),"BELUM GOLIVE")</f>
        <v>BELUM GOLIVE</v>
      </c>
      <c r="Y1258" s="229"/>
      <c r="Z1258" s="229" t="str">
        <f>IFERROR(__xludf.DUMMYFUNCTION("""COMPUTED_VALUE"""),"#N/A")</f>
        <v>#N/A</v>
      </c>
      <c r="AA1258" s="229"/>
      <c r="AB1258" s="229"/>
      <c r="AC1258" s="229"/>
      <c r="AD1258" s="232"/>
      <c r="AE1258" s="233"/>
      <c r="AF1258" s="54" t="str">
        <f>IFERROR(__xludf.DUMMYFUNCTION("""COMPUTED_VALUE"""),"Draft BA DROP")</f>
        <v>Draft BA DROP</v>
      </c>
      <c r="AG1258" s="54"/>
      <c r="AH1258" s="54"/>
      <c r="AI1258" s="55" t="str">
        <f t="shared" si="135"/>
        <v/>
      </c>
      <c r="AW1258" s="234"/>
      <c r="BP1258" s="11"/>
      <c r="BQ1258" s="11"/>
      <c r="BR1258" s="235"/>
      <c r="BV1258" s="158"/>
      <c r="BY1258" s="158"/>
      <c r="CB1258" s="158"/>
    </row>
    <row r="1259" ht="18.0" hidden="1" customHeight="1">
      <c r="A1259" s="222">
        <f>IFERROR(__xludf.DUMMYFUNCTION("""COMPUTED_VALUE"""),2026.0)</f>
        <v>2026</v>
      </c>
      <c r="B1259" s="221">
        <f>IFERROR(__xludf.DUMMYFUNCTION("""COMPUTED_VALUE"""),1.2424386E7)</f>
        <v>12424386</v>
      </c>
      <c r="C1259" s="222" t="str">
        <f>IFERROR(__xludf.DUMMYFUNCTION("""COMPUTED_VALUE"""),"MDN PT3 STB-FT 250_1661_1572")</f>
        <v>MDN PT3 STB-FT 250_1661_1572</v>
      </c>
      <c r="D1259" s="222" t="str">
        <f>IFERROR(__xludf.DUMMYFUNCTION("""COMPUTED_VALUE"""),"REGIONAL I")</f>
        <v>REGIONAL I</v>
      </c>
      <c r="E1259" s="222" t="str">
        <f>IFERROR(__xludf.DUMMYFUNCTION("""COMPUTED_VALUE"""),"MEDAN")</f>
        <v>MEDAN</v>
      </c>
      <c r="F1259" s="222" t="str">
        <f>IFERROR(__xludf.DUMMYFUNCTION("""COMPUTED_VALUE"""),"STB")</f>
        <v>STB</v>
      </c>
      <c r="G1259" s="222" t="str">
        <f>IFERROR(__xludf.DUMMYFUNCTION("""COMPUTED_VALUE"""),"SUMBAGUT")</f>
        <v>SUMBAGUT</v>
      </c>
      <c r="H1259" s="222" t="str">
        <f>IFERROR(__xludf.DUMMYFUNCTION("""COMPUTED_VALUE"""),"BINJAI")</f>
        <v>BINJAI</v>
      </c>
      <c r="I1259" s="222" t="str">
        <f>IFERROR(__xludf.DUMMYFUNCTION("""COMPUTED_VALUE"""),"Batch 2")</f>
        <v>Batch 2</v>
      </c>
      <c r="J1259" s="225">
        <f>IFERROR(__xludf.DUMMYFUNCTION("""COMPUTED_VALUE"""),4.0)</f>
        <v>4</v>
      </c>
      <c r="K1259" s="224">
        <f>IFERROR(__xludf.DUMMYFUNCTION("""COMPUTED_VALUE"""),32.0)</f>
        <v>32</v>
      </c>
      <c r="L1259" s="226">
        <f>IFERROR(__xludf.DUMMYFUNCTION("""COMPUTED_VALUE"""),801556.0)</f>
        <v>801556</v>
      </c>
      <c r="M1259" s="227">
        <f>IFERROR(__xludf.DUMMYFUNCTION("""COMPUTED_VALUE"""),2.5649785E7)</f>
        <v>25649785</v>
      </c>
      <c r="N1259" s="222" t="str">
        <f>IFERROR(__xludf.DUMMYFUNCTION("""COMPUTED_VALUE"""),"PT FIBERHOME TECHNOLOGIES INDONESIA")</f>
        <v>PT FIBERHOME TECHNOLOGIES INDONESIA</v>
      </c>
      <c r="O1259" s="222" t="str">
        <f>IFERROR(__xludf.DUMMYFUNCTION("""COMPUTED_VALUE"""),"7. GOLIVE")</f>
        <v>7. GOLIVE</v>
      </c>
      <c r="P1259" s="222" t="str">
        <f>IFERROR(__xludf.DUMMYFUNCTION("""COMPUTED_VALUE"""),"7.2 Golive Full / OA / DONE OTB")</f>
        <v>7.2 Golive Full / OA / DONE OTB</v>
      </c>
      <c r="Q1259" s="222" t="str">
        <f>IFERROR(__xludf.DUMMYFUNCTION("""COMPUTED_VALUE"""),"14/03 submid abd
02/03 proses penarikan KU 
19/02input material
18/02 feeder dist ready
(07/01) Persiapan")</f>
        <v>14/03 submid abd
02/03 proses penarikan KU 
19/02input material
18/02 feeder dist ready
(07/01) Persiapan</v>
      </c>
      <c r="R1259" s="228">
        <f>IFERROR(__xludf.DUMMYFUNCTION("""COMPUTED_VALUE"""),46095.0)</f>
        <v>46095</v>
      </c>
      <c r="S1259" s="11" t="str">
        <f>IFERROR(__xludf.DUMMYFUNCTION("""COMPUTED_VALUE"""),"MAR")</f>
        <v>MAR</v>
      </c>
      <c r="T1259" s="11"/>
      <c r="U1259" s="11"/>
      <c r="V1259" s="229"/>
      <c r="W1259" s="229"/>
      <c r="X1259" s="229" t="str">
        <f>IFERROR(__xludf.DUMMYFUNCTION("""COMPUTED_VALUE"""),"GOLIVE")</f>
        <v>GOLIVE</v>
      </c>
      <c r="Y1259" s="229" t="str">
        <f>IFERROR(__xludf.DUMMYFUNCTION("""COMPUTED_VALUE"""),"DONE")</f>
        <v>DONE</v>
      </c>
      <c r="Z1259" s="229" t="str">
        <f>IFERROR(__xludf.DUMMYFUNCTION("""COMPUTED_VALUE"""),"#N/A")</f>
        <v>#N/A</v>
      </c>
      <c r="AA1259" s="229">
        <f>IFERROR(__xludf.DUMMYFUNCTION("""COMPUTED_VALUE"""),4.0)</f>
        <v>4</v>
      </c>
      <c r="AB1259" s="229"/>
      <c r="AC1259" s="229" t="str">
        <f>IFERROR(__xludf.DUMMYFUNCTION("""COMPUTED_VALUE"""),"9208401#9208406")</f>
        <v>9208401#9208406</v>
      </c>
      <c r="AD1259" s="232">
        <f>IFERROR(__xludf.DUMMYFUNCTION("""COMPUTED_VALUE"""),32.0)</f>
        <v>32</v>
      </c>
      <c r="AE1259" s="233">
        <f>IFERROR(__xludf.DUMMYFUNCTION("""COMPUTED_VALUE"""),46095.0)</f>
        <v>46095</v>
      </c>
      <c r="AF1259" s="54"/>
      <c r="AG1259" s="54"/>
      <c r="AH1259" s="54">
        <v>46095.0</v>
      </c>
      <c r="AI1259" s="55">
        <f t="shared" si="135"/>
        <v>0</v>
      </c>
      <c r="AW1259" s="234"/>
      <c r="BP1259" s="11"/>
      <c r="BQ1259" s="11"/>
      <c r="BR1259" s="235"/>
      <c r="BV1259" s="158"/>
      <c r="BY1259" s="158"/>
      <c r="CB1259" s="158"/>
    </row>
    <row r="1260" ht="18.0" hidden="1" customHeight="1">
      <c r="A1260" s="222">
        <f>IFERROR(__xludf.DUMMYFUNCTION("""COMPUTED_VALUE"""),2026.0)</f>
        <v>2026</v>
      </c>
      <c r="B1260" s="221">
        <f>IFERROR(__xludf.DUMMYFUNCTION("""COMPUTED_VALUE"""),1.1364906E7)</f>
        <v>11364906</v>
      </c>
      <c r="C1260" s="222" t="str">
        <f>IFERROR(__xludf.DUMMYFUNCTION("""COMPUTED_VALUE"""),"MDN PT3 TJR-FAE PERUM GRAHA RAHKMAD")</f>
        <v>MDN PT3 TJR-FAE PERUM GRAHA RAHKMAD</v>
      </c>
      <c r="D1260" s="222" t="str">
        <f>IFERROR(__xludf.DUMMYFUNCTION("""COMPUTED_VALUE"""),"REGIONAL I")</f>
        <v>REGIONAL I</v>
      </c>
      <c r="E1260" s="222" t="str">
        <f>IFERROR(__xludf.DUMMYFUNCTION("""COMPUTED_VALUE"""),"MEDAN")</f>
        <v>MEDAN</v>
      </c>
      <c r="F1260" s="222" t="str">
        <f>IFERROR(__xludf.DUMMYFUNCTION("""COMPUTED_VALUE"""),"TJR")</f>
        <v>TJR</v>
      </c>
      <c r="G1260" s="222" t="str">
        <f>IFERROR(__xludf.DUMMYFUNCTION("""COMPUTED_VALUE"""),"SUMBAGUT")</f>
        <v>SUMBAGUT</v>
      </c>
      <c r="H1260" s="222" t="str">
        <f>IFERROR(__xludf.DUMMYFUNCTION("""COMPUTED_VALUE"""),"MEDAN")</f>
        <v>MEDAN</v>
      </c>
      <c r="I1260" s="222" t="str">
        <f>IFERROR(__xludf.DUMMYFUNCTION("""COMPUTED_VALUE"""),"Batch 2")</f>
        <v>Batch 2</v>
      </c>
      <c r="J1260" s="225">
        <f>IFERROR(__xludf.DUMMYFUNCTION("""COMPUTED_VALUE"""),5.0)</f>
        <v>5</v>
      </c>
      <c r="K1260" s="224">
        <f>IFERROR(__xludf.DUMMYFUNCTION("""COMPUTED_VALUE"""),40.0)</f>
        <v>40</v>
      </c>
      <c r="L1260" s="226">
        <f>IFERROR(__xludf.DUMMYFUNCTION("""COMPUTED_VALUE"""),769247.0)</f>
        <v>769247</v>
      </c>
      <c r="M1260" s="227">
        <f>IFERROR(__xludf.DUMMYFUNCTION("""COMPUTED_VALUE"""),3.0769861E7)</f>
        <v>30769861</v>
      </c>
      <c r="N1260" s="222" t="str">
        <f>IFERROR(__xludf.DUMMYFUNCTION("""COMPUTED_VALUE"""),"PT UPAYA TEKNIK")</f>
        <v>PT UPAYA TEKNIK</v>
      </c>
      <c r="O1260" s="222" t="str">
        <f>IFERROR(__xludf.DUMMYFUNCTION("""COMPUTED_VALUE"""),"3. PERIZINAN")</f>
        <v>3. PERIZINAN</v>
      </c>
      <c r="P1260" s="222" t="str">
        <f>IFERROR(__xludf.DUMMYFUNCTION("""COMPUTED_VALUE"""),"3.9 Izin Kades / Lurah / RTRW")</f>
        <v>3.9 Izin Kades / Lurah / RTRW</v>
      </c>
      <c r="Q1260" s="222" t="str">
        <f>IFERROR(__xludf.DUMMYFUNCTION("""COMPUTED_VALUE"""),"21/04  OGP perizinan
31/03 TJR-FAE feeder redti
11/03 proses perizinan
(07/01) Persiapan")</f>
        <v>21/04  OGP perizinan
31/03 TJR-FAE feeder redti
11/03 proses perizinan
(07/01) Persiapan</v>
      </c>
      <c r="R1260" s="228"/>
      <c r="S1260" s="11" t="str">
        <f>IFERROR(__xludf.DUMMYFUNCTION("""COMPUTED_VALUE"""),"MAR")</f>
        <v>MAR</v>
      </c>
      <c r="T1260" s="11"/>
      <c r="U1260" s="11"/>
      <c r="V1260" s="229"/>
      <c r="W1260" s="229"/>
      <c r="X1260" s="229" t="str">
        <f>IFERROR(__xludf.DUMMYFUNCTION("""COMPUTED_VALUE"""),"BELUM GOLIVE")</f>
        <v>BELUM GOLIVE</v>
      </c>
      <c r="Y1260" s="229"/>
      <c r="Z1260" s="229" t="str">
        <f>IFERROR(__xludf.DUMMYFUNCTION("""COMPUTED_VALUE"""),"#N/A")</f>
        <v>#N/A</v>
      </c>
      <c r="AA1260" s="229"/>
      <c r="AB1260" s="229"/>
      <c r="AC1260" s="229"/>
      <c r="AD1260" s="232"/>
      <c r="AE1260" s="233"/>
      <c r="AF1260" s="54"/>
      <c r="AG1260" s="54"/>
      <c r="AH1260" s="54"/>
      <c r="AI1260" s="55" t="str">
        <f t="shared" si="135"/>
        <v/>
      </c>
      <c r="AW1260" s="234"/>
      <c r="BP1260" s="11"/>
      <c r="BQ1260" s="11"/>
      <c r="BR1260" s="235"/>
      <c r="BV1260" s="158"/>
      <c r="BY1260" s="158"/>
      <c r="CB1260" s="158"/>
    </row>
    <row r="1261" ht="18.0" hidden="1" customHeight="1">
      <c r="A1261" s="222">
        <f>IFERROR(__xludf.DUMMYFUNCTION("""COMPUTED_VALUE"""),2026.0)</f>
        <v>2026</v>
      </c>
      <c r="B1261" s="221">
        <f>IFERROR(__xludf.DUMMYFUNCTION("""COMPUTED_VALUE"""),1.1194205E7)</f>
        <v>11194205</v>
      </c>
      <c r="C1261" s="222" t="str">
        <f>IFERROR(__xludf.DUMMYFUNCTION("""COMPUTED_VALUE"""),"MDN PT3 P7I9 DLT-FA ALAM ASRI")</f>
        <v>MDN PT3 P7I9 DLT-FA ALAM ASRI</v>
      </c>
      <c r="D1261" s="222" t="str">
        <f>IFERROR(__xludf.DUMMYFUNCTION("""COMPUTED_VALUE"""),"REGIONAL I")</f>
        <v>REGIONAL I</v>
      </c>
      <c r="E1261" s="222" t="str">
        <f>IFERROR(__xludf.DUMMYFUNCTION("""COMPUTED_VALUE"""),"MEDAN")</f>
        <v>MEDAN</v>
      </c>
      <c r="F1261" s="222" t="str">
        <f>IFERROR(__xludf.DUMMYFUNCTION("""COMPUTED_VALUE"""),"DLT")</f>
        <v>DLT</v>
      </c>
      <c r="G1261" s="222" t="str">
        <f>IFERROR(__xludf.DUMMYFUNCTION("""COMPUTED_VALUE"""),"SUMBAGUT")</f>
        <v>SUMBAGUT</v>
      </c>
      <c r="H1261" s="222" t="str">
        <f>IFERROR(__xludf.DUMMYFUNCTION("""COMPUTED_VALUE"""),"MEDAN")</f>
        <v>MEDAN</v>
      </c>
      <c r="I1261" s="222" t="str">
        <f>IFERROR(__xludf.DUMMYFUNCTION("""COMPUTED_VALUE"""),"Batch 2")</f>
        <v>Batch 2</v>
      </c>
      <c r="J1261" s="225">
        <f>IFERROR(__xludf.DUMMYFUNCTION("""COMPUTED_VALUE"""),5.0)</f>
        <v>5</v>
      </c>
      <c r="K1261" s="224">
        <f>IFERROR(__xludf.DUMMYFUNCTION("""COMPUTED_VALUE"""),40.0)</f>
        <v>40</v>
      </c>
      <c r="L1261" s="226">
        <f>IFERROR(__xludf.DUMMYFUNCTION("""COMPUTED_VALUE"""),1094707.0)</f>
        <v>1094707</v>
      </c>
      <c r="M1261" s="227">
        <f>IFERROR(__xludf.DUMMYFUNCTION("""COMPUTED_VALUE"""),4.378827E7)</f>
        <v>43788270</v>
      </c>
      <c r="N1261" s="222" t="str">
        <f>IFERROR(__xludf.DUMMYFUNCTION("""COMPUTED_VALUE"""),"PT SALTTEK DUMPANG JAYA")</f>
        <v>PT SALTTEK DUMPANG JAYA</v>
      </c>
      <c r="O1261" s="222" t="str">
        <f>IFERROR(__xludf.DUMMYFUNCTION("""COMPUTED_VALUE"""),"0. DROP")</f>
        <v>0. DROP</v>
      </c>
      <c r="P1261" s="222" t="str">
        <f>IFERROR(__xludf.DUMMYFUNCTION("""COMPUTED_VALUE"""),"0.3 Feeder Full")</f>
        <v>0.3 Feeder Full</v>
      </c>
      <c r="Q1261" s="222" t="str">
        <f>IFERROR(__xludf.DUMMYFUNCTION("""COMPUTED_VALUE"""),"11/11 Feeder Penuh , Perlu Redesign
(24/09) Perizinan Warga dan Kades / Lurah
(23/09) Perizinan Warga dan Kades / Lurah
15/09 proses aanwijzing")</f>
        <v>11/11 Feeder Penuh , Perlu Redesign
(24/09) Perizinan Warga dan Kades / Lurah
(23/09) Perizinan Warga dan Kades / Lurah
15/09 proses aanwijzing</v>
      </c>
      <c r="R1261" s="228"/>
      <c r="S1261" s="11"/>
      <c r="T1261" s="11"/>
      <c r="U1261" s="11"/>
      <c r="V1261" s="229"/>
      <c r="W1261" s="229"/>
      <c r="X1261" s="229" t="str">
        <f>IFERROR(__xludf.DUMMYFUNCTION("""COMPUTED_VALUE"""),"BELUM GOLIVE")</f>
        <v>BELUM GOLIVE</v>
      </c>
      <c r="Y1261" s="229"/>
      <c r="Z1261" s="229" t="str">
        <f>IFERROR(__xludf.DUMMYFUNCTION("""COMPUTED_VALUE"""),"#N/A")</f>
        <v>#N/A</v>
      </c>
      <c r="AA1261" s="229"/>
      <c r="AB1261" s="229"/>
      <c r="AC1261" s="229"/>
      <c r="AD1261" s="232"/>
      <c r="AE1261" s="233"/>
      <c r="AF1261" s="54"/>
      <c r="AG1261" s="54"/>
      <c r="AH1261" s="54"/>
      <c r="AI1261" s="55" t="str">
        <f t="shared" si="135"/>
        <v/>
      </c>
      <c r="AW1261" s="234"/>
      <c r="BP1261" s="11"/>
      <c r="BQ1261" s="11"/>
      <c r="BR1261" s="235"/>
      <c r="BV1261" s="158"/>
      <c r="BY1261" s="158"/>
      <c r="CB1261" s="158"/>
    </row>
    <row r="1262" ht="18.0" hidden="1" customHeight="1">
      <c r="A1262" s="222">
        <f>IFERROR(__xludf.DUMMYFUNCTION("""COMPUTED_VALUE"""),2026.0)</f>
        <v>2026</v>
      </c>
      <c r="B1262" s="221">
        <f>IFERROR(__xludf.DUMMYFUNCTION("""COMPUTED_VALUE"""),1.1192771E7)</f>
        <v>11192771</v>
      </c>
      <c r="C1262" s="222" t="str">
        <f>IFERROR(__xludf.DUMMYFUNCTION("""COMPUTED_VALUE"""),"MDN PT3 P7I9 TJR-FAE GG.MUFAKAT III")</f>
        <v>MDN PT3 P7I9 TJR-FAE GG.MUFAKAT III</v>
      </c>
      <c r="D1262" s="222" t="str">
        <f>IFERROR(__xludf.DUMMYFUNCTION("""COMPUTED_VALUE"""),"REGIONAL I")</f>
        <v>REGIONAL I</v>
      </c>
      <c r="E1262" s="222" t="str">
        <f>IFERROR(__xludf.DUMMYFUNCTION("""COMPUTED_VALUE"""),"MEDAN")</f>
        <v>MEDAN</v>
      </c>
      <c r="F1262" s="222" t="str">
        <f>IFERROR(__xludf.DUMMYFUNCTION("""COMPUTED_VALUE"""),"TJR")</f>
        <v>TJR</v>
      </c>
      <c r="G1262" s="222" t="str">
        <f>IFERROR(__xludf.DUMMYFUNCTION("""COMPUTED_VALUE"""),"SUMBAGUT")</f>
        <v>SUMBAGUT</v>
      </c>
      <c r="H1262" s="222" t="str">
        <f>IFERROR(__xludf.DUMMYFUNCTION("""COMPUTED_VALUE"""),"MEDAN")</f>
        <v>MEDAN</v>
      </c>
      <c r="I1262" s="222" t="str">
        <f>IFERROR(__xludf.DUMMYFUNCTION("""COMPUTED_VALUE"""),"Batch 2")</f>
        <v>Batch 2</v>
      </c>
      <c r="J1262" s="225">
        <f>IFERROR(__xludf.DUMMYFUNCTION("""COMPUTED_VALUE"""),2.0)</f>
        <v>2</v>
      </c>
      <c r="K1262" s="224">
        <f>IFERROR(__xludf.DUMMYFUNCTION("""COMPUTED_VALUE"""),16.0)</f>
        <v>16</v>
      </c>
      <c r="L1262" s="226">
        <f>IFERROR(__xludf.DUMMYFUNCTION("""COMPUTED_VALUE"""),1417308.0)</f>
        <v>1417308</v>
      </c>
      <c r="M1262" s="227">
        <f>IFERROR(__xludf.DUMMYFUNCTION("""COMPUTED_VALUE"""),2.2676915E7)</f>
        <v>22676915</v>
      </c>
      <c r="N1262" s="222" t="str">
        <f>IFERROR(__xludf.DUMMYFUNCTION("""COMPUTED_VALUE"""),"PT UPAYA TEKNIK")</f>
        <v>PT UPAYA TEKNIK</v>
      </c>
      <c r="O1262" s="222" t="str">
        <f>IFERROR(__xludf.DUMMYFUNCTION("""COMPUTED_VALUE"""),"8. UJI TERIMA")</f>
        <v>8. UJI TERIMA</v>
      </c>
      <c r="P1262" s="222" t="str">
        <f>IFERROR(__xludf.DUMMYFUNCTION("""COMPUTED_VALUE"""),"8.1 Proses UT")</f>
        <v>8.1 Proses UT</v>
      </c>
      <c r="Q1262" s="222" t="str">
        <f>IFERROR(__xludf.DUMMYFUNCTION("""COMPUTED_VALUE"""),"10/02 golive sdi
09/02 pengecekan abd mancore
(07/01) Persiapan")</f>
        <v>10/02 golive sdi
09/02 pengecekan abd mancore
(07/01) Persiapan</v>
      </c>
      <c r="R1262" s="228">
        <f>IFERROR(__xludf.DUMMYFUNCTION("""COMPUTED_VALUE"""),46063.0)</f>
        <v>46063</v>
      </c>
      <c r="S1262" s="11"/>
      <c r="T1262" s="11"/>
      <c r="U1262" s="11" t="str">
        <f>IFERROR(__xludf.DUMMYFUNCTION("""COMPUTED_VALUE"""),"FALSE")</f>
        <v>FALSE</v>
      </c>
      <c r="V1262" s="229"/>
      <c r="W1262" s="229"/>
      <c r="X1262" s="229" t="str">
        <f>IFERROR(__xludf.DUMMYFUNCTION("""COMPUTED_VALUE"""),"GOLIVE")</f>
        <v>GOLIVE</v>
      </c>
      <c r="Y1262" s="229" t="str">
        <f>IFERROR(__xludf.DUMMYFUNCTION("""COMPUTED_VALUE"""),"DONE")</f>
        <v>DONE</v>
      </c>
      <c r="Z1262" s="229" t="str">
        <f>IFERROR(__xludf.DUMMYFUNCTION("""COMPUTED_VALUE"""),"#N/A")</f>
        <v>#N/A</v>
      </c>
      <c r="AA1262" s="229">
        <f>IFERROR(__xludf.DUMMYFUNCTION("""COMPUTED_VALUE"""),2.0)</f>
        <v>2</v>
      </c>
      <c r="AB1262" s="229"/>
      <c r="AC1262" s="229" t="str">
        <f>IFERROR(__xludf.DUMMYFUNCTION("""COMPUTED_VALUE"""),"9091556#9091561")</f>
        <v>9091556#9091561</v>
      </c>
      <c r="AD1262" s="232">
        <f>IFERROR(__xludf.DUMMYFUNCTION("""COMPUTED_VALUE"""),16.0)</f>
        <v>16</v>
      </c>
      <c r="AE1262" s="233">
        <f>IFERROR(__xludf.DUMMYFUNCTION("""COMPUTED_VALUE"""),46063.0)</f>
        <v>46063</v>
      </c>
      <c r="AF1262" s="54"/>
      <c r="AG1262" s="54"/>
      <c r="AH1262" s="54">
        <v>46063.0</v>
      </c>
      <c r="AI1262" s="55">
        <f t="shared" si="135"/>
        <v>0</v>
      </c>
      <c r="AW1262" s="234"/>
      <c r="BP1262" s="11"/>
      <c r="BQ1262" s="11"/>
      <c r="BR1262" s="235"/>
      <c r="BV1262" s="158"/>
      <c r="BY1262" s="158"/>
      <c r="CB1262" s="158"/>
    </row>
    <row r="1263" ht="18.0" hidden="1" customHeight="1">
      <c r="A1263" s="222">
        <f>IFERROR(__xludf.DUMMYFUNCTION("""COMPUTED_VALUE"""),2026.0)</f>
        <v>2026</v>
      </c>
      <c r="B1263" s="221">
        <f>IFERROR(__xludf.DUMMYFUNCTION("""COMPUTED_VALUE"""),1.1483811E7)</f>
        <v>11483811</v>
      </c>
      <c r="C1263" s="222" t="str">
        <f>IFERROR(__xludf.DUMMYFUNCTION("""COMPUTED_VALUE"""),"SMS P3I1 PT3 PBM FBB D02 JALAN KRAKATAU")</f>
        <v>SMS P3I1 PT3 PBM FBB D02 JALAN KRAKATAU</v>
      </c>
      <c r="D1263" s="222" t="str">
        <f>IFERROR(__xludf.DUMMYFUNCTION("""COMPUTED_VALUE"""),"REGIONAL I")</f>
        <v>REGIONAL I</v>
      </c>
      <c r="E1263" s="222" t="str">
        <f>IFERROR(__xludf.DUMMYFUNCTION("""COMPUTED_VALUE"""),"SUMSEL")</f>
        <v>SUMSEL</v>
      </c>
      <c r="F1263" s="222" t="str">
        <f>IFERROR(__xludf.DUMMYFUNCTION("""COMPUTED_VALUE"""),"PBM")</f>
        <v>PBM</v>
      </c>
      <c r="G1263" s="222" t="str">
        <f>IFERROR(__xludf.DUMMYFUNCTION("""COMPUTED_VALUE"""),"SUMBAGSEL")</f>
        <v>SUMBAGSEL</v>
      </c>
      <c r="H1263" s="222" t="str">
        <f>IFERROR(__xludf.DUMMYFUNCTION("""COMPUTED_VALUE"""),"PALEMBANG")</f>
        <v>PALEMBANG</v>
      </c>
      <c r="I1263" s="222" t="str">
        <f>IFERROR(__xludf.DUMMYFUNCTION("""COMPUTED_VALUE"""),"Batch 2")</f>
        <v>Batch 2</v>
      </c>
      <c r="J1263" s="225">
        <f>IFERROR(__xludf.DUMMYFUNCTION("""COMPUTED_VALUE"""),6.0)</f>
        <v>6</v>
      </c>
      <c r="K1263" s="224">
        <f>IFERROR(__xludf.DUMMYFUNCTION("""COMPUTED_VALUE"""),48.0)</f>
        <v>48</v>
      </c>
      <c r="L1263" s="226">
        <f>IFERROR(__xludf.DUMMYFUNCTION("""COMPUTED_VALUE"""),801308.0)</f>
        <v>801308</v>
      </c>
      <c r="M1263" s="227">
        <f>IFERROR(__xludf.DUMMYFUNCTION("""COMPUTED_VALUE"""),3.8462739E7)</f>
        <v>38462739</v>
      </c>
      <c r="N1263" s="222" t="str">
        <f>IFERROR(__xludf.DUMMYFUNCTION("""COMPUTED_VALUE"""),"PT ACERO CETHA METALINDO")</f>
        <v>PT ACERO CETHA METALINDO</v>
      </c>
      <c r="O1263" s="222" t="str">
        <f>IFERROR(__xludf.DUMMYFUNCTION("""COMPUTED_VALUE"""),"7. GOLIVE")</f>
        <v>7. GOLIVE</v>
      </c>
      <c r="P1263" s="222" t="str">
        <f>IFERROR(__xludf.DUMMYFUNCTION("""COMPUTED_VALUE"""),"7.2 Golive Full / OA / DONE OTB")</f>
        <v>7.2 Golive Full / OA / DONE OTB</v>
      </c>
      <c r="Q1263" s="222" t="str">
        <f>IFERROR(__xludf.DUMMYFUNCTION("""COMPUTED_VALUE"""),"11/03 GOLIVE, 10/03 DONE SUBMIT ABD KE SDI, 09/03 MASIH KENDALA ONT RUSAK, 06/03 OGP VALINS - KENDALA ONT RUSAK, 05/03 DONE PEMASANGAN ODP, 04/03 SELESAI TANAM TIANG DAN PENARIKAN KABEL - MENUNGGU ANTRIAN PEKERJAAN, 02/02 MENUNGGU PEMASANGAN ODP, 28/2 bel"&amp;"um mendapat Label ODP 27/02 SELESAI TANAM TIANG &amp; PENARIKAN KABEL, 26/02 progres penarikan kabel,  25/02 DONE RFC, OGP AMBIL MATERIAL, 24/02 DONE PR PO, 23/02 MENUNGGU APPROVAL DRM, 22/2 menunggu material TIANG  18/02 MENUNGGU PR PO, 15/02 LANJUT PROGRESS"&amp;" INPUT MATERIAL, 13/02 PERIZINAN OKE, 10/02 PROSES PERIZINAN, 10/02 KONFIRM DARI WASPANG LANJUT DRM, 06/02 KONFIRM DR WASPANG, DROP. 03/02 DONE EVAL, BUTUH KONFIRM KE SALES KARENA ADA PERUBAHAN DESAIN, NILAI BOQ TURUN DAN BELUM PERIZINAN 03/02 DONE EVAL, "&amp;"BUTUH KONFIRM KE SALES KARENA ADA PERUBAHAN DESAIN, NILAI BOQ TURUN DAN BELUM PERIZINAN, (26/1) tim TIF belum bisa EVAL hasil anwijzing karena lagi diluar kota , estimasi 29 jan baru kembali ke Palembang(23/01) DONE AANWIDJZING, (21/01) menunggu antrian a"&amp;"anwizjing, (15/1) ORDER DITERIMA MITRA 14/1, plan Aanwijdzing 19 Jan (06/01)order JPP batch-2 2026 ((14/11)HOLD- tidak masuk target Optimis 2025 (14/11 masih penunjukkan mitra, 13/11 lop di tolak mitra, jadi masih penunjukkan mitra, 12/11 masih penunjukka"&amp;"n mitra, 11/11 masih penunjukkan mitra 05/11 menunggu Aanwijzing 23/10 penunjukan mitra
 14/01 penunjukan mitra oleh procurement")</f>
        <v>11/03 GOLIVE, 10/03 DONE SUBMIT ABD KE SDI, 09/03 MASIH KENDALA ONT RUSAK, 06/03 OGP VALINS - KENDALA ONT RUSAK, 05/03 DONE PEMASANGAN ODP, 04/03 SELESAI TANAM TIANG DAN PENARIKAN KABEL - MENUNGGU ANTRIAN PEKERJAAN, 02/02 MENUNGGU PEMASANGAN ODP, 28/2 belum mendapat Label ODP 27/02 SELESAI TANAM TIANG &amp; PENARIKAN KABEL, 26/02 progres penarikan kabel,  25/02 DONE RFC, OGP AMBIL MATERIAL, 24/02 DONE PR PO, 23/02 MENUNGGU APPROVAL DRM, 22/2 menunggu material TIANG  18/02 MENUNGGU PR PO, 15/02 LANJUT PROGRESS INPUT MATERIAL, 13/02 PERIZINAN OKE, 10/02 PROSES PERIZINAN, 10/02 KONFIRM DARI WASPANG LANJUT DRM, 06/02 KONFIRM DR WASPANG, DROP. 03/02 DONE EVAL, BUTUH KONFIRM KE SALES KARENA ADA PERUBAHAN DESAIN, NILAI BOQ TURUN DAN BELUM PERIZINAN 03/02 DONE EVAL, BUTUH KONFIRM KE SALES KARENA ADA PERUBAHAN DESAIN, NILAI BOQ TURUN DAN BELUM PERIZINAN, (26/1) tim TIF belum bisa EVAL hasil anwijzing karena lagi diluar kota , estimasi 29 jan baru kembali ke Palembang(23/01) DONE AANWIDJZING, (21/01) menunggu antrian aanwizjing, (15/1) ORDER DITERIMA MITRA 14/1, plan Aanwijdzing 19 Jan (06/01)order JPP batch-2 2026 ((14/11)HOLD- tidak masuk target Optimis 2025 (14/11 masih penunjukkan mitra, 13/11 lop di tolak mitra, jadi masih penunjukkan mitra, 12/11 masih penunjukkan mitra, 11/11 masih penunjukkan mitra 05/11 menunggu Aanwijzing 23/10 penunjukan mitra
 14/01 penunjukan mitra oleh procurement</v>
      </c>
      <c r="R1263" s="228">
        <f>IFERROR(__xludf.DUMMYFUNCTION("""COMPUTED_VALUE"""),46091.0)</f>
        <v>46091</v>
      </c>
      <c r="S1263" s="11" t="str">
        <f>IFERROR(__xludf.DUMMYFUNCTION("""COMPUTED_VALUE"""),"MAR")</f>
        <v>MAR</v>
      </c>
      <c r="T1263" s="11"/>
      <c r="U1263" s="11"/>
      <c r="V1263" s="229" t="str">
        <f>IFERROR(__xludf.DUMMYFUNCTION("""COMPUTED_VALUE"""),"ILHAM")</f>
        <v>ILHAM</v>
      </c>
      <c r="W1263" s="229"/>
      <c r="X1263" s="229" t="str">
        <f>IFERROR(__xludf.DUMMYFUNCTION("""COMPUTED_VALUE"""),"GOLIVE")</f>
        <v>GOLIVE</v>
      </c>
      <c r="Y1263" s="229" t="str">
        <f>IFERROR(__xludf.DUMMYFUNCTION("""COMPUTED_VALUE"""),"DONE")</f>
        <v>DONE</v>
      </c>
      <c r="Z1263" s="229" t="str">
        <f>IFERROR(__xludf.DUMMYFUNCTION("""COMPUTED_VALUE"""),"#N/A")</f>
        <v>#N/A</v>
      </c>
      <c r="AA1263" s="229">
        <f>IFERROR(__xludf.DUMMYFUNCTION("""COMPUTED_VALUE"""),6.0)</f>
        <v>6</v>
      </c>
      <c r="AB1263" s="229"/>
      <c r="AC1263" s="229" t="str">
        <f>IFERROR(__xludf.DUMMYFUNCTION("""COMPUTED_VALUE"""),"8971237#8971242")</f>
        <v>8971237#8971242</v>
      </c>
      <c r="AD1263" s="232">
        <f>IFERROR(__xludf.DUMMYFUNCTION("""COMPUTED_VALUE"""),48.0)</f>
        <v>48</v>
      </c>
      <c r="AE1263" s="233">
        <f>IFERROR(__xludf.DUMMYFUNCTION("""COMPUTED_VALUE"""),46091.0)</f>
        <v>46091</v>
      </c>
      <c r="AF1263" s="54"/>
      <c r="AG1263" s="54"/>
      <c r="AH1263" s="54">
        <v>46091.0</v>
      </c>
      <c r="AI1263" s="55">
        <f t="shared" si="135"/>
        <v>0</v>
      </c>
      <c r="AW1263" s="234"/>
      <c r="BP1263" s="11"/>
      <c r="BQ1263" s="11"/>
      <c r="BR1263" s="235"/>
      <c r="BV1263" s="158"/>
      <c r="BY1263" s="158"/>
      <c r="CB1263" s="158"/>
    </row>
    <row r="1264" ht="18.0" hidden="1" customHeight="1">
      <c r="A1264" s="222">
        <f>IFERROR(__xludf.DUMMYFUNCTION("""COMPUTED_VALUE"""),2026.0)</f>
        <v>2026</v>
      </c>
      <c r="B1264" s="221">
        <f>IFERROR(__xludf.DUMMYFUNCTION("""COMPUTED_VALUE"""),1.116271E7)</f>
        <v>11162710</v>
      </c>
      <c r="C1264" s="222" t="str">
        <f>IFERROR(__xludf.DUMMYFUNCTION("""COMPUTED_VALUE"""),"MDN PT3 P7I10 DLT-FB JL.PAMAH GG.BARU I")</f>
        <v>MDN PT3 P7I10 DLT-FB JL.PAMAH GG.BARU I</v>
      </c>
      <c r="D1264" s="222" t="str">
        <f>IFERROR(__xludf.DUMMYFUNCTION("""COMPUTED_VALUE"""),"REGIONAL I")</f>
        <v>REGIONAL I</v>
      </c>
      <c r="E1264" s="222" t="str">
        <f>IFERROR(__xludf.DUMMYFUNCTION("""COMPUTED_VALUE"""),"MEDAN")</f>
        <v>MEDAN</v>
      </c>
      <c r="F1264" s="222" t="str">
        <f>IFERROR(__xludf.DUMMYFUNCTION("""COMPUTED_VALUE"""),"DLT")</f>
        <v>DLT</v>
      </c>
      <c r="G1264" s="222" t="str">
        <f>IFERROR(__xludf.DUMMYFUNCTION("""COMPUTED_VALUE"""),"SUMBAGUT")</f>
        <v>SUMBAGUT</v>
      </c>
      <c r="H1264" s="222" t="str">
        <f>IFERROR(__xludf.DUMMYFUNCTION("""COMPUTED_VALUE"""),"MEDAN")</f>
        <v>MEDAN</v>
      </c>
      <c r="I1264" s="222" t="str">
        <f>IFERROR(__xludf.DUMMYFUNCTION("""COMPUTED_VALUE"""),"Batch 2")</f>
        <v>Batch 2</v>
      </c>
      <c r="J1264" s="225">
        <f>IFERROR(__xludf.DUMMYFUNCTION("""COMPUTED_VALUE"""),3.0)</f>
        <v>3</v>
      </c>
      <c r="K1264" s="224">
        <f>IFERROR(__xludf.DUMMYFUNCTION("""COMPUTED_VALUE"""),24.0)</f>
        <v>24</v>
      </c>
      <c r="L1264" s="226">
        <f>IFERROR(__xludf.DUMMYFUNCTION("""COMPUTED_VALUE"""),1143581.0)</f>
        <v>1143581</v>
      </c>
      <c r="M1264" s="227">
        <f>IFERROR(__xludf.DUMMYFUNCTION("""COMPUTED_VALUE"""),2.7445938E7)</f>
        <v>27445938</v>
      </c>
      <c r="N1264" s="222" t="str">
        <f>IFERROR(__xludf.DUMMYFUNCTION("""COMPUTED_VALUE"""),"PT SALTTEK DUMPANG JAYA")</f>
        <v>PT SALTTEK DUMPANG JAYA</v>
      </c>
      <c r="O1264" s="222" t="str">
        <f>IFERROR(__xludf.DUMMYFUNCTION("""COMPUTED_VALUE"""),"0. DROP")</f>
        <v>0. DROP</v>
      </c>
      <c r="P1264" s="222" t="str">
        <f>IFERROR(__xludf.DUMMYFUNCTION("""COMPUTED_VALUE"""),"0.2 Tidak Dapat Izin Warga/Kades/Lurah/Developer")</f>
        <v>0.2 Tidak Dapat Izin Warga/Kades/Lurah/Developer</v>
      </c>
      <c r="Q1264" s="222" t="str">
        <f>IFERROR(__xludf.DUMMYFUNCTION("""COMPUTED_VALUE"""),"05/02 KADES angkat tangan perihal perizinan")</f>
        <v>05/02 KADES angkat tangan perihal perizinan</v>
      </c>
      <c r="R1264" s="228"/>
      <c r="S1264" s="11"/>
      <c r="T1264" s="11"/>
      <c r="U1264" s="11"/>
      <c r="V1264" s="229"/>
      <c r="W1264" s="229"/>
      <c r="X1264" s="229" t="str">
        <f>IFERROR(__xludf.DUMMYFUNCTION("""COMPUTED_VALUE"""),"BELUM GOLIVE")</f>
        <v>BELUM GOLIVE</v>
      </c>
      <c r="Y1264" s="229"/>
      <c r="Z1264" s="229" t="str">
        <f>IFERROR(__xludf.DUMMYFUNCTION("""COMPUTED_VALUE"""),"#N/A")</f>
        <v>#N/A</v>
      </c>
      <c r="AA1264" s="229"/>
      <c r="AB1264" s="229"/>
      <c r="AC1264" s="229"/>
      <c r="AD1264" s="232"/>
      <c r="AE1264" s="233"/>
      <c r="AF1264" s="54" t="str">
        <f>IFERROR(__xludf.DUMMYFUNCTION("""COMPUTED_VALUE"""),"Draft BA DROP")</f>
        <v>Draft BA DROP</v>
      </c>
      <c r="AG1264" s="54"/>
      <c r="AH1264" s="54">
        <v>46132.0</v>
      </c>
      <c r="AI1264" s="237">
        <f>AH1264-NOW()</f>
        <v>-8.377989919</v>
      </c>
      <c r="AJ1264" s="229" t="str">
        <f t="shared" ref="AJ1264:AJ1265" si="136">if(AI1264&gt;=0,"In Komitmen","Out Komitmen")</f>
        <v>Out Komitmen</v>
      </c>
      <c r="AK1264" s="229" t="s">
        <v>199</v>
      </c>
      <c r="AW1264" s="234"/>
      <c r="BP1264" s="11"/>
      <c r="BQ1264" s="11"/>
      <c r="BR1264" s="235"/>
      <c r="BV1264" s="158"/>
      <c r="BY1264" s="158"/>
      <c r="CB1264" s="158"/>
    </row>
    <row r="1265" ht="18.0" customHeight="1">
      <c r="A1265" s="222">
        <f>IFERROR(__xludf.DUMMYFUNCTION("""COMPUTED_VALUE"""),2026.0)</f>
        <v>2026</v>
      </c>
      <c r="B1265" s="221">
        <f>IFERROR(__xludf.DUMMYFUNCTION("""COMPUTED_VALUE"""),1.1539784E7)</f>
        <v>11539784</v>
      </c>
      <c r="C1265" s="222" t="str">
        <f>IFERROR(__xludf.DUMMYFUNCTION("""COMPUTED_VALUE"""),"RKP PT3 TSEL LBJ-FBS BENGKONG ASRAMA")</f>
        <v>RKP PT3 TSEL LBJ-FBS BENGKONG ASRAMA</v>
      </c>
      <c r="D1265" s="222" t="str">
        <f>IFERROR(__xludf.DUMMYFUNCTION("""COMPUTED_VALUE"""),"REGIONAL I")</f>
        <v>REGIONAL I</v>
      </c>
      <c r="E1265" s="222" t="str">
        <f>IFERROR(__xludf.DUMMYFUNCTION("""COMPUTED_VALUE"""),"RIKEP")</f>
        <v>RIKEP</v>
      </c>
      <c r="F1265" s="222" t="str">
        <f>IFERROR(__xludf.DUMMYFUNCTION("""COMPUTED_VALUE"""),"LBJ")</f>
        <v>LBJ</v>
      </c>
      <c r="G1265" s="222" t="str">
        <f>IFERROR(__xludf.DUMMYFUNCTION("""COMPUTED_VALUE"""),"SUMBAGTENG")</f>
        <v>SUMBAGTENG</v>
      </c>
      <c r="H1265" s="222" t="str">
        <f>IFERROR(__xludf.DUMMYFUNCTION("""COMPUTED_VALUE"""),"BATAM")</f>
        <v>BATAM</v>
      </c>
      <c r="I1265" s="222" t="str">
        <f>IFERROR(__xludf.DUMMYFUNCTION("""COMPUTED_VALUE"""),"Batch 2")</f>
        <v>Batch 2</v>
      </c>
      <c r="J1265" s="225">
        <f>IFERROR(__xludf.DUMMYFUNCTION("""COMPUTED_VALUE"""),4.0)</f>
        <v>4</v>
      </c>
      <c r="K1265" s="224">
        <f>IFERROR(__xludf.DUMMYFUNCTION("""COMPUTED_VALUE"""),32.0)</f>
        <v>32</v>
      </c>
      <c r="L1265" s="226">
        <f>IFERROR(__xludf.DUMMYFUNCTION("""COMPUTED_VALUE"""),800852.0)</f>
        <v>800852</v>
      </c>
      <c r="M1265" s="227">
        <f>IFERROR(__xludf.DUMMYFUNCTION("""COMPUTED_VALUE"""),2.5627234E7)</f>
        <v>25627234</v>
      </c>
      <c r="N1265" s="222" t="str">
        <f>IFERROR(__xludf.DUMMYFUNCTION("""COMPUTED_VALUE"""),"PT HDUA PUTRA PRAJODA")</f>
        <v>PT HDUA PUTRA PRAJODA</v>
      </c>
      <c r="O1265" s="222" t="str">
        <f>IFERROR(__xludf.DUMMYFUNCTION("""COMPUTED_VALUE"""),"4. MATDEL")</f>
        <v>4. MATDEL</v>
      </c>
      <c r="P1265" s="222" t="str">
        <f>IFERROR(__xludf.DUMMYFUNCTION("""COMPUTED_VALUE"""),"4.3 Proses Kirim Mateial Kelokasi")</f>
        <v>4.3 Proses Kirim Mateial Kelokasi</v>
      </c>
      <c r="Q1265" s="222" t="str">
        <f>IFERROR(__xludf.DUMMYFUNCTION("""COMPUTED_VALUE"""),"20/04 Tim serial masih mengerjakan LOP Lain. feeder  dan dist redting
13/04 tim serial masih mengerjakan LOP lain. 06/04 Plan progres tanggal 13 april, plan GL 18 April.  31/03 OGP pengecekan core feeder, izin OK. plan selesai pengecekan di hari rabu tang"&amp;"gal 01 april. 27/03 MP mitra cuma ada 1 serial masih mengerjakan LOP lain / tematik lain. 05/03 perizinan oke plan pekerjaan di mulai tgl 11/03 
16/02 Izin OK, permintaan perapihan DC. 11/02 Peralihan mitra. 28/01 Plan survey 29 Jan. 28/01 Mitra tripola b"&amp;"elum ada PIC untuk anwijzing. 23/01 Plan anwijzing 26 Jan, pic mitra ada pertanggal 25 jan. 21/01 proses penunjukan mitra 
")</f>
        <v>20/04 Tim serial masih mengerjakan LOP Lain. feeder  dan dist redting
13/04 tim serial masih mengerjakan LOP lain. 06/04 Plan progres tanggal 13 april, plan GL 18 April.  31/03 OGP pengecekan core feeder, izin OK. plan selesai pengecekan di hari rabu tanggal 01 april. 27/03 MP mitra cuma ada 1 serial masih mengerjakan LOP lain / tematik lain. 05/03 perizinan oke plan pekerjaan di mulai tgl 11/03 
16/02 Izin OK, permintaan perapihan DC. 11/02 Peralihan mitra. 28/01 Plan survey 29 Jan. 28/01 Mitra tripola belum ada PIC untuk anwijzing. 23/01 Plan anwijzing 26 Jan, pic mitra ada pertanggal 25 jan. 21/01 proses penunjukan mitra 
</v>
      </c>
      <c r="R1265" s="228">
        <f>IFERROR(__xludf.DUMMYFUNCTION("""COMPUTED_VALUE"""),46142.0)</f>
        <v>46142</v>
      </c>
      <c r="S1265" s="11"/>
      <c r="T1265" s="73"/>
      <c r="U1265" s="11" t="str">
        <f>IFERROR(__xludf.DUMMYFUNCTION("""COMPUTED_VALUE"""),"W09-165/2026")</f>
        <v>W09-165/2026</v>
      </c>
      <c r="V1265" s="229" t="str">
        <f>IFERROR(__xludf.DUMMYFUNCTION("""COMPUTED_VALUE"""),"RONALDO LEO INFANTRI")</f>
        <v>RONALDO LEO INFANTRI</v>
      </c>
      <c r="W1265" s="229" t="str">
        <f>IFERROR(__xludf.DUMMYFUNCTION("""COMPUTED_VALUE"""),"LEVITA INDRIYANI")</f>
        <v>LEVITA INDRIYANI</v>
      </c>
      <c r="X1265" s="229" t="str">
        <f>IFERROR(__xludf.DUMMYFUNCTION("""COMPUTED_VALUE"""),"BELUM GOLIVE")</f>
        <v>BELUM GOLIVE</v>
      </c>
      <c r="Y1265" s="229"/>
      <c r="Z1265" s="229" t="str">
        <f>IFERROR(__xludf.DUMMYFUNCTION("""COMPUTED_VALUE"""),"#N/A")</f>
        <v>#N/A</v>
      </c>
      <c r="AA1265" s="229"/>
      <c r="AB1265" s="229"/>
      <c r="AC1265" s="229"/>
      <c r="AD1265" s="232"/>
      <c r="AE1265" s="233"/>
      <c r="AF1265" s="54"/>
      <c r="AG1265" s="54"/>
      <c r="AH1265" s="54">
        <v>46132.0</v>
      </c>
      <c r="AI1265" s="55">
        <f>AH1265-TODAY()</f>
        <v>-8</v>
      </c>
      <c r="AJ1265" s="229" t="str">
        <f t="shared" si="136"/>
        <v>Out Komitmen</v>
      </c>
      <c r="AK1265" s="231" t="s">
        <v>199</v>
      </c>
      <c r="AW1265" s="234"/>
      <c r="BP1265" s="11"/>
      <c r="BQ1265" s="11"/>
      <c r="BR1265" s="235"/>
      <c r="BV1265" s="158"/>
      <c r="BY1265" s="158"/>
      <c r="CB1265" s="158"/>
    </row>
    <row r="1266" ht="18.0" hidden="1" customHeight="1">
      <c r="A1266" s="222">
        <f>IFERROR(__xludf.DUMMYFUNCTION("""COMPUTED_VALUE"""),2026.0)</f>
        <v>2026</v>
      </c>
      <c r="B1266" s="221">
        <f>IFERROR(__xludf.DUMMYFUNCTION("""COMPUTED_VALUE"""),1.2313738E7)</f>
        <v>12313738</v>
      </c>
      <c r="C1266" s="222" t="str">
        <f>IFERROR(__xludf.DUMMYFUNCTION("""COMPUTED_VALUE"""),"SMS PT3 SPP FAB D05 PERUM CENDRAWASIH")</f>
        <v>SMS PT3 SPP FAB D05 PERUM CENDRAWASIH</v>
      </c>
      <c r="D1266" s="222" t="str">
        <f>IFERROR(__xludf.DUMMYFUNCTION("""COMPUTED_VALUE"""),"REGIONAL I")</f>
        <v>REGIONAL I</v>
      </c>
      <c r="E1266" s="222" t="str">
        <f>IFERROR(__xludf.DUMMYFUNCTION("""COMPUTED_VALUE"""),"SUMSEL")</f>
        <v>SUMSEL</v>
      </c>
      <c r="F1266" s="222" t="str">
        <f>IFERROR(__xludf.DUMMYFUNCTION("""COMPUTED_VALUE"""),"SPP")</f>
        <v>SPP</v>
      </c>
      <c r="G1266" s="222" t="str">
        <f>IFERROR(__xludf.DUMMYFUNCTION("""COMPUTED_VALUE"""),"SUMBAGSEL")</f>
        <v>SUMBAGSEL</v>
      </c>
      <c r="H1266" s="222" t="str">
        <f>IFERROR(__xludf.DUMMYFUNCTION("""COMPUTED_VALUE"""),"BENGKULU")</f>
        <v>BENGKULU</v>
      </c>
      <c r="I1266" s="222" t="str">
        <f>IFERROR(__xludf.DUMMYFUNCTION("""COMPUTED_VALUE"""),"Batch 2")</f>
        <v>Batch 2</v>
      </c>
      <c r="J1266" s="225">
        <f>IFERROR(__xludf.DUMMYFUNCTION("""COMPUTED_VALUE"""),4.0)</f>
        <v>4</v>
      </c>
      <c r="K1266" s="224">
        <f>IFERROR(__xludf.DUMMYFUNCTION("""COMPUTED_VALUE"""),32.0)</f>
        <v>32</v>
      </c>
      <c r="L1266" s="226">
        <f>IFERROR(__xludf.DUMMYFUNCTION("""COMPUTED_VALUE"""),798304.0)</f>
        <v>798304</v>
      </c>
      <c r="M1266" s="227">
        <f>IFERROR(__xludf.DUMMYFUNCTION("""COMPUTED_VALUE"""),2.55457E7)</f>
        <v>25545700</v>
      </c>
      <c r="N1266" s="222" t="str">
        <f>IFERROR(__xludf.DUMMYFUNCTION("""COMPUTED_VALUE"""),"PT HAN SUNG INDONESIA")</f>
        <v>PT HAN SUNG INDONESIA</v>
      </c>
      <c r="O1266" s="222" t="str">
        <f>IFERROR(__xludf.DUMMYFUNCTION("""COMPUTED_VALUE"""),"8. UJI TERIMA")</f>
        <v>8. UJI TERIMA</v>
      </c>
      <c r="P1266" s="222" t="str">
        <f>IFERROR(__xludf.DUMMYFUNCTION("""COMPUTED_VALUE"""),"8.1 Proses UT")</f>
        <v>8.1 Proses UT</v>
      </c>
      <c r="Q1266" s="222" t="str">
        <f>IFERROR(__xludf.DUMMYFUNCTION("""COMPUTED_VALUE"""),"(21/01) GOLIVE tgl 19/01, (07/01) Persiapan, (06/01)order JPP batch-2 2026 ((24/11) Tarik Kabel 24, 1000/1670 sisa 670  (19/11)PROSES PR PO, (14/11)PROSES PR PO(09/11) update kml anwijzing (23/10) penunjukan mitra")</f>
        <v>(21/01) GOLIVE tgl 19/01, (07/01) Persiapan, (06/01)order JPP batch-2 2026 ((24/11) Tarik Kabel 24, 1000/1670 sisa 670  (19/11)PROSES PR PO, (14/11)PROSES PR PO(09/11) update kml anwijzing (23/10) penunjukan mitra</v>
      </c>
      <c r="R1266" s="228"/>
      <c r="S1266" s="11"/>
      <c r="T1266" s="11"/>
      <c r="U1266" s="11"/>
      <c r="V1266" s="229" t="str">
        <f>IFERROR(__xludf.DUMMYFUNCTION("""COMPUTED_VALUE"""),"PUTRA")</f>
        <v>PUTRA</v>
      </c>
      <c r="W1266" s="229"/>
      <c r="X1266" s="229" t="str">
        <f>IFERROR(__xludf.DUMMYFUNCTION("""COMPUTED_VALUE"""),"GOLIVE")</f>
        <v>GOLIVE</v>
      </c>
      <c r="Y1266" s="229" t="str">
        <f>IFERROR(__xludf.DUMMYFUNCTION("""COMPUTED_VALUE"""),"DONE")</f>
        <v>DONE</v>
      </c>
      <c r="Z1266" s="229" t="str">
        <f>IFERROR(__xludf.DUMMYFUNCTION("""COMPUTED_VALUE"""),"#N/A")</f>
        <v>#N/A</v>
      </c>
      <c r="AA1266" s="229">
        <f>IFERROR(__xludf.DUMMYFUNCTION("""COMPUTED_VALUE"""),4.0)</f>
        <v>4</v>
      </c>
      <c r="AB1266" s="229"/>
      <c r="AC1266" s="229" t="str">
        <f>IFERROR(__xludf.DUMMYFUNCTION("""COMPUTED_VALUE"""),"8523800#8523805")</f>
        <v>8523800#8523805</v>
      </c>
      <c r="AD1266" s="232">
        <f>IFERROR(__xludf.DUMMYFUNCTION("""COMPUTED_VALUE"""),32.0)</f>
        <v>32</v>
      </c>
      <c r="AE1266" s="233">
        <f>IFERROR(__xludf.DUMMYFUNCTION("""COMPUTED_VALUE"""),46036.0)</f>
        <v>46036</v>
      </c>
      <c r="AF1266" s="54"/>
      <c r="AG1266" s="54"/>
      <c r="AH1266" s="54"/>
      <c r="AI1266" s="55" t="str">
        <f>IF(OR(R1266="",AE1266=""),"",R1266-AE1266)</f>
        <v/>
      </c>
      <c r="AW1266" s="234"/>
      <c r="BP1266" s="11"/>
      <c r="BQ1266" s="11"/>
      <c r="BR1266" s="235"/>
      <c r="BV1266" s="158"/>
      <c r="BY1266" s="158"/>
      <c r="CB1266" s="158"/>
    </row>
    <row r="1267" ht="18.0" hidden="1" customHeight="1">
      <c r="A1267" s="222">
        <f>IFERROR(__xludf.DUMMYFUNCTION("""COMPUTED_VALUE"""),2026.0)</f>
        <v>2026</v>
      </c>
      <c r="B1267" s="221">
        <f>IFERROR(__xludf.DUMMYFUNCTION("""COMPUTED_VALUE"""),1.1350246E7)</f>
        <v>11350246</v>
      </c>
      <c r="C1267" s="222" t="str">
        <f>IFERROR(__xludf.DUMMYFUNCTION("""COMPUTED_VALUE"""),"MDN PT3 P7I9 BJI-FYA JL.SEKOP")</f>
        <v>MDN PT3 P7I9 BJI-FYA JL.SEKOP</v>
      </c>
      <c r="D1267" s="222" t="str">
        <f>IFERROR(__xludf.DUMMYFUNCTION("""COMPUTED_VALUE"""),"REGIONAL I")</f>
        <v>REGIONAL I</v>
      </c>
      <c r="E1267" s="222" t="str">
        <f>IFERROR(__xludf.DUMMYFUNCTION("""COMPUTED_VALUE"""),"MEDAN")</f>
        <v>MEDAN</v>
      </c>
      <c r="F1267" s="222" t="str">
        <f>IFERROR(__xludf.DUMMYFUNCTION("""COMPUTED_VALUE"""),"BJI")</f>
        <v>BJI</v>
      </c>
      <c r="G1267" s="222" t="str">
        <f>IFERROR(__xludf.DUMMYFUNCTION("""COMPUTED_VALUE"""),"SUMBAGUT")</f>
        <v>SUMBAGUT</v>
      </c>
      <c r="H1267" s="222" t="str">
        <f>IFERROR(__xludf.DUMMYFUNCTION("""COMPUTED_VALUE"""),"BINJAI")</f>
        <v>BINJAI</v>
      </c>
      <c r="I1267" s="222" t="str">
        <f>IFERROR(__xludf.DUMMYFUNCTION("""COMPUTED_VALUE"""),"Batch 2")</f>
        <v>Batch 2</v>
      </c>
      <c r="J1267" s="225">
        <f>IFERROR(__xludf.DUMMYFUNCTION("""COMPUTED_VALUE"""),4.0)</f>
        <v>4</v>
      </c>
      <c r="K1267" s="224">
        <f>IFERROR(__xludf.DUMMYFUNCTION("""COMPUTED_VALUE"""),32.0)</f>
        <v>32</v>
      </c>
      <c r="L1267" s="226">
        <f>IFERROR(__xludf.DUMMYFUNCTION("""COMPUTED_VALUE"""),984447.0)</f>
        <v>984447</v>
      </c>
      <c r="M1267" s="227">
        <f>IFERROR(__xludf.DUMMYFUNCTION("""COMPUTED_VALUE"""),3.1502277E7)</f>
        <v>31502277</v>
      </c>
      <c r="N1267" s="222" t="str">
        <f>IFERROR(__xludf.DUMMYFUNCTION("""COMPUTED_VALUE"""),"PT ALAM UTAMA MULIA")</f>
        <v>PT ALAM UTAMA MULIA</v>
      </c>
      <c r="O1267" s="222" t="str">
        <f>IFERROR(__xludf.DUMMYFUNCTION("""COMPUTED_VALUE"""),"0. DROP")</f>
        <v>0. DROP</v>
      </c>
      <c r="P1267" s="222" t="str">
        <f>IFERROR(__xludf.DUMMYFUNCTION("""COMPUTED_VALUE"""),"0.2 Tidak Dapat Izin Warga/Kades/Lurah/Developer")</f>
        <v>0.2 Tidak Dapat Izin Warga/Kades/Lurah/Developer</v>
      </c>
      <c r="Q1267" s="222" t="str">
        <f>IFERROR(__xludf.DUMMYFUNCTION("""COMPUTED_VALUE"""),"12/10 comcase terlalu besar 5jt 
07/10 pengecekan core idle feeder ready
08/09 order mitra")</f>
        <v>12/10 comcase terlalu besar 5jt 
07/10 pengecekan core idle feeder ready
08/09 order mitra</v>
      </c>
      <c r="R1267" s="228"/>
      <c r="S1267" s="11"/>
      <c r="T1267" s="11"/>
      <c r="U1267" s="11"/>
      <c r="V1267" s="229"/>
      <c r="W1267" s="229"/>
      <c r="X1267" s="229" t="str">
        <f>IFERROR(__xludf.DUMMYFUNCTION("""COMPUTED_VALUE"""),"BELUM GOLIVE")</f>
        <v>BELUM GOLIVE</v>
      </c>
      <c r="Y1267" s="229"/>
      <c r="Z1267" s="229" t="str">
        <f>IFERROR(__xludf.DUMMYFUNCTION("""COMPUTED_VALUE"""),"#N/A")</f>
        <v>#N/A</v>
      </c>
      <c r="AA1267" s="229"/>
      <c r="AB1267" s="229"/>
      <c r="AC1267" s="229"/>
      <c r="AD1267" s="232"/>
      <c r="AE1267" s="233"/>
      <c r="AF1267" s="54" t="str">
        <f>IFERROR(__xludf.DUMMYFUNCTION("""COMPUTED_VALUE"""),"Draft BA DROP")</f>
        <v>Draft BA DROP</v>
      </c>
      <c r="AG1267" s="54"/>
      <c r="AH1267" s="54">
        <v>46137.0</v>
      </c>
      <c r="AI1267" s="237">
        <f>AH1267-NOW()</f>
        <v>-3.377989919</v>
      </c>
      <c r="AJ1267" s="229" t="str">
        <f>if(AI1267&gt;=0,"In Komitmen","Out Komitmen")</f>
        <v>Out Komitmen</v>
      </c>
      <c r="AK1267" s="229" t="e">
        <v>#N/A</v>
      </c>
      <c r="AW1267" s="234"/>
      <c r="BP1267" s="11"/>
      <c r="BQ1267" s="11"/>
      <c r="BR1267" s="235"/>
      <c r="BV1267" s="158"/>
      <c r="BY1267" s="158"/>
      <c r="CB1267" s="158"/>
    </row>
    <row r="1268" ht="18.0" customHeight="1">
      <c r="A1268" s="222">
        <f>IFERROR(__xludf.DUMMYFUNCTION("""COMPUTED_VALUE"""),2026.0)</f>
        <v>2026</v>
      </c>
      <c r="B1268" s="221">
        <f>IFERROR(__xludf.DUMMYFUNCTION("""COMPUTED_VALUE"""),1.1365054E7)</f>
        <v>11365054</v>
      </c>
      <c r="C1268" s="222" t="str">
        <f>IFERROR(__xludf.DUMMYFUNCTION("""COMPUTED_VALUE"""),"RKP PT3 TSEL DBS-FAF DABO BATU BERDAUN")</f>
        <v>RKP PT3 TSEL DBS-FAF DABO BATU BERDAUN</v>
      </c>
      <c r="D1268" s="222" t="str">
        <f>IFERROR(__xludf.DUMMYFUNCTION("""COMPUTED_VALUE"""),"REGIONAL I")</f>
        <v>REGIONAL I</v>
      </c>
      <c r="E1268" s="222" t="str">
        <f>IFERROR(__xludf.DUMMYFUNCTION("""COMPUTED_VALUE"""),"RIKEP")</f>
        <v>RIKEP</v>
      </c>
      <c r="F1268" s="222" t="str">
        <f>IFERROR(__xludf.DUMMYFUNCTION("""COMPUTED_VALUE"""),"DBS")</f>
        <v>DBS</v>
      </c>
      <c r="G1268" s="222" t="str">
        <f>IFERROR(__xludf.DUMMYFUNCTION("""COMPUTED_VALUE"""),"SUMBAGTENG")</f>
        <v>SUMBAGTENG</v>
      </c>
      <c r="H1268" s="222" t="str">
        <f>IFERROR(__xludf.DUMMYFUNCTION("""COMPUTED_VALUE"""),"BATAM")</f>
        <v>BATAM</v>
      </c>
      <c r="I1268" s="222" t="str">
        <f>IFERROR(__xludf.DUMMYFUNCTION("""COMPUTED_VALUE"""),"Batch 2")</f>
        <v>Batch 2</v>
      </c>
      <c r="J1268" s="225">
        <f>IFERROR(__xludf.DUMMYFUNCTION("""COMPUTED_VALUE"""),2.0)</f>
        <v>2</v>
      </c>
      <c r="K1268" s="224">
        <f>IFERROR(__xludf.DUMMYFUNCTION("""COMPUTED_VALUE"""),16.0)</f>
        <v>16</v>
      </c>
      <c r="L1268" s="226">
        <f>IFERROR(__xludf.DUMMYFUNCTION("""COMPUTED_VALUE"""),797025.0)</f>
        <v>797025</v>
      </c>
      <c r="M1268" s="227">
        <f>IFERROR(__xludf.DUMMYFUNCTION("""COMPUTED_VALUE"""),1.2752395E7)</f>
        <v>12752395</v>
      </c>
      <c r="N1268" s="222" t="str">
        <f>IFERROR(__xludf.DUMMYFUNCTION("""COMPUTED_VALUE"""),"SWAKELOLA")</f>
        <v>SWAKELOLA</v>
      </c>
      <c r="O1268" s="222" t="str">
        <f>IFERROR(__xludf.DUMMYFUNCTION("""COMPUTED_VALUE"""),"4. MATDEL")</f>
        <v>4. MATDEL</v>
      </c>
      <c r="P1268" s="222" t="str">
        <f>IFERROR(__xludf.DUMMYFUNCTION("""COMPUTED_VALUE"""),"4.3 Proses Kirim Mateial Kelokasi")</f>
        <v>4.3 Proses Kirim Mateial Kelokasi</v>
      </c>
      <c r="Q1268"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268" s="228"/>
      <c r="S1268" s="11"/>
      <c r="T1268" s="11"/>
      <c r="U1268" s="11" t="str">
        <f>IFERROR(__xludf.DUMMYFUNCTION("""COMPUTED_VALUE"""),"W09-296/2026")</f>
        <v>W09-296/2026</v>
      </c>
      <c r="V1268" s="229" t="str">
        <f>IFERROR(__xludf.DUMMYFUNCTION("""COMPUTED_VALUE"""),"DEDY IRAWAN")</f>
        <v>DEDY IRAWAN</v>
      </c>
      <c r="W1268" s="229" t="str">
        <f>IFERROR(__xludf.DUMMYFUNCTION("""COMPUTED_VALUE"""),"LEVITA INDRIYANI")</f>
        <v>LEVITA INDRIYANI</v>
      </c>
      <c r="X1268" s="229" t="str">
        <f>IFERROR(__xludf.DUMMYFUNCTION("""COMPUTED_VALUE"""),"BELUM GOLIVE")</f>
        <v>BELUM GOLIVE</v>
      </c>
      <c r="Y1268" s="229"/>
      <c r="Z1268" s="229" t="str">
        <f>IFERROR(__xludf.DUMMYFUNCTION("""COMPUTED_VALUE"""),"#N/A")</f>
        <v>#N/A</v>
      </c>
      <c r="AA1268" s="229"/>
      <c r="AB1268" s="229"/>
      <c r="AC1268" s="229"/>
      <c r="AD1268" s="232"/>
      <c r="AE1268" s="233"/>
      <c r="AF1268" s="54"/>
      <c r="AG1268" s="54"/>
      <c r="AH1268" s="54"/>
      <c r="AI1268" s="55" t="str">
        <f t="shared" ref="AI1268:AI1279" si="137">IF(OR(R1268="",AE1268=""),"",R1268-AE1268)</f>
        <v/>
      </c>
      <c r="AW1268" s="234"/>
      <c r="BP1268" s="11"/>
      <c r="BQ1268" s="11"/>
      <c r="BR1268" s="235"/>
      <c r="BV1268" s="158"/>
      <c r="BY1268" s="158"/>
      <c r="CB1268" s="158"/>
    </row>
    <row r="1269" ht="18.0" hidden="1" customHeight="1">
      <c r="A1269" s="222">
        <f>IFERROR(__xludf.DUMMYFUNCTION("""COMPUTED_VALUE"""),2026.0)</f>
        <v>2026</v>
      </c>
      <c r="B1269" s="221">
        <f>IFERROR(__xludf.DUMMYFUNCTION("""COMPUTED_VALUE"""),1.1237185E7)</f>
        <v>11237185</v>
      </c>
      <c r="C1269" s="222" t="str">
        <f>IFERROR(__xludf.DUMMYFUNCTION("""COMPUTED_VALUE"""),"MDN PT3 P7I13 DLT-FF GG.AKASIA")</f>
        <v>MDN PT3 P7I13 DLT-FF GG.AKASIA</v>
      </c>
      <c r="D1269" s="222" t="str">
        <f>IFERROR(__xludf.DUMMYFUNCTION("""COMPUTED_VALUE"""),"REGIONAL I")</f>
        <v>REGIONAL I</v>
      </c>
      <c r="E1269" s="222" t="str">
        <f>IFERROR(__xludf.DUMMYFUNCTION("""COMPUTED_VALUE"""),"MEDAN")</f>
        <v>MEDAN</v>
      </c>
      <c r="F1269" s="222" t="str">
        <f>IFERROR(__xludf.DUMMYFUNCTION("""COMPUTED_VALUE"""),"DLT")</f>
        <v>DLT</v>
      </c>
      <c r="G1269" s="222" t="str">
        <f>IFERROR(__xludf.DUMMYFUNCTION("""COMPUTED_VALUE"""),"SUMBAGUT")</f>
        <v>SUMBAGUT</v>
      </c>
      <c r="H1269" s="222" t="str">
        <f>IFERROR(__xludf.DUMMYFUNCTION("""COMPUTED_VALUE"""),"MEDAN")</f>
        <v>MEDAN</v>
      </c>
      <c r="I1269" s="222" t="str">
        <f>IFERROR(__xludf.DUMMYFUNCTION("""COMPUTED_VALUE"""),"Batch 2")</f>
        <v>Batch 2</v>
      </c>
      <c r="J1269" s="225">
        <f>IFERROR(__xludf.DUMMYFUNCTION("""COMPUTED_VALUE"""),3.0)</f>
        <v>3</v>
      </c>
      <c r="K1269" s="224">
        <f>IFERROR(__xludf.DUMMYFUNCTION("""COMPUTED_VALUE"""),24.0)</f>
        <v>24</v>
      </c>
      <c r="L1269" s="226">
        <f>IFERROR(__xludf.DUMMYFUNCTION("""COMPUTED_VALUE"""),1063138.0)</f>
        <v>1063138</v>
      </c>
      <c r="M1269" s="227">
        <f>IFERROR(__xludf.DUMMYFUNCTION("""COMPUTED_VALUE"""),2.5515294E7)</f>
        <v>25515294</v>
      </c>
      <c r="N1269" s="222" t="str">
        <f>IFERROR(__xludf.DUMMYFUNCTION("""COMPUTED_VALUE"""),"PT UPENTEL INTERNASIONAL")</f>
        <v>PT UPENTEL INTERNASIONAL</v>
      </c>
      <c r="O1269" s="222" t="str">
        <f>IFERROR(__xludf.DUMMYFUNCTION("""COMPUTED_VALUE"""),"0. DROP")</f>
        <v>0. DROP</v>
      </c>
      <c r="P1269" s="222" t="str">
        <f>IFERROR(__xludf.DUMMYFUNCTION("""COMPUTED_VALUE"""),"0.2 Tidak Dapat Izin Warga/Kades/Lurah/Developer")</f>
        <v>0.2 Tidak Dapat Izin Warga/Kades/Lurah/Developer</v>
      </c>
      <c r="Q1269" s="222" t="str">
        <f>IFERROR(__xludf.DUMMYFUNCTION("""COMPUTED_VALUE"""),"11/02 Update Mitra DS Tidak Tembus dan Tidak ada Space Tanam Tiang menunggu eviden 07/02 Done Order, Lnjut Aanwidzing")</f>
        <v>11/02 Update Mitra DS Tidak Tembus dan Tidak ada Space Tanam Tiang menunggu eviden 07/02 Done Order, Lnjut Aanwidzing</v>
      </c>
      <c r="R1269" s="228"/>
      <c r="S1269" s="11"/>
      <c r="T1269" s="11"/>
      <c r="U1269" s="11"/>
      <c r="V1269" s="229"/>
      <c r="W1269" s="229"/>
      <c r="X1269" s="229" t="str">
        <f>IFERROR(__xludf.DUMMYFUNCTION("""COMPUTED_VALUE"""),"BELUM GOLIVE")</f>
        <v>BELUM GOLIVE</v>
      </c>
      <c r="Y1269" s="229"/>
      <c r="Z1269" s="229" t="str">
        <f>IFERROR(__xludf.DUMMYFUNCTION("""COMPUTED_VALUE"""),"#N/A")</f>
        <v>#N/A</v>
      </c>
      <c r="AA1269" s="229"/>
      <c r="AB1269" s="229"/>
      <c r="AC1269" s="229"/>
      <c r="AD1269" s="232"/>
      <c r="AE1269" s="233"/>
      <c r="AF1269" s="54" t="str">
        <f>IFERROR(__xludf.DUMMYFUNCTION("""COMPUTED_VALUE"""),"Draft BA DROP")</f>
        <v>Draft BA DROP</v>
      </c>
      <c r="AG1269" s="54"/>
      <c r="AH1269" s="54"/>
      <c r="AI1269" s="55" t="str">
        <f t="shared" si="137"/>
        <v/>
      </c>
      <c r="AW1269" s="234"/>
      <c r="BP1269" s="11"/>
      <c r="BQ1269" s="11"/>
      <c r="BR1269" s="235"/>
      <c r="BV1269" s="158"/>
      <c r="BY1269" s="158"/>
      <c r="CB1269" s="158"/>
    </row>
    <row r="1270" ht="18.0" hidden="1" customHeight="1">
      <c r="A1270" s="222">
        <f>IFERROR(__xludf.DUMMYFUNCTION("""COMPUTED_VALUE"""),2026.0)</f>
        <v>2026</v>
      </c>
      <c r="B1270" s="221">
        <f>IFERROR(__xludf.DUMMYFUNCTION("""COMPUTED_VALUE"""),1.2093507E7)</f>
        <v>12093507</v>
      </c>
      <c r="C1270" s="222" t="str">
        <f>IFERROR(__xludf.DUMMYFUNCTION("""COMPUTED_VALUE"""),"SMS PT3 ODC BKS FAT D04 PALEMBANG 168092")</f>
        <v>SMS PT3 ODC BKS FAT D04 PALEMBANG 168092</v>
      </c>
      <c r="D1270" s="222" t="str">
        <f>IFERROR(__xludf.DUMMYFUNCTION("""COMPUTED_VALUE"""),"REGIONAL I")</f>
        <v>REGIONAL I</v>
      </c>
      <c r="E1270" s="222" t="str">
        <f>IFERROR(__xludf.DUMMYFUNCTION("""COMPUTED_VALUE"""),"SUMSEL")</f>
        <v>SUMSEL</v>
      </c>
      <c r="F1270" s="222" t="str">
        <f>IFERROR(__xludf.DUMMYFUNCTION("""COMPUTED_VALUE"""),"BKS")</f>
        <v>BKS</v>
      </c>
      <c r="G1270" s="222" t="str">
        <f>IFERROR(__xludf.DUMMYFUNCTION("""COMPUTED_VALUE"""),"SUMBAGSEL")</f>
        <v>SUMBAGSEL</v>
      </c>
      <c r="H1270" s="222" t="str">
        <f>IFERROR(__xludf.DUMMYFUNCTION("""COMPUTED_VALUE"""),"PALEMBANG")</f>
        <v>PALEMBANG</v>
      </c>
      <c r="I1270" s="222" t="str">
        <f>IFERROR(__xludf.DUMMYFUNCTION("""COMPUTED_VALUE"""),"Batch 2")</f>
        <v>Batch 2</v>
      </c>
      <c r="J1270" s="225">
        <f>IFERROR(__xludf.DUMMYFUNCTION("""COMPUTED_VALUE"""),1.0)</f>
        <v>1</v>
      </c>
      <c r="K1270" s="224">
        <f>IFERROR(__xludf.DUMMYFUNCTION("""COMPUTED_VALUE"""),8.0)</f>
        <v>8</v>
      </c>
      <c r="L1270" s="226">
        <f>IFERROR(__xludf.DUMMYFUNCTION("""COMPUTED_VALUE"""),795527.0)</f>
        <v>795527</v>
      </c>
      <c r="M1270" s="227">
        <f>IFERROR(__xludf.DUMMYFUNCTION("""COMPUTED_VALUE"""),6364211.0)</f>
        <v>6364211</v>
      </c>
      <c r="N1270" s="222" t="str">
        <f>IFERROR(__xludf.DUMMYFUNCTION("""COMPUTED_VALUE"""),"PT ACERO CETHA METALINDO")</f>
        <v>PT ACERO CETHA METALINDO</v>
      </c>
      <c r="O1270" s="222" t="str">
        <f>IFERROR(__xludf.DUMMYFUNCTION("""COMPUTED_VALUE"""),"0. DROP")</f>
        <v>0. DROP</v>
      </c>
      <c r="P1270" s="222" t="str">
        <f>IFERROR(__xludf.DUMMYFUNCTION("""COMPUTED_VALUE"""),"0.2 Tidak Dapat Izin Warga/Kades/Lurah/Developer")</f>
        <v>0.2 Tidak Dapat Izin Warga/Kades/Lurah/Developer</v>
      </c>
      <c r="Q1270" s="222" t="str">
        <f>IFERROR(__xludf.DUMMYFUNCTION("""COMPUTED_VALUE"""),"22/2 tidak medapatkan izin 06/02 HASIL REVIEW TSEL PROPOSE DROP - REDESAIN UNTUK MASUK ORDER SELANJUTNHYA, 03/02 DONE EVAL, ITUNG ULANG BOQ KARENA ADA TIANG EXISIITNG YG HILANG DI LOKASI 03/02 DONE EVAL, ITUNG ULANG BOQ KARENA ADA TIANG EXISIITNG YG HILAN"&amp;"G DI LOKASI 30/01 EVAL, 25/01 DONE AANWIDJZING, (20/01) menunggu antiran untuk aanwjizng, (15/1) LOP STO BKS MITRA GTM MENOLAK KARENA JARAK (06/01)order JPP batch-2 2026 ((18/11) tidak masuk target optimis 2025 (18/11) OGP aanwijdzing, 14/11 on progress a"&amp;"anwijdzing, 13/11 masih penunjukkan mitra, (11/11) Penunjukkan MITRA oleh Procurement 10/11 mitra siscomtek ditunjuk sebagai mitra LOP ini 23/10 belum di lakukan aanwizjing oleh mitra
 15/10 belum ada jadwal aanwjizjing dri mitra
 08/10 menunggu jadwal aa"&amp;"nwzijing
 (01/10) menunggu jadwal aanwizjing
 14/01 penunjukan mitra oleh procurement")</f>
        <v>22/2 tidak medapatkan izin 06/02 HASIL REVIEW TSEL PROPOSE DROP - REDESAIN UNTUK MASUK ORDER SELANJUTNHYA, 03/02 DONE EVAL, ITUNG ULANG BOQ KARENA ADA TIANG EXISIITNG YG HILANG DI LOKASI 03/02 DONE EVAL, ITUNG ULANG BOQ KARENA ADA TIANG EXISIITNG YG HILANG DI LOKASI 30/01 EVAL, 25/01 DONE AANWIDJZING, (20/01) menunggu antiran untuk aanwjizng, (15/1) LOP STO BKS MITRA GTM MENOLAK KARENA JARAK (06/01)order JPP batch-2 2026 ((18/11) tidak masuk target optimis 2025 (18/11) OGP aanwijdzing, 14/11 on progress aanwijdzing, 13/11 masih penunjukkan mitra, (11/11) Penunjukkan MITRA oleh Procurement 10/11 mitra siscomtek ditunjuk sebagai mitra LOP ini 23/10 belum di lakukan aanwizjing oleh mitra
 15/10 belum ada jadwal aanwjizjing dri mitra
 08/10 menunggu jadwal aanwzijing
 (01/10) menunggu jadwal aanwizjing
 14/01 penunjukan mitra oleh procurement</v>
      </c>
      <c r="R1270" s="228"/>
      <c r="S1270" s="11"/>
      <c r="T1270" s="11"/>
      <c r="U1270" s="11"/>
      <c r="V1270" s="229" t="str">
        <f>IFERROR(__xludf.DUMMYFUNCTION("""COMPUTED_VALUE"""),"PRIGUS")</f>
        <v>PRIGUS</v>
      </c>
      <c r="W1270" s="229"/>
      <c r="X1270" s="229" t="str">
        <f>IFERROR(__xludf.DUMMYFUNCTION("""COMPUTED_VALUE"""),"BELUM GOLIVE")</f>
        <v>BELUM GOLIVE</v>
      </c>
      <c r="Y1270" s="229"/>
      <c r="Z1270" s="229" t="str">
        <f>IFERROR(__xludf.DUMMYFUNCTION("""COMPUTED_VALUE"""),"#N/A")</f>
        <v>#N/A</v>
      </c>
      <c r="AA1270" s="229"/>
      <c r="AB1270" s="229"/>
      <c r="AC1270" s="229"/>
      <c r="AD1270" s="232"/>
      <c r="AE1270" s="233"/>
      <c r="AF1270" s="54" t="str">
        <f>IFERROR(__xludf.DUMMYFUNCTION("""COMPUTED_VALUE"""),"Draft BA DROP")</f>
        <v>Draft BA DROP</v>
      </c>
      <c r="AG1270" s="54"/>
      <c r="AH1270" s="54"/>
      <c r="AI1270" s="55" t="str">
        <f t="shared" si="137"/>
        <v/>
      </c>
      <c r="AW1270" s="234"/>
      <c r="BP1270" s="11"/>
      <c r="BQ1270" s="11"/>
      <c r="BR1270" s="235"/>
      <c r="BV1270" s="158"/>
      <c r="BY1270" s="158"/>
      <c r="CB1270" s="158"/>
    </row>
    <row r="1271" ht="18.0" hidden="1" customHeight="1">
      <c r="A1271" s="222">
        <f>IFERROR(__xludf.DUMMYFUNCTION("""COMPUTED_VALUE"""),2026.0)</f>
        <v>2026</v>
      </c>
      <c r="B1271" s="221">
        <f>IFERROR(__xludf.DUMMYFUNCTION("""COMPUTED_VALUE"""),1.2175755E7)</f>
        <v>12175755</v>
      </c>
      <c r="C1271" s="222" t="str">
        <f>IFERROR(__xludf.DUMMYFUNCTION("""COMPUTED_VALUE"""),"BNK PT3 BRC BENGKULU UTARA_73828_H2_2025")</f>
        <v>BNK PT3 BRC BENGKULU UTARA_73828_H2_2025</v>
      </c>
      <c r="D1271" s="222" t="str">
        <f>IFERROR(__xludf.DUMMYFUNCTION("""COMPUTED_VALUE"""),"REGIONAL I")</f>
        <v>REGIONAL I</v>
      </c>
      <c r="E1271" s="222" t="str">
        <f>IFERROR(__xludf.DUMMYFUNCTION("""COMPUTED_VALUE"""),"BENGKULU")</f>
        <v>BENGKULU</v>
      </c>
      <c r="F1271" s="222" t="str">
        <f>IFERROR(__xludf.DUMMYFUNCTION("""COMPUTED_VALUE"""),"AGR")</f>
        <v>AGR</v>
      </c>
      <c r="G1271" s="222" t="str">
        <f>IFERROR(__xludf.DUMMYFUNCTION("""COMPUTED_VALUE"""),"SUMBAGSEL")</f>
        <v>SUMBAGSEL</v>
      </c>
      <c r="H1271" s="222" t="str">
        <f>IFERROR(__xludf.DUMMYFUNCTION("""COMPUTED_VALUE"""),"BENGKULU")</f>
        <v>BENGKULU</v>
      </c>
      <c r="I1271" s="222" t="str">
        <f>IFERROR(__xludf.DUMMYFUNCTION("""COMPUTED_VALUE"""),"Batch 2")</f>
        <v>Batch 2</v>
      </c>
      <c r="J1271" s="225">
        <f>IFERROR(__xludf.DUMMYFUNCTION("""COMPUTED_VALUE"""),2.0)</f>
        <v>2</v>
      </c>
      <c r="K1271" s="224">
        <f>IFERROR(__xludf.DUMMYFUNCTION("""COMPUTED_VALUE"""),16.0)</f>
        <v>16</v>
      </c>
      <c r="L1271" s="226">
        <f>IFERROR(__xludf.DUMMYFUNCTION("""COMPUTED_VALUE"""),795173.0)</f>
        <v>795173</v>
      </c>
      <c r="M1271" s="227">
        <f>IFERROR(__xludf.DUMMYFUNCTION("""COMPUTED_VALUE"""),1.2722762E7)</f>
        <v>12722762</v>
      </c>
      <c r="N1271" s="222" t="str">
        <f>IFERROR(__xludf.DUMMYFUNCTION("""COMPUTED_VALUE"""),"PT HASSANAH MULIA JAYA")</f>
        <v>PT HASSANAH MULIA JAYA</v>
      </c>
      <c r="O1271" s="222" t="str">
        <f>IFERROR(__xludf.DUMMYFUNCTION("""COMPUTED_VALUE"""),"0. DROP")</f>
        <v>0. DROP</v>
      </c>
      <c r="P1271" s="222" t="str">
        <f>IFERROR(__xludf.DUMMYFUNCTION("""COMPUTED_VALUE"""),"0.3 Feeder Full")</f>
        <v>0.3 Feeder Full</v>
      </c>
      <c r="Q1271" s="222" t="str">
        <f>IFERROR(__xludf.DUMMYFUNCTION("""COMPUTED_VALUE"""),"02/03 : fedeer  full")</f>
        <v>02/03 : fedeer  full</v>
      </c>
      <c r="R1271" s="228"/>
      <c r="S1271" s="11"/>
      <c r="T1271" s="11"/>
      <c r="U1271" s="11"/>
      <c r="V1271" s="229"/>
      <c r="W1271" s="229"/>
      <c r="X1271" s="229" t="str">
        <f>IFERROR(__xludf.DUMMYFUNCTION("""COMPUTED_VALUE"""),"BELUM GOLIVE")</f>
        <v>BELUM GOLIVE</v>
      </c>
      <c r="Y1271" s="229"/>
      <c r="Z1271" s="229" t="str">
        <f>IFERROR(__xludf.DUMMYFUNCTION("""COMPUTED_VALUE"""),"#N/A")</f>
        <v>#N/A</v>
      </c>
      <c r="AA1271" s="229"/>
      <c r="AB1271" s="229"/>
      <c r="AC1271" s="229"/>
      <c r="AD1271" s="232"/>
      <c r="AE1271" s="233"/>
      <c r="AF1271" s="54" t="str">
        <f>IFERROR(__xludf.DUMMYFUNCTION("""COMPUTED_VALUE"""),"Draft BA DROP")</f>
        <v>Draft BA DROP</v>
      </c>
      <c r="AG1271" s="54"/>
      <c r="AH1271" s="54"/>
      <c r="AI1271" s="55" t="str">
        <f t="shared" si="137"/>
        <v/>
      </c>
      <c r="AW1271" s="234"/>
      <c r="BP1271" s="11"/>
      <c r="BQ1271" s="11"/>
      <c r="BR1271" s="235"/>
      <c r="BV1271" s="158"/>
      <c r="BY1271" s="158"/>
      <c r="CB1271" s="158"/>
    </row>
    <row r="1272" ht="18.0" hidden="1" customHeight="1">
      <c r="A1272" s="222">
        <f>IFERROR(__xludf.DUMMYFUNCTION("""COMPUTED_VALUE"""),2026.0)</f>
        <v>2026</v>
      </c>
      <c r="B1272" s="221">
        <f>IFERROR(__xludf.DUMMYFUNCTION("""COMPUTED_VALUE"""),1.2219307E7)</f>
        <v>12219307</v>
      </c>
      <c r="C1272" s="222" t="str">
        <f>IFERROR(__xludf.DUMMYFUNCTION("""COMPUTED_VALUE"""),"ACH PT3 LS KGH-FS D06 TAMBON")</f>
        <v>ACH PT3 LS KGH-FS D06 TAMBON</v>
      </c>
      <c r="D1272" s="222" t="str">
        <f>IFERROR(__xludf.DUMMYFUNCTION("""COMPUTED_VALUE"""),"REGIONAL I")</f>
        <v>REGIONAL I</v>
      </c>
      <c r="E1272" s="222" t="str">
        <f>IFERROR(__xludf.DUMMYFUNCTION("""COMPUTED_VALUE"""),"ACEH")</f>
        <v>ACEH</v>
      </c>
      <c r="F1272" s="222" t="str">
        <f>IFERROR(__xludf.DUMMYFUNCTION("""COMPUTED_VALUE"""),"KGH")</f>
        <v>KGH</v>
      </c>
      <c r="G1272" s="222" t="str">
        <f>IFERROR(__xludf.DUMMYFUNCTION("""COMPUTED_VALUE"""),"SUMBAGUT")</f>
        <v>SUMBAGUT</v>
      </c>
      <c r="H1272" s="222" t="str">
        <f>IFERROR(__xludf.DUMMYFUNCTION("""COMPUTED_VALUE"""),"BINJAI")</f>
        <v>BINJAI</v>
      </c>
      <c r="I1272" s="222" t="str">
        <f>IFERROR(__xludf.DUMMYFUNCTION("""COMPUTED_VALUE"""),"Batch 2")</f>
        <v>Batch 2</v>
      </c>
      <c r="J1272" s="225">
        <f>IFERROR(__xludf.DUMMYFUNCTION("""COMPUTED_VALUE"""),1.0)</f>
        <v>1</v>
      </c>
      <c r="K1272" s="224">
        <f>IFERROR(__xludf.DUMMYFUNCTION("""COMPUTED_VALUE"""),8.0)</f>
        <v>8</v>
      </c>
      <c r="L1272" s="226">
        <f>IFERROR(__xludf.DUMMYFUNCTION("""COMPUTED_VALUE"""),794603.0)</f>
        <v>794603</v>
      </c>
      <c r="M1272" s="227">
        <f>IFERROR(__xludf.DUMMYFUNCTION("""COMPUTED_VALUE"""),6356821.0)</f>
        <v>6356821</v>
      </c>
      <c r="N1272" s="222" t="str">
        <f>IFERROR(__xludf.DUMMYFUNCTION("""COMPUTED_VALUE"""),"PT MITRA AKSES INSANI")</f>
        <v>PT MITRA AKSES INSANI</v>
      </c>
      <c r="O1272" s="222" t="str">
        <f>IFERROR(__xludf.DUMMYFUNCTION("""COMPUTED_VALUE"""),"7. GOLIVE")</f>
        <v>7. GOLIVE</v>
      </c>
      <c r="P1272" s="222" t="str">
        <f>IFERROR(__xludf.DUMMYFUNCTION("""COMPUTED_VALUE"""),"7.2 Golive Full / OA / DONE OTB")</f>
        <v>7.2 Golive Full / OA / DONE OTB</v>
      </c>
      <c r="Q1272" s="222" t="str">
        <f>IFERROR(__xludf.DUMMYFUNCTION("""COMPUTED_VALUE"""),"(10/03) Menunggu Material Ready (03/03) PO Material (12/02) DelMat KU12 dari Pabrik ke WH (07/01) Persiapan")</f>
        <v>(10/03) Menunggu Material Ready (03/03) PO Material (12/02) DelMat KU12 dari Pabrik ke WH (07/01) Persiapan</v>
      </c>
      <c r="R1272" s="228">
        <f>IFERROR(__xludf.DUMMYFUNCTION("""COMPUTED_VALUE"""),46139.0)</f>
        <v>46139</v>
      </c>
      <c r="S1272" s="11" t="str">
        <f>IFERROR(__xludf.DUMMYFUNCTION("""COMPUTED_VALUE"""),"APR")</f>
        <v>APR</v>
      </c>
      <c r="T1272" s="73"/>
      <c r="U1272" s="11"/>
      <c r="V1272" s="229"/>
      <c r="W1272" s="229" t="str">
        <f>IFERROR(__xludf.DUMMYFUNCTION("""COMPUTED_VALUE"""),"#N/A")</f>
        <v>#N/A</v>
      </c>
      <c r="X1272" s="229" t="str">
        <f>IFERROR(__xludf.DUMMYFUNCTION("""COMPUTED_VALUE"""),"GOLIVE")</f>
        <v>GOLIVE</v>
      </c>
      <c r="Y1272" s="229" t="str">
        <f>IFERROR(__xludf.DUMMYFUNCTION("""COMPUTED_VALUE"""),"DONE")</f>
        <v>DONE</v>
      </c>
      <c r="Z1272" s="229" t="str">
        <f>IFERROR(__xludf.DUMMYFUNCTION("""COMPUTED_VALUE"""),"#N/A")</f>
        <v>#N/A</v>
      </c>
      <c r="AA1272" s="229">
        <f>IFERROR(__xludf.DUMMYFUNCTION("""COMPUTED_VALUE"""),1.0)</f>
        <v>1</v>
      </c>
      <c r="AB1272" s="229"/>
      <c r="AC1272" s="229" t="str">
        <f>IFERROR(__xludf.DUMMYFUNCTION("""COMPUTED_VALUE"""),"9313866#9313871")</f>
        <v>9313866#9313871</v>
      </c>
      <c r="AD1272" s="232">
        <f>IFERROR(__xludf.DUMMYFUNCTION("""COMPUTED_VALUE"""),8.0)</f>
        <v>8</v>
      </c>
      <c r="AE1272" s="233">
        <f>IFERROR(__xludf.DUMMYFUNCTION("""COMPUTED_VALUE"""),46138.0)</f>
        <v>46138</v>
      </c>
      <c r="AF1272" s="54"/>
      <c r="AG1272" s="54"/>
      <c r="AH1272" s="54">
        <v>46139.0</v>
      </c>
      <c r="AI1272" s="55">
        <f t="shared" si="137"/>
        <v>1</v>
      </c>
      <c r="AW1272" s="234"/>
      <c r="BP1272" s="11"/>
      <c r="BQ1272" s="11"/>
      <c r="BR1272" s="235"/>
      <c r="BV1272" s="158"/>
      <c r="BY1272" s="158"/>
      <c r="CB1272" s="158"/>
    </row>
    <row r="1273" ht="18.0" hidden="1" customHeight="1">
      <c r="A1273" s="222">
        <f>IFERROR(__xludf.DUMMYFUNCTION("""COMPUTED_VALUE"""),2026.0)</f>
        <v>2026</v>
      </c>
      <c r="B1273" s="221">
        <f>IFERROR(__xludf.DUMMYFUNCTION("""COMPUTED_VALUE"""),1.1192696E7)</f>
        <v>11192696</v>
      </c>
      <c r="C1273" s="222" t="str">
        <f>IFERROR(__xludf.DUMMYFUNCTION("""COMPUTED_VALUE"""),"MDN PT3 P7I8 GLG-FAA GG.DEPAN STO")</f>
        <v>MDN PT3 P7I8 GLG-FAA GG.DEPAN STO</v>
      </c>
      <c r="D1273" s="222" t="str">
        <f>IFERROR(__xludf.DUMMYFUNCTION("""COMPUTED_VALUE"""),"REGIONAL I")</f>
        <v>REGIONAL I</v>
      </c>
      <c r="E1273" s="222" t="str">
        <f>IFERROR(__xludf.DUMMYFUNCTION("""COMPUTED_VALUE"""),"MEDAN")</f>
        <v>MEDAN</v>
      </c>
      <c r="F1273" s="222" t="str">
        <f>IFERROR(__xludf.DUMMYFUNCTION("""COMPUTED_VALUE"""),"GLG")</f>
        <v>GLG</v>
      </c>
      <c r="G1273" s="222" t="str">
        <f>IFERROR(__xludf.DUMMYFUNCTION("""COMPUTED_VALUE"""),"SUMBAGUT")</f>
        <v>SUMBAGUT</v>
      </c>
      <c r="H1273" s="222" t="str">
        <f>IFERROR(__xludf.DUMMYFUNCTION("""COMPUTED_VALUE"""),"MEDAN")</f>
        <v>MEDAN</v>
      </c>
      <c r="I1273" s="222" t="str">
        <f>IFERROR(__xludf.DUMMYFUNCTION("""COMPUTED_VALUE"""),"Batch 2")</f>
        <v>Batch 2</v>
      </c>
      <c r="J1273" s="225">
        <f>IFERROR(__xludf.DUMMYFUNCTION("""COMPUTED_VALUE"""),2.0)</f>
        <v>2</v>
      </c>
      <c r="K1273" s="224">
        <f>IFERROR(__xludf.DUMMYFUNCTION("""COMPUTED_VALUE"""),16.0)</f>
        <v>16</v>
      </c>
      <c r="L1273" s="226">
        <f>IFERROR(__xludf.DUMMYFUNCTION("""COMPUTED_VALUE"""),978535.0)</f>
        <v>978535</v>
      </c>
      <c r="M1273" s="227">
        <f>IFERROR(__xludf.DUMMYFUNCTION("""COMPUTED_VALUE"""),1.5656549E7)</f>
        <v>15656549</v>
      </c>
      <c r="N1273" s="222" t="str">
        <f>IFERROR(__xludf.DUMMYFUNCTION("""COMPUTED_VALUE"""),"PT UPAYA TEKNIK")</f>
        <v>PT UPAYA TEKNIK</v>
      </c>
      <c r="O1273" s="222" t="str">
        <f>IFERROR(__xludf.DUMMYFUNCTION("""COMPUTED_VALUE"""),"0. DROP")</f>
        <v>0. DROP</v>
      </c>
      <c r="P1273" s="222" t="str">
        <f>IFERROR(__xludf.DUMMYFUNCTION("""COMPUTED_VALUE"""),"0.1 Double Order")</f>
        <v>0.1 Double Order</v>
      </c>
      <c r="Q1273" s="222" t="str">
        <f>IFERROR(__xludf.DUMMYFUNCTION("""COMPUTED_VALUE"""),"23/09 drop oleh tif jalur beririsan dengan MDN PT3 P7I10 GLG-FAA JL.GALANG SUKA")</f>
        <v>23/09 drop oleh tif jalur beririsan dengan MDN PT3 P7I10 GLG-FAA JL.GALANG SUKA</v>
      </c>
      <c r="R1273" s="228"/>
      <c r="S1273" s="11"/>
      <c r="T1273" s="11"/>
      <c r="U1273" s="11"/>
      <c r="V1273" s="229"/>
      <c r="W1273" s="229"/>
      <c r="X1273" s="229" t="str">
        <f>IFERROR(__xludf.DUMMYFUNCTION("""COMPUTED_VALUE"""),"BELUM GOLIVE")</f>
        <v>BELUM GOLIVE</v>
      </c>
      <c r="Y1273" s="229"/>
      <c r="Z1273" s="229" t="str">
        <f>IFERROR(__xludf.DUMMYFUNCTION("""COMPUTED_VALUE"""),"#N/A")</f>
        <v>#N/A</v>
      </c>
      <c r="AA1273" s="229"/>
      <c r="AB1273" s="229"/>
      <c r="AC1273" s="229"/>
      <c r="AD1273" s="232"/>
      <c r="AE1273" s="233"/>
      <c r="AF1273" s="54"/>
      <c r="AG1273" s="54"/>
      <c r="AH1273" s="54"/>
      <c r="AI1273" s="55" t="str">
        <f t="shared" si="137"/>
        <v/>
      </c>
      <c r="AW1273" s="234"/>
      <c r="BP1273" s="11"/>
      <c r="BQ1273" s="11"/>
      <c r="BR1273" s="235"/>
      <c r="BV1273" s="158"/>
      <c r="BY1273" s="158"/>
      <c r="CB1273" s="158"/>
    </row>
    <row r="1274" ht="18.0" hidden="1" customHeight="1">
      <c r="A1274" s="222">
        <f>IFERROR(__xludf.DUMMYFUNCTION("""COMPUTED_VALUE"""),2026.0)</f>
        <v>2026</v>
      </c>
      <c r="B1274" s="221">
        <f>IFERROR(__xludf.DUMMYFUNCTION("""COMPUTED_VALUE"""),1.1783491E7)</f>
        <v>11783491</v>
      </c>
      <c r="C1274" s="222" t="str">
        <f>IFERROR(__xludf.DUMMYFUNCTION("""COMPUTED_VALUE"""),"LPG PT3 JPP LAMPUNG UTARA_19062 KBI")</f>
        <v>LPG PT3 JPP LAMPUNG UTARA_19062 KBI</v>
      </c>
      <c r="D1274" s="222" t="str">
        <f>IFERROR(__xludf.DUMMYFUNCTION("""COMPUTED_VALUE"""),"REGIONAL I")</f>
        <v>REGIONAL I</v>
      </c>
      <c r="E1274" s="222" t="str">
        <f>IFERROR(__xludf.DUMMYFUNCTION("""COMPUTED_VALUE"""),"LAMPUNG")</f>
        <v>LAMPUNG</v>
      </c>
      <c r="F1274" s="222" t="str">
        <f>IFERROR(__xludf.DUMMYFUNCTION("""COMPUTED_VALUE"""),"KBI")</f>
        <v>KBI</v>
      </c>
      <c r="G1274" s="222" t="str">
        <f>IFERROR(__xludf.DUMMYFUNCTION("""COMPUTED_VALUE"""),"SUMBAGSEL")</f>
        <v>SUMBAGSEL</v>
      </c>
      <c r="H1274" s="222" t="str">
        <f>IFERROR(__xludf.DUMMYFUNCTION("""COMPUTED_VALUE"""),"LAMPUNG")</f>
        <v>LAMPUNG</v>
      </c>
      <c r="I1274" s="222" t="str">
        <f>IFERROR(__xludf.DUMMYFUNCTION("""COMPUTED_VALUE"""),"Batch 2")</f>
        <v>Batch 2</v>
      </c>
      <c r="J1274" s="225">
        <f>IFERROR(__xludf.DUMMYFUNCTION("""COMPUTED_VALUE"""),8.0)</f>
        <v>8</v>
      </c>
      <c r="K1274" s="224">
        <f>IFERROR(__xludf.DUMMYFUNCTION("""COMPUTED_VALUE"""),64.0)</f>
        <v>64</v>
      </c>
      <c r="L1274" s="226">
        <f>IFERROR(__xludf.DUMMYFUNCTION("""COMPUTED_VALUE"""),794091.0)</f>
        <v>794091</v>
      </c>
      <c r="M1274" s="227">
        <f>IFERROR(__xludf.DUMMYFUNCTION("""COMPUTED_VALUE"""),5.0821797E7)</f>
        <v>50821797</v>
      </c>
      <c r="N1274" s="222" t="str">
        <f>IFERROR(__xludf.DUMMYFUNCTION("""COMPUTED_VALUE"""),"PT ALAM UTAMA MULIA")</f>
        <v>PT ALAM UTAMA MULIA</v>
      </c>
      <c r="O1274" s="222" t="str">
        <f>IFERROR(__xludf.DUMMYFUNCTION("""COMPUTED_VALUE"""),"7. GOLIVE")</f>
        <v>7. GOLIVE</v>
      </c>
      <c r="P1274" s="222" t="str">
        <f>IFERROR(__xludf.DUMMYFUNCTION("""COMPUTED_VALUE"""),"7.2 Golive Full / OA / DONE OTB")</f>
        <v>7.2 Golive Full / OA / DONE OTB</v>
      </c>
      <c r="Q1274" s="222" t="str">
        <f>IFERROR(__xludf.DUMMYFUNCTION("""COMPUTED_VALUE"""),"20/2 proses golive 18/2  Instlasi ODP, Proses valins  11/2 tarik kabel /440  9/2 MATDEL  6/2 plan matdel ,ambil material 9/2 plan fi 22/2
4/2 stok material kosong ,estimasi tiba 07/2 
30/1 pengajuan pid 
05/2  estimasi pengambilan material 
28/01  ambil m"&amp;"aterial di gudang
19/1 proses pengacekan core dan perizinan")</f>
        <v>20/2 proses golive 18/2  Instlasi ODP, Proses valins  11/2 tarik kabel /440  9/2 MATDEL  6/2 plan matdel ,ambil material 9/2 plan fi 22/2
4/2 stok material kosong ,estimasi tiba 07/2 
30/1 pengajuan pid 
05/2  estimasi pengambilan material 
28/01  ambil material di gudang
19/1 proses pengacekan core dan perizinan</v>
      </c>
      <c r="R1274" s="228">
        <f>IFERROR(__xludf.DUMMYFUNCTION("""COMPUTED_VALUE"""),46074.0)</f>
        <v>46074</v>
      </c>
      <c r="S1274" s="11"/>
      <c r="T1274" s="11"/>
      <c r="U1274" s="11" t="str">
        <f>IFERROR(__xludf.DUMMYFUNCTION("""COMPUTED_VALUE"""),"W02-27/2026")</f>
        <v>W02-27/2026</v>
      </c>
      <c r="V1274" s="229"/>
      <c r="W1274" s="229"/>
      <c r="X1274" s="229" t="str">
        <f>IFERROR(__xludf.DUMMYFUNCTION("""COMPUTED_VALUE"""),"GOLIVE")</f>
        <v>GOLIVE</v>
      </c>
      <c r="Y1274" s="229" t="str">
        <f>IFERROR(__xludf.DUMMYFUNCTION("""COMPUTED_VALUE"""),"DONE")</f>
        <v>DONE</v>
      </c>
      <c r="Z1274" s="229" t="str">
        <f>IFERROR(__xludf.DUMMYFUNCTION("""COMPUTED_VALUE"""),"#N/A")</f>
        <v>#N/A</v>
      </c>
      <c r="AA1274" s="229">
        <f>IFERROR(__xludf.DUMMYFUNCTION("""COMPUTED_VALUE"""),8.0)</f>
        <v>8</v>
      </c>
      <c r="AB1274" s="229"/>
      <c r="AC1274" s="229" t="str">
        <f>IFERROR(__xludf.DUMMYFUNCTION("""COMPUTED_VALUE"""),"9124578#9124583")</f>
        <v>9124578#9124583</v>
      </c>
      <c r="AD1274" s="232">
        <f>IFERROR(__xludf.DUMMYFUNCTION("""COMPUTED_VALUE"""),64.0)</f>
        <v>64</v>
      </c>
      <c r="AE1274" s="233">
        <f>IFERROR(__xludf.DUMMYFUNCTION("""COMPUTED_VALUE"""),46074.0)</f>
        <v>46074</v>
      </c>
      <c r="AF1274" s="54"/>
      <c r="AG1274" s="54"/>
      <c r="AH1274" s="54">
        <v>46074.0</v>
      </c>
      <c r="AI1274" s="55">
        <f t="shared" si="137"/>
        <v>0</v>
      </c>
      <c r="AW1274" s="234"/>
      <c r="BP1274" s="11"/>
      <c r="BQ1274" s="11"/>
      <c r="BR1274" s="235"/>
      <c r="BV1274" s="158"/>
      <c r="BY1274" s="158"/>
      <c r="CB1274" s="158"/>
    </row>
    <row r="1275" ht="18.0" hidden="1" customHeight="1">
      <c r="A1275" s="222">
        <f>IFERROR(__xludf.DUMMYFUNCTION("""COMPUTED_VALUE"""),2026.0)</f>
        <v>2026</v>
      </c>
      <c r="B1275" s="221">
        <f>IFERROR(__xludf.DUMMYFUNCTION("""COMPUTED_VALUE"""),1.1843152E7)</f>
        <v>11843152</v>
      </c>
      <c r="C1275" s="222" t="str">
        <f>IFERROR(__xludf.DUMMYFUNCTION("""COMPUTED_VALUE"""),"MDN PT3 LBP-FAA GG.LEMBAGA_MD25")</f>
        <v>MDN PT3 LBP-FAA GG.LEMBAGA_MD25</v>
      </c>
      <c r="D1275" s="222" t="str">
        <f>IFERROR(__xludf.DUMMYFUNCTION("""COMPUTED_VALUE"""),"REGIONAL I")</f>
        <v>REGIONAL I</v>
      </c>
      <c r="E1275" s="222" t="str">
        <f>IFERROR(__xludf.DUMMYFUNCTION("""COMPUTED_VALUE"""),"MEDAN")</f>
        <v>MEDAN</v>
      </c>
      <c r="F1275" s="222" t="str">
        <f>IFERROR(__xludf.DUMMYFUNCTION("""COMPUTED_VALUE"""),"LBP")</f>
        <v>LBP</v>
      </c>
      <c r="G1275" s="222" t="str">
        <f>IFERROR(__xludf.DUMMYFUNCTION("""COMPUTED_VALUE"""),"SUMBAGUT")</f>
        <v>SUMBAGUT</v>
      </c>
      <c r="H1275" s="222" t="str">
        <f>IFERROR(__xludf.DUMMYFUNCTION("""COMPUTED_VALUE"""),"MEDAN")</f>
        <v>MEDAN</v>
      </c>
      <c r="I1275" s="222" t="str">
        <f>IFERROR(__xludf.DUMMYFUNCTION("""COMPUTED_VALUE"""),"Batch 2")</f>
        <v>Batch 2</v>
      </c>
      <c r="J1275" s="225">
        <f>IFERROR(__xludf.DUMMYFUNCTION("""COMPUTED_VALUE"""),6.0)</f>
        <v>6</v>
      </c>
      <c r="K1275" s="224">
        <f>IFERROR(__xludf.DUMMYFUNCTION("""COMPUTED_VALUE"""),48.0)</f>
        <v>48</v>
      </c>
      <c r="L1275" s="226">
        <f>IFERROR(__xludf.DUMMYFUNCTION("""COMPUTED_VALUE"""),988007.0)</f>
        <v>988007</v>
      </c>
      <c r="M1275" s="227">
        <f>IFERROR(__xludf.DUMMYFUNCTION("""COMPUTED_VALUE"""),4.7424315E7)</f>
        <v>47424315</v>
      </c>
      <c r="N1275" s="222" t="str">
        <f>IFERROR(__xludf.DUMMYFUNCTION("""COMPUTED_VALUE"""),"PT BONGKAR SEJATI ANDALAN")</f>
        <v>PT BONGKAR SEJATI ANDALAN</v>
      </c>
      <c r="O1275" s="222" t="str">
        <f>IFERROR(__xludf.DUMMYFUNCTION("""COMPUTED_VALUE"""),"8. UJI TERIMA")</f>
        <v>8. UJI TERIMA</v>
      </c>
      <c r="P1275" s="222" t="str">
        <f>IFERROR(__xludf.DUMMYFUNCTION("""COMPUTED_VALUE"""),"8.1 Proses UT")</f>
        <v>8.1 Proses UT</v>
      </c>
      <c r="Q1275" s="222" t="str">
        <f>IFERROR(__xludf.DUMMYFUNCTION("""COMPUTED_VALUE"""),"(07/01) Persiapan")</f>
        <v>(07/01) Persiapan</v>
      </c>
      <c r="R1275" s="228">
        <f>IFERROR(__xludf.DUMMYFUNCTION("""COMPUTED_VALUE"""),46031.0)</f>
        <v>46031</v>
      </c>
      <c r="S1275" s="11"/>
      <c r="T1275" s="11"/>
      <c r="U1275" s="11" t="str">
        <f>IFERROR(__xludf.DUMMYFUNCTION("""COMPUTED_VALUE"""),"FALSE")</f>
        <v>FALSE</v>
      </c>
      <c r="V1275" s="229"/>
      <c r="W1275" s="229"/>
      <c r="X1275" s="229" t="str">
        <f>IFERROR(__xludf.DUMMYFUNCTION("""COMPUTED_VALUE"""),"GOLIVE")</f>
        <v>GOLIVE</v>
      </c>
      <c r="Y1275" s="229" t="str">
        <f>IFERROR(__xludf.DUMMYFUNCTION("""COMPUTED_VALUE"""),"DONE")</f>
        <v>DONE</v>
      </c>
      <c r="Z1275" s="229" t="str">
        <f>IFERROR(__xludf.DUMMYFUNCTION("""COMPUTED_VALUE"""),"#N/A")</f>
        <v>#N/A</v>
      </c>
      <c r="AA1275" s="229">
        <f>IFERROR(__xludf.DUMMYFUNCTION("""COMPUTED_VALUE"""),6.0)</f>
        <v>6</v>
      </c>
      <c r="AB1275" s="229"/>
      <c r="AC1275" s="229" t="str">
        <f>IFERROR(__xludf.DUMMYFUNCTION("""COMPUTED_VALUE"""),"8919632#8919637")</f>
        <v>8919632#8919637</v>
      </c>
      <c r="AD1275" s="232">
        <f>IFERROR(__xludf.DUMMYFUNCTION("""COMPUTED_VALUE"""),48.0)</f>
        <v>48</v>
      </c>
      <c r="AE1275" s="233">
        <f>IFERROR(__xludf.DUMMYFUNCTION("""COMPUTED_VALUE"""),46031.0)</f>
        <v>46031</v>
      </c>
      <c r="AF1275" s="54"/>
      <c r="AG1275" s="54"/>
      <c r="AH1275" s="54">
        <v>46031.0</v>
      </c>
      <c r="AI1275" s="55">
        <f t="shared" si="137"/>
        <v>0</v>
      </c>
      <c r="AW1275" s="234"/>
      <c r="BP1275" s="11"/>
      <c r="BQ1275" s="11"/>
      <c r="BR1275" s="235"/>
      <c r="BV1275" s="158"/>
      <c r="BY1275" s="158"/>
      <c r="CB1275" s="158"/>
    </row>
    <row r="1276" ht="18.0" hidden="1" customHeight="1">
      <c r="A1276" s="222">
        <f>IFERROR(__xludf.DUMMYFUNCTION("""COMPUTED_VALUE"""),2026.0)</f>
        <v>2026</v>
      </c>
      <c r="B1276" s="221">
        <f>IFERROR(__xludf.DUMMYFUNCTION("""COMPUTED_VALUE"""),1.2229426E7)</f>
        <v>12229426</v>
      </c>
      <c r="C1276" s="222" t="str">
        <f>IFERROR(__xludf.DUMMYFUNCTION("""COMPUTED_VALUE"""),"ACH PT3 LSM-FM D06 BANDA MASEN")</f>
        <v>ACH PT3 LSM-FM D06 BANDA MASEN</v>
      </c>
      <c r="D1276" s="222" t="str">
        <f>IFERROR(__xludf.DUMMYFUNCTION("""COMPUTED_VALUE"""),"REGIONAL I")</f>
        <v>REGIONAL I</v>
      </c>
      <c r="E1276" s="222" t="str">
        <f>IFERROR(__xludf.DUMMYFUNCTION("""COMPUTED_VALUE"""),"ACEH")</f>
        <v>ACEH</v>
      </c>
      <c r="F1276" s="222" t="str">
        <f>IFERROR(__xludf.DUMMYFUNCTION("""COMPUTED_VALUE"""),"LSM")</f>
        <v>LSM</v>
      </c>
      <c r="G1276" s="222" t="str">
        <f>IFERROR(__xludf.DUMMYFUNCTION("""COMPUTED_VALUE"""),"SUMBAGUT")</f>
        <v>SUMBAGUT</v>
      </c>
      <c r="H1276" s="222" t="str">
        <f>IFERROR(__xludf.DUMMYFUNCTION("""COMPUTED_VALUE"""),"BINJAI")</f>
        <v>BINJAI</v>
      </c>
      <c r="I1276" s="222" t="str">
        <f>IFERROR(__xludf.DUMMYFUNCTION("""COMPUTED_VALUE"""),"Batch 2")</f>
        <v>Batch 2</v>
      </c>
      <c r="J1276" s="225">
        <f>IFERROR(__xludf.DUMMYFUNCTION("""COMPUTED_VALUE"""),4.0)</f>
        <v>4</v>
      </c>
      <c r="K1276" s="224">
        <f>IFERROR(__xludf.DUMMYFUNCTION("""COMPUTED_VALUE"""),32.0)</f>
        <v>32</v>
      </c>
      <c r="L1276" s="226">
        <f>IFERROR(__xludf.DUMMYFUNCTION("""COMPUTED_VALUE"""),792553.0)</f>
        <v>792553</v>
      </c>
      <c r="M1276" s="227">
        <f>IFERROR(__xludf.DUMMYFUNCTION("""COMPUTED_VALUE"""),2.5361682E7)</f>
        <v>25361682</v>
      </c>
      <c r="N1276" s="222" t="str">
        <f>IFERROR(__xludf.DUMMYFUNCTION("""COMPUTED_VALUE"""),"PT TRIPOLA PANATA")</f>
        <v>PT TRIPOLA PANATA</v>
      </c>
      <c r="O1276" s="222" t="str">
        <f>IFERROR(__xludf.DUMMYFUNCTION("""COMPUTED_VALUE"""),"7. GOLIVE")</f>
        <v>7. GOLIVE</v>
      </c>
      <c r="P1276" s="222" t="str">
        <f>IFERROR(__xludf.DUMMYFUNCTION("""COMPUTED_VALUE"""),"7.2 Golive Full / OA / DONE OTB")</f>
        <v>7.2 Golive Full / OA / DONE OTB</v>
      </c>
      <c r="Q1276" s="222" t="str">
        <f>IFERROR(__xludf.DUMMYFUNCTION("""COMPUTED_VALUE"""),"(02/03) Proses Terminasi (27/02) Penarikan Kabel (26/02) Tanam Tiang (11/02) OGP aanwijzing (07/01) Persiapan")</f>
        <v>(02/03) Proses Terminasi (27/02) Penarikan Kabel (26/02) Tanam Tiang (11/02) OGP aanwijzing (07/01) Persiapan</v>
      </c>
      <c r="R1276" s="228">
        <f>IFERROR(__xludf.DUMMYFUNCTION("""COMPUTED_VALUE"""),46084.0)</f>
        <v>46084</v>
      </c>
      <c r="S1276" s="11" t="str">
        <f>IFERROR(__xludf.DUMMYFUNCTION("""COMPUTED_VALUE"""),"MAR")</f>
        <v>MAR</v>
      </c>
      <c r="T1276" s="11"/>
      <c r="U1276" s="11" t="str">
        <f>IFERROR(__xludf.DUMMYFUNCTION("""COMPUTED_VALUE"""),"W04-929/2025")</f>
        <v>W04-929/2025</v>
      </c>
      <c r="V1276" s="229"/>
      <c r="W1276" s="229"/>
      <c r="X1276" s="229" t="str">
        <f>IFERROR(__xludf.DUMMYFUNCTION("""COMPUTED_VALUE"""),"GOLIVE")</f>
        <v>GOLIVE</v>
      </c>
      <c r="Y1276" s="229" t="str">
        <f>IFERROR(__xludf.DUMMYFUNCTION("""COMPUTED_VALUE"""),"DONE")</f>
        <v>DONE</v>
      </c>
      <c r="Z1276" s="229" t="str">
        <f>IFERROR(__xludf.DUMMYFUNCTION("""COMPUTED_VALUE"""),"#N/A")</f>
        <v>#N/A</v>
      </c>
      <c r="AA1276" s="229">
        <f>IFERROR(__xludf.DUMMYFUNCTION("""COMPUTED_VALUE"""),4.0)</f>
        <v>4</v>
      </c>
      <c r="AB1276" s="229"/>
      <c r="AC1276" s="229" t="str">
        <f>IFERROR(__xludf.DUMMYFUNCTION("""COMPUTED_VALUE"""),"9143740#9143745")</f>
        <v>9143740#9143745</v>
      </c>
      <c r="AD1276" s="232">
        <f>IFERROR(__xludf.DUMMYFUNCTION("""COMPUTED_VALUE"""),32.0)</f>
        <v>32</v>
      </c>
      <c r="AE1276" s="233">
        <f>IFERROR(__xludf.DUMMYFUNCTION("""COMPUTED_VALUE"""),46084.0)</f>
        <v>46084</v>
      </c>
      <c r="AF1276" s="54"/>
      <c r="AG1276" s="54"/>
      <c r="AH1276" s="54">
        <v>46084.0</v>
      </c>
      <c r="AI1276" s="55">
        <f t="shared" si="137"/>
        <v>0</v>
      </c>
      <c r="AW1276" s="234"/>
      <c r="BP1276" s="11"/>
      <c r="BQ1276" s="11"/>
      <c r="BR1276" s="235"/>
      <c r="BV1276" s="158"/>
      <c r="BY1276" s="158"/>
      <c r="CB1276" s="158"/>
    </row>
    <row r="1277" ht="18.0" hidden="1" customHeight="1">
      <c r="A1277" s="222">
        <f>IFERROR(__xludf.DUMMYFUNCTION("""COMPUTED_VALUE"""),2026.0)</f>
        <v>2026</v>
      </c>
      <c r="B1277" s="221">
        <f>IFERROR(__xludf.DUMMYFUNCTION("""COMPUTED_VALUE"""),1.1189258E7)</f>
        <v>11189258</v>
      </c>
      <c r="C1277" s="222" t="str">
        <f>IFERROR(__xludf.DUMMYFUNCTION("""COMPUTED_VALUE"""),"MDN PT3 TTG-FBJ VILLA GRAND MAWAR SHARON")</f>
        <v>MDN PT3 TTG-FBJ VILLA GRAND MAWAR SHARON</v>
      </c>
      <c r="D1277" s="222" t="str">
        <f>IFERROR(__xludf.DUMMYFUNCTION("""COMPUTED_VALUE"""),"REGIONAL I")</f>
        <v>REGIONAL I</v>
      </c>
      <c r="E1277" s="222" t="str">
        <f>IFERROR(__xludf.DUMMYFUNCTION("""COMPUTED_VALUE"""),"MEDAN")</f>
        <v>MEDAN</v>
      </c>
      <c r="F1277" s="222" t="str">
        <f>IFERROR(__xludf.DUMMYFUNCTION("""COMPUTED_VALUE"""),"TTG")</f>
        <v>TTG</v>
      </c>
      <c r="G1277" s="222" t="str">
        <f>IFERROR(__xludf.DUMMYFUNCTION("""COMPUTED_VALUE"""),"SUMBAGUT")</f>
        <v>SUMBAGUT</v>
      </c>
      <c r="H1277" s="222" t="str">
        <f>IFERROR(__xludf.DUMMYFUNCTION("""COMPUTED_VALUE"""),"MEDAN")</f>
        <v>MEDAN</v>
      </c>
      <c r="I1277" s="222" t="str">
        <f>IFERROR(__xludf.DUMMYFUNCTION("""COMPUTED_VALUE"""),"Batch 2")</f>
        <v>Batch 2</v>
      </c>
      <c r="J1277" s="225">
        <f>IFERROR(__xludf.DUMMYFUNCTION("""COMPUTED_VALUE"""),3.0)</f>
        <v>3</v>
      </c>
      <c r="K1277" s="224">
        <f>IFERROR(__xludf.DUMMYFUNCTION("""COMPUTED_VALUE"""),24.0)</f>
        <v>24</v>
      </c>
      <c r="L1277" s="226">
        <f>IFERROR(__xludf.DUMMYFUNCTION("""COMPUTED_VALUE"""),792424.0)</f>
        <v>792424</v>
      </c>
      <c r="M1277" s="227">
        <f>IFERROR(__xludf.DUMMYFUNCTION("""COMPUTED_VALUE"""),1.901817E7)</f>
        <v>19018170</v>
      </c>
      <c r="N1277" s="222" t="str">
        <f>IFERROR(__xludf.DUMMYFUNCTION("""COMPUTED_VALUE"""),"PT BONGKAR SEJATI ANDALAN")</f>
        <v>PT BONGKAR SEJATI ANDALAN</v>
      </c>
      <c r="O1277" s="222" t="str">
        <f>IFERROR(__xludf.DUMMYFUNCTION("""COMPUTED_VALUE"""),"0. DROP")</f>
        <v>0. DROP</v>
      </c>
      <c r="P1277" s="222" t="str">
        <f>IFERROR(__xludf.DUMMYFUNCTION("""COMPUTED_VALUE"""),"0.2 Tidak Dapat Izin Warga/Kades/Lurah/Developer")</f>
        <v>0.2 Tidak Dapat Izin Warga/Kades/Lurah/Developer</v>
      </c>
      <c r="Q1277" s="222" t="str">
        <f>IFERROR(__xludf.DUMMYFUNCTION("""COMPUTED_VALUE"""),"26/02 TIDAK DAPAT IZIN DARI WARGA KOMPLEK")</f>
        <v>26/02 TIDAK DAPAT IZIN DARI WARGA KOMPLEK</v>
      </c>
      <c r="R1277" s="228"/>
      <c r="S1277" s="11"/>
      <c r="T1277" s="11"/>
      <c r="U1277" s="11"/>
      <c r="V1277" s="229"/>
      <c r="W1277" s="229"/>
      <c r="X1277" s="229" t="str">
        <f>IFERROR(__xludf.DUMMYFUNCTION("""COMPUTED_VALUE"""),"BELUM GOLIVE")</f>
        <v>BELUM GOLIVE</v>
      </c>
      <c r="Y1277" s="229"/>
      <c r="Z1277" s="229" t="str">
        <f>IFERROR(__xludf.DUMMYFUNCTION("""COMPUTED_VALUE"""),"#N/A")</f>
        <v>#N/A</v>
      </c>
      <c r="AA1277" s="229"/>
      <c r="AB1277" s="229"/>
      <c r="AC1277" s="229"/>
      <c r="AD1277" s="232"/>
      <c r="AE1277" s="233"/>
      <c r="AF1277" s="54" t="str">
        <f>IFERROR(__xludf.DUMMYFUNCTION("""COMPUTED_VALUE"""),"Draft BA DROP")</f>
        <v>Draft BA DROP</v>
      </c>
      <c r="AG1277" s="54"/>
      <c r="AH1277" s="54"/>
      <c r="AI1277" s="55" t="str">
        <f t="shared" si="137"/>
        <v/>
      </c>
      <c r="AW1277" s="234"/>
      <c r="BP1277" s="11"/>
      <c r="BQ1277" s="11"/>
      <c r="BR1277" s="235"/>
      <c r="BV1277" s="158"/>
      <c r="BY1277" s="158"/>
      <c r="CB1277" s="158"/>
    </row>
    <row r="1278" ht="18.0" hidden="1" customHeight="1">
      <c r="A1278" s="222">
        <f>IFERROR(__xludf.DUMMYFUNCTION("""COMPUTED_VALUE"""),2026.0)</f>
        <v>2026</v>
      </c>
      <c r="B1278" s="221">
        <f>IFERROR(__xludf.DUMMYFUNCTION("""COMPUTED_VALUE"""),1.2306285E7)</f>
        <v>12306285</v>
      </c>
      <c r="C1278" s="222" t="str">
        <f>IFERROR(__xludf.DUMMYFUNCTION("""COMPUTED_VALUE"""),"ACH PT3 DAR-FAV D05 ACEH GRAND BAET")</f>
        <v>ACH PT3 DAR-FAV D05 ACEH GRAND BAET</v>
      </c>
      <c r="D1278" s="222" t="str">
        <f>IFERROR(__xludf.DUMMYFUNCTION("""COMPUTED_VALUE"""),"REGIONAL I")</f>
        <v>REGIONAL I</v>
      </c>
      <c r="E1278" s="222" t="str">
        <f>IFERROR(__xludf.DUMMYFUNCTION("""COMPUTED_VALUE"""),"ACEH")</f>
        <v>ACEH</v>
      </c>
      <c r="F1278" s="222" t="str">
        <f>IFERROR(__xludf.DUMMYFUNCTION("""COMPUTED_VALUE"""),"DAR")</f>
        <v>DAR</v>
      </c>
      <c r="G1278" s="222" t="str">
        <f>IFERROR(__xludf.DUMMYFUNCTION("""COMPUTED_VALUE"""),"SUMBAGUT")</f>
        <v>SUMBAGUT</v>
      </c>
      <c r="H1278" s="222" t="str">
        <f>IFERROR(__xludf.DUMMYFUNCTION("""COMPUTED_VALUE"""),"BANDA ACEH")</f>
        <v>BANDA ACEH</v>
      </c>
      <c r="I1278" s="222" t="str">
        <f>IFERROR(__xludf.DUMMYFUNCTION("""COMPUTED_VALUE"""),"Batch 2")</f>
        <v>Batch 2</v>
      </c>
      <c r="J1278" s="225">
        <f>IFERROR(__xludf.DUMMYFUNCTION("""COMPUTED_VALUE"""),10.0)</f>
        <v>10</v>
      </c>
      <c r="K1278" s="224">
        <f>IFERROR(__xludf.DUMMYFUNCTION("""COMPUTED_VALUE"""),96.0)</f>
        <v>96</v>
      </c>
      <c r="L1278" s="226">
        <f>IFERROR(__xludf.DUMMYFUNCTION("""COMPUTED_VALUE"""),792233.0)</f>
        <v>792233</v>
      </c>
      <c r="M1278" s="227">
        <f>IFERROR(__xludf.DUMMYFUNCTION("""COMPUTED_VALUE"""),7.6054316E7)</f>
        <v>76054316</v>
      </c>
      <c r="N1278" s="222" t="str">
        <f>IFERROR(__xludf.DUMMYFUNCTION("""COMPUTED_VALUE"""),"PT NURISA JAYA PERKASA")</f>
        <v>PT NURISA JAYA PERKASA</v>
      </c>
      <c r="O1278" s="222" t="str">
        <f>IFERROR(__xludf.DUMMYFUNCTION("""COMPUTED_VALUE"""),"7. GOLIVE")</f>
        <v>7. GOLIVE</v>
      </c>
      <c r="P1278" s="222" t="str">
        <f>IFERROR(__xludf.DUMMYFUNCTION("""COMPUTED_VALUE"""),"7.2 Golive Full / OA / DONE OTB")</f>
        <v>7.2 Golive Full / OA / DONE OTB</v>
      </c>
      <c r="Q1278" s="222" t="str">
        <f>IFERROR(__xludf.DUMMYFUNCTION("""COMPUTED_VALUE"""),"(23/04) Penarikan Kabel (21/04) Tanam Tiang (06/04) Waiting Material Ready (07/02) Proses negosiasi dgn Kepala Desa (12/01) done aanwizing th 2025, (07/01) Persiapan")</f>
        <v>(23/04) Penarikan Kabel (21/04) Tanam Tiang (06/04) Waiting Material Ready (07/02) Proses negosiasi dgn Kepala Desa (12/01) done aanwizing th 2025, (07/01) Persiapan</v>
      </c>
      <c r="R1278" s="228">
        <f>IFERROR(__xludf.DUMMYFUNCTION("""COMPUTED_VALUE"""),46138.0)</f>
        <v>46138</v>
      </c>
      <c r="S1278" s="11" t="str">
        <f>IFERROR(__xludf.DUMMYFUNCTION("""COMPUTED_VALUE"""),"APR")</f>
        <v>APR</v>
      </c>
      <c r="T1278" s="73" t="str">
        <f>IFERROR(__xludf.DUMMYFUNCTION("""COMPUTED_VALUE"""),"P1")</f>
        <v>P1</v>
      </c>
      <c r="U1278" s="11"/>
      <c r="V1278" s="229" t="str">
        <f>IFERROR(__xludf.DUMMYFUNCTION("""COMPUTED_VALUE"""),"18/Apr/2026")</f>
        <v>18/Apr/2026</v>
      </c>
      <c r="W1278" s="229"/>
      <c r="X1278" s="229" t="str">
        <f>IFERROR(__xludf.DUMMYFUNCTION("""COMPUTED_VALUE"""),"GOLIVE")</f>
        <v>GOLIVE</v>
      </c>
      <c r="Y1278" s="229" t="str">
        <f>IFERROR(__xludf.DUMMYFUNCTION("""COMPUTED_VALUE"""),"DONE, Distribusi Penuh")</f>
        <v>DONE, Distribusi Penuh</v>
      </c>
      <c r="Z1278" s="229" t="str">
        <f>IFERROR(__xludf.DUMMYFUNCTION("""COMPUTED_VALUE"""),"#N/A")</f>
        <v>#N/A</v>
      </c>
      <c r="AA1278" s="229">
        <f>IFERROR(__xludf.DUMMYFUNCTION("""COMPUTED_VALUE"""),12.0)</f>
        <v>12</v>
      </c>
      <c r="AB1278" s="229"/>
      <c r="AC1278" s="229" t="str">
        <f>IFERROR(__xludf.DUMMYFUNCTION("""COMPUTED_VALUE"""),"9311746#9311751")</f>
        <v>9311746#9311751</v>
      </c>
      <c r="AD1278" s="232">
        <f>IFERROR(__xludf.DUMMYFUNCTION("""COMPUTED_VALUE"""),96.0)</f>
        <v>96</v>
      </c>
      <c r="AE1278" s="233">
        <f>IFERROR(__xludf.DUMMYFUNCTION("""COMPUTED_VALUE"""),46138.0)</f>
        <v>46138</v>
      </c>
      <c r="AF1278" s="54"/>
      <c r="AG1278" s="54"/>
      <c r="AH1278" s="54"/>
      <c r="AI1278" s="55">
        <f t="shared" si="137"/>
        <v>0</v>
      </c>
      <c r="AW1278" s="234"/>
      <c r="BP1278" s="11"/>
      <c r="BQ1278" s="11"/>
      <c r="BR1278" s="235"/>
      <c r="BV1278" s="158"/>
      <c r="BY1278" s="158"/>
      <c r="CB1278" s="158"/>
    </row>
    <row r="1279" ht="18.0" hidden="1" customHeight="1">
      <c r="A1279" s="222">
        <f>IFERROR(__xludf.DUMMYFUNCTION("""COMPUTED_VALUE"""),2026.0)</f>
        <v>2026</v>
      </c>
      <c r="B1279" s="221">
        <f>IFERROR(__xludf.DUMMYFUNCTION("""COMPUTED_VALUE"""),1.2439083E7)</f>
        <v>12439083</v>
      </c>
      <c r="C1279" s="222" t="str">
        <f>IFERROR(__xludf.DUMMYFUNCTION("""COMPUTED_VALUE"""),"SMS P4I4 PT3 PLJ FBL D01 CLUSTER ZAMZAM1")</f>
        <v>SMS P4I4 PT3 PLJ FBL D01 CLUSTER ZAMZAM1</v>
      </c>
      <c r="D1279" s="222" t="str">
        <f>IFERROR(__xludf.DUMMYFUNCTION("""COMPUTED_VALUE"""),"REGIONAL I")</f>
        <v>REGIONAL I</v>
      </c>
      <c r="E1279" s="222" t="str">
        <f>IFERROR(__xludf.DUMMYFUNCTION("""COMPUTED_VALUE"""),"SUMSEL")</f>
        <v>SUMSEL</v>
      </c>
      <c r="F1279" s="222" t="str">
        <f>IFERROR(__xludf.DUMMYFUNCTION("""COMPUTED_VALUE"""),"PLJ")</f>
        <v>PLJ</v>
      </c>
      <c r="G1279" s="222" t="str">
        <f>IFERROR(__xludf.DUMMYFUNCTION("""COMPUTED_VALUE"""),"SUMBAGSEL")</f>
        <v>SUMBAGSEL</v>
      </c>
      <c r="H1279" s="222" t="str">
        <f>IFERROR(__xludf.DUMMYFUNCTION("""COMPUTED_VALUE"""),"PALEMBANG")</f>
        <v>PALEMBANG</v>
      </c>
      <c r="I1279" s="222" t="str">
        <f>IFERROR(__xludf.DUMMYFUNCTION("""COMPUTED_VALUE"""),"Batch 2")</f>
        <v>Batch 2</v>
      </c>
      <c r="J1279" s="225">
        <f>IFERROR(__xludf.DUMMYFUNCTION("""COMPUTED_VALUE"""),2.0)</f>
        <v>2</v>
      </c>
      <c r="K1279" s="224">
        <f>IFERROR(__xludf.DUMMYFUNCTION("""COMPUTED_VALUE"""),16.0)</f>
        <v>16</v>
      </c>
      <c r="L1279" s="226">
        <f>IFERROR(__xludf.DUMMYFUNCTION("""COMPUTED_VALUE"""),790816.0)</f>
        <v>790816</v>
      </c>
      <c r="M1279" s="227">
        <f>IFERROR(__xludf.DUMMYFUNCTION("""COMPUTED_VALUE"""),1.2653053E7)</f>
        <v>12653053</v>
      </c>
      <c r="N1279" s="222" t="str">
        <f>IFERROR(__xludf.DUMMYFUNCTION("""COMPUTED_VALUE"""),"PT ACERO CETHA METALINDO")</f>
        <v>PT ACERO CETHA METALINDO</v>
      </c>
      <c r="O1279" s="222" t="str">
        <f>IFERROR(__xludf.DUMMYFUNCTION("""COMPUTED_VALUE"""),"0. DROP")</f>
        <v>0. DROP</v>
      </c>
      <c r="P1279" s="222" t="str">
        <f>IFERROR(__xludf.DUMMYFUNCTION("""COMPUTED_VALUE"""),"0.2 Tidak Dapat Izin Warga/Kades/Lurah/Developer")</f>
        <v>0.2 Tidak Dapat Izin Warga/Kades/Lurah/Developer</v>
      </c>
      <c r="Q1279" s="222" t="str">
        <f>IFERROR(__xludf.DUMMYFUNCTION("""COMPUTED_VALUE"""),"24/03 DROP, 13/03 HOLD - SDH DI FU TP BLM ADA KABAR TERKAIT KEPASTIAN DARI SALES HARUS DI LANJUT ATAU TIDAK,12/03 HOLD - MENUNGGU KEPASTIAN DARI SALES HARUS DI LANJUT ATAU TIDAK, 02/03 OGP REVIEW TIF, 27/02 DONE RFC - NOTE : SDH ADA PROVIDER LAIN DI LOKAS"&amp;"I SDH INFO SALES TP BLM ADA RESPON, 26/02 PARALEL, MENUNGGU ANTRIAN PEKERJAAN, 25/02 OGP PENGAMBILAN MATERIAL 24/02 BELUM APPROVE INPUT MATERIAL, 22/2 masih menunggu Tiang 16/02 PROSES INPUT MATERIAL - KENDALA OVER BUDGET. 11/2 izin oke,  PR- PO 10/02 DON"&amp;"E DRM, 6/2 plan input material 9 FEB, 04/02 DONE EVAL, LANJUT DRM, 25/01 PERIZINAN KE PIHAK DEVELOPER, (21/01) HI aanwjizng ke lokasi,  (15/1) ORDER DITERIMA MITRA 14/1, plan Aanwijdzing 19 Jan  (06/01)order JPP batch-2 2026 ((14/11)HOLD-  tidak masuk tar"&amp;"get Optimis 2025 (14/11 sudah selesai aanwijdzing, 13/11 aanwidjzing, (11/11) Penunjukkan MITRA  oleh Procurement ")</f>
        <v>24/03 DROP, 13/03 HOLD - SDH DI FU TP BLM ADA KABAR TERKAIT KEPASTIAN DARI SALES HARUS DI LANJUT ATAU TIDAK,12/03 HOLD - MENUNGGU KEPASTIAN DARI SALES HARUS DI LANJUT ATAU TIDAK, 02/03 OGP REVIEW TIF, 27/02 DONE RFC - NOTE : SDH ADA PROVIDER LAIN DI LOKASI SDH INFO SALES TP BLM ADA RESPON, 26/02 PARALEL, MENUNGGU ANTRIAN PEKERJAAN, 25/02 OGP PENGAMBILAN MATERIAL 24/02 BELUM APPROVE INPUT MATERIAL, 22/2 masih menunggu Tiang 16/02 PROSES INPUT MATERIAL - KENDALA OVER BUDGET. 11/2 izin oke,  PR- PO 10/02 DONE DRM, 6/2 plan input material 9 FEB, 04/02 DONE EVAL, LANJUT DRM, 25/01 PERIZINAN KE PIHAK DEVELOPER, (21/01) HI aanwjizng ke lokasi,  (15/1) ORDER DITERIMA MITRA 14/1, plan Aanwijdzing 19 Jan  (06/01)order JPP batch-2 2026 ((14/11)HOLD-  tidak masuk target Optimis 2025 (14/11 sudah selesai aanwijdzing, 13/11 aanwidjzing, (11/11) Penunjukkan MITRA  oleh Procurement </v>
      </c>
      <c r="R1279" s="228"/>
      <c r="S1279" s="11"/>
      <c r="T1279" s="11"/>
      <c r="U1279" s="11"/>
      <c r="V1279" s="229" t="str">
        <f>IFERROR(__xludf.DUMMYFUNCTION("""COMPUTED_VALUE"""),"PRIGUS")</f>
        <v>PRIGUS</v>
      </c>
      <c r="W1279" s="229"/>
      <c r="X1279" s="229" t="str">
        <f>IFERROR(__xludf.DUMMYFUNCTION("""COMPUTED_VALUE"""),"BELUM GOLIVE")</f>
        <v>BELUM GOLIVE</v>
      </c>
      <c r="Y1279" s="229"/>
      <c r="Z1279" s="229" t="str">
        <f>IFERROR(__xludf.DUMMYFUNCTION("""COMPUTED_VALUE"""),"#N/A")</f>
        <v>#N/A</v>
      </c>
      <c r="AA1279" s="229"/>
      <c r="AB1279" s="229"/>
      <c r="AC1279" s="229"/>
      <c r="AD1279" s="232"/>
      <c r="AE1279" s="233"/>
      <c r="AF1279" s="54" t="str">
        <f>IFERROR(__xludf.DUMMYFUNCTION("""COMPUTED_VALUE"""),"Draft BA DROP")</f>
        <v>Draft BA DROP</v>
      </c>
      <c r="AG1279" s="54"/>
      <c r="AH1279" s="54"/>
      <c r="AI1279" s="55" t="str">
        <f t="shared" si="137"/>
        <v/>
      </c>
      <c r="AW1279" s="234"/>
      <c r="BP1279" s="11"/>
      <c r="BQ1279" s="11"/>
      <c r="BR1279" s="235"/>
      <c r="BV1279" s="158"/>
      <c r="BY1279" s="158"/>
      <c r="CB1279" s="158"/>
    </row>
    <row r="1280" ht="18.0" hidden="1" customHeight="1">
      <c r="A1280" s="222">
        <f>IFERROR(__xludf.DUMMYFUNCTION("""COMPUTED_VALUE"""),2026.0)</f>
        <v>2026</v>
      </c>
      <c r="B1280" s="221">
        <f>IFERROR(__xludf.DUMMYFUNCTION("""COMPUTED_VALUE"""),1.1536098E7)</f>
        <v>11536098</v>
      </c>
      <c r="C1280" s="222" t="str">
        <f>IFERROR(__xludf.DUMMYFUNCTION("""COMPUTED_VALUE"""),"MDN PT3 SPM-FCQ PSR 4 SLAMBO")</f>
        <v>MDN PT3 SPM-FCQ PSR 4 SLAMBO</v>
      </c>
      <c r="D1280" s="222" t="str">
        <f>IFERROR(__xludf.DUMMYFUNCTION("""COMPUTED_VALUE"""),"REGIONAL I")</f>
        <v>REGIONAL I</v>
      </c>
      <c r="E1280" s="222" t="str">
        <f>IFERROR(__xludf.DUMMYFUNCTION("""COMPUTED_VALUE"""),"MEDAN")</f>
        <v>MEDAN</v>
      </c>
      <c r="F1280" s="222" t="str">
        <f>IFERROR(__xludf.DUMMYFUNCTION("""COMPUTED_VALUE"""),"SPM")</f>
        <v>SPM</v>
      </c>
      <c r="G1280" s="222" t="str">
        <f>IFERROR(__xludf.DUMMYFUNCTION("""COMPUTED_VALUE"""),"SUMBAGUT")</f>
        <v>SUMBAGUT</v>
      </c>
      <c r="H1280" s="222" t="str">
        <f>IFERROR(__xludf.DUMMYFUNCTION("""COMPUTED_VALUE"""),"MEDAN")</f>
        <v>MEDAN</v>
      </c>
      <c r="I1280" s="222" t="str">
        <f>IFERROR(__xludf.DUMMYFUNCTION("""COMPUTED_VALUE"""),"Batch 2")</f>
        <v>Batch 2</v>
      </c>
      <c r="J1280" s="225">
        <f>IFERROR(__xludf.DUMMYFUNCTION("""COMPUTED_VALUE"""),4.0)</f>
        <v>4</v>
      </c>
      <c r="K1280" s="224">
        <f>IFERROR(__xludf.DUMMYFUNCTION("""COMPUTED_VALUE"""),40.0)</f>
        <v>40</v>
      </c>
      <c r="L1280" s="226">
        <f>IFERROR(__xludf.DUMMYFUNCTION("""COMPUTED_VALUE"""),956590.0)</f>
        <v>956590</v>
      </c>
      <c r="M1280" s="227">
        <f>IFERROR(__xludf.DUMMYFUNCTION("""COMPUTED_VALUE"""),3.82636E7)</f>
        <v>38263600</v>
      </c>
      <c r="N1280" s="222" t="str">
        <f>IFERROR(__xludf.DUMMYFUNCTION("""COMPUTED_VALUE"""),"PT WALET SOLUSINDO")</f>
        <v>PT WALET SOLUSINDO</v>
      </c>
      <c r="O1280" s="222" t="str">
        <f>IFERROR(__xludf.DUMMYFUNCTION("""COMPUTED_VALUE"""),"0. DROP")</f>
        <v>0. DROP</v>
      </c>
      <c r="P1280" s="222" t="str">
        <f>IFERROR(__xludf.DUMMYFUNCTION("""COMPUTED_VALUE"""),"0.3 Feeder Full")</f>
        <v>0.3 Feeder Full</v>
      </c>
      <c r="Q1280"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1280" s="228"/>
      <c r="S1280" s="11"/>
      <c r="T1280" s="11"/>
      <c r="U1280" s="11"/>
      <c r="V1280" s="229"/>
      <c r="W1280" s="229"/>
      <c r="X1280" s="229" t="str">
        <f>IFERROR(__xludf.DUMMYFUNCTION("""COMPUTED_VALUE"""),"BELUM GOLIVE")</f>
        <v>BELUM GOLIVE</v>
      </c>
      <c r="Y1280" s="229"/>
      <c r="Z1280" s="229" t="str">
        <f>IFERROR(__xludf.DUMMYFUNCTION("""COMPUTED_VALUE"""),"#N/A")</f>
        <v>#N/A</v>
      </c>
      <c r="AA1280" s="229"/>
      <c r="AB1280" s="229"/>
      <c r="AC1280" s="229"/>
      <c r="AD1280" s="232"/>
      <c r="AE1280" s="233"/>
      <c r="AF1280" s="54"/>
      <c r="AG1280" s="54"/>
      <c r="AH1280" s="54">
        <v>46137.0</v>
      </c>
      <c r="AI1280" s="237">
        <f>AH1280-NOW()</f>
        <v>-3.377989919</v>
      </c>
      <c r="AJ1280" s="229" t="str">
        <f>if(AI1280&gt;=0,"In Komitmen","Out Komitmen")</f>
        <v>Out Komitmen</v>
      </c>
      <c r="AK1280" s="229" t="e">
        <v>#N/A</v>
      </c>
      <c r="AW1280" s="234"/>
      <c r="BP1280" s="11"/>
      <c r="BQ1280" s="11"/>
      <c r="BR1280" s="235"/>
      <c r="BV1280" s="158"/>
      <c r="BY1280" s="158"/>
      <c r="CB1280" s="158"/>
    </row>
    <row r="1281" ht="18.0" customHeight="1">
      <c r="A1281" s="222">
        <f>IFERROR(__xludf.DUMMYFUNCTION("""COMPUTED_VALUE"""),2026.0)</f>
        <v>2026</v>
      </c>
      <c r="B1281" s="221">
        <f>IFERROR(__xludf.DUMMYFUNCTION("""COMPUTED_VALUE"""),1.136783E7)</f>
        <v>11367830</v>
      </c>
      <c r="C1281" s="222" t="str">
        <f>IFERROR(__xludf.DUMMYFUNCTION("""COMPUTED_VALUE"""),"RKP PT3 TSEL RAI-FF JL. HASAN RAMLI")</f>
        <v>RKP PT3 TSEL RAI-FF JL. HASAN RAMLI</v>
      </c>
      <c r="D1281" s="222" t="str">
        <f>IFERROR(__xludf.DUMMYFUNCTION("""COMPUTED_VALUE"""),"REGIONAL I")</f>
        <v>REGIONAL I</v>
      </c>
      <c r="E1281" s="222" t="str">
        <f>IFERROR(__xludf.DUMMYFUNCTION("""COMPUTED_VALUE"""),"RIKEP")</f>
        <v>RIKEP</v>
      </c>
      <c r="F1281" s="222" t="str">
        <f>IFERROR(__xludf.DUMMYFUNCTION("""COMPUTED_VALUE"""),"RAI")</f>
        <v>RAI</v>
      </c>
      <c r="G1281" s="222" t="str">
        <f>IFERROR(__xludf.DUMMYFUNCTION("""COMPUTED_VALUE"""),"SUMBAGTENG")</f>
        <v>SUMBAGTENG</v>
      </c>
      <c r="H1281" s="222" t="str">
        <f>IFERROR(__xludf.DUMMYFUNCTION("""COMPUTED_VALUE"""),"BATAM")</f>
        <v>BATAM</v>
      </c>
      <c r="I1281" s="222" t="str">
        <f>IFERROR(__xludf.DUMMYFUNCTION("""COMPUTED_VALUE"""),"Batch 2")</f>
        <v>Batch 2</v>
      </c>
      <c r="J1281" s="225">
        <f>IFERROR(__xludf.DUMMYFUNCTION("""COMPUTED_VALUE"""),1.0)</f>
        <v>1</v>
      </c>
      <c r="K1281" s="224">
        <f>IFERROR(__xludf.DUMMYFUNCTION("""COMPUTED_VALUE"""),8.0)</f>
        <v>8</v>
      </c>
      <c r="L1281" s="226">
        <f>IFERROR(__xludf.DUMMYFUNCTION("""COMPUTED_VALUE"""),789925.0)</f>
        <v>789925</v>
      </c>
      <c r="M1281" s="227">
        <f>IFERROR(__xludf.DUMMYFUNCTION("""COMPUTED_VALUE"""),6319397.0)</f>
        <v>6319397</v>
      </c>
      <c r="N1281" s="222" t="str">
        <f>IFERROR(__xludf.DUMMYFUNCTION("""COMPUTED_VALUE"""),"SWAKELOLA")</f>
        <v>SWAKELOLA</v>
      </c>
      <c r="O1281" s="222" t="str">
        <f>IFERROR(__xludf.DUMMYFUNCTION("""COMPUTED_VALUE"""),"4. MATDEL")</f>
        <v>4. MATDEL</v>
      </c>
      <c r="P1281" s="222" t="str">
        <f>IFERROR(__xludf.DUMMYFUNCTION("""COMPUTED_VALUE"""),"4.3 Proses Kirim Mateial Kelokasi")</f>
        <v>4.3 Proses Kirim Mateial Kelokasi</v>
      </c>
      <c r="Q1281"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281" s="228"/>
      <c r="S1281" s="11"/>
      <c r="T1281" s="11"/>
      <c r="U1281" s="11" t="str">
        <f>IFERROR(__xludf.DUMMYFUNCTION("""COMPUTED_VALUE"""),"W09-233/2026")</f>
        <v>W09-233/2026</v>
      </c>
      <c r="V1281" s="229" t="str">
        <f>IFERROR(__xludf.DUMMYFUNCTION("""COMPUTED_VALUE"""),"DEDY IRAWAN")</f>
        <v>DEDY IRAWAN</v>
      </c>
      <c r="W1281" s="229" t="str">
        <f>IFERROR(__xludf.DUMMYFUNCTION("""COMPUTED_VALUE"""),"LEVITA INDRIYANI")</f>
        <v>LEVITA INDRIYANI</v>
      </c>
      <c r="X1281" s="229" t="str">
        <f>IFERROR(__xludf.DUMMYFUNCTION("""COMPUTED_VALUE"""),"BELUM GOLIVE")</f>
        <v>BELUM GOLIVE</v>
      </c>
      <c r="Y1281" s="229"/>
      <c r="Z1281" s="229" t="str">
        <f>IFERROR(__xludf.DUMMYFUNCTION("""COMPUTED_VALUE"""),"#N/A")</f>
        <v>#N/A</v>
      </c>
      <c r="AA1281" s="229"/>
      <c r="AB1281" s="229"/>
      <c r="AC1281" s="229"/>
      <c r="AD1281" s="232"/>
      <c r="AE1281" s="233"/>
      <c r="AF1281" s="54"/>
      <c r="AG1281" s="54"/>
      <c r="AH1281" s="54"/>
      <c r="AI1281" s="55" t="str">
        <f t="shared" ref="AI1281:AI1282" si="138">IF(OR(R1281="",AE1281=""),"",R1281-AE1281)</f>
        <v/>
      </c>
      <c r="AW1281" s="234"/>
      <c r="BP1281" s="11"/>
      <c r="BQ1281" s="11"/>
      <c r="BR1281" s="235"/>
      <c r="BV1281" s="158"/>
      <c r="BY1281" s="158"/>
      <c r="CB1281" s="158"/>
    </row>
    <row r="1282" ht="18.0" customHeight="1">
      <c r="A1282" s="222">
        <f>IFERROR(__xludf.DUMMYFUNCTION("""COMPUTED_VALUE"""),2026.0)</f>
        <v>2026</v>
      </c>
      <c r="B1282" s="221">
        <f>IFERROR(__xludf.DUMMYFUNCTION("""COMPUTED_VALUE"""),1.2077665E7)</f>
        <v>12077665</v>
      </c>
      <c r="C1282" s="222" t="str">
        <f>IFERROR(__xludf.DUMMYFUNCTION("""COMPUTED_VALUE"""),"RKP TSEL PT3 BDS-FAA TIBAN MC DERMOTT")</f>
        <v>RKP TSEL PT3 BDS-FAA TIBAN MC DERMOTT</v>
      </c>
      <c r="D1282" s="222" t="str">
        <f>IFERROR(__xludf.DUMMYFUNCTION("""COMPUTED_VALUE"""),"REGIONAL I")</f>
        <v>REGIONAL I</v>
      </c>
      <c r="E1282" s="222" t="str">
        <f>IFERROR(__xludf.DUMMYFUNCTION("""COMPUTED_VALUE"""),"RIKEP")</f>
        <v>RIKEP</v>
      </c>
      <c r="F1282" s="222" t="str">
        <f>IFERROR(__xludf.DUMMYFUNCTION("""COMPUTED_VALUE"""),"DGS")</f>
        <v>DGS</v>
      </c>
      <c r="G1282" s="222" t="str">
        <f>IFERROR(__xludf.DUMMYFUNCTION("""COMPUTED_VALUE"""),"SUMBAGTENG")</f>
        <v>SUMBAGTENG</v>
      </c>
      <c r="H1282" s="222" t="str">
        <f>IFERROR(__xludf.DUMMYFUNCTION("""COMPUTED_VALUE"""),"BATAM")</f>
        <v>BATAM</v>
      </c>
      <c r="I1282" s="222" t="str">
        <f>IFERROR(__xludf.DUMMYFUNCTION("""COMPUTED_VALUE"""),"Batch 2")</f>
        <v>Batch 2</v>
      </c>
      <c r="J1282" s="225">
        <f>IFERROR(__xludf.DUMMYFUNCTION("""COMPUTED_VALUE"""),3.0)</f>
        <v>3</v>
      </c>
      <c r="K1282" s="224">
        <f>IFERROR(__xludf.DUMMYFUNCTION("""COMPUTED_VALUE"""),24.0)</f>
        <v>24</v>
      </c>
      <c r="L1282" s="226">
        <f>IFERROR(__xludf.DUMMYFUNCTION("""COMPUTED_VALUE"""),789707.0)</f>
        <v>789707</v>
      </c>
      <c r="M1282" s="227">
        <f>IFERROR(__xludf.DUMMYFUNCTION("""COMPUTED_VALUE"""),1.8952963E7)</f>
        <v>18952963</v>
      </c>
      <c r="N1282" s="222" t="str">
        <f>IFERROR(__xludf.DUMMYFUNCTION("""COMPUTED_VALUE"""),"PT HDUA PUTRA PRAJODA")</f>
        <v>PT HDUA PUTRA PRAJODA</v>
      </c>
      <c r="O1282" s="222" t="str">
        <f>IFERROR(__xludf.DUMMYFUNCTION("""COMPUTED_VALUE"""),"0. DROP")</f>
        <v>0. DROP</v>
      </c>
      <c r="P1282" s="222" t="str">
        <f>IFERROR(__xludf.DUMMYFUNCTION("""COMPUTED_VALUE"""),"0.2 Tidak Dapat Izin Warga/Kades/Lurah/Developer")</f>
        <v>0.2 Tidak Dapat Izin Warga/Kades/Lurah/Developer</v>
      </c>
      <c r="Q1282" s="222" t="str">
        <f>IFERROR(__xludf.DUMMYFUNCTION("""COMPUTED_VALUE"""),"28/01 Izin di tolak RT, sudah ngajukan proposal 17 agustus tahun lalu tapi di tolak. 21/01 Plan survey 30 Jan")</f>
        <v>28/01 Izin di tolak RT, sudah ngajukan proposal 17 agustus tahun lalu tapi di tolak. 21/01 Plan survey 30 Jan</v>
      </c>
      <c r="R1282" s="228"/>
      <c r="S1282" s="11"/>
      <c r="T1282" s="11"/>
      <c r="U1282" s="11"/>
      <c r="V1282" s="229" t="str">
        <f>IFERROR(__xludf.DUMMYFUNCTION("""COMPUTED_VALUE"""),"GANI PRASTYO")</f>
        <v>GANI PRASTYO</v>
      </c>
      <c r="W1282" s="229" t="str">
        <f>IFERROR(__xludf.DUMMYFUNCTION("""COMPUTED_VALUE"""),"LEVITA INDRIYANI")</f>
        <v>LEVITA INDRIYANI</v>
      </c>
      <c r="X1282" s="229" t="str">
        <f>IFERROR(__xludf.DUMMYFUNCTION("""COMPUTED_VALUE"""),"BELUM GOLIVE")</f>
        <v>BELUM GOLIVE</v>
      </c>
      <c r="Y1282" s="229"/>
      <c r="Z1282" s="229" t="str">
        <f>IFERROR(__xludf.DUMMYFUNCTION("""COMPUTED_VALUE"""),"#N/A")</f>
        <v>#N/A</v>
      </c>
      <c r="AA1282" s="229"/>
      <c r="AB1282" s="229"/>
      <c r="AC1282" s="229"/>
      <c r="AD1282" s="232"/>
      <c r="AE1282" s="233"/>
      <c r="AF1282" s="54" t="str">
        <f>IFERROR(__xludf.DUMMYFUNCTION("""COMPUTED_VALUE"""),"Draft BA DROP")</f>
        <v>Draft BA DROP</v>
      </c>
      <c r="AG1282" s="54"/>
      <c r="AH1282" s="54"/>
      <c r="AI1282" s="55" t="str">
        <f t="shared" si="138"/>
        <v/>
      </c>
      <c r="AW1282" s="234"/>
      <c r="BP1282" s="11"/>
      <c r="BQ1282" s="11"/>
      <c r="BR1282" s="235"/>
      <c r="BV1282" s="158"/>
      <c r="BY1282" s="158"/>
      <c r="CB1282" s="158"/>
    </row>
    <row r="1283" ht="18.0" customHeight="1">
      <c r="A1283" s="222">
        <f>IFERROR(__xludf.DUMMYFUNCTION("""COMPUTED_VALUE"""),2026.0)</f>
        <v>2026</v>
      </c>
      <c r="B1283" s="221">
        <f>IFERROR(__xludf.DUMMYFUNCTION("""COMPUTED_VALUE"""),1.2487267E7)</f>
        <v>12487267</v>
      </c>
      <c r="C1283" s="222" t="str">
        <f>IFERROR(__xludf.DUMMYFUNCTION("""COMPUTED_VALUE"""),"RDR JPP PT3 BENGKALIS_9640")</f>
        <v>RDR JPP PT3 BENGKALIS_9640</v>
      </c>
      <c r="D1283" s="222" t="str">
        <f>IFERROR(__xludf.DUMMYFUNCTION("""COMPUTED_VALUE"""),"REGIONAL I")</f>
        <v>REGIONAL I</v>
      </c>
      <c r="E1283" s="222" t="str">
        <f>IFERROR(__xludf.DUMMYFUNCTION("""COMPUTED_VALUE"""),"RIDAR")</f>
        <v>RIDAR</v>
      </c>
      <c r="F1283" s="222" t="str">
        <f>IFERROR(__xludf.DUMMYFUNCTION("""COMPUTED_VALUE"""),"BAS")</f>
        <v>BAS</v>
      </c>
      <c r="G1283" s="222" t="str">
        <f>IFERROR(__xludf.DUMMYFUNCTION("""COMPUTED_VALUE"""),"SUMBAGTENG")</f>
        <v>SUMBAGTENG</v>
      </c>
      <c r="H1283" s="222" t="str">
        <f>IFERROR(__xludf.DUMMYFUNCTION("""COMPUTED_VALUE"""),"DUMAI")</f>
        <v>DUMAI</v>
      </c>
      <c r="I1283" s="222" t="str">
        <f>IFERROR(__xludf.DUMMYFUNCTION("""COMPUTED_VALUE"""),"Batch 2")</f>
        <v>Batch 2</v>
      </c>
      <c r="J1283" s="225">
        <f>IFERROR(__xludf.DUMMYFUNCTION("""COMPUTED_VALUE"""),3.0)</f>
        <v>3</v>
      </c>
      <c r="K1283" s="224">
        <f>IFERROR(__xludf.DUMMYFUNCTION("""COMPUTED_VALUE"""),24.0)</f>
        <v>24</v>
      </c>
      <c r="L1283" s="226">
        <f>IFERROR(__xludf.DUMMYFUNCTION("""COMPUTED_VALUE"""),789555.0)</f>
        <v>789555</v>
      </c>
      <c r="M1283" s="227">
        <f>IFERROR(__xludf.DUMMYFUNCTION("""COMPUTED_VALUE"""),1.8949298E7)</f>
        <v>18949298</v>
      </c>
      <c r="N1283" s="222" t="str">
        <f>IFERROR(__xludf.DUMMYFUNCTION("""COMPUTED_VALUE"""),"PT SAMUDERA PUTRA KENCANA")</f>
        <v>PT SAMUDERA PUTRA KENCANA</v>
      </c>
      <c r="O1283" s="222" t="str">
        <f>IFERROR(__xludf.DUMMYFUNCTION("""COMPUTED_VALUE"""),"7. GOLIVE")</f>
        <v>7. GOLIVE</v>
      </c>
      <c r="P1283" s="222" t="str">
        <f>IFERROR(__xludf.DUMMYFUNCTION("""COMPUTED_VALUE"""),"7.2 Golive Full / OA / DONE OTB")</f>
        <v>7.2 Golive Full / OA / DONE OTB</v>
      </c>
      <c r="Q1283" s="222" t="str">
        <f>IFERROR(__xludf.DUMMYFUNCTION("""COMPUTED_VALUE"""),"10/02 Penanaman tiang Penarikan kabel 29/01 Antrian Tim Mitra (08/01) DROP, permintaan tsel (tidak potensial) (07/01) Persiapan")</f>
        <v>10/02 Penanaman tiang Penarikan kabel 29/01 Antrian Tim Mitra (08/01) DROP, permintaan tsel (tidak potensial) (07/01) Persiapan</v>
      </c>
      <c r="R1283" s="228">
        <f>IFERROR(__xludf.DUMMYFUNCTION("""COMPUTED_VALUE"""),46073.0)</f>
        <v>46073</v>
      </c>
      <c r="S1283" s="11"/>
      <c r="T1283" s="11"/>
      <c r="U1283" s="11" t="str">
        <f>IFERROR(__xludf.DUMMYFUNCTION("""COMPUTED_VALUE"""),"W08-85/2026")</f>
        <v>W08-85/2026</v>
      </c>
      <c r="V1283" s="229" t="str">
        <f>IFERROR(__xludf.DUMMYFUNCTION("""COMPUTED_VALUE"""),"PIKI NOFRI SAPUTRA")</f>
        <v>PIKI NOFRI SAPUTRA</v>
      </c>
      <c r="W1283" s="229" t="str">
        <f>IFERROR(__xludf.DUMMYFUNCTION("""COMPUTED_VALUE"""),"ANZALA SAKINAH")</f>
        <v>ANZALA SAKINAH</v>
      </c>
      <c r="X1283" s="229" t="str">
        <f>IFERROR(__xludf.DUMMYFUNCTION("""COMPUTED_VALUE"""),"GOLIVE")</f>
        <v>GOLIVE</v>
      </c>
      <c r="Y1283" s="229" t="str">
        <f>IFERROR(__xludf.DUMMYFUNCTION("""COMPUTED_VALUE"""),"DONE")</f>
        <v>DONE</v>
      </c>
      <c r="Z1283" s="229" t="str">
        <f>IFERROR(__xludf.DUMMYFUNCTION("""COMPUTED_VALUE"""),"#N/A")</f>
        <v>#N/A</v>
      </c>
      <c r="AA1283" s="229">
        <f>IFERROR(__xludf.DUMMYFUNCTION("""COMPUTED_VALUE"""),3.0)</f>
        <v>3</v>
      </c>
      <c r="AB1283" s="229"/>
      <c r="AC1283" s="229" t="str">
        <f>IFERROR(__xludf.DUMMYFUNCTION("""COMPUTED_VALUE"""),"8966882#8966887")</f>
        <v>8966882#8966887</v>
      </c>
      <c r="AD1283" s="232">
        <f>IFERROR(__xludf.DUMMYFUNCTION("""COMPUTED_VALUE"""),24.0)</f>
        <v>24</v>
      </c>
      <c r="AE1283" s="233">
        <f>IFERROR(__xludf.DUMMYFUNCTION("""COMPUTED_VALUE"""),46073.0)</f>
        <v>46073</v>
      </c>
      <c r="AF1283" s="54"/>
      <c r="AG1283" s="54"/>
      <c r="AH1283" s="54">
        <v>46126.0</v>
      </c>
      <c r="AI1283" s="237">
        <f>AH1283-NOW()</f>
        <v>-14.37798992</v>
      </c>
      <c r="AJ1283" s="229" t="str">
        <f t="shared" ref="AJ1283:AJ1284" si="139">if(AI1283&gt;=0,"In Komitmen","Out Komitmen")</f>
        <v>Out Komitmen</v>
      </c>
      <c r="AW1283" s="234"/>
      <c r="BP1283" s="11"/>
      <c r="BQ1283" s="11"/>
      <c r="BR1283" s="235"/>
      <c r="BV1283" s="158"/>
      <c r="BY1283" s="158"/>
      <c r="CB1283" s="158"/>
    </row>
    <row r="1284" ht="18.0" customHeight="1">
      <c r="A1284" s="222">
        <f>IFERROR(__xludf.DUMMYFUNCTION("""COMPUTED_VALUE"""),2026.0)</f>
        <v>2026</v>
      </c>
      <c r="B1284" s="221">
        <f>IFERROR(__xludf.DUMMYFUNCTION("""COMPUTED_VALUE"""),1.124751E7)</f>
        <v>11247510</v>
      </c>
      <c r="C1284" s="222" t="str">
        <f>IFERROR(__xludf.DUMMYFUNCTION("""COMPUTED_VALUE"""),"SMB PT3 MD PADANG PARIAMAN_240")</f>
        <v>SMB PT3 MD PADANG PARIAMAN_240</v>
      </c>
      <c r="D1284" s="222" t="str">
        <f>IFERROR(__xludf.DUMMYFUNCTION("""COMPUTED_VALUE"""),"REGIONAL I")</f>
        <v>REGIONAL I</v>
      </c>
      <c r="E1284" s="222" t="str">
        <f>IFERROR(__xludf.DUMMYFUNCTION("""COMPUTED_VALUE"""),"SUMBAR")</f>
        <v>SUMBAR</v>
      </c>
      <c r="F1284" s="222" t="str">
        <f>IFERROR(__xludf.DUMMYFUNCTION("""COMPUTED_VALUE"""),"PRS")</f>
        <v>PRS</v>
      </c>
      <c r="G1284" s="222" t="str">
        <f>IFERROR(__xludf.DUMMYFUNCTION("""COMPUTED_VALUE"""),"SUMBAGTENG")</f>
        <v>SUMBAGTENG</v>
      </c>
      <c r="H1284" s="222" t="str">
        <f>IFERROR(__xludf.DUMMYFUNCTION("""COMPUTED_VALUE"""),"BUKIT TINGGI")</f>
        <v>BUKIT TINGGI</v>
      </c>
      <c r="I1284" s="222" t="str">
        <f>IFERROR(__xludf.DUMMYFUNCTION("""COMPUTED_VALUE"""),"Batch 2")</f>
        <v>Batch 2</v>
      </c>
      <c r="J1284" s="225">
        <f>IFERROR(__xludf.DUMMYFUNCTION("""COMPUTED_VALUE"""),12.0)</f>
        <v>12</v>
      </c>
      <c r="K1284" s="224">
        <f>IFERROR(__xludf.DUMMYFUNCTION("""COMPUTED_VALUE"""),96.0)</f>
        <v>96</v>
      </c>
      <c r="L1284" s="226">
        <f>IFERROR(__xludf.DUMMYFUNCTION("""COMPUTED_VALUE"""),788969.0)</f>
        <v>788969</v>
      </c>
      <c r="M1284" s="227">
        <f>IFERROR(__xludf.DUMMYFUNCTION("""COMPUTED_VALUE"""),7.5741012E7)</f>
        <v>75741012</v>
      </c>
      <c r="N1284" s="222" t="str">
        <f>IFERROR(__xludf.DUMMYFUNCTION("""COMPUTED_VALUE"""),"PT PUTRI JAYA AKSES")</f>
        <v>PT PUTRI JAYA AKSES</v>
      </c>
      <c r="O1284" s="222" t="str">
        <f>IFERROR(__xludf.DUMMYFUNCTION("""COMPUTED_VALUE"""),"5. INSTALASI")</f>
        <v>5. INSTALASI</v>
      </c>
      <c r="P1284" s="222" t="str">
        <f>IFERROR(__xludf.DUMMYFUNCTION("""COMPUTED_VALUE"""),"5.6 Proses Penarikan Kabel")</f>
        <v>5.6 Proses Penarikan Kabel</v>
      </c>
      <c r="Q1284" s="222" t="str">
        <f>IFERROR(__xludf.DUMMYFUNCTION("""COMPUTED_VALUE"""),"(27/04) penarikan kabel   (20/04) commcase acc, lanjut instalasi  (13/04) penanaman tiang kendala comcase pemuda jorong dan walinagari, menunggu hasil rapat  (06/04) penanaman tiang kendala comcase pemuda jorong dan walinagari, menunggu hasil rapat (02/04"&amp;") penanaman tiang kendala comcase pemuda jorong dan walinagari, menunggu hasil rapat (30/03) tanam tiang (16/03) proses matdel KE SITE (06/03) Proses create PID (05/03) PROSES CREATE PID (02/03) proses aanwijziing (26/01) DROP, permintaan tsel (tidak pote"&amp;"nsial) ")</f>
        <v>(27/04) penarikan kabel   (20/04) commcase acc, lanjut instalasi  (13/04) penanaman tiang kendala comcase pemuda jorong dan walinagari, menunggu hasil rapat  (06/04) penanaman tiang kendala comcase pemuda jorong dan walinagari, menunggu hasil rapat (02/04) penanaman tiang kendala comcase pemuda jorong dan walinagari, menunggu hasil rapat (30/03) tanam tiang (16/03) proses matdel KE SITE (06/03) Proses create PID (05/03) PROSES CREATE PID (02/03) proses aanwijziing (26/01) DROP, permintaan tsel (tidak potensial) </v>
      </c>
      <c r="R1284" s="228">
        <f>IFERROR(__xludf.DUMMYFUNCTION("""COMPUTED_VALUE"""),46139.0)</f>
        <v>46139</v>
      </c>
      <c r="S1284" s="11"/>
      <c r="T1284" s="73"/>
      <c r="U1284" s="11" t="str">
        <f>IFERROR(__xludf.DUMMYFUNCTION("""COMPUTED_VALUE"""),"TIF-5476/2026  26KT03R107-0015 ")</f>
        <v>TIF-5476/2026  26KT03R107-0015 </v>
      </c>
      <c r="V1284" s="229" t="str">
        <f>IFERROR(__xludf.DUMMYFUNCTION("""COMPUTED_VALUE"""),"JANUAR RIZAL")</f>
        <v>JANUAR RIZAL</v>
      </c>
      <c r="W1284" s="229" t="str">
        <f>IFERROR(__xludf.DUMMYFUNCTION("""COMPUTED_VALUE"""),"MELKO NARWADI")</f>
        <v>MELKO NARWADI</v>
      </c>
      <c r="X1284" s="229" t="str">
        <f>IFERROR(__xludf.DUMMYFUNCTION("""COMPUTED_VALUE"""),"BELUM GOLIVE")</f>
        <v>BELUM GOLIVE</v>
      </c>
      <c r="Y1284" s="229"/>
      <c r="Z1284" s="229" t="str">
        <f>IFERROR(__xludf.DUMMYFUNCTION("""COMPUTED_VALUE"""),"#N/A")</f>
        <v>#N/A</v>
      </c>
      <c r="AA1284" s="229"/>
      <c r="AB1284" s="229"/>
      <c r="AC1284" s="229"/>
      <c r="AD1284" s="232"/>
      <c r="AE1284" s="233"/>
      <c r="AF1284" s="54"/>
      <c r="AG1284" s="54"/>
      <c r="AH1284" s="54">
        <v>46126.0</v>
      </c>
      <c r="AI1284" s="55">
        <f>AH1284-TODAY()</f>
        <v>-14</v>
      </c>
      <c r="AJ1284" s="229" t="str">
        <f t="shared" si="139"/>
        <v>Out Komitmen</v>
      </c>
      <c r="AK1284" s="231" t="s">
        <v>199</v>
      </c>
      <c r="AW1284" s="234"/>
      <c r="BP1284" s="11"/>
      <c r="BQ1284" s="11"/>
      <c r="BR1284" s="235"/>
      <c r="BV1284" s="158"/>
      <c r="BY1284" s="158"/>
      <c r="CB1284" s="158"/>
    </row>
    <row r="1285" ht="18.0" hidden="1" customHeight="1">
      <c r="A1285" s="222">
        <f>IFERROR(__xludf.DUMMYFUNCTION("""COMPUTED_VALUE"""),2026.0)</f>
        <v>2026</v>
      </c>
      <c r="B1285" s="221">
        <f>IFERROR(__xludf.DUMMYFUNCTION("""COMPUTED_VALUE"""),1.1189691E7)</f>
        <v>11189691</v>
      </c>
      <c r="C1285" s="222" t="str">
        <f>IFERROR(__xludf.DUMMYFUNCTION("""COMPUTED_VALUE"""),"ACH PT4 BPD-FK BLANG DALAM_MD")</f>
        <v>ACH PT4 BPD-FK BLANG DALAM_MD</v>
      </c>
      <c r="D1285" s="222" t="str">
        <f>IFERROR(__xludf.DUMMYFUNCTION("""COMPUTED_VALUE"""),"REGIONAL I")</f>
        <v>REGIONAL I</v>
      </c>
      <c r="E1285" s="222" t="str">
        <f>IFERROR(__xludf.DUMMYFUNCTION("""COMPUTED_VALUE"""),"ACEH")</f>
        <v>ACEH</v>
      </c>
      <c r="F1285" s="222" t="str">
        <f>IFERROR(__xludf.DUMMYFUNCTION("""COMPUTED_VALUE"""),"BPD")</f>
        <v>BPD</v>
      </c>
      <c r="G1285" s="222" t="str">
        <f>IFERROR(__xludf.DUMMYFUNCTION("""COMPUTED_VALUE"""),"SUMBAGUT")</f>
        <v>SUMBAGUT</v>
      </c>
      <c r="H1285" s="222" t="str">
        <f>IFERROR(__xludf.DUMMYFUNCTION("""COMPUTED_VALUE"""),"BANDA ACEH")</f>
        <v>BANDA ACEH</v>
      </c>
      <c r="I1285" s="222" t="str">
        <f>IFERROR(__xludf.DUMMYFUNCTION("""COMPUTED_VALUE"""),"Batch 2")</f>
        <v>Batch 2</v>
      </c>
      <c r="J1285" s="225">
        <f>IFERROR(__xludf.DUMMYFUNCTION("""COMPUTED_VALUE"""),11.0)</f>
        <v>11</v>
      </c>
      <c r="K1285" s="224">
        <f>IFERROR(__xludf.DUMMYFUNCTION("""COMPUTED_VALUE"""),88.0)</f>
        <v>88</v>
      </c>
      <c r="L1285" s="226">
        <f>IFERROR(__xludf.DUMMYFUNCTION("""COMPUTED_VALUE"""),788677.0)</f>
        <v>788677</v>
      </c>
      <c r="M1285" s="227">
        <f>IFERROR(__xludf.DUMMYFUNCTION("""COMPUTED_VALUE"""),6.9403524E7)</f>
        <v>69403524</v>
      </c>
      <c r="N1285" s="222" t="str">
        <f>IFERROR(__xludf.DUMMYFUNCTION("""COMPUTED_VALUE"""),"PT ASWA KARYA DIFA")</f>
        <v>PT ASWA KARYA DIFA</v>
      </c>
      <c r="O1285" s="222" t="str">
        <f>IFERROR(__xludf.DUMMYFUNCTION("""COMPUTED_VALUE"""),"0. DROP")</f>
        <v>0. DROP</v>
      </c>
      <c r="P1285" s="222" t="str">
        <f>IFERROR(__xludf.DUMMYFUNCTION("""COMPUTED_VALUE"""),"0.2 Tidak Dapat Izin Warga/Kades/Lurah/Developer")</f>
        <v>0.2 Tidak Dapat Izin Warga/Kades/Lurah/Developer</v>
      </c>
      <c r="Q1285" s="222" t="str">
        <f>IFERROR(__xludf.DUMMYFUNCTION("""COMPUTED_VALUE"""),"(19/02) Comcase Warga (07/01) Persiapan")</f>
        <v>(19/02) Comcase Warga (07/01) Persiapan</v>
      </c>
      <c r="R1285" s="228"/>
      <c r="S1285" s="11"/>
      <c r="T1285" s="11"/>
      <c r="U1285" s="11"/>
      <c r="V1285" s="229"/>
      <c r="W1285" s="229"/>
      <c r="X1285" s="229" t="str">
        <f>IFERROR(__xludf.DUMMYFUNCTION("""COMPUTED_VALUE"""),"BELUM GOLIVE")</f>
        <v>BELUM GOLIVE</v>
      </c>
      <c r="Y1285" s="229"/>
      <c r="Z1285" s="229" t="str">
        <f>IFERROR(__xludf.DUMMYFUNCTION("""COMPUTED_VALUE"""),"#N/A")</f>
        <v>#N/A</v>
      </c>
      <c r="AA1285" s="229"/>
      <c r="AB1285" s="229"/>
      <c r="AC1285" s="229"/>
      <c r="AD1285" s="232"/>
      <c r="AE1285" s="233"/>
      <c r="AF1285" s="54" t="str">
        <f>IFERROR(__xludf.DUMMYFUNCTION("""COMPUTED_VALUE"""),"Draft BA DROP")</f>
        <v>Draft BA DROP</v>
      </c>
      <c r="AG1285" s="54"/>
      <c r="AH1285" s="54"/>
      <c r="AI1285" s="55" t="str">
        <f t="shared" ref="AI1285:AI1309" si="140">IF(OR(R1285="",AE1285=""),"",R1285-AE1285)</f>
        <v/>
      </c>
      <c r="AW1285" s="234"/>
      <c r="BP1285" s="11"/>
      <c r="BQ1285" s="11"/>
      <c r="BR1285" s="235"/>
      <c r="BV1285" s="158"/>
      <c r="BY1285" s="158"/>
      <c r="CB1285" s="158"/>
    </row>
    <row r="1286" ht="18.0" hidden="1" customHeight="1">
      <c r="A1286" s="222">
        <f>IFERROR(__xludf.DUMMYFUNCTION("""COMPUTED_VALUE"""),2026.0)</f>
        <v>2026</v>
      </c>
      <c r="B1286" s="221">
        <f>IFERROR(__xludf.DUMMYFUNCTION("""COMPUTED_VALUE"""),1.1162821E7)</f>
        <v>11162821</v>
      </c>
      <c r="C1286" s="222" t="str">
        <f>IFERROR(__xludf.DUMMYFUNCTION("""COMPUTED_VALUE"""),"MDN PT3 P7I4 DLT-FF GG.FLAMBOYAN")</f>
        <v>MDN PT3 P7I4 DLT-FF GG.FLAMBOYAN</v>
      </c>
      <c r="D1286" s="222" t="str">
        <f>IFERROR(__xludf.DUMMYFUNCTION("""COMPUTED_VALUE"""),"REGIONAL I")</f>
        <v>REGIONAL I</v>
      </c>
      <c r="E1286" s="222" t="str">
        <f>IFERROR(__xludf.DUMMYFUNCTION("""COMPUTED_VALUE"""),"MEDAN")</f>
        <v>MEDAN</v>
      </c>
      <c r="F1286" s="222" t="str">
        <f>IFERROR(__xludf.DUMMYFUNCTION("""COMPUTED_VALUE"""),"DLT")</f>
        <v>DLT</v>
      </c>
      <c r="G1286" s="222" t="str">
        <f>IFERROR(__xludf.DUMMYFUNCTION("""COMPUTED_VALUE"""),"SUMBAGUT")</f>
        <v>SUMBAGUT</v>
      </c>
      <c r="H1286" s="222" t="str">
        <f>IFERROR(__xludf.DUMMYFUNCTION("""COMPUTED_VALUE"""),"MEDAN")</f>
        <v>MEDAN</v>
      </c>
      <c r="I1286" s="222" t="str">
        <f>IFERROR(__xludf.DUMMYFUNCTION("""COMPUTED_VALUE"""),"Batch 2")</f>
        <v>Batch 2</v>
      </c>
      <c r="J1286" s="225">
        <f>IFERROR(__xludf.DUMMYFUNCTION("""COMPUTED_VALUE"""),4.0)</f>
        <v>4</v>
      </c>
      <c r="K1286" s="224">
        <f>IFERROR(__xludf.DUMMYFUNCTION("""COMPUTED_VALUE"""),32.0)</f>
        <v>32</v>
      </c>
      <c r="L1286" s="226">
        <f>IFERROR(__xludf.DUMMYFUNCTION("""COMPUTED_VALUE"""),787817.0)</f>
        <v>787817</v>
      </c>
      <c r="M1286" s="227">
        <f>IFERROR(__xludf.DUMMYFUNCTION("""COMPUTED_VALUE"""),2.5210122E7)</f>
        <v>25210122</v>
      </c>
      <c r="N1286" s="222" t="str">
        <f>IFERROR(__xludf.DUMMYFUNCTION("""COMPUTED_VALUE"""),"PT UPENTEL INTERNASIONAL")</f>
        <v>PT UPENTEL INTERNASIONAL</v>
      </c>
      <c r="O1286" s="222" t="str">
        <f>IFERROR(__xludf.DUMMYFUNCTION("""COMPUTED_VALUE"""),"0. DROP")</f>
        <v>0. DROP</v>
      </c>
      <c r="P1286" s="222" t="str">
        <f>IFERROR(__xludf.DUMMYFUNCTION("""COMPUTED_VALUE"""),"0.2 Tidak Dapat Izin Warga/Kades/Lurah/Developer")</f>
        <v>0.2 Tidak Dapat Izin Warga/Kades/Lurah/Developer</v>
      </c>
      <c r="Q1286" s="222" t="str">
        <f>IFERROR(__xludf.DUMMYFUNCTION("""COMPUTED_VALUE"""),"11/02 Update Mitra tidak ada space tanam tiang 07/02 Done Order, Lnjut Aanwidzing")</f>
        <v>11/02 Update Mitra tidak ada space tanam tiang 07/02 Done Order, Lnjut Aanwidzing</v>
      </c>
      <c r="R1286" s="228"/>
      <c r="S1286" s="11"/>
      <c r="T1286" s="11"/>
      <c r="U1286" s="11"/>
      <c r="V1286" s="229"/>
      <c r="W1286" s="229"/>
      <c r="X1286" s="229" t="str">
        <f>IFERROR(__xludf.DUMMYFUNCTION("""COMPUTED_VALUE"""),"BELUM GOLIVE")</f>
        <v>BELUM GOLIVE</v>
      </c>
      <c r="Y1286" s="229"/>
      <c r="Z1286" s="229" t="str">
        <f>IFERROR(__xludf.DUMMYFUNCTION("""COMPUTED_VALUE"""),"#N/A")</f>
        <v>#N/A</v>
      </c>
      <c r="AA1286" s="229"/>
      <c r="AB1286" s="229"/>
      <c r="AC1286" s="229"/>
      <c r="AD1286" s="232"/>
      <c r="AE1286" s="233"/>
      <c r="AF1286" s="54" t="str">
        <f>IFERROR(__xludf.DUMMYFUNCTION("""COMPUTED_VALUE"""),"Draft BA DROP")</f>
        <v>Draft BA DROP</v>
      </c>
      <c r="AG1286" s="54"/>
      <c r="AH1286" s="54"/>
      <c r="AI1286" s="55" t="str">
        <f t="shared" si="140"/>
        <v/>
      </c>
      <c r="AW1286" s="234"/>
      <c r="BP1286" s="11"/>
      <c r="BQ1286" s="11"/>
      <c r="BR1286" s="235"/>
      <c r="BV1286" s="158"/>
      <c r="BY1286" s="158"/>
      <c r="CB1286" s="158"/>
    </row>
    <row r="1287" ht="18.0" hidden="1" customHeight="1">
      <c r="A1287" s="222">
        <f>IFERROR(__xludf.DUMMYFUNCTION("""COMPUTED_VALUE"""),2026.0)</f>
        <v>2026</v>
      </c>
      <c r="B1287" s="221">
        <f>IFERROR(__xludf.DUMMYFUNCTION("""COMPUTED_VALUE"""),1.1289349E7)</f>
        <v>11289349</v>
      </c>
      <c r="C1287" s="222" t="str">
        <f>IFERROR(__xludf.DUMMYFUNCTION("""COMPUTED_VALUE"""),"MDN PT3 P7I9 DLT-FB PAMAH GG.AMRI I")</f>
        <v>MDN PT3 P7I9 DLT-FB PAMAH GG.AMRI I</v>
      </c>
      <c r="D1287" s="222" t="str">
        <f>IFERROR(__xludf.DUMMYFUNCTION("""COMPUTED_VALUE"""),"REGIONAL I")</f>
        <v>REGIONAL I</v>
      </c>
      <c r="E1287" s="222" t="str">
        <f>IFERROR(__xludf.DUMMYFUNCTION("""COMPUTED_VALUE"""),"MEDAN")</f>
        <v>MEDAN</v>
      </c>
      <c r="F1287" s="222" t="str">
        <f>IFERROR(__xludf.DUMMYFUNCTION("""COMPUTED_VALUE"""),"DLT")</f>
        <v>DLT</v>
      </c>
      <c r="G1287" s="222" t="str">
        <f>IFERROR(__xludf.DUMMYFUNCTION("""COMPUTED_VALUE"""),"SUMBAGUT")</f>
        <v>SUMBAGUT</v>
      </c>
      <c r="H1287" s="222" t="str">
        <f>IFERROR(__xludf.DUMMYFUNCTION("""COMPUTED_VALUE"""),"MEDAN")</f>
        <v>MEDAN</v>
      </c>
      <c r="I1287" s="222" t="str">
        <f>IFERROR(__xludf.DUMMYFUNCTION("""COMPUTED_VALUE"""),"Batch 2")</f>
        <v>Batch 2</v>
      </c>
      <c r="J1287" s="225">
        <f>IFERROR(__xludf.DUMMYFUNCTION("""COMPUTED_VALUE"""),4.0)</f>
        <v>4</v>
      </c>
      <c r="K1287" s="224">
        <f>IFERROR(__xludf.DUMMYFUNCTION("""COMPUTED_VALUE"""),32.0)</f>
        <v>32</v>
      </c>
      <c r="L1287" s="226">
        <f>IFERROR(__xludf.DUMMYFUNCTION("""COMPUTED_VALUE"""),787597.0)</f>
        <v>787597</v>
      </c>
      <c r="M1287" s="227">
        <f>IFERROR(__xludf.DUMMYFUNCTION("""COMPUTED_VALUE"""),2.5203087E7)</f>
        <v>25203087</v>
      </c>
      <c r="N1287" s="222" t="str">
        <f>IFERROR(__xludf.DUMMYFUNCTION("""COMPUTED_VALUE"""),"PT UPENTEL INTERNASIONAL")</f>
        <v>PT UPENTEL INTERNASIONAL</v>
      </c>
      <c r="O1287" s="222" t="str">
        <f>IFERROR(__xludf.DUMMYFUNCTION("""COMPUTED_VALUE"""),"0. DROP")</f>
        <v>0. DROP</v>
      </c>
      <c r="P1287" s="222" t="str">
        <f>IFERROR(__xludf.DUMMYFUNCTION("""COMPUTED_VALUE"""),"0.2 Tidak Dapat Izin Warga/Kades/Lurah/Developer")</f>
        <v>0.2 Tidak Dapat Izin Warga/Kades/Lurah/Developer</v>
      </c>
      <c r="Q1287" s="222" t="str">
        <f>IFERROR(__xludf.DUMMYFUNCTION("""COMPUTED_VALUE"""),"Tidak Ada Space Tanam Tiang (07/01) Persiapan")</f>
        <v>Tidak Ada Space Tanam Tiang (07/01) Persiapan</v>
      </c>
      <c r="R1287" s="228"/>
      <c r="S1287" s="11"/>
      <c r="T1287" s="11"/>
      <c r="U1287" s="11"/>
      <c r="V1287" s="229"/>
      <c r="W1287" s="229"/>
      <c r="X1287" s="229" t="str">
        <f>IFERROR(__xludf.DUMMYFUNCTION("""COMPUTED_VALUE"""),"BELUM GOLIVE")</f>
        <v>BELUM GOLIVE</v>
      </c>
      <c r="Y1287" s="229"/>
      <c r="Z1287" s="229" t="str">
        <f>IFERROR(__xludf.DUMMYFUNCTION("""COMPUTED_VALUE"""),"#N/A")</f>
        <v>#N/A</v>
      </c>
      <c r="AA1287" s="229"/>
      <c r="AB1287" s="229"/>
      <c r="AC1287" s="229"/>
      <c r="AD1287" s="232"/>
      <c r="AE1287" s="233"/>
      <c r="AF1287" s="54" t="str">
        <f>IFERROR(__xludf.DUMMYFUNCTION("""COMPUTED_VALUE"""),"Draft BA DROP")</f>
        <v>Draft BA DROP</v>
      </c>
      <c r="AG1287" s="54"/>
      <c r="AH1287" s="54"/>
      <c r="AI1287" s="55" t="str">
        <f t="shared" si="140"/>
        <v/>
      </c>
      <c r="AW1287" s="234"/>
      <c r="BP1287" s="11"/>
      <c r="BQ1287" s="11"/>
      <c r="BR1287" s="235"/>
      <c r="BV1287" s="158"/>
      <c r="BY1287" s="158"/>
      <c r="CB1287" s="158"/>
    </row>
    <row r="1288" ht="18.0" customHeight="1">
      <c r="A1288" s="222">
        <f>IFERROR(__xludf.DUMMYFUNCTION("""COMPUTED_VALUE"""),2026.0)</f>
        <v>2026</v>
      </c>
      <c r="B1288" s="221">
        <f>IFERROR(__xludf.DUMMYFUNCTION("""COMPUTED_VALUE"""),1.1969837E7)</f>
        <v>11969837</v>
      </c>
      <c r="C1288" s="222" t="str">
        <f>IFERROR(__xludf.DUMMYFUNCTION("""COMPUTED_VALUE"""),"RDR JPP PT3 KAMPAR_8727")</f>
        <v>RDR JPP PT3 KAMPAR_8727</v>
      </c>
      <c r="D1288" s="222" t="str">
        <f>IFERROR(__xludf.DUMMYFUNCTION("""COMPUTED_VALUE"""),"REGIONAL I")</f>
        <v>REGIONAL I</v>
      </c>
      <c r="E1288" s="222" t="str">
        <f>IFERROR(__xludf.DUMMYFUNCTION("""COMPUTED_VALUE"""),"RIDAR")</f>
        <v>RIDAR</v>
      </c>
      <c r="F1288" s="222" t="str">
        <f>IFERROR(__xludf.DUMMYFUNCTION("""COMPUTED_VALUE"""),"ARK")</f>
        <v>ARK</v>
      </c>
      <c r="G1288" s="222" t="str">
        <f>IFERROR(__xludf.DUMMYFUNCTION("""COMPUTED_VALUE"""),"SUMBAGTENG")</f>
        <v>SUMBAGTENG</v>
      </c>
      <c r="H1288" s="222" t="str">
        <f>IFERROR(__xludf.DUMMYFUNCTION("""COMPUTED_VALUE"""),"PEKANBARU")</f>
        <v>PEKANBARU</v>
      </c>
      <c r="I1288" s="222" t="str">
        <f>IFERROR(__xludf.DUMMYFUNCTION("""COMPUTED_VALUE"""),"Batch 2")</f>
        <v>Batch 2</v>
      </c>
      <c r="J1288" s="225">
        <f>IFERROR(__xludf.DUMMYFUNCTION("""COMPUTED_VALUE"""),8.0)</f>
        <v>8</v>
      </c>
      <c r="K1288" s="224">
        <f>IFERROR(__xludf.DUMMYFUNCTION("""COMPUTED_VALUE"""),64.0)</f>
        <v>64</v>
      </c>
      <c r="L1288" s="226">
        <f>IFERROR(__xludf.DUMMYFUNCTION("""COMPUTED_VALUE"""),787578.0)</f>
        <v>787578</v>
      </c>
      <c r="M1288" s="227">
        <f>IFERROR(__xludf.DUMMYFUNCTION("""COMPUTED_VALUE"""),5.0404989E7)</f>
        <v>50404989</v>
      </c>
      <c r="N1288" s="222" t="str">
        <f>IFERROR(__xludf.DUMMYFUNCTION("""COMPUTED_VALUE"""),"PT SAMUDERA PUTRA KENCANA")</f>
        <v>PT SAMUDERA PUTRA KENCANA</v>
      </c>
      <c r="O1288" s="222" t="str">
        <f>IFERROR(__xludf.DUMMYFUNCTION("""COMPUTED_VALUE"""),"0. DROP")</f>
        <v>0. DROP</v>
      </c>
      <c r="P1288" s="222" t="str">
        <f>IFERROR(__xludf.DUMMYFUNCTION("""COMPUTED_VALUE"""),"0.2 Tidak Dapat Izin Warga/Kades/Lurah/Developer")</f>
        <v>0.2 Tidak Dapat Izin Warga/Kades/Lurah/Developer</v>
      </c>
      <c r="Q1288" s="222" t="str">
        <f>IFERROR(__xludf.DUMMYFUNCTION("""COMPUTED_VALUE"""),"20/01 Tidak dapat izin tanam tiang (07/01) Persiapan")</f>
        <v>20/01 Tidak dapat izin tanam tiang (07/01) Persiapan</v>
      </c>
      <c r="R1288" s="228"/>
      <c r="S1288" s="11"/>
      <c r="T1288" s="11"/>
      <c r="U1288" s="11"/>
      <c r="V1288" s="229" t="str">
        <f>IFERROR(__xludf.DUMMYFUNCTION("""COMPUTED_VALUE"""),"TEGUH IMAM PERDANA")</f>
        <v>TEGUH IMAM PERDANA</v>
      </c>
      <c r="W1288" s="229" t="str">
        <f>IFERROR(__xludf.DUMMYFUNCTION("""COMPUTED_VALUE"""),"DESLITA RAHMADANI")</f>
        <v>DESLITA RAHMADANI</v>
      </c>
      <c r="X1288" s="229" t="str">
        <f>IFERROR(__xludf.DUMMYFUNCTION("""COMPUTED_VALUE"""),"BELUM GOLIVE")</f>
        <v>BELUM GOLIVE</v>
      </c>
      <c r="Y1288" s="229"/>
      <c r="Z1288" s="229" t="str">
        <f>IFERROR(__xludf.DUMMYFUNCTION("""COMPUTED_VALUE"""),"#N/A")</f>
        <v>#N/A</v>
      </c>
      <c r="AA1288" s="229"/>
      <c r="AB1288" s="229"/>
      <c r="AC1288" s="229"/>
      <c r="AD1288" s="232"/>
      <c r="AE1288" s="233"/>
      <c r="AF1288" s="54" t="str">
        <f>IFERROR(__xludf.DUMMYFUNCTION("""COMPUTED_VALUE"""),"Draft BA DROP")</f>
        <v>Draft BA DROP</v>
      </c>
      <c r="AG1288" s="54"/>
      <c r="AH1288" s="54"/>
      <c r="AI1288" s="55" t="str">
        <f t="shared" si="140"/>
        <v/>
      </c>
      <c r="AW1288" s="234"/>
      <c r="BP1288" s="11"/>
      <c r="BQ1288" s="11"/>
      <c r="BR1288" s="235"/>
      <c r="BV1288" s="158"/>
      <c r="BY1288" s="158"/>
      <c r="CB1288" s="158"/>
    </row>
    <row r="1289" ht="18.0" hidden="1" customHeight="1">
      <c r="A1289" s="222">
        <f>IFERROR(__xludf.DUMMYFUNCTION("""COMPUTED_VALUE"""),2026.0)</f>
        <v>2026</v>
      </c>
      <c r="B1289" s="221">
        <f>IFERROR(__xludf.DUMMYFUNCTION("""COMPUTED_VALUE"""),1.1843284E7)</f>
        <v>11843284</v>
      </c>
      <c r="C1289" s="222" t="str">
        <f>IFERROR(__xludf.DUMMYFUNCTION("""COMPUTED_VALUE"""),"MDN PT3 CTD-FQ JL.BALAI DESA_MD25")</f>
        <v>MDN PT3 CTD-FQ JL.BALAI DESA_MD25</v>
      </c>
      <c r="D1289" s="222" t="str">
        <f>IFERROR(__xludf.DUMMYFUNCTION("""COMPUTED_VALUE"""),"REGIONAL I")</f>
        <v>REGIONAL I</v>
      </c>
      <c r="E1289" s="222" t="str">
        <f>IFERROR(__xludf.DUMMYFUNCTION("""COMPUTED_VALUE"""),"MEDAN")</f>
        <v>MEDAN</v>
      </c>
      <c r="F1289" s="222" t="str">
        <f>IFERROR(__xludf.DUMMYFUNCTION("""COMPUTED_VALUE"""),"CTD")</f>
        <v>CTD</v>
      </c>
      <c r="G1289" s="222" t="str">
        <f>IFERROR(__xludf.DUMMYFUNCTION("""COMPUTED_VALUE"""),"SUMBAGUT")</f>
        <v>SUMBAGUT</v>
      </c>
      <c r="H1289" s="222" t="str">
        <f>IFERROR(__xludf.DUMMYFUNCTION("""COMPUTED_VALUE"""),"MEDAN")</f>
        <v>MEDAN</v>
      </c>
      <c r="I1289" s="222" t="str">
        <f>IFERROR(__xludf.DUMMYFUNCTION("""COMPUTED_VALUE"""),"Batch 2")</f>
        <v>Batch 2</v>
      </c>
      <c r="J1289" s="225">
        <f>IFERROR(__xludf.DUMMYFUNCTION("""COMPUTED_VALUE"""),6.0)</f>
        <v>6</v>
      </c>
      <c r="K1289" s="224">
        <f>IFERROR(__xludf.DUMMYFUNCTION("""COMPUTED_VALUE"""),48.0)</f>
        <v>48</v>
      </c>
      <c r="L1289" s="226">
        <f>IFERROR(__xludf.DUMMYFUNCTION("""COMPUTED_VALUE"""),1005375.0)</f>
        <v>1005375</v>
      </c>
      <c r="M1289" s="227">
        <f>IFERROR(__xludf.DUMMYFUNCTION("""COMPUTED_VALUE"""),4.8257979E7)</f>
        <v>48257979</v>
      </c>
      <c r="N1289" s="222" t="str">
        <f>IFERROR(__xludf.DUMMYFUNCTION("""COMPUTED_VALUE"""),"PT MILFHA MUTIARA PRIMA")</f>
        <v>PT MILFHA MUTIARA PRIMA</v>
      </c>
      <c r="O1289" s="222" t="str">
        <f>IFERROR(__xludf.DUMMYFUNCTION("""COMPUTED_VALUE"""),"7. GOLIVE")</f>
        <v>7. GOLIVE</v>
      </c>
      <c r="P1289" s="222" t="str">
        <f>IFERROR(__xludf.DUMMYFUNCTION("""COMPUTED_VALUE"""),"7.2 Golive Full / OA / DONE OTB")</f>
        <v>7.2 Golive Full / OA / DONE OTB</v>
      </c>
      <c r="Q1289" s="222" t="str">
        <f>IFERROR(__xludf.DUMMYFUNCTION("""COMPUTED_VALUE"""),"24/02 Valins 18/02 penarikan KU 13/02 plan pengambilan material
11/02 Prelim Approved TIF")</f>
        <v>24/02 Valins 18/02 penarikan KU 13/02 plan pengambilan material
11/02 Prelim Approved TIF</v>
      </c>
      <c r="R1289" s="228"/>
      <c r="S1289" s="11"/>
      <c r="T1289" s="11"/>
      <c r="U1289" s="11" t="str">
        <f>IFERROR(__xludf.DUMMYFUNCTION("""COMPUTED_VALUE"""),"TIF-2598/2026")</f>
        <v>TIF-2598/2026</v>
      </c>
      <c r="V1289" s="229"/>
      <c r="W1289" s="229"/>
      <c r="X1289" s="229" t="str">
        <f>IFERROR(__xludf.DUMMYFUNCTION("""COMPUTED_VALUE"""),"GOLIVE")</f>
        <v>GOLIVE</v>
      </c>
      <c r="Y1289" s="229" t="str">
        <f>IFERROR(__xludf.DUMMYFUNCTION("""COMPUTED_VALUE"""),"DONE")</f>
        <v>DONE</v>
      </c>
      <c r="Z1289" s="229" t="str">
        <f>IFERROR(__xludf.DUMMYFUNCTION("""COMPUTED_VALUE"""),"#N/A")</f>
        <v>#N/A</v>
      </c>
      <c r="AA1289" s="229">
        <f>IFERROR(__xludf.DUMMYFUNCTION("""COMPUTED_VALUE"""),6.0)</f>
        <v>6</v>
      </c>
      <c r="AB1289" s="229"/>
      <c r="AC1289" s="229" t="str">
        <f>IFERROR(__xludf.DUMMYFUNCTION("""COMPUTED_VALUE"""),"9143655#9143660")</f>
        <v>9143655#9143660</v>
      </c>
      <c r="AD1289" s="232">
        <f>IFERROR(__xludf.DUMMYFUNCTION("""COMPUTED_VALUE"""),48.0)</f>
        <v>48</v>
      </c>
      <c r="AE1289" s="233">
        <f>IFERROR(__xludf.DUMMYFUNCTION("""COMPUTED_VALUE"""),46078.0)</f>
        <v>46078</v>
      </c>
      <c r="AF1289" s="54"/>
      <c r="AG1289" s="54"/>
      <c r="AH1289" s="54"/>
      <c r="AI1289" s="55" t="str">
        <f t="shared" si="140"/>
        <v/>
      </c>
      <c r="AW1289" s="234"/>
      <c r="BP1289" s="11"/>
      <c r="BQ1289" s="11"/>
      <c r="BR1289" s="235"/>
      <c r="BV1289" s="158"/>
      <c r="BY1289" s="158"/>
      <c r="CB1289" s="158"/>
    </row>
    <row r="1290" ht="18.0" customHeight="1">
      <c r="A1290" s="222">
        <f>IFERROR(__xludf.DUMMYFUNCTION("""COMPUTED_VALUE"""),2026.0)</f>
        <v>2026</v>
      </c>
      <c r="B1290" s="221">
        <f>IFERROR(__xludf.DUMMYFUNCTION("""COMPUTED_VALUE"""),1.1437052E7)</f>
        <v>11437052</v>
      </c>
      <c r="C1290" s="222" t="str">
        <f>IFERROR(__xludf.DUMMYFUNCTION("""COMPUTED_VALUE"""),"RDR ARK PT3 P2I1 KOTA PEKANBARU_17997")</f>
        <v>RDR ARK PT3 P2I1 KOTA PEKANBARU_17997</v>
      </c>
      <c r="D1290" s="222" t="str">
        <f>IFERROR(__xludf.DUMMYFUNCTION("""COMPUTED_VALUE"""),"REGIONAL I")</f>
        <v>REGIONAL I</v>
      </c>
      <c r="E1290" s="222" t="str">
        <f>IFERROR(__xludf.DUMMYFUNCTION("""COMPUTED_VALUE"""),"RIDAR")</f>
        <v>RIDAR</v>
      </c>
      <c r="F1290" s="222" t="str">
        <f>IFERROR(__xludf.DUMMYFUNCTION("""COMPUTED_VALUE"""),"ARK")</f>
        <v>ARK</v>
      </c>
      <c r="G1290" s="222" t="str">
        <f>IFERROR(__xludf.DUMMYFUNCTION("""COMPUTED_VALUE"""),"SUMBAGTENG")</f>
        <v>SUMBAGTENG</v>
      </c>
      <c r="H1290" s="222" t="str">
        <f>IFERROR(__xludf.DUMMYFUNCTION("""COMPUTED_VALUE"""),"PEKANBARU")</f>
        <v>PEKANBARU</v>
      </c>
      <c r="I1290" s="222" t="str">
        <f>IFERROR(__xludf.DUMMYFUNCTION("""COMPUTED_VALUE"""),"Batch 2")</f>
        <v>Batch 2</v>
      </c>
      <c r="J1290" s="225">
        <f>IFERROR(__xludf.DUMMYFUNCTION("""COMPUTED_VALUE"""),8.0)</f>
        <v>8</v>
      </c>
      <c r="K1290" s="224">
        <f>IFERROR(__xludf.DUMMYFUNCTION("""COMPUTED_VALUE"""),64.0)</f>
        <v>64</v>
      </c>
      <c r="L1290" s="226">
        <f>IFERROR(__xludf.DUMMYFUNCTION("""COMPUTED_VALUE"""),786081.0)</f>
        <v>786081</v>
      </c>
      <c r="M1290" s="227">
        <f>IFERROR(__xludf.DUMMYFUNCTION("""COMPUTED_VALUE"""),5.0309138E7)</f>
        <v>50309138</v>
      </c>
      <c r="N1290" s="222" t="str">
        <f>IFERROR(__xludf.DUMMYFUNCTION("""COMPUTED_VALUE"""),"PT SABANA BABARE SEJAHTERA")</f>
        <v>PT SABANA BABARE SEJAHTERA</v>
      </c>
      <c r="O1290" s="222" t="str">
        <f>IFERROR(__xludf.DUMMYFUNCTION("""COMPUTED_VALUE"""),"0. DROP")</f>
        <v>0. DROP</v>
      </c>
      <c r="P1290" s="222" t="str">
        <f>IFERROR(__xludf.DUMMYFUNCTION("""COMPUTED_VALUE"""),"0.2 Tidak Dapat Izin Warga/Kades/Lurah/Developer")</f>
        <v>0.2 Tidak Dapat Izin Warga/Kades/Lurah/Developer</v>
      </c>
      <c r="Q1290" s="222" t="str">
        <f>IFERROR(__xludf.DUMMYFUNCTION("""COMPUTED_VALUE"""),"20/01 Drop comcase warga setempat (12/01) penunjukkan mitra, (07/01) Persiapan")</f>
        <v>20/01 Drop comcase warga setempat (12/01) penunjukkan mitra, (07/01) Persiapan</v>
      </c>
      <c r="R1290" s="228"/>
      <c r="S1290" s="11"/>
      <c r="T1290" s="11"/>
      <c r="U1290" s="11"/>
      <c r="V1290" s="229" t="str">
        <f>IFERROR(__xludf.DUMMYFUNCTION("""COMPUTED_VALUE"""),"SYAFRIAL")</f>
        <v>SYAFRIAL</v>
      </c>
      <c r="W1290" s="229" t="str">
        <f>IFERROR(__xludf.DUMMYFUNCTION("""COMPUTED_VALUE"""),"DESLITA RAHMADANI")</f>
        <v>DESLITA RAHMADANI</v>
      </c>
      <c r="X1290" s="229" t="str">
        <f>IFERROR(__xludf.DUMMYFUNCTION("""COMPUTED_VALUE"""),"BELUM GOLIVE")</f>
        <v>BELUM GOLIVE</v>
      </c>
      <c r="Y1290" s="229"/>
      <c r="Z1290" s="229" t="str">
        <f>IFERROR(__xludf.DUMMYFUNCTION("""COMPUTED_VALUE"""),"#N/A")</f>
        <v>#N/A</v>
      </c>
      <c r="AA1290" s="229"/>
      <c r="AB1290" s="229"/>
      <c r="AC1290" s="229"/>
      <c r="AD1290" s="232"/>
      <c r="AE1290" s="233"/>
      <c r="AF1290" s="54" t="str">
        <f>IFERROR(__xludf.DUMMYFUNCTION("""COMPUTED_VALUE"""),"Draft BA DROP")</f>
        <v>Draft BA DROP</v>
      </c>
      <c r="AG1290" s="54"/>
      <c r="AH1290" s="54"/>
      <c r="AI1290" s="55" t="str">
        <f t="shared" si="140"/>
        <v/>
      </c>
      <c r="AW1290" s="234"/>
      <c r="BP1290" s="11"/>
      <c r="BQ1290" s="11"/>
      <c r="BR1290" s="235"/>
      <c r="BV1290" s="158"/>
      <c r="BY1290" s="158"/>
      <c r="CB1290" s="158"/>
    </row>
    <row r="1291" ht="18.0" hidden="1" customHeight="1">
      <c r="A1291" s="222">
        <f>IFERROR(__xludf.DUMMYFUNCTION("""COMPUTED_VALUE"""),2026.0)</f>
        <v>2026</v>
      </c>
      <c r="B1291" s="221">
        <f>IFERROR(__xludf.DUMMYFUNCTION("""COMPUTED_VALUE"""),1.2166462E7)</f>
        <v>12166462</v>
      </c>
      <c r="C1291" s="222" t="str">
        <f>IFERROR(__xludf.DUMMYFUNCTION("""COMPUTED_VALUE"""),"SMS P4I4 PT3 KAG FF D03 OKI 168197")</f>
        <v>SMS P4I4 PT3 KAG FF D03 OKI 168197</v>
      </c>
      <c r="D1291" s="222" t="str">
        <f>IFERROR(__xludf.DUMMYFUNCTION("""COMPUTED_VALUE"""),"REGIONAL I")</f>
        <v>REGIONAL I</v>
      </c>
      <c r="E1291" s="222" t="str">
        <f>IFERROR(__xludf.DUMMYFUNCTION("""COMPUTED_VALUE"""),"SUMSEL")</f>
        <v>SUMSEL</v>
      </c>
      <c r="F1291" s="222" t="str">
        <f>IFERROR(__xludf.DUMMYFUNCTION("""COMPUTED_VALUE"""),"KAG")</f>
        <v>KAG</v>
      </c>
      <c r="G1291" s="222" t="str">
        <f>IFERROR(__xludf.DUMMYFUNCTION("""COMPUTED_VALUE"""),"SUMBAGSEL")</f>
        <v>SUMBAGSEL</v>
      </c>
      <c r="H1291" s="222" t="str">
        <f>IFERROR(__xludf.DUMMYFUNCTION("""COMPUTED_VALUE"""),"PALEMBANG")</f>
        <v>PALEMBANG</v>
      </c>
      <c r="I1291" s="222" t="str">
        <f>IFERROR(__xludf.DUMMYFUNCTION("""COMPUTED_VALUE"""),"Batch 2")</f>
        <v>Batch 2</v>
      </c>
      <c r="J1291" s="225">
        <f>IFERROR(__xludf.DUMMYFUNCTION("""COMPUTED_VALUE"""),2.0)</f>
        <v>2</v>
      </c>
      <c r="K1291" s="224">
        <f>IFERROR(__xludf.DUMMYFUNCTION("""COMPUTED_VALUE"""),16.0)</f>
        <v>16</v>
      </c>
      <c r="L1291" s="226">
        <f>IFERROR(__xludf.DUMMYFUNCTION("""COMPUTED_VALUE"""),783845.0)</f>
        <v>783845</v>
      </c>
      <c r="M1291" s="227">
        <f>IFERROR(__xludf.DUMMYFUNCTION("""COMPUTED_VALUE"""),1.2541508E7)</f>
        <v>12541508</v>
      </c>
      <c r="N1291" s="222" t="str">
        <f>IFERROR(__xludf.DUMMYFUNCTION("""COMPUTED_VALUE"""),"PT SARANA MITRA PERSADA")</f>
        <v>PT SARANA MITRA PERSADA</v>
      </c>
      <c r="O1291" s="222" t="str">
        <f>IFERROR(__xludf.DUMMYFUNCTION("""COMPUTED_VALUE"""),"7. GOLIVE")</f>
        <v>7. GOLIVE</v>
      </c>
      <c r="P1291" s="222" t="str">
        <f>IFERROR(__xludf.DUMMYFUNCTION("""COMPUTED_VALUE"""),"7.2 Golive Full / OA / DONE OTB")</f>
        <v>7.2 Golive Full / OA / DONE OTB</v>
      </c>
      <c r="Q1291" s="222" t="str">
        <f>IFERROR(__xludf.DUMMYFUNCTION("""COMPUTED_VALUE"""),"17/04 PROSES PENARIKAN KABEL,  13/04 proses penarikan kabel 09/04  proses instalasi  08/4 MATDEL  07/04 DONE INPUT MATERIAL, PLAN 08 APR AMBIL MATERIAL, 06/04 PLAN TGL 6 INPUT MATERIAL, 02/04 OGP INPUT MATERIAL, 31/03 EST KIRIM MATERIAL TGL 6 APRIL, 30/03"&amp;" MASIH KOORDINASI DG MITRA TERKAIT PENGINPUTAN ULANG MATERIAL, 27/03 INPUT ULANG MATERIAL - MSIH KOORDINASI DG MITRA, 26/03 INPUT ULANG MATERIAL - MSIH KOORDINASI DG MITRA, 21/03 DONE PR PO - EST TGL 30 MAR AMBIL MATERIAL, 13/03 MITRA MENGAMBIL MATERIAL E"&amp;"ST 30 MAR, 27/02 MITRA MENGAMBIL MATERIAL SETELAH LEBARAN, 26/02 MENUNGGU APPROVE RFC, 25/02 MSH MENUNGGU APPROVE, 24/02 MENUNGGU APPROVE MATERIAL,  22/2 menunggu material TIANG  20/02 OGP MATDEL - MENUNGGU TIANG KRNA DI GUDANG KOSONG, 15/02 DONE INPUT MA"&amp;"TERIAL, 10/2 perubahan design menunggu confirm dari sales TSEL. , plan Matdel 13 FEB  09/02 DONE DRM, 6/2 proses create PID  31/01 menunggu DRM 30/01 DONE EVAL LANJUT PROGRES, 25/01 DONE AANWIDJZING - PERIZINAN OK, 22/01 AANWIDJZING, (15/1) ORDER DITERIMA"&amp;" 14/1, PLAN AANWIJDZING 22 JAN 26 (06/01)order JPP batch-2 2026 ((14/11)HOLD-  tidak masuk target Optimis 2025 (
14/01 penunjukan mitra oleh procurement")</f>
        <v>17/04 PROSES PENARIKAN KABEL,  13/04 proses penarikan kabel 09/04  proses instalasi  08/4 MATDEL  07/04 DONE INPUT MATERIAL, PLAN 08 APR AMBIL MATERIAL, 06/04 PLAN TGL 6 INPUT MATERIAL, 02/04 OGP INPUT MATERIAL, 31/03 EST KIRIM MATERIAL TGL 6 APRIL, 30/03 MASIH KOORDINASI DG MITRA TERKAIT PENGINPUTAN ULANG MATERIAL, 27/03 INPUT ULANG MATERIAL - MSIH KOORDINASI DG MITRA, 26/03 INPUT ULANG MATERIAL - MSIH KOORDINASI DG MITRA, 21/03 DONE PR PO - EST TGL 30 MAR AMBIL MATERIAL, 13/03 MITRA MENGAMBIL MATERIAL EST 30 MAR, 27/02 MITRA MENGAMBIL MATERIAL SETELAH LEBARAN, 26/02 MENUNGGU APPROVE RFC, 25/02 MSH MENUNGGU APPROVE, 24/02 MENUNGGU APPROVE MATERIAL,  22/2 menunggu material TIANG  20/02 OGP MATDEL - MENUNGGU TIANG KRNA DI GUDANG KOSONG, 15/02 DONE INPUT MATERIAL, 10/2 perubahan design menunggu confirm dari sales TSEL. , plan Matdel 13 FEB  09/02 DONE DRM, 6/2 proses create PID  31/01 menunggu DRM 30/01 DONE EVAL LANJUT PROGRES, 25/01 DONE AANWIDJZING - PERIZINAN OK, 22/01 AANWIDJZING, (15/1) ORDER DITERIMA 14/1, PLAN AANWIJDZING 22 JAN 26 (06/01)order JPP batch-2 2026 ((14/11)HOLD-  tidak masuk target Optimis 2025 (
14/01 penunjukan mitra oleh procurement</v>
      </c>
      <c r="R1291" s="228">
        <f>IFERROR(__xludf.DUMMYFUNCTION("""COMPUTED_VALUE"""),46130.0)</f>
        <v>46130</v>
      </c>
      <c r="S1291" s="11" t="str">
        <f>IFERROR(__xludf.DUMMYFUNCTION("""COMPUTED_VALUE"""),"APR")</f>
        <v>APR</v>
      </c>
      <c r="T1291" s="73"/>
      <c r="U1291" s="11"/>
      <c r="V1291" s="229" t="str">
        <f>IFERROR(__xludf.DUMMYFUNCTION("""COMPUTED_VALUE"""),"RENALDO")</f>
        <v>RENALDO</v>
      </c>
      <c r="W1291" s="229"/>
      <c r="X1291" s="229" t="str">
        <f>IFERROR(__xludf.DUMMYFUNCTION("""COMPUTED_VALUE"""),"GOLIVE")</f>
        <v>GOLIVE</v>
      </c>
      <c r="Y1291" s="229" t="str">
        <f>IFERROR(__xludf.DUMMYFUNCTION("""COMPUTED_VALUE"""),"DONE")</f>
        <v>DONE</v>
      </c>
      <c r="Z1291" s="229" t="str">
        <f>IFERROR(__xludf.DUMMYFUNCTION("""COMPUTED_VALUE"""),"#N/A")</f>
        <v>#N/A</v>
      </c>
      <c r="AA1291" s="229">
        <f>IFERROR(__xludf.DUMMYFUNCTION("""COMPUTED_VALUE"""),2.0)</f>
        <v>2</v>
      </c>
      <c r="AB1291" s="229"/>
      <c r="AC1291" s="229" t="str">
        <f>IFERROR(__xludf.DUMMYFUNCTION("""COMPUTED_VALUE"""),"8943375#8943380")</f>
        <v>8943375#8943380</v>
      </c>
      <c r="AD1291" s="232">
        <f>IFERROR(__xludf.DUMMYFUNCTION("""COMPUTED_VALUE"""),16.0)</f>
        <v>16</v>
      </c>
      <c r="AE1291" s="233">
        <f>IFERROR(__xludf.DUMMYFUNCTION("""COMPUTED_VALUE"""),46130.0)</f>
        <v>46130</v>
      </c>
      <c r="AF1291" s="54"/>
      <c r="AG1291" s="54"/>
      <c r="AH1291" s="54">
        <v>46138.0</v>
      </c>
      <c r="AI1291" s="55">
        <f t="shared" si="140"/>
        <v>0</v>
      </c>
      <c r="AW1291" s="234"/>
      <c r="BP1291" s="11"/>
      <c r="BQ1291" s="11"/>
      <c r="BR1291" s="235"/>
      <c r="BV1291" s="158"/>
      <c r="BY1291" s="158"/>
      <c r="CB1291" s="158"/>
    </row>
    <row r="1292" ht="18.0" customHeight="1">
      <c r="A1292" s="222">
        <f>IFERROR(__xludf.DUMMYFUNCTION("""COMPUTED_VALUE"""),2026.0)</f>
        <v>2026</v>
      </c>
      <c r="B1292" s="221">
        <f>IFERROR(__xludf.DUMMYFUNCTION("""COMPUTED_VALUE"""),1.1098841E7)</f>
        <v>11098841</v>
      </c>
      <c r="C1292" s="222" t="str">
        <f>IFERROR(__xludf.DUMMYFUNCTION("""COMPUTED_VALUE"""),"RKP PT3 JPPTSEL KMS-FBH PERUM. PERMATA_INDAH 2")</f>
        <v>RKP PT3 JPPTSEL KMS-FBH PERUM. PERMATA_INDAH 2</v>
      </c>
      <c r="D1292" s="222" t="str">
        <f>IFERROR(__xludf.DUMMYFUNCTION("""COMPUTED_VALUE"""),"REGIONAL I")</f>
        <v>REGIONAL I</v>
      </c>
      <c r="E1292" s="222" t="str">
        <f>IFERROR(__xludf.DUMMYFUNCTION("""COMPUTED_VALUE"""),"RIKEP")</f>
        <v>RIKEP</v>
      </c>
      <c r="F1292" s="222" t="str">
        <f>IFERROR(__xludf.DUMMYFUNCTION("""COMPUTED_VALUE"""),"KMS")</f>
        <v>KMS</v>
      </c>
      <c r="G1292" s="222" t="str">
        <f>IFERROR(__xludf.DUMMYFUNCTION("""COMPUTED_VALUE"""),"SUMBAGTENG")</f>
        <v>SUMBAGTENG</v>
      </c>
      <c r="H1292" s="222" t="str">
        <f>IFERROR(__xludf.DUMMYFUNCTION("""COMPUTED_VALUE"""),"BATAM")</f>
        <v>BATAM</v>
      </c>
      <c r="I1292" s="222" t="str">
        <f>IFERROR(__xludf.DUMMYFUNCTION("""COMPUTED_VALUE"""),"Batch 2")</f>
        <v>Batch 2</v>
      </c>
      <c r="J1292" s="225">
        <f>IFERROR(__xludf.DUMMYFUNCTION("""COMPUTED_VALUE"""),3.0)</f>
        <v>3</v>
      </c>
      <c r="K1292" s="224">
        <f>IFERROR(__xludf.DUMMYFUNCTION("""COMPUTED_VALUE"""),24.0)</f>
        <v>24</v>
      </c>
      <c r="L1292" s="226">
        <f>IFERROR(__xludf.DUMMYFUNCTION("""COMPUTED_VALUE"""),782561.0)</f>
        <v>782561</v>
      </c>
      <c r="M1292" s="227">
        <f>IFERROR(__xludf.DUMMYFUNCTION("""COMPUTED_VALUE"""),1.8781446E7)</f>
        <v>18781446</v>
      </c>
      <c r="N1292" s="222" t="str">
        <f>IFERROR(__xludf.DUMMYFUNCTION("""COMPUTED_VALUE"""),"PT SALTTEK DUMPANG JAYA")</f>
        <v>PT SALTTEK DUMPANG JAYA</v>
      </c>
      <c r="O1292" s="222" t="str">
        <f>IFERROR(__xludf.DUMMYFUNCTION("""COMPUTED_VALUE"""),"0. DROP")</f>
        <v>0. DROP</v>
      </c>
      <c r="P1292" s="222" t="str">
        <f>IFERROR(__xludf.DUMMYFUNCTION("""COMPUTED_VALUE"""),"0.2 Tidak Dapat Izin Warga/Kades/Lurah/Developer")</f>
        <v>0.2 Tidak Dapat Izin Warga/Kades/Lurah/Developer</v>
      </c>
      <c r="Q1292" s="222" t="str">
        <f>IFERROR(__xludf.DUMMYFUNCTION("""COMPUTED_VALUE"""),"21/01 Warga menolak karena sudah terlalu banyak tiang dari provider lain")</f>
        <v>21/01 Warga menolak karena sudah terlalu banyak tiang dari provider lain</v>
      </c>
      <c r="R1292" s="228"/>
      <c r="S1292" s="11"/>
      <c r="T1292" s="11"/>
      <c r="U1292" s="11"/>
      <c r="V1292" s="229" t="str">
        <f>IFERROR(__xludf.DUMMYFUNCTION("""COMPUTED_VALUE"""),"DEDY IRAWAN")</f>
        <v>DEDY IRAWAN</v>
      </c>
      <c r="W1292" s="229" t="str">
        <f>IFERROR(__xludf.DUMMYFUNCTION("""COMPUTED_VALUE"""),"LEVITA INDRIYANI")</f>
        <v>LEVITA INDRIYANI</v>
      </c>
      <c r="X1292" s="229" t="str">
        <f>IFERROR(__xludf.DUMMYFUNCTION("""COMPUTED_VALUE"""),"BELUM GOLIVE")</f>
        <v>BELUM GOLIVE</v>
      </c>
      <c r="Y1292" s="229"/>
      <c r="Z1292" s="229" t="str">
        <f>IFERROR(__xludf.DUMMYFUNCTION("""COMPUTED_VALUE"""),"#N/A")</f>
        <v>#N/A</v>
      </c>
      <c r="AA1292" s="229"/>
      <c r="AB1292" s="229"/>
      <c r="AC1292" s="229"/>
      <c r="AD1292" s="232"/>
      <c r="AE1292" s="233"/>
      <c r="AF1292" s="54" t="str">
        <f>IFERROR(__xludf.DUMMYFUNCTION("""COMPUTED_VALUE"""),"Draft BA DROP")</f>
        <v>Draft BA DROP</v>
      </c>
      <c r="AG1292" s="54"/>
      <c r="AH1292" s="54"/>
      <c r="AI1292" s="55" t="str">
        <f t="shared" si="140"/>
        <v/>
      </c>
      <c r="AW1292" s="234"/>
      <c r="BP1292" s="11"/>
      <c r="BQ1292" s="11"/>
      <c r="BR1292" s="235"/>
      <c r="BV1292" s="158"/>
      <c r="BY1292" s="158"/>
      <c r="CB1292" s="158"/>
    </row>
    <row r="1293" ht="18.0" customHeight="1">
      <c r="A1293" s="222">
        <f>IFERROR(__xludf.DUMMYFUNCTION("""COMPUTED_VALUE"""),2026.0)</f>
        <v>2026</v>
      </c>
      <c r="B1293" s="221">
        <f>IFERROR(__xludf.DUMMYFUNCTION("""COMPUTED_VALUE"""),1.1503381E7)</f>
        <v>11503381</v>
      </c>
      <c r="C1293" s="222" t="str">
        <f>IFERROR(__xludf.DUMMYFUNCTION("""COMPUTED_VALUE"""),"SMB MD-STTF SITUJUH TUNGKAR-S GADANG")</f>
        <v>SMB MD-STTF SITUJUH TUNGKAR-S GADANG</v>
      </c>
      <c r="D1293" s="222" t="str">
        <f>IFERROR(__xludf.DUMMYFUNCTION("""COMPUTED_VALUE"""),"REGIONAL I")</f>
        <v>REGIONAL I</v>
      </c>
      <c r="E1293" s="222" t="str">
        <f>IFERROR(__xludf.DUMMYFUNCTION("""COMPUTED_VALUE"""),"SUMBAR")</f>
        <v>SUMBAR</v>
      </c>
      <c r="F1293" s="222" t="str">
        <f>IFERROR(__xludf.DUMMYFUNCTION("""COMPUTED_VALUE"""),"PYK")</f>
        <v>PYK</v>
      </c>
      <c r="G1293" s="222" t="str">
        <f>IFERROR(__xludf.DUMMYFUNCTION("""COMPUTED_VALUE"""),"SUMBAGTENG")</f>
        <v>SUMBAGTENG</v>
      </c>
      <c r="H1293" s="222" t="str">
        <f>IFERROR(__xludf.DUMMYFUNCTION("""COMPUTED_VALUE"""),"BUKIT TINGGI")</f>
        <v>BUKIT TINGGI</v>
      </c>
      <c r="I1293" s="222" t="str">
        <f>IFERROR(__xludf.DUMMYFUNCTION("""COMPUTED_VALUE"""),"Batch 2")</f>
        <v>Batch 2</v>
      </c>
      <c r="J1293" s="225">
        <f>IFERROR(__xludf.DUMMYFUNCTION("""COMPUTED_VALUE"""),15.0)</f>
        <v>15</v>
      </c>
      <c r="K1293" s="224">
        <f>IFERROR(__xludf.DUMMYFUNCTION("""COMPUTED_VALUE"""),120.0)</f>
        <v>120</v>
      </c>
      <c r="L1293" s="226">
        <f>IFERROR(__xludf.DUMMYFUNCTION("""COMPUTED_VALUE"""),782514.0)</f>
        <v>782514</v>
      </c>
      <c r="M1293" s="227">
        <f>IFERROR(__xludf.DUMMYFUNCTION("""COMPUTED_VALUE"""),9.390162E7)</f>
        <v>93901620</v>
      </c>
      <c r="N1293" s="222" t="str">
        <f>IFERROR(__xludf.DUMMYFUNCTION("""COMPUTED_VALUE"""),"PT TSUIKA BERKAH RAYA")</f>
        <v>PT TSUIKA BERKAH RAYA</v>
      </c>
      <c r="O1293" s="222" t="str">
        <f>IFERROR(__xludf.DUMMYFUNCTION("""COMPUTED_VALUE"""),"2. DONE AANWIJZING")</f>
        <v>2. DONE AANWIJZING</v>
      </c>
      <c r="P1293" s="222" t="str">
        <f>IFERROR(__xludf.DUMMYFUNCTION("""COMPUTED_VALUE"""),"2.10 Kendala - Feeder Rusak")</f>
        <v>2.10 Kendala - Feeder Rusak</v>
      </c>
      <c r="Q1293" s="222" t="str">
        <f>IFERROR(__xludf.DUMMYFUNCTION("""COMPUTED_VALUE"""),"(20/04Proses identifikasi QE feeder  (12/03) proses pengukuran tipus feeder PYK-FQ (27/01) butuh repair feeder PYK-FQ (07/01) Persiapan")</f>
        <v>(20/04Proses identifikasi QE feeder  (12/03) proses pengukuran tipus feeder PYK-FQ (27/01) butuh repair feeder PYK-FQ (07/01) Persiapan</v>
      </c>
      <c r="R1293" s="228"/>
      <c r="S1293" s="11"/>
      <c r="T1293" s="11"/>
      <c r="U1293" s="11"/>
      <c r="V1293" s="229"/>
      <c r="W1293" s="229"/>
      <c r="X1293" s="229" t="str">
        <f>IFERROR(__xludf.DUMMYFUNCTION("""COMPUTED_VALUE"""),"BELUM GOLIVE")</f>
        <v>BELUM GOLIVE</v>
      </c>
      <c r="Y1293" s="229"/>
      <c r="Z1293" s="229" t="str">
        <f>IFERROR(__xludf.DUMMYFUNCTION("""COMPUTED_VALUE"""),"#N/A")</f>
        <v>#N/A</v>
      </c>
      <c r="AA1293" s="229"/>
      <c r="AB1293" s="229"/>
      <c r="AC1293" s="229"/>
      <c r="AD1293" s="232"/>
      <c r="AE1293" s="233"/>
      <c r="AF1293" s="54"/>
      <c r="AG1293" s="54"/>
      <c r="AH1293" s="54"/>
      <c r="AI1293" s="55" t="str">
        <f t="shared" si="140"/>
        <v/>
      </c>
      <c r="AW1293" s="234"/>
      <c r="BP1293" s="11"/>
      <c r="BQ1293" s="11"/>
      <c r="BR1293" s="235"/>
      <c r="BV1293" s="158"/>
      <c r="BY1293" s="158"/>
      <c r="CB1293" s="158"/>
    </row>
    <row r="1294" ht="18.0" hidden="1" customHeight="1">
      <c r="A1294" s="222">
        <f>IFERROR(__xludf.DUMMYFUNCTION("""COMPUTED_VALUE"""),2026.0)</f>
        <v>2026</v>
      </c>
      <c r="B1294" s="221">
        <f>IFERROR(__xludf.DUMMYFUNCTION("""COMPUTED_VALUE"""),1.1129858E7)</f>
        <v>11129858</v>
      </c>
      <c r="C1294" s="222" t="str">
        <f>IFERROR(__xludf.DUMMYFUNCTION("""COMPUTED_VALUE"""),"MDN PT3 P7I5 TJR-FQ SCATER GG.MELINJO")</f>
        <v>MDN PT3 P7I5 TJR-FQ SCATER GG.MELINJO</v>
      </c>
      <c r="D1294" s="222" t="str">
        <f>IFERROR(__xludf.DUMMYFUNCTION("""COMPUTED_VALUE"""),"REGIONAL I")</f>
        <v>REGIONAL I</v>
      </c>
      <c r="E1294" s="222" t="str">
        <f>IFERROR(__xludf.DUMMYFUNCTION("""COMPUTED_VALUE"""),"MEDAN")</f>
        <v>MEDAN</v>
      </c>
      <c r="F1294" s="222" t="str">
        <f>IFERROR(__xludf.DUMMYFUNCTION("""COMPUTED_VALUE"""),"TJR")</f>
        <v>TJR</v>
      </c>
      <c r="G1294" s="222" t="str">
        <f>IFERROR(__xludf.DUMMYFUNCTION("""COMPUTED_VALUE"""),"SUMBAGUT")</f>
        <v>SUMBAGUT</v>
      </c>
      <c r="H1294" s="222" t="str">
        <f>IFERROR(__xludf.DUMMYFUNCTION("""COMPUTED_VALUE"""),"MEDAN")</f>
        <v>MEDAN</v>
      </c>
      <c r="I1294" s="222" t="str">
        <f>IFERROR(__xludf.DUMMYFUNCTION("""COMPUTED_VALUE"""),"Batch 2")</f>
        <v>Batch 2</v>
      </c>
      <c r="J1294" s="225">
        <f>IFERROR(__xludf.DUMMYFUNCTION("""COMPUTED_VALUE"""),1.0)</f>
        <v>1</v>
      </c>
      <c r="K1294" s="224">
        <f>IFERROR(__xludf.DUMMYFUNCTION("""COMPUTED_VALUE"""),24.0)</f>
        <v>24</v>
      </c>
      <c r="L1294" s="226">
        <f>IFERROR(__xludf.DUMMYFUNCTION("""COMPUTED_VALUE"""),781921.0)</f>
        <v>781921</v>
      </c>
      <c r="M1294" s="227">
        <f>IFERROR(__xludf.DUMMYFUNCTION("""COMPUTED_VALUE"""),1.8766089E7)</f>
        <v>18766089</v>
      </c>
      <c r="N1294" s="222" t="str">
        <f>IFERROR(__xludf.DUMMYFUNCTION("""COMPUTED_VALUE"""),"PT NIAGA NUSANTARA DIVA")</f>
        <v>PT NIAGA NUSANTARA DIVA</v>
      </c>
      <c r="O1294" s="222" t="str">
        <f>IFERROR(__xludf.DUMMYFUNCTION("""COMPUTED_VALUE"""),"2. DONE AANWIJZING")</f>
        <v>2. DONE AANWIJZING</v>
      </c>
      <c r="P1294" s="222" t="str">
        <f>IFERROR(__xludf.DUMMYFUNCTION("""COMPUTED_VALUE"""),"2.9 Kendala - Distribusi Penuh / Rusak")</f>
        <v>2.9 Kendala - Distribusi Penuh / Rusak</v>
      </c>
      <c r="Q1294" s="222" t="str">
        <f>IFERROR(__xludf.DUMMYFUNCTION("""COMPUTED_VALUE"""),"21/04 pengecekan distribusi loss ( redisgn )
31/03 pengajuan redesign alihkan petikan ke ODP lain 18/02 order mitra")</f>
        <v>21/04 pengecekan distribusi loss ( redisgn )
31/03 pengajuan redesign alihkan petikan ke ODP lain 18/02 order mitra</v>
      </c>
      <c r="R1294" s="228"/>
      <c r="S1294" s="11"/>
      <c r="T1294" s="73"/>
      <c r="U1294" s="11"/>
      <c r="V1294" s="229" t="str">
        <f>IFERROR(__xludf.DUMMYFUNCTION("""COMPUTED_VALUE"""),"28/Apr/2026")</f>
        <v>28/Apr/2026</v>
      </c>
      <c r="W1294" s="229"/>
      <c r="X1294" s="229" t="str">
        <f>IFERROR(__xludf.DUMMYFUNCTION("""COMPUTED_VALUE"""),"BELUM GOLIVE")</f>
        <v>BELUM GOLIVE</v>
      </c>
      <c r="Y1294" s="229"/>
      <c r="Z1294" s="229" t="str">
        <f>IFERROR(__xludf.DUMMYFUNCTION("""COMPUTED_VALUE"""),"#N/A")</f>
        <v>#N/A</v>
      </c>
      <c r="AA1294" s="229"/>
      <c r="AB1294" s="229"/>
      <c r="AC1294" s="229"/>
      <c r="AD1294" s="232"/>
      <c r="AE1294" s="233"/>
      <c r="AF1294" s="54"/>
      <c r="AG1294" s="54"/>
      <c r="AH1294" s="54"/>
      <c r="AI1294" s="55" t="str">
        <f t="shared" si="140"/>
        <v/>
      </c>
      <c r="AW1294" s="234"/>
      <c r="BP1294" s="11"/>
      <c r="BQ1294" s="11"/>
      <c r="BR1294" s="235"/>
      <c r="BV1294" s="158"/>
      <c r="BY1294" s="158"/>
      <c r="CB1294" s="158"/>
    </row>
    <row r="1295" ht="18.0" hidden="1" customHeight="1">
      <c r="A1295" s="222">
        <f>IFERROR(__xludf.DUMMYFUNCTION("""COMPUTED_VALUE"""),2026.0)</f>
        <v>2026</v>
      </c>
      <c r="B1295" s="221">
        <f>IFERROR(__xludf.DUMMYFUNCTION("""COMPUTED_VALUE"""),1.2252815E7)</f>
        <v>12252815</v>
      </c>
      <c r="C1295" s="222" t="str">
        <f>IFERROR(__xludf.DUMMYFUNCTION("""COMPUTED_VALUE"""),"SMS PT3 LLG FAD D02 PERUMAHAN PATIMURA 2")</f>
        <v>SMS PT3 LLG FAD D02 PERUMAHAN PATIMURA 2</v>
      </c>
      <c r="D1295" s="222" t="str">
        <f>IFERROR(__xludf.DUMMYFUNCTION("""COMPUTED_VALUE"""),"REGIONAL I")</f>
        <v>REGIONAL I</v>
      </c>
      <c r="E1295" s="222" t="str">
        <f>IFERROR(__xludf.DUMMYFUNCTION("""COMPUTED_VALUE"""),"SUMSEL")</f>
        <v>SUMSEL</v>
      </c>
      <c r="F1295" s="222" t="str">
        <f>IFERROR(__xludf.DUMMYFUNCTION("""COMPUTED_VALUE"""),"LLG")</f>
        <v>LLG</v>
      </c>
      <c r="G1295" s="222" t="str">
        <f>IFERROR(__xludf.DUMMYFUNCTION("""COMPUTED_VALUE"""),"SUMBAGSEL")</f>
        <v>SUMBAGSEL</v>
      </c>
      <c r="H1295" s="222" t="str">
        <f>IFERROR(__xludf.DUMMYFUNCTION("""COMPUTED_VALUE"""),"BENGKULU")</f>
        <v>BENGKULU</v>
      </c>
      <c r="I1295" s="222" t="str">
        <f>IFERROR(__xludf.DUMMYFUNCTION("""COMPUTED_VALUE"""),"Batch 2")</f>
        <v>Batch 2</v>
      </c>
      <c r="J1295" s="225">
        <f>IFERROR(__xludf.DUMMYFUNCTION("""COMPUTED_VALUE"""),6.0)</f>
        <v>6</v>
      </c>
      <c r="K1295" s="224">
        <f>IFERROR(__xludf.DUMMYFUNCTION("""COMPUTED_VALUE"""),48.0)</f>
        <v>48</v>
      </c>
      <c r="L1295" s="226">
        <f>IFERROR(__xludf.DUMMYFUNCTION("""COMPUTED_VALUE"""),781556.0)</f>
        <v>781556</v>
      </c>
      <c r="M1295" s="227">
        <f>IFERROR(__xludf.DUMMYFUNCTION("""COMPUTED_VALUE"""),3.7514667E7)</f>
        <v>37514667</v>
      </c>
      <c r="N1295" s="222" t="str">
        <f>IFERROR(__xludf.DUMMYFUNCTION("""COMPUTED_VALUE"""),"PT HAN SUNG INDONESIA")</f>
        <v>PT HAN SUNG INDONESIA</v>
      </c>
      <c r="O1295" s="222" t="str">
        <f>IFERROR(__xludf.DUMMYFUNCTION("""COMPUTED_VALUE"""),"8. UJI TERIMA")</f>
        <v>8. UJI TERIMA</v>
      </c>
      <c r="P1295" s="222" t="str">
        <f>IFERROR(__xludf.DUMMYFUNCTION("""COMPUTED_VALUE"""),"8.1 Proses UT")</f>
        <v>8.1 Proses UT</v>
      </c>
      <c r="Q1295" s="222" t="str">
        <f>IFERROR(__xludf.DUMMYFUNCTION("""COMPUTED_VALUE"""),"(31/1)GOLIVE , SUdah selesai Valins, eviden FTM bellum dikirim  (24/1) kendala Big OLT, rak sudah sampai di sto  menunggu instlasi (21/01) selesai fisik, kendala port OLT STO LLG habis, butuh BIG OLT baru, (06/01)order JPP batch-2 2026 ((23/11) tarik kabe"&amp;"l 1000/1670 , tiang 9/9 (22/11) tanam tiang(14/11)PROSES PR PO (09/11) update kml anwijzing - hansung (23/10) penunjukan mitra")</f>
        <v>(31/1)GOLIVE , SUdah selesai Valins, eviden FTM bellum dikirim  (24/1) kendala Big OLT, rak sudah sampai di sto  menunggu instlasi (21/01) selesai fisik, kendala port OLT STO LLG habis, butuh BIG OLT baru, (06/01)order JPP batch-2 2026 ((23/11) tarik kabel 1000/1670 , tiang 9/9 (22/11) tanam tiang(14/11)PROSES PR PO (09/11) update kml anwijzing - hansung (23/10) penunjukan mitra</v>
      </c>
      <c r="R1295" s="228"/>
      <c r="S1295" s="11"/>
      <c r="T1295" s="11"/>
      <c r="U1295" s="11"/>
      <c r="V1295" s="229" t="str">
        <f>IFERROR(__xludf.DUMMYFUNCTION("""COMPUTED_VALUE"""),"PUTRA")</f>
        <v>PUTRA</v>
      </c>
      <c r="W1295" s="229"/>
      <c r="X1295" s="229" t="str">
        <f>IFERROR(__xludf.DUMMYFUNCTION("""COMPUTED_VALUE"""),"GOLIVE")</f>
        <v>GOLIVE</v>
      </c>
      <c r="Y1295" s="229" t="str">
        <f>IFERROR(__xludf.DUMMYFUNCTION("""COMPUTED_VALUE"""),"DONE")</f>
        <v>DONE</v>
      </c>
      <c r="Z1295" s="229" t="str">
        <f>IFERROR(__xludf.DUMMYFUNCTION("""COMPUTED_VALUE"""),"#N/A")</f>
        <v>#N/A</v>
      </c>
      <c r="AA1295" s="229">
        <f>IFERROR(__xludf.DUMMYFUNCTION("""COMPUTED_VALUE"""),6.0)</f>
        <v>6</v>
      </c>
      <c r="AB1295" s="229"/>
      <c r="AC1295" s="229" t="str">
        <f>IFERROR(__xludf.DUMMYFUNCTION("""COMPUTED_VALUE"""),"8531201#8531206")</f>
        <v>8531201#8531206</v>
      </c>
      <c r="AD1295" s="232">
        <f>IFERROR(__xludf.DUMMYFUNCTION("""COMPUTED_VALUE"""),48.0)</f>
        <v>48</v>
      </c>
      <c r="AE1295" s="233">
        <f>IFERROR(__xludf.DUMMYFUNCTION("""COMPUTED_VALUE"""),46053.0)</f>
        <v>46053</v>
      </c>
      <c r="AF1295" s="54"/>
      <c r="AG1295" s="54"/>
      <c r="AH1295" s="54"/>
      <c r="AI1295" s="55" t="str">
        <f t="shared" si="140"/>
        <v/>
      </c>
      <c r="AW1295" s="234"/>
      <c r="BP1295" s="11"/>
      <c r="BQ1295" s="11"/>
      <c r="BR1295" s="235"/>
      <c r="BV1295" s="158"/>
      <c r="BY1295" s="158"/>
      <c r="CB1295" s="158"/>
    </row>
    <row r="1296" ht="18.0" hidden="1" customHeight="1">
      <c r="A1296" s="222">
        <f>IFERROR(__xludf.DUMMYFUNCTION("""COMPUTED_VALUE"""),2026.0)</f>
        <v>2026</v>
      </c>
      <c r="B1296" s="221">
        <f>IFERROR(__xludf.DUMMYFUNCTION("""COMPUTED_VALUE"""),1.240823E7)</f>
        <v>12408230</v>
      </c>
      <c r="C1296" s="222" t="str">
        <f>IFERROR(__xludf.DUMMYFUNCTION("""COMPUTED_VALUE"""),"SMU ODC-SBN-FA D03 142223.")</f>
        <v>SMU ODC-SBN-FA D03 142223.</v>
      </c>
      <c r="D1296" s="222" t="str">
        <f>IFERROR(__xludf.DUMMYFUNCTION("""COMPUTED_VALUE"""),"REGIONAL I")</f>
        <v>REGIONAL I</v>
      </c>
      <c r="E1296" s="222" t="str">
        <f>IFERROR(__xludf.DUMMYFUNCTION("""COMPUTED_VALUE"""),"SUMUT")</f>
        <v>SUMUT</v>
      </c>
      <c r="F1296" s="222" t="str">
        <f>IFERROR(__xludf.DUMMYFUNCTION("""COMPUTED_VALUE"""),"SBN")</f>
        <v>SBN</v>
      </c>
      <c r="G1296" s="222" t="str">
        <f>IFERROR(__xludf.DUMMYFUNCTION("""COMPUTED_VALUE"""),"SUMBAGUT")</f>
        <v>SUMBAGUT</v>
      </c>
      <c r="H1296" s="222" t="str">
        <f>IFERROR(__xludf.DUMMYFUNCTION("""COMPUTED_VALUE"""),"PEMATANG SIANTAR")</f>
        <v>PEMATANG SIANTAR</v>
      </c>
      <c r="I1296" s="222" t="str">
        <f>IFERROR(__xludf.DUMMYFUNCTION("""COMPUTED_VALUE"""),"Batch 2")</f>
        <v>Batch 2</v>
      </c>
      <c r="J1296" s="225">
        <f>IFERROR(__xludf.DUMMYFUNCTION("""COMPUTED_VALUE"""),10.0)</f>
        <v>10</v>
      </c>
      <c r="K1296" s="224">
        <f>IFERROR(__xludf.DUMMYFUNCTION("""COMPUTED_VALUE"""),80.0)</f>
        <v>80</v>
      </c>
      <c r="L1296" s="226">
        <f>IFERROR(__xludf.DUMMYFUNCTION("""COMPUTED_VALUE"""),781470.0)</f>
        <v>781470</v>
      </c>
      <c r="M1296" s="227">
        <f>IFERROR(__xludf.DUMMYFUNCTION("""COMPUTED_VALUE"""),6.2517521E7)</f>
        <v>62517521</v>
      </c>
      <c r="N1296" s="222" t="str">
        <f>IFERROR(__xludf.DUMMYFUNCTION("""COMPUTED_VALUE"""),"PT GARINDO TECHNO MANDIRI")</f>
        <v>PT GARINDO TECHNO MANDIRI</v>
      </c>
      <c r="O1296" s="222" t="str">
        <f>IFERROR(__xludf.DUMMYFUNCTION("""COMPUTED_VALUE"""),"7. GOLIVE")</f>
        <v>7. GOLIVE</v>
      </c>
      <c r="P1296" s="222" t="str">
        <f>IFERROR(__xludf.DUMMYFUNCTION("""COMPUTED_VALUE"""),"7.2 Golive Full / OA / DONE OTB")</f>
        <v>7.2 Golive Full / OA / DONE OTB</v>
      </c>
      <c r="Q1296" s="222" t="str">
        <f>IFERROR(__xludf.DUMMYFUNCTION("""COMPUTED_VALUE"""),"11/3 Golive, 10/3 validasi sdi, 9/3 proses valins 8 odp, 6/3 plan lanjut terminasi  8 odp besok 7 maret,,  kabel 12 ( 3012 selesai tiang 16 sselesai, 4/3  team serial di SRA FAH , sisa terminasi 8 odp,  kabel 12 ( 3012 selesai tiang 16 sselesai, 3/3  team"&amp;" serial di SRA FAH , sisa terminasi 8 odp,  kabel 12 ( 3012 selesai tiang 16 sselesai, 2/3  team serial di SRA FAH , sisa terminasi 8 odp,  kabel 12 ( 3012 selesai tiang 16 sselesai,  27/2 team serial di tbt faz , sisa terminasi 8 odp,  kabel 12 ( 3012 se"&amp;"lesai tiang 16 sselesai,  25/2 team serial di tbt faz , sisa terminasi 8 odp,  kabel 12 ( 3012 selesai tiang 16 sselesai, 22/2 penarikan kabel 12 ( 3012 sisa 400, odp 8 blm progres, tiang 16 sisa 520/2 matrial on site, prepair team untuk lnjut instalasi, "&amp;"19/2 prepair tim pengambilan material, 18/2 prepair tim pengambilan material, 16/2 prepair tim pengambilan material,12/2 prepair tim pengambilan material 11/2 prepair team pengambilan matrial ke gudang est besok 12 feb, 10/2 prepair team untuk pengambilan"&amp;" matrial ke gudang, 9/2 proses input material, 6/2 proses input matrial, 5/2 menunggu boq kml survey hasil redesign, 4/2 plan besok team keloaksi untuk survey boq kml redesign,  3/2 plan besok team keloaksi untuk survey boq kml redesign, 2/2 prepair team "&amp;"untuk survey boq kml redesign, 1/2 prepair team untuk survey boq kml redesign, 30/1 prepair team untuk survey boq kml redesign, 28/1 besok 29/1 proses suev ey ulang hasil redesign ,27/1 hold, kendala sisa core dist sisa 2 kebutuhan 10 odp, 26/1  (menunggu"&amp;" info tsel terkait pengurangan odp) kendala sisa core dist sisa 2 kebutuhan 10 odp, sisa feeder 2 kebutuhan 3 port, 23/1  (menunggu info tsel terkait pengurangan odp) kendala sisa core dist sisa 2 kebutuhan 10 odp, sisa feeder 2 kebutuhan 3 port, 22/1  (p"&amp;"engajuan ke tif ) kendala sisa core dist sisa 2 kebutuhan 10 odp, sisa feeder 2 kebutuhan 3 port,  21/1  (pengajuan ke tif ) kendala sisa core dist sisa 2 kebutuhan 10 odp, sisa feeder 2 kebutuhan 3 port, 20/1 menunggu info tif/tsel terkait , kendala sisa"&amp;" core dist sisa 2 kebutuhan 10 odp, sisa feeder 2 kebutuhan 3 port, 19/1 kendala sisa core dist sisa 2 kebutuhan 10 odp, sisa feeder 2 kebutuhan 3 port (menunggu info sdi),  14/01 plan survey tanggal 16/01, 13/01 plan survey tanggal 16/01, (07/01) Persiap"&amp;"an")</f>
        <v>11/3 Golive, 10/3 validasi sdi, 9/3 proses valins 8 odp, 6/3 plan lanjut terminasi  8 odp besok 7 maret,,  kabel 12 ( 3012 selesai tiang 16 sselesai, 4/3  team serial di SRA FAH , sisa terminasi 8 odp,  kabel 12 ( 3012 selesai tiang 16 sselesai, 3/3  team serial di SRA FAH , sisa terminasi 8 odp,  kabel 12 ( 3012 selesai tiang 16 sselesai, 2/3  team serial di SRA FAH , sisa terminasi 8 odp,  kabel 12 ( 3012 selesai tiang 16 sselesai,  27/2 team serial di tbt faz , sisa terminasi 8 odp,  kabel 12 ( 3012 selesai tiang 16 sselesai,  25/2 team serial di tbt faz , sisa terminasi 8 odp,  kabel 12 ( 3012 selesai tiang 16 sselesai, 22/2 penarikan kabel 12 ( 3012 sisa 400, odp 8 blm progres, tiang 16 sisa 520/2 matrial on site, prepair team untuk lnjut instalasi, 19/2 prepair tim pengambilan material, 18/2 prepair tim pengambilan material, 16/2 prepair tim pengambilan material,12/2 prepair tim pengambilan material 11/2 prepair team pengambilan matrial ke gudang est besok 12 feb, 10/2 prepair team untuk pengambilan matrial ke gudang, 9/2 proses input material, 6/2 proses input matrial, 5/2 menunggu boq kml survey hasil redesign, 4/2 plan besok team keloaksi untuk survey boq kml redesign,  3/2 plan besok team keloaksi untuk survey boq kml redesign, 2/2 prepair team untuk survey boq kml redesign, 1/2 prepair team untuk survey boq kml redesign, 30/1 prepair team untuk survey boq kml redesign, 28/1 besok 29/1 proses suev ey ulang hasil redesign ,27/1 hold, kendala sisa core dist sisa 2 kebutuhan 10 odp, 26/1  (menunggu info tsel terkait pengurangan odp) kendala sisa core dist sisa 2 kebutuhan 10 odp, sisa feeder 2 kebutuhan 3 port, 23/1  (menunggu info tsel terkait pengurangan odp) kendala sisa core dist sisa 2 kebutuhan 10 odp, sisa feeder 2 kebutuhan 3 port, 22/1  (pengajuan ke tif ) kendala sisa core dist sisa 2 kebutuhan 10 odp, sisa feeder 2 kebutuhan 3 port,  21/1  (pengajuan ke tif ) kendala sisa core dist sisa 2 kebutuhan 10 odp, sisa feeder 2 kebutuhan 3 port, 20/1 menunggu info tif/tsel terkait , kendala sisa core dist sisa 2 kebutuhan 10 odp, sisa feeder 2 kebutuhan 3 port, 19/1 kendala sisa core dist sisa 2 kebutuhan 10 odp, sisa feeder 2 kebutuhan 3 port (menunggu info sdi),  14/01 plan survey tanggal 16/01, 13/01 plan survey tanggal 16/01, (07/01) Persiapan</v>
      </c>
      <c r="R1296" s="228">
        <f>IFERROR(__xludf.DUMMYFUNCTION("""COMPUTED_VALUE"""),46089.0)</f>
        <v>46089</v>
      </c>
      <c r="S1296" s="11" t="str">
        <f>IFERROR(__xludf.DUMMYFUNCTION("""COMPUTED_VALUE"""),"MAR")</f>
        <v>MAR</v>
      </c>
      <c r="T1296" s="11"/>
      <c r="U1296" s="11" t="str">
        <f>IFERROR(__xludf.DUMMYFUNCTION("""COMPUTED_VALUE"""),"TIF-1384/2026")</f>
        <v>TIF-1384/2026</v>
      </c>
      <c r="V1296" s="229"/>
      <c r="W1296" s="229"/>
      <c r="X1296" s="229" t="str">
        <f>IFERROR(__xludf.DUMMYFUNCTION("""COMPUTED_VALUE"""),"GOLIVE")</f>
        <v>GOLIVE</v>
      </c>
      <c r="Y1296" s="229"/>
      <c r="Z1296" s="229" t="str">
        <f>IFERROR(__xludf.DUMMYFUNCTION("""COMPUTED_VALUE"""),"#N/A")</f>
        <v>#N/A</v>
      </c>
      <c r="AA1296" s="229">
        <f>IFERROR(__xludf.DUMMYFUNCTION("""COMPUTED_VALUE"""),8.0)</f>
        <v>8</v>
      </c>
      <c r="AB1296" s="229"/>
      <c r="AC1296" s="229" t="str">
        <f>IFERROR(__xludf.DUMMYFUNCTION("""COMPUTED_VALUE"""),"9198263#9198268")</f>
        <v>9198263#9198268</v>
      </c>
      <c r="AD1296" s="232">
        <f>IFERROR(__xludf.DUMMYFUNCTION("""COMPUTED_VALUE"""),64.0)</f>
        <v>64</v>
      </c>
      <c r="AE1296" s="233">
        <f>IFERROR(__xludf.DUMMYFUNCTION("""COMPUTED_VALUE"""),46092.0)</f>
        <v>46092</v>
      </c>
      <c r="AF1296" s="54"/>
      <c r="AG1296" s="54"/>
      <c r="AH1296" s="54">
        <v>46089.0</v>
      </c>
      <c r="AI1296" s="55">
        <f t="shared" si="140"/>
        <v>-3</v>
      </c>
      <c r="AW1296" s="234"/>
      <c r="BP1296" s="11"/>
      <c r="BQ1296" s="11"/>
      <c r="BR1296" s="235"/>
      <c r="BV1296" s="158"/>
      <c r="BY1296" s="158"/>
      <c r="CB1296" s="158"/>
    </row>
    <row r="1297" ht="18.0" customHeight="1">
      <c r="A1297" s="222">
        <f>IFERROR(__xludf.DUMMYFUNCTION("""COMPUTED_VALUE"""),2026.0)</f>
        <v>2026</v>
      </c>
      <c r="B1297" s="221">
        <f>IFERROR(__xludf.DUMMYFUNCTION("""COMPUTED_VALUE"""),1.0994822E7)</f>
        <v>10994822</v>
      </c>
      <c r="C1297" s="222" t="str">
        <f>IFERROR(__xludf.DUMMYFUNCTION("""COMPUTED_VALUE"""),"RDR JPP PT3 KALIMASA")</f>
        <v>RDR JPP PT3 KALIMASA</v>
      </c>
      <c r="D1297" s="222" t="str">
        <f>IFERROR(__xludf.DUMMYFUNCTION("""COMPUTED_VALUE"""),"REGIONAL I")</f>
        <v>REGIONAL I</v>
      </c>
      <c r="E1297" s="222" t="str">
        <f>IFERROR(__xludf.DUMMYFUNCTION("""COMPUTED_VALUE"""),"RIDAR")</f>
        <v>RIDAR</v>
      </c>
      <c r="F1297" s="222" t="str">
        <f>IFERROR(__xludf.DUMMYFUNCTION("""COMPUTED_VALUE"""),"ARK")</f>
        <v>ARK</v>
      </c>
      <c r="G1297" s="222" t="str">
        <f>IFERROR(__xludf.DUMMYFUNCTION("""COMPUTED_VALUE"""),"SUMBAGTENG")</f>
        <v>SUMBAGTENG</v>
      </c>
      <c r="H1297" s="222" t="str">
        <f>IFERROR(__xludf.DUMMYFUNCTION("""COMPUTED_VALUE"""),"PEKANBARU")</f>
        <v>PEKANBARU</v>
      </c>
      <c r="I1297" s="222" t="str">
        <f>IFERROR(__xludf.DUMMYFUNCTION("""COMPUTED_VALUE"""),"Batch 2")</f>
        <v>Batch 2</v>
      </c>
      <c r="J1297" s="225">
        <f>IFERROR(__xludf.DUMMYFUNCTION("""COMPUTED_VALUE"""),3.0)</f>
        <v>3</v>
      </c>
      <c r="K1297" s="224">
        <f>IFERROR(__xludf.DUMMYFUNCTION("""COMPUTED_VALUE"""),24.0)</f>
        <v>24</v>
      </c>
      <c r="L1297" s="226">
        <f>IFERROR(__xludf.DUMMYFUNCTION("""COMPUTED_VALUE"""),781316.0)</f>
        <v>781316</v>
      </c>
      <c r="M1297" s="227">
        <f>IFERROR(__xludf.DUMMYFUNCTION("""COMPUTED_VALUE"""),1.8751583E7)</f>
        <v>18751583</v>
      </c>
      <c r="N1297" s="222"/>
      <c r="O1297" s="222" t="str">
        <f>IFERROR(__xludf.DUMMYFUNCTION("""COMPUTED_VALUE"""),"0. DROP")</f>
        <v>0. DROP</v>
      </c>
      <c r="P1297" s="222" t="str">
        <f>IFERROR(__xludf.DUMMYFUNCTION("""COMPUTED_VALUE"""),"0.2 Tidak Dapat Izin Warga/Kades/Lurah/Developer")</f>
        <v>0.2 Tidak Dapat Izin Warga/Kades/Lurah/Developer</v>
      </c>
      <c r="Q1297" s="222" t="str">
        <f>IFERROR(__xludf.DUMMYFUNCTION("""COMPUTED_VALUE"""),"20/01 Tidak dapat izin RT/RW dan Warga")</f>
        <v>20/01 Tidak dapat izin RT/RW dan Warga</v>
      </c>
      <c r="R1297" s="228"/>
      <c r="S1297" s="11"/>
      <c r="T1297" s="11"/>
      <c r="U1297" s="11"/>
      <c r="V1297" s="229"/>
      <c r="W1297" s="229"/>
      <c r="X1297" s="229" t="str">
        <f>IFERROR(__xludf.DUMMYFUNCTION("""COMPUTED_VALUE"""),"BELUM GOLIVE")</f>
        <v>BELUM GOLIVE</v>
      </c>
      <c r="Y1297" s="229"/>
      <c r="Z1297" s="229" t="str">
        <f>IFERROR(__xludf.DUMMYFUNCTION("""COMPUTED_VALUE"""),"#N/A")</f>
        <v>#N/A</v>
      </c>
      <c r="AA1297" s="229"/>
      <c r="AB1297" s="229"/>
      <c r="AC1297" s="229"/>
      <c r="AD1297" s="232"/>
      <c r="AE1297" s="233"/>
      <c r="AF1297" s="54" t="str">
        <f>IFERROR(__xludf.DUMMYFUNCTION("""COMPUTED_VALUE"""),"Draft BA DROP")</f>
        <v>Draft BA DROP</v>
      </c>
      <c r="AG1297" s="54"/>
      <c r="AH1297" s="54"/>
      <c r="AI1297" s="55" t="str">
        <f t="shared" si="140"/>
        <v/>
      </c>
      <c r="AW1297" s="234"/>
      <c r="BP1297" s="11"/>
      <c r="BQ1297" s="11"/>
      <c r="BR1297" s="235"/>
      <c r="BV1297" s="158"/>
      <c r="BY1297" s="158"/>
      <c r="CB1297" s="158"/>
    </row>
    <row r="1298" ht="18.0" customHeight="1">
      <c r="A1298" s="222">
        <f>IFERROR(__xludf.DUMMYFUNCTION("""COMPUTED_VALUE"""),2026.0)</f>
        <v>2026</v>
      </c>
      <c r="B1298" s="221">
        <f>IFERROR(__xludf.DUMMYFUNCTION("""COMPUTED_VALUE"""),1.1045544E7)</f>
        <v>11045544</v>
      </c>
      <c r="C1298" s="222" t="str">
        <f>IFERROR(__xludf.DUMMYFUNCTION("""COMPUTED_VALUE"""),"SMB P3I7 PT3 SCATTER PANAMPUNG")</f>
        <v>SMB P3I7 PT3 SCATTER PANAMPUNG</v>
      </c>
      <c r="D1298" s="222" t="str">
        <f>IFERROR(__xludf.DUMMYFUNCTION("""COMPUTED_VALUE"""),"REGIONAL I")</f>
        <v>REGIONAL I</v>
      </c>
      <c r="E1298" s="222" t="str">
        <f>IFERROR(__xludf.DUMMYFUNCTION("""COMPUTED_VALUE"""),"SUMBAR")</f>
        <v>SUMBAR</v>
      </c>
      <c r="F1298" s="222" t="str">
        <f>IFERROR(__xludf.DUMMYFUNCTION("""COMPUTED_VALUE"""),"BSO")</f>
        <v>BSO</v>
      </c>
      <c r="G1298" s="222" t="str">
        <f>IFERROR(__xludf.DUMMYFUNCTION("""COMPUTED_VALUE"""),"SUMBAGTENG")</f>
        <v>SUMBAGTENG</v>
      </c>
      <c r="H1298" s="222" t="str">
        <f>IFERROR(__xludf.DUMMYFUNCTION("""COMPUTED_VALUE"""),"BUKIT TINGGI")</f>
        <v>BUKIT TINGGI</v>
      </c>
      <c r="I1298" s="222" t="str">
        <f>IFERROR(__xludf.DUMMYFUNCTION("""COMPUTED_VALUE"""),"Batch 2")</f>
        <v>Batch 2</v>
      </c>
      <c r="J1298" s="225">
        <f>IFERROR(__xludf.DUMMYFUNCTION("""COMPUTED_VALUE"""),3.0)</f>
        <v>3</v>
      </c>
      <c r="K1298" s="224">
        <f>IFERROR(__xludf.DUMMYFUNCTION("""COMPUTED_VALUE"""),24.0)</f>
        <v>24</v>
      </c>
      <c r="L1298" s="226">
        <f>IFERROR(__xludf.DUMMYFUNCTION("""COMPUTED_VALUE"""),780885.0)</f>
        <v>780885</v>
      </c>
      <c r="M1298" s="227">
        <f>IFERROR(__xludf.DUMMYFUNCTION("""COMPUTED_VALUE"""),1.8741232E7)</f>
        <v>18741232</v>
      </c>
      <c r="N1298" s="222" t="str">
        <f>IFERROR(__xludf.DUMMYFUNCTION("""COMPUTED_VALUE"""),"PT RATRI PRIMA MANDIRI")</f>
        <v>PT RATRI PRIMA MANDIRI</v>
      </c>
      <c r="O1298" s="222" t="str">
        <f>IFERROR(__xludf.DUMMYFUNCTION("""COMPUTED_VALUE"""),"0. DROP")</f>
        <v>0. DROP</v>
      </c>
      <c r="P1298" s="222" t="str">
        <f>IFERROR(__xludf.DUMMYFUNCTION("""COMPUTED_VALUE"""),"0.3 Feeder Full")</f>
        <v>0.3 Feeder Full</v>
      </c>
      <c r="Q1298" s="222" t="str">
        <f>IFERROR(__xludf.DUMMYFUNCTION("""COMPUTED_VALUE"""),"(27/01) KENDALA FEEDER BSO-FB FULL (07/01) Persiapan")</f>
        <v>(27/01) KENDALA FEEDER BSO-FB FULL (07/01) Persiapan</v>
      </c>
      <c r="R1298" s="228"/>
      <c r="S1298" s="11"/>
      <c r="T1298" s="11"/>
      <c r="U1298" s="11"/>
      <c r="V1298" s="229"/>
      <c r="W1298" s="229"/>
      <c r="X1298" s="229" t="str">
        <f>IFERROR(__xludf.DUMMYFUNCTION("""COMPUTED_VALUE"""),"BELUM GOLIVE")</f>
        <v>BELUM GOLIVE</v>
      </c>
      <c r="Y1298" s="229"/>
      <c r="Z1298" s="229" t="str">
        <f>IFERROR(__xludf.DUMMYFUNCTION("""COMPUTED_VALUE"""),"#N/A")</f>
        <v>#N/A</v>
      </c>
      <c r="AA1298" s="229"/>
      <c r="AB1298" s="229"/>
      <c r="AC1298" s="229"/>
      <c r="AD1298" s="232"/>
      <c r="AE1298" s="233"/>
      <c r="AF1298" s="54"/>
      <c r="AG1298" s="54"/>
      <c r="AH1298" s="54"/>
      <c r="AI1298" s="55" t="str">
        <f t="shared" si="140"/>
        <v/>
      </c>
      <c r="AW1298" s="234"/>
      <c r="BP1298" s="11"/>
      <c r="BQ1298" s="11"/>
      <c r="BR1298" s="235"/>
      <c r="BV1298" s="158"/>
      <c r="BY1298" s="158"/>
      <c r="CB1298" s="158"/>
    </row>
    <row r="1299" ht="18.0" hidden="1" customHeight="1">
      <c r="A1299" s="222">
        <f>IFERROR(__xludf.DUMMYFUNCTION("""COMPUTED_VALUE"""),2026.0)</f>
        <v>2026</v>
      </c>
      <c r="B1299" s="221">
        <f>IFERROR(__xludf.DUMMYFUNCTION("""COMPUTED_VALUE"""),1.2386337E7)</f>
        <v>12386337</v>
      </c>
      <c r="C1299" s="222" t="str">
        <f>IFERROR(__xludf.DUMMYFUNCTION("""COMPUTED_VALUE"""),"BBL PT3 P4I3 BIKANG NEW")</f>
        <v>BBL PT3 P4I3 BIKANG NEW</v>
      </c>
      <c r="D1299" s="222" t="str">
        <f>IFERROR(__xludf.DUMMYFUNCTION("""COMPUTED_VALUE"""),"REGIONAL I")</f>
        <v>REGIONAL I</v>
      </c>
      <c r="E1299" s="222" t="str">
        <f>IFERROR(__xludf.DUMMYFUNCTION("""COMPUTED_VALUE"""),"BABEL")</f>
        <v>BABEL</v>
      </c>
      <c r="F1299" s="222" t="str">
        <f>IFERROR(__xludf.DUMMYFUNCTION("""COMPUTED_VALUE"""),"TBI")</f>
        <v>TBI</v>
      </c>
      <c r="G1299" s="222" t="str">
        <f>IFERROR(__xludf.DUMMYFUNCTION("""COMPUTED_VALUE"""),"SUMBAGSEL")</f>
        <v>SUMBAGSEL</v>
      </c>
      <c r="H1299" s="222" t="str">
        <f>IFERROR(__xludf.DUMMYFUNCTION("""COMPUTED_VALUE"""),"PANGKAL PINANG")</f>
        <v>PANGKAL PINANG</v>
      </c>
      <c r="I1299" s="222" t="str">
        <f>IFERROR(__xludf.DUMMYFUNCTION("""COMPUTED_VALUE"""),"Batch 2")</f>
        <v>Batch 2</v>
      </c>
      <c r="J1299" s="225">
        <f>IFERROR(__xludf.DUMMYFUNCTION("""COMPUTED_VALUE"""),7.0)</f>
        <v>7</v>
      </c>
      <c r="K1299" s="224">
        <f>IFERROR(__xludf.DUMMYFUNCTION("""COMPUTED_VALUE"""),56.0)</f>
        <v>56</v>
      </c>
      <c r="L1299" s="226">
        <f>IFERROR(__xludf.DUMMYFUNCTION("""COMPUTED_VALUE"""),780827.0)</f>
        <v>780827</v>
      </c>
      <c r="M1299" s="227">
        <f>IFERROR(__xludf.DUMMYFUNCTION("""COMPUTED_VALUE"""),4.3726268E7)</f>
        <v>43726268</v>
      </c>
      <c r="N1299" s="222" t="str">
        <f>IFERROR(__xludf.DUMMYFUNCTION("""COMPUTED_VALUE"""),"PT FAJAR MITRA KRIDA ABADI")</f>
        <v>PT FAJAR MITRA KRIDA ABADI</v>
      </c>
      <c r="O1299" s="222" t="str">
        <f>IFERROR(__xludf.DUMMYFUNCTION("""COMPUTED_VALUE"""),"7. GOLIVE")</f>
        <v>7. GOLIVE</v>
      </c>
      <c r="P1299" s="222" t="str">
        <f>IFERROR(__xludf.DUMMYFUNCTION("""COMPUTED_VALUE"""),"7.2 Golive Full / OA / DONE OTB")</f>
        <v>7.2 Golive Full / OA / DONE OTB</v>
      </c>
      <c r="Q1299" s="222" t="str">
        <f>IFERROR(__xludf.DUMMYFUNCTION("""COMPUTED_VALUE"""),"05/02 GOLIVE 3/2 SUDAH SUMBIT ABD (28/1) tim paralel lokasi lain (27/01) matdel (19/01) Kendala Kabel Belum Datamh (7/1)  Material Dellivery  (06/01)order JPP batch-2 2026 ((06/01)order JPP batch-2 2026 (02/01 proses penanaman tiang (16/12) hold , materia"&amp;"l on site 28/11 sudah bisa request (24/11) proses pr po (21/11) proses DRM mitra (4/11) created PID (3/11) sudah anwijzing (2/11) Penunjukan mitra")</f>
        <v>05/02 GOLIVE 3/2 SUDAH SUMBIT ABD (28/1) tim paralel lokasi lain (27/01) matdel (19/01) Kendala Kabel Belum Datamh (7/1)  Material Dellivery  (06/01)order JPP batch-2 2026 ((06/01)order JPP batch-2 2026 (02/01 proses penanaman tiang (16/12) hold , material on site 28/11 sudah bisa request (24/11) proses pr po (21/11) proses DRM mitra (4/11) created PID (3/11) sudah anwijzing (2/11) Penunjukan mitra</v>
      </c>
      <c r="R1299" s="228"/>
      <c r="S1299" s="11"/>
      <c r="T1299" s="11"/>
      <c r="U1299" s="11"/>
      <c r="V1299" s="229"/>
      <c r="W1299" s="229"/>
      <c r="X1299" s="229" t="str">
        <f>IFERROR(__xludf.DUMMYFUNCTION("""COMPUTED_VALUE"""),"GOLIVE")</f>
        <v>GOLIVE</v>
      </c>
      <c r="Y1299" s="229" t="str">
        <f>IFERROR(__xludf.DUMMYFUNCTION("""COMPUTED_VALUE"""),"DONE")</f>
        <v>DONE</v>
      </c>
      <c r="Z1299" s="229" t="str">
        <f>IFERROR(__xludf.DUMMYFUNCTION("""COMPUTED_VALUE"""),"#N/A")</f>
        <v>#N/A</v>
      </c>
      <c r="AA1299" s="229">
        <f>IFERROR(__xludf.DUMMYFUNCTION("""COMPUTED_VALUE"""),7.0)</f>
        <v>7</v>
      </c>
      <c r="AB1299" s="229"/>
      <c r="AC1299" s="229" t="str">
        <f>IFERROR(__xludf.DUMMYFUNCTION("""COMPUTED_VALUE"""),"9069244#9069249")</f>
        <v>9069244#9069249</v>
      </c>
      <c r="AD1299" s="232">
        <f>IFERROR(__xludf.DUMMYFUNCTION("""COMPUTED_VALUE"""),56.0)</f>
        <v>56</v>
      </c>
      <c r="AE1299" s="233">
        <f>IFERROR(__xludf.DUMMYFUNCTION("""COMPUTED_VALUE"""),46058.0)</f>
        <v>46058</v>
      </c>
      <c r="AF1299" s="54" t="str">
        <f>IFERROR(__xludf.DUMMYFUNCTION("""COMPUTED_VALUE"""),"DONE")</f>
        <v>DONE</v>
      </c>
      <c r="AG1299" s="54"/>
      <c r="AH1299" s="54"/>
      <c r="AI1299" s="55" t="str">
        <f t="shared" si="140"/>
        <v/>
      </c>
      <c r="AW1299" s="234"/>
      <c r="BP1299" s="11"/>
      <c r="BQ1299" s="11"/>
      <c r="BR1299" s="235"/>
      <c r="BV1299" s="158"/>
      <c r="BY1299" s="158"/>
      <c r="CB1299" s="158"/>
    </row>
    <row r="1300" ht="18.0" hidden="1" customHeight="1">
      <c r="A1300" s="222">
        <f>IFERROR(__xludf.DUMMYFUNCTION("""COMPUTED_VALUE"""),2026.0)</f>
        <v>2026</v>
      </c>
      <c r="B1300" s="221">
        <f>IFERROR(__xludf.DUMMYFUNCTION("""COMPUTED_VALUE"""),1.1288508E7)</f>
        <v>11288508</v>
      </c>
      <c r="C1300" s="222" t="str">
        <f>IFERROR(__xludf.DUMMYFUNCTION("""COMPUTED_VALUE"""),"MDN PT3 P7I13 TTG-FK JL.BALAI DESA")</f>
        <v>MDN PT3 P7I13 TTG-FK JL.BALAI DESA</v>
      </c>
      <c r="D1300" s="222" t="str">
        <f>IFERROR(__xludf.DUMMYFUNCTION("""COMPUTED_VALUE"""),"REGIONAL I")</f>
        <v>REGIONAL I</v>
      </c>
      <c r="E1300" s="222" t="str">
        <f>IFERROR(__xludf.DUMMYFUNCTION("""COMPUTED_VALUE"""),"MEDAN")</f>
        <v>MEDAN</v>
      </c>
      <c r="F1300" s="222" t="str">
        <f>IFERROR(__xludf.DUMMYFUNCTION("""COMPUTED_VALUE"""),"TTG")</f>
        <v>TTG</v>
      </c>
      <c r="G1300" s="222" t="str">
        <f>IFERROR(__xludf.DUMMYFUNCTION("""COMPUTED_VALUE"""),"SUMBAGUT")</f>
        <v>SUMBAGUT</v>
      </c>
      <c r="H1300" s="222" t="str">
        <f>IFERROR(__xludf.DUMMYFUNCTION("""COMPUTED_VALUE"""),"MEDAN")</f>
        <v>MEDAN</v>
      </c>
      <c r="I1300" s="222" t="str">
        <f>IFERROR(__xludf.DUMMYFUNCTION("""COMPUTED_VALUE"""),"Batch 2")</f>
        <v>Batch 2</v>
      </c>
      <c r="J1300" s="225">
        <f>IFERROR(__xludf.DUMMYFUNCTION("""COMPUTED_VALUE"""),15.0)</f>
        <v>15</v>
      </c>
      <c r="K1300" s="224">
        <f>IFERROR(__xludf.DUMMYFUNCTION("""COMPUTED_VALUE"""),120.0)</f>
        <v>120</v>
      </c>
      <c r="L1300" s="226">
        <f>IFERROR(__xludf.DUMMYFUNCTION("""COMPUTED_VALUE"""),794986.0)</f>
        <v>794986</v>
      </c>
      <c r="M1300" s="227">
        <f>IFERROR(__xludf.DUMMYFUNCTION("""COMPUTED_VALUE"""),9.5398306E7)</f>
        <v>95398306</v>
      </c>
      <c r="N1300" s="222" t="str">
        <f>IFERROR(__xludf.DUMMYFUNCTION("""COMPUTED_VALUE"""),"SWAKELOLA")</f>
        <v>SWAKELOLA</v>
      </c>
      <c r="O1300" s="222" t="str">
        <f>IFERROR(__xludf.DUMMYFUNCTION("""COMPUTED_VALUE"""),"1. AANWIJZING")</f>
        <v>1. AANWIJZING</v>
      </c>
      <c r="P1300" s="222" t="str">
        <f>IFERROR(__xludf.DUMMYFUNCTION("""COMPUTED_VALUE"""),"1.6 Ongoing Aanwidjzing")</f>
        <v>1.6 Ongoing Aanwidjzing</v>
      </c>
      <c r="Q1300" s="222" t="str">
        <f>IFERROR(__xludf.DUMMYFUNCTION("""COMPUTED_VALUE"""),"20/04 pengecekan ulang core terkendala (08/01) Doubel dengan LOP SMB P1I1 Cluster Amora 11326160 (07/01) Persiapan")</f>
        <v>20/04 pengecekan ulang core terkendala (08/01) Doubel dengan LOP SMB P1I1 Cluster Amora 11326160 (07/01) Persiapan</v>
      </c>
      <c r="R1300" s="228"/>
      <c r="S1300" s="11"/>
      <c r="T1300" s="11"/>
      <c r="U1300" s="11"/>
      <c r="V1300" s="229"/>
      <c r="W1300" s="229"/>
      <c r="X1300" s="229" t="str">
        <f>IFERROR(__xludf.DUMMYFUNCTION("""COMPUTED_VALUE"""),"BELUM GOLIVE")</f>
        <v>BELUM GOLIVE</v>
      </c>
      <c r="Y1300" s="229"/>
      <c r="Z1300" s="229" t="str">
        <f>IFERROR(__xludf.DUMMYFUNCTION("""COMPUTED_VALUE"""),"#N/A")</f>
        <v>#N/A</v>
      </c>
      <c r="AA1300" s="229"/>
      <c r="AB1300" s="229"/>
      <c r="AC1300" s="229"/>
      <c r="AD1300" s="232"/>
      <c r="AE1300" s="233"/>
      <c r="AF1300" s="54"/>
      <c r="AG1300" s="54"/>
      <c r="AH1300" s="54"/>
      <c r="AI1300" s="55" t="str">
        <f t="shared" si="140"/>
        <v/>
      </c>
      <c r="AW1300" s="234"/>
      <c r="BP1300" s="11"/>
      <c r="BQ1300" s="11"/>
      <c r="BR1300" s="235"/>
      <c r="BV1300" s="158"/>
      <c r="BY1300" s="158"/>
      <c r="CB1300" s="158"/>
    </row>
    <row r="1301" ht="18.0" customHeight="1">
      <c r="A1301" s="222">
        <f>IFERROR(__xludf.DUMMYFUNCTION("""COMPUTED_VALUE"""),2026.0)</f>
        <v>2026</v>
      </c>
      <c r="B1301" s="221">
        <f>IFERROR(__xludf.DUMMYFUNCTION("""COMPUTED_VALUE"""),1.132616E7)</f>
        <v>11326160</v>
      </c>
      <c r="C1301" s="222" t="str">
        <f>IFERROR(__xludf.DUMMYFUNCTION("""COMPUTED_VALUE"""),"SMB P2I1 Jln kandang batu lubuk lintah")</f>
        <v>SMB P2I1 Jln kandang batu lubuk lintah</v>
      </c>
      <c r="D1301" s="222" t="str">
        <f>IFERROR(__xludf.DUMMYFUNCTION("""COMPUTED_VALUE"""),"REGIONAL I")</f>
        <v>REGIONAL I</v>
      </c>
      <c r="E1301" s="222" t="str">
        <f>IFERROR(__xludf.DUMMYFUNCTION("""COMPUTED_VALUE"""),"SUMBAR")</f>
        <v>SUMBAR</v>
      </c>
      <c r="F1301" s="222" t="str">
        <f>IFERROR(__xludf.DUMMYFUNCTION("""COMPUTED_VALUE"""),"PDC")</f>
        <v>PDC</v>
      </c>
      <c r="G1301" s="222" t="str">
        <f>IFERROR(__xludf.DUMMYFUNCTION("""COMPUTED_VALUE"""),"SUMBAGTENG")</f>
        <v>SUMBAGTENG</v>
      </c>
      <c r="H1301" s="222" t="str">
        <f>IFERROR(__xludf.DUMMYFUNCTION("""COMPUTED_VALUE"""),"PADANG")</f>
        <v>PADANG</v>
      </c>
      <c r="I1301" s="222" t="str">
        <f>IFERROR(__xludf.DUMMYFUNCTION("""COMPUTED_VALUE"""),"Batch 2")</f>
        <v>Batch 2</v>
      </c>
      <c r="J1301" s="225">
        <f>IFERROR(__xludf.DUMMYFUNCTION("""COMPUTED_VALUE"""),4.0)</f>
        <v>4</v>
      </c>
      <c r="K1301" s="224">
        <f>IFERROR(__xludf.DUMMYFUNCTION("""COMPUTED_VALUE"""),32.0)</f>
        <v>32</v>
      </c>
      <c r="L1301" s="226">
        <f>IFERROR(__xludf.DUMMYFUNCTION("""COMPUTED_VALUE"""),780302.0)</f>
        <v>780302</v>
      </c>
      <c r="M1301" s="227">
        <f>IFERROR(__xludf.DUMMYFUNCTION("""COMPUTED_VALUE"""),2.4969651E7)</f>
        <v>24969651</v>
      </c>
      <c r="N1301" s="222" t="str">
        <f>IFERROR(__xludf.DUMMYFUNCTION("""COMPUTED_VALUE"""),"PT ACERO CETHA METALINDO")</f>
        <v>PT ACERO CETHA METALINDO</v>
      </c>
      <c r="O1301" s="222" t="str">
        <f>IFERROR(__xludf.DUMMYFUNCTION("""COMPUTED_VALUE"""),"0. DROP")</f>
        <v>0. DROP</v>
      </c>
      <c r="P1301" s="222" t="str">
        <f>IFERROR(__xludf.DUMMYFUNCTION("""COMPUTED_VALUE"""),"0.5 DROP TSEL - Acc ED TIF")</f>
        <v>0.5 DROP TSEL - Acc ED TIF</v>
      </c>
      <c r="Q1301" s="222" t="str">
        <f>IFERROR(__xludf.DUMMYFUNCTION("""COMPUTED_VALUE"""),"(06/03) Proses create PID (05/03) proses aanwijziing plan selesai 07/03 (02/03) proses aanwijziing (26/01) DROP, permintaan tsel (tidak potensial) ")</f>
        <v>(06/03) Proses create PID (05/03) proses aanwijziing plan selesai 07/03 (02/03) proses aanwijziing (26/01) DROP, permintaan tsel (tidak potensial) </v>
      </c>
      <c r="R1301" s="228"/>
      <c r="S1301" s="11"/>
      <c r="T1301" s="11"/>
      <c r="U1301" s="11" t="str">
        <f>IFERROR(__xludf.DUMMYFUNCTION("""COMPUTED_VALUE"""),"TIF-5568/2026  26KT03R158-0061")</f>
        <v>TIF-5568/2026  26KT03R158-0061</v>
      </c>
      <c r="V1301" s="229" t="str">
        <f>IFERROR(__xludf.DUMMYFUNCTION("""COMPUTED_VALUE"""),"PRAMADIO SEPWILMAN")</f>
        <v>PRAMADIO SEPWILMAN</v>
      </c>
      <c r="W1301" s="229" t="str">
        <f>IFERROR(__xludf.DUMMYFUNCTION("""COMPUTED_VALUE"""),"MELKO NARWADI")</f>
        <v>MELKO NARWADI</v>
      </c>
      <c r="X1301" s="229" t="str">
        <f>IFERROR(__xludf.DUMMYFUNCTION("""COMPUTED_VALUE"""),"BELUM GOLIVE")</f>
        <v>BELUM GOLIVE</v>
      </c>
      <c r="Y1301" s="229"/>
      <c r="Z1301" s="229" t="str">
        <f>IFERROR(__xludf.DUMMYFUNCTION("""COMPUTED_VALUE"""),"#N/A")</f>
        <v>#N/A</v>
      </c>
      <c r="AA1301" s="229"/>
      <c r="AB1301" s="229"/>
      <c r="AC1301" s="229"/>
      <c r="AD1301" s="232"/>
      <c r="AE1301" s="233"/>
      <c r="AF1301" s="54"/>
      <c r="AG1301" s="54"/>
      <c r="AH1301" s="54"/>
      <c r="AI1301" s="55" t="str">
        <f t="shared" si="140"/>
        <v/>
      </c>
      <c r="AW1301" s="234"/>
      <c r="BP1301" s="11"/>
      <c r="BQ1301" s="11"/>
      <c r="BR1301" s="235"/>
      <c r="BV1301" s="158"/>
      <c r="BY1301" s="158"/>
      <c r="CB1301" s="158"/>
    </row>
    <row r="1302" ht="18.0" hidden="1" customHeight="1">
      <c r="A1302" s="222">
        <f>IFERROR(__xludf.DUMMYFUNCTION("""COMPUTED_VALUE"""),2026.0)</f>
        <v>2026</v>
      </c>
      <c r="B1302" s="221">
        <f>IFERROR(__xludf.DUMMYFUNCTION("""COMPUTED_VALUE"""),1.2436621E7)</f>
        <v>12436621</v>
      </c>
      <c r="C1302" s="222" t="str">
        <f>IFERROR(__xludf.DUMMYFUNCTION("""COMPUTED_VALUE"""),"ACH PT3 DAR-FAV D06 DIAMOND ORANGE")</f>
        <v>ACH PT3 DAR-FAV D06 DIAMOND ORANGE</v>
      </c>
      <c r="D1302" s="222" t="str">
        <f>IFERROR(__xludf.DUMMYFUNCTION("""COMPUTED_VALUE"""),"REGIONAL I")</f>
        <v>REGIONAL I</v>
      </c>
      <c r="E1302" s="222" t="str">
        <f>IFERROR(__xludf.DUMMYFUNCTION("""COMPUTED_VALUE"""),"ACEH")</f>
        <v>ACEH</v>
      </c>
      <c r="F1302" s="222" t="str">
        <f>IFERROR(__xludf.DUMMYFUNCTION("""COMPUTED_VALUE"""),"DAR")</f>
        <v>DAR</v>
      </c>
      <c r="G1302" s="222" t="str">
        <f>IFERROR(__xludf.DUMMYFUNCTION("""COMPUTED_VALUE"""),"SUMBAGUT")</f>
        <v>SUMBAGUT</v>
      </c>
      <c r="H1302" s="222" t="str">
        <f>IFERROR(__xludf.DUMMYFUNCTION("""COMPUTED_VALUE"""),"BANDA ACEH")</f>
        <v>BANDA ACEH</v>
      </c>
      <c r="I1302" s="222" t="str">
        <f>IFERROR(__xludf.DUMMYFUNCTION("""COMPUTED_VALUE"""),"Batch 2")</f>
        <v>Batch 2</v>
      </c>
      <c r="J1302" s="225">
        <f>IFERROR(__xludf.DUMMYFUNCTION("""COMPUTED_VALUE"""),5.0)</f>
        <v>5</v>
      </c>
      <c r="K1302" s="224">
        <f>IFERROR(__xludf.DUMMYFUNCTION("""COMPUTED_VALUE"""),64.0)</f>
        <v>64</v>
      </c>
      <c r="L1302" s="226">
        <f>IFERROR(__xludf.DUMMYFUNCTION("""COMPUTED_VALUE"""),780274.0)</f>
        <v>780274</v>
      </c>
      <c r="M1302" s="227">
        <f>IFERROR(__xludf.DUMMYFUNCTION("""COMPUTED_VALUE"""),4.9937507E7)</f>
        <v>49937507</v>
      </c>
      <c r="N1302" s="222" t="str">
        <f>IFERROR(__xludf.DUMMYFUNCTION("""COMPUTED_VALUE"""),"PT NURISA JAYA PERKASA")</f>
        <v>PT NURISA JAYA PERKASA</v>
      </c>
      <c r="O1302" s="222" t="str">
        <f>IFERROR(__xludf.DUMMYFUNCTION("""COMPUTED_VALUE"""),"3. PERIZINAN")</f>
        <v>3. PERIZINAN</v>
      </c>
      <c r="P1302" s="222" t="str">
        <f>IFERROR(__xludf.DUMMYFUNCTION("""COMPUTED_VALUE"""),"3.9 Izin Kades / Lurah / RTRW")</f>
        <v>3.9 Izin Kades / Lurah / RTRW</v>
      </c>
      <c r="Q1302" s="222" t="str">
        <f>IFERROR(__xludf.DUMMYFUNCTION("""COMPUTED_VALUE"""),"(21/04) commcase dari kades, pendampingan ijin dg sales tsel (10/04) Penjadwalan JOVIS bersama PIC TSEL (07/04) Penjadwalan JOVIS bersama PIC TSEL (07/02) Proses negosiasi dgn Developer (07/01) Persiapan")</f>
        <v>(21/04) commcase dari kades, pendampingan ijin dg sales tsel (10/04) Penjadwalan JOVIS bersama PIC TSEL (07/04) Penjadwalan JOVIS bersama PIC TSEL (07/02) Proses negosiasi dgn Developer (07/01) Persiapan</v>
      </c>
      <c r="R1302" s="228"/>
      <c r="S1302" s="11"/>
      <c r="T1302" s="73" t="str">
        <f>IFERROR(__xludf.DUMMYFUNCTION("""COMPUTED_VALUE"""),"P1")</f>
        <v>P1</v>
      </c>
      <c r="U1302" s="11"/>
      <c r="V1302" s="229" t="str">
        <f>IFERROR(__xludf.DUMMYFUNCTION("""COMPUTED_VALUE"""),"27/Apr/2026")</f>
        <v>27/Apr/2026</v>
      </c>
      <c r="W1302" s="229"/>
      <c r="X1302" s="229" t="str">
        <f>IFERROR(__xludf.DUMMYFUNCTION("""COMPUTED_VALUE"""),"BELUM GOLIVE")</f>
        <v>BELUM GOLIVE</v>
      </c>
      <c r="Y1302" s="229"/>
      <c r="Z1302" s="229" t="str">
        <f>IFERROR(__xludf.DUMMYFUNCTION("""COMPUTED_VALUE"""),"#N/A")</f>
        <v>#N/A</v>
      </c>
      <c r="AA1302" s="229"/>
      <c r="AB1302" s="229"/>
      <c r="AC1302" s="229"/>
      <c r="AD1302" s="232"/>
      <c r="AE1302" s="233"/>
      <c r="AF1302" s="54"/>
      <c r="AG1302" s="54"/>
      <c r="AH1302" s="54"/>
      <c r="AI1302" s="55" t="str">
        <f t="shared" si="140"/>
        <v/>
      </c>
      <c r="AW1302" s="234"/>
      <c r="BP1302" s="11"/>
      <c r="BQ1302" s="11"/>
      <c r="BR1302" s="235"/>
      <c r="BV1302" s="158"/>
      <c r="BY1302" s="158"/>
      <c r="CB1302" s="158"/>
    </row>
    <row r="1303" ht="18.0" hidden="1" customHeight="1">
      <c r="A1303" s="222">
        <f>IFERROR(__xludf.DUMMYFUNCTION("""COMPUTED_VALUE"""),2026.0)</f>
        <v>2026</v>
      </c>
      <c r="B1303" s="221">
        <f>IFERROR(__xludf.DUMMYFUNCTION("""COMPUTED_VALUE"""),1.2383823E7)</f>
        <v>12383823</v>
      </c>
      <c r="C1303" s="222" t="str">
        <f>IFERROR(__xludf.DUMMYFUNCTION("""COMPUTED_VALUE"""),"SMS P4I3 PT3 SBU FBF D08 MATARAM KEMAS")</f>
        <v>SMS P4I3 PT3 SBU FBF D08 MATARAM KEMAS</v>
      </c>
      <c r="D1303" s="222" t="str">
        <f>IFERROR(__xludf.DUMMYFUNCTION("""COMPUTED_VALUE"""),"REGIONAL I")</f>
        <v>REGIONAL I</v>
      </c>
      <c r="E1303" s="222" t="str">
        <f>IFERROR(__xludf.DUMMYFUNCTION("""COMPUTED_VALUE"""),"SUMSEL")</f>
        <v>SUMSEL</v>
      </c>
      <c r="F1303" s="222" t="str">
        <f>IFERROR(__xludf.DUMMYFUNCTION("""COMPUTED_VALUE"""),"SBU")</f>
        <v>SBU</v>
      </c>
      <c r="G1303" s="222" t="str">
        <f>IFERROR(__xludf.DUMMYFUNCTION("""COMPUTED_VALUE"""),"SUMBAGSEL")</f>
        <v>SUMBAGSEL</v>
      </c>
      <c r="H1303" s="222" t="str">
        <f>IFERROR(__xludf.DUMMYFUNCTION("""COMPUTED_VALUE"""),"PALEMBANG")</f>
        <v>PALEMBANG</v>
      </c>
      <c r="I1303" s="222" t="str">
        <f>IFERROR(__xludf.DUMMYFUNCTION("""COMPUTED_VALUE"""),"Batch 2")</f>
        <v>Batch 2</v>
      </c>
      <c r="J1303" s="225">
        <f>IFERROR(__xludf.DUMMYFUNCTION("""COMPUTED_VALUE"""),3.0)</f>
        <v>3</v>
      </c>
      <c r="K1303" s="224">
        <f>IFERROR(__xludf.DUMMYFUNCTION("""COMPUTED_VALUE"""),24.0)</f>
        <v>24</v>
      </c>
      <c r="L1303" s="226">
        <f>IFERROR(__xludf.DUMMYFUNCTION("""COMPUTED_VALUE"""),779041.0)</f>
        <v>779041</v>
      </c>
      <c r="M1303" s="227">
        <f>IFERROR(__xludf.DUMMYFUNCTION("""COMPUTED_VALUE"""),1.8696971E7)</f>
        <v>18696971</v>
      </c>
      <c r="N1303" s="222" t="str">
        <f>IFERROR(__xludf.DUMMYFUNCTION("""COMPUTED_VALUE"""),"PT ACERO CETHA METALINDO")</f>
        <v>PT ACERO CETHA METALINDO</v>
      </c>
      <c r="O1303" s="222" t="str">
        <f>IFERROR(__xludf.DUMMYFUNCTION("""COMPUTED_VALUE"""),"0. DROP")</f>
        <v>0. DROP</v>
      </c>
      <c r="P1303" s="222" t="str">
        <f>IFERROR(__xludf.DUMMYFUNCTION("""COMPUTED_VALUE"""),"0.3 Feeder Full")</f>
        <v>0.3 Feeder Full</v>
      </c>
      <c r="Q1303" s="222" t="str">
        <f>IFERROR(__xludf.DUMMYFUNCTION("""COMPUTED_VALUE"""),"23/02 DROP STUB CORE HABIS - SDH ADA BA DROP, 06/02 HASIL REVIEW TSEL PROPOSE DROP - FEEDER HABIS, 03/02 DONE EVAL, DROP KARENA DI LOKASI HIGH COMCASE DAN STUB FEEDER HABIS 03/02 DONE EVAL, DROP KARENA DI LOKASI HIGH COMCASE DAN STUB FEEDER HABIS, 30/01 M"&amp;"ENUNGGU JDWAL EVAL, 21/01 AANWIDJZING, (15/1) ORDER DITERIMA MITRA 14/1, plan Aanwijdzing 19 Jan (06/01)order JPP batch-2 2026 ((14/11)HOLD- tidak masuk target Optimis 2025 ((11/11) Penunjukkan MITRA oleh Procurement")</f>
        <v>23/02 DROP STUB CORE HABIS - SDH ADA BA DROP, 06/02 HASIL REVIEW TSEL PROPOSE DROP - FEEDER HABIS, 03/02 DONE EVAL, DROP KARENA DI LOKASI HIGH COMCASE DAN STUB FEEDER HABIS 03/02 DONE EVAL, DROP KARENA DI LOKASI HIGH COMCASE DAN STUB FEEDER HABIS, 30/01 MENUNGGU JDWAL EVAL, 21/01 AANWIDJZING, (15/1) ORDER DITERIMA MITRA 14/1, plan Aanwijdzing 19 Jan (06/01)order JPP batch-2 2026 ((14/11)HOLD- tidak masuk target Optimis 2025 ((11/11) Penunjukkan MITRA oleh Procurement</v>
      </c>
      <c r="R1303" s="228"/>
      <c r="S1303" s="11"/>
      <c r="T1303" s="11"/>
      <c r="U1303" s="11"/>
      <c r="V1303" s="229" t="str">
        <f>IFERROR(__xludf.DUMMYFUNCTION("""COMPUTED_VALUE"""),"PRIGUS")</f>
        <v>PRIGUS</v>
      </c>
      <c r="W1303" s="229"/>
      <c r="X1303" s="229" t="str">
        <f>IFERROR(__xludf.DUMMYFUNCTION("""COMPUTED_VALUE"""),"BELUM GOLIVE")</f>
        <v>BELUM GOLIVE</v>
      </c>
      <c r="Y1303" s="229"/>
      <c r="Z1303" s="229" t="str">
        <f>IFERROR(__xludf.DUMMYFUNCTION("""COMPUTED_VALUE"""),"#N/A")</f>
        <v>#N/A</v>
      </c>
      <c r="AA1303" s="229"/>
      <c r="AB1303" s="229"/>
      <c r="AC1303" s="229"/>
      <c r="AD1303" s="232"/>
      <c r="AE1303" s="233"/>
      <c r="AF1303" s="54" t="str">
        <f>IFERROR(__xludf.DUMMYFUNCTION("""COMPUTED_VALUE"""),"Draft BA DROP")</f>
        <v>Draft BA DROP</v>
      </c>
      <c r="AG1303" s="54"/>
      <c r="AH1303" s="54"/>
      <c r="AI1303" s="55" t="str">
        <f t="shared" si="140"/>
        <v/>
      </c>
      <c r="AW1303" s="234"/>
      <c r="BP1303" s="11"/>
      <c r="BQ1303" s="11"/>
      <c r="BR1303" s="235"/>
      <c r="BV1303" s="158"/>
      <c r="BY1303" s="158"/>
      <c r="CB1303" s="158"/>
    </row>
    <row r="1304" ht="18.0" hidden="1" customHeight="1">
      <c r="A1304" s="222">
        <f>IFERROR(__xludf.DUMMYFUNCTION("""COMPUTED_VALUE"""),2026.0)</f>
        <v>2026</v>
      </c>
      <c r="B1304" s="221">
        <f>IFERROR(__xludf.DUMMYFUNCTION("""COMPUTED_VALUE"""),1.1438122E7)</f>
        <v>11438122</v>
      </c>
      <c r="C1304" s="222" t="str">
        <f>IFERROR(__xludf.DUMMYFUNCTION("""COMPUTED_VALUE"""),"SMS P3I1 PT3 MPA FK D02 SINAR HIJAU")</f>
        <v>SMS P3I1 PT3 MPA FK D02 SINAR HIJAU</v>
      </c>
      <c r="D1304" s="222" t="str">
        <f>IFERROR(__xludf.DUMMYFUNCTION("""COMPUTED_VALUE"""),"REGIONAL I")</f>
        <v>REGIONAL I</v>
      </c>
      <c r="E1304" s="222" t="str">
        <f>IFERROR(__xludf.DUMMYFUNCTION("""COMPUTED_VALUE"""),"SUMSEL")</f>
        <v>SUMSEL</v>
      </c>
      <c r="F1304" s="222" t="str">
        <f>IFERROR(__xludf.DUMMYFUNCTION("""COMPUTED_VALUE"""),"MPA")</f>
        <v>MPA</v>
      </c>
      <c r="G1304" s="222" t="str">
        <f>IFERROR(__xludf.DUMMYFUNCTION("""COMPUTED_VALUE"""),"SUMBAGSEL")</f>
        <v>SUMBAGSEL</v>
      </c>
      <c r="H1304" s="222" t="str">
        <f>IFERROR(__xludf.DUMMYFUNCTION("""COMPUTED_VALUE"""),"PALEMBANG")</f>
        <v>PALEMBANG</v>
      </c>
      <c r="I1304" s="222" t="str">
        <f>IFERROR(__xludf.DUMMYFUNCTION("""COMPUTED_VALUE"""),"Batch 2")</f>
        <v>Batch 2</v>
      </c>
      <c r="J1304" s="225">
        <f>IFERROR(__xludf.DUMMYFUNCTION("""COMPUTED_VALUE"""),4.0)</f>
        <v>4</v>
      </c>
      <c r="K1304" s="224">
        <f>IFERROR(__xludf.DUMMYFUNCTION("""COMPUTED_VALUE"""),32.0)</f>
        <v>32</v>
      </c>
      <c r="L1304" s="226">
        <f>IFERROR(__xludf.DUMMYFUNCTION("""COMPUTED_VALUE"""),778867.0)</f>
        <v>778867</v>
      </c>
      <c r="M1304" s="227">
        <f>IFERROR(__xludf.DUMMYFUNCTION("""COMPUTED_VALUE"""),2.4923736E7)</f>
        <v>24923736</v>
      </c>
      <c r="N1304" s="222" t="str">
        <f>IFERROR(__xludf.DUMMYFUNCTION("""COMPUTED_VALUE"""),"PT GARINDO TECHNO MANDIRI")</f>
        <v>PT GARINDO TECHNO MANDIRI</v>
      </c>
      <c r="O1304" s="222" t="str">
        <f>IFERROR(__xludf.DUMMYFUNCTION("""COMPUTED_VALUE"""),"8. UJI TERIMA")</f>
        <v>8. UJI TERIMA</v>
      </c>
      <c r="P1304" s="222" t="str">
        <f>IFERROR(__xludf.DUMMYFUNCTION("""COMPUTED_VALUE"""),"8.1 Proses UT")</f>
        <v>8.1 Proses UT</v>
      </c>
      <c r="Q1304" s="222" t="str">
        <f>IFERROR(__xludf.DUMMYFUNCTION("""COMPUTED_VALUE"""),"(21/01) GOLIVE tgl 19/01/26, 14/01 GOLIVE,  (08/12) butuh QE, distribusi tidak sampai, sudah info ke HSA meisar (01/12) finisi instal , masuk list hold golive 2025  (28/11) DONE UT, (24/11) plan submit abd  29/11  (20/11) selesai penarikan kabel, 17/11 ma"&amp;"terial onsite, 12/11 delivery material 04/11 req matrial 3/11 req matrial 13/10 SUDAH ANJIWZING, TUNGGU EVAL PED 08/10 progres aanwizjing
(01/10) menunggu jadwal aanwizjing
25/09/menunggu jadwal survey")</f>
        <v>(21/01) GOLIVE tgl 19/01/26, 14/01 GOLIVE,  (08/12) butuh QE, distribusi tidak sampai, sudah info ke HSA meisar (01/12) finisi instal , masuk list hold golive 2025  (28/11) DONE UT, (24/11) plan submit abd  29/11  (20/11) selesai penarikan kabel, 17/11 material onsite, 12/11 delivery material 04/11 req matrial 3/11 req matrial 13/10 SUDAH ANJIWZING, TUNGGU EVAL PED 08/10 progres aanwizjing
(01/10) menunggu jadwal aanwizjing
25/09/menunggu jadwal survey</v>
      </c>
      <c r="R1304" s="228"/>
      <c r="S1304" s="11"/>
      <c r="T1304" s="11"/>
      <c r="U1304" s="11"/>
      <c r="V1304" s="229" t="str">
        <f>IFERROR(__xludf.DUMMYFUNCTION("""COMPUTED_VALUE"""),"TANTOWI")</f>
        <v>TANTOWI</v>
      </c>
      <c r="W1304" s="229"/>
      <c r="X1304" s="229" t="str">
        <f>IFERROR(__xludf.DUMMYFUNCTION("""COMPUTED_VALUE"""),"GOLIVE")</f>
        <v>GOLIVE</v>
      </c>
      <c r="Y1304" s="229" t="str">
        <f>IFERROR(__xludf.DUMMYFUNCTION("""COMPUTED_VALUE"""),"DONE")</f>
        <v>DONE</v>
      </c>
      <c r="Z1304" s="229" t="str">
        <f>IFERROR(__xludf.DUMMYFUNCTION("""COMPUTED_VALUE"""),"#N/A")</f>
        <v>#N/A</v>
      </c>
      <c r="AA1304" s="229">
        <f>IFERROR(__xludf.DUMMYFUNCTION("""COMPUTED_VALUE"""),2.0)</f>
        <v>2</v>
      </c>
      <c r="AB1304" s="229"/>
      <c r="AC1304" s="229" t="str">
        <f>IFERROR(__xludf.DUMMYFUNCTION("""COMPUTED_VALUE"""),"8406577#8406582")</f>
        <v>8406577#8406582</v>
      </c>
      <c r="AD1304" s="232">
        <f>IFERROR(__xludf.DUMMYFUNCTION("""COMPUTED_VALUE"""),16.0)</f>
        <v>16</v>
      </c>
      <c r="AE1304" s="233">
        <f>IFERROR(__xludf.DUMMYFUNCTION("""COMPUTED_VALUE"""),46036.0)</f>
        <v>46036</v>
      </c>
      <c r="AF1304" s="54"/>
      <c r="AG1304" s="54"/>
      <c r="AH1304" s="54"/>
      <c r="AI1304" s="55" t="str">
        <f t="shared" si="140"/>
        <v/>
      </c>
      <c r="AW1304" s="234"/>
      <c r="BP1304" s="11"/>
      <c r="BQ1304" s="11"/>
      <c r="BR1304" s="235"/>
      <c r="BV1304" s="158"/>
      <c r="BY1304" s="158"/>
      <c r="CB1304" s="158"/>
    </row>
    <row r="1305" ht="18.0" customHeight="1">
      <c r="A1305" s="222">
        <f>IFERROR(__xludf.DUMMYFUNCTION("""COMPUTED_VALUE"""),2026.0)</f>
        <v>2026</v>
      </c>
      <c r="B1305" s="221">
        <f>IFERROR(__xludf.DUMMYFUNCTION("""COMPUTED_VALUE"""),1.1024946E7)</f>
        <v>11024946</v>
      </c>
      <c r="C1305" s="222" t="str">
        <f>IFERROR(__xludf.DUMMYFUNCTION("""COMPUTED_VALUE"""),"RDR JPP PT3 PERUM ROYAL REGENCY")</f>
        <v>RDR JPP PT3 PERUM ROYAL REGENCY</v>
      </c>
      <c r="D1305" s="222" t="str">
        <f>IFERROR(__xludf.DUMMYFUNCTION("""COMPUTED_VALUE"""),"REGIONAL I")</f>
        <v>REGIONAL I</v>
      </c>
      <c r="E1305" s="222" t="str">
        <f>IFERROR(__xludf.DUMMYFUNCTION("""COMPUTED_VALUE"""),"RIDAR")</f>
        <v>RIDAR</v>
      </c>
      <c r="F1305" s="222" t="str">
        <f>IFERROR(__xludf.DUMMYFUNCTION("""COMPUTED_VALUE"""),"ARK")</f>
        <v>ARK</v>
      </c>
      <c r="G1305" s="222" t="str">
        <f>IFERROR(__xludf.DUMMYFUNCTION("""COMPUTED_VALUE"""),"SUMBAGTENG")</f>
        <v>SUMBAGTENG</v>
      </c>
      <c r="H1305" s="222" t="str">
        <f>IFERROR(__xludf.DUMMYFUNCTION("""COMPUTED_VALUE"""),"PEKANBARU")</f>
        <v>PEKANBARU</v>
      </c>
      <c r="I1305" s="222" t="str">
        <f>IFERROR(__xludf.DUMMYFUNCTION("""COMPUTED_VALUE"""),"Batch 2")</f>
        <v>Batch 2</v>
      </c>
      <c r="J1305" s="225">
        <f>IFERROR(__xludf.DUMMYFUNCTION("""COMPUTED_VALUE"""),6.0)</f>
        <v>6</v>
      </c>
      <c r="K1305" s="224">
        <f>IFERROR(__xludf.DUMMYFUNCTION("""COMPUTED_VALUE"""),48.0)</f>
        <v>48</v>
      </c>
      <c r="L1305" s="226">
        <f>IFERROR(__xludf.DUMMYFUNCTION("""COMPUTED_VALUE"""),777275.0)</f>
        <v>777275</v>
      </c>
      <c r="M1305" s="227">
        <f>IFERROR(__xludf.DUMMYFUNCTION("""COMPUTED_VALUE"""),3.7309186E7)</f>
        <v>37309186</v>
      </c>
      <c r="N1305" s="222"/>
      <c r="O1305" s="222" t="str">
        <f>IFERROR(__xludf.DUMMYFUNCTION("""COMPUTED_VALUE"""),"0. DROP")</f>
        <v>0. DROP</v>
      </c>
      <c r="P1305" s="222" t="str">
        <f>IFERROR(__xludf.DUMMYFUNCTION("""COMPUTED_VALUE"""),"0.2 Tidak Dapat Izin Warga/Kades/Lurah/Developer")</f>
        <v>0.2 Tidak Dapat Izin Warga/Kades/Lurah/Developer</v>
      </c>
      <c r="Q1305" s="222" t="str">
        <f>IFERROR(__xludf.DUMMYFUNCTION("""COMPUTED_VALUE"""),"20/01 Tidak dapt izin RT/RW dan Warga a (12/01) penunjukkan mitra, (07/01) Persiapan")</f>
        <v>20/01 Tidak dapt izin RT/RW dan Warga a (12/01) penunjukkan mitra, (07/01) Persiapan</v>
      </c>
      <c r="R1305" s="228"/>
      <c r="S1305" s="11"/>
      <c r="T1305" s="11"/>
      <c r="U1305" s="11"/>
      <c r="V1305" s="229"/>
      <c r="W1305" s="229"/>
      <c r="X1305" s="229" t="str">
        <f>IFERROR(__xludf.DUMMYFUNCTION("""COMPUTED_VALUE"""),"BELUM GOLIVE")</f>
        <v>BELUM GOLIVE</v>
      </c>
      <c r="Y1305" s="229"/>
      <c r="Z1305" s="229" t="str">
        <f>IFERROR(__xludf.DUMMYFUNCTION("""COMPUTED_VALUE"""),"#N/A")</f>
        <v>#N/A</v>
      </c>
      <c r="AA1305" s="229"/>
      <c r="AB1305" s="229"/>
      <c r="AC1305" s="229"/>
      <c r="AD1305" s="232"/>
      <c r="AE1305" s="233"/>
      <c r="AF1305" s="54" t="str">
        <f>IFERROR(__xludf.DUMMYFUNCTION("""COMPUTED_VALUE"""),"Draft BA DROP")</f>
        <v>Draft BA DROP</v>
      </c>
      <c r="AG1305" s="54"/>
      <c r="AH1305" s="54"/>
      <c r="AI1305" s="55" t="str">
        <f t="shared" si="140"/>
        <v/>
      </c>
      <c r="AW1305" s="234"/>
      <c r="BP1305" s="11"/>
      <c r="BQ1305" s="11"/>
      <c r="BR1305" s="235"/>
      <c r="BV1305" s="158"/>
      <c r="BY1305" s="158"/>
      <c r="CB1305" s="158"/>
    </row>
    <row r="1306" ht="18.0" hidden="1" customHeight="1">
      <c r="A1306" s="222">
        <f>IFERROR(__xludf.DUMMYFUNCTION("""COMPUTED_VALUE"""),2026.0)</f>
        <v>2026</v>
      </c>
      <c r="B1306" s="221">
        <f>IFERROR(__xludf.DUMMYFUNCTION("""COMPUTED_VALUE"""),1.1808343E7)</f>
        <v>11808343</v>
      </c>
      <c r="C1306" s="222" t="str">
        <f>IFERROR(__xludf.DUMMYFUNCTION("""COMPUTED_VALUE"""),"SMS P4I2 PT3 PGA FD D09 SDN 9 PGA")</f>
        <v>SMS P4I2 PT3 PGA FD D09 SDN 9 PGA</v>
      </c>
      <c r="D1306" s="222" t="str">
        <f>IFERROR(__xludf.DUMMYFUNCTION("""COMPUTED_VALUE"""),"REGIONAL I")</f>
        <v>REGIONAL I</v>
      </c>
      <c r="E1306" s="222" t="str">
        <f>IFERROR(__xludf.DUMMYFUNCTION("""COMPUTED_VALUE"""),"SUMSEL")</f>
        <v>SUMSEL</v>
      </c>
      <c r="F1306" s="222" t="str">
        <f>IFERROR(__xludf.DUMMYFUNCTION("""COMPUTED_VALUE"""),"PGA")</f>
        <v>PGA</v>
      </c>
      <c r="G1306" s="222" t="str">
        <f>IFERROR(__xludf.DUMMYFUNCTION("""COMPUTED_VALUE"""),"SUMBAGSEL")</f>
        <v>SUMBAGSEL</v>
      </c>
      <c r="H1306" s="222" t="str">
        <f>IFERROR(__xludf.DUMMYFUNCTION("""COMPUTED_VALUE"""),"BENGKULU")</f>
        <v>BENGKULU</v>
      </c>
      <c r="I1306" s="222" t="str">
        <f>IFERROR(__xludf.DUMMYFUNCTION("""COMPUTED_VALUE"""),"Batch 2")</f>
        <v>Batch 2</v>
      </c>
      <c r="J1306" s="225">
        <f>IFERROR(__xludf.DUMMYFUNCTION("""COMPUTED_VALUE"""),3.0)</f>
        <v>3</v>
      </c>
      <c r="K1306" s="224">
        <f>IFERROR(__xludf.DUMMYFUNCTION("""COMPUTED_VALUE"""),24.0)</f>
        <v>24</v>
      </c>
      <c r="L1306" s="226">
        <f>IFERROR(__xludf.DUMMYFUNCTION("""COMPUTED_VALUE"""),776465.0)</f>
        <v>776465</v>
      </c>
      <c r="M1306" s="227">
        <f>IFERROR(__xludf.DUMMYFUNCTION("""COMPUTED_VALUE"""),1.863515E7)</f>
        <v>18635150</v>
      </c>
      <c r="N1306" s="222" t="str">
        <f>IFERROR(__xludf.DUMMYFUNCTION("""COMPUTED_VALUE"""),"PT GITA PRIMA TAMBA PERKASA")</f>
        <v>PT GITA PRIMA TAMBA PERKASA</v>
      </c>
      <c r="O1306" s="222" t="str">
        <f>IFERROR(__xludf.DUMMYFUNCTION("""COMPUTED_VALUE"""),"2. DONE AANWIJZING")</f>
        <v>2. DONE AANWIJZING</v>
      </c>
      <c r="P1306" s="222" t="str">
        <f>IFERROR(__xludf.DUMMYFUNCTION("""COMPUTED_VALUE"""),"2.5 Proses Create PID")</f>
        <v>2.5 Proses Create PID</v>
      </c>
      <c r="Q1306" s="222" t="str">
        <f>IFERROR(__xludf.DUMMYFUNCTION("""COMPUTED_VALUE"""),"27/04 : proges PR PO // 13/04 PR PO dan kirim material ke mitra 09/04 kepala desa belum ada FEEDBACK , plan 10 apr visit ulang  08/04 Proses perizinan kepala desa, belum ada feedback 26/03 proses pergantian mitra dri raharja ke GPTP, 25/03 PROGRESS UPDATE"&amp;" BOQ DAN KML SETELAH AANWIDJZING - MASIH MENUNGGU INFO TSEL MENGENAI PENGURANGAN ODP,  16/03 HASIL AANWIDJZING TDK PERLU IZIN KRNA HANYA TARIK KABEL SAJA (BISA DIKERJAKAN), 12/03 DONE AANWIDJZING, 10/03 PROGRESS AANWIJDZING ULANG, 09/03 DIALIHKAN KE MITRA"&amp;" GPTP, 09/03 DATA UPDATE BLM DI KIRIM MITRA, 06/03 SDH DI FU TERUS TP BELUM ADA INFO DARI MITRA, 02/03 SDH DI FU TERUS TP BELUM ADA INFO DARI MITRA, 27/02 BELUM EVAL, 23/02 LANJUT EVAL, 22/2  menunggu hasil perhitungan QE dan review TIF  19/02 HASIL AANWI"&amp;"DJZING BISA DIKERJAKAN SESUAI PLAN DAN TIDAK BUTUH IZIN DIKARENAKAN HANYA PENARIKAN KABEL PENDEK, 10/02 DONE AANWIDJZING - MITRA BELUM KIRIM HASIL AANWIDJZING, 04/02 PROSES AANWIDJZING, 30/01 PROSES AANWIDJZING, (23/1) Proses Aanwijdzing - Est 27 Setor ke"&amp;" Pak wijaya  (21/01) menunggu antrian untuk aanwizjing, (15/1) ORDER DITERIMA MITRA 14/1, masih menunngu confirm- kepastian 19 jan (14/11)HOLD-  tidak masuk target Optimis 2025 (13/11)  penunjukkan mitra raharja, 10/11 penunjukkan mitra raharja 3/11 mitra"&amp;" raharja ditunjuk sbagai mitra lop ini 23/10 belum di lakukan oleh mitra ke lokasi
15/10 plan aanwiznig tgl 17/10
(08/10) menunggu jadwal aanwijizng
(01/10) menunggu jadwal aanwijizng
(19/09) pejadwalan aanwijzing
14/01 sudah penunjukan mitra oleh procure"&amp;"ment")</f>
        <v>27/04 : proges PR PO // 13/04 PR PO dan kirim material ke mitra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1306" s="228"/>
      <c r="S1306" s="11"/>
      <c r="T1306" s="11"/>
      <c r="U1306" s="11"/>
      <c r="V1306" s="229" t="str">
        <f>IFERROR(__xludf.DUMMYFUNCTION("""COMPUTED_VALUE"""),"PUTRA")</f>
        <v>PUTRA</v>
      </c>
      <c r="W1306" s="229"/>
      <c r="X1306" s="229" t="str">
        <f>IFERROR(__xludf.DUMMYFUNCTION("""COMPUTED_VALUE"""),"BELUM GOLIVE")</f>
        <v>BELUM GOLIVE</v>
      </c>
      <c r="Y1306" s="229"/>
      <c r="Z1306" s="229" t="str">
        <f>IFERROR(__xludf.DUMMYFUNCTION("""COMPUTED_VALUE"""),"#N/A")</f>
        <v>#N/A</v>
      </c>
      <c r="AA1306" s="229"/>
      <c r="AB1306" s="229"/>
      <c r="AC1306" s="229"/>
      <c r="AD1306" s="232"/>
      <c r="AE1306" s="233"/>
      <c r="AF1306" s="54"/>
      <c r="AG1306" s="54"/>
      <c r="AH1306" s="54"/>
      <c r="AI1306" s="55" t="str">
        <f t="shared" si="140"/>
        <v/>
      </c>
      <c r="AW1306" s="234"/>
      <c r="BP1306" s="11"/>
      <c r="BQ1306" s="11"/>
      <c r="BR1306" s="235"/>
      <c r="BV1306" s="158"/>
      <c r="BY1306" s="158"/>
      <c r="CB1306" s="158"/>
    </row>
    <row r="1307" ht="18.0" hidden="1" customHeight="1">
      <c r="A1307" s="222">
        <f>IFERROR(__xludf.DUMMYFUNCTION("""COMPUTED_VALUE"""),2026.0)</f>
        <v>2026</v>
      </c>
      <c r="B1307" s="221">
        <f>IFERROR(__xludf.DUMMYFUNCTION("""COMPUTED_VALUE"""),1.2308372E7)</f>
        <v>12308372</v>
      </c>
      <c r="C1307" s="222" t="str">
        <f>IFERROR(__xludf.DUMMYFUNCTION("""COMPUTED_VALUE"""),"JBI-PT3 BRANCH-JPP-JMB-FBF-ID549437")</f>
        <v>JBI-PT3 BRANCH-JPP-JMB-FBF-ID549437</v>
      </c>
      <c r="D1307" s="222" t="str">
        <f>IFERROR(__xludf.DUMMYFUNCTION("""COMPUTED_VALUE"""),"REGIONAL I")</f>
        <v>REGIONAL I</v>
      </c>
      <c r="E1307" s="222" t="str">
        <f>IFERROR(__xludf.DUMMYFUNCTION("""COMPUTED_VALUE"""),"JAMBI")</f>
        <v>JAMBI</v>
      </c>
      <c r="F1307" s="222" t="str">
        <f>IFERROR(__xludf.DUMMYFUNCTION("""COMPUTED_VALUE"""),"JMB")</f>
        <v>JMB</v>
      </c>
      <c r="G1307" s="222" t="str">
        <f>IFERROR(__xludf.DUMMYFUNCTION("""COMPUTED_VALUE"""),"SUMBAGSEL")</f>
        <v>SUMBAGSEL</v>
      </c>
      <c r="H1307" s="222" t="str">
        <f>IFERROR(__xludf.DUMMYFUNCTION("""COMPUTED_VALUE"""),"JAMBI")</f>
        <v>JAMBI</v>
      </c>
      <c r="I1307" s="222" t="str">
        <f>IFERROR(__xludf.DUMMYFUNCTION("""COMPUTED_VALUE"""),"Batch 2")</f>
        <v>Batch 2</v>
      </c>
      <c r="J1307" s="225">
        <f>IFERROR(__xludf.DUMMYFUNCTION("""COMPUTED_VALUE"""),3.0)</f>
        <v>3</v>
      </c>
      <c r="K1307" s="224">
        <f>IFERROR(__xludf.DUMMYFUNCTION("""COMPUTED_VALUE"""),24.0)</f>
        <v>24</v>
      </c>
      <c r="L1307" s="226">
        <f>IFERROR(__xludf.DUMMYFUNCTION("""COMPUTED_VALUE"""),775809.0)</f>
        <v>775809</v>
      </c>
      <c r="M1307" s="227">
        <f>IFERROR(__xludf.DUMMYFUNCTION("""COMPUTED_VALUE"""),1.86194E7)</f>
        <v>18619400</v>
      </c>
      <c r="N1307" s="222" t="str">
        <f>IFERROR(__xludf.DUMMYFUNCTION("""COMPUTED_VALUE"""),"SWAKELOLA")</f>
        <v>SWAKELOLA</v>
      </c>
      <c r="O1307" s="222" t="str">
        <f>IFERROR(__xludf.DUMMYFUNCTION("""COMPUTED_VALUE"""),"0. DROP")</f>
        <v>0. DROP</v>
      </c>
      <c r="P1307" s="222" t="str">
        <f>IFERROR(__xludf.DUMMYFUNCTION("""COMPUTED_VALUE"""),"0.5 DROP TSEL - Acc ED TIF")</f>
        <v>0.5 DROP TSEL - Acc ED TIF</v>
      </c>
      <c r="Q1307" s="222" t="str">
        <f>IFERROR(__xludf.DUMMYFUNCTION("""COMPUTED_VALUE"""),"09/04 BA Drop Sirkulir - Permintaan Tsel Market tidak OK  (12/1) BA Drop Sirkulir - Permintaan Tsel Market tidak OK  17/11 drop permintaan Tsel 10/11 draf pengajuan pp (21/10) Mapping Mitra")</f>
        <v>09/04 BA Drop Sirkulir - Permintaan Tsel Market tidak OK  (12/1) BA Drop Sirkulir - Permintaan Tsel Market tidak OK  17/11 drop permintaan Tsel 10/11 draf pengajuan pp (21/10) Mapping Mitra</v>
      </c>
      <c r="R1307" s="228"/>
      <c r="S1307" s="11"/>
      <c r="T1307" s="11"/>
      <c r="U1307" s="11"/>
      <c r="V1307" s="229"/>
      <c r="W1307" s="229"/>
      <c r="X1307" s="229" t="str">
        <f>IFERROR(__xludf.DUMMYFUNCTION("""COMPUTED_VALUE"""),"BELUM GOLIVE")</f>
        <v>BELUM GOLIVE</v>
      </c>
      <c r="Y1307" s="229"/>
      <c r="Z1307" s="229" t="str">
        <f>IFERROR(__xludf.DUMMYFUNCTION("""COMPUTED_VALUE"""),"#N/A")</f>
        <v>#N/A</v>
      </c>
      <c r="AA1307" s="229"/>
      <c r="AB1307" s="229"/>
      <c r="AC1307" s="229"/>
      <c r="AD1307" s="232"/>
      <c r="AE1307" s="233"/>
      <c r="AF1307" s="54"/>
      <c r="AG1307" s="54"/>
      <c r="AH1307" s="54"/>
      <c r="AI1307" s="55" t="str">
        <f t="shared" si="140"/>
        <v/>
      </c>
      <c r="AW1307" s="234"/>
      <c r="BP1307" s="11"/>
      <c r="BQ1307" s="11"/>
      <c r="BR1307" s="235"/>
      <c r="BV1307" s="158"/>
      <c r="BY1307" s="158"/>
      <c r="CB1307" s="158"/>
    </row>
    <row r="1308" ht="18.0" customHeight="1">
      <c r="A1308" s="222">
        <f>IFERROR(__xludf.DUMMYFUNCTION("""COMPUTED_VALUE"""),2026.0)</f>
        <v>2026</v>
      </c>
      <c r="B1308" s="221">
        <f>IFERROR(__xludf.DUMMYFUNCTION("""COMPUTED_VALUE"""),1.1675569E7)</f>
        <v>11675569</v>
      </c>
      <c r="C1308" s="222" t="str">
        <f>IFERROR(__xludf.DUMMYFUNCTION("""COMPUTED_VALUE"""),"RKP TSEL PT3 SLU-FBL SUNGAI PELUNGGUT")</f>
        <v>RKP TSEL PT3 SLU-FBL SUNGAI PELUNGGUT</v>
      </c>
      <c r="D1308" s="222" t="str">
        <f>IFERROR(__xludf.DUMMYFUNCTION("""COMPUTED_VALUE"""),"REGIONAL I")</f>
        <v>REGIONAL I</v>
      </c>
      <c r="E1308" s="222" t="str">
        <f>IFERROR(__xludf.DUMMYFUNCTION("""COMPUTED_VALUE"""),"RIKEP")</f>
        <v>RIKEP</v>
      </c>
      <c r="F1308" s="222" t="str">
        <f>IFERROR(__xludf.DUMMYFUNCTION("""COMPUTED_VALUE"""),"SLU")</f>
        <v>SLU</v>
      </c>
      <c r="G1308" s="222" t="str">
        <f>IFERROR(__xludf.DUMMYFUNCTION("""COMPUTED_VALUE"""),"SUMBAGTENG")</f>
        <v>SUMBAGTENG</v>
      </c>
      <c r="H1308" s="222" t="str">
        <f>IFERROR(__xludf.DUMMYFUNCTION("""COMPUTED_VALUE"""),"BATAM")</f>
        <v>BATAM</v>
      </c>
      <c r="I1308" s="222" t="str">
        <f>IFERROR(__xludf.DUMMYFUNCTION("""COMPUTED_VALUE"""),"Batch 2")</f>
        <v>Batch 2</v>
      </c>
      <c r="J1308" s="225">
        <f>IFERROR(__xludf.DUMMYFUNCTION("""COMPUTED_VALUE"""),1.0)</f>
        <v>1</v>
      </c>
      <c r="K1308" s="224">
        <f>IFERROR(__xludf.DUMMYFUNCTION("""COMPUTED_VALUE"""),8.0)</f>
        <v>8</v>
      </c>
      <c r="L1308" s="226">
        <f>IFERROR(__xludf.DUMMYFUNCTION("""COMPUTED_VALUE"""),775418.0)</f>
        <v>775418</v>
      </c>
      <c r="M1308" s="227">
        <f>IFERROR(__xludf.DUMMYFUNCTION("""COMPUTED_VALUE"""),6203337.0)</f>
        <v>6203337</v>
      </c>
      <c r="N1308" s="222" t="str">
        <f>IFERROR(__xludf.DUMMYFUNCTION("""COMPUTED_VALUE"""),"PT MITRA HOSINDO SEJAHTERA")</f>
        <v>PT MITRA HOSINDO SEJAHTERA</v>
      </c>
      <c r="O1308" s="222" t="str">
        <f>IFERROR(__xludf.DUMMYFUNCTION("""COMPUTED_VALUE"""),"0. DROP")</f>
        <v>0. DROP</v>
      </c>
      <c r="P1308" s="222" t="str">
        <f>IFERROR(__xludf.DUMMYFUNCTION("""COMPUTED_VALUE"""),"0.2 Tidak Dapat Izin Warga/Kades/Lurah/Developer")</f>
        <v>0.2 Tidak Dapat Izin Warga/Kades/Lurah/Developer</v>
      </c>
      <c r="Q1308" s="222" t="str">
        <f>IFERROR(__xludf.DUMMYFUNCTION("""COMPUTED_VALUE"""),"21/01 Drop tidak di berikan izin RT RW")</f>
        <v>21/01 Drop tidak di berikan izin RT RW</v>
      </c>
      <c r="R1308" s="228"/>
      <c r="S1308" s="11"/>
      <c r="T1308" s="11"/>
      <c r="U1308" s="11"/>
      <c r="V1308" s="229" t="str">
        <f>IFERROR(__xludf.DUMMYFUNCTION("""COMPUTED_VALUE"""),"MUHAMMAD RIDHO FALFO")</f>
        <v>MUHAMMAD RIDHO FALFO</v>
      </c>
      <c r="W1308" s="229" t="str">
        <f>IFERROR(__xludf.DUMMYFUNCTION("""COMPUTED_VALUE"""),"LEVITA INDRIYANI")</f>
        <v>LEVITA INDRIYANI</v>
      </c>
      <c r="X1308" s="229" t="str">
        <f>IFERROR(__xludf.DUMMYFUNCTION("""COMPUTED_VALUE"""),"BELUM GOLIVE")</f>
        <v>BELUM GOLIVE</v>
      </c>
      <c r="Y1308" s="229"/>
      <c r="Z1308" s="229" t="str">
        <f>IFERROR(__xludf.DUMMYFUNCTION("""COMPUTED_VALUE"""),"#N/A")</f>
        <v>#N/A</v>
      </c>
      <c r="AA1308" s="229"/>
      <c r="AB1308" s="229"/>
      <c r="AC1308" s="229"/>
      <c r="AD1308" s="232"/>
      <c r="AE1308" s="233"/>
      <c r="AF1308" s="54" t="str">
        <f>IFERROR(__xludf.DUMMYFUNCTION("""COMPUTED_VALUE"""),"Draft BA DROP")</f>
        <v>Draft BA DROP</v>
      </c>
      <c r="AG1308" s="54"/>
      <c r="AH1308" s="54"/>
      <c r="AI1308" s="55" t="str">
        <f t="shared" si="140"/>
        <v/>
      </c>
      <c r="AW1308" s="234"/>
      <c r="BP1308" s="11"/>
      <c r="BQ1308" s="11"/>
      <c r="BR1308" s="235"/>
      <c r="BV1308" s="158"/>
      <c r="BY1308" s="158"/>
      <c r="CB1308" s="158"/>
    </row>
    <row r="1309" ht="18.0" hidden="1" customHeight="1">
      <c r="A1309" s="222">
        <f>IFERROR(__xludf.DUMMYFUNCTION("""COMPUTED_VALUE"""),2026.0)</f>
        <v>2026</v>
      </c>
      <c r="B1309" s="221">
        <f>IFERROR(__xludf.DUMMYFUNCTION("""COMPUTED_VALUE"""),1.2439154E7)</f>
        <v>12439154</v>
      </c>
      <c r="C1309" s="222" t="str">
        <f>IFERROR(__xludf.DUMMYFUNCTION("""COMPUTED_VALUE"""),"SMS P4I4 PT4 SBU FX APARTEMEN JAKABARING")</f>
        <v>SMS P4I4 PT4 SBU FX APARTEMEN JAKABARING</v>
      </c>
      <c r="D1309" s="222" t="str">
        <f>IFERROR(__xludf.DUMMYFUNCTION("""COMPUTED_VALUE"""),"REGIONAL I")</f>
        <v>REGIONAL I</v>
      </c>
      <c r="E1309" s="222" t="str">
        <f>IFERROR(__xludf.DUMMYFUNCTION("""COMPUTED_VALUE"""),"SUMSEL")</f>
        <v>SUMSEL</v>
      </c>
      <c r="F1309" s="222" t="str">
        <f>IFERROR(__xludf.DUMMYFUNCTION("""COMPUTED_VALUE"""),"SBU")</f>
        <v>SBU</v>
      </c>
      <c r="G1309" s="222" t="str">
        <f>IFERROR(__xludf.DUMMYFUNCTION("""COMPUTED_VALUE"""),"SUMBAGSEL")</f>
        <v>SUMBAGSEL</v>
      </c>
      <c r="H1309" s="222" t="str">
        <f>IFERROR(__xludf.DUMMYFUNCTION("""COMPUTED_VALUE"""),"PALEMBANG")</f>
        <v>PALEMBANG</v>
      </c>
      <c r="I1309" s="222" t="str">
        <f>IFERROR(__xludf.DUMMYFUNCTION("""COMPUTED_VALUE"""),"Batch 2")</f>
        <v>Batch 2</v>
      </c>
      <c r="J1309" s="225">
        <f>IFERROR(__xludf.DUMMYFUNCTION("""COMPUTED_VALUE"""),11.0)</f>
        <v>11</v>
      </c>
      <c r="K1309" s="224">
        <f>IFERROR(__xludf.DUMMYFUNCTION("""COMPUTED_VALUE"""),80.0)</f>
        <v>80</v>
      </c>
      <c r="L1309" s="226">
        <f>IFERROR(__xludf.DUMMYFUNCTION("""COMPUTED_VALUE"""),775048.0)</f>
        <v>775048</v>
      </c>
      <c r="M1309" s="227">
        <f>IFERROR(__xludf.DUMMYFUNCTION("""COMPUTED_VALUE"""),6.2003763E7)</f>
        <v>62003763</v>
      </c>
      <c r="N1309" s="222" t="str">
        <f>IFERROR(__xludf.DUMMYFUNCTION("""COMPUTED_VALUE"""),"PT ACERO CETHA METALINDO")</f>
        <v>PT ACERO CETHA METALINDO</v>
      </c>
      <c r="O1309" s="222" t="str">
        <f>IFERROR(__xludf.DUMMYFUNCTION("""COMPUTED_VALUE"""),"3. PERIZINAN")</f>
        <v>3. PERIZINAN</v>
      </c>
      <c r="P1309" s="222" t="str">
        <f>IFERROR(__xludf.DUMMYFUNCTION("""COMPUTED_VALUE"""),"3.10 Izin Developer / Private area")</f>
        <v>3.10 Izin Developer / Private area</v>
      </c>
      <c r="Q1309" s="222" t="str">
        <f>IFERROR(__xludf.DUMMYFUNCTION("""COMPUTED_VALUE"""),"27/04 sdh berkoordinasi dg tim telkomsel untuk izin kerja dg pihak pengeloa apartemen, 13/04 Surat sudah di submit menunggu feedback apartemen 09/04 masih menunggu proses Perizinan pengelola apartemen 08/04 DONE PR PO, 07/04 DONE MELENGKAPI SURAT PERIZINA"&amp;"N, 06/04 PROSES MELENGKAPI SURAT PERIZINAN, 04/04 PIHAK APARTMENT MEMINTA UTK MELENGKAPI SURAT PERIZINAN, 31/03 LANJUT PROGRESS TETAPI PARALEL MENUNGGU IZIN DG PIHAK PENGELOLANYA, 27/03 PARALEL PROSES PERIZINAN, 26/03 KONTRAK SEWA LAHAN ANTARA TSEL DAN DE"&amp;"VELOPER ADA PEMBAYARAN PEKERJAAN DI HOLD,21/03 MASIH KENDALA PERIZINAN, 05/03 KONTRAK SEWA LAHAN ANTARA TSEL DAN DEVELOPER ADA PEMBAYARAN PEKERJAAN DI HOLD, 03/03  HOLD KARENA ADA KENAIKAN NILAI BOQ SEBESAR 49% DARI NILAI PLAN, DAN CPP 1,150 JT, 23/02 DRO"&amp;"P BOQ NAIK DARI PLAN SEBESAR 49% DAN PIHAK APART MEMINTA KERJA SAMA DENGAN PIHAK TELKOMSEL, 06/02 HASIL REVIEW TSEL - PROPOSE DROP REDESIGN, 03/02 DONE EVAL, HOLD KARENA ADA KENAIKAN NILAI BOQ SEBESAR 49% DARI NILAI PLAN, DAN CPP 1,150 JT 03/02 DONE EVAL,"&amp;" HOLD KARENA ADA KENAIKAN NILAI BOQ SEBESAR 49% DARI NILAI PLAN, DAN CPP 1,150 JT, (24/1) plan 27 jan aanwijdizing ulang terkait minol (21/01) HI proses aanwizjing kelokasi, (15/1) ORDER DITERIMA MITRA 14/1, plan Aanwijdzing 19 Jan (14/11)HOLD- tidak masu"&amp;"k target Optimis 2025 (14/11 menunggu jadwal aanwidjzing, (11/11) Penunjukkan MITRA oleh Procurement")</f>
        <v>27/04 sdh berkoordinasi dg tim telkomsel untuk izin kerja dg pihak pengeloa apartemen, 13/04 Surat sudah di submit menunggu feedback apartemen 09/04 masih menunggu proses Perizinan pengelola apartemen 08/04 DONE PR PO, 07/04 DONE MELENGKAPI SURAT PERIZINAN, 06/04 PROSES MELENGKAPI SURAT PERIZINAN, 04/04 PIHAK APARTMENT MEMINTA UTK MELENGKAPI SURAT PERIZINAN, 31/03 LANJUT PROGRESS TETAPI PARALEL MENUNGGU IZIN DG PIHAK PENGELOLANYA, 27/03 PARALEL PROSES PERIZINAN, 26/03 KONTRAK SEWA LAHAN ANTARA TSEL DAN DEVELOPER ADA PEMBAYARAN PEKERJAAN DI HOLD,21/03 MASIH KENDALA PERIZINAN, 05/03 KONTRAK SEWA LAHAN ANTARA TSEL DAN DEVELOPER ADA PEMBAYARAN PEKERJAAN DI HOLD, 03/03  HOLD KARENA ADA KENAIKAN NILAI BOQ SEBESAR 49% DARI NILAI PLAN, DAN CPP 1,150 JT, 23/02 DROP BOQ NAIK DARI PLAN SEBESAR 49% DAN PIHAK APART MEMINTA KERJA SAMA DENGAN PIHAK TELKOMSEL, 06/02 HASIL REVIEW TSEL - PROPOSE DROP REDESIGN, 03/02 DONE EVAL, HOLD KARENA ADA KENAIKAN NILAI BOQ SEBESAR 49% DARI NILAI PLAN, DAN CPP 1,150 JT 03/02 DONE EVAL, HOLD KARENA ADA KENAIKAN NILAI BOQ SEBESAR 49% DARI NILAI PLAN, DAN CPP 1,150 JT, (24/1) plan 27 jan aanwijdizing ulang terkait minol (21/01) HI proses aanwizjing kelokasi, (15/1) ORDER DITERIMA MITRA 14/1, plan Aanwijdzing 19 Jan (14/11)HOLD- tidak masuk target Optimis 2025 (14/11 menunggu jadwal aanwidjzing, (11/11) Penunjukkan MITRA oleh Procurement</v>
      </c>
      <c r="R1309" s="228"/>
      <c r="S1309" s="11"/>
      <c r="T1309" s="11" t="str">
        <f>IFERROR(__xludf.DUMMYFUNCTION("""COMPUTED_VALUE"""),"P1")</f>
        <v>P1</v>
      </c>
      <c r="U1309" s="11"/>
      <c r="V1309" s="229" t="str">
        <f>IFERROR(__xludf.DUMMYFUNCTION("""COMPUTED_VALUE"""),"PRIGUS")</f>
        <v>PRIGUS</v>
      </c>
      <c r="W1309" s="229"/>
      <c r="X1309" s="229" t="str">
        <f>IFERROR(__xludf.DUMMYFUNCTION("""COMPUTED_VALUE"""),"BELUM GOLIVE")</f>
        <v>BELUM GOLIVE</v>
      </c>
      <c r="Y1309" s="229" t="str">
        <f>IFERROR(__xludf.DUMMYFUNCTION("""COMPUTED_VALUE"""),"Mini OLT Not Ready")</f>
        <v>Mini OLT Not Ready</v>
      </c>
      <c r="Z1309" s="229" t="str">
        <f>IFERROR(__xludf.DUMMYFUNCTION("""COMPUTED_VALUE"""),"#N/A")</f>
        <v>#N/A</v>
      </c>
      <c r="AA1309" s="229"/>
      <c r="AB1309" s="229"/>
      <c r="AC1309" s="229"/>
      <c r="AD1309" s="232"/>
      <c r="AE1309" s="233"/>
      <c r="AF1309" s="54"/>
      <c r="AG1309" s="54"/>
      <c r="AH1309" s="54"/>
      <c r="AI1309" s="55" t="str">
        <f t="shared" si="140"/>
        <v/>
      </c>
      <c r="AW1309" s="234"/>
      <c r="BP1309" s="11"/>
      <c r="BQ1309" s="11"/>
      <c r="BR1309" s="235"/>
      <c r="BV1309" s="158"/>
      <c r="BY1309" s="158"/>
      <c r="CB1309" s="158"/>
    </row>
    <row r="1310" ht="18.0" customHeight="1">
      <c r="A1310" s="222">
        <f>IFERROR(__xludf.DUMMYFUNCTION("""COMPUTED_VALUE"""),2026.0)</f>
        <v>2026</v>
      </c>
      <c r="B1310" s="221">
        <f>IFERROR(__xludf.DUMMYFUNCTION("""COMPUTED_VALUE"""),1.109531E7)</f>
        <v>11095310</v>
      </c>
      <c r="C1310" s="222" t="str">
        <f>IFERROR(__xludf.DUMMYFUNCTION("""COMPUTED_VALUE"""),"SMB P7I9 STTF KAJAI")</f>
        <v>SMB P7I9 STTF KAJAI</v>
      </c>
      <c r="D1310" s="222" t="str">
        <f>IFERROR(__xludf.DUMMYFUNCTION("""COMPUTED_VALUE"""),"REGIONAL I")</f>
        <v>REGIONAL I</v>
      </c>
      <c r="E1310" s="222" t="str">
        <f>IFERROR(__xludf.DUMMYFUNCTION("""COMPUTED_VALUE"""),"SUMBAR")</f>
        <v>SUMBAR</v>
      </c>
      <c r="F1310" s="222" t="str">
        <f>IFERROR(__xludf.DUMMYFUNCTION("""COMPUTED_VALUE"""),"SPE")</f>
        <v>SPE</v>
      </c>
      <c r="G1310" s="222" t="str">
        <f>IFERROR(__xludf.DUMMYFUNCTION("""COMPUTED_VALUE"""),"SUMBAGTENG")</f>
        <v>SUMBAGTENG</v>
      </c>
      <c r="H1310" s="222" t="str">
        <f>IFERROR(__xludf.DUMMYFUNCTION("""COMPUTED_VALUE"""),"BUKIT TINGGI")</f>
        <v>BUKIT TINGGI</v>
      </c>
      <c r="I1310" s="222" t="str">
        <f>IFERROR(__xludf.DUMMYFUNCTION("""COMPUTED_VALUE"""),"Batch 2")</f>
        <v>Batch 2</v>
      </c>
      <c r="J1310" s="225">
        <f>IFERROR(__xludf.DUMMYFUNCTION("""COMPUTED_VALUE"""),2.0)</f>
        <v>2</v>
      </c>
      <c r="K1310" s="224">
        <f>IFERROR(__xludf.DUMMYFUNCTION("""COMPUTED_VALUE"""),16.0)</f>
        <v>16</v>
      </c>
      <c r="L1310" s="226">
        <f>IFERROR(__xludf.DUMMYFUNCTION("""COMPUTED_VALUE"""),774282.0)</f>
        <v>774282</v>
      </c>
      <c r="M1310" s="227">
        <f>IFERROR(__xludf.DUMMYFUNCTION("""COMPUTED_VALUE"""),1.23885E7)</f>
        <v>12388500</v>
      </c>
      <c r="N1310" s="222" t="str">
        <f>IFERROR(__xludf.DUMMYFUNCTION("""COMPUTED_VALUE"""),"PT TIGA AKSES MANDIRI")</f>
        <v>PT TIGA AKSES MANDIRI</v>
      </c>
      <c r="O1310" s="222" t="str">
        <f>IFERROR(__xludf.DUMMYFUNCTION("""COMPUTED_VALUE"""),"0. DROP")</f>
        <v>0. DROP</v>
      </c>
      <c r="P1310" s="222" t="str">
        <f>IFERROR(__xludf.DUMMYFUNCTION("""COMPUTED_VALUE"""),"0.3 Feeder Full")</f>
        <v>0.3 Feeder Full</v>
      </c>
      <c r="Q1310" s="222" t="str">
        <f>IFERROR(__xludf.DUMMYFUNCTION("""COMPUTED_VALUE"""),"(26/01) kendala feeder penuh. FEEDER SPE-FF FULL, KABLE BB")</f>
        <v>(26/01) kendala feeder penuh. FEEDER SPE-FF FULL, KABLE BB</v>
      </c>
      <c r="R1310" s="228"/>
      <c r="S1310" s="11"/>
      <c r="T1310" s="11"/>
      <c r="U1310" s="11"/>
      <c r="V1310" s="229"/>
      <c r="W1310" s="229"/>
      <c r="X1310" s="229" t="str">
        <f>IFERROR(__xludf.DUMMYFUNCTION("""COMPUTED_VALUE"""),"BELUM GOLIVE")</f>
        <v>BELUM GOLIVE</v>
      </c>
      <c r="Y1310" s="229"/>
      <c r="Z1310" s="229" t="str">
        <f>IFERROR(__xludf.DUMMYFUNCTION("""COMPUTED_VALUE"""),"#N/A")</f>
        <v>#N/A</v>
      </c>
      <c r="AA1310" s="229"/>
      <c r="AB1310" s="229"/>
      <c r="AC1310" s="229"/>
      <c r="AD1310" s="232"/>
      <c r="AE1310" s="233"/>
      <c r="AF1310" s="54" t="str">
        <f>IFERROR(__xludf.DUMMYFUNCTION("""COMPUTED_VALUE"""),"Draft BA DROP")</f>
        <v>Draft BA DROP</v>
      </c>
      <c r="AG1310" s="54"/>
      <c r="AH1310" s="54">
        <v>46132.0</v>
      </c>
      <c r="AI1310" s="237">
        <f>AH1310-NOW()</f>
        <v>-8.377989919</v>
      </c>
      <c r="AJ1310" s="229" t="str">
        <f>if(AI1310&gt;=0,"In Komitmen","Out Komitmen")</f>
        <v>Out Komitmen</v>
      </c>
      <c r="AW1310" s="234"/>
      <c r="BP1310" s="11"/>
      <c r="BQ1310" s="11"/>
      <c r="BR1310" s="235"/>
      <c r="BV1310" s="158"/>
      <c r="BY1310" s="158"/>
      <c r="CB1310" s="158"/>
    </row>
    <row r="1311" ht="18.0" customHeight="1">
      <c r="A1311" s="222">
        <f>IFERROR(__xludf.DUMMYFUNCTION("""COMPUTED_VALUE"""),2026.0)</f>
        <v>2026</v>
      </c>
      <c r="B1311" s="221">
        <f>IFERROR(__xludf.DUMMYFUNCTION("""COMPUTED_VALUE"""),1.2077913E7)</f>
        <v>12077913</v>
      </c>
      <c r="C1311" s="222" t="str">
        <f>IFERROR(__xludf.DUMMYFUNCTION("""COMPUTED_VALUE"""),"RKP TSEL PT3 KAI-FL KOTA BATAM_99754")</f>
        <v>RKP TSEL PT3 KAI-FL KOTA BATAM_99754</v>
      </c>
      <c r="D1311" s="222" t="str">
        <f>IFERROR(__xludf.DUMMYFUNCTION("""COMPUTED_VALUE"""),"REGIONAL I")</f>
        <v>REGIONAL I</v>
      </c>
      <c r="E1311" s="222" t="str">
        <f>IFERROR(__xludf.DUMMYFUNCTION("""COMPUTED_VALUE"""),"RIKEP")</f>
        <v>RIKEP</v>
      </c>
      <c r="F1311" s="222" t="str">
        <f>IFERROR(__xludf.DUMMYFUNCTION("""COMPUTED_VALUE"""),"KAI")</f>
        <v>KAI</v>
      </c>
      <c r="G1311" s="222" t="str">
        <f>IFERROR(__xludf.DUMMYFUNCTION("""COMPUTED_VALUE"""),"SUMBAGTENG")</f>
        <v>SUMBAGTENG</v>
      </c>
      <c r="H1311" s="222" t="str">
        <f>IFERROR(__xludf.DUMMYFUNCTION("""COMPUTED_VALUE"""),"BATAM")</f>
        <v>BATAM</v>
      </c>
      <c r="I1311" s="222" t="str">
        <f>IFERROR(__xludf.DUMMYFUNCTION("""COMPUTED_VALUE"""),"Batch 2")</f>
        <v>Batch 2</v>
      </c>
      <c r="J1311" s="225">
        <f>IFERROR(__xludf.DUMMYFUNCTION("""COMPUTED_VALUE"""),1.0)</f>
        <v>1</v>
      </c>
      <c r="K1311" s="224">
        <f>IFERROR(__xludf.DUMMYFUNCTION("""COMPUTED_VALUE"""),8.0)</f>
        <v>8</v>
      </c>
      <c r="L1311" s="226">
        <f>IFERROR(__xludf.DUMMYFUNCTION("""COMPUTED_VALUE"""),774167.0)</f>
        <v>774167</v>
      </c>
      <c r="M1311" s="227">
        <f>IFERROR(__xludf.DUMMYFUNCTION("""COMPUTED_VALUE"""),6193329.0)</f>
        <v>6193329</v>
      </c>
      <c r="N1311" s="222" t="str">
        <f>IFERROR(__xludf.DUMMYFUNCTION("""COMPUTED_VALUE"""),"PT MITRA AKSES INSANI")</f>
        <v>PT MITRA AKSES INSANI</v>
      </c>
      <c r="O1311" s="222" t="str">
        <f>IFERROR(__xludf.DUMMYFUNCTION("""COMPUTED_VALUE"""),"7. GOLIVE")</f>
        <v>7. GOLIVE</v>
      </c>
      <c r="P1311" s="222" t="str">
        <f>IFERROR(__xludf.DUMMYFUNCTION("""COMPUTED_VALUE"""),"7.2 Golive Full / OA / DONE OTB")</f>
        <v>7.2 Golive Full / OA / DONE OTB</v>
      </c>
      <c r="Q1311" s="222" t="str">
        <f>IFERROR(__xludf.DUMMYFUNCTION("""COMPUTED_VALUE"""),"24/04 Proses pembuatan ABD.
20/04 Proses Valins.
20/03 Terminasi ODP. 
17/04 Penarikan KU. Plan GL 22Apr
13/04 Proeses REQ Material, tim serial.
06/04 Tim KU dari jawa sampai ke batam tanggal 03 april, plan progres, 12 april, plan GL 14 april.30/03 Tim mi"&amp;"tra masih di pulau tanjung batu dan belum bisa balik ke pulau batam. 03/03 izin OK tim KU masih di pulau tanjung batu. 16/02 Plan FU perizinan besok 18Feb. 09/02 perizinan blm di FU mitra. 26/01 Anwijzing OK, Proses perizinan ke RW. 22/01 Plan survey 24 J"&amp;"an ""
13/04 Proeses REQ Material, tim serial.
06/04 Tim KU dari jawa sampai ke batam tanggal 03 april, plan progres, 16 april, plan GL 17 april.30/03 Tim mitra masih di pulau tanjung batu dan belum bisa balik ke pulau batam. 03/03 izin OK tim KU masih di "&amp;"pulau tanjung batu. 16/02 Plan FU perizinan besok 18 Feb. 09/02 perizinan blm di FU mitra. 26/01 Anwijzing OK, proses perizinan ke Kawasan pengelolahan limbah indsutri B3. 22/01 Plan survey 24 Jan ")</f>
        <v>24/04 Proses pembuatan ABD.
20/04 Proses Valins.
20/03 Terminasi ODP. 
17/04 Penarikan KU. Plan GL 22Apr
13/04 Proeses REQ Material, tim serial.
06/04 Tim KU dari jawa sampai ke batam tanggal 03 april, plan progres, 12 april, plan GL 14 april.30/03 Tim mitra masih di pulau tanjung batu dan belum bisa balik ke pulau batam. 03/03 izin OK tim KU masih di pulau tanjung batu. 16/02 Plan FU perizinan besok 18Feb. 09/02 perizinan blm di FU mitra. 26/01 Anwijzing OK, Proses perizinan ke RW. 22/01 Plan survey 24 Jan "
13/04 Proeses REQ Material, tim serial.
06/04 Tim KU dari jawa sampai ke batam tanggal 03 april, plan progres, 16 april, plan GL 17 april.30/03 Tim mitra masih di pulau tanjung batu dan belum bisa balik ke pulau batam. 03/03 izin OK tim KU masih di pulau tanjung batu. 16/02 Plan FU perizinan besok 18 Feb. 09/02 perizinan blm di FU mitra. 26/01 Anwijzing OK, proses perizinan ke Kawasan pengelolahan limbah indsutri B3. 22/01 Plan survey 24 Jan </v>
      </c>
      <c r="R1311" s="228">
        <f>IFERROR(__xludf.DUMMYFUNCTION("""COMPUTED_VALUE"""),46136.0)</f>
        <v>46136</v>
      </c>
      <c r="S1311" s="11" t="str">
        <f>IFERROR(__xludf.DUMMYFUNCTION("""COMPUTED_VALUE"""),"APR")</f>
        <v>APR</v>
      </c>
      <c r="T1311" s="73"/>
      <c r="U1311" s="11" t="str">
        <f>IFERROR(__xludf.DUMMYFUNCTION("""COMPUTED_VALUE"""),"W09-234/2026")</f>
        <v>W09-234/2026</v>
      </c>
      <c r="V1311" s="229" t="str">
        <f>IFERROR(__xludf.DUMMYFUNCTION("""COMPUTED_VALUE"""),"GANI PRASTYO")</f>
        <v>GANI PRASTYO</v>
      </c>
      <c r="W1311" s="229" t="str">
        <f>IFERROR(__xludf.DUMMYFUNCTION("""COMPUTED_VALUE"""),"LEVITA INDRIYANI")</f>
        <v>LEVITA INDRIYANI</v>
      </c>
      <c r="X1311" s="229" t="str">
        <f>IFERROR(__xludf.DUMMYFUNCTION("""COMPUTED_VALUE"""),"GOLIVE")</f>
        <v>GOLIVE</v>
      </c>
      <c r="Y1311" s="229" t="str">
        <f>IFERROR(__xludf.DUMMYFUNCTION("""COMPUTED_VALUE"""),"DONE")</f>
        <v>DONE</v>
      </c>
      <c r="Z1311" s="229" t="str">
        <f>IFERROR(__xludf.DUMMYFUNCTION("""COMPUTED_VALUE"""),"#N/A")</f>
        <v>#N/A</v>
      </c>
      <c r="AA1311" s="229">
        <f>IFERROR(__xludf.DUMMYFUNCTION("""COMPUTED_VALUE"""),1.0)</f>
        <v>1</v>
      </c>
      <c r="AB1311" s="229"/>
      <c r="AC1311" s="229" t="str">
        <f>IFERROR(__xludf.DUMMYFUNCTION("""COMPUTED_VALUE"""),"9198197#9198202")</f>
        <v>9198197#9198202</v>
      </c>
      <c r="AD1311" s="232">
        <f>IFERROR(__xludf.DUMMYFUNCTION("""COMPUTED_VALUE"""),8.0)</f>
        <v>8</v>
      </c>
      <c r="AE1311" s="233">
        <f>IFERROR(__xludf.DUMMYFUNCTION("""COMPUTED_VALUE"""),46136.0)</f>
        <v>46136</v>
      </c>
      <c r="AF1311" s="54"/>
      <c r="AG1311" s="54"/>
      <c r="AH1311" s="54">
        <v>46132.0</v>
      </c>
      <c r="AI1311" s="55">
        <f>AH1311-AE1311</f>
        <v>-4</v>
      </c>
      <c r="AJ1311" s="229" t="str">
        <f>if(AI1311&gt;=0,"Gl in Komitmen","Gl out komitmen")</f>
        <v>Gl out komitmen</v>
      </c>
      <c r="AK1311" s="231" t="s">
        <v>199</v>
      </c>
      <c r="AW1311" s="234"/>
      <c r="BP1311" s="11"/>
      <c r="BQ1311" s="11"/>
      <c r="BR1311" s="235"/>
      <c r="BV1311" s="158"/>
      <c r="BY1311" s="158"/>
      <c r="CB1311" s="158"/>
    </row>
    <row r="1312" ht="18.0" hidden="1" customHeight="1">
      <c r="A1312" s="222">
        <f>IFERROR(__xludf.DUMMYFUNCTION("""COMPUTED_VALUE"""),2026.0)</f>
        <v>2026</v>
      </c>
      <c r="B1312" s="221">
        <f>IFERROR(__xludf.DUMMYFUNCTION("""COMPUTED_VALUE"""),1.1753962E7)</f>
        <v>11753962</v>
      </c>
      <c r="C1312" s="222" t="str">
        <f>IFERROR(__xludf.DUMMYFUNCTION("""COMPUTED_VALUE"""),"SMS P4I2 PT3 PGA FB D06 JAMBAT BALO")</f>
        <v>SMS P4I2 PT3 PGA FB D06 JAMBAT BALO</v>
      </c>
      <c r="D1312" s="222" t="str">
        <f>IFERROR(__xludf.DUMMYFUNCTION("""COMPUTED_VALUE"""),"REGIONAL I")</f>
        <v>REGIONAL I</v>
      </c>
      <c r="E1312" s="222" t="str">
        <f>IFERROR(__xludf.DUMMYFUNCTION("""COMPUTED_VALUE"""),"SUMSEL")</f>
        <v>SUMSEL</v>
      </c>
      <c r="F1312" s="222" t="str">
        <f>IFERROR(__xludf.DUMMYFUNCTION("""COMPUTED_VALUE"""),"PGA")</f>
        <v>PGA</v>
      </c>
      <c r="G1312" s="222" t="str">
        <f>IFERROR(__xludf.DUMMYFUNCTION("""COMPUTED_VALUE"""),"SUMBAGSEL")</f>
        <v>SUMBAGSEL</v>
      </c>
      <c r="H1312" s="222" t="str">
        <f>IFERROR(__xludf.DUMMYFUNCTION("""COMPUTED_VALUE"""),"BENGKULU")</f>
        <v>BENGKULU</v>
      </c>
      <c r="I1312" s="222" t="str">
        <f>IFERROR(__xludf.DUMMYFUNCTION("""COMPUTED_VALUE"""),"Batch 2")</f>
        <v>Batch 2</v>
      </c>
      <c r="J1312" s="225">
        <f>IFERROR(__xludf.DUMMYFUNCTION("""COMPUTED_VALUE"""),4.0)</f>
        <v>4</v>
      </c>
      <c r="K1312" s="224">
        <f>IFERROR(__xludf.DUMMYFUNCTION("""COMPUTED_VALUE"""),32.0)</f>
        <v>32</v>
      </c>
      <c r="L1312" s="226">
        <f>IFERROR(__xludf.DUMMYFUNCTION("""COMPUTED_VALUE"""),772406.0)</f>
        <v>772406</v>
      </c>
      <c r="M1312" s="227">
        <f>IFERROR(__xludf.DUMMYFUNCTION("""COMPUTED_VALUE"""),2.471697E7)</f>
        <v>24716970</v>
      </c>
      <c r="N1312" s="222" t="str">
        <f>IFERROR(__xludf.DUMMYFUNCTION("""COMPUTED_VALUE"""),"PT GITA PRIMA TAMBA PERKASA")</f>
        <v>PT GITA PRIMA TAMBA PERKASA</v>
      </c>
      <c r="O1312" s="222" t="str">
        <f>IFERROR(__xludf.DUMMYFUNCTION("""COMPUTED_VALUE"""),"2. DONE AANWIJZING")</f>
        <v>2. DONE AANWIJZING</v>
      </c>
      <c r="P1312" s="222" t="str">
        <f>IFERROR(__xludf.DUMMYFUNCTION("""COMPUTED_VALUE"""),"2.5 Proses Create PID")</f>
        <v>2.5 Proses Create PID</v>
      </c>
      <c r="Q1312" s="222" t="str">
        <f>IFERROR(__xludf.DUMMYFUNCTION("""COMPUTED_VALUE"""),"27/04 : proges PR PO // 13/04 PR PO dan kirim material ke mitra 09/04 kepala desa belum ada FEEDBACK , plan 10 apr visit ulang  08/04 Proses perizinan kepala desa, belum ada feedback 26/03 proses pergantian mitra dri raharja ke GPTP, 25/03 PROGRESS UPDATE"&amp;" BOQ DAN KML SETELAH AANWIDJZING - MASIH MENUNGGU INFO TSEL MENGENAI PENGURANGAN ODP,  16/03 HASIL AANWIDJZING TDK PERLU IZIN KRNA HANYA TARIK KABEL SAJA (BISA DIKERJAKAN), 12/03 DONE AANWIDJZING, 10/03 PROGRESS AANWIJDZING ULANG, 09/03 DIALIHKAN KE MITRA"&amp;" GPTP, 09/03 DATA UPDATE BLM DI KIRIM MITRA, 06/03 SDH DI FU TERUS TP BELUM ADA INFO DARI MITRA, 02/03 SDH DI FU TERUS TP BELUM ADA INFO DARI MITRA, 27/02 BELUM EVAL, 23/02 LANJUT EVAL, 22/2  menunggu hasil perhitungan QE dan review TIF  19/02 HASIL AANWI"&amp;"DJZING BISA DIKERJAKAN SESUAI PLAN DAN TIDAK BUTUH IZIN DIKARENAKAN HANYA PENARIKAN KABEL PENDEK, 10/02 DONE AANWIDJZING - MITRA BELUM KIRIM HASIL AANWIDJZING, 04/02 PROSES AANWIDJZING, 30/01 PROSES AANWIDJZING, (23/1) Proses Aanwijdzing - Est 27 Setor ke"&amp;" Pak wijaya  (21/01) menunggu antrian untuk aanwizjing, (15/1) ORDER DITERIMA MITRA 14/1, masih menunngu confirm- kepastian 19 jan (14/11)HOLD-  tidak masuk target Optimis 2025 (13/11)  penunjukkan mitra raharja, 10/11 penunjukkan mitra raharja 3/11 mitra"&amp;" raharja ditunjuk sbagai mitra lop ini 23/10 belum di lakukan oleh mitra ke lokasi
15/10 plan aanwiznig tgl 17/10
(08/10) menunggu jadwal aanwijizng
(01/10) menunggu jadwal aanwijizng
(19/09) pejadwalan aanwijzing
14/01 sudah penunjukan mitra oleh procure"&amp;"ment")</f>
        <v>27/04 : proges PR PO // 13/04 PR PO dan kirim material ke mitra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1312" s="228"/>
      <c r="S1312" s="11"/>
      <c r="T1312" s="11"/>
      <c r="U1312" s="11"/>
      <c r="V1312" s="229" t="str">
        <f>IFERROR(__xludf.DUMMYFUNCTION("""COMPUTED_VALUE"""),"PUTRA")</f>
        <v>PUTRA</v>
      </c>
      <c r="W1312" s="229"/>
      <c r="X1312" s="229" t="str">
        <f>IFERROR(__xludf.DUMMYFUNCTION("""COMPUTED_VALUE"""),"BELUM GOLIVE")</f>
        <v>BELUM GOLIVE</v>
      </c>
      <c r="Y1312" s="229"/>
      <c r="Z1312" s="229" t="str">
        <f>IFERROR(__xludf.DUMMYFUNCTION("""COMPUTED_VALUE"""),"#N/A")</f>
        <v>#N/A</v>
      </c>
      <c r="AA1312" s="229"/>
      <c r="AB1312" s="229"/>
      <c r="AC1312" s="229"/>
      <c r="AD1312" s="232"/>
      <c r="AE1312" s="233"/>
      <c r="AF1312" s="54"/>
      <c r="AG1312" s="54"/>
      <c r="AH1312" s="54"/>
      <c r="AI1312" s="55" t="str">
        <f t="shared" ref="AI1312:AI1318" si="141">IF(OR(R1312="",AE1312=""),"",R1312-AE1312)</f>
        <v/>
      </c>
      <c r="AW1312" s="234"/>
      <c r="BP1312" s="11"/>
      <c r="BQ1312" s="11"/>
      <c r="BR1312" s="235"/>
      <c r="BV1312" s="158"/>
      <c r="BY1312" s="158"/>
      <c r="CB1312" s="158"/>
    </row>
    <row r="1313" ht="18.0" hidden="1" customHeight="1">
      <c r="A1313" s="222">
        <f>IFERROR(__xludf.DUMMYFUNCTION("""COMPUTED_VALUE"""),2026.0)</f>
        <v>2026</v>
      </c>
      <c r="B1313" s="221">
        <f>IFERROR(__xludf.DUMMYFUNCTION("""COMPUTED_VALUE"""),1.0991335E7)</f>
        <v>10991335</v>
      </c>
      <c r="C1313" s="222" t="str">
        <f>IFERROR(__xludf.DUMMYFUNCTION("""COMPUTED_VALUE"""),"MDN PT3 P7I2 DLT-FG NUSANTARA MAS")</f>
        <v>MDN PT3 P7I2 DLT-FG NUSANTARA MAS</v>
      </c>
      <c r="D1313" s="222" t="str">
        <f>IFERROR(__xludf.DUMMYFUNCTION("""COMPUTED_VALUE"""),"REGIONAL I")</f>
        <v>REGIONAL I</v>
      </c>
      <c r="E1313" s="222" t="str">
        <f>IFERROR(__xludf.DUMMYFUNCTION("""COMPUTED_VALUE"""),"MEDAN")</f>
        <v>MEDAN</v>
      </c>
      <c r="F1313" s="222" t="str">
        <f>IFERROR(__xludf.DUMMYFUNCTION("""COMPUTED_VALUE"""),"DLT")</f>
        <v>DLT</v>
      </c>
      <c r="G1313" s="222" t="str">
        <f>IFERROR(__xludf.DUMMYFUNCTION("""COMPUTED_VALUE"""),"SUMBAGUT")</f>
        <v>SUMBAGUT</v>
      </c>
      <c r="H1313" s="222" t="str">
        <f>IFERROR(__xludf.DUMMYFUNCTION("""COMPUTED_VALUE"""),"MEDAN")</f>
        <v>MEDAN</v>
      </c>
      <c r="I1313" s="222" t="str">
        <f>IFERROR(__xludf.DUMMYFUNCTION("""COMPUTED_VALUE"""),"Batch 2")</f>
        <v>Batch 2</v>
      </c>
      <c r="J1313" s="225">
        <f>IFERROR(__xludf.DUMMYFUNCTION("""COMPUTED_VALUE"""),2.0)</f>
        <v>2</v>
      </c>
      <c r="K1313" s="224">
        <f>IFERROR(__xludf.DUMMYFUNCTION("""COMPUTED_VALUE"""),16.0)</f>
        <v>16</v>
      </c>
      <c r="L1313" s="226">
        <f>IFERROR(__xludf.DUMMYFUNCTION("""COMPUTED_VALUE"""),771958.0)</f>
        <v>771958</v>
      </c>
      <c r="M1313" s="227">
        <f>IFERROR(__xludf.DUMMYFUNCTION("""COMPUTED_VALUE"""),1.2351322E7)</f>
        <v>12351322</v>
      </c>
      <c r="N1313" s="222" t="str">
        <f>IFERROR(__xludf.DUMMYFUNCTION("""COMPUTED_VALUE"""),"PT SALTTEK DUMPANG JAYA")</f>
        <v>PT SALTTEK DUMPANG JAYA</v>
      </c>
      <c r="O1313" s="222" t="str">
        <f>IFERROR(__xludf.DUMMYFUNCTION("""COMPUTED_VALUE"""),"0. DROP")</f>
        <v>0. DROP</v>
      </c>
      <c r="P1313" s="222" t="str">
        <f>IFERROR(__xludf.DUMMYFUNCTION("""COMPUTED_VALUE"""),"0.3 Feeder Full")</f>
        <v>0.3 Feeder Full</v>
      </c>
      <c r="Q1313" s="222" t="str">
        <f>IFERROR(__xludf.DUMMYFUNCTION("""COMPUTED_VALUE"""),"5/11 Feeder Habis
01/11proses aanwijzing")</f>
        <v>5/11 Feeder Habis
01/11proses aanwijzing</v>
      </c>
      <c r="R1313" s="228"/>
      <c r="S1313" s="11"/>
      <c r="T1313" s="11"/>
      <c r="U1313" s="11"/>
      <c r="V1313" s="229"/>
      <c r="W1313" s="229"/>
      <c r="X1313" s="229" t="str">
        <f>IFERROR(__xludf.DUMMYFUNCTION("""COMPUTED_VALUE"""),"BELUM GOLIVE")</f>
        <v>BELUM GOLIVE</v>
      </c>
      <c r="Y1313" s="229"/>
      <c r="Z1313" s="229" t="str">
        <f>IFERROR(__xludf.DUMMYFUNCTION("""COMPUTED_VALUE"""),"#N/A")</f>
        <v>#N/A</v>
      </c>
      <c r="AA1313" s="229"/>
      <c r="AB1313" s="229"/>
      <c r="AC1313" s="229"/>
      <c r="AD1313" s="232"/>
      <c r="AE1313" s="233"/>
      <c r="AF1313" s="54"/>
      <c r="AG1313" s="54"/>
      <c r="AH1313" s="54"/>
      <c r="AI1313" s="55" t="str">
        <f t="shared" si="141"/>
        <v/>
      </c>
      <c r="AW1313" s="234"/>
      <c r="BP1313" s="11"/>
      <c r="BQ1313" s="11"/>
      <c r="BR1313" s="235"/>
      <c r="BV1313" s="158"/>
      <c r="BY1313" s="158"/>
      <c r="CB1313" s="158"/>
    </row>
    <row r="1314" ht="18.0" hidden="1" customHeight="1">
      <c r="A1314" s="222">
        <f>IFERROR(__xludf.DUMMYFUNCTION("""COMPUTED_VALUE"""),2026.0)</f>
        <v>2026</v>
      </c>
      <c r="B1314" s="221">
        <f>IFERROR(__xludf.DUMMYFUNCTION("""COMPUTED_VALUE"""),1.1268376E7)</f>
        <v>11268376</v>
      </c>
      <c r="C1314" s="222" t="str">
        <f>IFERROR(__xludf.DUMMYFUNCTION("""COMPUTED_VALUE"""),"MDN PT3 CTD-FJ JL.ISTIQOMAH GG.MAWAR")</f>
        <v>MDN PT3 CTD-FJ JL.ISTIQOMAH GG.MAWAR</v>
      </c>
      <c r="D1314" s="222" t="str">
        <f>IFERROR(__xludf.DUMMYFUNCTION("""COMPUTED_VALUE"""),"REGIONAL I")</f>
        <v>REGIONAL I</v>
      </c>
      <c r="E1314" s="222" t="str">
        <f>IFERROR(__xludf.DUMMYFUNCTION("""COMPUTED_VALUE"""),"MEDAN")</f>
        <v>MEDAN</v>
      </c>
      <c r="F1314" s="222" t="str">
        <f>IFERROR(__xludf.DUMMYFUNCTION("""COMPUTED_VALUE"""),"CTD")</f>
        <v>CTD</v>
      </c>
      <c r="G1314" s="222" t="str">
        <f>IFERROR(__xludf.DUMMYFUNCTION("""COMPUTED_VALUE"""),"SUMBAGUT")</f>
        <v>SUMBAGUT</v>
      </c>
      <c r="H1314" s="222" t="str">
        <f>IFERROR(__xludf.DUMMYFUNCTION("""COMPUTED_VALUE"""),"MEDAN")</f>
        <v>MEDAN</v>
      </c>
      <c r="I1314" s="222" t="str">
        <f>IFERROR(__xludf.DUMMYFUNCTION("""COMPUTED_VALUE"""),"Batch 2")</f>
        <v>Batch 2</v>
      </c>
      <c r="J1314" s="225">
        <f>IFERROR(__xludf.DUMMYFUNCTION("""COMPUTED_VALUE"""),4.0)</f>
        <v>4</v>
      </c>
      <c r="K1314" s="224">
        <f>IFERROR(__xludf.DUMMYFUNCTION("""COMPUTED_VALUE"""),32.0)</f>
        <v>32</v>
      </c>
      <c r="L1314" s="226">
        <f>IFERROR(__xludf.DUMMYFUNCTION("""COMPUTED_VALUE"""),1031313.0)</f>
        <v>1031313</v>
      </c>
      <c r="M1314" s="227">
        <f>IFERROR(__xludf.DUMMYFUNCTION("""COMPUTED_VALUE"""),3.3001986E7)</f>
        <v>33001986</v>
      </c>
      <c r="N1314" s="222" t="str">
        <f>IFERROR(__xludf.DUMMYFUNCTION("""COMPUTED_VALUE"""),"SWAKELOLA")</f>
        <v>SWAKELOLA</v>
      </c>
      <c r="O1314" s="222" t="str">
        <f>IFERROR(__xludf.DUMMYFUNCTION("""COMPUTED_VALUE"""),"2. DONE AANWIJZING")</f>
        <v>2. DONE AANWIJZING</v>
      </c>
      <c r="P1314" s="222" t="str">
        <f>IFERROR(__xludf.DUMMYFUNCTION("""COMPUTED_VALUE"""),"2.10 Kendala - Feeder Rusak")</f>
        <v>2.10 Kendala - Feeder Rusak</v>
      </c>
      <c r="Q1314" s="222" t="str">
        <f>IFERROR(__xludf.DUMMYFUNCTION("""COMPUTED_VALUE"""),"22/04 pengecekan tipus butuh QE
11/02 kendala Feeder idle 2 core redti
31/01 Feeder perlu repair di OTB, Antrian pekerjaan")</f>
        <v>22/04 pengecekan tipus butuh QE
11/02 kendala Feeder idle 2 core redti
31/01 Feeder perlu repair di OTB, Antrian pekerjaan</v>
      </c>
      <c r="R1314" s="228"/>
      <c r="S1314" s="11"/>
      <c r="T1314" s="11"/>
      <c r="U1314" s="11"/>
      <c r="V1314" s="229"/>
      <c r="W1314" s="229"/>
      <c r="X1314" s="229" t="str">
        <f>IFERROR(__xludf.DUMMYFUNCTION("""COMPUTED_VALUE"""),"BELUM GOLIVE")</f>
        <v>BELUM GOLIVE</v>
      </c>
      <c r="Y1314" s="229"/>
      <c r="Z1314" s="229" t="str">
        <f>IFERROR(__xludf.DUMMYFUNCTION("""COMPUTED_VALUE"""),"#N/A")</f>
        <v>#N/A</v>
      </c>
      <c r="AA1314" s="229"/>
      <c r="AB1314" s="229"/>
      <c r="AC1314" s="229"/>
      <c r="AD1314" s="232"/>
      <c r="AE1314" s="233"/>
      <c r="AF1314" s="54"/>
      <c r="AG1314" s="54"/>
      <c r="AH1314" s="54"/>
      <c r="AI1314" s="55" t="str">
        <f t="shared" si="141"/>
        <v/>
      </c>
      <c r="AW1314" s="234"/>
      <c r="BP1314" s="11"/>
      <c r="BQ1314" s="11"/>
      <c r="BR1314" s="235"/>
      <c r="BV1314" s="158"/>
      <c r="BY1314" s="158"/>
      <c r="CB1314" s="158"/>
    </row>
    <row r="1315" ht="18.0" hidden="1" customHeight="1">
      <c r="A1315" s="222">
        <f>IFERROR(__xludf.DUMMYFUNCTION("""COMPUTED_VALUE"""),2026.0)</f>
        <v>2026</v>
      </c>
      <c r="B1315" s="221">
        <f>IFERROR(__xludf.DUMMYFUNCTION("""COMPUTED_VALUE"""),1.1079285E7)</f>
        <v>11079285</v>
      </c>
      <c r="C1315" s="222" t="str">
        <f>IFERROR(__xludf.DUMMYFUNCTION("""COMPUTED_VALUE"""),"MDN PT3 BJI-FNB GRIYA KUSUMA INDAH 3_")</f>
        <v>MDN PT3 BJI-FNB GRIYA KUSUMA INDAH 3_</v>
      </c>
      <c r="D1315" s="222" t="str">
        <f>IFERROR(__xludf.DUMMYFUNCTION("""COMPUTED_VALUE"""),"REGIONAL I")</f>
        <v>REGIONAL I</v>
      </c>
      <c r="E1315" s="222" t="str">
        <f>IFERROR(__xludf.DUMMYFUNCTION("""COMPUTED_VALUE"""),"MEDAN")</f>
        <v>MEDAN</v>
      </c>
      <c r="F1315" s="222" t="str">
        <f>IFERROR(__xludf.DUMMYFUNCTION("""COMPUTED_VALUE"""),"BJI")</f>
        <v>BJI</v>
      </c>
      <c r="G1315" s="222" t="str">
        <f>IFERROR(__xludf.DUMMYFUNCTION("""COMPUTED_VALUE"""),"SUMBAGUT")</f>
        <v>SUMBAGUT</v>
      </c>
      <c r="H1315" s="222" t="str">
        <f>IFERROR(__xludf.DUMMYFUNCTION("""COMPUTED_VALUE"""),"BINJAI")</f>
        <v>BINJAI</v>
      </c>
      <c r="I1315" s="222" t="str">
        <f>IFERROR(__xludf.DUMMYFUNCTION("""COMPUTED_VALUE"""),"Batch 2")</f>
        <v>Batch 2</v>
      </c>
      <c r="J1315" s="225">
        <f>IFERROR(__xludf.DUMMYFUNCTION("""COMPUTED_VALUE"""),5.0)</f>
        <v>5</v>
      </c>
      <c r="K1315" s="224">
        <f>IFERROR(__xludf.DUMMYFUNCTION("""COMPUTED_VALUE"""),40.0)</f>
        <v>40</v>
      </c>
      <c r="L1315" s="226">
        <f>IFERROR(__xludf.DUMMYFUNCTION("""COMPUTED_VALUE"""),769325.0)</f>
        <v>769325</v>
      </c>
      <c r="M1315" s="227">
        <f>IFERROR(__xludf.DUMMYFUNCTION("""COMPUTED_VALUE"""),3.0772988E7)</f>
        <v>30772988</v>
      </c>
      <c r="N1315" s="222" t="str">
        <f>IFERROR(__xludf.DUMMYFUNCTION("""COMPUTED_VALUE"""),"PT FIBERHOME TECHNOLOGIES INDONESIA")</f>
        <v>PT FIBERHOME TECHNOLOGIES INDONESIA</v>
      </c>
      <c r="O1315" s="222" t="str">
        <f>IFERROR(__xludf.DUMMYFUNCTION("""COMPUTED_VALUE"""),"0. DROP")</f>
        <v>0. DROP</v>
      </c>
      <c r="P1315" s="222" t="str">
        <f>IFERROR(__xludf.DUMMYFUNCTION("""COMPUTED_VALUE"""),"0.2 Tidak Dapat Izin Warga/Kades/Lurah/Developer")</f>
        <v>0.2 Tidak Dapat Izin Warga/Kades/Lurah/Developer</v>
      </c>
      <c r="Q1315" s="222" t="str">
        <f>IFERROR(__xludf.DUMMYFUNCTION("""COMPUTED_VALUE"""),"21/02 tidak dapat izin devloper 
(11/02) proses permit (07/01) Persiapan")</f>
        <v>21/02 tidak dapat izin devloper 
(11/02) proses permit (07/01) Persiapan</v>
      </c>
      <c r="R1315" s="228"/>
      <c r="S1315" s="11"/>
      <c r="T1315" s="11"/>
      <c r="U1315" s="11"/>
      <c r="V1315" s="229"/>
      <c r="W1315" s="229"/>
      <c r="X1315" s="229" t="str">
        <f>IFERROR(__xludf.DUMMYFUNCTION("""COMPUTED_VALUE"""),"BELUM GOLIVE")</f>
        <v>BELUM GOLIVE</v>
      </c>
      <c r="Y1315" s="229"/>
      <c r="Z1315" s="229" t="str">
        <f>IFERROR(__xludf.DUMMYFUNCTION("""COMPUTED_VALUE"""),"#N/A")</f>
        <v>#N/A</v>
      </c>
      <c r="AA1315" s="229"/>
      <c r="AB1315" s="229"/>
      <c r="AC1315" s="229"/>
      <c r="AD1315" s="232"/>
      <c r="AE1315" s="233"/>
      <c r="AF1315" s="54" t="str">
        <f>IFERROR(__xludf.DUMMYFUNCTION("""COMPUTED_VALUE"""),"Draft BA DROP")</f>
        <v>Draft BA DROP</v>
      </c>
      <c r="AG1315" s="54"/>
      <c r="AH1315" s="54"/>
      <c r="AI1315" s="55" t="str">
        <f t="shared" si="141"/>
        <v/>
      </c>
      <c r="AW1315" s="234"/>
      <c r="BP1315" s="11"/>
      <c r="BQ1315" s="11"/>
      <c r="BR1315" s="235"/>
      <c r="BV1315" s="158"/>
      <c r="BY1315" s="158"/>
      <c r="CB1315" s="158"/>
    </row>
    <row r="1316" ht="18.0" hidden="1" customHeight="1">
      <c r="A1316" s="222">
        <f>IFERROR(__xludf.DUMMYFUNCTION("""COMPUTED_VALUE"""),2026.0)</f>
        <v>2026</v>
      </c>
      <c r="B1316" s="221">
        <f>IFERROR(__xludf.DUMMYFUNCTION("""COMPUTED_VALUE"""),1.1192664E7)</f>
        <v>11192664</v>
      </c>
      <c r="C1316" s="222" t="str">
        <f>IFERROR(__xludf.DUMMYFUNCTION("""COMPUTED_VALUE"""),"MDN PT3 P7I8 TMU-FR JL.DUKU RAYA")</f>
        <v>MDN PT3 P7I8 TMU-FR JL.DUKU RAYA</v>
      </c>
      <c r="D1316" s="222" t="str">
        <f>IFERROR(__xludf.DUMMYFUNCTION("""COMPUTED_VALUE"""),"REGIONAL I")</f>
        <v>REGIONAL I</v>
      </c>
      <c r="E1316" s="222" t="str">
        <f>IFERROR(__xludf.DUMMYFUNCTION("""COMPUTED_VALUE"""),"MEDAN")</f>
        <v>MEDAN</v>
      </c>
      <c r="F1316" s="222" t="str">
        <f>IFERROR(__xludf.DUMMYFUNCTION("""COMPUTED_VALUE"""),"TMU")</f>
        <v>TMU</v>
      </c>
      <c r="G1316" s="222" t="str">
        <f>IFERROR(__xludf.DUMMYFUNCTION("""COMPUTED_VALUE"""),"SUMBAGUT")</f>
        <v>SUMBAGUT</v>
      </c>
      <c r="H1316" s="222" t="str">
        <f>IFERROR(__xludf.DUMMYFUNCTION("""COMPUTED_VALUE"""),"MEDAN")</f>
        <v>MEDAN</v>
      </c>
      <c r="I1316" s="222" t="str">
        <f>IFERROR(__xludf.DUMMYFUNCTION("""COMPUTED_VALUE"""),"Batch 2")</f>
        <v>Batch 2</v>
      </c>
      <c r="J1316" s="225">
        <f>IFERROR(__xludf.DUMMYFUNCTION("""COMPUTED_VALUE"""),3.0)</f>
        <v>3</v>
      </c>
      <c r="K1316" s="224">
        <f>IFERROR(__xludf.DUMMYFUNCTION("""COMPUTED_VALUE"""),24.0)</f>
        <v>24</v>
      </c>
      <c r="L1316" s="226">
        <f>IFERROR(__xludf.DUMMYFUNCTION("""COMPUTED_VALUE"""),1083787.0)</f>
        <v>1083787</v>
      </c>
      <c r="M1316" s="227">
        <f>IFERROR(__xludf.DUMMYFUNCTION("""COMPUTED_VALUE"""),2.6010887E7)</f>
        <v>26010887</v>
      </c>
      <c r="N1316" s="222" t="str">
        <f>IFERROR(__xludf.DUMMYFUNCTION("""COMPUTED_VALUE"""),"PT SALTTEK DUMPANG JAYA")</f>
        <v>PT SALTTEK DUMPANG JAYA</v>
      </c>
      <c r="O1316" s="222" t="str">
        <f>IFERROR(__xludf.DUMMYFUNCTION("""COMPUTED_VALUE"""),"2. DONE AANWIJZING")</f>
        <v>2. DONE AANWIJZING</v>
      </c>
      <c r="P1316" s="222" t="str">
        <f>IFERROR(__xludf.DUMMYFUNCTION("""COMPUTED_VALUE"""),"2.10 Kendala - Feeder Rusak")</f>
        <v>2.10 Kendala - Feeder Rusak</v>
      </c>
      <c r="Q1316" s="222" t="str">
        <f>IFERROR(__xludf.DUMMYFUNCTION("""COMPUTED_VALUE"""),"21/04 take over mitra saltek
14/11 Feeder redeti
16/10 Feeder Redaman Tinggi
(24/09) Perizinan Warga dan Kades / Lurah
(23/09) Perizinan Warga dan Kades / Lurah
15/09 proses aanwijzing")</f>
        <v>21/04 take over mitra saltek
14/11 Feeder redeti
16/10 Feeder Redaman Tinggi
(24/09) Perizinan Warga dan Kades / Lurah
(23/09) Perizinan Warga dan Kades / Lurah
15/09 proses aanwijzing</v>
      </c>
      <c r="R1316" s="228"/>
      <c r="S1316" s="11"/>
      <c r="T1316" s="11"/>
      <c r="U1316" s="11"/>
      <c r="V1316" s="229"/>
      <c r="W1316" s="229"/>
      <c r="X1316" s="229" t="str">
        <f>IFERROR(__xludf.DUMMYFUNCTION("""COMPUTED_VALUE"""),"BELUM GOLIVE")</f>
        <v>BELUM GOLIVE</v>
      </c>
      <c r="Y1316" s="229"/>
      <c r="Z1316" s="229" t="str">
        <f>IFERROR(__xludf.DUMMYFUNCTION("""COMPUTED_VALUE"""),"#N/A")</f>
        <v>#N/A</v>
      </c>
      <c r="AA1316" s="229"/>
      <c r="AB1316" s="229"/>
      <c r="AC1316" s="229"/>
      <c r="AD1316" s="232"/>
      <c r="AE1316" s="233"/>
      <c r="AF1316" s="54"/>
      <c r="AG1316" s="54"/>
      <c r="AH1316" s="54"/>
      <c r="AI1316" s="55" t="str">
        <f t="shared" si="141"/>
        <v/>
      </c>
      <c r="AW1316" s="234"/>
      <c r="BP1316" s="11"/>
      <c r="BQ1316" s="11"/>
      <c r="BR1316" s="235"/>
      <c r="BV1316" s="158"/>
      <c r="BY1316" s="158"/>
      <c r="CB1316" s="158"/>
    </row>
    <row r="1317" ht="18.0" hidden="1" customHeight="1">
      <c r="A1317" s="222">
        <f>IFERROR(__xludf.DUMMYFUNCTION("""COMPUTED_VALUE"""),2026.0)</f>
        <v>2026</v>
      </c>
      <c r="B1317" s="221">
        <f>IFERROR(__xludf.DUMMYFUNCTION("""COMPUTED_VALUE"""),1.1189163E7)</f>
        <v>11189163</v>
      </c>
      <c r="C1317" s="222" t="str">
        <f>IFERROR(__xludf.DUMMYFUNCTION("""COMPUTED_VALUE"""),"MDN PT3 PDB-FD JL.GLUGUR RIMBUN SOSIAL")</f>
        <v>MDN PT3 PDB-FD JL.GLUGUR RIMBUN SOSIAL</v>
      </c>
      <c r="D1317" s="222" t="str">
        <f>IFERROR(__xludf.DUMMYFUNCTION("""COMPUTED_VALUE"""),"REGIONAL I")</f>
        <v>REGIONAL I</v>
      </c>
      <c r="E1317" s="222" t="str">
        <f>IFERROR(__xludf.DUMMYFUNCTION("""COMPUTED_VALUE"""),"MEDAN")</f>
        <v>MEDAN</v>
      </c>
      <c r="F1317" s="222" t="str">
        <f>IFERROR(__xludf.DUMMYFUNCTION("""COMPUTED_VALUE"""),"PDB")</f>
        <v>PDB</v>
      </c>
      <c r="G1317" s="222" t="str">
        <f>IFERROR(__xludf.DUMMYFUNCTION("""COMPUTED_VALUE"""),"SUMBAGUT")</f>
        <v>SUMBAGUT</v>
      </c>
      <c r="H1317" s="222" t="str">
        <f>IFERROR(__xludf.DUMMYFUNCTION("""COMPUTED_VALUE"""),"MEDAN")</f>
        <v>MEDAN</v>
      </c>
      <c r="I1317" s="222" t="str">
        <f>IFERROR(__xludf.DUMMYFUNCTION("""COMPUTED_VALUE"""),"Batch 2")</f>
        <v>Batch 2</v>
      </c>
      <c r="J1317" s="225">
        <f>IFERROR(__xludf.DUMMYFUNCTION("""COMPUTED_VALUE"""),7.0)</f>
        <v>7</v>
      </c>
      <c r="K1317" s="224">
        <f>IFERROR(__xludf.DUMMYFUNCTION("""COMPUTED_VALUE"""),56.0)</f>
        <v>56</v>
      </c>
      <c r="L1317" s="226">
        <f>IFERROR(__xludf.DUMMYFUNCTION("""COMPUTED_VALUE"""),1161873.0)</f>
        <v>1161873</v>
      </c>
      <c r="M1317" s="227">
        <f>IFERROR(__xludf.DUMMYFUNCTION("""COMPUTED_VALUE"""),6.5064841E7)</f>
        <v>65064841</v>
      </c>
      <c r="N1317" s="222" t="str">
        <f>IFERROR(__xludf.DUMMYFUNCTION("""COMPUTED_VALUE"""),"PT BANGUN PRIMA SEMESTA")</f>
        <v>PT BANGUN PRIMA SEMESTA</v>
      </c>
      <c r="O1317" s="222" t="str">
        <f>IFERROR(__xludf.DUMMYFUNCTION("""COMPUTED_VALUE"""),"0. DROP")</f>
        <v>0. DROP</v>
      </c>
      <c r="P1317" s="222" t="str">
        <f>IFERROR(__xludf.DUMMYFUNCTION("""COMPUTED_VALUE"""),"0.4 CPP Tinggi Acc ED TIF")</f>
        <v>0.4 CPP Tinggi Acc ED TIF</v>
      </c>
      <c r="Q1317" s="222" t="str">
        <f>IFERROR(__xludf.DUMMYFUNCTION("""COMPUTED_VALUE"""),"13/02 Menunggu LoP MDN PT4 P7I3 PDB-FD PRUM GRY MUTIARA4 01/11 Feeder Loss
(24/09) Perizinan Warga dan Kades / Lurah
(23/09) Perizinan Warga dan Kades / Lurah
15/09 proses aanwijzing")</f>
        <v>13/02 Menunggu LoP MDN PT4 P7I3 PDB-FD PRUM GRY MUTIARA4 01/11 Feeder Loss
(24/09) Perizinan Warga dan Kades / Lurah
(23/09) Perizinan Warga dan Kades / Lurah
15/09 proses aanwijzing</v>
      </c>
      <c r="R1317" s="228"/>
      <c r="S1317" s="11"/>
      <c r="T1317" s="11"/>
      <c r="U1317" s="11"/>
      <c r="V1317" s="229"/>
      <c r="W1317" s="229"/>
      <c r="X1317" s="229" t="str">
        <f>IFERROR(__xludf.DUMMYFUNCTION("""COMPUTED_VALUE"""),"BELUM GOLIVE")</f>
        <v>BELUM GOLIVE</v>
      </c>
      <c r="Y1317" s="229"/>
      <c r="Z1317" s="229" t="str">
        <f>IFERROR(__xludf.DUMMYFUNCTION("""COMPUTED_VALUE"""),"#N/A")</f>
        <v>#N/A</v>
      </c>
      <c r="AA1317" s="229"/>
      <c r="AB1317" s="229"/>
      <c r="AC1317" s="229"/>
      <c r="AD1317" s="232"/>
      <c r="AE1317" s="233"/>
      <c r="AF1317" s="54" t="str">
        <f>IFERROR(__xludf.DUMMYFUNCTION("""COMPUTED_VALUE"""),"Draft BA DROP")</f>
        <v>Draft BA DROP</v>
      </c>
      <c r="AG1317" s="54"/>
      <c r="AH1317" s="54"/>
      <c r="AI1317" s="55" t="str">
        <f t="shared" si="141"/>
        <v/>
      </c>
      <c r="AW1317" s="234"/>
      <c r="BP1317" s="11"/>
      <c r="BQ1317" s="11"/>
      <c r="BR1317" s="235"/>
      <c r="BV1317" s="158"/>
      <c r="BY1317" s="158"/>
      <c r="CB1317" s="158"/>
    </row>
    <row r="1318" ht="18.0" hidden="1" customHeight="1">
      <c r="A1318" s="222">
        <f>IFERROR(__xludf.DUMMYFUNCTION("""COMPUTED_VALUE"""),2026.0)</f>
        <v>2026</v>
      </c>
      <c r="B1318" s="221">
        <f>IFERROR(__xludf.DUMMYFUNCTION("""COMPUTED_VALUE"""),1.1237222E7)</f>
        <v>11237222</v>
      </c>
      <c r="C1318" s="222" t="str">
        <f>IFERROR(__xludf.DUMMYFUNCTION("""COMPUTED_VALUE"""),"MDN PT3 P7I13 GLG-FE DESA TANJUNG GUSTI")</f>
        <v>MDN PT3 P7I13 GLG-FE DESA TANJUNG GUSTI</v>
      </c>
      <c r="D1318" s="222" t="str">
        <f>IFERROR(__xludf.DUMMYFUNCTION("""COMPUTED_VALUE"""),"REGIONAL I")</f>
        <v>REGIONAL I</v>
      </c>
      <c r="E1318" s="222" t="str">
        <f>IFERROR(__xludf.DUMMYFUNCTION("""COMPUTED_VALUE"""),"MEDAN")</f>
        <v>MEDAN</v>
      </c>
      <c r="F1318" s="222" t="str">
        <f>IFERROR(__xludf.DUMMYFUNCTION("""COMPUTED_VALUE"""),"GLG")</f>
        <v>GLG</v>
      </c>
      <c r="G1318" s="222" t="str">
        <f>IFERROR(__xludf.DUMMYFUNCTION("""COMPUTED_VALUE"""),"SUMBAGUT")</f>
        <v>SUMBAGUT</v>
      </c>
      <c r="H1318" s="222" t="str">
        <f>IFERROR(__xludf.DUMMYFUNCTION("""COMPUTED_VALUE"""),"MEDAN")</f>
        <v>MEDAN</v>
      </c>
      <c r="I1318" s="222" t="str">
        <f>IFERROR(__xludf.DUMMYFUNCTION("""COMPUTED_VALUE"""),"Batch 2")</f>
        <v>Batch 2</v>
      </c>
      <c r="J1318" s="225">
        <f>IFERROR(__xludf.DUMMYFUNCTION("""COMPUTED_VALUE"""),2.0)</f>
        <v>2</v>
      </c>
      <c r="K1318" s="224">
        <f>IFERROR(__xludf.DUMMYFUNCTION("""COMPUTED_VALUE"""),16.0)</f>
        <v>16</v>
      </c>
      <c r="L1318" s="226">
        <f>IFERROR(__xludf.DUMMYFUNCTION("""COMPUTED_VALUE"""),1204348.0)</f>
        <v>1204348</v>
      </c>
      <c r="M1318" s="227">
        <f>IFERROR(__xludf.DUMMYFUNCTION("""COMPUTED_VALUE"""),1.9269563E7)</f>
        <v>19269563</v>
      </c>
      <c r="N1318" s="222" t="str">
        <f>IFERROR(__xludf.DUMMYFUNCTION("""COMPUTED_VALUE"""),"PT BONGKAR SEJATI ANDALAN")</f>
        <v>PT BONGKAR SEJATI ANDALAN</v>
      </c>
      <c r="O1318" s="222" t="str">
        <f>IFERROR(__xludf.DUMMYFUNCTION("""COMPUTED_VALUE"""),"8. UJI TERIMA")</f>
        <v>8. UJI TERIMA</v>
      </c>
      <c r="P1318" s="222" t="str">
        <f>IFERROR(__xludf.DUMMYFUNCTION("""COMPUTED_VALUE"""),"8.1 Proses UT")</f>
        <v>8.1 Proses UT</v>
      </c>
      <c r="Q1318" s="222" t="str">
        <f>IFERROR(__xludf.DUMMYFUNCTION("""COMPUTED_VALUE"""),"13/01 : Perizinan BAKP // (07/01) Persiapan")</f>
        <v>13/01 : Perizinan BAKP // (07/01) Persiapan</v>
      </c>
      <c r="R1318" s="228">
        <f>IFERROR(__xludf.DUMMYFUNCTION("""COMPUTED_VALUE"""),46035.0)</f>
        <v>46035</v>
      </c>
      <c r="S1318" s="11"/>
      <c r="T1318" s="11"/>
      <c r="U1318" s="11" t="str">
        <f>IFERROR(__xludf.DUMMYFUNCTION("""COMPUTED_VALUE"""),"FALSE")</f>
        <v>FALSE</v>
      </c>
      <c r="V1318" s="229"/>
      <c r="W1318" s="229"/>
      <c r="X1318" s="229" t="str">
        <f>IFERROR(__xludf.DUMMYFUNCTION("""COMPUTED_VALUE"""),"GOLIVE")</f>
        <v>GOLIVE</v>
      </c>
      <c r="Y1318" s="229" t="str">
        <f>IFERROR(__xludf.DUMMYFUNCTION("""COMPUTED_VALUE"""),"DONE")</f>
        <v>DONE</v>
      </c>
      <c r="Z1318" s="229" t="str">
        <f>IFERROR(__xludf.DUMMYFUNCTION("""COMPUTED_VALUE"""),"#N/A")</f>
        <v>#N/A</v>
      </c>
      <c r="AA1318" s="229">
        <f>IFERROR(__xludf.DUMMYFUNCTION("""COMPUTED_VALUE"""),2.0)</f>
        <v>2</v>
      </c>
      <c r="AB1318" s="229"/>
      <c r="AC1318" s="229" t="str">
        <f>IFERROR(__xludf.DUMMYFUNCTION("""COMPUTED_VALUE"""),"8919172#8919177")</f>
        <v>8919172#8919177</v>
      </c>
      <c r="AD1318" s="232">
        <f>IFERROR(__xludf.DUMMYFUNCTION("""COMPUTED_VALUE"""),16.0)</f>
        <v>16</v>
      </c>
      <c r="AE1318" s="233">
        <f>IFERROR(__xludf.DUMMYFUNCTION("""COMPUTED_VALUE"""),46035.0)</f>
        <v>46035</v>
      </c>
      <c r="AF1318" s="54"/>
      <c r="AG1318" s="54"/>
      <c r="AH1318" s="54">
        <v>46035.0</v>
      </c>
      <c r="AI1318" s="55">
        <f t="shared" si="141"/>
        <v>0</v>
      </c>
      <c r="AW1318" s="234"/>
      <c r="BP1318" s="11"/>
      <c r="BQ1318" s="11"/>
      <c r="BR1318" s="235"/>
      <c r="BV1318" s="158"/>
      <c r="BY1318" s="158"/>
      <c r="CB1318" s="158"/>
    </row>
    <row r="1319" ht="18.0" hidden="1" customHeight="1">
      <c r="A1319" s="222">
        <f>IFERROR(__xludf.DUMMYFUNCTION("""COMPUTED_VALUE"""),2026.0)</f>
        <v>2026</v>
      </c>
      <c r="B1319" s="221">
        <f>IFERROR(__xludf.DUMMYFUNCTION("""COMPUTED_VALUE"""),1.1454462E7)</f>
        <v>11454462</v>
      </c>
      <c r="C1319" s="222" t="str">
        <f>IFERROR(__xludf.DUMMYFUNCTION("""COMPUTED_VALUE"""),"BNK-PT4-JPPTSEL-BTH DESA COKO BETUNG")</f>
        <v>BNK-PT4-JPPTSEL-BTH DESA COKO BETUNG</v>
      </c>
      <c r="D1319" s="222" t="str">
        <f>IFERROR(__xludf.DUMMYFUNCTION("""COMPUTED_VALUE"""),"REGIONAL I")</f>
        <v>REGIONAL I</v>
      </c>
      <c r="E1319" s="222" t="str">
        <f>IFERROR(__xludf.DUMMYFUNCTION("""COMPUTED_VALUE"""),"BENGKULU")</f>
        <v>BENGKULU</v>
      </c>
      <c r="F1319" s="222" t="str">
        <f>IFERROR(__xludf.DUMMYFUNCTION("""COMPUTED_VALUE"""),"BTH")</f>
        <v>BTH</v>
      </c>
      <c r="G1319" s="222" t="str">
        <f>IFERROR(__xludf.DUMMYFUNCTION("""COMPUTED_VALUE"""),"SUMBAGSEL")</f>
        <v>SUMBAGSEL</v>
      </c>
      <c r="H1319" s="222" t="str">
        <f>IFERROR(__xludf.DUMMYFUNCTION("""COMPUTED_VALUE"""),"BENGKULU")</f>
        <v>BENGKULU</v>
      </c>
      <c r="I1319" s="222" t="str">
        <f>IFERROR(__xludf.DUMMYFUNCTION("""COMPUTED_VALUE"""),"Batch 2")</f>
        <v>Batch 2</v>
      </c>
      <c r="J1319" s="225">
        <f>IFERROR(__xludf.DUMMYFUNCTION("""COMPUTED_VALUE"""),49.0)</f>
        <v>49</v>
      </c>
      <c r="K1319" s="224">
        <f>IFERROR(__xludf.DUMMYFUNCTION("""COMPUTED_VALUE"""),392.0)</f>
        <v>392</v>
      </c>
      <c r="L1319" s="226">
        <f>IFERROR(__xludf.DUMMYFUNCTION("""COMPUTED_VALUE"""),875247.0)</f>
        <v>875247</v>
      </c>
      <c r="M1319" s="227">
        <f>IFERROR(__xludf.DUMMYFUNCTION("""COMPUTED_VALUE"""),3.43096448E8)</f>
        <v>343096448</v>
      </c>
      <c r="N1319" s="222" t="str">
        <f>IFERROR(__xludf.DUMMYFUNCTION("""COMPUTED_VALUE"""),"PT GITA PRIMA TAMBA PERKASA")</f>
        <v>PT GITA PRIMA TAMBA PERKASA</v>
      </c>
      <c r="O1319" s="222" t="str">
        <f>IFERROR(__xludf.DUMMYFUNCTION("""COMPUTED_VALUE"""),"7. GOLIVE")</f>
        <v>7. GOLIVE</v>
      </c>
      <c r="P1319" s="222" t="str">
        <f>IFERROR(__xludf.DUMMYFUNCTION("""COMPUTED_VALUE"""),"7.2 Golive Full / OA / DONE OTB")</f>
        <v>7.2 Golive Full / OA / DONE OTB</v>
      </c>
      <c r="Q1319" s="222" t="str">
        <f>IFERROR(__xludf.DUMMYFUNCTION("""COMPUTED_VALUE"""),"25/03: finish instalasi, sudah setor ABD ke SDI // 17/03: kepastian Pasang MODUL, Menunggu jadwal CO ODC // 06/03 : proses pengajuan jadwal  CO updgrade odc // 27/02 : TERMINASI ODP&amp; UC // 26/02: proses instal ODP= 28pcs/33pcs-menunggu jadwal upgrade ODC "&amp;" // 25/02: progres instal ODP 13pcs/33pcs // 24/02 // 23/02 : Instalasi ODP // 21/02: pengecoran tiang // 20/02: finish penarikan kabel // 20/02: lanjut cor tiang dan penarikan kabel 24c= 12,985m/14,785m // 19/02: penarikan kabel adss 24= 10,785m/14,785m "&amp;"// 18/02 : Tarik kabel 8585m/14.785m // 14/02: lanjut proses penggalian lobang dan penanaman tiang 43btg/52btg // 13/02: gali lobang dan tanam tiang // 12/02: proses gali lobang dan pengecatan tiang ( kendala: Banyak terdapat batu besar saat penggalian lo"&amp;"bang, Dan ada warga yang melarang pemasangan di tanah milik mereka dan ada lahan belum mendapatkan izin karena pemilik rumah pergi ke kebun) // 11/02 : Plan Matdel hari ini 11/02 // 10/02: pick up material, plan instal 12, plan FI tgl 27, pla GL butuh upg"&amp;"rade ODCdan penambahan modul mini OLT (coko betung upgred ODC dan penambahan modul olt) /  09/02://08/02://07/02://06/02://05/02://03/01 : konfirmasi TIF, menunggu keputusan HO TIF terkait kenaikan cpp hasil anwizing senilai ( 1.478.864 ) // 26/01 : Upgra"&amp;"de ODC // 22/01 : Done Anwidzing (konfirmasi tif masalah kekurangan jumlah  ODP dikarenakan menyesuaikan port mini OLT yang tersedia) // 14/01 : ( 1 desa lagi belum ketemu dg org nya ) proses Perizinan BAKP // 13/01 : proses Perizinan BAKP // (07/01) Pers"&amp;"iapan")</f>
        <v>25/03: finish instalasi, sudah setor ABD ke SDI // 17/03: kepastian Pasang MODUL, Menunggu jadwal CO ODC // 06/03 : proses pengajuan jadwal  CO updgrade odc // 27/02 : TERMINASI ODP&amp; UC // 26/02: proses instal ODP= 28pcs/33pcs-menunggu jadwal upgrade ODC  // 25/02: progres instal ODP 13pcs/33pcs // 24/02 // 23/02 : Instalasi ODP // 21/02: pengecoran tiang // 20/02: finish penarikan kabel // 20/02: lanjut cor tiang dan penarikan kabel 24c= 12,985m/14,785m // 19/02: penarikan kabel adss 24= 10,785m/14,785m // 18/02 : Tarik kabel 8585m/14.785m // 14/02: lanjut proses penggalian lobang dan penanaman tiang 43btg/52btg // 13/02: gali lobang dan tanam tiang // 12/02: proses gali lobang dan pengecatan tiang ( kendala: Banyak terdapat batu besar saat penggalian lobang, Dan ada warga yang melarang pemasangan di tanah milik mereka dan ada lahan belum mendapatkan izin karena pemilik rumah pergi ke kebun) // 11/02 : Plan Matdel hari ini 11/02 // 10/02: pick up material, plan instal 12, plan FI tgl 27, pla GL butuh upgrade ODCdan penambahan modul mini OLT (coko betung upgred ODC dan penambahan modul olt) /  09/02://08/02://07/02://06/02://05/02://03/01 : konfirmasi TIF, menunggu keputusan HO TIF terkait kenaikan cpp hasil anwizing senilai ( 1.478.864 ) // 26/01 : Upgrade ODC // 22/01 : Done Anwidzing (konfirmasi tif masalah kekurangan jumlah  ODP dikarenakan menyesuaikan port mini OLT yang tersedia) // 14/01 : ( 1 desa lagi belum ketemu dg org nya ) proses Perizinan BAKP // 13/01 : proses Perizinan BAKP // (07/01) Persiapan</v>
      </c>
      <c r="R1319" s="228">
        <f>IFERROR(__xludf.DUMMYFUNCTION("""COMPUTED_VALUE"""),46111.0)</f>
        <v>46111</v>
      </c>
      <c r="S1319" s="11" t="str">
        <f>IFERROR(__xludf.DUMMYFUNCTION("""COMPUTED_VALUE"""),"MAR")</f>
        <v>MAR</v>
      </c>
      <c r="T1319" s="11" t="str">
        <f>IFERROR(__xludf.DUMMYFUNCTION("""COMPUTED_VALUE"""),"P1")</f>
        <v>P1</v>
      </c>
      <c r="U1319" s="11" t="str">
        <f>IFERROR(__xludf.DUMMYFUNCTION("""COMPUTED_VALUE"""),"TIF-1110/2026")</f>
        <v>TIF-1110/2026</v>
      </c>
      <c r="V1319" s="229" t="str">
        <f>IFERROR(__xludf.DUMMYFUNCTION("""COMPUTED_VALUE"""),"Bobbi Jalu")</f>
        <v>Bobbi Jalu</v>
      </c>
      <c r="W1319" s="229"/>
      <c r="X1319" s="229" t="str">
        <f>IFERROR(__xludf.DUMMYFUNCTION("""COMPUTED_VALUE"""),"GOLIVE")</f>
        <v>GOLIVE</v>
      </c>
      <c r="Y1319" s="229" t="str">
        <f>IFERROR(__xludf.DUMMYFUNCTION("""COMPUTED_VALUE"""),"DONE")</f>
        <v>DONE</v>
      </c>
      <c r="Z1319" s="229"/>
      <c r="AA1319" s="229">
        <f>IFERROR(__xludf.DUMMYFUNCTION("""COMPUTED_VALUE"""),33.0)</f>
        <v>33</v>
      </c>
      <c r="AB1319" s="229"/>
      <c r="AC1319" s="229" t="str">
        <f>IFERROR(__xludf.DUMMYFUNCTION("""COMPUTED_VALUE"""),"9218886#9218891")</f>
        <v>9218886#9218891</v>
      </c>
      <c r="AD1319" s="232">
        <f>IFERROR(__xludf.DUMMYFUNCTION("""COMPUTED_VALUE"""),264.0)</f>
        <v>264</v>
      </c>
      <c r="AE1319" s="233">
        <f>IFERROR(__xludf.DUMMYFUNCTION("""COMPUTED_VALUE"""),46107.0)</f>
        <v>46107</v>
      </c>
      <c r="AF1319" s="54"/>
      <c r="AG1319" s="54"/>
      <c r="AH1319" s="54">
        <v>46137.0</v>
      </c>
      <c r="AI1319" s="237">
        <f>AH1319-NOW()</f>
        <v>-3.377989919</v>
      </c>
      <c r="AJ1319" s="229" t="str">
        <f>if(AI1319&gt;=0,"In Komitmen","Out Komitmen")</f>
        <v>Out Komitmen</v>
      </c>
      <c r="AK1319" s="229" t="e">
        <v>#N/A</v>
      </c>
      <c r="AW1319" s="234"/>
      <c r="BP1319" s="11"/>
      <c r="BQ1319" s="11"/>
      <c r="BR1319" s="235"/>
      <c r="BV1319" s="158"/>
      <c r="BY1319" s="158"/>
      <c r="CB1319" s="158"/>
    </row>
    <row r="1320" ht="18.0" customHeight="1">
      <c r="A1320" s="222">
        <f>IFERROR(__xludf.DUMMYFUNCTION("""COMPUTED_VALUE"""),2026.0)</f>
        <v>2026</v>
      </c>
      <c r="B1320" s="221">
        <f>IFERROR(__xludf.DUMMYFUNCTION("""COMPUTED_VALUE"""),1.1377829E7)</f>
        <v>11377829</v>
      </c>
      <c r="C1320" s="222" t="str">
        <f>IFERROR(__xludf.DUMMYFUNCTION("""COMPUTED_VALUE"""),"RKP PT3 TSEL DBS-FAB SINGKEP BARAT")</f>
        <v>RKP PT3 TSEL DBS-FAB SINGKEP BARAT</v>
      </c>
      <c r="D1320" s="222" t="str">
        <f>IFERROR(__xludf.DUMMYFUNCTION("""COMPUTED_VALUE"""),"REGIONAL I")</f>
        <v>REGIONAL I</v>
      </c>
      <c r="E1320" s="222" t="str">
        <f>IFERROR(__xludf.DUMMYFUNCTION("""COMPUTED_VALUE"""),"RIKEP")</f>
        <v>RIKEP</v>
      </c>
      <c r="F1320" s="222" t="str">
        <f>IFERROR(__xludf.DUMMYFUNCTION("""COMPUTED_VALUE"""),"DBS")</f>
        <v>DBS</v>
      </c>
      <c r="G1320" s="222" t="str">
        <f>IFERROR(__xludf.DUMMYFUNCTION("""COMPUTED_VALUE"""),"SUMBAGTENG")</f>
        <v>SUMBAGTENG</v>
      </c>
      <c r="H1320" s="222" t="str">
        <f>IFERROR(__xludf.DUMMYFUNCTION("""COMPUTED_VALUE"""),"BATAM")</f>
        <v>BATAM</v>
      </c>
      <c r="I1320" s="222" t="str">
        <f>IFERROR(__xludf.DUMMYFUNCTION("""COMPUTED_VALUE"""),"Batch 2")</f>
        <v>Batch 2</v>
      </c>
      <c r="J1320" s="225">
        <f>IFERROR(__xludf.DUMMYFUNCTION("""COMPUTED_VALUE"""),6.0)</f>
        <v>6</v>
      </c>
      <c r="K1320" s="224">
        <f>IFERROR(__xludf.DUMMYFUNCTION("""COMPUTED_VALUE"""),48.0)</f>
        <v>48</v>
      </c>
      <c r="L1320" s="226">
        <f>IFERROR(__xludf.DUMMYFUNCTION("""COMPUTED_VALUE"""),767128.0)</f>
        <v>767128</v>
      </c>
      <c r="M1320" s="227">
        <f>IFERROR(__xludf.DUMMYFUNCTION("""COMPUTED_VALUE"""),3.6822121E7)</f>
        <v>36822121</v>
      </c>
      <c r="N1320" s="222" t="str">
        <f>IFERROR(__xludf.DUMMYFUNCTION("""COMPUTED_VALUE"""),"SWAKELOLA")</f>
        <v>SWAKELOLA</v>
      </c>
      <c r="O1320" s="222" t="str">
        <f>IFERROR(__xludf.DUMMYFUNCTION("""COMPUTED_VALUE"""),"4. MATDEL")</f>
        <v>4. MATDEL</v>
      </c>
      <c r="P1320" s="222" t="str">
        <f>IFERROR(__xludf.DUMMYFUNCTION("""COMPUTED_VALUE"""),"4.3 Proses Kirim Mateial Kelokasi")</f>
        <v>4.3 Proses Kirim Mateial Kelokasi</v>
      </c>
      <c r="Q1320"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320" s="228"/>
      <c r="S1320" s="11"/>
      <c r="T1320" s="11"/>
      <c r="U1320" s="11" t="str">
        <f>IFERROR(__xludf.DUMMYFUNCTION("""COMPUTED_VALUE"""),"W09-297/2026")</f>
        <v>W09-297/2026</v>
      </c>
      <c r="V1320" s="229" t="str">
        <f>IFERROR(__xludf.DUMMYFUNCTION("""COMPUTED_VALUE"""),"DEDY IRAWAN")</f>
        <v>DEDY IRAWAN</v>
      </c>
      <c r="W1320" s="229" t="str">
        <f>IFERROR(__xludf.DUMMYFUNCTION("""COMPUTED_VALUE"""),"LEVITA INDRIYANI")</f>
        <v>LEVITA INDRIYANI</v>
      </c>
      <c r="X1320" s="229" t="str">
        <f>IFERROR(__xludf.DUMMYFUNCTION("""COMPUTED_VALUE"""),"BELUM GOLIVE")</f>
        <v>BELUM GOLIVE</v>
      </c>
      <c r="Y1320" s="229"/>
      <c r="Z1320" s="229" t="str">
        <f>IFERROR(__xludf.DUMMYFUNCTION("""COMPUTED_VALUE"""),"#N/A")</f>
        <v>#N/A</v>
      </c>
      <c r="AA1320" s="229"/>
      <c r="AB1320" s="229"/>
      <c r="AC1320" s="229"/>
      <c r="AD1320" s="232"/>
      <c r="AE1320" s="233"/>
      <c r="AF1320" s="54"/>
      <c r="AG1320" s="54"/>
      <c r="AH1320" s="54"/>
      <c r="AI1320" s="55" t="str">
        <f t="shared" ref="AI1320:AI1357" si="142">IF(OR(R1320="",AE1320=""),"",R1320-AE1320)</f>
        <v/>
      </c>
      <c r="AW1320" s="234"/>
      <c r="BP1320" s="11"/>
      <c r="BQ1320" s="11"/>
      <c r="BR1320" s="235"/>
      <c r="BV1320" s="158"/>
      <c r="BY1320" s="158"/>
      <c r="CB1320" s="158"/>
    </row>
    <row r="1321" ht="18.0" hidden="1" customHeight="1">
      <c r="A1321" s="222">
        <f>IFERROR(__xludf.DUMMYFUNCTION("""COMPUTED_VALUE"""),2026.0)</f>
        <v>2026</v>
      </c>
      <c r="B1321" s="221">
        <f>IFERROR(__xludf.DUMMYFUNCTION("""COMPUTED_VALUE"""),1.1389425E7)</f>
        <v>11389425</v>
      </c>
      <c r="C1321" s="222" t="str">
        <f>IFERROR(__xludf.DUMMYFUNCTION("""COMPUTED_VALUE"""),"MDN PT4 GLG-FE JL.SUKAREJO GG.DAHLIA")</f>
        <v>MDN PT4 GLG-FE JL.SUKAREJO GG.DAHLIA</v>
      </c>
      <c r="D1321" s="222" t="str">
        <f>IFERROR(__xludf.DUMMYFUNCTION("""COMPUTED_VALUE"""),"REGIONAL I")</f>
        <v>REGIONAL I</v>
      </c>
      <c r="E1321" s="222" t="str">
        <f>IFERROR(__xludf.DUMMYFUNCTION("""COMPUTED_VALUE"""),"MEDAN")</f>
        <v>MEDAN</v>
      </c>
      <c r="F1321" s="222" t="str">
        <f>IFERROR(__xludf.DUMMYFUNCTION("""COMPUTED_VALUE"""),"GLG")</f>
        <v>GLG</v>
      </c>
      <c r="G1321" s="222" t="str">
        <f>IFERROR(__xludf.DUMMYFUNCTION("""COMPUTED_VALUE"""),"SUMBAGUT")</f>
        <v>SUMBAGUT</v>
      </c>
      <c r="H1321" s="222" t="str">
        <f>IFERROR(__xludf.DUMMYFUNCTION("""COMPUTED_VALUE"""),"MEDAN")</f>
        <v>MEDAN</v>
      </c>
      <c r="I1321" s="222" t="str">
        <f>IFERROR(__xludf.DUMMYFUNCTION("""COMPUTED_VALUE"""),"Batch 2")</f>
        <v>Batch 2</v>
      </c>
      <c r="J1321" s="225">
        <f>IFERROR(__xludf.DUMMYFUNCTION("""COMPUTED_VALUE"""),17.0)</f>
        <v>17</v>
      </c>
      <c r="K1321" s="224">
        <f>IFERROR(__xludf.DUMMYFUNCTION("""COMPUTED_VALUE"""),136.0)</f>
        <v>136</v>
      </c>
      <c r="L1321" s="226">
        <f>IFERROR(__xludf.DUMMYFUNCTION("""COMPUTED_VALUE"""),1595624.0)</f>
        <v>1595624</v>
      </c>
      <c r="M1321" s="227">
        <f>IFERROR(__xludf.DUMMYFUNCTION("""COMPUTED_VALUE"""),2.17004803E8)</f>
        <v>217004803</v>
      </c>
      <c r="N1321" s="222" t="str">
        <f>IFERROR(__xludf.DUMMYFUNCTION("""COMPUTED_VALUE"""),"PT UPAYA TEKNIK")</f>
        <v>PT UPAYA TEKNIK</v>
      </c>
      <c r="O1321" s="222" t="str">
        <f>IFERROR(__xludf.DUMMYFUNCTION("""COMPUTED_VALUE"""),"0. DROP")</f>
        <v>0. DROP</v>
      </c>
      <c r="P1321" s="222" t="str">
        <f>IFERROR(__xludf.DUMMYFUNCTION("""COMPUTED_VALUE"""),"0.4 CPP Tinggi Acc ED TIF")</f>
        <v>0.4 CPP Tinggi Acc ED TIF</v>
      </c>
      <c r="Q1321" s="222" t="str">
        <f>IFERROR(__xludf.DUMMYFUNCTION("""COMPUTED_VALUE"""),"(07/01) Persiapan")</f>
        <v>(07/01) Persiapan</v>
      </c>
      <c r="R1321" s="228"/>
      <c r="S1321" s="11"/>
      <c r="T1321" s="11"/>
      <c r="U1321" s="11"/>
      <c r="V1321" s="229"/>
      <c r="W1321" s="229"/>
      <c r="X1321" s="229" t="str">
        <f>IFERROR(__xludf.DUMMYFUNCTION("""COMPUTED_VALUE"""),"BELUM GOLIVE")</f>
        <v>BELUM GOLIVE</v>
      </c>
      <c r="Y1321" s="229"/>
      <c r="Z1321" s="229" t="str">
        <f>IFERROR(__xludf.DUMMYFUNCTION("""COMPUTED_VALUE"""),"#N/A")</f>
        <v>#N/A</v>
      </c>
      <c r="AA1321" s="229"/>
      <c r="AB1321" s="229"/>
      <c r="AC1321" s="229"/>
      <c r="AD1321" s="232"/>
      <c r="AE1321" s="233"/>
      <c r="AF1321" s="54" t="str">
        <f>IFERROR(__xludf.DUMMYFUNCTION("""COMPUTED_VALUE"""),"Draft BA DROP")</f>
        <v>Draft BA DROP</v>
      </c>
      <c r="AG1321" s="54"/>
      <c r="AH1321" s="54"/>
      <c r="AI1321" s="55" t="str">
        <f t="shared" si="142"/>
        <v/>
      </c>
      <c r="AW1321" s="234"/>
      <c r="BP1321" s="11"/>
      <c r="BQ1321" s="11"/>
      <c r="BR1321" s="235"/>
      <c r="BV1321" s="158"/>
      <c r="BY1321" s="158"/>
      <c r="CB1321" s="158"/>
    </row>
    <row r="1322" ht="18.0" customHeight="1">
      <c r="A1322" s="222">
        <f>IFERROR(__xludf.DUMMYFUNCTION("""COMPUTED_VALUE"""),2026.0)</f>
        <v>2026</v>
      </c>
      <c r="B1322" s="221">
        <f>IFERROR(__xludf.DUMMYFUNCTION("""COMPUTED_VALUE"""),1.2299256E7)</f>
        <v>12299256</v>
      </c>
      <c r="C1322" s="222" t="str">
        <f>IFERROR(__xludf.DUMMYFUNCTION("""COMPUTED_VALUE"""),"RKP PT3 APC NGS-FX CLUSTER CHERRY")</f>
        <v>RKP PT3 APC NGS-FX CLUSTER CHERRY</v>
      </c>
      <c r="D1322" s="222" t="str">
        <f>IFERROR(__xludf.DUMMYFUNCTION("""COMPUTED_VALUE"""),"REGIONAL I")</f>
        <v>REGIONAL I</v>
      </c>
      <c r="E1322" s="222" t="str">
        <f>IFERROR(__xludf.DUMMYFUNCTION("""COMPUTED_VALUE"""),"RIKEP")</f>
        <v>RIKEP</v>
      </c>
      <c r="F1322" s="222" t="str">
        <f>IFERROR(__xludf.DUMMYFUNCTION("""COMPUTED_VALUE"""),"NGS")</f>
        <v>NGS</v>
      </c>
      <c r="G1322" s="222" t="str">
        <f>IFERROR(__xludf.DUMMYFUNCTION("""COMPUTED_VALUE"""),"SUMBAGTENG")</f>
        <v>SUMBAGTENG</v>
      </c>
      <c r="H1322" s="222" t="str">
        <f>IFERROR(__xludf.DUMMYFUNCTION("""COMPUTED_VALUE"""),"BATAM")</f>
        <v>BATAM</v>
      </c>
      <c r="I1322" s="222" t="str">
        <f>IFERROR(__xludf.DUMMYFUNCTION("""COMPUTED_VALUE"""),"Batch 2")</f>
        <v>Batch 2</v>
      </c>
      <c r="J1322" s="225">
        <f>IFERROR(__xludf.DUMMYFUNCTION("""COMPUTED_VALUE"""),7.0)</f>
        <v>7</v>
      </c>
      <c r="K1322" s="224">
        <f>IFERROR(__xludf.DUMMYFUNCTION("""COMPUTED_VALUE"""),56.0)</f>
        <v>56</v>
      </c>
      <c r="L1322" s="226">
        <f>IFERROR(__xludf.DUMMYFUNCTION("""COMPUTED_VALUE"""),766738.0)</f>
        <v>766738</v>
      </c>
      <c r="M1322" s="227">
        <f>IFERROR(__xludf.DUMMYFUNCTION("""COMPUTED_VALUE"""),4.2937304E7)</f>
        <v>42937304</v>
      </c>
      <c r="N1322" s="222" t="str">
        <f>IFERROR(__xludf.DUMMYFUNCTION("""COMPUTED_VALUE"""),"PT MITRA AKSES INSANI")</f>
        <v>PT MITRA AKSES INSANI</v>
      </c>
      <c r="O1322" s="222" t="str">
        <f>IFERROR(__xludf.DUMMYFUNCTION("""COMPUTED_VALUE"""),"0. DROP")</f>
        <v>0. DROP</v>
      </c>
      <c r="P1322" s="222" t="str">
        <f>IFERROR(__xludf.DUMMYFUNCTION("""COMPUTED_VALUE"""),"0.2 Tidak Dapat Izin Warga/Kades/Lurah/Developer")</f>
        <v>0.2 Tidak Dapat Izin Warga/Kades/Lurah/Developer</v>
      </c>
      <c r="Q1322" s="222" t="str">
        <f>IFERROR(__xludf.DUMMYFUNCTION("""COMPUTED_VALUE"""),"31/03 Developer meminta ada PKS resmi dari TSEL ke developer. 30/03 Tim mitra masih di pulau tanjung batu dan belum bisa balik ke pulau batam. 03/03 izin OK tim KU masih di pulau tanjung batu. 16/02 Plan FU perizinan besok 18 Feb. 09/02 belum di survey ka"&amp;"rena, PIC mitra masih fokus di installasi dan LOP butuh percepatan dari Telkomsel. 29/01 Plan survey tanggal 30 karena PIC mitra sdg berhalangan. 28/01 Plan survey 29 Jan. 22/01 Plan survey 24 Jan ")</f>
        <v>31/03 Developer meminta ada PKS resmi dari TSEL ke developer. 30/03 Tim mitra masih di pulau tanjung batu dan belum bisa balik ke pulau batam. 03/03 izin OK tim KU masih di pulau tanjung batu. 16/02 Plan FU perizinan besok 18 Feb. 09/02 belum di survey karena, PIC mitra masih fokus di installasi dan LOP butuh percepatan dari Telkomsel. 29/01 Plan survey tanggal 30 karena PIC mitra sdg berhalangan. 28/01 Plan survey 29 Jan. 22/01 Plan survey 24 Jan </v>
      </c>
      <c r="R1322" s="228"/>
      <c r="S1322" s="11"/>
      <c r="T1322" s="11" t="str">
        <f>IFERROR(__xludf.DUMMYFUNCTION("""COMPUTED_VALUE"""),"P1")</f>
        <v>P1</v>
      </c>
      <c r="U1322" s="11" t="str">
        <f>IFERROR(__xludf.DUMMYFUNCTION("""COMPUTED_VALUE"""),"W09-270/2026")</f>
        <v>W09-270/2026</v>
      </c>
      <c r="V1322" s="229" t="str">
        <f>IFERROR(__xludf.DUMMYFUNCTION("""COMPUTED_VALUE"""),"GANI PRASTYO")</f>
        <v>GANI PRASTYO</v>
      </c>
      <c r="W1322" s="229" t="str">
        <f>IFERROR(__xludf.DUMMYFUNCTION("""COMPUTED_VALUE"""),"LEVITA INDRIYANI")</f>
        <v>LEVITA INDRIYANI</v>
      </c>
      <c r="X1322" s="229" t="str">
        <f>IFERROR(__xludf.DUMMYFUNCTION("""COMPUTED_VALUE"""),"BELUM GOLIVE")</f>
        <v>BELUM GOLIVE</v>
      </c>
      <c r="Y1322" s="229"/>
      <c r="Z1322" s="229" t="str">
        <f>IFERROR(__xludf.DUMMYFUNCTION("""COMPUTED_VALUE"""),"#N/A")</f>
        <v>#N/A</v>
      </c>
      <c r="AA1322" s="229"/>
      <c r="AB1322" s="229"/>
      <c r="AC1322" s="229"/>
      <c r="AD1322" s="232"/>
      <c r="AE1322" s="233"/>
      <c r="AF1322" s="54"/>
      <c r="AG1322" s="54"/>
      <c r="AH1322" s="54"/>
      <c r="AI1322" s="55" t="str">
        <f t="shared" si="142"/>
        <v/>
      </c>
      <c r="AW1322" s="234"/>
      <c r="BP1322" s="11"/>
      <c r="BQ1322" s="11"/>
      <c r="BR1322" s="235"/>
      <c r="BV1322" s="158"/>
      <c r="BY1322" s="158"/>
      <c r="CB1322" s="158"/>
    </row>
    <row r="1323" ht="18.0" hidden="1" customHeight="1">
      <c r="A1323" s="222">
        <f>IFERROR(__xludf.DUMMYFUNCTION("""COMPUTED_VALUE"""),2026.0)</f>
        <v>2026</v>
      </c>
      <c r="B1323" s="221">
        <f>IFERROR(__xludf.DUMMYFUNCTION("""COMPUTED_VALUE"""),1.2133243E7)</f>
        <v>12133243</v>
      </c>
      <c r="C1323" s="222" t="str">
        <f>IFERROR(__xludf.DUMMYFUNCTION("""COMPUTED_VALUE"""),"LPG PT3 JPP Jl M Saleh Tarahan PJN")</f>
        <v>LPG PT3 JPP Jl M Saleh Tarahan PJN</v>
      </c>
      <c r="D1323" s="222" t="str">
        <f>IFERROR(__xludf.DUMMYFUNCTION("""COMPUTED_VALUE"""),"REGIONAL I")</f>
        <v>REGIONAL I</v>
      </c>
      <c r="E1323" s="222" t="str">
        <f>IFERROR(__xludf.DUMMYFUNCTION("""COMPUTED_VALUE"""),"LAMPUNG")</f>
        <v>LAMPUNG</v>
      </c>
      <c r="F1323" s="222" t="str">
        <f>IFERROR(__xludf.DUMMYFUNCTION("""COMPUTED_VALUE"""),"PJN")</f>
        <v>PJN</v>
      </c>
      <c r="G1323" s="222" t="str">
        <f>IFERROR(__xludf.DUMMYFUNCTION("""COMPUTED_VALUE"""),"SUMBAGSEL")</f>
        <v>SUMBAGSEL</v>
      </c>
      <c r="H1323" s="222" t="str">
        <f>IFERROR(__xludf.DUMMYFUNCTION("""COMPUTED_VALUE"""),"LAMPUNG")</f>
        <v>LAMPUNG</v>
      </c>
      <c r="I1323" s="222" t="str">
        <f>IFERROR(__xludf.DUMMYFUNCTION("""COMPUTED_VALUE"""),"Batch 2")</f>
        <v>Batch 2</v>
      </c>
      <c r="J1323" s="225">
        <f>IFERROR(__xludf.DUMMYFUNCTION("""COMPUTED_VALUE"""),3.0)</f>
        <v>3</v>
      </c>
      <c r="K1323" s="224">
        <f>IFERROR(__xludf.DUMMYFUNCTION("""COMPUTED_VALUE"""),24.0)</f>
        <v>24</v>
      </c>
      <c r="L1323" s="226">
        <f>IFERROR(__xludf.DUMMYFUNCTION("""COMPUTED_VALUE"""),766281.0)</f>
        <v>766281</v>
      </c>
      <c r="M1323" s="227">
        <f>IFERROR(__xludf.DUMMYFUNCTION("""COMPUTED_VALUE"""),1.8390734E7)</f>
        <v>18390734</v>
      </c>
      <c r="N1323" s="222" t="str">
        <f>IFERROR(__xludf.DUMMYFUNCTION("""COMPUTED_VALUE"""),"PT BANGTELINDO")</f>
        <v>PT BANGTELINDO</v>
      </c>
      <c r="O1323" s="222" t="str">
        <f>IFERROR(__xludf.DUMMYFUNCTION("""COMPUTED_VALUE"""),"0. DROP")</f>
        <v>0. DROP</v>
      </c>
      <c r="P1323" s="222" t="str">
        <f>IFERROR(__xludf.DUMMYFUNCTION("""COMPUTED_VALUE"""),"0.3 Feeder Full")</f>
        <v>0.3 Feeder Full</v>
      </c>
      <c r="Q1323" s="222" t="str">
        <f>IFERROR(__xludf.DUMMYFUNCTION("""COMPUTED_VALUE"""),"2/3 odc penuh dan feeder rusak konfir k tift
27/2  odc penuh dan feeder rusak konfir k tift
29/01 Feeder rusak &amp; perlu penambahan biq OLT 
19/01 Butuh Penambahan FEEDER &amp; MINI OLT ""23/2  odc penuh dan feeder rusak
29/01 Feeder rusak &amp; perlu penambahan bi"&amp;"q OLT  
19/1 Mini OLT Penuh ")</f>
        <v>2/3 odc penuh dan feeder rusak konfir k tift
27/2  odc penuh dan feeder rusak konfir k tift
29/01 Feeder rusak &amp; perlu penambahan biq OLT 
19/01 Butuh Penambahan FEEDER &amp; MINI OLT "23/2  odc penuh dan feeder rusak
29/01 Feeder rusak &amp; perlu penambahan biq OLT  
19/1 Mini OLT Penuh </v>
      </c>
      <c r="R1323" s="228"/>
      <c r="S1323" s="11"/>
      <c r="T1323" s="11"/>
      <c r="U1323" s="11"/>
      <c r="V1323" s="229"/>
      <c r="W1323" s="229"/>
      <c r="X1323" s="229" t="str">
        <f>IFERROR(__xludf.DUMMYFUNCTION("""COMPUTED_VALUE"""),"BELUM GOLIVE")</f>
        <v>BELUM GOLIVE</v>
      </c>
      <c r="Y1323" s="229"/>
      <c r="Z1323" s="229" t="str">
        <f>IFERROR(__xludf.DUMMYFUNCTION("""COMPUTED_VALUE"""),"#N/A")</f>
        <v>#N/A</v>
      </c>
      <c r="AA1323" s="229"/>
      <c r="AB1323" s="229"/>
      <c r="AC1323" s="229"/>
      <c r="AD1323" s="232"/>
      <c r="AE1323" s="233"/>
      <c r="AF1323" s="54" t="str">
        <f>IFERROR(__xludf.DUMMYFUNCTION("""COMPUTED_VALUE"""),"Draft BA DROP")</f>
        <v>Draft BA DROP</v>
      </c>
      <c r="AG1323" s="54"/>
      <c r="AH1323" s="54"/>
      <c r="AI1323" s="55" t="str">
        <f t="shared" si="142"/>
        <v/>
      </c>
      <c r="AW1323" s="234"/>
      <c r="BP1323" s="11"/>
      <c r="BQ1323" s="11"/>
      <c r="BR1323" s="235"/>
      <c r="BV1323" s="158"/>
      <c r="BY1323" s="158"/>
      <c r="CB1323" s="158"/>
    </row>
    <row r="1324" ht="18.0" customHeight="1">
      <c r="A1324" s="222">
        <f>IFERROR(__xludf.DUMMYFUNCTION("""COMPUTED_VALUE"""),2026.0)</f>
        <v>2026</v>
      </c>
      <c r="B1324" s="221">
        <f>IFERROR(__xludf.DUMMYFUNCTION("""COMPUTED_VALUE"""),1.2132732E7)</f>
        <v>12132732</v>
      </c>
      <c r="C1324" s="222" t="str">
        <f>IFERROR(__xludf.DUMMYFUNCTION("""COMPUTED_VALUE"""),"SMB P4I3 PERUM BUMI ASRI")</f>
        <v>SMB P4I3 PERUM BUMI ASRI</v>
      </c>
      <c r="D1324" s="222" t="str">
        <f>IFERROR(__xludf.DUMMYFUNCTION("""COMPUTED_VALUE"""),"REGIONAL I")</f>
        <v>REGIONAL I</v>
      </c>
      <c r="E1324" s="222" t="str">
        <f>IFERROR(__xludf.DUMMYFUNCTION("""COMPUTED_VALUE"""),"SUMBAR")</f>
        <v>SUMBAR</v>
      </c>
      <c r="F1324" s="222" t="str">
        <f>IFERROR(__xludf.DUMMYFUNCTION("""COMPUTED_VALUE"""),"SPE")</f>
        <v>SPE</v>
      </c>
      <c r="G1324" s="222" t="str">
        <f>IFERROR(__xludf.DUMMYFUNCTION("""COMPUTED_VALUE"""),"SUMBAGTENG")</f>
        <v>SUMBAGTENG</v>
      </c>
      <c r="H1324" s="222" t="str">
        <f>IFERROR(__xludf.DUMMYFUNCTION("""COMPUTED_VALUE"""),"BUKIT TINGGI")</f>
        <v>BUKIT TINGGI</v>
      </c>
      <c r="I1324" s="222" t="str">
        <f>IFERROR(__xludf.DUMMYFUNCTION("""COMPUTED_VALUE"""),"Batch 2")</f>
        <v>Batch 2</v>
      </c>
      <c r="J1324" s="225">
        <f>IFERROR(__xludf.DUMMYFUNCTION("""COMPUTED_VALUE"""),2.0)</f>
        <v>2</v>
      </c>
      <c r="K1324" s="224">
        <f>IFERROR(__xludf.DUMMYFUNCTION("""COMPUTED_VALUE"""),16.0)</f>
        <v>16</v>
      </c>
      <c r="L1324" s="226">
        <f>IFERROR(__xludf.DUMMYFUNCTION("""COMPUTED_VALUE"""),766217.0)</f>
        <v>766217</v>
      </c>
      <c r="M1324" s="227">
        <f>IFERROR(__xludf.DUMMYFUNCTION("""COMPUTED_VALUE"""),1.2259469E7)</f>
        <v>12259469</v>
      </c>
      <c r="N1324" s="222" t="str">
        <f>IFERROR(__xludf.DUMMYFUNCTION("""COMPUTED_VALUE"""),"PT TIGA AKSES MANDIRI")</f>
        <v>PT TIGA AKSES MANDIRI</v>
      </c>
      <c r="O1324" s="222" t="str">
        <f>IFERROR(__xludf.DUMMYFUNCTION("""COMPUTED_VALUE"""),"0. DROP")</f>
        <v>0. DROP</v>
      </c>
      <c r="P1324" s="222" t="str">
        <f>IFERROR(__xludf.DUMMYFUNCTION("""COMPUTED_VALUE"""),"0.3 Feeder Full")</f>
        <v>0.3 Feeder Full</v>
      </c>
      <c r="Q1324" s="222" t="str">
        <f>IFERROR(__xludf.DUMMYFUNCTION("""COMPUTED_VALUE"""),"(23/01) Kendala feeder SPE-FB FULL dan butuh UP ODC KE 576 (21/01) proses aanwijziing (07/01) Persiapan")</f>
        <v>(23/01) Kendala feeder SPE-FB FULL dan butuh UP ODC KE 576 (21/01) proses aanwijziing (07/01) Persiapan</v>
      </c>
      <c r="R1324" s="228"/>
      <c r="S1324" s="11"/>
      <c r="T1324" s="11"/>
      <c r="U1324" s="11"/>
      <c r="V1324" s="229" t="str">
        <f>IFERROR(__xludf.DUMMYFUNCTION("""COMPUTED_VALUE"""),"JANUAR RIZAL")</f>
        <v>JANUAR RIZAL</v>
      </c>
      <c r="W1324" s="229" t="str">
        <f>IFERROR(__xludf.DUMMYFUNCTION("""COMPUTED_VALUE"""),"MELKO NARWADI")</f>
        <v>MELKO NARWADI</v>
      </c>
      <c r="X1324" s="229" t="str">
        <f>IFERROR(__xludf.DUMMYFUNCTION("""COMPUTED_VALUE"""),"BELUM GOLIVE")</f>
        <v>BELUM GOLIVE</v>
      </c>
      <c r="Y1324" s="229"/>
      <c r="Z1324" s="229" t="str">
        <f>IFERROR(__xludf.DUMMYFUNCTION("""COMPUTED_VALUE"""),"#N/A")</f>
        <v>#N/A</v>
      </c>
      <c r="AA1324" s="229"/>
      <c r="AB1324" s="229"/>
      <c r="AC1324" s="229"/>
      <c r="AD1324" s="232"/>
      <c r="AE1324" s="233"/>
      <c r="AF1324" s="54" t="str">
        <f>IFERROR(__xludf.DUMMYFUNCTION("""COMPUTED_VALUE"""),"Draft BA DROP")</f>
        <v>Draft BA DROP</v>
      </c>
      <c r="AG1324" s="54"/>
      <c r="AH1324" s="54"/>
      <c r="AI1324" s="55" t="str">
        <f t="shared" si="142"/>
        <v/>
      </c>
      <c r="AW1324" s="234"/>
      <c r="BP1324" s="11"/>
      <c r="BQ1324" s="11"/>
      <c r="BR1324" s="235"/>
      <c r="BV1324" s="158"/>
      <c r="BY1324" s="158"/>
      <c r="CB1324" s="158"/>
    </row>
    <row r="1325" ht="18.0" customHeight="1">
      <c r="A1325" s="222">
        <f>IFERROR(__xludf.DUMMYFUNCTION("""COMPUTED_VALUE"""),2026.0)</f>
        <v>2026</v>
      </c>
      <c r="B1325" s="221">
        <f>IFERROR(__xludf.DUMMYFUNCTION("""COMPUTED_VALUE"""),1.1045547E7)</f>
        <v>11045547</v>
      </c>
      <c r="C1325" s="222" t="str">
        <f>IFERROR(__xludf.DUMMYFUNCTION("""COMPUTED_VALUE"""),"SMB P3I7 MYID-9012403171379-Robi kurniawan")</f>
        <v>SMB P3I7 MYID-9012403171379-Robi kurniawan</v>
      </c>
      <c r="D1325" s="222" t="str">
        <f>IFERROR(__xludf.DUMMYFUNCTION("""COMPUTED_VALUE"""),"REGIONAL I")</f>
        <v>REGIONAL I</v>
      </c>
      <c r="E1325" s="222" t="str">
        <f>IFERROR(__xludf.DUMMYFUNCTION("""COMPUTED_VALUE"""),"SUMBAR")</f>
        <v>SUMBAR</v>
      </c>
      <c r="F1325" s="222" t="str">
        <f>IFERROR(__xludf.DUMMYFUNCTION("""COMPUTED_VALUE"""),"SPE")</f>
        <v>SPE</v>
      </c>
      <c r="G1325" s="222" t="str">
        <f>IFERROR(__xludf.DUMMYFUNCTION("""COMPUTED_VALUE"""),"SUMBAGTENG")</f>
        <v>SUMBAGTENG</v>
      </c>
      <c r="H1325" s="222" t="str">
        <f>IFERROR(__xludf.DUMMYFUNCTION("""COMPUTED_VALUE"""),"BUKIT TINGGI")</f>
        <v>BUKIT TINGGI</v>
      </c>
      <c r="I1325" s="222" t="str">
        <f>IFERROR(__xludf.DUMMYFUNCTION("""COMPUTED_VALUE"""),"Batch 2")</f>
        <v>Batch 2</v>
      </c>
      <c r="J1325" s="225">
        <f>IFERROR(__xludf.DUMMYFUNCTION("""COMPUTED_VALUE"""),2.0)</f>
        <v>2</v>
      </c>
      <c r="K1325" s="224">
        <f>IFERROR(__xludf.DUMMYFUNCTION("""COMPUTED_VALUE"""),16.0)</f>
        <v>16</v>
      </c>
      <c r="L1325" s="226">
        <f>IFERROR(__xludf.DUMMYFUNCTION("""COMPUTED_VALUE"""),765540.0)</f>
        <v>765540</v>
      </c>
      <c r="M1325" s="227">
        <f>IFERROR(__xludf.DUMMYFUNCTION("""COMPUTED_VALUE"""),1.2248631E7)</f>
        <v>12248631</v>
      </c>
      <c r="N1325" s="222" t="str">
        <f>IFERROR(__xludf.DUMMYFUNCTION("""COMPUTED_VALUE"""),"PT PUTRI JAYA AKSES")</f>
        <v>PT PUTRI JAYA AKSES</v>
      </c>
      <c r="O1325" s="222" t="str">
        <f>IFERROR(__xludf.DUMMYFUNCTION("""COMPUTED_VALUE"""),"0. DROP")</f>
        <v>0. DROP</v>
      </c>
      <c r="P1325" s="222" t="str">
        <f>IFERROR(__xludf.DUMMYFUNCTION("""COMPUTED_VALUE"""),"0.3 Feeder Full")</f>
        <v>0.3 Feeder Full</v>
      </c>
      <c r="Q1325" s="222" t="str">
        <f>IFERROR(__xludf.DUMMYFUNCTION("""COMPUTED_VALUE"""),"(26/01) FEEDER SPE-FA FULL, BUTUH NEW FEEDER")</f>
        <v>(26/01) FEEDER SPE-FA FULL, BUTUH NEW FEEDER</v>
      </c>
      <c r="R1325" s="228"/>
      <c r="S1325" s="11"/>
      <c r="T1325" s="11"/>
      <c r="U1325" s="11"/>
      <c r="V1325" s="229"/>
      <c r="W1325" s="229"/>
      <c r="X1325" s="229" t="str">
        <f>IFERROR(__xludf.DUMMYFUNCTION("""COMPUTED_VALUE"""),"BELUM GOLIVE")</f>
        <v>BELUM GOLIVE</v>
      </c>
      <c r="Y1325" s="229"/>
      <c r="Z1325" s="229" t="str">
        <f>IFERROR(__xludf.DUMMYFUNCTION("""COMPUTED_VALUE"""),"#N/A")</f>
        <v>#N/A</v>
      </c>
      <c r="AA1325" s="229"/>
      <c r="AB1325" s="229"/>
      <c r="AC1325" s="229"/>
      <c r="AD1325" s="232"/>
      <c r="AE1325" s="233"/>
      <c r="AF1325" s="54" t="str">
        <f>IFERROR(__xludf.DUMMYFUNCTION("""COMPUTED_VALUE"""),"Draft BA DROP")</f>
        <v>Draft BA DROP</v>
      </c>
      <c r="AG1325" s="54"/>
      <c r="AH1325" s="54"/>
      <c r="AI1325" s="55" t="str">
        <f t="shared" si="142"/>
        <v/>
      </c>
      <c r="AW1325" s="234"/>
      <c r="BP1325" s="11"/>
      <c r="BQ1325" s="11"/>
      <c r="BR1325" s="235"/>
      <c r="BV1325" s="158"/>
      <c r="BY1325" s="158"/>
      <c r="CB1325" s="158"/>
    </row>
    <row r="1326" ht="18.0" customHeight="1">
      <c r="A1326" s="222">
        <f>IFERROR(__xludf.DUMMYFUNCTION("""COMPUTED_VALUE"""),2026.0)</f>
        <v>2026</v>
      </c>
      <c r="B1326" s="221">
        <f>IFERROR(__xludf.DUMMYFUNCTION("""COMPUTED_VALUE"""),1.1164996E7)</f>
        <v>11164996</v>
      </c>
      <c r="C1326" s="222" t="str">
        <f>IFERROR(__xludf.DUMMYFUNCTION("""COMPUTED_VALUE"""),"RKP PT3 JPPTSEL NGS-FAF CITRA NONGSA")</f>
        <v>RKP PT3 JPPTSEL NGS-FAF CITRA NONGSA</v>
      </c>
      <c r="D1326" s="222" t="str">
        <f>IFERROR(__xludf.DUMMYFUNCTION("""COMPUTED_VALUE"""),"REGIONAL I")</f>
        <v>REGIONAL I</v>
      </c>
      <c r="E1326" s="222" t="str">
        <f>IFERROR(__xludf.DUMMYFUNCTION("""COMPUTED_VALUE"""),"RIKEP")</f>
        <v>RIKEP</v>
      </c>
      <c r="F1326" s="222" t="str">
        <f>IFERROR(__xludf.DUMMYFUNCTION("""COMPUTED_VALUE"""),"NGS")</f>
        <v>NGS</v>
      </c>
      <c r="G1326" s="222" t="str">
        <f>IFERROR(__xludf.DUMMYFUNCTION("""COMPUTED_VALUE"""),"SUMBAGTENG")</f>
        <v>SUMBAGTENG</v>
      </c>
      <c r="H1326" s="222" t="str">
        <f>IFERROR(__xludf.DUMMYFUNCTION("""COMPUTED_VALUE"""),"BATAM")</f>
        <v>BATAM</v>
      </c>
      <c r="I1326" s="222" t="str">
        <f>IFERROR(__xludf.DUMMYFUNCTION("""COMPUTED_VALUE"""),"Batch 2")</f>
        <v>Batch 2</v>
      </c>
      <c r="J1326" s="225">
        <f>IFERROR(__xludf.DUMMYFUNCTION("""COMPUTED_VALUE"""),14.0)</f>
        <v>14</v>
      </c>
      <c r="K1326" s="224">
        <f>IFERROR(__xludf.DUMMYFUNCTION("""COMPUTED_VALUE"""),112.0)</f>
        <v>112</v>
      </c>
      <c r="L1326" s="226">
        <f>IFERROR(__xludf.DUMMYFUNCTION("""COMPUTED_VALUE"""),764500.0)</f>
        <v>764500</v>
      </c>
      <c r="M1326" s="227">
        <f>IFERROR(__xludf.DUMMYFUNCTION("""COMPUTED_VALUE"""),8.5623891E7)</f>
        <v>85623891</v>
      </c>
      <c r="N1326" s="222" t="str">
        <f>IFERROR(__xludf.DUMMYFUNCTION("""COMPUTED_VALUE"""),"PT HDUA PUTRA PRAJODA")</f>
        <v>PT HDUA PUTRA PRAJODA</v>
      </c>
      <c r="O1326" s="222" t="str">
        <f>IFERROR(__xludf.DUMMYFUNCTION("""COMPUTED_VALUE"""),"0. DROP")</f>
        <v>0. DROP</v>
      </c>
      <c r="P1326" s="222" t="str">
        <f>IFERROR(__xludf.DUMMYFUNCTION("""COMPUTED_VALUE"""),"0.2 Tidak Dapat Izin Warga/Kades/Lurah/Developer")</f>
        <v>0.2 Tidak Dapat Izin Warga/Kades/Lurah/Developer</v>
      </c>
      <c r="Q1326" s="222" t="str">
        <f>IFERROR(__xludf.DUMMYFUNCTION("""COMPUTED_VALUE"""),"12/02 Developer meminta kompensasi bulanan. 09/02 menunggu developer menginfokan jadwal pertemuan bersama bos nya. 29/01 reschedule jadwal karena developer ada urusan mendadak, untuk tanggal menunggu kabar dari TSEL. 27/01 RT sudah berganti, perizinan ula"&amp;"ng di minta jumpa hari kamis. 21/01 RT meminta kompensasi sebesar 1.5 jt")</f>
        <v>12/02 Developer meminta kompensasi bulanan. 09/02 menunggu developer menginfokan jadwal pertemuan bersama bos nya. 29/01 reschedule jadwal karena developer ada urusan mendadak, untuk tanggal menunggu kabar dari TSEL. 27/01 RT sudah berganti, perizinan ulang di minta jumpa hari kamis. 21/01 RT meminta kompensasi sebesar 1.5 jt</v>
      </c>
      <c r="R1326" s="228"/>
      <c r="S1326" s="11"/>
      <c r="T1326" s="11"/>
      <c r="U1326" s="11"/>
      <c r="V1326" s="229" t="str">
        <f>IFERROR(__xludf.DUMMYFUNCTION("""COMPUTED_VALUE"""),"GANI PRASTYO")</f>
        <v>GANI PRASTYO</v>
      </c>
      <c r="W1326" s="229" t="str">
        <f>IFERROR(__xludf.DUMMYFUNCTION("""COMPUTED_VALUE"""),"LEVITA INDRIYANI")</f>
        <v>LEVITA INDRIYANI</v>
      </c>
      <c r="X1326" s="229" t="str">
        <f>IFERROR(__xludf.DUMMYFUNCTION("""COMPUTED_VALUE"""),"BELUM GOLIVE")</f>
        <v>BELUM GOLIVE</v>
      </c>
      <c r="Y1326" s="229"/>
      <c r="Z1326" s="229" t="str">
        <f>IFERROR(__xludf.DUMMYFUNCTION("""COMPUTED_VALUE"""),"#N/A")</f>
        <v>#N/A</v>
      </c>
      <c r="AA1326" s="229"/>
      <c r="AB1326" s="229"/>
      <c r="AC1326" s="229"/>
      <c r="AD1326" s="232"/>
      <c r="AE1326" s="233"/>
      <c r="AF1326" s="54" t="str">
        <f>IFERROR(__xludf.DUMMYFUNCTION("""COMPUTED_VALUE"""),"Draft BA DROP")</f>
        <v>Draft BA DROP</v>
      </c>
      <c r="AG1326" s="54"/>
      <c r="AH1326" s="54"/>
      <c r="AI1326" s="55" t="str">
        <f t="shared" si="142"/>
        <v/>
      </c>
      <c r="AW1326" s="234"/>
      <c r="BP1326" s="11"/>
      <c r="BQ1326" s="11"/>
      <c r="BR1326" s="235"/>
      <c r="BV1326" s="158"/>
      <c r="BY1326" s="158"/>
      <c r="CB1326" s="158"/>
    </row>
    <row r="1327" ht="18.0" hidden="1" customHeight="1">
      <c r="A1327" s="222">
        <f>IFERROR(__xludf.DUMMYFUNCTION("""COMPUTED_VALUE"""),2026.0)</f>
        <v>2026</v>
      </c>
      <c r="B1327" s="221">
        <f>IFERROR(__xludf.DUMMYFUNCTION("""COMPUTED_VALUE"""),1.21031E7)</f>
        <v>12103100</v>
      </c>
      <c r="C1327" s="222" t="str">
        <f>IFERROR(__xludf.DUMMYFUNCTION("""COMPUTED_VALUE"""),"SMU PT3 KIS-FB CLUST DESA SENDANG SARI")</f>
        <v>SMU PT3 KIS-FB CLUST DESA SENDANG SARI</v>
      </c>
      <c r="D1327" s="222" t="str">
        <f>IFERROR(__xludf.DUMMYFUNCTION("""COMPUTED_VALUE"""),"REGIONAL I")</f>
        <v>REGIONAL I</v>
      </c>
      <c r="E1327" s="222" t="str">
        <f>IFERROR(__xludf.DUMMYFUNCTION("""COMPUTED_VALUE"""),"SUMUT")</f>
        <v>SUMUT</v>
      </c>
      <c r="F1327" s="222" t="str">
        <f>IFERROR(__xludf.DUMMYFUNCTION("""COMPUTED_VALUE"""),"KIS")</f>
        <v>KIS</v>
      </c>
      <c r="G1327" s="222" t="str">
        <f>IFERROR(__xludf.DUMMYFUNCTION("""COMPUTED_VALUE"""),"SUMBAGUT")</f>
        <v>SUMBAGUT</v>
      </c>
      <c r="H1327" s="222" t="str">
        <f>IFERROR(__xludf.DUMMYFUNCTION("""COMPUTED_VALUE"""),"RANTAU PRAPAT")</f>
        <v>RANTAU PRAPAT</v>
      </c>
      <c r="I1327" s="222" t="str">
        <f>IFERROR(__xludf.DUMMYFUNCTION("""COMPUTED_VALUE"""),"Batch 2")</f>
        <v>Batch 2</v>
      </c>
      <c r="J1327" s="225">
        <f>IFERROR(__xludf.DUMMYFUNCTION("""COMPUTED_VALUE"""),30.0)</f>
        <v>30</v>
      </c>
      <c r="K1327" s="224">
        <f>IFERROR(__xludf.DUMMYFUNCTION("""COMPUTED_VALUE"""),240.0)</f>
        <v>240</v>
      </c>
      <c r="L1327" s="226">
        <f>IFERROR(__xludf.DUMMYFUNCTION("""COMPUTED_VALUE"""),762116.0)</f>
        <v>762116</v>
      </c>
      <c r="M1327" s="227">
        <f>IFERROR(__xludf.DUMMYFUNCTION("""COMPUTED_VALUE"""),1.82907785E8)</f>
        <v>182907785</v>
      </c>
      <c r="N1327" s="222" t="str">
        <f>IFERROR(__xludf.DUMMYFUNCTION("""COMPUTED_VALUE"""),"PT UPENTEL INTERNASIONAL")</f>
        <v>PT UPENTEL INTERNASIONAL</v>
      </c>
      <c r="O1327" s="222" t="str">
        <f>IFERROR(__xludf.DUMMYFUNCTION("""COMPUTED_VALUE"""),"3. PERIZINAN")</f>
        <v>3. PERIZINAN</v>
      </c>
      <c r="P1327" s="222" t="str">
        <f>IFERROR(__xludf.DUMMYFUNCTION("""COMPUTED_VALUE"""),"3.10 Izin Developer / Private area")</f>
        <v>3.10 Izin Developer / Private area</v>
      </c>
      <c r="Q1327" s="222" t="str">
        <f>IFERROR(__xludf.DUMMYFUNCTION("""COMPUTED_VALUE"""),"27/4 mitra upentel menolak untuk lanjut progres dikarnakan tidak ada space dan butuh qe , 24/4 mitra upentel menolak untuk lanjut progres dikarnakan tidak ada space dan butuh qe ,  23/4 mitra upentel menolak untuk lanjut progres, 22/4 mitra upentel menola"&amp;"k untuk lanjut progres, 21/4 mitra upentel menolak untuk lanjut progres, 20/4 mitra upentel menolak untuk lanjut progres, 16/4 mitra upentel menolak untuk lanjut progres, 15/4 mitra upentel menolak untuk lanjut progres, 14/4 mitra upentel menolak untuk la"&amp;"njut progres, 13/4 konfir masi dengan tsel terkait pengalihan rute kendala tidak ada space tanam tiang , 9/4 konfir masi dengan tsel terkait pengalihan rute kendala tidak ada space tanam tiang , 8/4 konfir masi dengan tsel terkait pengalihan rute kendala "&amp;"tidak ada space tanam tiang , 6/4 konfir masi dengan tsel terkait pengalihan rute kendala tidak ada space tanam tiang ,  5/4 fu kmbali dengan tsel terkait redesign kendala tidak ada space tanam tiang, 1/4 fu kmbali dengan tsel terkait redesign kendala tid"&amp;"ak ada space tanam tiang, 31/3 fu kmbali dengan tsel terkait redesign kendala tidak ada space tanam tiang, 30/3 fu kmbali dengan tsel terkait redesign kendala tidak ada space tanam tiang, 27/3 fu kmbali dengan tsel terkait redesign kendala tidak ada space"&amp;" tanam tiang, 26/3 fu kmbali dengan tsel terkait redesign kendala tidak ada space tanam tiang, 22/3 fu kmbali dengan tsel terkait redesign kendala tidak ada space tanam tiang,  18/3 fu kmbali dengan tsel terkait redesign kendala tidak ada space tanam tian"&amp;"g, 16/3 fu kmbali dengan tsel terkait redesign kendala tidak ada space tanam tiang, 13/3 hari ini fu kmbali dengan tsel terkait redesign kendala tidak ada space tanam tiang, 11/3 hari ini fu kmbali dengan tsel terkait redesign kendala tidak ada space tana"&amp;"m tiang, 10/3 hari ini fu kmbali dengan tsel terkait redesign kendala tidak ada space tanam tiang,  6/3 hari ini fu kmbali dengan tsel terkait redesign kendala tidak ada space tanam tiang, 5/3 hari ini fu kmbali dengan tsel terkait redesign kendala tidak "&amp;"ada space tanam tiang, 4/3 hari ini fu kmbali dengan tsel terkait redesign kendala tidak ada space tanam tiang,  3/3 hari ini fu kmbali dengan tsel terkait redesign kendala tidak ada space tanam tiang, 2/3 hari ini fu kmbali dengan tsel terkait redesign k"&amp;"endala tidak ada space tanam tiang, 27/2 plan kordinasi dengan tsel setempat terkait plan alih rute paralel izin tanam tiang, kendala space tiang tidak ada, feeder tidak ada yg tembus , titik cut berpariasi, 25/2 plan kordinasi dengan tsel setempat terkai"&amp;"t plan alih rute paralel izin tanam tiang, kendala space tiang tidak ada, feeder tidak ada yg tembus , titik cut berpariasi,   24/2 kendala space tiang tidak ada, feeder tidak ada yg tembus , titik cut berpariasi,  23/2 kendala space tiang tidak ada, feed"&amp;"er tidak ada yg tembus , titik cut berpariasi, 20/2 kendala space tiang tidak ada, feeder tidak ada yg tembus , titik cut berpariasi, 19/2 pengajuan redesign   kendala space tanam tiang tidak ada, 18/2 menunggu boq kml survey ( plan ada beberapa titik yg "&amp;" harus di redesign dikrnakan kendala space tanam tiang tidak ada,  16/2 menunggu boq kml survey ( plan ada beberapa titik yg  harus di redesign dikrnakan kendala space tanam tiang tidak ada,  13/2 menunggu boq kml survey ( plan ada beberapa titik yg  haru"&amp;"s di redesign dikrnakan kendala space tanam tiang tidak ada, 12/2 menunggu boq kml survey, 11/2 menunggu boq kml survey,  10/2 menunggu boq kml survey, 9/2 menunggu boq kml survey, 6/2 menunggu boq kml survey, 5/2 menunggu boq kml survey, 3/2 menunggu boq"&amp;" kml survey,  2/2 menunggu boq kml survey, 1/2 menunggu boq kml survey, 30/1 menunggu report paralel boq kml survey,28/1 menunggu report paralel boq kml survey,  27/1 menunggu report paralel boq kml survey, 26/1 menunggu report paralel boq kml survey,  23"&amp;"/1 menunggu report paralel boq kml survey, 22/1 menunggu report paralel boq kml survey, 21/1 menunggu report paralel boq kml survey,  20/1 menunggu report paralel boq kml survey, 18/1 plan survey hari ini 19/1, 15/1 plan survey 19/1, 14/1 plan survey est "&amp;"paling lambat 19/1, 13/1 menunggu info kelanjutan dari mitra est besok 14/1, (07/01) Persiapan")</f>
        <v>27/4 mitra upentel menolak untuk lanjut progres dikarnakan tidak ada space dan butuh qe , 24/4 mitra upentel menolak untuk lanjut progres dikarnakan tidak ada space dan butuh qe ,  23/4 mitra upentel menolak untuk lanjut progres, 22/4 mitra upentel menolak untuk lanjut progres, 21/4 mitra upentel menolak untuk lanjut progres, 20/4 mitra upentel menolak untuk lanjut progres, 16/4 mitra upentel menolak untuk lanjut progres, 15/4 mitra upentel menolak untuk lanjut progres, 14/4 mitra upentel menolak untuk lanjut progres, 13/4 konfir masi dengan tsel terkait pengalihan rute kendala tidak ada space tanam tiang , 9/4 konfir masi dengan tsel terkait pengalihan rute kendala tidak ada space tanam tiang , 8/4 konfir masi dengan tsel terkait pengalihan rute kendala tidak ada space tanam tiang , 6/4 konfir masi dengan tsel terkait pengalihan rute kendala tidak ada space tanam tiang ,  5/4 fu kmbali dengan tsel terkait redesign kendala tidak ada space tanam tiang, 1/4 fu kmbali dengan tsel terkait redesign kendala tidak ada space tanam tiang, 31/3 fu kmbali dengan tsel terkait redesign kendala tidak ada space tanam tiang, 30/3 fu kmbali dengan tsel terkait redesign kendala tidak ada space tanam tiang, 27/3 fu kmbali dengan tsel terkait redesign kendala tidak ada space tanam tiang, 26/3 fu kmbali dengan tsel terkait redesign kendala tidak ada space tanam tiang, 22/3 fu kmbali dengan tsel terkait redesign kendala tidak ada space tanam tiang,  18/3 fu kmbali dengan tsel terkait redesign kendala tidak ada space tanam tiang, 16/3 fu kmbali dengan tsel terkait redesign kendala tidak ada space tanam tiang, 13/3 hari ini fu kmbali dengan tsel terkait redesign kendala tidak ada space tanam tiang, 11/3 hari ini fu kmbali dengan tsel terkait redesign kendala tidak ada space tanam tiang, 10/3 hari ini fu kmbali dengan tsel terkait redesign kendala tidak ada space tanam tiang,  6/3 hari ini fu kmbali dengan tsel terkait redesign kendala tidak ada space tanam tiang, 5/3 hari ini fu kmbali dengan tsel terkait redesign kendala tidak ada space tanam tiang, 4/3 hari ini fu kmbali dengan tsel terkait redesign kendala tidak ada space tanam tiang,  3/3 hari ini fu kmbali dengan tsel terkait redesign kendala tidak ada space tanam tiang, 2/3 hari ini fu kmbali dengan tsel terkait redesign kendala tidak ada space tanam tiang, 27/2 plan kordinasi dengan tsel setempat terkait plan alih rute paralel izin tanam tiang, kendala space tiang tidak ada, feeder tidak ada yg tembus , titik cut berpariasi, 25/2 plan kordinasi dengan tsel setempat terkait plan alih rute paralel izin tanam tiang, kendala space tiang tidak ada, feeder tidak ada yg tembus , titik cut berpariasi,   24/2 kendala space tiang tidak ada, feeder tidak ada yg tembus , titik cut berpariasi,  23/2 kendala space tiang tidak ada, feeder tidak ada yg tembus , titik cut berpariasi, 20/2 kendala space tiang tidak ada, feeder tidak ada yg tembus , titik cut berpariasi, 19/2 pengajuan redesign   kendala space tanam tiang tidak ada, 18/2 menunggu boq kml survey ( plan ada beberapa titik yg  harus di redesign dikrnakan kendala space tanam tiang tidak ada,  16/2 menunggu boq kml survey ( plan ada beberapa titik yg  harus di redesign dikrnakan kendala space tanam tiang tidak ada,  13/2 menunggu boq kml survey ( plan ada beberapa titik yg  harus di redesign dikrnakan kendala space tanam tiang tidak ada, 12/2 menunggu boq kml survey, 11/2 menunggu boq kml survey,  10/2 menunggu boq kml survey, 9/2 menunggu boq kml survey, 6/2 menunggu boq kml survey, 5/2 menunggu boq kml survey, 3/2 menunggu boq kml survey,  2/2 menunggu boq kml survey, 1/2 menunggu boq kml survey, 30/1 menunggu report paralel boq kml survey,28/1 menunggu report paralel boq kml survey,  27/1 menunggu report paralel boq kml survey, 26/1 menunggu report paralel boq kml survey,  23/1 menunggu report paralel boq kml survey, 22/1 menunggu report paralel boq kml survey, 21/1 menunggu report paralel boq kml survey,  20/1 menunggu report paralel boq kml survey, 18/1 plan survey hari ini 19/1, 15/1 plan survey 19/1, 14/1 plan survey est paling lambat 19/1, 13/1 menunggu info kelanjutan dari mitra est besok 14/1, (07/01) Persiapan</v>
      </c>
      <c r="R1327" s="228"/>
      <c r="S1327" s="11"/>
      <c r="T1327" s="11"/>
      <c r="U1327" s="11" t="str">
        <f>IFERROR(__xludf.DUMMYFUNCTION("""COMPUTED_VALUE"""),"W03-1610/2025")</f>
        <v>W03-1610/2025</v>
      </c>
      <c r="V1327" s="229"/>
      <c r="W1327" s="229"/>
      <c r="X1327" s="229" t="str">
        <f>IFERROR(__xludf.DUMMYFUNCTION("""COMPUTED_VALUE"""),"BELUM GOLIVE")</f>
        <v>BELUM GOLIVE</v>
      </c>
      <c r="Y1327" s="229" t="str">
        <f>IFERROR(__xludf.DUMMYFUNCTION("""COMPUTED_VALUE"""),"QE Feeder")</f>
        <v>QE Feeder</v>
      </c>
      <c r="Z1327" s="229" t="str">
        <f>IFERROR(__xludf.DUMMYFUNCTION("""COMPUTED_VALUE"""),"#N/A")</f>
        <v>#N/A</v>
      </c>
      <c r="AA1327" s="229"/>
      <c r="AB1327" s="229"/>
      <c r="AC1327" s="229"/>
      <c r="AD1327" s="232"/>
      <c r="AE1327" s="233"/>
      <c r="AF1327" s="54"/>
      <c r="AG1327" s="54"/>
      <c r="AH1327" s="54"/>
      <c r="AI1327" s="55" t="str">
        <f t="shared" si="142"/>
        <v/>
      </c>
      <c r="AW1327" s="234"/>
      <c r="BP1327" s="11"/>
      <c r="BQ1327" s="11"/>
      <c r="BR1327" s="235"/>
      <c r="BV1327" s="158"/>
      <c r="BY1327" s="158"/>
      <c r="CB1327" s="158"/>
    </row>
    <row r="1328" ht="18.0" hidden="1" customHeight="1">
      <c r="A1328" s="222">
        <f>IFERROR(__xludf.DUMMYFUNCTION("""COMPUTED_VALUE"""),2026.0)</f>
        <v>2026</v>
      </c>
      <c r="B1328" s="221">
        <f>IFERROR(__xludf.DUMMYFUNCTION("""COMPUTED_VALUE"""),1.1112366E7)</f>
        <v>11112366</v>
      </c>
      <c r="C1328" s="222" t="str">
        <f>IFERROR(__xludf.DUMMYFUNCTION("""COMPUTED_VALUE"""),"MDN PT3 P7I3 TJR-FT GG SUBUR BANDAR")</f>
        <v>MDN PT3 P7I3 TJR-FT GG SUBUR BANDAR</v>
      </c>
      <c r="D1328" s="222" t="str">
        <f>IFERROR(__xludf.DUMMYFUNCTION("""COMPUTED_VALUE"""),"REGIONAL I")</f>
        <v>REGIONAL I</v>
      </c>
      <c r="E1328" s="222" t="str">
        <f>IFERROR(__xludf.DUMMYFUNCTION("""COMPUTED_VALUE"""),"MEDAN")</f>
        <v>MEDAN</v>
      </c>
      <c r="F1328" s="222" t="str">
        <f>IFERROR(__xludf.DUMMYFUNCTION("""COMPUTED_VALUE"""),"TJR")</f>
        <v>TJR</v>
      </c>
      <c r="G1328" s="222" t="str">
        <f>IFERROR(__xludf.DUMMYFUNCTION("""COMPUTED_VALUE"""),"SUMBAGUT")</f>
        <v>SUMBAGUT</v>
      </c>
      <c r="H1328" s="222" t="str">
        <f>IFERROR(__xludf.DUMMYFUNCTION("""COMPUTED_VALUE"""),"MEDAN")</f>
        <v>MEDAN</v>
      </c>
      <c r="I1328" s="222" t="str">
        <f>IFERROR(__xludf.DUMMYFUNCTION("""COMPUTED_VALUE"""),"Batch 2")</f>
        <v>Batch 2</v>
      </c>
      <c r="J1328" s="225">
        <f>IFERROR(__xludf.DUMMYFUNCTION("""COMPUTED_VALUE"""),2.0)</f>
        <v>2</v>
      </c>
      <c r="K1328" s="224">
        <f>IFERROR(__xludf.DUMMYFUNCTION("""COMPUTED_VALUE"""),16.0)</f>
        <v>16</v>
      </c>
      <c r="L1328" s="226">
        <f>IFERROR(__xludf.DUMMYFUNCTION("""COMPUTED_VALUE"""),760337.0)</f>
        <v>760337</v>
      </c>
      <c r="M1328" s="227">
        <f>IFERROR(__xludf.DUMMYFUNCTION("""COMPUTED_VALUE"""),1.2165377E7)</f>
        <v>12165377</v>
      </c>
      <c r="N1328" s="222" t="str">
        <f>IFERROR(__xludf.DUMMYFUNCTION("""COMPUTED_VALUE"""),"PT UPAYA TEKNIK")</f>
        <v>PT UPAYA TEKNIK</v>
      </c>
      <c r="O1328" s="222" t="str">
        <f>IFERROR(__xludf.DUMMYFUNCTION("""COMPUTED_VALUE"""),"0. DROP")</f>
        <v>0. DROP</v>
      </c>
      <c r="P1328" s="222" t="str">
        <f>IFERROR(__xludf.DUMMYFUNCTION("""COMPUTED_VALUE"""),"0.4 CPP Tinggi Acc ED TIF")</f>
        <v>0.4 CPP Tinggi Acc ED TIF</v>
      </c>
      <c r="Q1328" s="222" t="str">
        <f>IFERROR(__xludf.DUMMYFUNCTION("""COMPUTED_VALUE"""),"27/02 high CPP &gt; 10%
12/02 proses perizinan 
09/02 feeder ok
(07/01) Persiapan")</f>
        <v>27/02 high CPP &gt; 10%
12/02 proses perizinan 
09/02 feeder ok
(07/01) Persiapan</v>
      </c>
      <c r="R1328" s="228"/>
      <c r="S1328" s="11"/>
      <c r="T1328" s="11"/>
      <c r="U1328" s="11"/>
      <c r="V1328" s="229"/>
      <c r="W1328" s="229"/>
      <c r="X1328" s="229" t="str">
        <f>IFERROR(__xludf.DUMMYFUNCTION("""COMPUTED_VALUE"""),"BELUM GOLIVE")</f>
        <v>BELUM GOLIVE</v>
      </c>
      <c r="Y1328" s="229"/>
      <c r="Z1328" s="229" t="str">
        <f>IFERROR(__xludf.DUMMYFUNCTION("""COMPUTED_VALUE"""),"#N/A")</f>
        <v>#N/A</v>
      </c>
      <c r="AA1328" s="229"/>
      <c r="AB1328" s="229"/>
      <c r="AC1328" s="229"/>
      <c r="AD1328" s="232"/>
      <c r="AE1328" s="233"/>
      <c r="AF1328" s="54"/>
      <c r="AG1328" s="54"/>
      <c r="AH1328" s="54"/>
      <c r="AI1328" s="55" t="str">
        <f t="shared" si="142"/>
        <v/>
      </c>
      <c r="AW1328" s="234"/>
      <c r="BP1328" s="11"/>
      <c r="BQ1328" s="11"/>
      <c r="BR1328" s="235"/>
      <c r="BV1328" s="158"/>
      <c r="BY1328" s="158"/>
      <c r="CB1328" s="158"/>
    </row>
    <row r="1329" ht="18.0" hidden="1" customHeight="1">
      <c r="A1329" s="222">
        <f>IFERROR(__xludf.DUMMYFUNCTION("""COMPUTED_VALUE"""),2026.0)</f>
        <v>2026</v>
      </c>
      <c r="B1329" s="221">
        <f>IFERROR(__xludf.DUMMYFUNCTION("""COMPUTED_VALUE"""),1.1189322E7)</f>
        <v>11189322</v>
      </c>
      <c r="C1329" s="222" t="str">
        <f>IFERROR(__xludf.DUMMYFUNCTION("""COMPUTED_VALUE"""),"MDN PT3 DLT-FA JL.SIBIRUBIRU AJI BAHO")</f>
        <v>MDN PT3 DLT-FA JL.SIBIRUBIRU AJI BAHO</v>
      </c>
      <c r="D1329" s="222" t="str">
        <f>IFERROR(__xludf.DUMMYFUNCTION("""COMPUTED_VALUE"""),"REGIONAL I")</f>
        <v>REGIONAL I</v>
      </c>
      <c r="E1329" s="222" t="str">
        <f>IFERROR(__xludf.DUMMYFUNCTION("""COMPUTED_VALUE"""),"MEDAN")</f>
        <v>MEDAN</v>
      </c>
      <c r="F1329" s="222" t="str">
        <f>IFERROR(__xludf.DUMMYFUNCTION("""COMPUTED_VALUE"""),"DLT")</f>
        <v>DLT</v>
      </c>
      <c r="G1329" s="222" t="str">
        <f>IFERROR(__xludf.DUMMYFUNCTION("""COMPUTED_VALUE"""),"SUMBAGUT")</f>
        <v>SUMBAGUT</v>
      </c>
      <c r="H1329" s="222" t="str">
        <f>IFERROR(__xludf.DUMMYFUNCTION("""COMPUTED_VALUE"""),"MEDAN")</f>
        <v>MEDAN</v>
      </c>
      <c r="I1329" s="222" t="str">
        <f>IFERROR(__xludf.DUMMYFUNCTION("""COMPUTED_VALUE"""),"Batch 2")</f>
        <v>Batch 2</v>
      </c>
      <c r="J1329" s="225">
        <f>IFERROR(__xludf.DUMMYFUNCTION("""COMPUTED_VALUE"""),2.0)</f>
        <v>2</v>
      </c>
      <c r="K1329" s="224">
        <f>IFERROR(__xludf.DUMMYFUNCTION("""COMPUTED_VALUE"""),16.0)</f>
        <v>16</v>
      </c>
      <c r="L1329" s="226">
        <f>IFERROR(__xludf.DUMMYFUNCTION("""COMPUTED_VALUE"""),1070229.0)</f>
        <v>1070229</v>
      </c>
      <c r="M1329" s="227">
        <f>IFERROR(__xludf.DUMMYFUNCTION("""COMPUTED_VALUE"""),1.712366E7)</f>
        <v>17123660</v>
      </c>
      <c r="N1329" s="222" t="str">
        <f>IFERROR(__xludf.DUMMYFUNCTION("""COMPUTED_VALUE"""),"PT SALTTEK DUMPANG JAYA")</f>
        <v>PT SALTTEK DUMPANG JAYA</v>
      </c>
      <c r="O1329" s="222" t="str">
        <f>IFERROR(__xludf.DUMMYFUNCTION("""COMPUTED_VALUE"""),"0. DROP")</f>
        <v>0. DROP</v>
      </c>
      <c r="P1329" s="222" t="str">
        <f>IFERROR(__xludf.DUMMYFUNCTION("""COMPUTED_VALUE"""),"0.3 Feeder Full")</f>
        <v>0.3 Feeder Full</v>
      </c>
      <c r="Q1329" s="222" t="str">
        <f>IFERROR(__xludf.DUMMYFUNCTION("""COMPUTED_VALUE"""),"11/11 Feeder Penuh , Perlu Redesign
(24/09) Perizinan Warga dan Kades / Lurah
(23/09) Perizinan Warga dan Kades / Lurah
15/09 proses aanwijzing")</f>
        <v>11/11 Feeder Penuh , Perlu Redesign
(24/09) Perizinan Warga dan Kades / Lurah
(23/09) Perizinan Warga dan Kades / Lurah
15/09 proses aanwijzing</v>
      </c>
      <c r="R1329" s="228"/>
      <c r="S1329" s="11"/>
      <c r="T1329" s="11"/>
      <c r="U1329" s="11"/>
      <c r="V1329" s="229"/>
      <c r="W1329" s="229"/>
      <c r="X1329" s="229" t="str">
        <f>IFERROR(__xludf.DUMMYFUNCTION("""COMPUTED_VALUE"""),"BELUM GOLIVE")</f>
        <v>BELUM GOLIVE</v>
      </c>
      <c r="Y1329" s="229"/>
      <c r="Z1329" s="229" t="str">
        <f>IFERROR(__xludf.DUMMYFUNCTION("""COMPUTED_VALUE"""),"#N/A")</f>
        <v>#N/A</v>
      </c>
      <c r="AA1329" s="229"/>
      <c r="AB1329" s="229"/>
      <c r="AC1329" s="229"/>
      <c r="AD1329" s="232"/>
      <c r="AE1329" s="233"/>
      <c r="AF1329" s="54"/>
      <c r="AG1329" s="54"/>
      <c r="AH1329" s="54"/>
      <c r="AI1329" s="55" t="str">
        <f t="shared" si="142"/>
        <v/>
      </c>
      <c r="AW1329" s="234"/>
      <c r="BP1329" s="11"/>
      <c r="BQ1329" s="11"/>
      <c r="BR1329" s="235"/>
      <c r="BV1329" s="158"/>
      <c r="BY1329" s="158"/>
      <c r="CB1329" s="158"/>
    </row>
    <row r="1330" ht="18.0" customHeight="1">
      <c r="A1330" s="222">
        <f>IFERROR(__xludf.DUMMYFUNCTION("""COMPUTED_VALUE"""),2026.0)</f>
        <v>2026</v>
      </c>
      <c r="B1330" s="221">
        <f>IFERROR(__xludf.DUMMYFUNCTION("""COMPUTED_VALUE"""),1.2242075E7)</f>
        <v>12242075</v>
      </c>
      <c r="C1330" s="222" t="str">
        <f>IFERROR(__xludf.DUMMYFUNCTION("""COMPUTED_VALUE"""),"SMB PT3-SLK-FK SOLOK_8371_H2_2025")</f>
        <v>SMB PT3-SLK-FK SOLOK_8371_H2_2025</v>
      </c>
      <c r="D1330" s="222" t="str">
        <f>IFERROR(__xludf.DUMMYFUNCTION("""COMPUTED_VALUE"""),"REGIONAL I")</f>
        <v>REGIONAL I</v>
      </c>
      <c r="E1330" s="222" t="str">
        <f>IFERROR(__xludf.DUMMYFUNCTION("""COMPUTED_VALUE"""),"SUMBAR")</f>
        <v>SUMBAR</v>
      </c>
      <c r="F1330" s="222" t="str">
        <f>IFERROR(__xludf.DUMMYFUNCTION("""COMPUTED_VALUE"""),"SLK")</f>
        <v>SLK</v>
      </c>
      <c r="G1330" s="222" t="str">
        <f>IFERROR(__xludf.DUMMYFUNCTION("""COMPUTED_VALUE"""),"SUMBAGTENG")</f>
        <v>SUMBAGTENG</v>
      </c>
      <c r="H1330" s="222" t="str">
        <f>IFERROR(__xludf.DUMMYFUNCTION("""COMPUTED_VALUE"""),"PADANG")</f>
        <v>PADANG</v>
      </c>
      <c r="I1330" s="222" t="str">
        <f>IFERROR(__xludf.DUMMYFUNCTION("""COMPUTED_VALUE"""),"Batch 2")</f>
        <v>Batch 2</v>
      </c>
      <c r="J1330" s="225">
        <f>IFERROR(__xludf.DUMMYFUNCTION("""COMPUTED_VALUE"""),3.0)</f>
        <v>3</v>
      </c>
      <c r="K1330" s="224">
        <f>IFERROR(__xludf.DUMMYFUNCTION("""COMPUTED_VALUE"""),24.0)</f>
        <v>24</v>
      </c>
      <c r="L1330" s="226">
        <f>IFERROR(__xludf.DUMMYFUNCTION("""COMPUTED_VALUE"""),760143.0)</f>
        <v>760143</v>
      </c>
      <c r="M1330" s="227">
        <f>IFERROR(__xludf.DUMMYFUNCTION("""COMPUTED_VALUE"""),1.8243429E7)</f>
        <v>18243429</v>
      </c>
      <c r="N1330" s="222" t="str">
        <f>IFERROR(__xludf.DUMMYFUNCTION("""COMPUTED_VALUE"""),"PT TRI PENAMAS")</f>
        <v>PT TRI PENAMAS</v>
      </c>
      <c r="O1330" s="222" t="str">
        <f>IFERROR(__xludf.DUMMYFUNCTION("""COMPUTED_VALUE"""),"0. DROP")</f>
        <v>0. DROP</v>
      </c>
      <c r="P1330" s="222" t="str">
        <f>IFERROR(__xludf.DUMMYFUNCTION("""COMPUTED_VALUE"""),"0.3 Feeder Full")</f>
        <v>0.3 Feeder Full</v>
      </c>
      <c r="Q1330" s="222" t="str">
        <f>IFERROR(__xludf.DUMMYFUNCTION("""COMPUTED_VALUE"""),"(26/01) Kendala feeder SLK-FK Full ")</f>
        <v>(26/01) Kendala feeder SLK-FK Full </v>
      </c>
      <c r="R1330" s="228"/>
      <c r="S1330" s="11"/>
      <c r="T1330" s="11"/>
      <c r="U1330" s="11"/>
      <c r="V1330" s="229"/>
      <c r="W1330" s="229"/>
      <c r="X1330" s="229" t="str">
        <f>IFERROR(__xludf.DUMMYFUNCTION("""COMPUTED_VALUE"""),"BELUM GOLIVE")</f>
        <v>BELUM GOLIVE</v>
      </c>
      <c r="Y1330" s="229"/>
      <c r="Z1330" s="229" t="str">
        <f>IFERROR(__xludf.DUMMYFUNCTION("""COMPUTED_VALUE"""),"#N/A")</f>
        <v>#N/A</v>
      </c>
      <c r="AA1330" s="229"/>
      <c r="AB1330" s="229"/>
      <c r="AC1330" s="229"/>
      <c r="AD1330" s="232"/>
      <c r="AE1330" s="233"/>
      <c r="AF1330" s="54" t="str">
        <f>IFERROR(__xludf.DUMMYFUNCTION("""COMPUTED_VALUE"""),"Draft BA DROP")</f>
        <v>Draft BA DROP</v>
      </c>
      <c r="AG1330" s="54"/>
      <c r="AH1330" s="54"/>
      <c r="AI1330" s="55" t="str">
        <f t="shared" si="142"/>
        <v/>
      </c>
      <c r="AW1330" s="234"/>
      <c r="BP1330" s="11"/>
      <c r="BQ1330" s="11"/>
      <c r="BR1330" s="235"/>
      <c r="BV1330" s="158"/>
      <c r="BY1330" s="158"/>
      <c r="CB1330" s="158"/>
    </row>
    <row r="1331" ht="18.0" hidden="1" customHeight="1">
      <c r="A1331" s="222">
        <f>IFERROR(__xludf.DUMMYFUNCTION("""COMPUTED_VALUE"""),2026.0)</f>
        <v>2026</v>
      </c>
      <c r="B1331" s="221">
        <f>IFERROR(__xludf.DUMMYFUNCTION("""COMPUTED_VALUE"""),1.1164898E7)</f>
        <v>11164898</v>
      </c>
      <c r="C1331" s="222" t="str">
        <f>IFERROR(__xludf.DUMMYFUNCTION("""COMPUTED_VALUE"""),"MDN PT3 P7I5 TTG-FJ JL.ALI PARINDURI")</f>
        <v>MDN PT3 P7I5 TTG-FJ JL.ALI PARINDURI</v>
      </c>
      <c r="D1331" s="222" t="str">
        <f>IFERROR(__xludf.DUMMYFUNCTION("""COMPUTED_VALUE"""),"REGIONAL I")</f>
        <v>REGIONAL I</v>
      </c>
      <c r="E1331" s="222" t="str">
        <f>IFERROR(__xludf.DUMMYFUNCTION("""COMPUTED_VALUE"""),"MEDAN")</f>
        <v>MEDAN</v>
      </c>
      <c r="F1331" s="222" t="str">
        <f>IFERROR(__xludf.DUMMYFUNCTION("""COMPUTED_VALUE"""),"TTG")</f>
        <v>TTG</v>
      </c>
      <c r="G1331" s="222" t="str">
        <f>IFERROR(__xludf.DUMMYFUNCTION("""COMPUTED_VALUE"""),"SUMBAGUT")</f>
        <v>SUMBAGUT</v>
      </c>
      <c r="H1331" s="222" t="str">
        <f>IFERROR(__xludf.DUMMYFUNCTION("""COMPUTED_VALUE"""),"MEDAN")</f>
        <v>MEDAN</v>
      </c>
      <c r="I1331" s="222" t="str">
        <f>IFERROR(__xludf.DUMMYFUNCTION("""COMPUTED_VALUE"""),"Batch 2")</f>
        <v>Batch 2</v>
      </c>
      <c r="J1331" s="225">
        <f>IFERROR(__xludf.DUMMYFUNCTION("""COMPUTED_VALUE"""),3.0)</f>
        <v>3</v>
      </c>
      <c r="K1331" s="224">
        <f>IFERROR(__xludf.DUMMYFUNCTION("""COMPUTED_VALUE"""),24.0)</f>
        <v>24</v>
      </c>
      <c r="L1331" s="226">
        <f>IFERROR(__xludf.DUMMYFUNCTION("""COMPUTED_VALUE"""),1160803.0)</f>
        <v>1160803</v>
      </c>
      <c r="M1331" s="227">
        <f>IFERROR(__xludf.DUMMYFUNCTION("""COMPUTED_VALUE"""),2.7859261E7)</f>
        <v>27859261</v>
      </c>
      <c r="N1331" s="222" t="str">
        <f>IFERROR(__xludf.DUMMYFUNCTION("""COMPUTED_VALUE"""),"SWAKELOLA")</f>
        <v>SWAKELOLA</v>
      </c>
      <c r="O1331" s="222" t="str">
        <f>IFERROR(__xludf.DUMMYFUNCTION("""COMPUTED_VALUE"""),"0. DROP")</f>
        <v>0. DROP</v>
      </c>
      <c r="P1331" s="222" t="str">
        <f>IFERROR(__xludf.DUMMYFUNCTION("""COMPUTED_VALUE"""),"0.4 CPP Tinggi Acc ED TIF")</f>
        <v>0.4 CPP Tinggi Acc ED TIF</v>
      </c>
      <c r="Q1331" s="222" t="str">
        <f>IFERROR(__xludf.DUMMYFUNCTION("""COMPUTED_VALUE"""),"13/02 Pengecekan ulang Feeder MDN PT4 P7I3 TTG-FJ KOMP HAWILA RESIDENCE 3 16/10 Feeder Habis
(24/09) Perizinan Warga dan Kades / Lurah
(23/09) Perizinan Warga dan Kades / Lurah
15/09 proses aanwijzing")</f>
        <v>13/02 Pengecekan ulang Feeder MDN PT4 P7I3 TTG-FJ KOMP HAWILA RESIDENCE 3 16/10 Feeder Habis
(24/09) Perizinan Warga dan Kades / Lurah
(23/09) Perizinan Warga dan Kades / Lurah
15/09 proses aanwijzing</v>
      </c>
      <c r="R1331" s="228"/>
      <c r="S1331" s="11"/>
      <c r="T1331" s="11"/>
      <c r="U1331" s="11"/>
      <c r="V1331" s="229"/>
      <c r="W1331" s="229"/>
      <c r="X1331" s="229" t="str">
        <f>IFERROR(__xludf.DUMMYFUNCTION("""COMPUTED_VALUE"""),"BELUM GOLIVE")</f>
        <v>BELUM GOLIVE</v>
      </c>
      <c r="Y1331" s="229"/>
      <c r="Z1331" s="229" t="str">
        <f>IFERROR(__xludf.DUMMYFUNCTION("""COMPUTED_VALUE"""),"#N/A")</f>
        <v>#N/A</v>
      </c>
      <c r="AA1331" s="229"/>
      <c r="AB1331" s="229"/>
      <c r="AC1331" s="229"/>
      <c r="AD1331" s="232"/>
      <c r="AE1331" s="233"/>
      <c r="AF1331" s="54" t="str">
        <f>IFERROR(__xludf.DUMMYFUNCTION("""COMPUTED_VALUE"""),"Draft BA DROP")</f>
        <v>Draft BA DROP</v>
      </c>
      <c r="AG1331" s="54"/>
      <c r="AH1331" s="54"/>
      <c r="AI1331" s="55" t="str">
        <f t="shared" si="142"/>
        <v/>
      </c>
      <c r="AW1331" s="234"/>
      <c r="BP1331" s="11"/>
      <c r="BQ1331" s="11"/>
      <c r="BR1331" s="235"/>
      <c r="BV1331" s="158"/>
      <c r="BY1331" s="158"/>
      <c r="CB1331" s="158"/>
    </row>
    <row r="1332" ht="18.0" hidden="1" customHeight="1">
      <c r="A1332" s="222">
        <f>IFERROR(__xludf.DUMMYFUNCTION("""COMPUTED_VALUE"""),2026.0)</f>
        <v>2026</v>
      </c>
      <c r="B1332" s="221">
        <f>IFERROR(__xludf.DUMMYFUNCTION("""COMPUTED_VALUE"""),1.1287861E7)</f>
        <v>11287861</v>
      </c>
      <c r="C1332" s="222" t="str">
        <f>IFERROR(__xludf.DUMMYFUNCTION("""COMPUTED_VALUE"""),"SMU GNT-FAG D04 CLUST BARUHAR JAE")</f>
        <v>SMU GNT-FAG D04 CLUST BARUHAR JAE</v>
      </c>
      <c r="D1332" s="222" t="str">
        <f>IFERROR(__xludf.DUMMYFUNCTION("""COMPUTED_VALUE"""),"REGIONAL I")</f>
        <v>REGIONAL I</v>
      </c>
      <c r="E1332" s="222" t="str">
        <f>IFERROR(__xludf.DUMMYFUNCTION("""COMPUTED_VALUE"""),"SUMUT")</f>
        <v>SUMUT</v>
      </c>
      <c r="F1332" s="222" t="str">
        <f>IFERROR(__xludf.DUMMYFUNCTION("""COMPUTED_VALUE"""),"GNT")</f>
        <v>GNT</v>
      </c>
      <c r="G1332" s="222" t="str">
        <f>IFERROR(__xludf.DUMMYFUNCTION("""COMPUTED_VALUE"""),"SUMBAGUT")</f>
        <v>SUMBAGUT</v>
      </c>
      <c r="H1332" s="222" t="str">
        <f>IFERROR(__xludf.DUMMYFUNCTION("""COMPUTED_VALUE"""),"RANTAU PRAPAT")</f>
        <v>RANTAU PRAPAT</v>
      </c>
      <c r="I1332" s="222" t="str">
        <f>IFERROR(__xludf.DUMMYFUNCTION("""COMPUTED_VALUE"""),"Batch 2")</f>
        <v>Batch 2</v>
      </c>
      <c r="J1332" s="225">
        <f>IFERROR(__xludf.DUMMYFUNCTION("""COMPUTED_VALUE"""),7.0)</f>
        <v>7</v>
      </c>
      <c r="K1332" s="224">
        <f>IFERROR(__xludf.DUMMYFUNCTION("""COMPUTED_VALUE"""),56.0)</f>
        <v>56</v>
      </c>
      <c r="L1332" s="226">
        <f>IFERROR(__xludf.DUMMYFUNCTION("""COMPUTED_VALUE"""),1296662.0)</f>
        <v>1296662</v>
      </c>
      <c r="M1332" s="227">
        <f>IFERROR(__xludf.DUMMYFUNCTION("""COMPUTED_VALUE"""),7.2613028E7)</f>
        <v>72613028</v>
      </c>
      <c r="N1332" s="222" t="str">
        <f>IFERROR(__xludf.DUMMYFUNCTION("""COMPUTED_VALUE"""),"PT MEDCOM SOLUTION")</f>
        <v>PT MEDCOM SOLUTION</v>
      </c>
      <c r="O1332" s="222" t="str">
        <f>IFERROR(__xludf.DUMMYFUNCTION("""COMPUTED_VALUE"""),"4. MATDEL")</f>
        <v>4. MATDEL</v>
      </c>
      <c r="P1332" s="222" t="str">
        <f>IFERROR(__xludf.DUMMYFUNCTION("""COMPUTED_VALUE"""),"4.2 Sudah Request Material (Alista)")</f>
        <v>4.2 Sudah Request Material (Alista)</v>
      </c>
      <c r="Q1332" s="222" t="str">
        <f>IFERROR(__xludf.DUMMYFUNCTION("""COMPUTED_VALUE"""),"24/4 proses input material di alista, 23/4 proses input material di alista kendala penambahan PA, 22/4 proses input material di alista, 21/4 plan malam ini mitra mengirim req material, 20/4 mitra blm mengirim req material, 16/4 mitra blm megirim req mater"&amp;"ial, 15/4 mitra blm megirim req material, 14/4 mitra blm megirim req material, 13/4 mitra blm megirim req material, 9/4 plan malam ini mengirim req material, 8/4 mitra belum mengirim req material, 6/4 plan req matrial hari ini, 5/4 menunggu req kebutuhan "&amp;"matrial mitra, 1/4 menunggu req kebutuhan matrial mitra, 31/3 menunggu req kebutuhan matrial mitra, 30/3 menunggu req kebutuhan matrial mitra, 27/3 menunggu req kebutuhan matrial mitra, 26/3 menunggu req kebutuhan matrial mitra, 22/3 menunggu req kebutuha"&amp;"n matrial mitra. 18/3 menunggu req material , 16/3 proses req matrial , 2/3 menunggu boq kml survey, 27/2 menunggu boq kml survey, 25/2 plan besok 26 feb submit boq kml survey, 24/2 menunggu boq kml survey,  23/2 menunggu boq kml survey, 20/2 menunggu boq"&amp;" kml survey est submit 22 feb,  19/2 menunggu boq kml survey est submit 22 feb,  18/2 menunggu boq kml survey,  16/2 menunggu boq kml survey,13/2 prepair team untuk survey est paling lambat 14 feb,  11/2 prepair team untuk survey est paling lambat 14 feb,"&amp;" 10/2 prepair team untuk survey est paling lambat 14 feb, 9/2 prepair team untuk survey est paling lambat 14 feb, 6/2 prepair team untuk survey est paling lambat 14 feb, 5/2 prepair team untuk survey est paling lambat 14 feb, 3/2 plan survey 5/2 (peraliha"&amp;"n dari mitra truputra), 2/2 penunjukan mitra ( peralihan dari mitra triputra),  1/2 penunjukan mitra ( peralihan dari mitra triputra), 30/1 penunjukan mitra ( peralihan dari mitra triputra), 28/1 penu jukan mitra ( peralihan dari mitra triputra), 27/1 pla"&amp;"n survey tgl 28/1, 26/1 plan survey tgl 27/1,23/1 plan survey tgl 27/1, 22/1 prepair team untuk pelaksanaan survey dilokasi ( pengalihan dari medcom), 21/1 plan survey 22/1 ,20/1 plan survey 21/1 , 19/1 plan survey 21/1 , 18/1 plan survey 19/1,  15/1 plan"&amp;" survey 19/1,  14/1 prepair team untuk penjadwalan survey dengan waspang, 13/1 menunggu info kelanjutan dari mitra, (07/01) Persiapan")</f>
        <v>24/4 proses input material di alista, 23/4 proses input material di alista kendala penambahan PA, 22/4 proses input material di alista, 21/4 plan malam ini mitra mengirim req material, 20/4 mitra blm mengirim req material, 16/4 mitra blm megirim req material, 15/4 mitra blm megirim req material, 14/4 mitra blm megirim req material, 13/4 mitra blm megirim req material, 9/4 plan malam ini mengirim req material, 8/4 mitra belum mengirim req material, 6/4 plan req matrial hari ini, 5/4 menunggu req kebutuhan matrial mitra, 1/4 menunggu req kebutuhan matrial mitra, 31/3 menunggu req kebutuhan matrial mitra, 30/3 menunggu req kebutuhan matrial mitra, 27/3 menunggu req kebutuhan matrial mitra, 26/3 menunggu req kebutuhan matrial mitra, 22/3 menunggu req kebutuhan matrial mitra. 18/3 menunggu req material , 16/3 proses req matrial , 2/3 menunggu boq kml survey, 27/2 menunggu boq kml survey, 25/2 plan besok 26 feb submit boq kml survey, 24/2 menunggu boq kml survey,  23/2 menunggu boq kml survey, 20/2 menunggu boq kml survey est submit 22 feb,  19/2 menunggu boq kml survey est submit 22 feb,  18/2 menunggu boq kml survey,  16/2 menunggu boq kml survey,13/2 prepair team untuk survey est paling lambat 14 feb,  11/2 prepair team untuk survey est paling lambat 14 feb, 10/2 prepair team untuk survey est paling lambat 14 feb, 9/2 prepair team untuk survey est paling lambat 14 feb, 6/2 prepair team untuk survey est paling lambat 14 feb, 5/2 prepair team untuk survey est paling lambat 14 feb, 3/2 plan survey 5/2 (peralihan dari mitra truputra), 2/2 penunjukan mitra ( peralihan dari mitra triputra),  1/2 penunjukan mitra ( peralihan dari mitra triputra), 30/1 penunjukan mitra ( peralihan dari mitra triputra), 28/1 penu jukan mitra ( peralihan dari mitra triputra), 27/1 plan survey tgl 28/1, 26/1 plan survey tgl 27/1,23/1 plan survey tgl 27/1, 22/1 prepair team untuk pelaksanaan survey dilokasi ( pengalihan dari medcom), 21/1 plan survey 22/1 ,20/1 plan survey 21/1 , 19/1 plan survey 21/1 , 18/1 plan survey 19/1,  15/1 plan survey 19/1,  14/1 prepair team untuk penjadwalan survey dengan waspang, 13/1 menunggu info kelanjutan dari mitra, (07/01) Persiapan</v>
      </c>
      <c r="R1332" s="228"/>
      <c r="S1332" s="11"/>
      <c r="T1332" s="73"/>
      <c r="U1332" s="11" t="str">
        <f>IFERROR(__xludf.DUMMYFUNCTION("""COMPUTED_VALUE"""),"W03-511/2025")</f>
        <v>W03-511/2025</v>
      </c>
      <c r="V1332" s="229" t="str">
        <f>IFERROR(__xludf.DUMMYFUNCTION("""COMPUTED_VALUE"""),"19/Apr/2026")</f>
        <v>19/Apr/2026</v>
      </c>
      <c r="W1332" s="229"/>
      <c r="X1332" s="229" t="str">
        <f>IFERROR(__xludf.DUMMYFUNCTION("""COMPUTED_VALUE"""),"BELUM GOLIVE")</f>
        <v>BELUM GOLIVE</v>
      </c>
      <c r="Y1332" s="229"/>
      <c r="Z1332" s="229" t="str">
        <f>IFERROR(__xludf.DUMMYFUNCTION("""COMPUTED_VALUE"""),"#N/A")</f>
        <v>#N/A</v>
      </c>
      <c r="AA1332" s="229"/>
      <c r="AB1332" s="229"/>
      <c r="AC1332" s="229"/>
      <c r="AD1332" s="232"/>
      <c r="AE1332" s="233"/>
      <c r="AF1332" s="54" t="str">
        <f>IFERROR(__xludf.DUMMYFUNCTION("""COMPUTED_VALUE"""),"Draft BA DROP")</f>
        <v>Draft BA DROP</v>
      </c>
      <c r="AG1332" s="54"/>
      <c r="AH1332" s="54"/>
      <c r="AI1332" s="55" t="str">
        <f t="shared" si="142"/>
        <v/>
      </c>
      <c r="AW1332" s="234"/>
      <c r="BP1332" s="11"/>
      <c r="BQ1332" s="11"/>
      <c r="BR1332" s="235"/>
      <c r="BV1332" s="158"/>
      <c r="BY1332" s="158"/>
      <c r="CB1332" s="158"/>
    </row>
    <row r="1333" ht="18.0" hidden="1" customHeight="1">
      <c r="A1333" s="222">
        <f>IFERROR(__xludf.DUMMYFUNCTION("""COMPUTED_VALUE"""),2026.0)</f>
        <v>2026</v>
      </c>
      <c r="B1333" s="221">
        <f>IFERROR(__xludf.DUMMYFUNCTION("""COMPUTED_VALUE"""),1.2436557E7)</f>
        <v>12436557</v>
      </c>
      <c r="C1333" s="222" t="str">
        <f>IFERROR(__xludf.DUMMYFUNCTION("""COMPUTED_VALUE"""),"ACH PT3 BIR-FA MNS DIGADONG")</f>
        <v>ACH PT3 BIR-FA MNS DIGADONG</v>
      </c>
      <c r="D1333" s="222" t="str">
        <f>IFERROR(__xludf.DUMMYFUNCTION("""COMPUTED_VALUE"""),"REGIONAL I")</f>
        <v>REGIONAL I</v>
      </c>
      <c r="E1333" s="222" t="str">
        <f>IFERROR(__xludf.DUMMYFUNCTION("""COMPUTED_VALUE"""),"ACEH")</f>
        <v>ACEH</v>
      </c>
      <c r="F1333" s="222" t="str">
        <f>IFERROR(__xludf.DUMMYFUNCTION("""COMPUTED_VALUE"""),"BIR")</f>
        <v>BIR</v>
      </c>
      <c r="G1333" s="222" t="str">
        <f>IFERROR(__xludf.DUMMYFUNCTION("""COMPUTED_VALUE"""),"SUMBAGUT")</f>
        <v>SUMBAGUT</v>
      </c>
      <c r="H1333" s="222" t="str">
        <f>IFERROR(__xludf.DUMMYFUNCTION("""COMPUTED_VALUE"""),"BANDA ACEH")</f>
        <v>BANDA ACEH</v>
      </c>
      <c r="I1333" s="222" t="str">
        <f>IFERROR(__xludf.DUMMYFUNCTION("""COMPUTED_VALUE"""),"Batch 2")</f>
        <v>Batch 2</v>
      </c>
      <c r="J1333" s="225">
        <f>IFERROR(__xludf.DUMMYFUNCTION("""COMPUTED_VALUE"""),30.0)</f>
        <v>30</v>
      </c>
      <c r="K1333" s="224">
        <f>IFERROR(__xludf.DUMMYFUNCTION("""COMPUTED_VALUE"""),240.0)</f>
        <v>240</v>
      </c>
      <c r="L1333" s="226">
        <f>IFERROR(__xludf.DUMMYFUNCTION("""COMPUTED_VALUE"""),759174.0)</f>
        <v>759174</v>
      </c>
      <c r="M1333" s="227">
        <f>IFERROR(__xludf.DUMMYFUNCTION("""COMPUTED_VALUE"""),1.82201523E8)</f>
        <v>182201523</v>
      </c>
      <c r="N1333" s="222" t="str">
        <f>IFERROR(__xludf.DUMMYFUNCTION("""COMPUTED_VALUE"""),"PT KANA PRISMA AKSES")</f>
        <v>PT KANA PRISMA AKSES</v>
      </c>
      <c r="O1333" s="222" t="str">
        <f>IFERROR(__xludf.DUMMYFUNCTION("""COMPUTED_VALUE"""),"7. GOLIVE")</f>
        <v>7. GOLIVE</v>
      </c>
      <c r="P1333" s="222" t="str">
        <f>IFERROR(__xludf.DUMMYFUNCTION("""COMPUTED_VALUE"""),"7.2 Golive Full / OA / DONE OTB")</f>
        <v>7.2 Golive Full / OA / DONE OTB</v>
      </c>
      <c r="Q1333" s="222" t="str">
        <f>IFERROR(__xludf.DUMMYFUNCTION("""COMPUTED_VALUE"""),"(27/03) Validasi ABD (18/03) Terminasi (10/03) Penarikan Kabel (03/03) Tanam Tiang (14/02) PO Material (06/02) menunggu inputan material (29/01) Done Aanwijzing (07/01) Persiapan")</f>
        <v>(27/03) Validasi ABD (18/03) Terminasi (10/03) Penarikan Kabel (03/03) Tanam Tiang (14/02) PO Material (06/02) menunggu inputan material (29/01) Done Aanwijzing (07/01) Persiapan</v>
      </c>
      <c r="R1333" s="228">
        <f>IFERROR(__xludf.DUMMYFUNCTION("""COMPUTED_VALUE"""),46112.0)</f>
        <v>46112</v>
      </c>
      <c r="S1333" s="11" t="str">
        <f>IFERROR(__xludf.DUMMYFUNCTION("""COMPUTED_VALUE"""),"MAR")</f>
        <v>MAR</v>
      </c>
      <c r="T1333" s="11"/>
      <c r="U1333" s="11"/>
      <c r="V1333" s="229"/>
      <c r="W1333" s="229" t="str">
        <f>IFERROR(__xludf.DUMMYFUNCTION("""COMPUTED_VALUE"""),"AZMI SYUKRAN")</f>
        <v>AZMI SYUKRAN</v>
      </c>
      <c r="X1333" s="229" t="str">
        <f>IFERROR(__xludf.DUMMYFUNCTION("""COMPUTED_VALUE"""),"GOLIVE")</f>
        <v>GOLIVE</v>
      </c>
      <c r="Y1333" s="229" t="str">
        <f>IFERROR(__xludf.DUMMYFUNCTION("""COMPUTED_VALUE"""),"DONE")</f>
        <v>DONE</v>
      </c>
      <c r="Z1333" s="229" t="str">
        <f>IFERROR(__xludf.DUMMYFUNCTION("""COMPUTED_VALUE"""),"#N/A")</f>
        <v>#N/A</v>
      </c>
      <c r="AA1333" s="229">
        <f>IFERROR(__xludf.DUMMYFUNCTION("""COMPUTED_VALUE"""),31.0)</f>
        <v>31</v>
      </c>
      <c r="AB1333" s="229"/>
      <c r="AC1333" s="229" t="str">
        <f>IFERROR(__xludf.DUMMYFUNCTION("""COMPUTED_VALUE"""),"9226515#9226520")</f>
        <v>9226515#9226520</v>
      </c>
      <c r="AD1333" s="232">
        <f>IFERROR(__xludf.DUMMYFUNCTION("""COMPUTED_VALUE"""),248.0)</f>
        <v>248</v>
      </c>
      <c r="AE1333" s="233">
        <f>IFERROR(__xludf.DUMMYFUNCTION("""COMPUTED_VALUE"""),46110.0)</f>
        <v>46110</v>
      </c>
      <c r="AF1333" s="54"/>
      <c r="AG1333" s="54"/>
      <c r="AH1333" s="54">
        <v>46112.0</v>
      </c>
      <c r="AI1333" s="55">
        <f t="shared" si="142"/>
        <v>2</v>
      </c>
      <c r="AW1333" s="234"/>
      <c r="BP1333" s="11"/>
      <c r="BQ1333" s="11"/>
      <c r="BR1333" s="235"/>
      <c r="BV1333" s="158"/>
      <c r="BY1333" s="158"/>
      <c r="CB1333" s="158"/>
    </row>
    <row r="1334" ht="18.0" customHeight="1">
      <c r="A1334" s="222">
        <f>IFERROR(__xludf.DUMMYFUNCTION("""COMPUTED_VALUE"""),2026.0)</f>
        <v>2026</v>
      </c>
      <c r="B1334" s="221">
        <f>IFERROR(__xludf.DUMMYFUNCTION("""COMPUTED_VALUE"""),1.2438955E7)</f>
        <v>12438955</v>
      </c>
      <c r="C1334" s="222" t="str">
        <f>IFERROR(__xludf.DUMMYFUNCTION("""COMPUTED_VALUE"""),"RDR PT3 DRI FKF BENGKALIS_16297")</f>
        <v>RDR PT3 DRI FKF BENGKALIS_16297</v>
      </c>
      <c r="D1334" s="222" t="str">
        <f>IFERROR(__xludf.DUMMYFUNCTION("""COMPUTED_VALUE"""),"REGIONAL I")</f>
        <v>REGIONAL I</v>
      </c>
      <c r="E1334" s="222" t="str">
        <f>IFERROR(__xludf.DUMMYFUNCTION("""COMPUTED_VALUE"""),"RIDAR")</f>
        <v>RIDAR</v>
      </c>
      <c r="F1334" s="222" t="str">
        <f>IFERROR(__xludf.DUMMYFUNCTION("""COMPUTED_VALUE"""),"DRI")</f>
        <v>DRI</v>
      </c>
      <c r="G1334" s="222" t="str">
        <f>IFERROR(__xludf.DUMMYFUNCTION("""COMPUTED_VALUE"""),"SUMBAGTENG")</f>
        <v>SUMBAGTENG</v>
      </c>
      <c r="H1334" s="222" t="str">
        <f>IFERROR(__xludf.DUMMYFUNCTION("""COMPUTED_VALUE"""),"DUMAI")</f>
        <v>DUMAI</v>
      </c>
      <c r="I1334" s="222" t="str">
        <f>IFERROR(__xludf.DUMMYFUNCTION("""COMPUTED_VALUE"""),"Batch 2")</f>
        <v>Batch 2</v>
      </c>
      <c r="J1334" s="225">
        <f>IFERROR(__xludf.DUMMYFUNCTION("""COMPUTED_VALUE"""),4.0)</f>
        <v>4</v>
      </c>
      <c r="K1334" s="224">
        <f>IFERROR(__xludf.DUMMYFUNCTION("""COMPUTED_VALUE"""),32.0)</f>
        <v>32</v>
      </c>
      <c r="L1334" s="226">
        <f>IFERROR(__xludf.DUMMYFUNCTION("""COMPUTED_VALUE"""),759155.0)</f>
        <v>759155</v>
      </c>
      <c r="M1334" s="227">
        <f>IFERROR(__xludf.DUMMYFUNCTION("""COMPUTED_VALUE"""),2.429295E7)</f>
        <v>24292950</v>
      </c>
      <c r="N1334" s="222" t="str">
        <f>IFERROR(__xludf.DUMMYFUNCTION("""COMPUTED_VALUE"""),"PT TRIPOLA PANATA")</f>
        <v>PT TRIPOLA PANATA</v>
      </c>
      <c r="O1334" s="222" t="str">
        <f>IFERROR(__xludf.DUMMYFUNCTION("""COMPUTED_VALUE"""),"2. DONE AANWIJZING")</f>
        <v>2. DONE AANWIJZING</v>
      </c>
      <c r="P1334" s="222" t="str">
        <f>IFERROR(__xludf.DUMMYFUNCTION("""COMPUTED_VALUE"""),"2.10 Kendala - Feeder Rusak")</f>
        <v>2.10 Kendala - Feeder Rusak</v>
      </c>
      <c r="Q1334" s="222" t="str">
        <f>IFERROR(__xludf.DUMMYFUNCTION("""COMPUTED_VALUE"""),"20/04 Pengambilan ulang hasil ukur OTDR 13/04 Pengambilan ulang otdr utk kebutuhan QE 10/03 Dist dan Feeder Full 09/02 Antrian Review 29/01 Menunggu kelengkapan hasil anwidzing 21/01 Terget selesai survey 24 Jan (07/01) Persiapan")</f>
        <v>20/04 Pengambilan ulang hasil ukur OTDR 13/04 Pengambilan ulang otdr utk kebutuhan QE 10/03 Dist dan Feeder Full 09/02 Antrian Review 29/01 Menunggu kelengkapan hasil anwidzing 21/01 Terget selesai survey 24 Jan (07/01) Persiapan</v>
      </c>
      <c r="R1334" s="228"/>
      <c r="S1334" s="11"/>
      <c r="T1334" s="11"/>
      <c r="U1334" s="11" t="str">
        <f>IFERROR(__xludf.DUMMYFUNCTION("""COMPUTED_VALUE"""),"W08-2133/2025")</f>
        <v>W08-2133/2025</v>
      </c>
      <c r="V1334" s="229" t="str">
        <f>IFERROR(__xludf.DUMMYFUNCTION("""COMPUTED_VALUE"""),"ONDI EKA SAPUTRA")</f>
        <v>ONDI EKA SAPUTRA</v>
      </c>
      <c r="W1334" s="229" t="str">
        <f>IFERROR(__xludf.DUMMYFUNCTION("""COMPUTED_VALUE"""),"DESLITA RAHMADANI")</f>
        <v>DESLITA RAHMADANI</v>
      </c>
      <c r="X1334" s="229" t="str">
        <f>IFERROR(__xludf.DUMMYFUNCTION("""COMPUTED_VALUE"""),"BELUM GOLIVE")</f>
        <v>BELUM GOLIVE</v>
      </c>
      <c r="Y1334" s="229"/>
      <c r="Z1334" s="229" t="str">
        <f>IFERROR(__xludf.DUMMYFUNCTION("""COMPUTED_VALUE"""),"#N/A")</f>
        <v>#N/A</v>
      </c>
      <c r="AA1334" s="229"/>
      <c r="AB1334" s="229"/>
      <c r="AC1334" s="229"/>
      <c r="AD1334" s="232"/>
      <c r="AE1334" s="233"/>
      <c r="AF1334" s="54"/>
      <c r="AG1334" s="54"/>
      <c r="AH1334" s="54"/>
      <c r="AI1334" s="55" t="str">
        <f t="shared" si="142"/>
        <v/>
      </c>
      <c r="AW1334" s="234"/>
      <c r="BP1334" s="11"/>
      <c r="BQ1334" s="11"/>
      <c r="BR1334" s="235"/>
      <c r="BV1334" s="158"/>
      <c r="BY1334" s="158"/>
      <c r="CB1334" s="158"/>
    </row>
    <row r="1335" ht="18.0" customHeight="1">
      <c r="A1335" s="222">
        <f>IFERROR(__xludf.DUMMYFUNCTION("""COMPUTED_VALUE"""),2026.0)</f>
        <v>2026</v>
      </c>
      <c r="B1335" s="221">
        <f>IFERROR(__xludf.DUMMYFUNCTION("""COMPUTED_VALUE"""),1.1111633E7)</f>
        <v>11111633</v>
      </c>
      <c r="C1335" s="222" t="str">
        <f>IFERROR(__xludf.DUMMYFUNCTION("""COMPUTED_VALUE"""),"RKP PT3 JPP SLU-FQ NEW CLUSTER AYANA")</f>
        <v>RKP PT3 JPP SLU-FQ NEW CLUSTER AYANA</v>
      </c>
      <c r="D1335" s="222" t="str">
        <f>IFERROR(__xludf.DUMMYFUNCTION("""COMPUTED_VALUE"""),"REGIONAL I")</f>
        <v>REGIONAL I</v>
      </c>
      <c r="E1335" s="222" t="str">
        <f>IFERROR(__xludf.DUMMYFUNCTION("""COMPUTED_VALUE"""),"RIKEP")</f>
        <v>RIKEP</v>
      </c>
      <c r="F1335" s="222" t="str">
        <f>IFERROR(__xludf.DUMMYFUNCTION("""COMPUTED_VALUE"""),"SLU")</f>
        <v>SLU</v>
      </c>
      <c r="G1335" s="222" t="str">
        <f>IFERROR(__xludf.DUMMYFUNCTION("""COMPUTED_VALUE"""),"SUMBAGTENG")</f>
        <v>SUMBAGTENG</v>
      </c>
      <c r="H1335" s="222" t="str">
        <f>IFERROR(__xludf.DUMMYFUNCTION("""COMPUTED_VALUE"""),"BATAM")</f>
        <v>BATAM</v>
      </c>
      <c r="I1335" s="222" t="str">
        <f>IFERROR(__xludf.DUMMYFUNCTION("""COMPUTED_VALUE"""),"Batch 2")</f>
        <v>Batch 2</v>
      </c>
      <c r="J1335" s="225">
        <f>IFERROR(__xludf.DUMMYFUNCTION("""COMPUTED_VALUE"""),2.0)</f>
        <v>2</v>
      </c>
      <c r="K1335" s="224">
        <f>IFERROR(__xludf.DUMMYFUNCTION("""COMPUTED_VALUE"""),16.0)</f>
        <v>16</v>
      </c>
      <c r="L1335" s="226">
        <f>IFERROR(__xludf.DUMMYFUNCTION("""COMPUTED_VALUE"""),757735.0)</f>
        <v>757735</v>
      </c>
      <c r="M1335" s="227">
        <f>IFERROR(__xludf.DUMMYFUNCTION("""COMPUTED_VALUE"""),1.2123755E7)</f>
        <v>12123755</v>
      </c>
      <c r="N1335" s="222" t="str">
        <f>IFERROR(__xludf.DUMMYFUNCTION("""COMPUTED_VALUE"""),"PT MITRA HOSINDO SEJAHTERA")</f>
        <v>PT MITRA HOSINDO SEJAHTERA</v>
      </c>
      <c r="O1335" s="222" t="str">
        <f>IFERROR(__xludf.DUMMYFUNCTION("""COMPUTED_VALUE"""),"0. DROP")</f>
        <v>0. DROP</v>
      </c>
      <c r="P1335" s="222" t="str">
        <f>IFERROR(__xludf.DUMMYFUNCTION("""COMPUTED_VALUE"""),"0.2 Tidak Dapat Izin Warga/Kades/Lurah/Developer")</f>
        <v>0.2 Tidak Dapat Izin Warga/Kades/Lurah/Developer</v>
      </c>
      <c r="Q1335" s="222" t="str">
        <f>IFERROR(__xludf.DUMMYFUNCTION("""COMPUTED_VALUE"""),"28/01 Izin di tolak developer karena masih menunggu PKS dari telkomsel. 21/01 Izin penarikan SPK dari TSEL masih di hold developer ")</f>
        <v>28/01 Izin di tolak developer karena masih menunggu PKS dari telkomsel. 21/01 Izin penarikan SPK dari TSEL masih di hold developer </v>
      </c>
      <c r="R1335" s="228"/>
      <c r="S1335" s="11"/>
      <c r="T1335" s="11"/>
      <c r="U1335" s="11"/>
      <c r="V1335" s="229" t="str">
        <f>IFERROR(__xludf.DUMMYFUNCTION("""COMPUTED_VALUE"""),"MUHAMMAD RIDHO FALFO")</f>
        <v>MUHAMMAD RIDHO FALFO</v>
      </c>
      <c r="W1335" s="229" t="str">
        <f>IFERROR(__xludf.DUMMYFUNCTION("""COMPUTED_VALUE"""),"LEVITA INDRIYANI")</f>
        <v>LEVITA INDRIYANI</v>
      </c>
      <c r="X1335" s="229" t="str">
        <f>IFERROR(__xludf.DUMMYFUNCTION("""COMPUTED_VALUE"""),"BELUM GOLIVE")</f>
        <v>BELUM GOLIVE</v>
      </c>
      <c r="Y1335" s="229"/>
      <c r="Z1335" s="229" t="str">
        <f>IFERROR(__xludf.DUMMYFUNCTION("""COMPUTED_VALUE"""),"#N/A")</f>
        <v>#N/A</v>
      </c>
      <c r="AA1335" s="229"/>
      <c r="AB1335" s="229"/>
      <c r="AC1335" s="229"/>
      <c r="AD1335" s="232"/>
      <c r="AE1335" s="233"/>
      <c r="AF1335" s="54" t="str">
        <f>IFERROR(__xludf.DUMMYFUNCTION("""COMPUTED_VALUE"""),"Draft BA DROP")</f>
        <v>Draft BA DROP</v>
      </c>
      <c r="AG1335" s="54"/>
      <c r="AH1335" s="54"/>
      <c r="AI1335" s="55" t="str">
        <f t="shared" si="142"/>
        <v/>
      </c>
      <c r="AW1335" s="234"/>
      <c r="BP1335" s="11"/>
      <c r="BQ1335" s="11"/>
      <c r="BR1335" s="235"/>
      <c r="BV1335" s="158"/>
      <c r="BY1335" s="158"/>
      <c r="CB1335" s="158"/>
    </row>
    <row r="1336" ht="18.0" hidden="1" customHeight="1">
      <c r="A1336" s="222">
        <f>IFERROR(__xludf.DUMMYFUNCTION("""COMPUTED_VALUE"""),2026.0)</f>
        <v>2026</v>
      </c>
      <c r="B1336" s="221">
        <f>IFERROR(__xludf.DUMMYFUNCTION("""COMPUTED_VALUE"""),1.2205456E7)</f>
        <v>12205456</v>
      </c>
      <c r="C1336" s="222" t="str">
        <f>IFERROR(__xludf.DUMMYFUNCTION("""COMPUTED_VALUE"""),"BBL PT3 P3I4 TAMBAHAN SADAI")</f>
        <v>BBL PT3 P3I4 TAMBAHAN SADAI</v>
      </c>
      <c r="D1336" s="222" t="str">
        <f>IFERROR(__xludf.DUMMYFUNCTION("""COMPUTED_VALUE"""),"REGIONAL I")</f>
        <v>REGIONAL I</v>
      </c>
      <c r="E1336" s="222" t="str">
        <f>IFERROR(__xludf.DUMMYFUNCTION("""COMPUTED_VALUE"""),"BABEL")</f>
        <v>BABEL</v>
      </c>
      <c r="F1336" s="222" t="str">
        <f>IFERROR(__xludf.DUMMYFUNCTION("""COMPUTED_VALUE"""),"TBI")</f>
        <v>TBI</v>
      </c>
      <c r="G1336" s="222" t="str">
        <f>IFERROR(__xludf.DUMMYFUNCTION("""COMPUTED_VALUE"""),"SUMBAGSEL")</f>
        <v>SUMBAGSEL</v>
      </c>
      <c r="H1336" s="222" t="str">
        <f>IFERROR(__xludf.DUMMYFUNCTION("""COMPUTED_VALUE"""),"PANGKAL PINANG")</f>
        <v>PANGKAL PINANG</v>
      </c>
      <c r="I1336" s="222" t="str">
        <f>IFERROR(__xludf.DUMMYFUNCTION("""COMPUTED_VALUE"""),"Batch 2")</f>
        <v>Batch 2</v>
      </c>
      <c r="J1336" s="225">
        <f>IFERROR(__xludf.DUMMYFUNCTION("""COMPUTED_VALUE"""),12.0)</f>
        <v>12</v>
      </c>
      <c r="K1336" s="224">
        <f>IFERROR(__xludf.DUMMYFUNCTION("""COMPUTED_VALUE"""),152.0)</f>
        <v>152</v>
      </c>
      <c r="L1336" s="226">
        <f>IFERROR(__xludf.DUMMYFUNCTION("""COMPUTED_VALUE"""),757725.0)</f>
        <v>757725</v>
      </c>
      <c r="M1336" s="227">
        <f>IFERROR(__xludf.DUMMYFUNCTION("""COMPUTED_VALUE"""),1.15174179E8)</f>
        <v>115174179</v>
      </c>
      <c r="N1336" s="222" t="str">
        <f>IFERROR(__xludf.DUMMYFUNCTION("""COMPUTED_VALUE"""),"PT SARANA MITRA PERSADA")</f>
        <v>PT SARANA MITRA PERSADA</v>
      </c>
      <c r="O1336" s="222" t="str">
        <f>IFERROR(__xludf.DUMMYFUNCTION("""COMPUTED_VALUE"""),"7. GOLIVE")</f>
        <v>7. GOLIVE</v>
      </c>
      <c r="P1336" s="222" t="str">
        <f>IFERROR(__xludf.DUMMYFUNCTION("""COMPUTED_VALUE"""),"7.2 Golive Full / OA / DONE OTB")</f>
        <v>7.2 Golive Full / OA / DONE OTB</v>
      </c>
      <c r="Q1336" s="222" t="str">
        <f>IFERROR(__xludf.DUMMYFUNCTION("""COMPUTED_VALUE"""),"10/03 Proses Valins ODP (03/03)pengajuan minol sudah diinput 28 jan 2026 , blm ada info (6/2) OLT BLM ADA , BLM ADA INFO (28/1) fi , tunggu mini olt (12/01) Done FI Kendala Menunggu Integrasi Mini OLT di Site TBI005 (7/1)  FINISH INSTLASI  06/01 progres i"&amp;"nstalasi ODP (02/01) perapihan (31/12) penarikan kabel 24D 3000 done, 12D 700 done, tiang 25 done (16/12) hold, tanam tiang 10/27 sisa 17  01/12 persiapan instalasi (28/11) mitra masih mengerjakan lokasi lain  (17/11) material onsite 14/11 Pengambilan mat"&amp;"erial (10/11) belum rilis PO, plan besok ambil material (6/11) sudah anwijzing (5/11) Penunjukan mitra")</f>
        <v>10/03 Proses Valins ODP (03/03)pengajuan minol sudah diinput 28 jan 2026 , blm ada info (6/2) OLT BLM ADA , BLM ADA INFO (28/1) fi , tunggu mini olt (12/01) Done FI Kendala Menunggu Integrasi Mini OLT di Site TBI005 (7/1)  FINISH INSTLASI  06/01 progres instalasi ODP (02/01) perapihan (31/12) penarikan kabel 24D 3000 done, 12D 700 done, tiang 25 done (16/12) hold, tanam tiang 10/27 sisa 17  01/12 persiapan instalasi (28/11) mitra masih mengerjakan lokasi lain  (17/11) material onsite 14/11 Pengambilan material (10/11) belum rilis PO, plan besok ambil material (6/11) sudah anwijzing (5/11) Penunjukan mitra</v>
      </c>
      <c r="R1336" s="228">
        <f>IFERROR(__xludf.DUMMYFUNCTION("""COMPUTED_VALUE"""),46091.0)</f>
        <v>46091</v>
      </c>
      <c r="S1336" s="11" t="str">
        <f>IFERROR(__xludf.DUMMYFUNCTION("""COMPUTED_VALUE"""),"MAR")</f>
        <v>MAR</v>
      </c>
      <c r="T1336" s="11"/>
      <c r="U1336" s="11"/>
      <c r="V1336" s="229"/>
      <c r="W1336" s="229"/>
      <c r="X1336" s="229" t="str">
        <f>IFERROR(__xludf.DUMMYFUNCTION("""COMPUTED_VALUE"""),"GOLIVE")</f>
        <v>GOLIVE</v>
      </c>
      <c r="Y1336" s="229" t="str">
        <f>IFERROR(__xludf.DUMMYFUNCTION("""COMPUTED_VALUE"""),"DONE")</f>
        <v>DONE</v>
      </c>
      <c r="Z1336" s="229" t="str">
        <f>IFERROR(__xludf.DUMMYFUNCTION("""COMPUTED_VALUE"""),"#N/A")</f>
        <v>#N/A</v>
      </c>
      <c r="AA1336" s="229">
        <f>IFERROR(__xludf.DUMMYFUNCTION("""COMPUTED_VALUE"""),8.0)</f>
        <v>8</v>
      </c>
      <c r="AB1336" s="229">
        <f>IFERROR(__xludf.DUMMYFUNCTION("""COMPUTED_VALUE"""),2.0)</f>
        <v>2</v>
      </c>
      <c r="AC1336" s="229" t="str">
        <f>IFERROR(__xludf.DUMMYFUNCTION("""COMPUTED_VALUE"""),"9191737#9191748")</f>
        <v>9191737#9191748</v>
      </c>
      <c r="AD1336" s="232">
        <f>IFERROR(__xludf.DUMMYFUNCTION("""COMPUTED_VALUE"""),96.0)</f>
        <v>96</v>
      </c>
      <c r="AE1336" s="233">
        <f>IFERROR(__xludf.DUMMYFUNCTION("""COMPUTED_VALUE"""),46091.0)</f>
        <v>46091</v>
      </c>
      <c r="AF1336" s="54"/>
      <c r="AG1336" s="54"/>
      <c r="AH1336" s="54">
        <v>46091.0</v>
      </c>
      <c r="AI1336" s="55">
        <f t="shared" si="142"/>
        <v>0</v>
      </c>
      <c r="AW1336" s="234"/>
      <c r="BP1336" s="11"/>
      <c r="BQ1336" s="11"/>
      <c r="BR1336" s="235"/>
      <c r="BV1336" s="158"/>
      <c r="BY1336" s="158"/>
      <c r="CB1336" s="158"/>
    </row>
    <row r="1337" ht="18.0" hidden="1" customHeight="1">
      <c r="A1337" s="222">
        <f>IFERROR(__xludf.DUMMYFUNCTION("""COMPUTED_VALUE"""),2026.0)</f>
        <v>2026</v>
      </c>
      <c r="B1337" s="221">
        <f>IFERROR(__xludf.DUMMYFUNCTION("""COMPUTED_VALUE"""),1.1187063E7)</f>
        <v>11187063</v>
      </c>
      <c r="C1337" s="222" t="str">
        <f>IFERROR(__xludf.DUMMYFUNCTION("""COMPUTED_VALUE"""),"MDN PT3 BJI-FFD PERDANA RESIDENCE 3")</f>
        <v>MDN PT3 BJI-FFD PERDANA RESIDENCE 3</v>
      </c>
      <c r="D1337" s="222" t="str">
        <f>IFERROR(__xludf.DUMMYFUNCTION("""COMPUTED_VALUE"""),"REGIONAL I")</f>
        <v>REGIONAL I</v>
      </c>
      <c r="E1337" s="222" t="str">
        <f>IFERROR(__xludf.DUMMYFUNCTION("""COMPUTED_VALUE"""),"MEDAN")</f>
        <v>MEDAN</v>
      </c>
      <c r="F1337" s="222" t="str">
        <f>IFERROR(__xludf.DUMMYFUNCTION("""COMPUTED_VALUE"""),"BJI")</f>
        <v>BJI</v>
      </c>
      <c r="G1337" s="222" t="str">
        <f>IFERROR(__xludf.DUMMYFUNCTION("""COMPUTED_VALUE"""),"SUMBAGUT")</f>
        <v>SUMBAGUT</v>
      </c>
      <c r="H1337" s="222" t="str">
        <f>IFERROR(__xludf.DUMMYFUNCTION("""COMPUTED_VALUE"""),"BINJAI")</f>
        <v>BINJAI</v>
      </c>
      <c r="I1337" s="222" t="str">
        <f>IFERROR(__xludf.DUMMYFUNCTION("""COMPUTED_VALUE"""),"Batch 2")</f>
        <v>Batch 2</v>
      </c>
      <c r="J1337" s="225">
        <f>IFERROR(__xludf.DUMMYFUNCTION("""COMPUTED_VALUE"""),2.0)</f>
        <v>2</v>
      </c>
      <c r="K1337" s="224">
        <f>IFERROR(__xludf.DUMMYFUNCTION("""COMPUTED_VALUE"""),16.0)</f>
        <v>16</v>
      </c>
      <c r="L1337" s="226">
        <f>IFERROR(__xludf.DUMMYFUNCTION("""COMPUTED_VALUE"""),933272.0)</f>
        <v>933272</v>
      </c>
      <c r="M1337" s="227">
        <f>IFERROR(__xludf.DUMMYFUNCTION("""COMPUTED_VALUE"""),1.493235E7)</f>
        <v>14932350</v>
      </c>
      <c r="N1337" s="222" t="str">
        <f>IFERROR(__xludf.DUMMYFUNCTION("""COMPUTED_VALUE"""),"PT FIBERHOME TECHNOLOGIES INDONESIA")</f>
        <v>PT FIBERHOME TECHNOLOGIES INDONESIA</v>
      </c>
      <c r="O1337" s="222" t="str">
        <f>IFERROR(__xludf.DUMMYFUNCTION("""COMPUTED_VALUE"""),"0. DROP")</f>
        <v>0. DROP</v>
      </c>
      <c r="P1337" s="222" t="str">
        <f>IFERROR(__xludf.DUMMYFUNCTION("""COMPUTED_VALUE"""),"0.2 Tidak Dapat Izin Warga/Kades/Lurah/Developer")</f>
        <v>0.2 Tidak Dapat Izin Warga/Kades/Lurah/Developer</v>
      </c>
      <c r="Q1337" s="222" t="str">
        <f>IFERROR(__xludf.DUMMYFUNCTION("""COMPUTED_VALUE"""),"10/04 tidak dapat izin devloper
(08/01) kendala feeder penuh.  BUTUH NEW FEEDER BKT-FM (07/01) Persiapan")</f>
        <v>10/04 tidak dapat izin devloper
(08/01) kendala feeder penuh.  BUTUH NEW FEEDER BKT-FM (07/01) Persiapan</v>
      </c>
      <c r="R1337" s="228"/>
      <c r="S1337" s="11"/>
      <c r="T1337" s="11"/>
      <c r="U1337" s="11"/>
      <c r="V1337" s="229"/>
      <c r="W1337" s="229"/>
      <c r="X1337" s="229" t="str">
        <f>IFERROR(__xludf.DUMMYFUNCTION("""COMPUTED_VALUE"""),"BELUM GOLIVE")</f>
        <v>BELUM GOLIVE</v>
      </c>
      <c r="Y1337" s="229"/>
      <c r="Z1337" s="229" t="str">
        <f>IFERROR(__xludf.DUMMYFUNCTION("""COMPUTED_VALUE"""),"#N/A")</f>
        <v>#N/A</v>
      </c>
      <c r="AA1337" s="229"/>
      <c r="AB1337" s="229"/>
      <c r="AC1337" s="229"/>
      <c r="AD1337" s="232"/>
      <c r="AE1337" s="233"/>
      <c r="AF1337" s="54"/>
      <c r="AG1337" s="54"/>
      <c r="AH1337" s="54"/>
      <c r="AI1337" s="55" t="str">
        <f t="shared" si="142"/>
        <v/>
      </c>
      <c r="AW1337" s="234"/>
      <c r="BP1337" s="11"/>
      <c r="BQ1337" s="11"/>
      <c r="BR1337" s="235"/>
      <c r="BV1337" s="158"/>
      <c r="BY1337" s="158"/>
      <c r="CB1337" s="158"/>
    </row>
    <row r="1338" ht="18.0" customHeight="1">
      <c r="A1338" s="222">
        <f>IFERROR(__xludf.DUMMYFUNCTION("""COMPUTED_VALUE"""),2026.0)</f>
        <v>2026</v>
      </c>
      <c r="B1338" s="221">
        <f>IFERROR(__xludf.DUMMYFUNCTION("""COMPUTED_VALUE"""),1.1448103E7)</f>
        <v>11448103</v>
      </c>
      <c r="C1338" s="222" t="str">
        <f>IFERROR(__xludf.DUMMYFUNCTION("""COMPUTED_VALUE"""),"SMB AGAM_13304")</f>
        <v>SMB AGAM_13304</v>
      </c>
      <c r="D1338" s="222" t="str">
        <f>IFERROR(__xludf.DUMMYFUNCTION("""COMPUTED_VALUE"""),"REGIONAL I")</f>
        <v>REGIONAL I</v>
      </c>
      <c r="E1338" s="222" t="str">
        <f>IFERROR(__xludf.DUMMYFUNCTION("""COMPUTED_VALUE"""),"SUMBAR")</f>
        <v>SUMBAR</v>
      </c>
      <c r="F1338" s="222" t="str">
        <f>IFERROR(__xludf.DUMMYFUNCTION("""COMPUTED_VALUE"""),"BKT")</f>
        <v>BKT</v>
      </c>
      <c r="G1338" s="222" t="str">
        <f>IFERROR(__xludf.DUMMYFUNCTION("""COMPUTED_VALUE"""),"SUMBAGTENG")</f>
        <v>SUMBAGTENG</v>
      </c>
      <c r="H1338" s="222" t="str">
        <f>IFERROR(__xludf.DUMMYFUNCTION("""COMPUTED_VALUE"""),"BUKIT TINGGI")</f>
        <v>BUKIT TINGGI</v>
      </c>
      <c r="I1338" s="222" t="str">
        <f>IFERROR(__xludf.DUMMYFUNCTION("""COMPUTED_VALUE"""),"Batch 2")</f>
        <v>Batch 2</v>
      </c>
      <c r="J1338" s="225">
        <f>IFERROR(__xludf.DUMMYFUNCTION("""COMPUTED_VALUE"""),4.0)</f>
        <v>4</v>
      </c>
      <c r="K1338" s="224">
        <f>IFERROR(__xludf.DUMMYFUNCTION("""COMPUTED_VALUE"""),32.0)</f>
        <v>32</v>
      </c>
      <c r="L1338" s="226">
        <f>IFERROR(__xludf.DUMMYFUNCTION("""COMPUTED_VALUE"""),756866.0)</f>
        <v>756866</v>
      </c>
      <c r="M1338" s="227">
        <f>IFERROR(__xludf.DUMMYFUNCTION("""COMPUTED_VALUE"""),2.4219701E7)</f>
        <v>24219701</v>
      </c>
      <c r="N1338" s="222" t="str">
        <f>IFERROR(__xludf.DUMMYFUNCTION("""COMPUTED_VALUE"""),"PT GARINDO TECHNO MANDIRI")</f>
        <v>PT GARINDO TECHNO MANDIRI</v>
      </c>
      <c r="O1338" s="222" t="str">
        <f>IFERROR(__xludf.DUMMYFUNCTION("""COMPUTED_VALUE"""),"0. DROP")</f>
        <v>0. DROP</v>
      </c>
      <c r="P1338" s="222" t="str">
        <f>IFERROR(__xludf.DUMMYFUNCTION("""COMPUTED_VALUE"""),"0.3 Feeder Full")</f>
        <v>0.3 Feeder Full</v>
      </c>
      <c r="Q1338" s="222" t="str">
        <f>IFERROR(__xludf.DUMMYFUNCTION("""COMPUTED_VALUE"""),"(07/01) kendala feeder penuh.  BUTUH NEW FEEDER BKT-FM")</f>
        <v>(07/01) kendala feeder penuh.  BUTUH NEW FEEDER BKT-FM</v>
      </c>
      <c r="R1338" s="228"/>
      <c r="S1338" s="11"/>
      <c r="T1338" s="11"/>
      <c r="U1338" s="11"/>
      <c r="V1338" s="229"/>
      <c r="W1338" s="229"/>
      <c r="X1338" s="229" t="str">
        <f>IFERROR(__xludf.DUMMYFUNCTION("""COMPUTED_VALUE"""),"BELUM GOLIVE")</f>
        <v>BELUM GOLIVE</v>
      </c>
      <c r="Y1338" s="229"/>
      <c r="Z1338" s="229" t="str">
        <f>IFERROR(__xludf.DUMMYFUNCTION("""COMPUTED_VALUE"""),"#N/A")</f>
        <v>#N/A</v>
      </c>
      <c r="AA1338" s="229"/>
      <c r="AB1338" s="229"/>
      <c r="AC1338" s="229"/>
      <c r="AD1338" s="232"/>
      <c r="AE1338" s="233"/>
      <c r="AF1338" s="54" t="str">
        <f>IFERROR(__xludf.DUMMYFUNCTION("""COMPUTED_VALUE"""),"Draft BA DROP")</f>
        <v>Draft BA DROP</v>
      </c>
      <c r="AG1338" s="54"/>
      <c r="AH1338" s="54"/>
      <c r="AI1338" s="55" t="str">
        <f t="shared" si="142"/>
        <v/>
      </c>
      <c r="AW1338" s="234"/>
      <c r="BP1338" s="11"/>
      <c r="BQ1338" s="11"/>
      <c r="BR1338" s="235"/>
      <c r="BV1338" s="158"/>
      <c r="BY1338" s="158"/>
      <c r="CB1338" s="158"/>
    </row>
    <row r="1339" ht="18.0" hidden="1" customHeight="1">
      <c r="A1339" s="222">
        <f>IFERROR(__xludf.DUMMYFUNCTION("""COMPUTED_VALUE"""),2026.0)</f>
        <v>2026</v>
      </c>
      <c r="B1339" s="221">
        <f>IFERROR(__xludf.DUMMYFUNCTION("""COMPUTED_VALUE"""),1.1326149E7)</f>
        <v>11326149</v>
      </c>
      <c r="C1339" s="222" t="str">
        <f>IFERROR(__xludf.DUMMYFUNCTION("""COMPUTED_VALUE"""),"MDN PT3 TMU-FU ODP PRIORITAS")</f>
        <v>MDN PT3 TMU-FU ODP PRIORITAS</v>
      </c>
      <c r="D1339" s="222" t="str">
        <f>IFERROR(__xludf.DUMMYFUNCTION("""COMPUTED_VALUE"""),"REGIONAL I")</f>
        <v>REGIONAL I</v>
      </c>
      <c r="E1339" s="222" t="str">
        <f>IFERROR(__xludf.DUMMYFUNCTION("""COMPUTED_VALUE"""),"MEDAN")</f>
        <v>MEDAN</v>
      </c>
      <c r="F1339" s="222" t="str">
        <f>IFERROR(__xludf.DUMMYFUNCTION("""COMPUTED_VALUE"""),"TMU")</f>
        <v>TMU</v>
      </c>
      <c r="G1339" s="222" t="str">
        <f>IFERROR(__xludf.DUMMYFUNCTION("""COMPUTED_VALUE"""),"SUMBAGUT")</f>
        <v>SUMBAGUT</v>
      </c>
      <c r="H1339" s="222" t="str">
        <f>IFERROR(__xludf.DUMMYFUNCTION("""COMPUTED_VALUE"""),"MEDAN")</f>
        <v>MEDAN</v>
      </c>
      <c r="I1339" s="222" t="str">
        <f>IFERROR(__xludf.DUMMYFUNCTION("""COMPUTED_VALUE"""),"Batch 2")</f>
        <v>Batch 2</v>
      </c>
      <c r="J1339" s="225">
        <f>IFERROR(__xludf.DUMMYFUNCTION("""COMPUTED_VALUE"""),19.0)</f>
        <v>19</v>
      </c>
      <c r="K1339" s="224">
        <f>IFERROR(__xludf.DUMMYFUNCTION("""COMPUTED_VALUE"""),152.0)</f>
        <v>152</v>
      </c>
      <c r="L1339" s="226">
        <f>IFERROR(__xludf.DUMMYFUNCTION("""COMPUTED_VALUE"""),989439.0)</f>
        <v>989439</v>
      </c>
      <c r="M1339" s="227">
        <f>IFERROR(__xludf.DUMMYFUNCTION("""COMPUTED_VALUE"""),1.50394623E8)</f>
        <v>150394623</v>
      </c>
      <c r="N1339" s="222" t="str">
        <f>IFERROR(__xludf.DUMMYFUNCTION("""COMPUTED_VALUE"""),"PT ARTHA MANDIRI BERSAMA")</f>
        <v>PT ARTHA MANDIRI BERSAMA</v>
      </c>
      <c r="O1339" s="222" t="str">
        <f>IFERROR(__xludf.DUMMYFUNCTION("""COMPUTED_VALUE"""),"2. DONE AANWIJZING")</f>
        <v>2. DONE AANWIJZING</v>
      </c>
      <c r="P1339" s="222" t="str">
        <f>IFERROR(__xludf.DUMMYFUNCTION("""COMPUTED_VALUE"""),"2.10 Kendala - Feeder Rusak")</f>
        <v>2.10 Kendala - Feeder Rusak</v>
      </c>
      <c r="Q1339" s="222" t="str">
        <f>IFERROR(__xludf.DUMMYFUNCTION("""COMPUTED_VALUE"""),"21/04 pengecekan tipus / butuh qe
01/11 Feeder Loss
(24/09) Perizinan Warga dan Kades / Lurah
(23/09) Perizinan Warga dan Kades / Lurah
15/09 proses aanwijzing")</f>
        <v>21/04 pengecekan tipus / butuh qe
01/11 Feeder Loss
(24/09) Perizinan Warga dan Kades / Lurah
(23/09) Perizinan Warga dan Kades / Lurah
15/09 proses aanwijzing</v>
      </c>
      <c r="R1339" s="228"/>
      <c r="S1339" s="11"/>
      <c r="T1339" s="11"/>
      <c r="U1339" s="11"/>
      <c r="V1339" s="229"/>
      <c r="W1339" s="229"/>
      <c r="X1339" s="229" t="str">
        <f>IFERROR(__xludf.DUMMYFUNCTION("""COMPUTED_VALUE"""),"BELUM GOLIVE")</f>
        <v>BELUM GOLIVE</v>
      </c>
      <c r="Y1339" s="229"/>
      <c r="Z1339" s="229" t="str">
        <f>IFERROR(__xludf.DUMMYFUNCTION("""COMPUTED_VALUE"""),"#N/A")</f>
        <v>#N/A</v>
      </c>
      <c r="AA1339" s="229"/>
      <c r="AB1339" s="229"/>
      <c r="AC1339" s="229"/>
      <c r="AD1339" s="232"/>
      <c r="AE1339" s="233"/>
      <c r="AF1339" s="54"/>
      <c r="AG1339" s="54"/>
      <c r="AH1339" s="54"/>
      <c r="AI1339" s="55" t="str">
        <f t="shared" si="142"/>
        <v/>
      </c>
      <c r="AW1339" s="234"/>
      <c r="BP1339" s="11"/>
      <c r="BQ1339" s="11"/>
      <c r="BR1339" s="235"/>
      <c r="BV1339" s="158"/>
      <c r="BY1339" s="158"/>
      <c r="CB1339" s="158"/>
    </row>
    <row r="1340" ht="18.0" hidden="1" customHeight="1">
      <c r="A1340" s="222">
        <f>IFERROR(__xludf.DUMMYFUNCTION("""COMPUTED_VALUE"""),2026.0)</f>
        <v>2026</v>
      </c>
      <c r="B1340" s="221">
        <f>IFERROR(__xludf.DUMMYFUNCTION("""COMPUTED_VALUE"""),1.2084458E7)</f>
        <v>12084458</v>
      </c>
      <c r="C1340" s="222" t="str">
        <f>IFERROR(__xludf.DUMMYFUNCTION("""COMPUTED_VALUE"""),"MDN PT3 CTD-FCJ DELI SERDANG_64083")</f>
        <v>MDN PT3 CTD-FCJ DELI SERDANG_64083</v>
      </c>
      <c r="D1340" s="222" t="str">
        <f>IFERROR(__xludf.DUMMYFUNCTION("""COMPUTED_VALUE"""),"REGIONAL I")</f>
        <v>REGIONAL I</v>
      </c>
      <c r="E1340" s="222" t="str">
        <f>IFERROR(__xludf.DUMMYFUNCTION("""COMPUTED_VALUE"""),"MEDAN")</f>
        <v>MEDAN</v>
      </c>
      <c r="F1340" s="222" t="str">
        <f>IFERROR(__xludf.DUMMYFUNCTION("""COMPUTED_VALUE"""),"CTD")</f>
        <v>CTD</v>
      </c>
      <c r="G1340" s="222" t="str">
        <f>IFERROR(__xludf.DUMMYFUNCTION("""COMPUTED_VALUE"""),"SUMBAGUT")</f>
        <v>SUMBAGUT</v>
      </c>
      <c r="H1340" s="222" t="str">
        <f>IFERROR(__xludf.DUMMYFUNCTION("""COMPUTED_VALUE"""),"MEDAN")</f>
        <v>MEDAN</v>
      </c>
      <c r="I1340" s="222" t="str">
        <f>IFERROR(__xludf.DUMMYFUNCTION("""COMPUTED_VALUE"""),"Batch 2")</f>
        <v>Batch 2</v>
      </c>
      <c r="J1340" s="225">
        <f>IFERROR(__xludf.DUMMYFUNCTION("""COMPUTED_VALUE"""),4.0)</f>
        <v>4</v>
      </c>
      <c r="K1340" s="224">
        <f>IFERROR(__xludf.DUMMYFUNCTION("""COMPUTED_VALUE"""),32.0)</f>
        <v>32</v>
      </c>
      <c r="L1340" s="226">
        <f>IFERROR(__xludf.DUMMYFUNCTION("""COMPUTED_VALUE"""),756035.0)</f>
        <v>756035</v>
      </c>
      <c r="M1340" s="227">
        <f>IFERROR(__xludf.DUMMYFUNCTION("""COMPUTED_VALUE"""),2.41931E7)</f>
        <v>24193100</v>
      </c>
      <c r="N1340" s="222" t="str">
        <f>IFERROR(__xludf.DUMMYFUNCTION("""COMPUTED_VALUE"""),"PT M JUSUF AND SONS")</f>
        <v>PT M JUSUF AND SONS</v>
      </c>
      <c r="O1340" s="222" t="str">
        <f>IFERROR(__xludf.DUMMYFUNCTION("""COMPUTED_VALUE"""),"2. DONE AANWIJZING")</f>
        <v>2. DONE AANWIJZING</v>
      </c>
      <c r="P1340" s="222" t="str">
        <f>IFERROR(__xludf.DUMMYFUNCTION("""COMPUTED_VALUE"""),"2.10 Kendala - Feeder Rusak")</f>
        <v>2.10 Kendala - Feeder Rusak</v>
      </c>
      <c r="Q1340" s="222" t="str">
        <f>IFERROR(__xludf.DUMMYFUNCTION("""COMPUTED_VALUE"""),"22/04 pengecekan tipus butuh QE
22/04 cek tipus untuk QE
02/02 Feeder Tidak Tembus")</f>
        <v>22/04 pengecekan tipus butuh QE
22/04 cek tipus untuk QE
02/02 Feeder Tidak Tembus</v>
      </c>
      <c r="R1340" s="228"/>
      <c r="S1340" s="11"/>
      <c r="T1340" s="11"/>
      <c r="U1340" s="11"/>
      <c r="V1340" s="229"/>
      <c r="W1340" s="229"/>
      <c r="X1340" s="229" t="str">
        <f>IFERROR(__xludf.DUMMYFUNCTION("""COMPUTED_VALUE"""),"BELUM GOLIVE")</f>
        <v>BELUM GOLIVE</v>
      </c>
      <c r="Y1340" s="229"/>
      <c r="Z1340" s="229" t="str">
        <f>IFERROR(__xludf.DUMMYFUNCTION("""COMPUTED_VALUE"""),"#N/A")</f>
        <v>#N/A</v>
      </c>
      <c r="AA1340" s="229"/>
      <c r="AB1340" s="229"/>
      <c r="AC1340" s="229"/>
      <c r="AD1340" s="232"/>
      <c r="AE1340" s="233"/>
      <c r="AF1340" s="54"/>
      <c r="AG1340" s="54"/>
      <c r="AH1340" s="54"/>
      <c r="AI1340" s="55" t="str">
        <f t="shared" si="142"/>
        <v/>
      </c>
      <c r="AW1340" s="234"/>
      <c r="BP1340" s="11"/>
      <c r="BQ1340" s="11"/>
      <c r="BR1340" s="235"/>
      <c r="BV1340" s="158"/>
      <c r="BY1340" s="158"/>
      <c r="CB1340" s="158"/>
    </row>
    <row r="1341" ht="18.0" customHeight="1">
      <c r="A1341" s="222">
        <f>IFERROR(__xludf.DUMMYFUNCTION("""COMPUTED_VALUE"""),2026.0)</f>
        <v>2026</v>
      </c>
      <c r="B1341" s="221">
        <f>IFERROR(__xludf.DUMMYFUNCTION("""COMPUTED_VALUE"""),1.1096315E7)</f>
        <v>11096315</v>
      </c>
      <c r="C1341" s="222" t="str">
        <f>IFERROR(__xludf.DUMMYFUNCTION("""COMPUTED_VALUE"""),"RKP PT3 JPPTSEL KIJ-FP PURI MAHKOTA INDAH_")</f>
        <v>RKP PT3 JPPTSEL KIJ-FP PURI MAHKOTA INDAH_</v>
      </c>
      <c r="D1341" s="222" t="str">
        <f>IFERROR(__xludf.DUMMYFUNCTION("""COMPUTED_VALUE"""),"REGIONAL I")</f>
        <v>REGIONAL I</v>
      </c>
      <c r="E1341" s="222" t="str">
        <f>IFERROR(__xludf.DUMMYFUNCTION("""COMPUTED_VALUE"""),"RIKEP")</f>
        <v>RIKEP</v>
      </c>
      <c r="F1341" s="222" t="str">
        <f>IFERROR(__xludf.DUMMYFUNCTION("""COMPUTED_VALUE"""),"KIJ")</f>
        <v>KIJ</v>
      </c>
      <c r="G1341" s="222" t="str">
        <f>IFERROR(__xludf.DUMMYFUNCTION("""COMPUTED_VALUE"""),"SUMBAGTENG")</f>
        <v>SUMBAGTENG</v>
      </c>
      <c r="H1341" s="222" t="str">
        <f>IFERROR(__xludf.DUMMYFUNCTION("""COMPUTED_VALUE"""),"BATAM")</f>
        <v>BATAM</v>
      </c>
      <c r="I1341" s="222" t="str">
        <f>IFERROR(__xludf.DUMMYFUNCTION("""COMPUTED_VALUE"""),"Batch 2")</f>
        <v>Batch 2</v>
      </c>
      <c r="J1341" s="225">
        <f>IFERROR(__xludf.DUMMYFUNCTION("""COMPUTED_VALUE"""),4.0)</f>
        <v>4</v>
      </c>
      <c r="K1341" s="224">
        <f>IFERROR(__xludf.DUMMYFUNCTION("""COMPUTED_VALUE"""),32.0)</f>
        <v>32</v>
      </c>
      <c r="L1341" s="226">
        <f>IFERROR(__xludf.DUMMYFUNCTION("""COMPUTED_VALUE"""),754943.0)</f>
        <v>754943</v>
      </c>
      <c r="M1341" s="227">
        <f>IFERROR(__xludf.DUMMYFUNCTION("""COMPUTED_VALUE"""),2.4158173E7)</f>
        <v>24158173</v>
      </c>
      <c r="N1341" s="222" t="str">
        <f>IFERROR(__xludf.DUMMYFUNCTION("""COMPUTED_VALUE"""),"PT SALTTEK DUMPANG JAYA")</f>
        <v>PT SALTTEK DUMPANG JAYA</v>
      </c>
      <c r="O1341" s="222" t="str">
        <f>IFERROR(__xludf.DUMMYFUNCTION("""COMPUTED_VALUE"""),"0. DROP")</f>
        <v>0. DROP</v>
      </c>
      <c r="P1341" s="222" t="str">
        <f>IFERROR(__xludf.DUMMYFUNCTION("""COMPUTED_VALUE"""),"0.2 Tidak Dapat Izin Warga/Kades/Lurah/Developer")</f>
        <v>0.2 Tidak Dapat Izin Warga/Kades/Lurah/Developer</v>
      </c>
      <c r="Q1341" s="222" t="str">
        <f>IFERROR(__xludf.DUMMYFUNCTION("""COMPUTED_VALUE"""),"04/02  Izin di tolak oleh bos developer, karena sudah ada provider lain. 30/01 RT sudah di jumpai namun rumah nya kosong. 28/01 Anwijzing OK, proses perizinan, FU kembali 30 Jan. 21/02 Plan survey dalam minggu ini 25 jan 2026")</f>
        <v>04/02  Izin di tolak oleh bos developer, karena sudah ada provider lain. 30/01 RT sudah di jumpai namun rumah nya kosong. 28/01 Anwijzing OK, proses perizinan, FU kembali 30 Jan. 21/02 Plan survey dalam minggu ini 25 jan 2026</v>
      </c>
      <c r="R1341" s="228"/>
      <c r="S1341" s="11"/>
      <c r="T1341" s="11"/>
      <c r="U1341" s="11"/>
      <c r="V1341" s="229" t="str">
        <f>IFERROR(__xludf.DUMMYFUNCTION("""COMPUTED_VALUE"""),"DEDY IRAWAN")</f>
        <v>DEDY IRAWAN</v>
      </c>
      <c r="W1341" s="229" t="str">
        <f>IFERROR(__xludf.DUMMYFUNCTION("""COMPUTED_VALUE"""),"LEVITA INDRIYANI")</f>
        <v>LEVITA INDRIYANI</v>
      </c>
      <c r="X1341" s="229" t="str">
        <f>IFERROR(__xludf.DUMMYFUNCTION("""COMPUTED_VALUE"""),"BELUM GOLIVE")</f>
        <v>BELUM GOLIVE</v>
      </c>
      <c r="Y1341" s="229"/>
      <c r="Z1341" s="229" t="str">
        <f>IFERROR(__xludf.DUMMYFUNCTION("""COMPUTED_VALUE"""),"#N/A")</f>
        <v>#N/A</v>
      </c>
      <c r="AA1341" s="229"/>
      <c r="AB1341" s="229"/>
      <c r="AC1341" s="229"/>
      <c r="AD1341" s="232"/>
      <c r="AE1341" s="233"/>
      <c r="AF1341" s="54" t="str">
        <f>IFERROR(__xludf.DUMMYFUNCTION("""COMPUTED_VALUE"""),"Draft BA DROP")</f>
        <v>Draft BA DROP</v>
      </c>
      <c r="AG1341" s="54"/>
      <c r="AH1341" s="54"/>
      <c r="AI1341" s="55" t="str">
        <f t="shared" si="142"/>
        <v/>
      </c>
      <c r="AW1341" s="234"/>
      <c r="BP1341" s="11"/>
      <c r="BQ1341" s="11"/>
      <c r="BR1341" s="235"/>
      <c r="BV1341" s="158"/>
      <c r="BY1341" s="158"/>
      <c r="CB1341" s="158"/>
    </row>
    <row r="1342" ht="18.0" customHeight="1">
      <c r="A1342" s="222">
        <f>IFERROR(__xludf.DUMMYFUNCTION("""COMPUTED_VALUE"""),2026.0)</f>
        <v>2026</v>
      </c>
      <c r="B1342" s="221">
        <f>IFERROR(__xludf.DUMMYFUNCTION("""COMPUTED_VALUE"""),1.2132514E7)</f>
        <v>12132514</v>
      </c>
      <c r="C1342" s="222" t="str">
        <f>IFERROR(__xludf.DUMMYFUNCTION("""COMPUTED_VALUE"""),"SMB P4I3 Simpang 4 Pulau Punjung NEW")</f>
        <v>SMB P4I3 Simpang 4 Pulau Punjung NEW</v>
      </c>
      <c r="D1342" s="222" t="str">
        <f>IFERROR(__xludf.DUMMYFUNCTION("""COMPUTED_VALUE"""),"REGIONAL I")</f>
        <v>REGIONAL I</v>
      </c>
      <c r="E1342" s="222" t="str">
        <f>IFERROR(__xludf.DUMMYFUNCTION("""COMPUTED_VALUE"""),"SUMBAR")</f>
        <v>SUMBAR</v>
      </c>
      <c r="F1342" s="222" t="str">
        <f>IFERROR(__xludf.DUMMYFUNCTION("""COMPUTED_VALUE"""),"SGD")</f>
        <v>SGD</v>
      </c>
      <c r="G1342" s="222" t="str">
        <f>IFERROR(__xludf.DUMMYFUNCTION("""COMPUTED_VALUE"""),"SUMBAGTENG")</f>
        <v>SUMBAGTENG</v>
      </c>
      <c r="H1342" s="222" t="str">
        <f>IFERROR(__xludf.DUMMYFUNCTION("""COMPUTED_VALUE"""),"PADANG")</f>
        <v>PADANG</v>
      </c>
      <c r="I1342" s="222" t="str">
        <f>IFERROR(__xludf.DUMMYFUNCTION("""COMPUTED_VALUE"""),"Batch 2")</f>
        <v>Batch 2</v>
      </c>
      <c r="J1342" s="225">
        <f>IFERROR(__xludf.DUMMYFUNCTION("""COMPUTED_VALUE"""),12.0)</f>
        <v>12</v>
      </c>
      <c r="K1342" s="224">
        <f>IFERROR(__xludf.DUMMYFUNCTION("""COMPUTED_VALUE"""),96.0)</f>
        <v>96</v>
      </c>
      <c r="L1342" s="226">
        <f>IFERROR(__xludf.DUMMYFUNCTION("""COMPUTED_VALUE"""),754354.0)</f>
        <v>754354</v>
      </c>
      <c r="M1342" s="227">
        <f>IFERROR(__xludf.DUMMYFUNCTION("""COMPUTED_VALUE"""),7.2417951E7)</f>
        <v>72417951</v>
      </c>
      <c r="N1342" s="222" t="str">
        <f>IFERROR(__xludf.DUMMYFUNCTION("""COMPUTED_VALUE"""),"PT TIGA AKSES MANDIRI")</f>
        <v>PT TIGA AKSES MANDIRI</v>
      </c>
      <c r="O1342" s="222" t="str">
        <f>IFERROR(__xludf.DUMMYFUNCTION("""COMPUTED_VALUE"""),"0. DROP")</f>
        <v>0. DROP</v>
      </c>
      <c r="P1342" s="222" t="str">
        <f>IFERROR(__xludf.DUMMYFUNCTION("""COMPUTED_VALUE"""),"0.3 Feeder Full")</f>
        <v>0.3 Feeder Full</v>
      </c>
      <c r="Q1342" s="222" t="str">
        <f>IFERROR(__xludf.DUMMYFUNCTION("""COMPUTED_VALUE"""),"(23/01) kendala Feeder SPE-FG rusak, memakai kabel MSAN (21/01) proses aanwijziing (08/01) kendala feeder penuh, KENDALA FEEDER SPE-FE , CORE BB HABIS, BUTUH NEW FEEDER(07/01) Persiapan")</f>
        <v>(23/01) kendala Feeder SPE-FG rusak, memakai kabel MSAN (21/01) proses aanwijziing (08/01) kendala feeder penuh, KENDALA FEEDER SPE-FE , CORE BB HABIS, BUTUH NEW FEEDER(07/01) Persiapan</v>
      </c>
      <c r="R1342" s="228"/>
      <c r="S1342" s="11"/>
      <c r="T1342" s="11"/>
      <c r="U1342" s="11"/>
      <c r="V1342" s="229" t="str">
        <f>IFERROR(__xludf.DUMMYFUNCTION("""COMPUTED_VALUE"""),"YULIO NOVIKO")</f>
        <v>YULIO NOVIKO</v>
      </c>
      <c r="W1342" s="229" t="str">
        <f>IFERROR(__xludf.DUMMYFUNCTION("""COMPUTED_VALUE"""),"MELKO NARWADI")</f>
        <v>MELKO NARWADI</v>
      </c>
      <c r="X1342" s="229" t="str">
        <f>IFERROR(__xludf.DUMMYFUNCTION("""COMPUTED_VALUE"""),"BELUM GOLIVE")</f>
        <v>BELUM GOLIVE</v>
      </c>
      <c r="Y1342" s="229"/>
      <c r="Z1342" s="229" t="str">
        <f>IFERROR(__xludf.DUMMYFUNCTION("""COMPUTED_VALUE"""),"#N/A")</f>
        <v>#N/A</v>
      </c>
      <c r="AA1342" s="229"/>
      <c r="AB1342" s="229"/>
      <c r="AC1342" s="229"/>
      <c r="AD1342" s="232"/>
      <c r="AE1342" s="233"/>
      <c r="AF1342" s="54" t="str">
        <f>IFERROR(__xludf.DUMMYFUNCTION("""COMPUTED_VALUE"""),"Draft BA DROP")</f>
        <v>Draft BA DROP</v>
      </c>
      <c r="AG1342" s="54"/>
      <c r="AH1342" s="54"/>
      <c r="AI1342" s="55" t="str">
        <f t="shared" si="142"/>
        <v/>
      </c>
      <c r="AW1342" s="234"/>
      <c r="BP1342" s="11"/>
      <c r="BQ1342" s="11"/>
      <c r="BR1342" s="235"/>
      <c r="BV1342" s="158"/>
      <c r="BY1342" s="158"/>
      <c r="CB1342" s="158"/>
    </row>
    <row r="1343" ht="18.0" customHeight="1">
      <c r="A1343" s="222">
        <f>IFERROR(__xludf.DUMMYFUNCTION("""COMPUTED_VALUE"""),2026.0)</f>
        <v>2026</v>
      </c>
      <c r="B1343" s="221">
        <f>IFERROR(__xludf.DUMMYFUNCTION("""COMPUTED_VALUE"""),1.1572394E7)</f>
        <v>11572394</v>
      </c>
      <c r="C1343" s="222" t="str">
        <f>IFERROR(__xludf.DUMMYFUNCTION("""COMPUTED_VALUE"""),"SMB STTF-MD BRANCH SPE-LEMBAH BINUANG")</f>
        <v>SMB STTF-MD BRANCH SPE-LEMBAH BINUANG</v>
      </c>
      <c r="D1343" s="222" t="str">
        <f>IFERROR(__xludf.DUMMYFUNCTION("""COMPUTED_VALUE"""),"REGIONAL I")</f>
        <v>REGIONAL I</v>
      </c>
      <c r="E1343" s="222" t="str">
        <f>IFERROR(__xludf.DUMMYFUNCTION("""COMPUTED_VALUE"""),"SUMBAR")</f>
        <v>SUMBAR</v>
      </c>
      <c r="F1343" s="222" t="str">
        <f>IFERROR(__xludf.DUMMYFUNCTION("""COMPUTED_VALUE"""),"SPE")</f>
        <v>SPE</v>
      </c>
      <c r="G1343" s="222" t="str">
        <f>IFERROR(__xludf.DUMMYFUNCTION("""COMPUTED_VALUE"""),"SUMBAGTENG")</f>
        <v>SUMBAGTENG</v>
      </c>
      <c r="H1343" s="222" t="str">
        <f>IFERROR(__xludf.DUMMYFUNCTION("""COMPUTED_VALUE"""),"BUKIT TINGGI")</f>
        <v>BUKIT TINGGI</v>
      </c>
      <c r="I1343" s="222" t="str">
        <f>IFERROR(__xludf.DUMMYFUNCTION("""COMPUTED_VALUE"""),"Batch 2")</f>
        <v>Batch 2</v>
      </c>
      <c r="J1343" s="225">
        <f>IFERROR(__xludf.DUMMYFUNCTION("""COMPUTED_VALUE"""),15.0)</f>
        <v>15</v>
      </c>
      <c r="K1343" s="224">
        <f>IFERROR(__xludf.DUMMYFUNCTION("""COMPUTED_VALUE"""),120.0)</f>
        <v>120</v>
      </c>
      <c r="L1343" s="226">
        <f>IFERROR(__xludf.DUMMYFUNCTION("""COMPUTED_VALUE"""),753974.0)</f>
        <v>753974</v>
      </c>
      <c r="M1343" s="227">
        <f>IFERROR(__xludf.DUMMYFUNCTION("""COMPUTED_VALUE"""),9.047681E7)</f>
        <v>90476810</v>
      </c>
      <c r="N1343" s="222" t="str">
        <f>IFERROR(__xludf.DUMMYFUNCTION("""COMPUTED_VALUE"""),"PT TIGA AKSES MANDIRI")</f>
        <v>PT TIGA AKSES MANDIRI</v>
      </c>
      <c r="O1343" s="222" t="str">
        <f>IFERROR(__xludf.DUMMYFUNCTION("""COMPUTED_VALUE"""),"0. DROP")</f>
        <v>0. DROP</v>
      </c>
      <c r="P1343" s="222" t="str">
        <f>IFERROR(__xludf.DUMMYFUNCTION("""COMPUTED_VALUE"""),"0.3 Feeder Full")</f>
        <v>0.3 Feeder Full</v>
      </c>
      <c r="Q1343" s="222" t="str">
        <f>IFERROR(__xludf.DUMMYFUNCTION("""COMPUTED_VALUE"""),"(26/01) kendala feeder penuh. FEEDER SPE-FF FULL, KABLE BB")</f>
        <v>(26/01) kendala feeder penuh. FEEDER SPE-FF FULL, KABLE BB</v>
      </c>
      <c r="R1343" s="228"/>
      <c r="S1343" s="11"/>
      <c r="T1343" s="11"/>
      <c r="U1343" s="11"/>
      <c r="V1343" s="229"/>
      <c r="W1343" s="229"/>
      <c r="X1343" s="229" t="str">
        <f>IFERROR(__xludf.DUMMYFUNCTION("""COMPUTED_VALUE"""),"BELUM GOLIVE")</f>
        <v>BELUM GOLIVE</v>
      </c>
      <c r="Y1343" s="229"/>
      <c r="Z1343" s="229" t="str">
        <f>IFERROR(__xludf.DUMMYFUNCTION("""COMPUTED_VALUE"""),"#N/A")</f>
        <v>#N/A</v>
      </c>
      <c r="AA1343" s="229"/>
      <c r="AB1343" s="229"/>
      <c r="AC1343" s="229"/>
      <c r="AD1343" s="232"/>
      <c r="AE1343" s="233"/>
      <c r="AF1343" s="54" t="str">
        <f>IFERROR(__xludf.DUMMYFUNCTION("""COMPUTED_VALUE"""),"Draft BA DROP")</f>
        <v>Draft BA DROP</v>
      </c>
      <c r="AG1343" s="54"/>
      <c r="AH1343" s="54"/>
      <c r="AI1343" s="55" t="str">
        <f t="shared" si="142"/>
        <v/>
      </c>
      <c r="AW1343" s="234"/>
      <c r="BP1343" s="11"/>
      <c r="BQ1343" s="11"/>
      <c r="BR1343" s="235"/>
      <c r="BV1343" s="158"/>
      <c r="BY1343" s="158"/>
      <c r="CB1343" s="158"/>
    </row>
    <row r="1344" ht="18.0" customHeight="1">
      <c r="A1344" s="222">
        <f>IFERROR(__xludf.DUMMYFUNCTION("""COMPUTED_VALUE"""),2026.0)</f>
        <v>2026</v>
      </c>
      <c r="B1344" s="221">
        <f>IFERROR(__xludf.DUMMYFUNCTION("""COMPUTED_VALUE"""),1.0660085E7)</f>
        <v>10660085</v>
      </c>
      <c r="C1344" s="222" t="str">
        <f>IFERROR(__xludf.DUMMYFUNCTION("""COMPUTED_VALUE"""),"RKP PT3 JPPTSEL SGT-FC KM.00 RSUP")</f>
        <v>RKP PT3 JPPTSEL SGT-FC KM.00 RSUP</v>
      </c>
      <c r="D1344" s="222" t="str">
        <f>IFERROR(__xludf.DUMMYFUNCTION("""COMPUTED_VALUE"""),"REGIONAL I")</f>
        <v>REGIONAL I</v>
      </c>
      <c r="E1344" s="222" t="str">
        <f>IFERROR(__xludf.DUMMYFUNCTION("""COMPUTED_VALUE"""),"RIKEP")</f>
        <v>RIKEP</v>
      </c>
      <c r="F1344" s="222" t="str">
        <f>IFERROR(__xludf.DUMMYFUNCTION("""COMPUTED_VALUE"""),"SGT")</f>
        <v>SGT</v>
      </c>
      <c r="G1344" s="222" t="str">
        <f>IFERROR(__xludf.DUMMYFUNCTION("""COMPUTED_VALUE"""),"SUMBAGTENG")</f>
        <v>SUMBAGTENG</v>
      </c>
      <c r="H1344" s="222" t="str">
        <f>IFERROR(__xludf.DUMMYFUNCTION("""COMPUTED_VALUE"""),"BATAM")</f>
        <v>BATAM</v>
      </c>
      <c r="I1344" s="222" t="str">
        <f>IFERROR(__xludf.DUMMYFUNCTION("""COMPUTED_VALUE"""),"Batch 2")</f>
        <v>Batch 2</v>
      </c>
      <c r="J1344" s="225">
        <f>IFERROR(__xludf.DUMMYFUNCTION("""COMPUTED_VALUE"""),5.0)</f>
        <v>5</v>
      </c>
      <c r="K1344" s="224">
        <f>IFERROR(__xludf.DUMMYFUNCTION("""COMPUTED_VALUE"""),40.0)</f>
        <v>40</v>
      </c>
      <c r="L1344" s="226">
        <f>IFERROR(__xludf.DUMMYFUNCTION("""COMPUTED_VALUE"""),752990.0)</f>
        <v>752990</v>
      </c>
      <c r="M1344" s="227">
        <f>IFERROR(__xludf.DUMMYFUNCTION("""COMPUTED_VALUE"""),3.0119582E7)</f>
        <v>30119582</v>
      </c>
      <c r="N1344" s="222" t="str">
        <f>IFERROR(__xludf.DUMMYFUNCTION("""COMPUTED_VALUE"""),"SWAKELOLA")</f>
        <v>SWAKELOLA</v>
      </c>
      <c r="O1344" s="222" t="str">
        <f>IFERROR(__xludf.DUMMYFUNCTION("""COMPUTED_VALUE"""),"0. DROP")</f>
        <v>0. DROP</v>
      </c>
      <c r="P1344" s="222" t="str">
        <f>IFERROR(__xludf.DUMMYFUNCTION("""COMPUTED_VALUE"""),"0.3 Feeder Full")</f>
        <v>0.3 Feeder Full</v>
      </c>
      <c r="Q1344" s="222" t="str">
        <f>IFERROR(__xludf.DUMMYFUNCTION("""COMPUTED_VALUE"""),"21/01 Hold karena SGT-FC feeder full, butuh PT4 narik dari mini OLT namun pihak RSUP meminta legal dari telkom, sudah di infokan ke AOM namun blm ada kejelasan dari pihak RSUP pulau burung, case sudah dari 2024.")</f>
        <v>21/01 Hold karena SGT-FC feeder full, butuh PT4 narik dari mini OLT namun pihak RSUP meminta legal dari telkom, sudah di infokan ke AOM namun blm ada kejelasan dari pihak RSUP pulau burung, case sudah dari 2024.</v>
      </c>
      <c r="R1344" s="228"/>
      <c r="S1344" s="11"/>
      <c r="T1344" s="11"/>
      <c r="U1344" s="11"/>
      <c r="V1344" s="229" t="str">
        <f>IFERROR(__xludf.DUMMYFUNCTION("""COMPUTED_VALUE"""),"MOHAMMAD FAUZY")</f>
        <v>MOHAMMAD FAUZY</v>
      </c>
      <c r="W1344" s="229" t="str">
        <f>IFERROR(__xludf.DUMMYFUNCTION("""COMPUTED_VALUE"""),"LEVITA INDRIYANI")</f>
        <v>LEVITA INDRIYANI</v>
      </c>
      <c r="X1344" s="229" t="str">
        <f>IFERROR(__xludf.DUMMYFUNCTION("""COMPUTED_VALUE"""),"BELUM GOLIVE")</f>
        <v>BELUM GOLIVE</v>
      </c>
      <c r="Y1344" s="229"/>
      <c r="Z1344" s="229" t="str">
        <f>IFERROR(__xludf.DUMMYFUNCTION("""COMPUTED_VALUE"""),"#N/A")</f>
        <v>#N/A</v>
      </c>
      <c r="AA1344" s="229"/>
      <c r="AB1344" s="229"/>
      <c r="AC1344" s="229"/>
      <c r="AD1344" s="232"/>
      <c r="AE1344" s="233"/>
      <c r="AF1344" s="54" t="str">
        <f>IFERROR(__xludf.DUMMYFUNCTION("""COMPUTED_VALUE"""),"Draft BA DROP")</f>
        <v>Draft BA DROP</v>
      </c>
      <c r="AG1344" s="54"/>
      <c r="AH1344" s="54"/>
      <c r="AI1344" s="55" t="str">
        <f t="shared" si="142"/>
        <v/>
      </c>
      <c r="AW1344" s="234"/>
      <c r="BP1344" s="11"/>
      <c r="BQ1344" s="11"/>
      <c r="BR1344" s="235"/>
      <c r="BV1344" s="158"/>
      <c r="BY1344" s="158"/>
      <c r="CB1344" s="158"/>
    </row>
    <row r="1345" ht="18.0" hidden="1" customHeight="1">
      <c r="A1345" s="222">
        <f>IFERROR(__xludf.DUMMYFUNCTION("""COMPUTED_VALUE"""),2026.0)</f>
        <v>2026</v>
      </c>
      <c r="B1345" s="221">
        <f>IFERROR(__xludf.DUMMYFUNCTION("""COMPUTED_VALUE"""),1.1083249E7)</f>
        <v>11083249</v>
      </c>
      <c r="C1345" s="222" t="str">
        <f>IFERROR(__xludf.DUMMYFUNCTION("""COMPUTED_VALUE"""),"BNK PT3 BRC BNC FZ JPPTSEL DESA JUM'AT")</f>
        <v>BNK PT3 BRC BNC FZ JPPTSEL DESA JUM'AT</v>
      </c>
      <c r="D1345" s="222" t="str">
        <f>IFERROR(__xludf.DUMMYFUNCTION("""COMPUTED_VALUE"""),"REGIONAL I")</f>
        <v>REGIONAL I</v>
      </c>
      <c r="E1345" s="222" t="str">
        <f>IFERROR(__xludf.DUMMYFUNCTION("""COMPUTED_VALUE"""),"BENGKULU")</f>
        <v>BENGKULU</v>
      </c>
      <c r="F1345" s="222" t="str">
        <f>IFERROR(__xludf.DUMMYFUNCTION("""COMPUTED_VALUE"""),"BNC")</f>
        <v>BNC</v>
      </c>
      <c r="G1345" s="222" t="str">
        <f>IFERROR(__xludf.DUMMYFUNCTION("""COMPUTED_VALUE"""),"SUMBAGSEL")</f>
        <v>SUMBAGSEL</v>
      </c>
      <c r="H1345" s="222" t="str">
        <f>IFERROR(__xludf.DUMMYFUNCTION("""COMPUTED_VALUE"""),"BENGKULU")</f>
        <v>BENGKULU</v>
      </c>
      <c r="I1345" s="222" t="str">
        <f>IFERROR(__xludf.DUMMYFUNCTION("""COMPUTED_VALUE"""),"Batch 2")</f>
        <v>Batch 2</v>
      </c>
      <c r="J1345" s="225">
        <f>IFERROR(__xludf.DUMMYFUNCTION("""COMPUTED_VALUE"""),9.0)</f>
        <v>9</v>
      </c>
      <c r="K1345" s="224">
        <f>IFERROR(__xludf.DUMMYFUNCTION("""COMPUTED_VALUE"""),72.0)</f>
        <v>72</v>
      </c>
      <c r="L1345" s="226">
        <f>IFERROR(__xludf.DUMMYFUNCTION("""COMPUTED_VALUE"""),752736.0)</f>
        <v>752736</v>
      </c>
      <c r="M1345" s="227">
        <f>IFERROR(__xludf.DUMMYFUNCTION("""COMPUTED_VALUE"""),5.419699E7)</f>
        <v>54196990</v>
      </c>
      <c r="N1345" s="222" t="str">
        <f>IFERROR(__xludf.DUMMYFUNCTION("""COMPUTED_VALUE"""),"T DJALIL KOMUNIKASI GROUP")</f>
        <v>T DJALIL KOMUNIKASI GROUP</v>
      </c>
      <c r="O1345" s="222" t="str">
        <f>IFERROR(__xludf.DUMMYFUNCTION("""COMPUTED_VALUE"""),"0. DROP")</f>
        <v>0. DROP</v>
      </c>
      <c r="P1345" s="222" t="str">
        <f>IFERROR(__xludf.DUMMYFUNCTION("""COMPUTED_VALUE"""),"0.2 Tidak Dapat Izin Warga/Kades/Lurah/Developer")</f>
        <v>0.2 Tidak Dapat Izin Warga/Kades/Lurah/Developer</v>
      </c>
      <c r="Q1345" s="222" t="str">
        <f>IFERROR(__xludf.DUMMYFUNCTION("""COMPUTED_VALUE"""),"20/01 : Perpose Drop karena Kades minta 5 juta pertahun // 19/01 : proses Andwidzing (Kendala Perizinan BAKP) // 15/01 : Kades masih mau berembuk dulu hari senin depan baru dapat informasinya kemungkinan kades mau minta kopensasi // 13/01 : Proses Perizin"&amp;"an BAKP // (07/01) Persiapan")</f>
        <v>20/01 : Perpose Drop karena Kades minta 5 juta pertahun // 19/01 : proses Andwidzing (Kendala Perizinan BAKP) // 15/01 : Kades masih mau berembuk dulu hari senin depan baru dapat informasinya kemungkinan kades mau minta kopensasi // 13/01 : Proses Perizinan BAKP // (07/01) Persiapan</v>
      </c>
      <c r="R1345" s="228"/>
      <c r="S1345" s="11"/>
      <c r="T1345" s="11"/>
      <c r="U1345" s="11"/>
      <c r="V1345" s="229"/>
      <c r="W1345" s="229"/>
      <c r="X1345" s="229" t="str">
        <f>IFERROR(__xludf.DUMMYFUNCTION("""COMPUTED_VALUE"""),"BELUM GOLIVE")</f>
        <v>BELUM GOLIVE</v>
      </c>
      <c r="Y1345" s="229"/>
      <c r="Z1345" s="229" t="str">
        <f>IFERROR(__xludf.DUMMYFUNCTION("""COMPUTED_VALUE"""),"#N/A")</f>
        <v>#N/A</v>
      </c>
      <c r="AA1345" s="229"/>
      <c r="AB1345" s="229"/>
      <c r="AC1345" s="229"/>
      <c r="AD1345" s="232"/>
      <c r="AE1345" s="233"/>
      <c r="AF1345" s="54" t="str">
        <f>IFERROR(__xludf.DUMMYFUNCTION("""COMPUTED_VALUE"""),"Draft BA DROP")</f>
        <v>Draft BA DROP</v>
      </c>
      <c r="AG1345" s="54"/>
      <c r="AH1345" s="54"/>
      <c r="AI1345" s="55" t="str">
        <f t="shared" si="142"/>
        <v/>
      </c>
      <c r="AW1345" s="234"/>
      <c r="BP1345" s="11"/>
      <c r="BQ1345" s="11"/>
      <c r="BR1345" s="235"/>
      <c r="BV1345" s="158"/>
      <c r="BY1345" s="158"/>
      <c r="CB1345" s="158"/>
    </row>
    <row r="1346" ht="18.0" hidden="1" customHeight="1">
      <c r="A1346" s="222">
        <f>IFERROR(__xludf.DUMMYFUNCTION("""COMPUTED_VALUE"""),2026.0)</f>
        <v>2026</v>
      </c>
      <c r="B1346" s="221">
        <f>IFERROR(__xludf.DUMMYFUNCTION("""COMPUTED_VALUE"""),1.2367283E7)</f>
        <v>12367283</v>
      </c>
      <c r="C1346" s="222" t="str">
        <f>IFERROR(__xludf.DUMMYFUNCTION("""COMPUTED_VALUE"""),"LPG PT3 JPP MD KOTA BDL_29274 KDT")</f>
        <v>LPG PT3 JPP MD KOTA BDL_29274 KDT</v>
      </c>
      <c r="D1346" s="222" t="str">
        <f>IFERROR(__xludf.DUMMYFUNCTION("""COMPUTED_VALUE"""),"REGIONAL I")</f>
        <v>REGIONAL I</v>
      </c>
      <c r="E1346" s="222" t="str">
        <f>IFERROR(__xludf.DUMMYFUNCTION("""COMPUTED_VALUE"""),"LAMPUNG")</f>
        <v>LAMPUNG</v>
      </c>
      <c r="F1346" s="222" t="str">
        <f>IFERROR(__xludf.DUMMYFUNCTION("""COMPUTED_VALUE"""),"KDT")</f>
        <v>KDT</v>
      </c>
      <c r="G1346" s="222" t="str">
        <f>IFERROR(__xludf.DUMMYFUNCTION("""COMPUTED_VALUE"""),"SUMBAGSEL")</f>
        <v>SUMBAGSEL</v>
      </c>
      <c r="H1346" s="222" t="str">
        <f>IFERROR(__xludf.DUMMYFUNCTION("""COMPUTED_VALUE"""),"LAMPUNG")</f>
        <v>LAMPUNG</v>
      </c>
      <c r="I1346" s="222" t="str">
        <f>IFERROR(__xludf.DUMMYFUNCTION("""COMPUTED_VALUE"""),"Batch 2")</f>
        <v>Batch 2</v>
      </c>
      <c r="J1346" s="225">
        <f>IFERROR(__xludf.DUMMYFUNCTION("""COMPUTED_VALUE"""),4.0)</f>
        <v>4</v>
      </c>
      <c r="K1346" s="224">
        <f>IFERROR(__xludf.DUMMYFUNCTION("""COMPUTED_VALUE"""),32.0)</f>
        <v>32</v>
      </c>
      <c r="L1346" s="226">
        <f>IFERROR(__xludf.DUMMYFUNCTION("""COMPUTED_VALUE"""),752669.0)</f>
        <v>752669</v>
      </c>
      <c r="M1346" s="227">
        <f>IFERROR(__xludf.DUMMYFUNCTION("""COMPUTED_VALUE"""),2.4085378E7)</f>
        <v>24085378</v>
      </c>
      <c r="N1346" s="222" t="str">
        <f>IFERROR(__xludf.DUMMYFUNCTION("""COMPUTED_VALUE"""),"PT BANGTELINDO")</f>
        <v>PT BANGTELINDO</v>
      </c>
      <c r="O1346" s="222" t="str">
        <f>IFERROR(__xludf.DUMMYFUNCTION("""COMPUTED_VALUE"""),"0. DROP")</f>
        <v>0. DROP</v>
      </c>
      <c r="P1346" s="222" t="str">
        <f>IFERROR(__xludf.DUMMYFUNCTION("""COMPUTED_VALUE"""),"0.2 Tidak Dapat Izin Warga/Kades/Lurah/Developer")</f>
        <v>0.2 Tidak Dapat Izin Warga/Kades/Lurah/Developer</v>
      </c>
      <c r="Q1346" s="222" t="str">
        <f>IFERROR(__xludf.DUMMYFUNCTION("""COMPUTED_VALUE"""),"15/1 lurah minta surat perkim,diskominfo dan tata kota")</f>
        <v>15/1 lurah minta surat perkim,diskominfo dan tata kota</v>
      </c>
      <c r="R1346" s="228"/>
      <c r="S1346" s="11"/>
      <c r="T1346" s="11"/>
      <c r="U1346" s="11"/>
      <c r="V1346" s="229"/>
      <c r="W1346" s="229"/>
      <c r="X1346" s="229" t="str">
        <f>IFERROR(__xludf.DUMMYFUNCTION("""COMPUTED_VALUE"""),"BELUM GOLIVE")</f>
        <v>BELUM GOLIVE</v>
      </c>
      <c r="Y1346" s="229"/>
      <c r="Z1346" s="229" t="str">
        <f>IFERROR(__xludf.DUMMYFUNCTION("""COMPUTED_VALUE"""),"#N/A")</f>
        <v>#N/A</v>
      </c>
      <c r="AA1346" s="229"/>
      <c r="AB1346" s="229"/>
      <c r="AC1346" s="229"/>
      <c r="AD1346" s="232"/>
      <c r="AE1346" s="233"/>
      <c r="AF1346" s="54" t="str">
        <f>IFERROR(__xludf.DUMMYFUNCTION("""COMPUTED_VALUE"""),"Draft BA DROP")</f>
        <v>Draft BA DROP</v>
      </c>
      <c r="AG1346" s="54"/>
      <c r="AH1346" s="54"/>
      <c r="AI1346" s="55" t="str">
        <f t="shared" si="142"/>
        <v/>
      </c>
      <c r="AW1346" s="234"/>
      <c r="BP1346" s="11"/>
      <c r="BQ1346" s="11"/>
      <c r="BR1346" s="235"/>
      <c r="BV1346" s="158"/>
      <c r="BY1346" s="158"/>
      <c r="CB1346" s="158"/>
    </row>
    <row r="1347" ht="18.0" hidden="1" customHeight="1">
      <c r="A1347" s="222">
        <f>IFERROR(__xludf.DUMMYFUNCTION("""COMPUTED_VALUE"""),2026.0)</f>
        <v>2026</v>
      </c>
      <c r="B1347" s="221">
        <f>IFERROR(__xludf.DUMMYFUNCTION("""COMPUTED_VALUE"""),1.1528673E7)</f>
        <v>11528673</v>
      </c>
      <c r="C1347" s="222" t="str">
        <f>IFERROR(__xludf.DUMMYFUNCTION("""COMPUTED_VALUE"""),"BBL PT3 P3I4 BANGKA_1653")</f>
        <v>BBL PT3 P3I4 BANGKA_1653</v>
      </c>
      <c r="D1347" s="222" t="str">
        <f>IFERROR(__xludf.DUMMYFUNCTION("""COMPUTED_VALUE"""),"REGIONAL I")</f>
        <v>REGIONAL I</v>
      </c>
      <c r="E1347" s="222" t="str">
        <f>IFERROR(__xludf.DUMMYFUNCTION("""COMPUTED_VALUE"""),"BABEL")</f>
        <v>BABEL</v>
      </c>
      <c r="F1347" s="222" t="str">
        <f>IFERROR(__xludf.DUMMYFUNCTION("""COMPUTED_VALUE"""),"BYU")</f>
        <v>BYU</v>
      </c>
      <c r="G1347" s="222" t="str">
        <f>IFERROR(__xludf.DUMMYFUNCTION("""COMPUTED_VALUE"""),"SUMBAGSEL")</f>
        <v>SUMBAGSEL</v>
      </c>
      <c r="H1347" s="222" t="str">
        <f>IFERROR(__xludf.DUMMYFUNCTION("""COMPUTED_VALUE"""),"PANGKAL PINANG")</f>
        <v>PANGKAL PINANG</v>
      </c>
      <c r="I1347" s="222" t="str">
        <f>IFERROR(__xludf.DUMMYFUNCTION("""COMPUTED_VALUE"""),"Batch 2")</f>
        <v>Batch 2</v>
      </c>
      <c r="J1347" s="225">
        <f>IFERROR(__xludf.DUMMYFUNCTION("""COMPUTED_VALUE"""),2.0)</f>
        <v>2</v>
      </c>
      <c r="K1347" s="224">
        <f>IFERROR(__xludf.DUMMYFUNCTION("""COMPUTED_VALUE"""),32.0)</f>
        <v>32</v>
      </c>
      <c r="L1347" s="226">
        <f>IFERROR(__xludf.DUMMYFUNCTION("""COMPUTED_VALUE"""),751956.0)</f>
        <v>751956</v>
      </c>
      <c r="M1347" s="227">
        <f>IFERROR(__xludf.DUMMYFUNCTION("""COMPUTED_VALUE"""),2.4062579E7)</f>
        <v>24062579</v>
      </c>
      <c r="N1347" s="222" t="str">
        <f>IFERROR(__xludf.DUMMYFUNCTION("""COMPUTED_VALUE"""),"PT Raharja Prakarsa Nusantara")</f>
        <v>PT Raharja Prakarsa Nusantara</v>
      </c>
      <c r="O1347" s="222" t="str">
        <f>IFERROR(__xludf.DUMMYFUNCTION("""COMPUTED_VALUE"""),"7. GOLIVE")</f>
        <v>7. GOLIVE</v>
      </c>
      <c r="P1347" s="222" t="str">
        <f>IFERROR(__xludf.DUMMYFUNCTION("""COMPUTED_VALUE"""),"7.2 Golive Full / OA / DONE OTB")</f>
        <v>7.2 Golive Full / OA / DONE OTB</v>
      </c>
      <c r="Q1347" s="222" t="str">
        <f>IFERROR(__xludf.DUMMYFUNCTION("""COMPUTED_VALUE"""),"(9/2) sudah golive  8 Feb  (6/2) SUDAH SUMBIT V 4 SDI(28/1)sudah fi , proses abd valid 4 (27/1) MENUNGGU MATERIAL KABEL 12 (500M ) 06/01 matdel (16/12) hold 29/11 pengambilan material (27/11) progres di lokasi lain (26/11) sudah request material (25/11) s"&amp;"udah bisa request (24/11) DRM done (23/11) proses pembuatan DRM mitra (10/11) creatd PID done (6/11) Sudah anjiwzing , sedang proses buat PID(04/11)PLAN ANJIWZING 05 NOV 16/10 proses aanwijzing")</f>
        <v>(9/2) sudah golive  8 Feb  (6/2) SUDAH SUMBIT V 4 SDI(28/1)sudah fi , proses abd valid 4 (27/1) MENUNGGU MATERIAL KABEL 12 (500M ) 06/01 matdel (16/12) hold 29/11 pengambilan material (27/11) progres di lokasi lain (26/11) sudah request material (25/11) sudah bisa request (24/11) DRM done (23/11) proses pembuatan DRM mitra (10/11) creatd PID done (6/11) Sudah anjiwzing , sedang proses buat PID(04/11)PLAN ANJIWZING 05 NOV 16/10 proses aanwijzing</v>
      </c>
      <c r="R1347" s="228"/>
      <c r="S1347" s="11"/>
      <c r="T1347" s="11"/>
      <c r="U1347" s="11"/>
      <c r="V1347" s="229"/>
      <c r="W1347" s="229"/>
      <c r="X1347" s="229" t="str">
        <f>IFERROR(__xludf.DUMMYFUNCTION("""COMPUTED_VALUE"""),"GOLIVE")</f>
        <v>GOLIVE</v>
      </c>
      <c r="Y1347" s="229" t="str">
        <f>IFERROR(__xludf.DUMMYFUNCTION("""COMPUTED_VALUE"""),"DONE")</f>
        <v>DONE</v>
      </c>
      <c r="Z1347" s="229" t="str">
        <f>IFERROR(__xludf.DUMMYFUNCTION("""COMPUTED_VALUE"""),"#N/A")</f>
        <v>#N/A</v>
      </c>
      <c r="AA1347" s="229"/>
      <c r="AB1347" s="229">
        <f>IFERROR(__xludf.DUMMYFUNCTION("""COMPUTED_VALUE"""),2.0)</f>
        <v>2</v>
      </c>
      <c r="AC1347" s="229" t="str">
        <f>IFERROR(__xludf.DUMMYFUNCTION("""COMPUTED_VALUE"""),"9079887#9079892")</f>
        <v>9079887#9079892</v>
      </c>
      <c r="AD1347" s="232">
        <f>IFERROR(__xludf.DUMMYFUNCTION("""COMPUTED_VALUE"""),32.0)</f>
        <v>32</v>
      </c>
      <c r="AE1347" s="233">
        <f>IFERROR(__xludf.DUMMYFUNCTION("""COMPUTED_VALUE"""),46060.0)</f>
        <v>46060</v>
      </c>
      <c r="AF1347" s="54"/>
      <c r="AG1347" s="54"/>
      <c r="AH1347" s="54"/>
      <c r="AI1347" s="55" t="str">
        <f t="shared" si="142"/>
        <v/>
      </c>
      <c r="AW1347" s="234"/>
      <c r="BP1347" s="11"/>
      <c r="BQ1347" s="11"/>
      <c r="BR1347" s="235"/>
      <c r="BV1347" s="158"/>
      <c r="BY1347" s="158"/>
      <c r="CB1347" s="158"/>
    </row>
    <row r="1348" ht="18.0" customHeight="1">
      <c r="A1348" s="222">
        <f>IFERROR(__xludf.DUMMYFUNCTION("""COMPUTED_VALUE"""),2026.0)</f>
        <v>2026</v>
      </c>
      <c r="B1348" s="221">
        <f>IFERROR(__xludf.DUMMYFUNCTION("""COMPUTED_VALUE"""),1.1192201E7)</f>
        <v>11192201</v>
      </c>
      <c r="C1348" s="222" t="str">
        <f>IFERROR(__xludf.DUMMYFUNCTION("""COMPUTED_VALUE"""),"SMB P1I1 Komp.Taman Harmonis ll")</f>
        <v>SMB P1I1 Komp.Taman Harmonis ll</v>
      </c>
      <c r="D1348" s="222" t="str">
        <f>IFERROR(__xludf.DUMMYFUNCTION("""COMPUTED_VALUE"""),"REGIONAL I")</f>
        <v>REGIONAL I</v>
      </c>
      <c r="E1348" s="222" t="str">
        <f>IFERROR(__xludf.DUMMYFUNCTION("""COMPUTED_VALUE"""),"SUMBAR")</f>
        <v>SUMBAR</v>
      </c>
      <c r="F1348" s="222" t="str">
        <f>IFERROR(__xludf.DUMMYFUNCTION("""COMPUTED_VALUE"""),"LBY")</f>
        <v>LBY</v>
      </c>
      <c r="G1348" s="222" t="str">
        <f>IFERROR(__xludf.DUMMYFUNCTION("""COMPUTED_VALUE"""),"SUMBAGTENG")</f>
        <v>SUMBAGTENG</v>
      </c>
      <c r="H1348" s="222" t="str">
        <f>IFERROR(__xludf.DUMMYFUNCTION("""COMPUTED_VALUE"""),"PADANG")</f>
        <v>PADANG</v>
      </c>
      <c r="I1348" s="222" t="str">
        <f>IFERROR(__xludf.DUMMYFUNCTION("""COMPUTED_VALUE"""),"Batch 2")</f>
        <v>Batch 2</v>
      </c>
      <c r="J1348" s="225">
        <f>IFERROR(__xludf.DUMMYFUNCTION("""COMPUTED_VALUE"""),2.0)</f>
        <v>2</v>
      </c>
      <c r="K1348" s="224">
        <f>IFERROR(__xludf.DUMMYFUNCTION("""COMPUTED_VALUE"""),16.0)</f>
        <v>16</v>
      </c>
      <c r="L1348" s="226">
        <f>IFERROR(__xludf.DUMMYFUNCTION("""COMPUTED_VALUE"""),750825.0)</f>
        <v>750825</v>
      </c>
      <c r="M1348" s="227">
        <f>IFERROR(__xludf.DUMMYFUNCTION("""COMPUTED_VALUE"""),1.2013197E7)</f>
        <v>12013197</v>
      </c>
      <c r="N1348" s="222" t="str">
        <f>IFERROR(__xludf.DUMMYFUNCTION("""COMPUTED_VALUE"""),"PT TRI PENAMAS")</f>
        <v>PT TRI PENAMAS</v>
      </c>
      <c r="O1348" s="222" t="str">
        <f>IFERROR(__xludf.DUMMYFUNCTION("""COMPUTED_VALUE"""),"0. DROP")</f>
        <v>0. DROP</v>
      </c>
      <c r="P1348" s="222" t="str">
        <f>IFERROR(__xludf.DUMMYFUNCTION("""COMPUTED_VALUE"""),"0.3 Feeder Full")</f>
        <v>0.3 Feeder Full</v>
      </c>
      <c r="Q1348" s="222" t="str">
        <f>IFERROR(__xludf.DUMMYFUNCTION("""COMPUTED_VALUE"""),"(27/01)  kendala Feeder LBY-FC Full")</f>
        <v>(27/01)  kendala Feeder LBY-FC Full</v>
      </c>
      <c r="R1348" s="228"/>
      <c r="S1348" s="11"/>
      <c r="T1348" s="11"/>
      <c r="U1348" s="11"/>
      <c r="V1348" s="229"/>
      <c r="W1348" s="229"/>
      <c r="X1348" s="229" t="str">
        <f>IFERROR(__xludf.DUMMYFUNCTION("""COMPUTED_VALUE"""),"BELUM GOLIVE")</f>
        <v>BELUM GOLIVE</v>
      </c>
      <c r="Y1348" s="229"/>
      <c r="Z1348" s="229" t="str">
        <f>IFERROR(__xludf.DUMMYFUNCTION("""COMPUTED_VALUE"""),"#N/A")</f>
        <v>#N/A</v>
      </c>
      <c r="AA1348" s="229"/>
      <c r="AB1348" s="229"/>
      <c r="AC1348" s="229"/>
      <c r="AD1348" s="232"/>
      <c r="AE1348" s="233"/>
      <c r="AF1348" s="54" t="str">
        <f>IFERROR(__xludf.DUMMYFUNCTION("""COMPUTED_VALUE"""),"Draft BA DROP")</f>
        <v>Draft BA DROP</v>
      </c>
      <c r="AG1348" s="54"/>
      <c r="AH1348" s="54"/>
      <c r="AI1348" s="55" t="str">
        <f t="shared" si="142"/>
        <v/>
      </c>
      <c r="AW1348" s="234"/>
      <c r="BP1348" s="11"/>
      <c r="BQ1348" s="11"/>
      <c r="BR1348" s="235"/>
      <c r="BV1348" s="158"/>
      <c r="BY1348" s="158"/>
      <c r="CB1348" s="158"/>
    </row>
    <row r="1349" ht="18.0" customHeight="1">
      <c r="A1349" s="222">
        <f>IFERROR(__xludf.DUMMYFUNCTION("""COMPUTED_VALUE"""),2026.0)</f>
        <v>2026</v>
      </c>
      <c r="B1349" s="221">
        <f>IFERROR(__xludf.DUMMYFUNCTION("""COMPUTED_VALUE"""),1.1438065E7)</f>
        <v>11438065</v>
      </c>
      <c r="C1349" s="222" t="str">
        <f>IFERROR(__xludf.DUMMYFUNCTION("""COMPUTED_VALUE"""),"SMB KOTA PAYAKUMBUH_16509")</f>
        <v>SMB KOTA PAYAKUMBUH_16509</v>
      </c>
      <c r="D1349" s="222" t="str">
        <f>IFERROR(__xludf.DUMMYFUNCTION("""COMPUTED_VALUE"""),"REGIONAL I")</f>
        <v>REGIONAL I</v>
      </c>
      <c r="E1349" s="222" t="str">
        <f>IFERROR(__xludf.DUMMYFUNCTION("""COMPUTED_VALUE"""),"SUMBAR")</f>
        <v>SUMBAR</v>
      </c>
      <c r="F1349" s="222" t="str">
        <f>IFERROR(__xludf.DUMMYFUNCTION("""COMPUTED_VALUE"""),"PYK")</f>
        <v>PYK</v>
      </c>
      <c r="G1349" s="222" t="str">
        <f>IFERROR(__xludf.DUMMYFUNCTION("""COMPUTED_VALUE"""),"SUMBAGTENG")</f>
        <v>SUMBAGTENG</v>
      </c>
      <c r="H1349" s="222" t="str">
        <f>IFERROR(__xludf.DUMMYFUNCTION("""COMPUTED_VALUE"""),"BUKIT TINGGI")</f>
        <v>BUKIT TINGGI</v>
      </c>
      <c r="I1349" s="222" t="str">
        <f>IFERROR(__xludf.DUMMYFUNCTION("""COMPUTED_VALUE"""),"Batch 2")</f>
        <v>Batch 2</v>
      </c>
      <c r="J1349" s="225">
        <f>IFERROR(__xludf.DUMMYFUNCTION("""COMPUTED_VALUE"""),12.0)</f>
        <v>12</v>
      </c>
      <c r="K1349" s="224">
        <f>IFERROR(__xludf.DUMMYFUNCTION("""COMPUTED_VALUE"""),96.0)</f>
        <v>96</v>
      </c>
      <c r="L1349" s="226">
        <f>IFERROR(__xludf.DUMMYFUNCTION("""COMPUTED_VALUE"""),750285.0)</f>
        <v>750285</v>
      </c>
      <c r="M1349" s="227">
        <f>IFERROR(__xludf.DUMMYFUNCTION("""COMPUTED_VALUE"""),7.2027329E7)</f>
        <v>72027329</v>
      </c>
      <c r="N1349" s="222" t="str">
        <f>IFERROR(__xludf.DUMMYFUNCTION("""COMPUTED_VALUE"""),"PT RATRI PRIMA MANDIRI")</f>
        <v>PT RATRI PRIMA MANDIRI</v>
      </c>
      <c r="O1349" s="222" t="str">
        <f>IFERROR(__xludf.DUMMYFUNCTION("""COMPUTED_VALUE"""),"2. DONE AANWIJZING")</f>
        <v>2. DONE AANWIJZING</v>
      </c>
      <c r="P1349" s="222" t="str">
        <f>IFERROR(__xludf.DUMMYFUNCTION("""COMPUTED_VALUE"""),"2.10 Kendala - Feeder Rusak")</f>
        <v>2.10 Kendala - Feeder Rusak</v>
      </c>
      <c r="Q1349" s="222" t="str">
        <f>IFERROR(__xludf.DUMMYFUNCTION("""COMPUTED_VALUE"""),"(20/04Proses identifikasi QE feeder  (12/03) proses pengukuran tipus feeder PYK-FP (27/01) BUTUH REPAIR FEEDER (PYK FP) (07/01) Persiapan")</f>
        <v>(20/04Proses identifikasi QE feeder  (12/03) proses pengukuran tipus feeder PYK-FP (27/01) BUTUH REPAIR FEEDER (PYK FP) (07/01) Persiapan</v>
      </c>
      <c r="R1349" s="228"/>
      <c r="S1349" s="11"/>
      <c r="T1349" s="11"/>
      <c r="U1349" s="11"/>
      <c r="V1349" s="229"/>
      <c r="W1349" s="229"/>
      <c r="X1349" s="229" t="str">
        <f>IFERROR(__xludf.DUMMYFUNCTION("""COMPUTED_VALUE"""),"BELUM GOLIVE")</f>
        <v>BELUM GOLIVE</v>
      </c>
      <c r="Y1349" s="229"/>
      <c r="Z1349" s="229" t="str">
        <f>IFERROR(__xludf.DUMMYFUNCTION("""COMPUTED_VALUE"""),"#N/A")</f>
        <v>#N/A</v>
      </c>
      <c r="AA1349" s="229"/>
      <c r="AB1349" s="229"/>
      <c r="AC1349" s="229"/>
      <c r="AD1349" s="232"/>
      <c r="AE1349" s="233"/>
      <c r="AF1349" s="54"/>
      <c r="AG1349" s="54"/>
      <c r="AH1349" s="54"/>
      <c r="AI1349" s="55" t="str">
        <f t="shared" si="142"/>
        <v/>
      </c>
      <c r="AW1349" s="234"/>
      <c r="BP1349" s="11"/>
      <c r="BQ1349" s="11"/>
      <c r="BR1349" s="235"/>
      <c r="BV1349" s="158"/>
      <c r="BY1349" s="158"/>
      <c r="CB1349" s="158"/>
    </row>
    <row r="1350" ht="18.0" customHeight="1">
      <c r="A1350" s="222">
        <f>IFERROR(__xludf.DUMMYFUNCTION("""COMPUTED_VALUE"""),2026.0)</f>
        <v>2026</v>
      </c>
      <c r="B1350" s="221">
        <f>IFERROR(__xludf.DUMMYFUNCTION("""COMPUTED_VALUE"""),1.1396034E7)</f>
        <v>11396034</v>
      </c>
      <c r="C1350" s="222" t="str">
        <f>IFERROR(__xludf.DUMMYFUNCTION("""COMPUTED_VALUE"""),"RDR ARK PT3 P2I2 KOTA PEKANBARU_7113")</f>
        <v>RDR ARK PT3 P2I2 KOTA PEKANBARU_7113</v>
      </c>
      <c r="D1350" s="222" t="str">
        <f>IFERROR(__xludf.DUMMYFUNCTION("""COMPUTED_VALUE"""),"REGIONAL I")</f>
        <v>REGIONAL I</v>
      </c>
      <c r="E1350" s="222" t="str">
        <f>IFERROR(__xludf.DUMMYFUNCTION("""COMPUTED_VALUE"""),"RIDAR")</f>
        <v>RIDAR</v>
      </c>
      <c r="F1350" s="222" t="str">
        <f>IFERROR(__xludf.DUMMYFUNCTION("""COMPUTED_VALUE"""),"ARK")</f>
        <v>ARK</v>
      </c>
      <c r="G1350" s="222" t="str">
        <f>IFERROR(__xludf.DUMMYFUNCTION("""COMPUTED_VALUE"""),"SUMBAGTENG")</f>
        <v>SUMBAGTENG</v>
      </c>
      <c r="H1350" s="222" t="str">
        <f>IFERROR(__xludf.DUMMYFUNCTION("""COMPUTED_VALUE"""),"PEKANBARU")</f>
        <v>PEKANBARU</v>
      </c>
      <c r="I1350" s="222" t="str">
        <f>IFERROR(__xludf.DUMMYFUNCTION("""COMPUTED_VALUE"""),"Batch 2")</f>
        <v>Batch 2</v>
      </c>
      <c r="J1350" s="225">
        <f>IFERROR(__xludf.DUMMYFUNCTION("""COMPUTED_VALUE"""),4.0)</f>
        <v>4</v>
      </c>
      <c r="K1350" s="224">
        <f>IFERROR(__xludf.DUMMYFUNCTION("""COMPUTED_VALUE"""),32.0)</f>
        <v>32</v>
      </c>
      <c r="L1350" s="226">
        <f>IFERROR(__xludf.DUMMYFUNCTION("""COMPUTED_VALUE"""),750068.0)</f>
        <v>750068</v>
      </c>
      <c r="M1350" s="227">
        <f>IFERROR(__xludf.DUMMYFUNCTION("""COMPUTED_VALUE"""),2.4002158E7)</f>
        <v>24002158</v>
      </c>
      <c r="N1350" s="222" t="str">
        <f>IFERROR(__xludf.DUMMYFUNCTION("""COMPUTED_VALUE"""),"PT UPAYA TEKNIK")</f>
        <v>PT UPAYA TEKNIK</v>
      </c>
      <c r="O1350" s="222" t="str">
        <f>IFERROR(__xludf.DUMMYFUNCTION("""COMPUTED_VALUE"""),"2. DONE AANWIJZING")</f>
        <v>2. DONE AANWIJZING</v>
      </c>
      <c r="P1350" s="222" t="str">
        <f>IFERROR(__xludf.DUMMYFUNCTION("""COMPUTED_VALUE"""),"2.10 Kendala - Feeder Rusak")</f>
        <v>2.10 Kendala - Feeder Rusak</v>
      </c>
      <c r="Q1350" s="222" t="str">
        <f>IFERROR(__xludf.DUMMYFUNCTION("""COMPUTED_VALUE"""),"20/04 Pengambilan ulang hasil ukur OTDR 13/04 Pengambilan ulang OTDR utk kebutuhan QE 20/01 Drop kendala feeder (07/01) Persiapan")</f>
        <v>20/04 Pengambilan ulang hasil ukur OTDR 13/04 Pengambilan ulang OTDR utk kebutuhan QE 20/01 Drop kendala feeder (07/01) Persiapan</v>
      </c>
      <c r="R1350" s="228"/>
      <c r="S1350" s="11"/>
      <c r="T1350" s="11"/>
      <c r="U1350" s="11"/>
      <c r="V1350" s="229" t="str">
        <f>IFERROR(__xludf.DUMMYFUNCTION("""COMPUTED_VALUE"""),"RIZKY SEPTIAN PRATAMA")</f>
        <v>RIZKY SEPTIAN PRATAMA</v>
      </c>
      <c r="W1350" s="229" t="str">
        <f>IFERROR(__xludf.DUMMYFUNCTION("""COMPUTED_VALUE"""),"DESLITA RAHMADANI")</f>
        <v>DESLITA RAHMADANI</v>
      </c>
      <c r="X1350" s="229" t="str">
        <f>IFERROR(__xludf.DUMMYFUNCTION("""COMPUTED_VALUE"""),"BELUM GOLIVE")</f>
        <v>BELUM GOLIVE</v>
      </c>
      <c r="Y1350" s="229"/>
      <c r="Z1350" s="229" t="str">
        <f>IFERROR(__xludf.DUMMYFUNCTION("""COMPUTED_VALUE"""),"#N/A")</f>
        <v>#N/A</v>
      </c>
      <c r="AA1350" s="229"/>
      <c r="AB1350" s="229"/>
      <c r="AC1350" s="229"/>
      <c r="AD1350" s="232"/>
      <c r="AE1350" s="233"/>
      <c r="AF1350" s="54"/>
      <c r="AG1350" s="54"/>
      <c r="AH1350" s="54"/>
      <c r="AI1350" s="55" t="str">
        <f t="shared" si="142"/>
        <v/>
      </c>
      <c r="AW1350" s="234"/>
      <c r="BP1350" s="11"/>
      <c r="BQ1350" s="11"/>
      <c r="BR1350" s="235"/>
      <c r="BV1350" s="158"/>
      <c r="BY1350" s="158"/>
      <c r="CB1350" s="158"/>
    </row>
    <row r="1351" ht="18.0" hidden="1" customHeight="1">
      <c r="A1351" s="222">
        <f>IFERROR(__xludf.DUMMYFUNCTION("""COMPUTED_VALUE"""),2026.0)</f>
        <v>2026</v>
      </c>
      <c r="B1351" s="221">
        <f>IFERROR(__xludf.DUMMYFUNCTION("""COMPUTED_VALUE"""),1.1219981E7)</f>
        <v>11219981</v>
      </c>
      <c r="C1351" s="222" t="str">
        <f>IFERROR(__xludf.DUMMYFUNCTION("""COMPUTED_VALUE"""),"MDN PT3 P7I6 CTD-FAH SCATER BAKTI")</f>
        <v>MDN PT3 P7I6 CTD-FAH SCATER BAKTI</v>
      </c>
      <c r="D1351" s="222" t="str">
        <f>IFERROR(__xludf.DUMMYFUNCTION("""COMPUTED_VALUE"""),"REGIONAL I")</f>
        <v>REGIONAL I</v>
      </c>
      <c r="E1351" s="222" t="str">
        <f>IFERROR(__xludf.DUMMYFUNCTION("""COMPUTED_VALUE"""),"MEDAN")</f>
        <v>MEDAN</v>
      </c>
      <c r="F1351" s="222" t="str">
        <f>IFERROR(__xludf.DUMMYFUNCTION("""COMPUTED_VALUE"""),"CTD")</f>
        <v>CTD</v>
      </c>
      <c r="G1351" s="222" t="str">
        <f>IFERROR(__xludf.DUMMYFUNCTION("""COMPUTED_VALUE"""),"SUMBAGUT")</f>
        <v>SUMBAGUT</v>
      </c>
      <c r="H1351" s="222" t="str">
        <f>IFERROR(__xludf.DUMMYFUNCTION("""COMPUTED_VALUE"""),"MEDAN")</f>
        <v>MEDAN</v>
      </c>
      <c r="I1351" s="222" t="str">
        <f>IFERROR(__xludf.DUMMYFUNCTION("""COMPUTED_VALUE"""),"Batch 2")</f>
        <v>Batch 2</v>
      </c>
      <c r="J1351" s="225">
        <f>IFERROR(__xludf.DUMMYFUNCTION("""COMPUTED_VALUE"""),2.0)</f>
        <v>2</v>
      </c>
      <c r="K1351" s="224">
        <f>IFERROR(__xludf.DUMMYFUNCTION("""COMPUTED_VALUE"""),16.0)</f>
        <v>16</v>
      </c>
      <c r="L1351" s="226">
        <f>IFERROR(__xludf.DUMMYFUNCTION("""COMPUTED_VALUE"""),1054135.0)</f>
        <v>1054135</v>
      </c>
      <c r="M1351" s="227">
        <f>IFERROR(__xludf.DUMMYFUNCTION("""COMPUTED_VALUE"""),1.6866155E7)</f>
        <v>16866155</v>
      </c>
      <c r="N1351" s="222" t="str">
        <f>IFERROR(__xludf.DUMMYFUNCTION("""COMPUTED_VALUE"""),"PT TRIPOLA PANATA")</f>
        <v>PT TRIPOLA PANATA</v>
      </c>
      <c r="O1351" s="222" t="str">
        <f>IFERROR(__xludf.DUMMYFUNCTION("""COMPUTED_VALUE"""),"8. UJI TERIMA")</f>
        <v>8. UJI TERIMA</v>
      </c>
      <c r="P1351" s="222" t="str">
        <f>IFERROR(__xludf.DUMMYFUNCTION("""COMPUTED_VALUE"""),"8.1 Proses UT")</f>
        <v>8.1 Proses UT</v>
      </c>
      <c r="Q1351" s="222"/>
      <c r="R1351" s="228">
        <f>IFERROR(__xludf.DUMMYFUNCTION("""COMPUTED_VALUE"""),46060.0)</f>
        <v>46060</v>
      </c>
      <c r="S1351" s="11"/>
      <c r="T1351" s="11"/>
      <c r="U1351" s="11" t="str">
        <f>IFERROR(__xludf.DUMMYFUNCTION("""COMPUTED_VALUE"""),"FALSE")</f>
        <v>FALSE</v>
      </c>
      <c r="V1351" s="229"/>
      <c r="W1351" s="229"/>
      <c r="X1351" s="229" t="str">
        <f>IFERROR(__xludf.DUMMYFUNCTION("""COMPUTED_VALUE"""),"GOLIVE")</f>
        <v>GOLIVE</v>
      </c>
      <c r="Y1351" s="229" t="str">
        <f>IFERROR(__xludf.DUMMYFUNCTION("""COMPUTED_VALUE"""),"DONE")</f>
        <v>DONE</v>
      </c>
      <c r="Z1351" s="229" t="str">
        <f>IFERROR(__xludf.DUMMYFUNCTION("""COMPUTED_VALUE"""),"#N/A")</f>
        <v>#N/A</v>
      </c>
      <c r="AA1351" s="229">
        <f>IFERROR(__xludf.DUMMYFUNCTION("""COMPUTED_VALUE"""),1.0)</f>
        <v>1</v>
      </c>
      <c r="AB1351" s="229"/>
      <c r="AC1351" s="229" t="str">
        <f>IFERROR(__xludf.DUMMYFUNCTION("""COMPUTED_VALUE"""),"9082668#9082673")</f>
        <v>9082668#9082673</v>
      </c>
      <c r="AD1351" s="232">
        <f>IFERROR(__xludf.DUMMYFUNCTION("""COMPUTED_VALUE"""),8.0)</f>
        <v>8</v>
      </c>
      <c r="AE1351" s="233">
        <f>IFERROR(__xludf.DUMMYFUNCTION("""COMPUTED_VALUE"""),46060.0)</f>
        <v>46060</v>
      </c>
      <c r="AF1351" s="54"/>
      <c r="AG1351" s="54"/>
      <c r="AH1351" s="54">
        <v>46060.0</v>
      </c>
      <c r="AI1351" s="55">
        <f t="shared" si="142"/>
        <v>0</v>
      </c>
      <c r="AW1351" s="234"/>
      <c r="BP1351" s="11"/>
      <c r="BQ1351" s="11"/>
      <c r="BR1351" s="235"/>
      <c r="BV1351" s="158"/>
      <c r="BY1351" s="158"/>
      <c r="CB1351" s="158"/>
    </row>
    <row r="1352" ht="18.0" customHeight="1">
      <c r="A1352" s="222">
        <f>IFERROR(__xludf.DUMMYFUNCTION("""COMPUTED_VALUE"""),2026.0)</f>
        <v>2026</v>
      </c>
      <c r="B1352" s="221">
        <f>IFERROR(__xludf.DUMMYFUNCTION("""COMPUTED_VALUE"""),1.1793991E7)</f>
        <v>11793991</v>
      </c>
      <c r="C1352" s="222" t="str">
        <f>IFERROR(__xludf.DUMMYFUNCTION("""COMPUTED_VALUE"""),"SMB TPN PT3-PT4 MD SUMBAR 8864-8919")</f>
        <v>SMB TPN PT3-PT4 MD SUMBAR 8864-8919</v>
      </c>
      <c r="D1352" s="222" t="str">
        <f>IFERROR(__xludf.DUMMYFUNCTION("""COMPUTED_VALUE"""),"REGIONAL I")</f>
        <v>REGIONAL I</v>
      </c>
      <c r="E1352" s="222" t="str">
        <f>IFERROR(__xludf.DUMMYFUNCTION("""COMPUTED_VALUE"""),"SUMBAR")</f>
        <v>SUMBAR</v>
      </c>
      <c r="F1352" s="222" t="str">
        <f>IFERROR(__xludf.DUMMYFUNCTION("""COMPUTED_VALUE"""),"TPN")</f>
        <v>TPN</v>
      </c>
      <c r="G1352" s="222" t="str">
        <f>IFERROR(__xludf.DUMMYFUNCTION("""COMPUTED_VALUE"""),"SUMBAGTENG")</f>
        <v>SUMBAGTENG</v>
      </c>
      <c r="H1352" s="222" t="str">
        <f>IFERROR(__xludf.DUMMYFUNCTION("""COMPUTED_VALUE"""),"PADANG")</f>
        <v>PADANG</v>
      </c>
      <c r="I1352" s="222" t="str">
        <f>IFERROR(__xludf.DUMMYFUNCTION("""COMPUTED_VALUE"""),"Batch 2")</f>
        <v>Batch 2</v>
      </c>
      <c r="J1352" s="225">
        <f>IFERROR(__xludf.DUMMYFUNCTION("""COMPUTED_VALUE"""),5.0)</f>
        <v>5</v>
      </c>
      <c r="K1352" s="224">
        <f>IFERROR(__xludf.DUMMYFUNCTION("""COMPUTED_VALUE"""),40.0)</f>
        <v>40</v>
      </c>
      <c r="L1352" s="226">
        <f>IFERROR(__xludf.DUMMYFUNCTION("""COMPUTED_VALUE"""),747819.0)</f>
        <v>747819</v>
      </c>
      <c r="M1352" s="227">
        <f>IFERROR(__xludf.DUMMYFUNCTION("""COMPUTED_VALUE"""),2.9912751E7)</f>
        <v>29912751</v>
      </c>
      <c r="N1352" s="222" t="str">
        <f>IFERROR(__xludf.DUMMYFUNCTION("""COMPUTED_VALUE"""),"PT ACERO CETHA METALINDO")</f>
        <v>PT ACERO CETHA METALINDO</v>
      </c>
      <c r="O1352" s="222" t="str">
        <f>IFERROR(__xludf.DUMMYFUNCTION("""COMPUTED_VALUE"""),"4. MATDEL")</f>
        <v>4. MATDEL</v>
      </c>
      <c r="P1352" s="222" t="str">
        <f>IFERROR(__xludf.DUMMYFUNCTION("""COMPUTED_VALUE"""),"4.4 Proses Pengiriman Pabribak ke WH")</f>
        <v>4.4 Proses Pengiriman Pabribak ke WH</v>
      </c>
      <c r="Q1352" s="222" t="str">
        <f>IFERROR(__xludf.DUMMYFUNCTION("""COMPUTED_VALUE"""),"(27/04) menunggu PO kabel 24 ADSS (20/04) Proses create PID   (10/04) Proses aanwijziing , LOP HOLD FEEDER FULL ACC GO (26/01) KENDALA FEEDER TPN-FA FULL, BUTUH NEW FEEDER DAN UP ODC ")</f>
        <v>(27/04) menunggu PO kabel 24 ADSS (20/04) Proses create PID   (10/04) Proses aanwijziing , LOP HOLD FEEDER FULL ACC GO (26/01) KENDALA FEEDER TPN-FA FULL, BUTUH NEW FEEDER DAN UP ODC </v>
      </c>
      <c r="R1352" s="228"/>
      <c r="S1352" s="11"/>
      <c r="T1352" s="11"/>
      <c r="U1352" s="11"/>
      <c r="V1352" s="229" t="str">
        <f>IFERROR(__xludf.DUMMYFUNCTION("""COMPUTED_VALUE"""),"PRAMADIO SEPWILMAN")</f>
        <v>PRAMADIO SEPWILMAN</v>
      </c>
      <c r="W1352" s="229" t="str">
        <f>IFERROR(__xludf.DUMMYFUNCTION("""COMPUTED_VALUE"""),"MELKO NARWADI")</f>
        <v>MELKO NARWADI</v>
      </c>
      <c r="X1352" s="229" t="str">
        <f>IFERROR(__xludf.DUMMYFUNCTION("""COMPUTED_VALUE"""),"BELUM GOLIVE")</f>
        <v>BELUM GOLIVE</v>
      </c>
      <c r="Y1352" s="229"/>
      <c r="Z1352" s="229" t="str">
        <f>IFERROR(__xludf.DUMMYFUNCTION("""COMPUTED_VALUE"""),"#N/A")</f>
        <v>#N/A</v>
      </c>
      <c r="AA1352" s="229"/>
      <c r="AB1352" s="229"/>
      <c r="AC1352" s="229"/>
      <c r="AD1352" s="232"/>
      <c r="AE1352" s="233"/>
      <c r="AF1352" s="54" t="str">
        <f>IFERROR(__xludf.DUMMYFUNCTION("""COMPUTED_VALUE"""),"Draft BA DROP")</f>
        <v>Draft BA DROP</v>
      </c>
      <c r="AG1352" s="54"/>
      <c r="AH1352" s="54"/>
      <c r="AI1352" s="55" t="str">
        <f t="shared" si="142"/>
        <v/>
      </c>
      <c r="AW1352" s="234"/>
      <c r="BP1352" s="11"/>
      <c r="BQ1352" s="11"/>
      <c r="BR1352" s="235"/>
      <c r="BV1352" s="158"/>
      <c r="BY1352" s="158"/>
      <c r="CB1352" s="158"/>
    </row>
    <row r="1353" ht="18.0" hidden="1" customHeight="1">
      <c r="A1353" s="222">
        <f>IFERROR(__xludf.DUMMYFUNCTION("""COMPUTED_VALUE"""),2026.0)</f>
        <v>2026</v>
      </c>
      <c r="B1353" s="221">
        <f>IFERROR(__xludf.DUMMYFUNCTION("""COMPUTED_VALUE"""),1.239332E7)</f>
        <v>12393320</v>
      </c>
      <c r="C1353" s="222" t="str">
        <f>IFERROR(__xludf.DUMMYFUNCTION("""COMPUTED_VALUE"""),"MDN PT3 STB-FD 250_1670_1568")</f>
        <v>MDN PT3 STB-FD 250_1670_1568</v>
      </c>
      <c r="D1353" s="222" t="str">
        <f>IFERROR(__xludf.DUMMYFUNCTION("""COMPUTED_VALUE"""),"REGIONAL I")</f>
        <v>REGIONAL I</v>
      </c>
      <c r="E1353" s="222" t="str">
        <f>IFERROR(__xludf.DUMMYFUNCTION("""COMPUTED_VALUE"""),"MEDAN")</f>
        <v>MEDAN</v>
      </c>
      <c r="F1353" s="222" t="str">
        <f>IFERROR(__xludf.DUMMYFUNCTION("""COMPUTED_VALUE"""),"STB")</f>
        <v>STB</v>
      </c>
      <c r="G1353" s="222" t="str">
        <f>IFERROR(__xludf.DUMMYFUNCTION("""COMPUTED_VALUE"""),"SUMBAGUT")</f>
        <v>SUMBAGUT</v>
      </c>
      <c r="H1353" s="222" t="str">
        <f>IFERROR(__xludf.DUMMYFUNCTION("""COMPUTED_VALUE"""),"BINJAI")</f>
        <v>BINJAI</v>
      </c>
      <c r="I1353" s="222" t="str">
        <f>IFERROR(__xludf.DUMMYFUNCTION("""COMPUTED_VALUE"""),"Batch 2")</f>
        <v>Batch 2</v>
      </c>
      <c r="J1353" s="225">
        <f>IFERROR(__xludf.DUMMYFUNCTION("""COMPUTED_VALUE"""),2.0)</f>
        <v>2</v>
      </c>
      <c r="K1353" s="224">
        <f>IFERROR(__xludf.DUMMYFUNCTION("""COMPUTED_VALUE"""),16.0)</f>
        <v>16</v>
      </c>
      <c r="L1353" s="226">
        <f>IFERROR(__xludf.DUMMYFUNCTION("""COMPUTED_VALUE"""),747027.0)</f>
        <v>747027</v>
      </c>
      <c r="M1353" s="227">
        <f>IFERROR(__xludf.DUMMYFUNCTION("""COMPUTED_VALUE"""),1.195243E7)</f>
        <v>11952430</v>
      </c>
      <c r="N1353" s="222" t="str">
        <f>IFERROR(__xludf.DUMMYFUNCTION("""COMPUTED_VALUE"""),"PT FIBERHOME TECHNOLOGIES INDONESIA")</f>
        <v>PT FIBERHOME TECHNOLOGIES INDONESIA</v>
      </c>
      <c r="O1353" s="222" t="str">
        <f>IFERROR(__xludf.DUMMYFUNCTION("""COMPUTED_VALUE"""),"7. GOLIVE")</f>
        <v>7. GOLIVE</v>
      </c>
      <c r="P1353" s="222" t="str">
        <f>IFERROR(__xludf.DUMMYFUNCTION("""COMPUTED_VALUE"""),"7.2 Golive Full / OA / DONE OTB")</f>
        <v>7.2 Golive Full / OA / DONE OTB</v>
      </c>
      <c r="Q1353" s="222" t="str">
        <f>IFERROR(__xludf.DUMMYFUNCTION("""COMPUTED_VALUE"""),"07/04 terminasi di joint clousure
28/02 progres penarikan KU
19/02 input material
18/02 feeder dist ready 
(07/02) cek distribusi (12/01) selesai fisik, menunggu golive (07/01) Persiapan")</f>
        <v>07/04 terminasi di joint clousure
28/02 progres penarikan KU
19/02 input material
18/02 feeder dist ready 
(07/02) cek distribusi (12/01) selesai fisik, menunggu golive (07/01) Persiapan</v>
      </c>
      <c r="R1353" s="228">
        <f>IFERROR(__xludf.DUMMYFUNCTION("""COMPUTED_VALUE"""),46120.0)</f>
        <v>46120</v>
      </c>
      <c r="S1353" s="11"/>
      <c r="T1353" s="73"/>
      <c r="U1353" s="11"/>
      <c r="V1353" s="229"/>
      <c r="W1353" s="229" t="str">
        <f>IFERROR(__xludf.DUMMYFUNCTION("""COMPUTED_VALUE"""),"#N/A")</f>
        <v>#N/A</v>
      </c>
      <c r="X1353" s="229" t="str">
        <f>IFERROR(__xludf.DUMMYFUNCTION("""COMPUTED_VALUE"""),"GOLIVE")</f>
        <v>GOLIVE</v>
      </c>
      <c r="Y1353" s="229" t="str">
        <f>IFERROR(__xludf.DUMMYFUNCTION("""COMPUTED_VALUE"""),"DONE")</f>
        <v>DONE</v>
      </c>
      <c r="Z1353" s="229" t="str">
        <f>IFERROR(__xludf.DUMMYFUNCTION("""COMPUTED_VALUE"""),"#N/A")</f>
        <v>#N/A</v>
      </c>
      <c r="AA1353" s="229">
        <f>IFERROR(__xludf.DUMMYFUNCTION("""COMPUTED_VALUE"""),2.0)</f>
        <v>2</v>
      </c>
      <c r="AB1353" s="229"/>
      <c r="AC1353" s="229" t="str">
        <f>IFERROR(__xludf.DUMMYFUNCTION("""COMPUTED_VALUE"""),"9253955#9253965")</f>
        <v>9253955#9253965</v>
      </c>
      <c r="AD1353" s="232">
        <f>IFERROR(__xludf.DUMMYFUNCTION("""COMPUTED_VALUE"""),16.0)</f>
        <v>16</v>
      </c>
      <c r="AE1353" s="233">
        <f>IFERROR(__xludf.DUMMYFUNCTION("""COMPUTED_VALUE"""),46120.0)</f>
        <v>46120</v>
      </c>
      <c r="AF1353" s="54"/>
      <c r="AG1353" s="54"/>
      <c r="AH1353" s="54">
        <v>46120.0</v>
      </c>
      <c r="AI1353" s="55">
        <f t="shared" si="142"/>
        <v>0</v>
      </c>
      <c r="AW1353" s="234"/>
      <c r="BP1353" s="11"/>
      <c r="BQ1353" s="11"/>
      <c r="BR1353" s="235"/>
      <c r="BV1353" s="158"/>
      <c r="BY1353" s="158"/>
      <c r="CB1353" s="158"/>
    </row>
    <row r="1354" ht="18.0" hidden="1" customHeight="1">
      <c r="A1354" s="222">
        <f>IFERROR(__xludf.DUMMYFUNCTION("""COMPUTED_VALUE"""),2026.0)</f>
        <v>2026</v>
      </c>
      <c r="B1354" s="221">
        <f>IFERROR(__xludf.DUMMYFUNCTION("""COMPUTED_VALUE"""),1.1332818E7)</f>
        <v>11332818</v>
      </c>
      <c r="C1354" s="222" t="str">
        <f>IFERROR(__xludf.DUMMYFUNCTION("""COMPUTED_VALUE"""),"SMS P2I2 PT3 BKS FAS D06 THE FORESTA")</f>
        <v>SMS P2I2 PT3 BKS FAS D06 THE FORESTA</v>
      </c>
      <c r="D1354" s="222" t="str">
        <f>IFERROR(__xludf.DUMMYFUNCTION("""COMPUTED_VALUE"""),"REGIONAL I")</f>
        <v>REGIONAL I</v>
      </c>
      <c r="E1354" s="222" t="str">
        <f>IFERROR(__xludf.DUMMYFUNCTION("""COMPUTED_VALUE"""),"SUMSEL")</f>
        <v>SUMSEL</v>
      </c>
      <c r="F1354" s="222" t="str">
        <f>IFERROR(__xludf.DUMMYFUNCTION("""COMPUTED_VALUE"""),"BKS")</f>
        <v>BKS</v>
      </c>
      <c r="G1354" s="222" t="str">
        <f>IFERROR(__xludf.DUMMYFUNCTION("""COMPUTED_VALUE"""),"SUMBAGSEL")</f>
        <v>SUMBAGSEL</v>
      </c>
      <c r="H1354" s="222" t="str">
        <f>IFERROR(__xludf.DUMMYFUNCTION("""COMPUTED_VALUE"""),"PALEMBANG")</f>
        <v>PALEMBANG</v>
      </c>
      <c r="I1354" s="222" t="str">
        <f>IFERROR(__xludf.DUMMYFUNCTION("""COMPUTED_VALUE"""),"Batch 2")</f>
        <v>Batch 2</v>
      </c>
      <c r="J1354" s="225">
        <f>IFERROR(__xludf.DUMMYFUNCTION("""COMPUTED_VALUE"""),2.0)</f>
        <v>2</v>
      </c>
      <c r="K1354" s="224">
        <f>IFERROR(__xludf.DUMMYFUNCTION("""COMPUTED_VALUE"""),16.0)</f>
        <v>16</v>
      </c>
      <c r="L1354" s="226">
        <f>IFERROR(__xludf.DUMMYFUNCTION("""COMPUTED_VALUE"""),746905.0)</f>
        <v>746905</v>
      </c>
      <c r="M1354" s="227">
        <f>IFERROR(__xludf.DUMMYFUNCTION("""COMPUTED_VALUE"""),1.1950479E7)</f>
        <v>11950479</v>
      </c>
      <c r="N1354" s="222" t="str">
        <f>IFERROR(__xludf.DUMMYFUNCTION("""COMPUTED_VALUE"""),"PT GARINDO TECHNO MANDIRI")</f>
        <v>PT GARINDO TECHNO MANDIRI</v>
      </c>
      <c r="O1354" s="222" t="str">
        <f>IFERROR(__xludf.DUMMYFUNCTION("""COMPUTED_VALUE"""),"8. UJI TERIMA")</f>
        <v>8. UJI TERIMA</v>
      </c>
      <c r="P1354" s="222" t="str">
        <f>IFERROR(__xludf.DUMMYFUNCTION("""COMPUTED_VALUE"""),"8.1 Proses UT")</f>
        <v>8.1 Proses UT</v>
      </c>
      <c r="Q1354" s="222" t="str">
        <f>IFERROR(__xludf.DUMMYFUNCTION("""COMPUTED_VALUE"""),"(21/01) GOLIVE tgl 19/01/26, 14/01 GOLIVE, (24/11) hi progres tanam tinag (22/11) tim progerss tarik kabel hi (18/11) OGP menunggu antrian matdel, 14/11 matdel 13/11 matdel, 10/11 delivery material (07/11) INPUT MATERIAL OVER BUDGET (04/11) penunjukan mit"&amp;"ra alexa 3/11 penunjukan mitra alexa")</f>
        <v>(21/01) GOLIVE tgl 19/01/26, 14/01 GOLIVE, (24/11) hi progres tanam tinag (22/11) tim progerss tarik kabel hi (18/11) OGP menunggu antrian matdel, 14/11 matdel 13/11 matdel, 10/11 delivery material (07/11) INPUT MATERIAL OVER BUDGET (04/11) penunjukan mitra alexa 3/11 penunjukan mitra alexa</v>
      </c>
      <c r="R1354" s="228"/>
      <c r="S1354" s="11"/>
      <c r="T1354" s="11"/>
      <c r="U1354" s="11"/>
      <c r="V1354" s="229" t="str">
        <f>IFERROR(__xludf.DUMMYFUNCTION("""COMPUTED_VALUE"""),"PRIGUS")</f>
        <v>PRIGUS</v>
      </c>
      <c r="W1354" s="229"/>
      <c r="X1354" s="229" t="str">
        <f>IFERROR(__xludf.DUMMYFUNCTION("""COMPUTED_VALUE"""),"GOLIVE")</f>
        <v>GOLIVE</v>
      </c>
      <c r="Y1354" s="229" t="str">
        <f>IFERROR(__xludf.DUMMYFUNCTION("""COMPUTED_VALUE"""),"DONE")</f>
        <v>DONE</v>
      </c>
      <c r="Z1354" s="229" t="str">
        <f>IFERROR(__xludf.DUMMYFUNCTION("""COMPUTED_VALUE"""),"#N/A")</f>
        <v>#N/A</v>
      </c>
      <c r="AA1354" s="229">
        <f>IFERROR(__xludf.DUMMYFUNCTION("""COMPUTED_VALUE"""),2.0)</f>
        <v>2</v>
      </c>
      <c r="AB1354" s="229"/>
      <c r="AC1354" s="229" t="str">
        <f>IFERROR(__xludf.DUMMYFUNCTION("""COMPUTED_VALUE"""),"8531107#8531112")</f>
        <v>8531107#8531112</v>
      </c>
      <c r="AD1354" s="232">
        <f>IFERROR(__xludf.DUMMYFUNCTION("""COMPUTED_VALUE"""),16.0)</f>
        <v>16</v>
      </c>
      <c r="AE1354" s="233">
        <f>IFERROR(__xludf.DUMMYFUNCTION("""COMPUTED_VALUE"""),46036.0)</f>
        <v>46036</v>
      </c>
      <c r="AF1354" s="54"/>
      <c r="AG1354" s="54"/>
      <c r="AH1354" s="54"/>
      <c r="AI1354" s="55" t="str">
        <f t="shared" si="142"/>
        <v/>
      </c>
      <c r="AW1354" s="234"/>
      <c r="BP1354" s="11"/>
      <c r="BQ1354" s="11"/>
      <c r="BR1354" s="235"/>
      <c r="BV1354" s="158"/>
      <c r="BY1354" s="158"/>
      <c r="CB1354" s="158"/>
    </row>
    <row r="1355" ht="18.0" hidden="1" customHeight="1">
      <c r="A1355" s="222">
        <f>IFERROR(__xludf.DUMMYFUNCTION("""COMPUTED_VALUE"""),2026.0)</f>
        <v>2026</v>
      </c>
      <c r="B1355" s="221">
        <f>IFERROR(__xludf.DUMMYFUNCTION("""COMPUTED_VALUE"""),1.1271792E7)</f>
        <v>11271792</v>
      </c>
      <c r="C1355" s="222" t="str">
        <f>IFERROR(__xludf.DUMMYFUNCTION("""COMPUTED_VALUE"""),"MDN PT3 P1I1 KUL-FE JL.RAJA TENGAH")</f>
        <v>MDN PT3 P1I1 KUL-FE JL.RAJA TENGAH</v>
      </c>
      <c r="D1355" s="222" t="str">
        <f>IFERROR(__xludf.DUMMYFUNCTION("""COMPUTED_VALUE"""),"REGIONAL I")</f>
        <v>REGIONAL I</v>
      </c>
      <c r="E1355" s="222" t="str">
        <f>IFERROR(__xludf.DUMMYFUNCTION("""COMPUTED_VALUE"""),"MEDAN")</f>
        <v>MEDAN</v>
      </c>
      <c r="F1355" s="222" t="str">
        <f>IFERROR(__xludf.DUMMYFUNCTION("""COMPUTED_VALUE"""),"KUL")</f>
        <v>KUL</v>
      </c>
      <c r="G1355" s="222" t="str">
        <f>IFERROR(__xludf.DUMMYFUNCTION("""COMPUTED_VALUE"""),"SUMBAGUT")</f>
        <v>SUMBAGUT</v>
      </c>
      <c r="H1355" s="222" t="str">
        <f>IFERROR(__xludf.DUMMYFUNCTION("""COMPUTED_VALUE"""),"BINJAI")</f>
        <v>BINJAI</v>
      </c>
      <c r="I1355" s="222" t="str">
        <f>IFERROR(__xludf.DUMMYFUNCTION("""COMPUTED_VALUE"""),"Batch 2")</f>
        <v>Batch 2</v>
      </c>
      <c r="J1355" s="225">
        <f>IFERROR(__xludf.DUMMYFUNCTION("""COMPUTED_VALUE"""),5.0)</f>
        <v>5</v>
      </c>
      <c r="K1355" s="224">
        <f>IFERROR(__xludf.DUMMYFUNCTION("""COMPUTED_VALUE"""),40.0)</f>
        <v>40</v>
      </c>
      <c r="L1355" s="226">
        <f>IFERROR(__xludf.DUMMYFUNCTION("""COMPUTED_VALUE"""),1299613.0)</f>
        <v>1299613</v>
      </c>
      <c r="M1355" s="227">
        <f>IFERROR(__xludf.DUMMYFUNCTION("""COMPUTED_VALUE"""),5.1984509E7)</f>
        <v>51984509</v>
      </c>
      <c r="N1355" s="222" t="str">
        <f>IFERROR(__xludf.DUMMYFUNCTION("""COMPUTED_VALUE"""),"PT KENCANA RAYA INDONESIA")</f>
        <v>PT KENCANA RAYA INDONESIA</v>
      </c>
      <c r="O1355" s="222" t="str">
        <f>IFERROR(__xludf.DUMMYFUNCTION("""COMPUTED_VALUE"""),"0. DROP")</f>
        <v>0. DROP</v>
      </c>
      <c r="P1355" s="222" t="str">
        <f>IFERROR(__xludf.DUMMYFUNCTION("""COMPUTED_VALUE"""),"0.4 CPP Tinggi Acc ED TIF")</f>
        <v>0.4 CPP Tinggi Acc ED TIF</v>
      </c>
      <c r="Q1355" s="222" t="str">
        <f>IFERROR(__xludf.DUMMYFUNCTION("""COMPUTED_VALUE"""),"(13/02) ogp perizinan (07/01) Persiapan")</f>
        <v>(13/02) ogp perizinan (07/01) Persiapan</v>
      </c>
      <c r="R1355" s="228"/>
      <c r="S1355" s="11"/>
      <c r="T1355" s="11"/>
      <c r="U1355" s="11"/>
      <c r="V1355" s="229"/>
      <c r="W1355" s="229"/>
      <c r="X1355" s="229" t="str">
        <f>IFERROR(__xludf.DUMMYFUNCTION("""COMPUTED_VALUE"""),"BELUM GOLIVE")</f>
        <v>BELUM GOLIVE</v>
      </c>
      <c r="Y1355" s="229"/>
      <c r="Z1355" s="229" t="str">
        <f>IFERROR(__xludf.DUMMYFUNCTION("""COMPUTED_VALUE"""),"#N/A")</f>
        <v>#N/A</v>
      </c>
      <c r="AA1355" s="229"/>
      <c r="AB1355" s="229"/>
      <c r="AC1355" s="229"/>
      <c r="AD1355" s="232"/>
      <c r="AE1355" s="233"/>
      <c r="AF1355" s="54" t="str">
        <f>IFERROR(__xludf.DUMMYFUNCTION("""COMPUTED_VALUE"""),"Draft BA DROP")</f>
        <v>Draft BA DROP</v>
      </c>
      <c r="AG1355" s="54"/>
      <c r="AH1355" s="54"/>
      <c r="AI1355" s="55" t="str">
        <f t="shared" si="142"/>
        <v/>
      </c>
      <c r="AW1355" s="234"/>
      <c r="BP1355" s="11"/>
      <c r="BQ1355" s="11"/>
      <c r="BR1355" s="235"/>
      <c r="BV1355" s="158"/>
      <c r="BY1355" s="158"/>
      <c r="CB1355" s="158"/>
    </row>
    <row r="1356" ht="18.0" hidden="1" customHeight="1">
      <c r="A1356" s="222">
        <f>IFERROR(__xludf.DUMMYFUNCTION("""COMPUTED_VALUE"""),2026.0)</f>
        <v>2026</v>
      </c>
      <c r="B1356" s="221">
        <f>IFERROR(__xludf.DUMMYFUNCTION("""COMPUTED_VALUE"""),1.053476E7)</f>
        <v>10534760</v>
      </c>
      <c r="C1356" s="222" t="str">
        <f>IFERROR(__xludf.DUMMYFUNCTION("""COMPUTED_VALUE"""),"MDN PT3 TMU-FAC KOMPLEK MULIA RESIDENCE 4")</f>
        <v>MDN PT3 TMU-FAC KOMPLEK MULIA RESIDENCE 4</v>
      </c>
      <c r="D1356" s="222" t="str">
        <f>IFERROR(__xludf.DUMMYFUNCTION("""COMPUTED_VALUE"""),"REGIONAL I")</f>
        <v>REGIONAL I</v>
      </c>
      <c r="E1356" s="222" t="str">
        <f>IFERROR(__xludf.DUMMYFUNCTION("""COMPUTED_VALUE"""),"MEDAN")</f>
        <v>MEDAN</v>
      </c>
      <c r="F1356" s="222" t="str">
        <f>IFERROR(__xludf.DUMMYFUNCTION("""COMPUTED_VALUE"""),"TMU")</f>
        <v>TMU</v>
      </c>
      <c r="G1356" s="222" t="str">
        <f>IFERROR(__xludf.DUMMYFUNCTION("""COMPUTED_VALUE"""),"SUMBAGUT")</f>
        <v>SUMBAGUT</v>
      </c>
      <c r="H1356" s="222" t="str">
        <f>IFERROR(__xludf.DUMMYFUNCTION("""COMPUTED_VALUE"""),"MEDAN")</f>
        <v>MEDAN</v>
      </c>
      <c r="I1356" s="222" t="str">
        <f>IFERROR(__xludf.DUMMYFUNCTION("""COMPUTED_VALUE"""),"Batch 2")</f>
        <v>Batch 2</v>
      </c>
      <c r="J1356" s="225">
        <f>IFERROR(__xludf.DUMMYFUNCTION("""COMPUTED_VALUE"""),10.0)</f>
        <v>10</v>
      </c>
      <c r="K1356" s="224">
        <f>IFERROR(__xludf.DUMMYFUNCTION("""COMPUTED_VALUE"""),80.0)</f>
        <v>80</v>
      </c>
      <c r="L1356" s="226">
        <f>IFERROR(__xludf.DUMMYFUNCTION("""COMPUTED_VALUE"""),887249.0)</f>
        <v>887249</v>
      </c>
      <c r="M1356" s="227">
        <f>IFERROR(__xludf.DUMMYFUNCTION("""COMPUTED_VALUE"""),7.0979906E7)</f>
        <v>70979906</v>
      </c>
      <c r="N1356" s="222" t="str">
        <f>IFERROR(__xludf.DUMMYFUNCTION("""COMPUTED_VALUE"""),"PT DUL JAYA TAMA")</f>
        <v>PT DUL JAYA TAMA</v>
      </c>
      <c r="O1356" s="222" t="str">
        <f>IFERROR(__xludf.DUMMYFUNCTION("""COMPUTED_VALUE"""),"0. DROP")</f>
        <v>0. DROP</v>
      </c>
      <c r="P1356" s="222" t="str">
        <f>IFERROR(__xludf.DUMMYFUNCTION("""COMPUTED_VALUE"""),"0.3 Feeder Full")</f>
        <v>0.3 Feeder Full</v>
      </c>
      <c r="Q1356" s="222" t="str">
        <f>IFERROR(__xludf.DUMMYFUNCTION("""COMPUTED_VALUE"""),"08/03 Feeder Penuh 29/01 Done Order, lnjut Aanwidzing")</f>
        <v>08/03 Feeder Penuh 29/01 Done Order, lnjut Aanwidzing</v>
      </c>
      <c r="R1356" s="228"/>
      <c r="S1356" s="11"/>
      <c r="T1356" s="11"/>
      <c r="U1356" s="11"/>
      <c r="V1356" s="229"/>
      <c r="W1356" s="229"/>
      <c r="X1356" s="229" t="str">
        <f>IFERROR(__xludf.DUMMYFUNCTION("""COMPUTED_VALUE"""),"BELUM GOLIVE")</f>
        <v>BELUM GOLIVE</v>
      </c>
      <c r="Y1356" s="229"/>
      <c r="Z1356" s="229" t="str">
        <f>IFERROR(__xludf.DUMMYFUNCTION("""COMPUTED_VALUE"""),"#N/A")</f>
        <v>#N/A</v>
      </c>
      <c r="AA1356" s="229"/>
      <c r="AB1356" s="229"/>
      <c r="AC1356" s="229"/>
      <c r="AD1356" s="232"/>
      <c r="AE1356" s="233"/>
      <c r="AF1356" s="54"/>
      <c r="AG1356" s="54"/>
      <c r="AH1356" s="54"/>
      <c r="AI1356" s="55" t="str">
        <f t="shared" si="142"/>
        <v/>
      </c>
      <c r="AW1356" s="234"/>
      <c r="BP1356" s="11"/>
      <c r="BQ1356" s="11"/>
      <c r="BR1356" s="235"/>
      <c r="BV1356" s="158"/>
      <c r="BY1356" s="158"/>
      <c r="CB1356" s="158"/>
    </row>
    <row r="1357" ht="18.0" customHeight="1">
      <c r="A1357" s="222">
        <f>IFERROR(__xludf.DUMMYFUNCTION("""COMPUTED_VALUE"""),2026.0)</f>
        <v>2026</v>
      </c>
      <c r="B1357" s="221">
        <f>IFERROR(__xludf.DUMMYFUNCTION("""COMPUTED_VALUE"""),1.1587292E7)</f>
        <v>11587292</v>
      </c>
      <c r="C1357" s="222" t="str">
        <f>IFERROR(__xludf.DUMMYFUNCTION("""COMPUTED_VALUE"""),"SMB STTF-ARNI DEWI-FAJAR D-DUDDY AGUS")</f>
        <v>SMB STTF-ARNI DEWI-FAJAR D-DUDDY AGUS</v>
      </c>
      <c r="D1357" s="222" t="str">
        <f>IFERROR(__xludf.DUMMYFUNCTION("""COMPUTED_VALUE"""),"REGIONAL I")</f>
        <v>REGIONAL I</v>
      </c>
      <c r="E1357" s="222" t="str">
        <f>IFERROR(__xludf.DUMMYFUNCTION("""COMPUTED_VALUE"""),"SUMBAR")</f>
        <v>SUMBAR</v>
      </c>
      <c r="F1357" s="222" t="str">
        <f>IFERROR(__xludf.DUMMYFUNCTION("""COMPUTED_VALUE"""),"TPJ")</f>
        <v>TPJ</v>
      </c>
      <c r="G1357" s="222" t="str">
        <f>IFERROR(__xludf.DUMMYFUNCTION("""COMPUTED_VALUE"""),"SUMBAGTENG")</f>
        <v>SUMBAGTENG</v>
      </c>
      <c r="H1357" s="222" t="str">
        <f>IFERROR(__xludf.DUMMYFUNCTION("""COMPUTED_VALUE"""),"PADANG")</f>
        <v>PADANG</v>
      </c>
      <c r="I1357" s="222" t="str">
        <f>IFERROR(__xludf.DUMMYFUNCTION("""COMPUTED_VALUE"""),"Batch 2")</f>
        <v>Batch 2</v>
      </c>
      <c r="J1357" s="225">
        <f>IFERROR(__xludf.DUMMYFUNCTION("""COMPUTED_VALUE"""),7.0)</f>
        <v>7</v>
      </c>
      <c r="K1357" s="224">
        <f>IFERROR(__xludf.DUMMYFUNCTION("""COMPUTED_VALUE"""),56.0)</f>
        <v>56</v>
      </c>
      <c r="L1357" s="226">
        <f>IFERROR(__xludf.DUMMYFUNCTION("""COMPUTED_VALUE"""),744997.0)</f>
        <v>744997</v>
      </c>
      <c r="M1357" s="227">
        <f>IFERROR(__xludf.DUMMYFUNCTION("""COMPUTED_VALUE"""),4.1719789E7)</f>
        <v>41719789</v>
      </c>
      <c r="N1357" s="222" t="str">
        <f>IFERROR(__xludf.DUMMYFUNCTION("""COMPUTED_VALUE"""),"SWAKELOLA")</f>
        <v>SWAKELOLA</v>
      </c>
      <c r="O1357" s="222" t="str">
        <f>IFERROR(__xludf.DUMMYFUNCTION("""COMPUTED_VALUE"""),"2. DONE AANWIJZING")</f>
        <v>2. DONE AANWIJZING</v>
      </c>
      <c r="P1357" s="222" t="str">
        <f>IFERROR(__xludf.DUMMYFUNCTION("""COMPUTED_VALUE"""),"2.9 Kendala - Distribusi Penuh / Rusak")</f>
        <v>2.9 Kendala - Distribusi Penuh / Rusak</v>
      </c>
      <c r="Q1357" s="222" t="str">
        <f>IFERROR(__xludf.DUMMYFUNCTION("""COMPUTED_VALUE"""),"(29/01) Kendala dist 3 TPJ-FF Full")</f>
        <v>(29/01) Kendala dist 3 TPJ-FF Full</v>
      </c>
      <c r="R1357" s="228"/>
      <c r="S1357" s="11"/>
      <c r="T1357" s="11"/>
      <c r="U1357" s="11"/>
      <c r="V1357" s="229" t="str">
        <f>IFERROR(__xludf.DUMMYFUNCTION("""COMPUTED_VALUE"""),"PRAMADIO SEPWILMAN")</f>
        <v>PRAMADIO SEPWILMAN</v>
      </c>
      <c r="W1357" s="229" t="str">
        <f>IFERROR(__xludf.DUMMYFUNCTION("""COMPUTED_VALUE"""),"MELKO NARWADI")</f>
        <v>MELKO NARWADI</v>
      </c>
      <c r="X1357" s="229" t="str">
        <f>IFERROR(__xludf.DUMMYFUNCTION("""COMPUTED_VALUE"""),"BELUM GOLIVE")</f>
        <v>BELUM GOLIVE</v>
      </c>
      <c r="Y1357" s="229"/>
      <c r="Z1357" s="229" t="str">
        <f>IFERROR(__xludf.DUMMYFUNCTION("""COMPUTED_VALUE"""),"#N/A")</f>
        <v>#N/A</v>
      </c>
      <c r="AA1357" s="229"/>
      <c r="AB1357" s="229"/>
      <c r="AC1357" s="229"/>
      <c r="AD1357" s="232"/>
      <c r="AE1357" s="233"/>
      <c r="AF1357" s="54"/>
      <c r="AG1357" s="54"/>
      <c r="AH1357" s="54"/>
      <c r="AI1357" s="55" t="str">
        <f t="shared" si="142"/>
        <v/>
      </c>
      <c r="AW1357" s="234"/>
      <c r="BP1357" s="11"/>
      <c r="BQ1357" s="11"/>
      <c r="BR1357" s="235"/>
      <c r="BV1357" s="158"/>
      <c r="BY1357" s="158"/>
      <c r="CB1357" s="158"/>
    </row>
    <row r="1358" ht="18.0" hidden="1" customHeight="1">
      <c r="A1358" s="222">
        <f>IFERROR(__xludf.DUMMYFUNCTION("""COMPUTED_VALUE"""),2026.0)</f>
        <v>2026</v>
      </c>
      <c r="B1358" s="221">
        <f>IFERROR(__xludf.DUMMYFUNCTION("""COMPUTED_VALUE"""),1.1264102E7)</f>
        <v>11264102</v>
      </c>
      <c r="C1358" s="222" t="str">
        <f>IFERROR(__xludf.DUMMYFUNCTION("""COMPUTED_VALUE"""),"ACH PT3 SGI-FD BR D03 KUALA PIDIE")</f>
        <v>ACH PT3 SGI-FD BR D03 KUALA PIDIE</v>
      </c>
      <c r="D1358" s="222" t="str">
        <f>IFERROR(__xludf.DUMMYFUNCTION("""COMPUTED_VALUE"""),"REGIONAL I")</f>
        <v>REGIONAL I</v>
      </c>
      <c r="E1358" s="222" t="str">
        <f>IFERROR(__xludf.DUMMYFUNCTION("""COMPUTED_VALUE"""),"ACEH")</f>
        <v>ACEH</v>
      </c>
      <c r="F1358" s="222" t="str">
        <f>IFERROR(__xludf.DUMMYFUNCTION("""COMPUTED_VALUE"""),"SGI")</f>
        <v>SGI</v>
      </c>
      <c r="G1358" s="222" t="str">
        <f>IFERROR(__xludf.DUMMYFUNCTION("""COMPUTED_VALUE"""),"SUMBAGUT")</f>
        <v>SUMBAGUT</v>
      </c>
      <c r="H1358" s="222" t="str">
        <f>IFERROR(__xludf.DUMMYFUNCTION("""COMPUTED_VALUE"""),"BANDA ACEH")</f>
        <v>BANDA ACEH</v>
      </c>
      <c r="I1358" s="222" t="str">
        <f>IFERROR(__xludf.DUMMYFUNCTION("""COMPUTED_VALUE"""),"Batch 2")</f>
        <v>Batch 2</v>
      </c>
      <c r="J1358" s="225">
        <f>IFERROR(__xludf.DUMMYFUNCTION("""COMPUTED_VALUE"""),10.0)</f>
        <v>10</v>
      </c>
      <c r="K1358" s="224">
        <f>IFERROR(__xludf.DUMMYFUNCTION("""COMPUTED_VALUE"""),80.0)</f>
        <v>80</v>
      </c>
      <c r="L1358" s="226">
        <f>IFERROR(__xludf.DUMMYFUNCTION("""COMPUTED_VALUE"""),742256.0)</f>
        <v>742256</v>
      </c>
      <c r="M1358" s="227">
        <f>IFERROR(__xludf.DUMMYFUNCTION("""COMPUTED_VALUE"""),5.9380419E7)</f>
        <v>59380419</v>
      </c>
      <c r="N1358" s="222" t="str">
        <f>IFERROR(__xludf.DUMMYFUNCTION("""COMPUTED_VALUE"""),"PT NIAGA NUSANTARA DIVA")</f>
        <v>PT NIAGA NUSANTARA DIVA</v>
      </c>
      <c r="O1358" s="222" t="str">
        <f>IFERROR(__xludf.DUMMYFUNCTION("""COMPUTED_VALUE"""),"0. DROP")</f>
        <v>0. DROP</v>
      </c>
      <c r="P1358" s="222" t="str">
        <f>IFERROR(__xludf.DUMMYFUNCTION("""COMPUTED_VALUE"""),"0.2 Tidak Dapat Izin Warga/Kades/Lurah/Developer")</f>
        <v>0.2 Tidak Dapat Izin Warga/Kades/Lurah/Developer</v>
      </c>
      <c r="Q1358" s="222" t="str">
        <f>IFERROR(__xludf.DUMMYFUNCTION("""COMPUTED_VALUE"""),"(19/01) Comcase Warga (07/01) Persiapan")</f>
        <v>(19/01) Comcase Warga (07/01) Persiapan</v>
      </c>
      <c r="R1358" s="228"/>
      <c r="S1358" s="11"/>
      <c r="T1358" s="11"/>
      <c r="U1358" s="11"/>
      <c r="V1358" s="229"/>
      <c r="W1358" s="229"/>
      <c r="X1358" s="229" t="str">
        <f>IFERROR(__xludf.DUMMYFUNCTION("""COMPUTED_VALUE"""),"BELUM GOLIVE")</f>
        <v>BELUM GOLIVE</v>
      </c>
      <c r="Y1358" s="229"/>
      <c r="Z1358" s="229" t="str">
        <f>IFERROR(__xludf.DUMMYFUNCTION("""COMPUTED_VALUE"""),"#N/A")</f>
        <v>#N/A</v>
      </c>
      <c r="AA1358" s="229"/>
      <c r="AB1358" s="229"/>
      <c r="AC1358" s="229"/>
      <c r="AD1358" s="232"/>
      <c r="AE1358" s="233"/>
      <c r="AF1358" s="54" t="str">
        <f>IFERROR(__xludf.DUMMYFUNCTION("""COMPUTED_VALUE"""),"Draft BA DROP")</f>
        <v>Draft BA DROP</v>
      </c>
      <c r="AG1358" s="54"/>
      <c r="AH1358" s="54">
        <v>46137.0</v>
      </c>
      <c r="AI1358" s="237">
        <f>AH1358-NOW()</f>
        <v>-3.377989919</v>
      </c>
      <c r="AJ1358" s="229" t="str">
        <f>if(AI1358&gt;=0,"In Komitmen","Out Komitmen")</f>
        <v>Out Komitmen</v>
      </c>
      <c r="AK1358" s="229" t="e">
        <v>#N/A</v>
      </c>
      <c r="AW1358" s="234"/>
      <c r="BP1358" s="11"/>
      <c r="BQ1358" s="11"/>
      <c r="BR1358" s="235"/>
      <c r="BV1358" s="158"/>
      <c r="BY1358" s="158"/>
      <c r="CB1358" s="158"/>
    </row>
    <row r="1359" ht="18.0" customHeight="1">
      <c r="A1359" s="222">
        <f>IFERROR(__xludf.DUMMYFUNCTION("""COMPUTED_VALUE"""),2026.0)</f>
        <v>2026</v>
      </c>
      <c r="B1359" s="221">
        <f>IFERROR(__xludf.DUMMYFUNCTION("""COMPUTED_VALUE"""),1.1378252E7)</f>
        <v>11378252</v>
      </c>
      <c r="C1359" s="222" t="str">
        <f>IFERROR(__xludf.DUMMYFUNCTION("""COMPUTED_VALUE"""),"RKP PT3 TSEL DBS-FAB JL RAYA SINGKEP")</f>
        <v>RKP PT3 TSEL DBS-FAB JL RAYA SINGKEP</v>
      </c>
      <c r="D1359" s="222" t="str">
        <f>IFERROR(__xludf.DUMMYFUNCTION("""COMPUTED_VALUE"""),"REGIONAL I")</f>
        <v>REGIONAL I</v>
      </c>
      <c r="E1359" s="222" t="str">
        <f>IFERROR(__xludf.DUMMYFUNCTION("""COMPUTED_VALUE"""),"RIKEP")</f>
        <v>RIKEP</v>
      </c>
      <c r="F1359" s="222" t="str">
        <f>IFERROR(__xludf.DUMMYFUNCTION("""COMPUTED_VALUE"""),"DBS")</f>
        <v>DBS</v>
      </c>
      <c r="G1359" s="222" t="str">
        <f>IFERROR(__xludf.DUMMYFUNCTION("""COMPUTED_VALUE"""),"SUMBAGTENG")</f>
        <v>SUMBAGTENG</v>
      </c>
      <c r="H1359" s="222" t="str">
        <f>IFERROR(__xludf.DUMMYFUNCTION("""COMPUTED_VALUE"""),"BATAM")</f>
        <v>BATAM</v>
      </c>
      <c r="I1359" s="222" t="str">
        <f>IFERROR(__xludf.DUMMYFUNCTION("""COMPUTED_VALUE"""),"Batch 2")</f>
        <v>Batch 2</v>
      </c>
      <c r="J1359" s="225">
        <f>IFERROR(__xludf.DUMMYFUNCTION("""COMPUTED_VALUE"""),3.0)</f>
        <v>3</v>
      </c>
      <c r="K1359" s="224">
        <f>IFERROR(__xludf.DUMMYFUNCTION("""COMPUTED_VALUE"""),24.0)</f>
        <v>24</v>
      </c>
      <c r="L1359" s="226">
        <f>IFERROR(__xludf.DUMMYFUNCTION("""COMPUTED_VALUE"""),741311.0)</f>
        <v>741311</v>
      </c>
      <c r="M1359" s="227">
        <f>IFERROR(__xludf.DUMMYFUNCTION("""COMPUTED_VALUE"""),1.7791451E7)</f>
        <v>17791451</v>
      </c>
      <c r="N1359" s="222" t="str">
        <f>IFERROR(__xludf.DUMMYFUNCTION("""COMPUTED_VALUE"""),"SWAKELOLA")</f>
        <v>SWAKELOLA</v>
      </c>
      <c r="O1359" s="222" t="str">
        <f>IFERROR(__xludf.DUMMYFUNCTION("""COMPUTED_VALUE"""),"4. MATDEL")</f>
        <v>4. MATDEL</v>
      </c>
      <c r="P1359" s="222" t="str">
        <f>IFERROR(__xludf.DUMMYFUNCTION("""COMPUTED_VALUE"""),"4.3 Proses Kirim Mateial Kelokasi")</f>
        <v>4.3 Proses Kirim Mateial Kelokasi</v>
      </c>
      <c r="Q1359"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359" s="228"/>
      <c r="S1359" s="11"/>
      <c r="T1359" s="11"/>
      <c r="U1359" s="11" t="str">
        <f>IFERROR(__xludf.DUMMYFUNCTION("""COMPUTED_VALUE"""),"TIF-7810/2026")</f>
        <v>TIF-7810/2026</v>
      </c>
      <c r="V1359" s="229" t="str">
        <f>IFERROR(__xludf.DUMMYFUNCTION("""COMPUTED_VALUE"""),"DEDY IRAWAN")</f>
        <v>DEDY IRAWAN</v>
      </c>
      <c r="W1359" s="229" t="str">
        <f>IFERROR(__xludf.DUMMYFUNCTION("""COMPUTED_VALUE"""),"LEVITA INDRIYANI")</f>
        <v>LEVITA INDRIYANI</v>
      </c>
      <c r="X1359" s="229" t="str">
        <f>IFERROR(__xludf.DUMMYFUNCTION("""COMPUTED_VALUE"""),"BELUM GOLIVE")</f>
        <v>BELUM GOLIVE</v>
      </c>
      <c r="Y1359" s="229"/>
      <c r="Z1359" s="229" t="str">
        <f>IFERROR(__xludf.DUMMYFUNCTION("""COMPUTED_VALUE"""),"#N/A")</f>
        <v>#N/A</v>
      </c>
      <c r="AA1359" s="229"/>
      <c r="AB1359" s="229"/>
      <c r="AC1359" s="229"/>
      <c r="AD1359" s="232"/>
      <c r="AE1359" s="233"/>
      <c r="AF1359" s="54"/>
      <c r="AG1359" s="54"/>
      <c r="AH1359" s="54"/>
      <c r="AI1359" s="55" t="str">
        <f t="shared" ref="AI1359:AI1413" si="143">IF(OR(R1359="",AE1359=""),"",R1359-AE1359)</f>
        <v/>
      </c>
      <c r="AW1359" s="234"/>
      <c r="BP1359" s="11"/>
      <c r="BQ1359" s="11"/>
      <c r="BR1359" s="235"/>
      <c r="BV1359" s="158"/>
      <c r="BY1359" s="158"/>
      <c r="CB1359" s="158"/>
    </row>
    <row r="1360" ht="18.0" customHeight="1">
      <c r="A1360" s="222">
        <f>IFERROR(__xludf.DUMMYFUNCTION("""COMPUTED_VALUE"""),2026.0)</f>
        <v>2026</v>
      </c>
      <c r="B1360" s="221">
        <f>IFERROR(__xludf.DUMMYFUNCTION("""COMPUTED_VALUE"""),1.1408508E7)</f>
        <v>11408508</v>
      </c>
      <c r="C1360" s="222" t="str">
        <f>IFERROR(__xludf.DUMMYFUNCTION("""COMPUTED_VALUE"""),"SMB TAMBAHAN KAJAI")</f>
        <v>SMB TAMBAHAN KAJAI</v>
      </c>
      <c r="D1360" s="222" t="str">
        <f>IFERROR(__xludf.DUMMYFUNCTION("""COMPUTED_VALUE"""),"REGIONAL I")</f>
        <v>REGIONAL I</v>
      </c>
      <c r="E1360" s="222" t="str">
        <f>IFERROR(__xludf.DUMMYFUNCTION("""COMPUTED_VALUE"""),"SUMBAR")</f>
        <v>SUMBAR</v>
      </c>
      <c r="F1360" s="222" t="str">
        <f>IFERROR(__xludf.DUMMYFUNCTION("""COMPUTED_VALUE"""),"SPE")</f>
        <v>SPE</v>
      </c>
      <c r="G1360" s="222" t="str">
        <f>IFERROR(__xludf.DUMMYFUNCTION("""COMPUTED_VALUE"""),"SUMBAGTENG")</f>
        <v>SUMBAGTENG</v>
      </c>
      <c r="H1360" s="222" t="str">
        <f>IFERROR(__xludf.DUMMYFUNCTION("""COMPUTED_VALUE"""),"BUKIT TINGGI")</f>
        <v>BUKIT TINGGI</v>
      </c>
      <c r="I1360" s="222" t="str">
        <f>IFERROR(__xludf.DUMMYFUNCTION("""COMPUTED_VALUE"""),"Batch 2")</f>
        <v>Batch 2</v>
      </c>
      <c r="J1360" s="225">
        <f>IFERROR(__xludf.DUMMYFUNCTION("""COMPUTED_VALUE"""),3.0)</f>
        <v>3</v>
      </c>
      <c r="K1360" s="224">
        <f>IFERROR(__xludf.DUMMYFUNCTION("""COMPUTED_VALUE"""),24.0)</f>
        <v>24</v>
      </c>
      <c r="L1360" s="226">
        <f>IFERROR(__xludf.DUMMYFUNCTION("""COMPUTED_VALUE"""),741201.0)</f>
        <v>741201</v>
      </c>
      <c r="M1360" s="227">
        <f>IFERROR(__xludf.DUMMYFUNCTION("""COMPUTED_VALUE"""),1.7788806E7)</f>
        <v>17788806</v>
      </c>
      <c r="N1360" s="222" t="str">
        <f>IFERROR(__xludf.DUMMYFUNCTION("""COMPUTED_VALUE"""),"PT TIGA AKSES MANDIRI")</f>
        <v>PT TIGA AKSES MANDIRI</v>
      </c>
      <c r="O1360" s="222" t="str">
        <f>IFERROR(__xludf.DUMMYFUNCTION("""COMPUTED_VALUE"""),"0. DROP")</f>
        <v>0. DROP</v>
      </c>
      <c r="P1360" s="222" t="str">
        <f>IFERROR(__xludf.DUMMYFUNCTION("""COMPUTED_VALUE"""),"0.3 Feeder Full")</f>
        <v>0.3 Feeder Full</v>
      </c>
      <c r="Q1360" s="222" t="str">
        <f>IFERROR(__xludf.DUMMYFUNCTION("""COMPUTED_VALUE"""),"(26/01) Pkendala feeder penuh. FEEDER SPE-FF FULL, KABLE BB")</f>
        <v>(26/01) Pkendala feeder penuh. FEEDER SPE-FF FULL, KABLE BB</v>
      </c>
      <c r="R1360" s="228"/>
      <c r="S1360" s="11"/>
      <c r="T1360" s="11"/>
      <c r="U1360" s="11"/>
      <c r="V1360" s="229"/>
      <c r="W1360" s="229"/>
      <c r="X1360" s="229" t="str">
        <f>IFERROR(__xludf.DUMMYFUNCTION("""COMPUTED_VALUE"""),"BELUM GOLIVE")</f>
        <v>BELUM GOLIVE</v>
      </c>
      <c r="Y1360" s="229"/>
      <c r="Z1360" s="229" t="str">
        <f>IFERROR(__xludf.DUMMYFUNCTION("""COMPUTED_VALUE"""),"#N/A")</f>
        <v>#N/A</v>
      </c>
      <c r="AA1360" s="229"/>
      <c r="AB1360" s="229"/>
      <c r="AC1360" s="229"/>
      <c r="AD1360" s="232"/>
      <c r="AE1360" s="233"/>
      <c r="AF1360" s="54" t="str">
        <f>IFERROR(__xludf.DUMMYFUNCTION("""COMPUTED_VALUE"""),"Draft BA DROP")</f>
        <v>Draft BA DROP</v>
      </c>
      <c r="AG1360" s="54"/>
      <c r="AH1360" s="54"/>
      <c r="AI1360" s="55" t="str">
        <f t="shared" si="143"/>
        <v/>
      </c>
      <c r="AW1360" s="234"/>
      <c r="BP1360" s="11"/>
      <c r="BQ1360" s="11"/>
      <c r="BR1360" s="235"/>
      <c r="BV1360" s="158"/>
      <c r="BY1360" s="158"/>
      <c r="CB1360" s="158"/>
    </row>
    <row r="1361" ht="18.0" hidden="1" customHeight="1">
      <c r="A1361" s="222">
        <f>IFERROR(__xludf.DUMMYFUNCTION("""COMPUTED_VALUE"""),2026.0)</f>
        <v>2026</v>
      </c>
      <c r="B1361" s="221">
        <f>IFERROR(__xludf.DUMMYFUNCTION("""COMPUTED_VALUE"""),1.184329E7)</f>
        <v>11843290</v>
      </c>
      <c r="C1361" s="222" t="str">
        <f>IFERROR(__xludf.DUMMYFUNCTION("""COMPUTED_VALUE"""),"MDN PT3 DLT-FK VILLA PATUMBAK_MD25")</f>
        <v>MDN PT3 DLT-FK VILLA PATUMBAK_MD25</v>
      </c>
      <c r="D1361" s="222" t="str">
        <f>IFERROR(__xludf.DUMMYFUNCTION("""COMPUTED_VALUE"""),"REGIONAL I")</f>
        <v>REGIONAL I</v>
      </c>
      <c r="E1361" s="222" t="str">
        <f>IFERROR(__xludf.DUMMYFUNCTION("""COMPUTED_VALUE"""),"MEDAN")</f>
        <v>MEDAN</v>
      </c>
      <c r="F1361" s="222" t="str">
        <f>IFERROR(__xludf.DUMMYFUNCTION("""COMPUTED_VALUE"""),"DLT")</f>
        <v>DLT</v>
      </c>
      <c r="G1361" s="222" t="str">
        <f>IFERROR(__xludf.DUMMYFUNCTION("""COMPUTED_VALUE"""),"SUMBAGUT")</f>
        <v>SUMBAGUT</v>
      </c>
      <c r="H1361" s="222" t="str">
        <f>IFERROR(__xludf.DUMMYFUNCTION("""COMPUTED_VALUE"""),"MEDAN")</f>
        <v>MEDAN</v>
      </c>
      <c r="I1361" s="222" t="str">
        <f>IFERROR(__xludf.DUMMYFUNCTION("""COMPUTED_VALUE"""),"Batch 2")</f>
        <v>Batch 2</v>
      </c>
      <c r="J1361" s="225">
        <f>IFERROR(__xludf.DUMMYFUNCTION("""COMPUTED_VALUE"""),11.0)</f>
        <v>11</v>
      </c>
      <c r="K1361" s="224">
        <f>IFERROR(__xludf.DUMMYFUNCTION("""COMPUTED_VALUE"""),88.0)</f>
        <v>88</v>
      </c>
      <c r="L1361" s="226">
        <f>IFERROR(__xludf.DUMMYFUNCTION("""COMPUTED_VALUE"""),960151.0)</f>
        <v>960151</v>
      </c>
      <c r="M1361" s="227">
        <f>IFERROR(__xludf.DUMMYFUNCTION("""COMPUTED_VALUE"""),8.4493211E7)</f>
        <v>84493211</v>
      </c>
      <c r="N1361" s="222" t="str">
        <f>IFERROR(__xludf.DUMMYFUNCTION("""COMPUTED_VALUE"""),"PT FIBERHOME TECHNOLOGIES INDONESIA")</f>
        <v>PT FIBERHOME TECHNOLOGIES INDONESIA</v>
      </c>
      <c r="O1361" s="222" t="str">
        <f>IFERROR(__xludf.DUMMYFUNCTION("""COMPUTED_VALUE"""),"2. DONE AANWIJZING")</f>
        <v>2. DONE AANWIJZING</v>
      </c>
      <c r="P1361" s="222" t="str">
        <f>IFERROR(__xludf.DUMMYFUNCTION("""COMPUTED_VALUE"""),"2.10 Kendala - Feeder Rusak")</f>
        <v>2.10 Kendala - Feeder Rusak</v>
      </c>
      <c r="Q1361" s="222" t="str">
        <f>IFERROR(__xludf.DUMMYFUNCTION("""COMPUTED_VALUE"""),"08/03 Feeder Redti 5/11 Feeder Habis
(24/09) Perizinan Warga dan Kades / Lurah
(23/09) Perizinan Warga dan Kades / Lurah
15/09 proses aanwijzing")</f>
        <v>08/03 Feeder Redti 5/11 Feeder Habis
(24/09) Perizinan Warga dan Kades / Lurah
(23/09) Perizinan Warga dan Kades / Lurah
15/09 proses aanwijzing</v>
      </c>
      <c r="R1361" s="228"/>
      <c r="S1361" s="11"/>
      <c r="T1361" s="11"/>
      <c r="U1361" s="11"/>
      <c r="V1361" s="229"/>
      <c r="W1361" s="229"/>
      <c r="X1361" s="229" t="str">
        <f>IFERROR(__xludf.DUMMYFUNCTION("""COMPUTED_VALUE"""),"BELUM GOLIVE")</f>
        <v>BELUM GOLIVE</v>
      </c>
      <c r="Y1361" s="229"/>
      <c r="Z1361" s="229" t="str">
        <f>IFERROR(__xludf.DUMMYFUNCTION("""COMPUTED_VALUE"""),"#N/A")</f>
        <v>#N/A</v>
      </c>
      <c r="AA1361" s="229"/>
      <c r="AB1361" s="229"/>
      <c r="AC1361" s="229"/>
      <c r="AD1361" s="232"/>
      <c r="AE1361" s="233"/>
      <c r="AF1361" s="54"/>
      <c r="AG1361" s="54"/>
      <c r="AH1361" s="54"/>
      <c r="AI1361" s="55" t="str">
        <f t="shared" si="143"/>
        <v/>
      </c>
      <c r="AW1361" s="234"/>
      <c r="BP1361" s="11"/>
      <c r="BQ1361" s="11"/>
      <c r="BR1361" s="235"/>
      <c r="BV1361" s="158"/>
      <c r="BY1361" s="158"/>
      <c r="CB1361" s="158"/>
    </row>
    <row r="1362" ht="18.0" hidden="1" customHeight="1">
      <c r="A1362" s="222">
        <f>IFERROR(__xludf.DUMMYFUNCTION("""COMPUTED_VALUE"""),2026.0)</f>
        <v>2026</v>
      </c>
      <c r="B1362" s="221">
        <f>IFERROR(__xludf.DUMMYFUNCTION("""COMPUTED_VALUE"""),1.1909948E7)</f>
        <v>11909948</v>
      </c>
      <c r="C1362" s="222" t="str">
        <f>IFERROR(__xludf.DUMMYFUNCTION("""COMPUTED_VALUE"""),"SMS P4I1 PT3 SRO FBV PALEMBANG 91284")</f>
        <v>SMS P4I1 PT3 SRO FBV PALEMBANG 91284</v>
      </c>
      <c r="D1362" s="222" t="str">
        <f>IFERROR(__xludf.DUMMYFUNCTION("""COMPUTED_VALUE"""),"REGIONAL I")</f>
        <v>REGIONAL I</v>
      </c>
      <c r="E1362" s="222" t="str">
        <f>IFERROR(__xludf.DUMMYFUNCTION("""COMPUTED_VALUE"""),"SUMSEL")</f>
        <v>SUMSEL</v>
      </c>
      <c r="F1362" s="222" t="str">
        <f>IFERROR(__xludf.DUMMYFUNCTION("""COMPUTED_VALUE"""),"SRO")</f>
        <v>SRO</v>
      </c>
      <c r="G1362" s="222" t="str">
        <f>IFERROR(__xludf.DUMMYFUNCTION("""COMPUTED_VALUE"""),"SUMBAGSEL")</f>
        <v>SUMBAGSEL</v>
      </c>
      <c r="H1362" s="222" t="str">
        <f>IFERROR(__xludf.DUMMYFUNCTION("""COMPUTED_VALUE"""),"PALEMBANG")</f>
        <v>PALEMBANG</v>
      </c>
      <c r="I1362" s="222" t="str">
        <f>IFERROR(__xludf.DUMMYFUNCTION("""COMPUTED_VALUE"""),"Batch 2")</f>
        <v>Batch 2</v>
      </c>
      <c r="J1362" s="225">
        <f>IFERROR(__xludf.DUMMYFUNCTION("""COMPUTED_VALUE"""),7.0)</f>
        <v>7</v>
      </c>
      <c r="K1362" s="224">
        <f>IFERROR(__xludf.DUMMYFUNCTION("""COMPUTED_VALUE"""),56.0)</f>
        <v>56</v>
      </c>
      <c r="L1362" s="226">
        <f>IFERROR(__xludf.DUMMYFUNCTION("""COMPUTED_VALUE"""),739021.0)</f>
        <v>739021</v>
      </c>
      <c r="M1362" s="227">
        <f>IFERROR(__xludf.DUMMYFUNCTION("""COMPUTED_VALUE"""),4.1385139E7)</f>
        <v>41385139</v>
      </c>
      <c r="N1362" s="222" t="str">
        <f>IFERROR(__xludf.DUMMYFUNCTION("""COMPUTED_VALUE"""),"PT ACERO CETHA METALINDO")</f>
        <v>PT ACERO CETHA METALINDO</v>
      </c>
      <c r="O1362" s="222" t="str">
        <f>IFERROR(__xludf.DUMMYFUNCTION("""COMPUTED_VALUE"""),"0. DROP")</f>
        <v>0. DROP</v>
      </c>
      <c r="P1362" s="222" t="str">
        <f>IFERROR(__xludf.DUMMYFUNCTION("""COMPUTED_VALUE"""),"0.2 Tidak Dapat Izin Warga/Kades/Lurah/Developer")</f>
        <v>0.2 Tidak Dapat Izin Warga/Kades/Lurah/Developer</v>
      </c>
      <c r="Q1362" s="222" t="str">
        <f>IFERROR(__xludf.DUMMYFUNCTION("""COMPUTED_VALUE"""),"09/03 tidak mendapatkan izin lurah 27/2 tidak mendapatkan izin lurah  06/02 HASIL REVIEW TSEL DROP HIGH COMCASE, 07/01 DROP, HIGH comcase (21/01)Area High Comcase, (15/1) drop Comecase (11/11) DROP 04/11 Perizinan RT/Kades 13/10 aanwizjing done, proses up"&amp;"date hasil aanwizjing untuk eval tif 15/ 10 Perizinan RT/Kades 13/10 aanwizjing done, proses update hasil aanwizjing untuk eval tif
 08/10 aanwizjing done, proses update hasil aanwizjing untuk eval tif
 (01/10) menunggu jadwal aanwizjing")</f>
        <v>09/03 tidak mendapatkan izin lurah 27/2 tidak mendapatkan izin lurah  06/02 HASIL REVIEW TSEL DROP HIGH COMCASE, 07/01 DROP, HIGH comcase (21/01)Area High Comcase, (15/1) drop Comecase (11/11) DROP 04/11 Perizinan RT/Kades 13/10 aanwizjing done, proses update hasil aanwizjing untuk eval tif 15/ 10 Perizinan RT/Kades 13/10 aanwizjing done, proses update hasil aanwizjing untuk eval tif
 08/10 aanwizjing done, proses update hasil aanwizjing untuk eval tif
 (01/10) menunggu jadwal aanwizjing</v>
      </c>
      <c r="R1362" s="228"/>
      <c r="S1362" s="11"/>
      <c r="T1362" s="11"/>
      <c r="U1362" s="11"/>
      <c r="V1362" s="229" t="str">
        <f>IFERROR(__xludf.DUMMYFUNCTION("""COMPUTED_VALUE"""),"TEGAR")</f>
        <v>TEGAR</v>
      </c>
      <c r="W1362" s="229"/>
      <c r="X1362" s="229" t="str">
        <f>IFERROR(__xludf.DUMMYFUNCTION("""COMPUTED_VALUE"""),"BELUM GOLIVE")</f>
        <v>BELUM GOLIVE</v>
      </c>
      <c r="Y1362" s="229"/>
      <c r="Z1362" s="229" t="str">
        <f>IFERROR(__xludf.DUMMYFUNCTION("""COMPUTED_VALUE"""),"#N/A")</f>
        <v>#N/A</v>
      </c>
      <c r="AA1362" s="229"/>
      <c r="AB1362" s="229"/>
      <c r="AC1362" s="229"/>
      <c r="AD1362" s="232"/>
      <c r="AE1362" s="233"/>
      <c r="AF1362" s="54" t="str">
        <f>IFERROR(__xludf.DUMMYFUNCTION("""COMPUTED_VALUE"""),"Draft BA DROP")</f>
        <v>Draft BA DROP</v>
      </c>
      <c r="AG1362" s="54"/>
      <c r="AH1362" s="54"/>
      <c r="AI1362" s="55" t="str">
        <f t="shared" si="143"/>
        <v/>
      </c>
      <c r="AW1362" s="234"/>
      <c r="BP1362" s="11"/>
      <c r="BQ1362" s="11"/>
      <c r="BR1362" s="235"/>
      <c r="BV1362" s="158"/>
      <c r="BY1362" s="158"/>
      <c r="CB1362" s="158"/>
    </row>
    <row r="1363" ht="18.0" customHeight="1">
      <c r="A1363" s="222">
        <f>IFERROR(__xludf.DUMMYFUNCTION("""COMPUTED_VALUE"""),2026.0)</f>
        <v>2026</v>
      </c>
      <c r="B1363" s="221">
        <f>IFERROR(__xludf.DUMMYFUNCTION("""COMPUTED_VALUE"""),1.1740267E7)</f>
        <v>11740267</v>
      </c>
      <c r="C1363" s="222" t="str">
        <f>IFERROR(__xludf.DUMMYFUNCTION("""COMPUTED_VALUE"""),"SMB TLB PT3-PT4 Kampung Jua xx Lubeg")</f>
        <v>SMB TLB PT3-PT4 Kampung Jua xx Lubeg</v>
      </c>
      <c r="D1363" s="222" t="str">
        <f>IFERROR(__xludf.DUMMYFUNCTION("""COMPUTED_VALUE"""),"REGIONAL I")</f>
        <v>REGIONAL I</v>
      </c>
      <c r="E1363" s="222" t="str">
        <f>IFERROR(__xludf.DUMMYFUNCTION("""COMPUTED_VALUE"""),"SUMBAR")</f>
        <v>SUMBAR</v>
      </c>
      <c r="F1363" s="222" t="str">
        <f>IFERROR(__xludf.DUMMYFUNCTION("""COMPUTED_VALUE"""),"TLB")</f>
        <v>TLB</v>
      </c>
      <c r="G1363" s="222" t="str">
        <f>IFERROR(__xludf.DUMMYFUNCTION("""COMPUTED_VALUE"""),"SUMBAGTENG")</f>
        <v>SUMBAGTENG</v>
      </c>
      <c r="H1363" s="222" t="str">
        <f>IFERROR(__xludf.DUMMYFUNCTION("""COMPUTED_VALUE"""),"PADANG")</f>
        <v>PADANG</v>
      </c>
      <c r="I1363" s="222" t="str">
        <f>IFERROR(__xludf.DUMMYFUNCTION("""COMPUTED_VALUE"""),"Batch 2")</f>
        <v>Batch 2</v>
      </c>
      <c r="J1363" s="225">
        <f>IFERROR(__xludf.DUMMYFUNCTION("""COMPUTED_VALUE"""),5.0)</f>
        <v>5</v>
      </c>
      <c r="K1363" s="224">
        <f>IFERROR(__xludf.DUMMYFUNCTION("""COMPUTED_VALUE"""),40.0)</f>
        <v>40</v>
      </c>
      <c r="L1363" s="226">
        <f>IFERROR(__xludf.DUMMYFUNCTION("""COMPUTED_VALUE"""),738951.0)</f>
        <v>738951</v>
      </c>
      <c r="M1363" s="227">
        <f>IFERROR(__xludf.DUMMYFUNCTION("""COMPUTED_VALUE"""),2.9558004E7)</f>
        <v>29558004</v>
      </c>
      <c r="N1363" s="222" t="str">
        <f>IFERROR(__xludf.DUMMYFUNCTION("""COMPUTED_VALUE"""),"PT ALAM UTAMA MULIA")</f>
        <v>PT ALAM UTAMA MULIA</v>
      </c>
      <c r="O1363" s="222" t="str">
        <f>IFERROR(__xludf.DUMMYFUNCTION("""COMPUTED_VALUE"""),"0. DROP")</f>
        <v>0. DROP</v>
      </c>
      <c r="P1363" s="222" t="str">
        <f>IFERROR(__xludf.DUMMYFUNCTION("""COMPUTED_VALUE"""),"0.3 Feeder Full")</f>
        <v>0.3 Feeder Full</v>
      </c>
      <c r="Q1363" s="222" t="str">
        <f>IFERROR(__xludf.DUMMYFUNCTION("""COMPUTED_VALUE"""),"(26/01) Kendala feeder TLB-FD FULL ")</f>
        <v>(26/01) Kendala feeder TLB-FD FULL </v>
      </c>
      <c r="R1363" s="228"/>
      <c r="S1363" s="11"/>
      <c r="T1363" s="11"/>
      <c r="U1363" s="11"/>
      <c r="V1363" s="229"/>
      <c r="W1363" s="229"/>
      <c r="X1363" s="229" t="str">
        <f>IFERROR(__xludf.DUMMYFUNCTION("""COMPUTED_VALUE"""),"BELUM GOLIVE")</f>
        <v>BELUM GOLIVE</v>
      </c>
      <c r="Y1363" s="229"/>
      <c r="Z1363" s="229" t="str">
        <f>IFERROR(__xludf.DUMMYFUNCTION("""COMPUTED_VALUE"""),"#N/A")</f>
        <v>#N/A</v>
      </c>
      <c r="AA1363" s="229"/>
      <c r="AB1363" s="229"/>
      <c r="AC1363" s="229"/>
      <c r="AD1363" s="232"/>
      <c r="AE1363" s="233"/>
      <c r="AF1363" s="54" t="str">
        <f>IFERROR(__xludf.DUMMYFUNCTION("""COMPUTED_VALUE"""),"Draft BA DROP")</f>
        <v>Draft BA DROP</v>
      </c>
      <c r="AG1363" s="54"/>
      <c r="AH1363" s="54"/>
      <c r="AI1363" s="55" t="str">
        <f t="shared" si="143"/>
        <v/>
      </c>
      <c r="AW1363" s="234"/>
      <c r="BP1363" s="11"/>
      <c r="BQ1363" s="11"/>
      <c r="BR1363" s="235"/>
      <c r="BV1363" s="158"/>
      <c r="BY1363" s="158"/>
      <c r="CB1363" s="158"/>
    </row>
    <row r="1364" ht="18.0" hidden="1" customHeight="1">
      <c r="A1364" s="222">
        <f>IFERROR(__xludf.DUMMYFUNCTION("""COMPUTED_VALUE"""),2026.0)</f>
        <v>2026</v>
      </c>
      <c r="B1364" s="221">
        <f>IFERROR(__xludf.DUMMYFUNCTION("""COMPUTED_VALUE"""),1.1346432E7)</f>
        <v>11346432</v>
      </c>
      <c r="C1364" s="222" t="str">
        <f>IFERROR(__xludf.DUMMYFUNCTION("""COMPUTED_VALUE"""),"ACH PT3 LTM-FK D08 PERUM CAYSYA INDAH")</f>
        <v>ACH PT3 LTM-FK D08 PERUM CAYSYA INDAH</v>
      </c>
      <c r="D1364" s="222" t="str">
        <f>IFERROR(__xludf.DUMMYFUNCTION("""COMPUTED_VALUE"""),"REGIONAL I")</f>
        <v>REGIONAL I</v>
      </c>
      <c r="E1364" s="222" t="str">
        <f>IFERROR(__xludf.DUMMYFUNCTION("""COMPUTED_VALUE"""),"ACEH")</f>
        <v>ACEH</v>
      </c>
      <c r="F1364" s="222" t="str">
        <f>IFERROR(__xludf.DUMMYFUNCTION("""COMPUTED_VALUE"""),"LTM")</f>
        <v>LTM</v>
      </c>
      <c r="G1364" s="222" t="str">
        <f>IFERROR(__xludf.DUMMYFUNCTION("""COMPUTED_VALUE"""),"SUMBAGUT")</f>
        <v>SUMBAGUT</v>
      </c>
      <c r="H1364" s="222" t="str">
        <f>IFERROR(__xludf.DUMMYFUNCTION("""COMPUTED_VALUE"""),"BANDA ACEH")</f>
        <v>BANDA ACEH</v>
      </c>
      <c r="I1364" s="222" t="str">
        <f>IFERROR(__xludf.DUMMYFUNCTION("""COMPUTED_VALUE"""),"Batch 2")</f>
        <v>Batch 2</v>
      </c>
      <c r="J1364" s="225">
        <f>IFERROR(__xludf.DUMMYFUNCTION("""COMPUTED_VALUE"""),9.0)</f>
        <v>9</v>
      </c>
      <c r="K1364" s="224">
        <f>IFERROR(__xludf.DUMMYFUNCTION("""COMPUTED_VALUE"""),72.0)</f>
        <v>72</v>
      </c>
      <c r="L1364" s="226">
        <f>IFERROR(__xludf.DUMMYFUNCTION("""COMPUTED_VALUE"""),737147.0)</f>
        <v>737147</v>
      </c>
      <c r="M1364" s="227">
        <f>IFERROR(__xludf.DUMMYFUNCTION("""COMPUTED_VALUE"""),5.3074567E7)</f>
        <v>53074567</v>
      </c>
      <c r="N1364" s="222" t="str">
        <f>IFERROR(__xludf.DUMMYFUNCTION("""COMPUTED_VALUE"""),"PT NURISA JAYA PERKASA")</f>
        <v>PT NURISA JAYA PERKASA</v>
      </c>
      <c r="O1364" s="222" t="str">
        <f>IFERROR(__xludf.DUMMYFUNCTION("""COMPUTED_VALUE"""),"2. DONE AANWIJZING")</f>
        <v>2. DONE AANWIJZING</v>
      </c>
      <c r="P1364" s="222" t="str">
        <f>IFERROR(__xludf.DUMMYFUNCTION("""COMPUTED_VALUE"""),"2.10 Kendala - Feeder Rusak")</f>
        <v>2.10 Kendala - Feeder Rusak</v>
      </c>
      <c r="Q1364" s="222" t="str">
        <f>IFERROR(__xludf.DUMMYFUNCTION("""COMPUTED_VALUE"""),"(29/01) Perlu review solusi QE Feeder rusak dengan TIF (07/01) Persiapan")</f>
        <v>(29/01) Perlu review solusi QE Feeder rusak dengan TIF (07/01) Persiapan</v>
      </c>
      <c r="R1364" s="228"/>
      <c r="S1364" s="11"/>
      <c r="T1364" s="11"/>
      <c r="U1364" s="11"/>
      <c r="V1364" s="229"/>
      <c r="W1364" s="229"/>
      <c r="X1364" s="229" t="str">
        <f>IFERROR(__xludf.DUMMYFUNCTION("""COMPUTED_VALUE"""),"BELUM GOLIVE")</f>
        <v>BELUM GOLIVE</v>
      </c>
      <c r="Y1364" s="229"/>
      <c r="Z1364" s="229" t="str">
        <f>IFERROR(__xludf.DUMMYFUNCTION("""COMPUTED_VALUE"""),"#N/A")</f>
        <v>#N/A</v>
      </c>
      <c r="AA1364" s="229"/>
      <c r="AB1364" s="229"/>
      <c r="AC1364" s="229"/>
      <c r="AD1364" s="232"/>
      <c r="AE1364" s="233"/>
      <c r="AF1364" s="54"/>
      <c r="AG1364" s="54"/>
      <c r="AH1364" s="54"/>
      <c r="AI1364" s="55" t="str">
        <f t="shared" si="143"/>
        <v/>
      </c>
      <c r="AW1364" s="234"/>
      <c r="BP1364" s="11"/>
      <c r="BQ1364" s="11"/>
      <c r="BR1364" s="235"/>
      <c r="BV1364" s="158"/>
      <c r="BY1364" s="158"/>
      <c r="CB1364" s="158"/>
    </row>
    <row r="1365" ht="18.0" hidden="1" customHeight="1">
      <c r="A1365" s="222">
        <f>IFERROR(__xludf.DUMMYFUNCTION("""COMPUTED_VALUE"""),2026.0)</f>
        <v>2026</v>
      </c>
      <c r="B1365" s="221">
        <f>IFERROR(__xludf.DUMMYFUNCTION("""COMPUTED_VALUE"""),1.1271787E7)</f>
        <v>11271787</v>
      </c>
      <c r="C1365" s="222" t="str">
        <f>IFERROR(__xludf.DUMMYFUNCTION("""COMPUTED_VALUE"""),"MDN PT3 P1I1 PUB-FCP JL.KAWAT 3")</f>
        <v>MDN PT3 P1I1 PUB-FCP JL.KAWAT 3</v>
      </c>
      <c r="D1365" s="222" t="str">
        <f>IFERROR(__xludf.DUMMYFUNCTION("""COMPUTED_VALUE"""),"REGIONAL I")</f>
        <v>REGIONAL I</v>
      </c>
      <c r="E1365" s="222" t="str">
        <f>IFERROR(__xludf.DUMMYFUNCTION("""COMPUTED_VALUE"""),"MEDAN")</f>
        <v>MEDAN</v>
      </c>
      <c r="F1365" s="222" t="str">
        <f>IFERROR(__xludf.DUMMYFUNCTION("""COMPUTED_VALUE"""),"PUB")</f>
        <v>PUB</v>
      </c>
      <c r="G1365" s="222" t="str">
        <f>IFERROR(__xludf.DUMMYFUNCTION("""COMPUTED_VALUE"""),"SUMBAGUT")</f>
        <v>SUMBAGUT</v>
      </c>
      <c r="H1365" s="222" t="str">
        <f>IFERROR(__xludf.DUMMYFUNCTION("""COMPUTED_VALUE"""),"MEDAN")</f>
        <v>MEDAN</v>
      </c>
      <c r="I1365" s="222" t="str">
        <f>IFERROR(__xludf.DUMMYFUNCTION("""COMPUTED_VALUE"""),"Batch 2")</f>
        <v>Batch 2</v>
      </c>
      <c r="J1365" s="225">
        <f>IFERROR(__xludf.DUMMYFUNCTION("""COMPUTED_VALUE"""),3.0)</f>
        <v>3</v>
      </c>
      <c r="K1365" s="224">
        <f>IFERROR(__xludf.DUMMYFUNCTION("""COMPUTED_VALUE"""),24.0)</f>
        <v>24</v>
      </c>
      <c r="L1365" s="226">
        <f>IFERROR(__xludf.DUMMYFUNCTION("""COMPUTED_VALUE"""),1028466.0)</f>
        <v>1028466</v>
      </c>
      <c r="M1365" s="227">
        <f>IFERROR(__xludf.DUMMYFUNCTION("""COMPUTED_VALUE"""),2.4683166E7)</f>
        <v>24683166</v>
      </c>
      <c r="N1365" s="222" t="str">
        <f>IFERROR(__xludf.DUMMYFUNCTION("""COMPUTED_VALUE"""),"PT BENWA  MITRA PRATAMA")</f>
        <v>PT BENWA  MITRA PRATAMA</v>
      </c>
      <c r="O1365" s="222" t="str">
        <f>IFERROR(__xludf.DUMMYFUNCTION("""COMPUTED_VALUE"""),"2. DONE AANWIJZING")</f>
        <v>2. DONE AANWIJZING</v>
      </c>
      <c r="P1365" s="222" t="str">
        <f>IFERROR(__xludf.DUMMYFUNCTION("""COMPUTED_VALUE"""),"2.10 Kendala - Feeder Rusak")</f>
        <v>2.10 Kendala - Feeder Rusak</v>
      </c>
      <c r="Q1365" s="222" t="str">
        <f>IFERROR(__xludf.DUMMYFUNCTION("""COMPUTED_VALUE"""),"10/02 Komitmen Aanwidzing 13/02/2026 08/02 Done Order, lnjut Aanwidzing")</f>
        <v>10/02 Komitmen Aanwidzing 13/02/2026 08/02 Done Order, lnjut Aanwidzing</v>
      </c>
      <c r="R1365" s="228"/>
      <c r="S1365" s="11"/>
      <c r="T1365" s="11"/>
      <c r="U1365" s="11"/>
      <c r="V1365" s="229"/>
      <c r="W1365" s="229"/>
      <c r="X1365" s="229" t="str">
        <f>IFERROR(__xludf.DUMMYFUNCTION("""COMPUTED_VALUE"""),"BELUM GOLIVE")</f>
        <v>BELUM GOLIVE</v>
      </c>
      <c r="Y1365" s="229"/>
      <c r="Z1365" s="229" t="str">
        <f>IFERROR(__xludf.DUMMYFUNCTION("""COMPUTED_VALUE"""),"#N/A")</f>
        <v>#N/A</v>
      </c>
      <c r="AA1365" s="229"/>
      <c r="AB1365" s="229"/>
      <c r="AC1365" s="229"/>
      <c r="AD1365" s="232"/>
      <c r="AE1365" s="233"/>
      <c r="AF1365" s="54"/>
      <c r="AG1365" s="54"/>
      <c r="AH1365" s="54"/>
      <c r="AI1365" s="55" t="str">
        <f t="shared" si="143"/>
        <v/>
      </c>
      <c r="AW1365" s="234"/>
      <c r="BP1365" s="11"/>
      <c r="BQ1365" s="11"/>
      <c r="BR1365" s="235"/>
      <c r="BV1365" s="158"/>
      <c r="BY1365" s="158"/>
      <c r="CB1365" s="158"/>
    </row>
    <row r="1366" ht="18.0" customHeight="1">
      <c r="A1366" s="222">
        <f>IFERROR(__xludf.DUMMYFUNCTION("""COMPUTED_VALUE"""),2026.0)</f>
        <v>2026</v>
      </c>
      <c r="B1366" s="221">
        <f>IFERROR(__xludf.DUMMYFUNCTION("""COMPUTED_VALUE"""),1.1442571E7)</f>
        <v>11442571</v>
      </c>
      <c r="C1366" s="222" t="str">
        <f>IFERROR(__xludf.DUMMYFUNCTION("""COMPUTED_VALUE"""),"SMB KOTA BUKITTINGGI_7657_9581")</f>
        <v>SMB KOTA BUKITTINGGI_7657_9581</v>
      </c>
      <c r="D1366" s="222" t="str">
        <f>IFERROR(__xludf.DUMMYFUNCTION("""COMPUTED_VALUE"""),"REGIONAL I")</f>
        <v>REGIONAL I</v>
      </c>
      <c r="E1366" s="222" t="str">
        <f>IFERROR(__xludf.DUMMYFUNCTION("""COMPUTED_VALUE"""),"SUMBAR")</f>
        <v>SUMBAR</v>
      </c>
      <c r="F1366" s="222" t="str">
        <f>IFERROR(__xludf.DUMMYFUNCTION("""COMPUTED_VALUE"""),"BKT")</f>
        <v>BKT</v>
      </c>
      <c r="G1366" s="222" t="str">
        <f>IFERROR(__xludf.DUMMYFUNCTION("""COMPUTED_VALUE"""),"SUMBAGTENG")</f>
        <v>SUMBAGTENG</v>
      </c>
      <c r="H1366" s="222" t="str">
        <f>IFERROR(__xludf.DUMMYFUNCTION("""COMPUTED_VALUE"""),"BUKIT TINGGI")</f>
        <v>BUKIT TINGGI</v>
      </c>
      <c r="I1366" s="222" t="str">
        <f>IFERROR(__xludf.DUMMYFUNCTION("""COMPUTED_VALUE"""),"Batch 2")</f>
        <v>Batch 2</v>
      </c>
      <c r="J1366" s="225">
        <f>IFERROR(__xludf.DUMMYFUNCTION("""COMPUTED_VALUE"""),12.0)</f>
        <v>12</v>
      </c>
      <c r="K1366" s="224">
        <f>IFERROR(__xludf.DUMMYFUNCTION("""COMPUTED_VALUE"""),96.0)</f>
        <v>96</v>
      </c>
      <c r="L1366" s="226">
        <f>IFERROR(__xludf.DUMMYFUNCTION("""COMPUTED_VALUE"""),737085.0)</f>
        <v>737085</v>
      </c>
      <c r="M1366" s="227">
        <f>IFERROR(__xludf.DUMMYFUNCTION("""COMPUTED_VALUE"""),7.0760097E7)</f>
        <v>70760097</v>
      </c>
      <c r="N1366" s="222" t="str">
        <f>IFERROR(__xludf.DUMMYFUNCTION("""COMPUTED_VALUE"""),"PT GARINDO TECHNO MANDIRI")</f>
        <v>PT GARINDO TECHNO MANDIRI</v>
      </c>
      <c r="O1366" s="222" t="str">
        <f>IFERROR(__xludf.DUMMYFUNCTION("""COMPUTED_VALUE"""),"2. DONE AANWIJZING")</f>
        <v>2. DONE AANWIJZING</v>
      </c>
      <c r="P1366" s="222" t="str">
        <f>IFERROR(__xludf.DUMMYFUNCTION("""COMPUTED_VALUE"""),"2.10 Kendala - Feeder Rusak")</f>
        <v>2.10 Kendala - Feeder Rusak</v>
      </c>
      <c r="Q1366" s="222" t="str">
        <f>IFERROR(__xludf.DUMMYFUNCTION("""COMPUTED_VALUE"""),"(20/04Proses identifikasi QE feeder  (12/03) proses pengukuran tipus feeder BKT-FAA (27/01) KENDALA FEEDER BKT-FAA BUTUH REPAIR (12/01) selesai fisik, pembuatan data golive,,(07/01) Persiapan")</f>
        <v>(20/04Proses identifikasi QE feeder  (12/03) proses pengukuran tipus feeder BKT-FAA (27/01) KENDALA FEEDER BKT-FAA BUTUH REPAIR (12/01) selesai fisik, pembuatan data golive,,(07/01) Persiapan</v>
      </c>
      <c r="R1366" s="228"/>
      <c r="S1366" s="11"/>
      <c r="T1366" s="11"/>
      <c r="U1366" s="11"/>
      <c r="V1366" s="229"/>
      <c r="W1366" s="229"/>
      <c r="X1366" s="229" t="str">
        <f>IFERROR(__xludf.DUMMYFUNCTION("""COMPUTED_VALUE"""),"BELUM GOLIVE")</f>
        <v>BELUM GOLIVE</v>
      </c>
      <c r="Y1366" s="229"/>
      <c r="Z1366" s="229" t="str">
        <f>IFERROR(__xludf.DUMMYFUNCTION("""COMPUTED_VALUE"""),"#N/A")</f>
        <v>#N/A</v>
      </c>
      <c r="AA1366" s="229"/>
      <c r="AB1366" s="229"/>
      <c r="AC1366" s="229"/>
      <c r="AD1366" s="232"/>
      <c r="AE1366" s="233"/>
      <c r="AF1366" s="54"/>
      <c r="AG1366" s="54"/>
      <c r="AH1366" s="54"/>
      <c r="AI1366" s="55" t="str">
        <f t="shared" si="143"/>
        <v/>
      </c>
      <c r="AW1366" s="234"/>
      <c r="BP1366" s="11"/>
      <c r="BQ1366" s="11"/>
      <c r="BR1366" s="235"/>
      <c r="BV1366" s="158"/>
      <c r="BY1366" s="158"/>
      <c r="CB1366" s="158"/>
    </row>
    <row r="1367" ht="18.0" hidden="1" customHeight="1">
      <c r="A1367" s="222">
        <f>IFERROR(__xludf.DUMMYFUNCTION("""COMPUTED_VALUE"""),2026.0)</f>
        <v>2026</v>
      </c>
      <c r="B1367" s="221">
        <f>IFERROR(__xludf.DUMMYFUNCTION("""COMPUTED_VALUE"""),1.2056111E7)</f>
        <v>12056111</v>
      </c>
      <c r="C1367" s="222" t="str">
        <f>IFERROR(__xludf.DUMMYFUNCTION("""COMPUTED_VALUE"""),"SMS PT3 SPP FW D03 KLM RENANG YADIKA")</f>
        <v>SMS PT3 SPP FW D03 KLM RENANG YADIKA</v>
      </c>
      <c r="D1367" s="222" t="str">
        <f>IFERROR(__xludf.DUMMYFUNCTION("""COMPUTED_VALUE"""),"REGIONAL I")</f>
        <v>REGIONAL I</v>
      </c>
      <c r="E1367" s="222" t="str">
        <f>IFERROR(__xludf.DUMMYFUNCTION("""COMPUTED_VALUE"""),"SUMSEL")</f>
        <v>SUMSEL</v>
      </c>
      <c r="F1367" s="222" t="str">
        <f>IFERROR(__xludf.DUMMYFUNCTION("""COMPUTED_VALUE"""),"SPP")</f>
        <v>SPP</v>
      </c>
      <c r="G1367" s="222" t="str">
        <f>IFERROR(__xludf.DUMMYFUNCTION("""COMPUTED_VALUE"""),"SUMBAGSEL")</f>
        <v>SUMBAGSEL</v>
      </c>
      <c r="H1367" s="222" t="str">
        <f>IFERROR(__xludf.DUMMYFUNCTION("""COMPUTED_VALUE"""),"BENGKULU")</f>
        <v>BENGKULU</v>
      </c>
      <c r="I1367" s="222" t="str">
        <f>IFERROR(__xludf.DUMMYFUNCTION("""COMPUTED_VALUE"""),"Batch 2")</f>
        <v>Batch 2</v>
      </c>
      <c r="J1367" s="225">
        <f>IFERROR(__xludf.DUMMYFUNCTION("""COMPUTED_VALUE"""),5.0)</f>
        <v>5</v>
      </c>
      <c r="K1367" s="224">
        <f>IFERROR(__xludf.DUMMYFUNCTION("""COMPUTED_VALUE"""),40.0)</f>
        <v>40</v>
      </c>
      <c r="L1367" s="226">
        <f>IFERROR(__xludf.DUMMYFUNCTION("""COMPUTED_VALUE"""),736896.0)</f>
        <v>736896</v>
      </c>
      <c r="M1367" s="227">
        <f>IFERROR(__xludf.DUMMYFUNCTION("""COMPUTED_VALUE"""),2.9475806E7)</f>
        <v>29475806</v>
      </c>
      <c r="N1367" s="222" t="str">
        <f>IFERROR(__xludf.DUMMYFUNCTION("""COMPUTED_VALUE"""),"PT HAN SUNG INDONESIA")</f>
        <v>PT HAN SUNG INDONESIA</v>
      </c>
      <c r="O1367" s="222" t="str">
        <f>IFERROR(__xludf.DUMMYFUNCTION("""COMPUTED_VALUE"""),"8. UJI TERIMA")</f>
        <v>8. UJI TERIMA</v>
      </c>
      <c r="P1367" s="222" t="str">
        <f>IFERROR(__xludf.DUMMYFUNCTION("""COMPUTED_VALUE"""),"8.1 Proses UT")</f>
        <v>8.1 Proses UT</v>
      </c>
      <c r="Q1367" s="222" t="str">
        <f>IFERROR(__xludf.DUMMYFUNCTION("""COMPUTED_VALUE"""),"(21/1) golive 21 jan 2026 (24/1) kendala minol (21/01) selesai fisik, data abd belum masuk ke sdi, 20/01 VALINS, 30/12 menunggu tim jointer ke lokasi, 08/12 menunggu tim jointer ke lokasi, 20/11 menunggu tim jointer ke lokasi, 17/11 selesai penarikan kabe"&amp;"l, (14/11) ODP 2/4 , TARIK KABEL 700/900 ,TIANG 13/14  (08/11) sisa 1 odp blm instal , kendala comcases(04/11) TIANG  19/19 DONE , KABEL 900/900 DONE (3/11) TIANG  19/19 DONE , KABEL 900/900 DONE (08/10) menunggu jadwal aanwizjing
(01/10) menunggu jadwal "&amp;"aanwijzing")</f>
        <v>(21/1) golive 21 jan 2026 (24/1) kendala minol (21/01) selesai fisik, data abd belum masuk ke sdi, 20/01 VALINS, 30/12 menunggu tim jointer ke lokasi, 08/12 menunggu tim jointer ke lokasi, 20/11 menunggu tim jointer ke lokasi, 17/11 selesai penarikan kabel, (14/11) ODP 2/4 , TARIK KABEL 700/900 ,TIANG 13/14  (08/11) sisa 1 odp blm instal , kendala comcases(04/11) TIANG  19/19 DONE , KABEL 900/900 DONE (3/11) TIANG  19/19 DONE , KABEL 900/900 DONE (08/10) menunggu jadwal aanwizjing
(01/10) menunggu jadwal aanwijzing</v>
      </c>
      <c r="R1367" s="228"/>
      <c r="S1367" s="11"/>
      <c r="T1367" s="11"/>
      <c r="U1367" s="11"/>
      <c r="V1367" s="229" t="str">
        <f>IFERROR(__xludf.DUMMYFUNCTION("""COMPUTED_VALUE"""),"PUTRA")</f>
        <v>PUTRA</v>
      </c>
      <c r="W1367" s="229"/>
      <c r="X1367" s="229" t="str">
        <f>IFERROR(__xludf.DUMMYFUNCTION("""COMPUTED_VALUE"""),"GOLIVE")</f>
        <v>GOLIVE</v>
      </c>
      <c r="Y1367" s="229" t="str">
        <f>IFERROR(__xludf.DUMMYFUNCTION("""COMPUTED_VALUE"""),"DONE")</f>
        <v>DONE</v>
      </c>
      <c r="Z1367" s="229" t="str">
        <f>IFERROR(__xludf.DUMMYFUNCTION("""COMPUTED_VALUE"""),"#N/A")</f>
        <v>#N/A</v>
      </c>
      <c r="AA1367" s="229">
        <f>IFERROR(__xludf.DUMMYFUNCTION("""COMPUTED_VALUE"""),4.0)</f>
        <v>4</v>
      </c>
      <c r="AB1367" s="229"/>
      <c r="AC1367" s="229" t="str">
        <f>IFERROR(__xludf.DUMMYFUNCTION("""COMPUTED_VALUE"""),"8411173#8411178")</f>
        <v>8411173#8411178</v>
      </c>
      <c r="AD1367" s="232">
        <f>IFERROR(__xludf.DUMMYFUNCTION("""COMPUTED_VALUE"""),32.0)</f>
        <v>32</v>
      </c>
      <c r="AE1367" s="233">
        <f>IFERROR(__xludf.DUMMYFUNCTION("""COMPUTED_VALUE"""),46043.0)</f>
        <v>46043</v>
      </c>
      <c r="AF1367" s="54"/>
      <c r="AG1367" s="54"/>
      <c r="AH1367" s="54"/>
      <c r="AI1367" s="55" t="str">
        <f t="shared" si="143"/>
        <v/>
      </c>
      <c r="AW1367" s="234"/>
      <c r="BP1367" s="11"/>
      <c r="BQ1367" s="11"/>
      <c r="BR1367" s="235"/>
      <c r="BV1367" s="158"/>
      <c r="BY1367" s="158"/>
      <c r="CB1367" s="158"/>
    </row>
    <row r="1368" ht="18.0" customHeight="1">
      <c r="A1368" s="222">
        <f>IFERROR(__xludf.DUMMYFUNCTION("""COMPUTED_VALUE"""),2026.0)</f>
        <v>2026</v>
      </c>
      <c r="B1368" s="221">
        <f>IFERROR(__xludf.DUMMYFUNCTION("""COMPUTED_VALUE"""),1.1108288E7)</f>
        <v>11108288</v>
      </c>
      <c r="C1368" s="222" t="str">
        <f>IFERROR(__xludf.DUMMYFUNCTION("""COMPUTED_VALUE"""),"SMB P1I1 STTF ASRAMA PP AL IRSYAD")</f>
        <v>SMB P1I1 STTF ASRAMA PP AL IRSYAD</v>
      </c>
      <c r="D1368" s="222" t="str">
        <f>IFERROR(__xludf.DUMMYFUNCTION("""COMPUTED_VALUE"""),"REGIONAL I")</f>
        <v>REGIONAL I</v>
      </c>
      <c r="E1368" s="222" t="str">
        <f>IFERROR(__xludf.DUMMYFUNCTION("""COMPUTED_VALUE"""),"SUMBAR")</f>
        <v>SUMBAR</v>
      </c>
      <c r="F1368" s="222" t="str">
        <f>IFERROR(__xludf.DUMMYFUNCTION("""COMPUTED_VALUE"""),"SUP")</f>
        <v>SUP</v>
      </c>
      <c r="G1368" s="222" t="str">
        <f>IFERROR(__xludf.DUMMYFUNCTION("""COMPUTED_VALUE"""),"SUMBAGTENG")</f>
        <v>SUMBAGTENG</v>
      </c>
      <c r="H1368" s="222" t="str">
        <f>IFERROR(__xludf.DUMMYFUNCTION("""COMPUTED_VALUE"""),"BUKIT TINGGI")</f>
        <v>BUKIT TINGGI</v>
      </c>
      <c r="I1368" s="222" t="str">
        <f>IFERROR(__xludf.DUMMYFUNCTION("""COMPUTED_VALUE"""),"Batch 2")</f>
        <v>Batch 2</v>
      </c>
      <c r="J1368" s="225">
        <f>IFERROR(__xludf.DUMMYFUNCTION("""COMPUTED_VALUE"""),1.0)</f>
        <v>1</v>
      </c>
      <c r="K1368" s="224">
        <f>IFERROR(__xludf.DUMMYFUNCTION("""COMPUTED_VALUE"""),8.0)</f>
        <v>8</v>
      </c>
      <c r="L1368" s="226">
        <f>IFERROR(__xludf.DUMMYFUNCTION("""COMPUTED_VALUE"""),736037.0)</f>
        <v>736037</v>
      </c>
      <c r="M1368" s="227">
        <f>IFERROR(__xludf.DUMMYFUNCTION("""COMPUTED_VALUE"""),5888296.0)</f>
        <v>5888296</v>
      </c>
      <c r="N1368" s="222" t="str">
        <f>IFERROR(__xludf.DUMMYFUNCTION("""COMPUTED_VALUE"""),"PT GARINDO TECHNO MANDIRI")</f>
        <v>PT GARINDO TECHNO MANDIRI</v>
      </c>
      <c r="O1368" s="222" t="str">
        <f>IFERROR(__xludf.DUMMYFUNCTION("""COMPUTED_VALUE"""),"4. MATDEL")</f>
        <v>4. MATDEL</v>
      </c>
      <c r="P1368" s="222" t="str">
        <f>IFERROR(__xludf.DUMMYFUNCTION("""COMPUTED_VALUE"""),"4.4 Proses Pengiriman Pabribak ke WH")</f>
        <v>4.4 Proses Pengiriman Pabribak ke WH</v>
      </c>
      <c r="Q1368"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1368" s="228"/>
      <c r="S1368" s="11"/>
      <c r="T1368" s="11"/>
      <c r="U1368" s="11"/>
      <c r="V1368" s="229" t="str">
        <f>IFERROR(__xludf.DUMMYFUNCTION("""COMPUTED_VALUE"""),"DELPA YANDA")</f>
        <v>DELPA YANDA</v>
      </c>
      <c r="W1368" s="229" t="str">
        <f>IFERROR(__xludf.DUMMYFUNCTION("""COMPUTED_VALUE"""),"MELKO NARWADI")</f>
        <v>MELKO NARWADI</v>
      </c>
      <c r="X1368" s="229" t="str">
        <f>IFERROR(__xludf.DUMMYFUNCTION("""COMPUTED_VALUE"""),"BELUM GOLIVE")</f>
        <v>BELUM GOLIVE</v>
      </c>
      <c r="Y1368" s="229"/>
      <c r="Z1368" s="229" t="str">
        <f>IFERROR(__xludf.DUMMYFUNCTION("""COMPUTED_VALUE"""),"#N/A")</f>
        <v>#N/A</v>
      </c>
      <c r="AA1368" s="229"/>
      <c r="AB1368" s="229"/>
      <c r="AC1368" s="229"/>
      <c r="AD1368" s="232"/>
      <c r="AE1368" s="233"/>
      <c r="AF1368" s="54" t="str">
        <f>IFERROR(__xludf.DUMMYFUNCTION("""COMPUTED_VALUE"""),"Draft BA DROP")</f>
        <v>Draft BA DROP</v>
      </c>
      <c r="AG1368" s="54"/>
      <c r="AH1368" s="54"/>
      <c r="AI1368" s="55" t="str">
        <f t="shared" si="143"/>
        <v/>
      </c>
      <c r="AW1368" s="234"/>
      <c r="BP1368" s="11"/>
      <c r="BQ1368" s="11"/>
      <c r="BR1368" s="235"/>
      <c r="BV1368" s="158"/>
      <c r="BY1368" s="158"/>
      <c r="CB1368" s="158"/>
    </row>
    <row r="1369" ht="18.0" customHeight="1">
      <c r="A1369" s="222">
        <f>IFERROR(__xludf.DUMMYFUNCTION("""COMPUTED_VALUE"""),2026.0)</f>
        <v>2026</v>
      </c>
      <c r="B1369" s="221">
        <f>IFERROR(__xludf.DUMMYFUNCTION("""COMPUTED_VALUE"""),1.1537051E7)</f>
        <v>11537051</v>
      </c>
      <c r="C1369" s="222" t="str">
        <f>IFERROR(__xludf.DUMMYFUNCTION("""COMPUTED_VALUE"""),"SMB MD Silvi Okdrey-Diah sundari")</f>
        <v>SMB MD Silvi Okdrey-Diah sundari</v>
      </c>
      <c r="D1369" s="222" t="str">
        <f>IFERROR(__xludf.DUMMYFUNCTION("""COMPUTED_VALUE"""),"REGIONAL I")</f>
        <v>REGIONAL I</v>
      </c>
      <c r="E1369" s="222" t="str">
        <f>IFERROR(__xludf.DUMMYFUNCTION("""COMPUTED_VALUE"""),"SUMBAR")</f>
        <v>SUMBAR</v>
      </c>
      <c r="F1369" s="222" t="str">
        <f>IFERROR(__xludf.DUMMYFUNCTION("""COMPUTED_VALUE"""),"SLK")</f>
        <v>SLK</v>
      </c>
      <c r="G1369" s="222" t="str">
        <f>IFERROR(__xludf.DUMMYFUNCTION("""COMPUTED_VALUE"""),"SUMBAGTENG")</f>
        <v>SUMBAGTENG</v>
      </c>
      <c r="H1369" s="222" t="str">
        <f>IFERROR(__xludf.DUMMYFUNCTION("""COMPUTED_VALUE"""),"PADANG")</f>
        <v>PADANG</v>
      </c>
      <c r="I1369" s="222" t="str">
        <f>IFERROR(__xludf.DUMMYFUNCTION("""COMPUTED_VALUE"""),"Batch 2")</f>
        <v>Batch 2</v>
      </c>
      <c r="J1369" s="225">
        <f>IFERROR(__xludf.DUMMYFUNCTION("""COMPUTED_VALUE"""),5.0)</f>
        <v>5</v>
      </c>
      <c r="K1369" s="224">
        <f>IFERROR(__xludf.DUMMYFUNCTION("""COMPUTED_VALUE"""),40.0)</f>
        <v>40</v>
      </c>
      <c r="L1369" s="226">
        <f>IFERROR(__xludf.DUMMYFUNCTION("""COMPUTED_VALUE"""),734627.0)</f>
        <v>734627</v>
      </c>
      <c r="M1369" s="227">
        <f>IFERROR(__xludf.DUMMYFUNCTION("""COMPUTED_VALUE"""),2.9385069E7)</f>
        <v>29385069</v>
      </c>
      <c r="N1369" s="222" t="str">
        <f>IFERROR(__xludf.DUMMYFUNCTION("""COMPUTED_VALUE"""),"PT TRI PENAMAS")</f>
        <v>PT TRI PENAMAS</v>
      </c>
      <c r="O1369" s="222" t="str">
        <f>IFERROR(__xludf.DUMMYFUNCTION("""COMPUTED_VALUE"""),"0. DROP")</f>
        <v>0. DROP</v>
      </c>
      <c r="P1369" s="222" t="str">
        <f>IFERROR(__xludf.DUMMYFUNCTION("""COMPUTED_VALUE"""),"0.3 Feeder Full")</f>
        <v>0.3 Feeder Full</v>
      </c>
      <c r="Q1369" s="222" t="str">
        <f>IFERROR(__xludf.DUMMYFUNCTION("""COMPUTED_VALUE"""),"(26/01)  KENDALA FEEDER SLK-FH FULL, BUTUH NEW FEEDER")</f>
        <v>(26/01)  KENDALA FEEDER SLK-FH FULL, BUTUH NEW FEEDER</v>
      </c>
      <c r="R1369" s="228"/>
      <c r="S1369" s="11"/>
      <c r="T1369" s="11"/>
      <c r="U1369" s="11"/>
      <c r="V1369" s="229"/>
      <c r="W1369" s="229"/>
      <c r="X1369" s="229" t="str">
        <f>IFERROR(__xludf.DUMMYFUNCTION("""COMPUTED_VALUE"""),"BELUM GOLIVE")</f>
        <v>BELUM GOLIVE</v>
      </c>
      <c r="Y1369" s="229"/>
      <c r="Z1369" s="229" t="str">
        <f>IFERROR(__xludf.DUMMYFUNCTION("""COMPUTED_VALUE"""),"#N/A")</f>
        <v>#N/A</v>
      </c>
      <c r="AA1369" s="229"/>
      <c r="AB1369" s="229"/>
      <c r="AC1369" s="229"/>
      <c r="AD1369" s="232"/>
      <c r="AE1369" s="233"/>
      <c r="AF1369" s="54" t="str">
        <f>IFERROR(__xludf.DUMMYFUNCTION("""COMPUTED_VALUE"""),"Draft BA DROP")</f>
        <v>Draft BA DROP</v>
      </c>
      <c r="AG1369" s="54"/>
      <c r="AH1369" s="54"/>
      <c r="AI1369" s="55" t="str">
        <f t="shared" si="143"/>
        <v/>
      </c>
      <c r="AW1369" s="234"/>
      <c r="BP1369" s="11"/>
      <c r="BQ1369" s="11"/>
      <c r="BR1369" s="235"/>
      <c r="BV1369" s="158"/>
      <c r="BY1369" s="158"/>
      <c r="CB1369" s="158"/>
    </row>
    <row r="1370" ht="18.0" hidden="1" customHeight="1">
      <c r="A1370" s="222">
        <f>IFERROR(__xludf.DUMMYFUNCTION("""COMPUTED_VALUE"""),2026.0)</f>
        <v>2026</v>
      </c>
      <c r="B1370" s="221">
        <f>IFERROR(__xludf.DUMMYFUNCTION("""COMPUTED_VALUE"""),1.1346146E7)</f>
        <v>11346146</v>
      </c>
      <c r="C1370" s="222" t="str">
        <f>IFERROR(__xludf.DUMMYFUNCTION("""COMPUTED_VALUE"""),"ACH PT3 BNN-FJ EXP.D05 PAYA TIBA")</f>
        <v>ACH PT3 BNN-FJ EXP.D05 PAYA TIBA</v>
      </c>
      <c r="D1370" s="222" t="str">
        <f>IFERROR(__xludf.DUMMYFUNCTION("""COMPUTED_VALUE"""),"REGIONAL I")</f>
        <v>REGIONAL I</v>
      </c>
      <c r="E1370" s="222" t="str">
        <f>IFERROR(__xludf.DUMMYFUNCTION("""COMPUTED_VALUE"""),"ACEH")</f>
        <v>ACEH</v>
      </c>
      <c r="F1370" s="222" t="str">
        <f>IFERROR(__xludf.DUMMYFUNCTION("""COMPUTED_VALUE"""),"BNN")</f>
        <v>BNN</v>
      </c>
      <c r="G1370" s="222" t="str">
        <f>IFERROR(__xludf.DUMMYFUNCTION("""COMPUTED_VALUE"""),"SUMBAGUT")</f>
        <v>SUMBAGUT</v>
      </c>
      <c r="H1370" s="222" t="str">
        <f>IFERROR(__xludf.DUMMYFUNCTION("""COMPUTED_VALUE"""),"BANDA ACEH")</f>
        <v>BANDA ACEH</v>
      </c>
      <c r="I1370" s="222" t="str">
        <f>IFERROR(__xludf.DUMMYFUNCTION("""COMPUTED_VALUE"""),"Batch 2")</f>
        <v>Batch 2</v>
      </c>
      <c r="J1370" s="225">
        <f>IFERROR(__xludf.DUMMYFUNCTION("""COMPUTED_VALUE"""),9.0)</f>
        <v>9</v>
      </c>
      <c r="K1370" s="224">
        <f>IFERROR(__xludf.DUMMYFUNCTION("""COMPUTED_VALUE"""),72.0)</f>
        <v>72</v>
      </c>
      <c r="L1370" s="226">
        <f>IFERROR(__xludf.DUMMYFUNCTION("""COMPUTED_VALUE"""),734426.0)</f>
        <v>734426</v>
      </c>
      <c r="M1370" s="227">
        <f>IFERROR(__xludf.DUMMYFUNCTION("""COMPUTED_VALUE"""),5.2878654E7)</f>
        <v>52878654</v>
      </c>
      <c r="N1370" s="222" t="str">
        <f>IFERROR(__xludf.DUMMYFUNCTION("""COMPUTED_VALUE"""),"PT NIAGA NUSANTARA DIVA")</f>
        <v>PT NIAGA NUSANTARA DIVA</v>
      </c>
      <c r="O1370" s="222" t="str">
        <f>IFERROR(__xludf.DUMMYFUNCTION("""COMPUTED_VALUE"""),"7. GOLIVE")</f>
        <v>7. GOLIVE</v>
      </c>
      <c r="P1370" s="222" t="str">
        <f>IFERROR(__xludf.DUMMYFUNCTION("""COMPUTED_VALUE"""),"7.2 Golive Full / OA / DONE OTB")</f>
        <v>7.2 Golive Full / OA / DONE OTB</v>
      </c>
      <c r="Q1370" s="222" t="str">
        <f>IFERROR(__xludf.DUMMYFUNCTION("""COMPUTED_VALUE"""),"(03/03) DelMat ke Lokasi (07/02) DelMat (06/02) Done Aanwijzing (29/01) proses  AANWIJZING(07/01) Persiapan")</f>
        <v>(03/03) DelMat ke Lokasi (07/02) DelMat (06/02) Done Aanwijzing (29/01) proses  AANWIJZING(07/01) Persiapan</v>
      </c>
      <c r="R1370" s="228">
        <f>IFERROR(__xludf.DUMMYFUNCTION("""COMPUTED_VALUE"""),46112.0)</f>
        <v>46112</v>
      </c>
      <c r="S1370" s="11" t="str">
        <f>IFERROR(__xludf.DUMMYFUNCTION("""COMPUTED_VALUE"""),"MAR")</f>
        <v>MAR</v>
      </c>
      <c r="T1370" s="11"/>
      <c r="U1370" s="11"/>
      <c r="V1370" s="229"/>
      <c r="W1370" s="229"/>
      <c r="X1370" s="229" t="str">
        <f>IFERROR(__xludf.DUMMYFUNCTION("""COMPUTED_VALUE"""),"GOLIVE")</f>
        <v>GOLIVE</v>
      </c>
      <c r="Y1370" s="229" t="str">
        <f>IFERROR(__xludf.DUMMYFUNCTION("""COMPUTED_VALUE"""),"DONE")</f>
        <v>DONE</v>
      </c>
      <c r="Z1370" s="229" t="str">
        <f>IFERROR(__xludf.DUMMYFUNCTION("""COMPUTED_VALUE"""),"#N/A")</f>
        <v>#N/A</v>
      </c>
      <c r="AA1370" s="229">
        <f>IFERROR(__xludf.DUMMYFUNCTION("""COMPUTED_VALUE"""),9.0)</f>
        <v>9</v>
      </c>
      <c r="AB1370" s="229"/>
      <c r="AC1370" s="229" t="str">
        <f>IFERROR(__xludf.DUMMYFUNCTION("""COMPUTED_VALUE"""),"9230742#9230747")</f>
        <v>9230742#9230747</v>
      </c>
      <c r="AD1370" s="232">
        <f>IFERROR(__xludf.DUMMYFUNCTION("""COMPUTED_VALUE"""),72.0)</f>
        <v>72</v>
      </c>
      <c r="AE1370" s="233">
        <f>IFERROR(__xludf.DUMMYFUNCTION("""COMPUTED_VALUE"""),46112.0)</f>
        <v>46112</v>
      </c>
      <c r="AF1370" s="54"/>
      <c r="AG1370" s="54"/>
      <c r="AH1370" s="54">
        <v>46112.0</v>
      </c>
      <c r="AI1370" s="55">
        <f t="shared" si="143"/>
        <v>0</v>
      </c>
      <c r="AW1370" s="234"/>
      <c r="BP1370" s="11"/>
      <c r="BQ1370" s="11"/>
      <c r="BR1370" s="235"/>
      <c r="BV1370" s="158"/>
      <c r="BY1370" s="158"/>
      <c r="CB1370" s="158"/>
    </row>
    <row r="1371" ht="18.0" hidden="1" customHeight="1">
      <c r="A1371" s="222">
        <f>IFERROR(__xludf.DUMMYFUNCTION("""COMPUTED_VALUE"""),2026.0)</f>
        <v>2026</v>
      </c>
      <c r="B1371" s="221">
        <f>IFERROR(__xludf.DUMMYFUNCTION("""COMPUTED_VALUE"""),1.1189157E7)</f>
        <v>11189157</v>
      </c>
      <c r="C1371" s="222" t="str">
        <f>IFERROR(__xludf.DUMMYFUNCTION("""COMPUTED_VALUE"""),"MDN PT3 PDB-FD DANAMON TANJUNG ANOM")</f>
        <v>MDN PT3 PDB-FD DANAMON TANJUNG ANOM</v>
      </c>
      <c r="D1371" s="222" t="str">
        <f>IFERROR(__xludf.DUMMYFUNCTION("""COMPUTED_VALUE"""),"REGIONAL I")</f>
        <v>REGIONAL I</v>
      </c>
      <c r="E1371" s="222" t="str">
        <f>IFERROR(__xludf.DUMMYFUNCTION("""COMPUTED_VALUE"""),"MEDAN")</f>
        <v>MEDAN</v>
      </c>
      <c r="F1371" s="222" t="str">
        <f>IFERROR(__xludf.DUMMYFUNCTION("""COMPUTED_VALUE"""),"PDB")</f>
        <v>PDB</v>
      </c>
      <c r="G1371" s="222" t="str">
        <f>IFERROR(__xludf.DUMMYFUNCTION("""COMPUTED_VALUE"""),"SUMBAGUT")</f>
        <v>SUMBAGUT</v>
      </c>
      <c r="H1371" s="222" t="str">
        <f>IFERROR(__xludf.DUMMYFUNCTION("""COMPUTED_VALUE"""),"MEDAN")</f>
        <v>MEDAN</v>
      </c>
      <c r="I1371" s="222" t="str">
        <f>IFERROR(__xludf.DUMMYFUNCTION("""COMPUTED_VALUE"""),"Batch 2")</f>
        <v>Batch 2</v>
      </c>
      <c r="J1371" s="225">
        <f>IFERROR(__xludf.DUMMYFUNCTION("""COMPUTED_VALUE"""),4.0)</f>
        <v>4</v>
      </c>
      <c r="K1371" s="224">
        <f>IFERROR(__xludf.DUMMYFUNCTION("""COMPUTED_VALUE"""),32.0)</f>
        <v>32</v>
      </c>
      <c r="L1371" s="226">
        <f>IFERROR(__xludf.DUMMYFUNCTION("""COMPUTED_VALUE"""),1129158.0)</f>
        <v>1129158</v>
      </c>
      <c r="M1371" s="227">
        <f>IFERROR(__xludf.DUMMYFUNCTION("""COMPUTED_VALUE"""),3.6133041E7)</f>
        <v>36133041</v>
      </c>
      <c r="N1371" s="222" t="str">
        <f>IFERROR(__xludf.DUMMYFUNCTION("""COMPUTED_VALUE"""),"PT BANGUN PRIMA SEMESTA")</f>
        <v>PT BANGUN PRIMA SEMESTA</v>
      </c>
      <c r="O1371" s="222" t="str">
        <f>IFERROR(__xludf.DUMMYFUNCTION("""COMPUTED_VALUE"""),"2. DONE AANWIJZING")</f>
        <v>2. DONE AANWIJZING</v>
      </c>
      <c r="P1371" s="222" t="str">
        <f>IFERROR(__xludf.DUMMYFUNCTION("""COMPUTED_VALUE"""),"2.10 Kendala - Feeder Rusak")</f>
        <v>2.10 Kendala - Feeder Rusak</v>
      </c>
      <c r="Q1371" s="222" t="str">
        <f>IFERROR(__xludf.DUMMYFUNCTION("""COMPUTED_VALUE"""),"13/02 Menunggu LoP MDN PT4 P7I3 PDB-FD PRUM GRY MUTIARA4 01/11 Feeder LOS
(24/09) Perizinan Warga dan Kades / Lurah
(23/09) Perizinan Warga dan Kades / Lurah
15/09 proses aanwijzing")</f>
        <v>13/02 Menunggu LoP MDN PT4 P7I3 PDB-FD PRUM GRY MUTIARA4 01/11 Feeder LOS
(24/09) Perizinan Warga dan Kades / Lurah
(23/09) Perizinan Warga dan Kades / Lurah
15/09 proses aanwijzing</v>
      </c>
      <c r="R1371" s="228"/>
      <c r="S1371" s="11"/>
      <c r="T1371" s="11"/>
      <c r="U1371" s="11"/>
      <c r="V1371" s="229"/>
      <c r="W1371" s="229"/>
      <c r="X1371" s="229" t="str">
        <f>IFERROR(__xludf.DUMMYFUNCTION("""COMPUTED_VALUE"""),"BELUM GOLIVE")</f>
        <v>BELUM GOLIVE</v>
      </c>
      <c r="Y1371" s="229"/>
      <c r="Z1371" s="229" t="str">
        <f>IFERROR(__xludf.DUMMYFUNCTION("""COMPUTED_VALUE"""),"#N/A")</f>
        <v>#N/A</v>
      </c>
      <c r="AA1371" s="229"/>
      <c r="AB1371" s="229"/>
      <c r="AC1371" s="229"/>
      <c r="AD1371" s="232"/>
      <c r="AE1371" s="233"/>
      <c r="AF1371" s="54"/>
      <c r="AG1371" s="54"/>
      <c r="AH1371" s="54"/>
      <c r="AI1371" s="55" t="str">
        <f t="shared" si="143"/>
        <v/>
      </c>
      <c r="AW1371" s="234"/>
      <c r="BP1371" s="11"/>
      <c r="BQ1371" s="11"/>
      <c r="BR1371" s="235"/>
      <c r="BV1371" s="158"/>
      <c r="BY1371" s="158"/>
      <c r="CB1371" s="158"/>
    </row>
    <row r="1372" ht="18.0" customHeight="1">
      <c r="A1372" s="222">
        <f>IFERROR(__xludf.DUMMYFUNCTION("""COMPUTED_VALUE"""),2026.0)</f>
        <v>2026</v>
      </c>
      <c r="B1372" s="221">
        <f>IFERROR(__xludf.DUMMYFUNCTION("""COMPUTED_VALUE"""),1.1438133E7)</f>
        <v>11438133</v>
      </c>
      <c r="C1372" s="222" t="str">
        <f>IFERROR(__xludf.DUMMYFUNCTION("""COMPUTED_VALUE"""),"RKP PT3 TSEL PNI-FAE KP. DAUN TAHAP 2")</f>
        <v>RKP PT3 TSEL PNI-FAE KP. DAUN TAHAP 2</v>
      </c>
      <c r="D1372" s="222" t="str">
        <f>IFERROR(__xludf.DUMMYFUNCTION("""COMPUTED_VALUE"""),"REGIONAL I")</f>
        <v>REGIONAL I</v>
      </c>
      <c r="E1372" s="222" t="str">
        <f>IFERROR(__xludf.DUMMYFUNCTION("""COMPUTED_VALUE"""),"RIKEP")</f>
        <v>RIKEP</v>
      </c>
      <c r="F1372" s="222" t="str">
        <f>IFERROR(__xludf.DUMMYFUNCTION("""COMPUTED_VALUE"""),"PNI")</f>
        <v>PNI</v>
      </c>
      <c r="G1372" s="222" t="str">
        <f>IFERROR(__xludf.DUMMYFUNCTION("""COMPUTED_VALUE"""),"SUMBAGTENG")</f>
        <v>SUMBAGTENG</v>
      </c>
      <c r="H1372" s="222" t="str">
        <f>IFERROR(__xludf.DUMMYFUNCTION("""COMPUTED_VALUE"""),"BATAM")</f>
        <v>BATAM</v>
      </c>
      <c r="I1372" s="222" t="str">
        <f>IFERROR(__xludf.DUMMYFUNCTION("""COMPUTED_VALUE"""),"Batch 2")</f>
        <v>Batch 2</v>
      </c>
      <c r="J1372" s="225">
        <f>IFERROR(__xludf.DUMMYFUNCTION("""COMPUTED_VALUE"""),3.0)</f>
        <v>3</v>
      </c>
      <c r="K1372" s="224">
        <f>IFERROR(__xludf.DUMMYFUNCTION("""COMPUTED_VALUE"""),24.0)</f>
        <v>24</v>
      </c>
      <c r="L1372" s="226">
        <f>IFERROR(__xludf.DUMMYFUNCTION("""COMPUTED_VALUE"""),732924.0)</f>
        <v>732924</v>
      </c>
      <c r="M1372" s="227">
        <f>IFERROR(__xludf.DUMMYFUNCTION("""COMPUTED_VALUE"""),1.7590169E7)</f>
        <v>17590169</v>
      </c>
      <c r="N1372" s="222" t="str">
        <f>IFERROR(__xludf.DUMMYFUNCTION("""COMPUTED_VALUE"""),"SWAKELOLA")</f>
        <v>SWAKELOLA</v>
      </c>
      <c r="O1372" s="222" t="str">
        <f>IFERROR(__xludf.DUMMYFUNCTION("""COMPUTED_VALUE"""),"0. DROP")</f>
        <v>0. DROP</v>
      </c>
      <c r="P1372" s="222" t="str">
        <f>IFERROR(__xludf.DUMMYFUNCTION("""COMPUTED_VALUE"""),"0.2 Tidak Dapat Izin Warga/Kades/Lurah/Developer")</f>
        <v>0.2 Tidak Dapat Izin Warga/Kades/Lurah/Developer</v>
      </c>
      <c r="Q1372" s="222" t="str">
        <f>IFERROR(__xludf.DUMMYFUNCTION("""COMPUTED_VALUE"""),"17/04 izin di tolak .07/04 Belum ada balasan dari RT setempat. 
28/03 belum ada balasan izin dari perangkat.  04/03 Peralihan mitra karena MP PT Global visindo sudah fokus ke tematik lain. 09/02 09/02 core OK, proses perizinan. 28/01 plan survey 29 Jan.  "&amp;" 21/01 Plan survey tanggal 23 Jan 2026")</f>
        <v>17/04 izin di tolak .07/04 Belum ada balasan dari RT setempat. 
28/03 belum ada balasan izin dari perangkat.  04/03 Peralihan mitra karena MP PT Global visindo sudah fokus ke tematik lain. 09/02 09/02 core OK, proses perizinan. 28/01 plan survey 29 Jan.   21/01 Plan survey tanggal 23 Jan 2026</v>
      </c>
      <c r="R1372" s="228"/>
      <c r="S1372" s="11"/>
      <c r="T1372" s="11"/>
      <c r="U1372" s="11" t="str">
        <f>IFERROR(__xludf.DUMMYFUNCTION("""COMPUTED_VALUE"""),"W09-831/2025")</f>
        <v>W09-831/2025</v>
      </c>
      <c r="V1372" s="229" t="str">
        <f>IFERROR(__xludf.DUMMYFUNCTION("""COMPUTED_VALUE"""),"GANI PRASTYO")</f>
        <v>GANI PRASTYO</v>
      </c>
      <c r="W1372" s="229" t="str">
        <f>IFERROR(__xludf.DUMMYFUNCTION("""COMPUTED_VALUE"""),"LEVITA INDRIYANI")</f>
        <v>LEVITA INDRIYANI</v>
      </c>
      <c r="X1372" s="229" t="str">
        <f>IFERROR(__xludf.DUMMYFUNCTION("""COMPUTED_VALUE"""),"BELUM GOLIVE")</f>
        <v>BELUM GOLIVE</v>
      </c>
      <c r="Y1372" s="229"/>
      <c r="Z1372" s="229" t="str">
        <f>IFERROR(__xludf.DUMMYFUNCTION("""COMPUTED_VALUE"""),"#N/A")</f>
        <v>#N/A</v>
      </c>
      <c r="AA1372" s="229"/>
      <c r="AB1372" s="229"/>
      <c r="AC1372" s="229"/>
      <c r="AD1372" s="232"/>
      <c r="AE1372" s="233"/>
      <c r="AF1372" s="54"/>
      <c r="AG1372" s="54"/>
      <c r="AH1372" s="54"/>
      <c r="AI1372" s="55" t="str">
        <f t="shared" si="143"/>
        <v/>
      </c>
      <c r="AW1372" s="234"/>
      <c r="BP1372" s="11"/>
      <c r="BQ1372" s="11"/>
      <c r="BR1372" s="235"/>
      <c r="BV1372" s="158"/>
      <c r="BY1372" s="158"/>
      <c r="CB1372" s="158"/>
    </row>
    <row r="1373" ht="18.0" hidden="1" customHeight="1">
      <c r="A1373" s="222">
        <f>IFERROR(__xludf.DUMMYFUNCTION("""COMPUTED_VALUE"""),2026.0)</f>
        <v>2026</v>
      </c>
      <c r="B1373" s="221">
        <f>IFERROR(__xludf.DUMMYFUNCTION("""COMPUTED_VALUE"""),1.1391822E7)</f>
        <v>11391822</v>
      </c>
      <c r="C1373" s="222" t="str">
        <f>IFERROR(__xludf.DUMMYFUNCTION("""COMPUTED_VALUE"""),"LPG PT3 JPP PRINGSEWU_16927 PRW")</f>
        <v>LPG PT3 JPP PRINGSEWU_16927 PRW</v>
      </c>
      <c r="D1373" s="222" t="str">
        <f>IFERROR(__xludf.DUMMYFUNCTION("""COMPUTED_VALUE"""),"REGIONAL I")</f>
        <v>REGIONAL I</v>
      </c>
      <c r="E1373" s="222" t="str">
        <f>IFERROR(__xludf.DUMMYFUNCTION("""COMPUTED_VALUE"""),"LAMPUNG")</f>
        <v>LAMPUNG</v>
      </c>
      <c r="F1373" s="222" t="str">
        <f>IFERROR(__xludf.DUMMYFUNCTION("""COMPUTED_VALUE"""),"PRW")</f>
        <v>PRW</v>
      </c>
      <c r="G1373" s="222" t="str">
        <f>IFERROR(__xludf.DUMMYFUNCTION("""COMPUTED_VALUE"""),"SUMBAGSEL")</f>
        <v>SUMBAGSEL</v>
      </c>
      <c r="H1373" s="222" t="str">
        <f>IFERROR(__xludf.DUMMYFUNCTION("""COMPUTED_VALUE"""),"LAMPUNG")</f>
        <v>LAMPUNG</v>
      </c>
      <c r="I1373" s="222" t="str">
        <f>IFERROR(__xludf.DUMMYFUNCTION("""COMPUTED_VALUE"""),"Batch 2")</f>
        <v>Batch 2</v>
      </c>
      <c r="J1373" s="225">
        <f>IFERROR(__xludf.DUMMYFUNCTION("""COMPUTED_VALUE"""),7.0)</f>
        <v>7</v>
      </c>
      <c r="K1373" s="224">
        <f>IFERROR(__xludf.DUMMYFUNCTION("""COMPUTED_VALUE"""),56.0)</f>
        <v>56</v>
      </c>
      <c r="L1373" s="226">
        <f>IFERROR(__xludf.DUMMYFUNCTION("""COMPUTED_VALUE"""),732379.0)</f>
        <v>732379</v>
      </c>
      <c r="M1373" s="227">
        <f>IFERROR(__xludf.DUMMYFUNCTION("""COMPUTED_VALUE"""),4.101318E7)</f>
        <v>41013180</v>
      </c>
      <c r="N1373" s="222" t="str">
        <f>IFERROR(__xludf.DUMMYFUNCTION("""COMPUTED_VALUE"""),"PT TEKNOLOGI KARYA MANDIRI")</f>
        <v>PT TEKNOLOGI KARYA MANDIRI</v>
      </c>
      <c r="O1373" s="222" t="str">
        <f>IFERROR(__xludf.DUMMYFUNCTION("""COMPUTED_VALUE"""),"7. GOLIVE")</f>
        <v>7. GOLIVE</v>
      </c>
      <c r="P1373" s="222" t="str">
        <f>IFERROR(__xludf.DUMMYFUNCTION("""COMPUTED_VALUE"""),"7.2 Golive Full / OA / DONE OTB")</f>
        <v>7.2 Golive Full / OA / DONE OTB</v>
      </c>
      <c r="Q1373" s="222" t="str">
        <f>IFERROR(__xludf.DUMMYFUNCTION("""COMPUTED_VALUE"""),"19/1 instalasi odp dan cek core")</f>
        <v>19/1 instalasi odp dan cek core</v>
      </c>
      <c r="R1373" s="228"/>
      <c r="S1373" s="11"/>
      <c r="T1373" s="11"/>
      <c r="U1373" s="11" t="str">
        <f>IFERROR(__xludf.DUMMYFUNCTION("""COMPUTED_VALUE"""),"W02-525/2025")</f>
        <v>W02-525/2025</v>
      </c>
      <c r="V1373" s="229"/>
      <c r="W1373" s="229"/>
      <c r="X1373" s="229" t="str">
        <f>IFERROR(__xludf.DUMMYFUNCTION("""COMPUTED_VALUE"""),"GOLIVE")</f>
        <v>GOLIVE</v>
      </c>
      <c r="Y1373" s="229" t="str">
        <f>IFERROR(__xludf.DUMMYFUNCTION("""COMPUTED_VALUE"""),"DONE")</f>
        <v>DONE</v>
      </c>
      <c r="Z1373" s="229" t="str">
        <f>IFERROR(__xludf.DUMMYFUNCTION("""COMPUTED_VALUE"""),"#N/A")</f>
        <v>#N/A</v>
      </c>
      <c r="AA1373" s="229">
        <f>IFERROR(__xludf.DUMMYFUNCTION("""COMPUTED_VALUE"""),6.0)</f>
        <v>6</v>
      </c>
      <c r="AB1373" s="229"/>
      <c r="AC1373" s="229" t="str">
        <f>IFERROR(__xludf.DUMMYFUNCTION("""COMPUTED_VALUE"""),"9048246#9048251")</f>
        <v>9048246#9048251</v>
      </c>
      <c r="AD1373" s="232">
        <f>IFERROR(__xludf.DUMMYFUNCTION("""COMPUTED_VALUE"""),48.0)</f>
        <v>48</v>
      </c>
      <c r="AE1373" s="233">
        <f>IFERROR(__xludf.DUMMYFUNCTION("""COMPUTED_VALUE"""),46055.0)</f>
        <v>46055</v>
      </c>
      <c r="AF1373" s="54"/>
      <c r="AG1373" s="54"/>
      <c r="AH1373" s="54"/>
      <c r="AI1373" s="55" t="str">
        <f t="shared" si="143"/>
        <v/>
      </c>
      <c r="AW1373" s="234"/>
      <c r="BP1373" s="11"/>
      <c r="BQ1373" s="11"/>
      <c r="BR1373" s="235"/>
      <c r="BV1373" s="158"/>
      <c r="BY1373" s="158"/>
      <c r="CB1373" s="158"/>
    </row>
    <row r="1374" ht="18.0" hidden="1" customHeight="1">
      <c r="A1374" s="222">
        <f>IFERROR(__xludf.DUMMYFUNCTION("""COMPUTED_VALUE"""),2026.0)</f>
        <v>2026</v>
      </c>
      <c r="B1374" s="221">
        <f>IFERROR(__xludf.DUMMYFUNCTION("""COMPUTED_VALUE"""),1.1570169E7)</f>
        <v>11570169</v>
      </c>
      <c r="C1374" s="222" t="str">
        <f>IFERROR(__xludf.DUMMYFUNCTION("""COMPUTED_VALUE"""),"SMS P3I1 PT3 PDT FQ D04 GRIYA TAZA II")</f>
        <v>SMS P3I1 PT3 PDT FQ D04 GRIYA TAZA II</v>
      </c>
      <c r="D1374" s="222" t="str">
        <f>IFERROR(__xludf.DUMMYFUNCTION("""COMPUTED_VALUE"""),"REGIONAL I")</f>
        <v>REGIONAL I</v>
      </c>
      <c r="E1374" s="222" t="str">
        <f>IFERROR(__xludf.DUMMYFUNCTION("""COMPUTED_VALUE"""),"SUMSEL")</f>
        <v>SUMSEL</v>
      </c>
      <c r="F1374" s="222" t="str">
        <f>IFERROR(__xludf.DUMMYFUNCTION("""COMPUTED_VALUE"""),"PDT")</f>
        <v>PDT</v>
      </c>
      <c r="G1374" s="222" t="str">
        <f>IFERROR(__xludf.DUMMYFUNCTION("""COMPUTED_VALUE"""),"SUMBAGSEL")</f>
        <v>SUMBAGSEL</v>
      </c>
      <c r="H1374" s="222" t="str">
        <f>IFERROR(__xludf.DUMMYFUNCTION("""COMPUTED_VALUE"""),"PALEMBANG")</f>
        <v>PALEMBANG</v>
      </c>
      <c r="I1374" s="222" t="str">
        <f>IFERROR(__xludf.DUMMYFUNCTION("""COMPUTED_VALUE"""),"Batch 2")</f>
        <v>Batch 2</v>
      </c>
      <c r="J1374" s="225">
        <f>IFERROR(__xludf.DUMMYFUNCTION("""COMPUTED_VALUE"""),6.0)</f>
        <v>6</v>
      </c>
      <c r="K1374" s="224">
        <f>IFERROR(__xludf.DUMMYFUNCTION("""COMPUTED_VALUE"""),48.0)</f>
        <v>48</v>
      </c>
      <c r="L1374" s="226">
        <f>IFERROR(__xludf.DUMMYFUNCTION("""COMPUTED_VALUE"""),730750.0)</f>
        <v>730750</v>
      </c>
      <c r="M1374" s="227">
        <f>IFERROR(__xludf.DUMMYFUNCTION("""COMPUTED_VALUE"""),3.5075974E7)</f>
        <v>35075974</v>
      </c>
      <c r="N1374" s="222" t="str">
        <f>IFERROR(__xludf.DUMMYFUNCTION("""COMPUTED_VALUE"""),"PT ACERO CETHA METALINDO")</f>
        <v>PT ACERO CETHA METALINDO</v>
      </c>
      <c r="O1374" s="222" t="str">
        <f>IFERROR(__xludf.DUMMYFUNCTION("""COMPUTED_VALUE"""),"7. GOLIVE")</f>
        <v>7. GOLIVE</v>
      </c>
      <c r="P1374" s="222" t="str">
        <f>IFERROR(__xludf.DUMMYFUNCTION("""COMPUTED_VALUE"""),"7.2 Golive Full / OA / DONE OTB")</f>
        <v>7.2 Golive Full / OA / DONE OTB</v>
      </c>
      <c r="Q1374" s="222" t="str">
        <f>IFERROR(__xludf.DUMMYFUNCTION("""COMPUTED_VALUE"""),"28/04 GOLIVE, 27/04 PROGRESS JOIN ODP, 25/4 komitmen 27 apr // 24/04 MENUNGGU ANTRIAN PENARIKAN KABEL, 23/04 DONE TANAM TIANG 11BTG - LANJUT PENARIKAN KABEL, 21/04 progres tanam tiang, 17/04 PENGAMBILAN MATERIAL SELESAI PROGRESS LOP PBM FAQ DAN PBM FAJ, 1"&amp;"3/04 Plan kirim material 14 Ap 09/04 PRoses input material,plan matdel 11 APR 08/04 DONE PR PO, 07/04 MENUNGGU PR PO, 06/04 PENGAJUAN PR PO, 04/04 DONE DRM, 01/04 MASIH MENUNGGU TTD DRM MITRA, 30/03 MENUNGGU TTD DRM MITRA, 27/03 PROSES DRM, 26/03 PERIZINA"&amp;"N PARAREL DRM MITRA 25/03 MEMASTIKAN TITIK KABEL PUTUS UTK DILANJUTKAN QE - PARALEL PROGRESS PBM SELESAI,  24/03 MEMASTIKAN TITIK KABEL PUTUS UTK DILANJUTKAN QE, 21/03 MASIH MEMASTIKAN TITIK KABEL PUTUS UTK DILANJUTKAN QE, 17/03 MASIH MEMASTIKAN TITIK KAB"&amp;"EL PUTUS UTK DILANJUTKAN QE, 16/03 MASIH MEMASTIKAN TITIK KABEL PUTUS UTK DILANJUTKAN QE, 13/03 OGP DRM, 10/03 OGP DRM, 03/03 HASIL REVIEW TIF LANJUT, 02/03 DROP - BOQ NAIK DARI PLAN SEBESAR 21%, 24/02 DROP - BOQ NAIK DARI PLAN SEBESAR 21%, 06/02 HASIL RE"&amp;"VIEW TSEL PROPOSE DROP - REDESIGN, 30/01 DONE EVAL, HASIL AANWINZING STUB CORE D04 TIDAK CUKUP UNTUK PLAN PEMBANGUNAN PERMINTAAN SALES 7 ODP, JDI DI PLAN NEW DIST TETAPI ADA KENAIKAN 21% KARENA JDI NEW DIST 04/02 HOLD - CPP NAIK 21%, 30/01 DONE EVAL, HASI"&amp;"L AANWINZING STUB CORE D04 TIDAK CUKUP UNTUK PLAN PEMBANGUNAN PERMINTAAN SALES 7 ODP, JDI DI PLAN NEW DIST TETAPI ADA KENAIKAN 21% KARENA JDI NEW DIST, 25/01 DONE AANWIDJZING, 23/01 OGP AANWIDJZING, (21/01) menunggu antrian aanwizjing, (15/1) ORDER DITERI"&amp;"MA MITRA 14/1, plan Aanwijdzing 19 Jan (14/11)HOLD- tidak masuk target Optimis 2025 ((11/11) Penunjukkan MITRA oleh Procurement 23/10 penunjukan mitra
 14/01 penunjukan mitra oleh procurement")</f>
        <v>28/04 GOLIVE, 27/04 PROGRESS JOIN ODP, 25/4 komitmen 27 apr // 24/04 MENUNGGU ANTRIAN PENARIKAN KABEL, 23/04 DONE TANAM TIANG 11BTG - LANJUT PENARIKAN KABEL, 21/04 progres tanam tiang, 17/04 PENGAMBILAN MATERIAL SELESAI PROGRESS LOP PBM FAQ DAN PBM FAJ, 13/04 Plan kirim material 14 Ap 09/04 PRoses input material,plan matdel 11 APR 08/04 DONE PR PO, 07/04 MENUNGGU PR PO, 06/04 PENGAJUAN PR PO, 04/04 DONE DRM, 01/04 MASIH MENUNGGU TTD DRM MITRA, 30/03 MENUNGGU TTD DRM MITRA, 27/03 PROSES DRM, 26/03 PERIZINAN PARAREL DRM MITRA 25/03 MEMASTIKAN TITIK KABEL PUTUS UTK DILANJUTKAN QE - PARALEL PROGRESS PBM SELESAI,  24/03 MEMASTIKAN TITIK KABEL PUTUS UTK DILANJUTKAN QE, 21/03 MASIH MEMASTIKAN TITIK KABEL PUTUS UTK DILANJUTKAN QE, 17/03 MASIH MEMASTIKAN TITIK KABEL PUTUS UTK DILANJUTKAN QE, 16/03 MASIH MEMASTIKAN TITIK KABEL PUTUS UTK DILANJUTKAN QE, 13/03 OGP DRM, 10/03 OGP DRM, 03/03 HASIL REVIEW TIF LANJUT, 02/03 DROP - BOQ NAIK DARI PLAN SEBESAR 21%, 24/02 DROP - BOQ NAIK DARI PLAN SEBESAR 21%, 06/02 HASIL REVIEW TSEL PROPOSE DROP - REDESIGN, 30/01 DONE EVAL, HASIL AANWINZING STUB CORE D04 TIDAK CUKUP UNTUK PLAN PEMBANGUNAN PERMINTAAN SALES 7 ODP, JDI DI PLAN NEW DIST TETAPI ADA KENAIKAN 21% KARENA JDI NEW DIST 04/02 HOLD - CPP NAIK 21%, 30/01 DONE EVAL, HASIL AANWINZING STUB CORE D04 TIDAK CUKUP UNTUK PLAN PEMBANGUNAN PERMINTAAN SALES 7 ODP, JDI DI PLAN NEW DIST TETAPI ADA KENAIKAN 21% KARENA JDI NEW DIST, 25/01 DONE AANWIDJZING, 23/01 OGP AANWIDJZING, (21/01) menunggu antrian aanwizjing, (15/1) ORDER DITERIMA MITRA 14/1, plan Aanwijdzing 19 Jan (14/11)HOLD- tidak masuk target Optimis 2025 ((11/11) Penunjukkan MITRA oleh Procurement 23/10 penunjukan mitra
 14/01 penunjukan mitra oleh procurement</v>
      </c>
      <c r="R1374" s="228">
        <f>IFERROR(__xludf.DUMMYFUNCTION("""COMPUTED_VALUE"""),46139.0)</f>
        <v>46139</v>
      </c>
      <c r="S1374" s="11" t="str">
        <f>IFERROR(__xludf.DUMMYFUNCTION("""COMPUTED_VALUE"""),"APR")</f>
        <v>APR</v>
      </c>
      <c r="T1374" s="11" t="str">
        <f>IFERROR(__xludf.DUMMYFUNCTION("""COMPUTED_VALUE"""),"P1")</f>
        <v>P1</v>
      </c>
      <c r="U1374" s="11"/>
      <c r="V1374" s="229" t="str">
        <f>IFERROR(__xludf.DUMMYFUNCTION("""COMPUTED_VALUE"""),"ILHAM")</f>
        <v>ILHAM</v>
      </c>
      <c r="W1374" s="229"/>
      <c r="X1374" s="229" t="str">
        <f>IFERROR(__xludf.DUMMYFUNCTION("""COMPUTED_VALUE"""),"BELUM GOLIVE")</f>
        <v>BELUM GOLIVE</v>
      </c>
      <c r="Y1374" s="229"/>
      <c r="Z1374" s="229" t="str">
        <f>IFERROR(__xludf.DUMMYFUNCTION("""COMPUTED_VALUE"""),"#N/A")</f>
        <v>#N/A</v>
      </c>
      <c r="AA1374" s="229"/>
      <c r="AB1374" s="229"/>
      <c r="AC1374" s="229"/>
      <c r="AD1374" s="232"/>
      <c r="AE1374" s="233"/>
      <c r="AF1374" s="54"/>
      <c r="AG1374" s="54"/>
      <c r="AH1374" s="54"/>
      <c r="AI1374" s="55" t="str">
        <f t="shared" si="143"/>
        <v/>
      </c>
      <c r="AW1374" s="234"/>
      <c r="BP1374" s="11"/>
      <c r="BQ1374" s="11"/>
      <c r="BR1374" s="235"/>
      <c r="BV1374" s="158"/>
      <c r="BY1374" s="158"/>
      <c r="CB1374" s="158"/>
    </row>
    <row r="1375" ht="18.0" customHeight="1">
      <c r="A1375" s="222">
        <f>IFERROR(__xludf.DUMMYFUNCTION("""COMPUTED_VALUE"""),2026.0)</f>
        <v>2026</v>
      </c>
      <c r="B1375" s="221">
        <f>IFERROR(__xludf.DUMMYFUNCTION("""COMPUTED_VALUE"""),1.210107E7)</f>
        <v>12101070</v>
      </c>
      <c r="C1375" s="222" t="str">
        <f>IFERROR(__xludf.DUMMYFUNCTION("""COMPUTED_VALUE"""),"SMB PT3-PYK-FT LIMA PULUH KOTA_134582")</f>
        <v>SMB PT3-PYK-FT LIMA PULUH KOTA_134582</v>
      </c>
      <c r="D1375" s="222" t="str">
        <f>IFERROR(__xludf.DUMMYFUNCTION("""COMPUTED_VALUE"""),"REGIONAL I")</f>
        <v>REGIONAL I</v>
      </c>
      <c r="E1375" s="222" t="str">
        <f>IFERROR(__xludf.DUMMYFUNCTION("""COMPUTED_VALUE"""),"SUMBAR")</f>
        <v>SUMBAR</v>
      </c>
      <c r="F1375" s="222" t="str">
        <f>IFERROR(__xludf.DUMMYFUNCTION("""COMPUTED_VALUE"""),"PYK")</f>
        <v>PYK</v>
      </c>
      <c r="G1375" s="222" t="str">
        <f>IFERROR(__xludf.DUMMYFUNCTION("""COMPUTED_VALUE"""),"SUMBAGTENG")</f>
        <v>SUMBAGTENG</v>
      </c>
      <c r="H1375" s="222" t="str">
        <f>IFERROR(__xludf.DUMMYFUNCTION("""COMPUTED_VALUE"""),"BUKIT TINGGI")</f>
        <v>BUKIT TINGGI</v>
      </c>
      <c r="I1375" s="222" t="str">
        <f>IFERROR(__xludf.DUMMYFUNCTION("""COMPUTED_VALUE"""),"Batch 2")</f>
        <v>Batch 2</v>
      </c>
      <c r="J1375" s="225">
        <f>IFERROR(__xludf.DUMMYFUNCTION("""COMPUTED_VALUE"""),10.0)</f>
        <v>10</v>
      </c>
      <c r="K1375" s="224">
        <f>IFERROR(__xludf.DUMMYFUNCTION("""COMPUTED_VALUE"""),80.0)</f>
        <v>80</v>
      </c>
      <c r="L1375" s="226">
        <f>IFERROR(__xludf.DUMMYFUNCTION("""COMPUTED_VALUE"""),729499.0)</f>
        <v>729499</v>
      </c>
      <c r="M1375" s="227">
        <f>IFERROR(__xludf.DUMMYFUNCTION("""COMPUTED_VALUE"""),5.8359881E7)</f>
        <v>58359881</v>
      </c>
      <c r="N1375" s="222" t="str">
        <f>IFERROR(__xludf.DUMMYFUNCTION("""COMPUTED_VALUE"""),"PT RATRI PRIMA MANDIRI")</f>
        <v>PT RATRI PRIMA MANDIRI</v>
      </c>
      <c r="O1375" s="222" t="str">
        <f>IFERROR(__xludf.DUMMYFUNCTION("""COMPUTED_VALUE"""),"0. DROP")</f>
        <v>0. DROP</v>
      </c>
      <c r="P1375" s="222" t="str">
        <f>IFERROR(__xludf.DUMMYFUNCTION("""COMPUTED_VALUE"""),"0.3 Feeder Full")</f>
        <v>0.3 Feeder Full</v>
      </c>
      <c r="Q1375" s="222" t="str">
        <f>IFERROR(__xludf.DUMMYFUNCTION("""COMPUTED_VALUE"""),"(26/01) Kendala feeder PYK-FT FULL")</f>
        <v>(26/01) Kendala feeder PYK-FT FULL</v>
      </c>
      <c r="R1375" s="228"/>
      <c r="S1375" s="11"/>
      <c r="T1375" s="11"/>
      <c r="U1375" s="11"/>
      <c r="V1375" s="229"/>
      <c r="W1375" s="229"/>
      <c r="X1375" s="229" t="str">
        <f>IFERROR(__xludf.DUMMYFUNCTION("""COMPUTED_VALUE"""),"BELUM GOLIVE")</f>
        <v>BELUM GOLIVE</v>
      </c>
      <c r="Y1375" s="229"/>
      <c r="Z1375" s="229" t="str">
        <f>IFERROR(__xludf.DUMMYFUNCTION("""COMPUTED_VALUE"""),"#N/A")</f>
        <v>#N/A</v>
      </c>
      <c r="AA1375" s="229"/>
      <c r="AB1375" s="229"/>
      <c r="AC1375" s="229"/>
      <c r="AD1375" s="232"/>
      <c r="AE1375" s="233"/>
      <c r="AF1375" s="54" t="str">
        <f>IFERROR(__xludf.DUMMYFUNCTION("""COMPUTED_VALUE"""),"Draft BA DROP")</f>
        <v>Draft BA DROP</v>
      </c>
      <c r="AG1375" s="54"/>
      <c r="AH1375" s="54"/>
      <c r="AI1375" s="55" t="str">
        <f t="shared" si="143"/>
        <v/>
      </c>
      <c r="AW1375" s="234"/>
      <c r="BP1375" s="11"/>
      <c r="BQ1375" s="11"/>
      <c r="BR1375" s="235"/>
      <c r="BV1375" s="158"/>
      <c r="BY1375" s="158"/>
      <c r="CB1375" s="158"/>
    </row>
    <row r="1376" ht="18.0" customHeight="1">
      <c r="A1376" s="222">
        <f>IFERROR(__xludf.DUMMYFUNCTION("""COMPUTED_VALUE"""),2026.0)</f>
        <v>2026</v>
      </c>
      <c r="B1376" s="221">
        <f>IFERROR(__xludf.DUMMYFUNCTION("""COMPUTED_VALUE"""),1.1252111E7)</f>
        <v>11252111</v>
      </c>
      <c r="C1376" s="222" t="str">
        <f>IFERROR(__xludf.DUMMYFUNCTION("""COMPUTED_VALUE"""),"RDR JPP PT3 ARK FDB")</f>
        <v>RDR JPP PT3 ARK FDB</v>
      </c>
      <c r="D1376" s="222" t="str">
        <f>IFERROR(__xludf.DUMMYFUNCTION("""COMPUTED_VALUE"""),"REGIONAL I")</f>
        <v>REGIONAL I</v>
      </c>
      <c r="E1376" s="222" t="str">
        <f>IFERROR(__xludf.DUMMYFUNCTION("""COMPUTED_VALUE"""),"RIDAR")</f>
        <v>RIDAR</v>
      </c>
      <c r="F1376" s="222" t="str">
        <f>IFERROR(__xludf.DUMMYFUNCTION("""COMPUTED_VALUE"""),"ARK")</f>
        <v>ARK</v>
      </c>
      <c r="G1376" s="222" t="str">
        <f>IFERROR(__xludf.DUMMYFUNCTION("""COMPUTED_VALUE"""),"SUMBAGTENG")</f>
        <v>SUMBAGTENG</v>
      </c>
      <c r="H1376" s="222" t="str">
        <f>IFERROR(__xludf.DUMMYFUNCTION("""COMPUTED_VALUE"""),"PEKANBARU")</f>
        <v>PEKANBARU</v>
      </c>
      <c r="I1376" s="222" t="str">
        <f>IFERROR(__xludf.DUMMYFUNCTION("""COMPUTED_VALUE"""),"Batch 2")</f>
        <v>Batch 2</v>
      </c>
      <c r="J1376" s="225">
        <f>IFERROR(__xludf.DUMMYFUNCTION("""COMPUTED_VALUE"""),1.0)</f>
        <v>1</v>
      </c>
      <c r="K1376" s="224">
        <f>IFERROR(__xludf.DUMMYFUNCTION("""COMPUTED_VALUE"""),8.0)</f>
        <v>8</v>
      </c>
      <c r="L1376" s="226">
        <f>IFERROR(__xludf.DUMMYFUNCTION("""COMPUTED_VALUE"""),728810.0)</f>
        <v>728810</v>
      </c>
      <c r="M1376" s="227">
        <f>IFERROR(__xludf.DUMMYFUNCTION("""COMPUTED_VALUE"""),5830473.0)</f>
        <v>5830473</v>
      </c>
      <c r="N1376" s="222" t="str">
        <f>IFERROR(__xludf.DUMMYFUNCTION("""COMPUTED_VALUE"""),"PT UPAYA TEKNIK")</f>
        <v>PT UPAYA TEKNIK</v>
      </c>
      <c r="O1376" s="222" t="str">
        <f>IFERROR(__xludf.DUMMYFUNCTION("""COMPUTED_VALUE"""),"2. DONE AANWIJZING")</f>
        <v>2. DONE AANWIJZING</v>
      </c>
      <c r="P1376" s="222" t="str">
        <f>IFERROR(__xludf.DUMMYFUNCTION("""COMPUTED_VALUE"""),"2.10 Kendala - Feeder Rusak")</f>
        <v>2.10 Kendala - Feeder Rusak</v>
      </c>
      <c r="Q1376" s="222" t="str">
        <f>IFERROR(__xludf.DUMMYFUNCTION("""COMPUTED_VALUE"""),"20/04 Pengambilan ulang hasil ukur OTDR 13/04 Pengambilan ulang OTDR utk kebutuhan QE 20/01 Drop perubahan design, cpp jadi tinggi  (12/01) menunggu aanwizing, (07/01) Persiapan")</f>
        <v>20/04 Pengambilan ulang hasil ukur OTDR 13/04 Pengambilan ulang OTDR utk kebutuhan QE 20/01 Drop perubahan design, cpp jadi tinggi  (12/01) menunggu aanwizing, (07/01) Persiapan</v>
      </c>
      <c r="R1376" s="228"/>
      <c r="S1376" s="11"/>
      <c r="T1376" s="11"/>
      <c r="U1376" s="11"/>
      <c r="V1376" s="229"/>
      <c r="W1376" s="229"/>
      <c r="X1376" s="229" t="str">
        <f>IFERROR(__xludf.DUMMYFUNCTION("""COMPUTED_VALUE"""),"BELUM GOLIVE")</f>
        <v>BELUM GOLIVE</v>
      </c>
      <c r="Y1376" s="229"/>
      <c r="Z1376" s="229" t="str">
        <f>IFERROR(__xludf.DUMMYFUNCTION("""COMPUTED_VALUE"""),"#N/A")</f>
        <v>#N/A</v>
      </c>
      <c r="AA1376" s="229"/>
      <c r="AB1376" s="229"/>
      <c r="AC1376" s="229"/>
      <c r="AD1376" s="232"/>
      <c r="AE1376" s="233"/>
      <c r="AF1376" s="54"/>
      <c r="AG1376" s="54"/>
      <c r="AH1376" s="54"/>
      <c r="AI1376" s="55" t="str">
        <f t="shared" si="143"/>
        <v/>
      </c>
      <c r="AW1376" s="234"/>
      <c r="BP1376" s="11"/>
      <c r="BQ1376" s="11"/>
      <c r="BR1376" s="235"/>
      <c r="BV1376" s="158"/>
      <c r="BY1376" s="158"/>
      <c r="CB1376" s="158"/>
    </row>
    <row r="1377" ht="18.0" hidden="1" customHeight="1">
      <c r="A1377" s="222">
        <f>IFERROR(__xludf.DUMMYFUNCTION("""COMPUTED_VALUE"""),2026.0)</f>
        <v>2026</v>
      </c>
      <c r="B1377" s="221">
        <f>IFERROR(__xludf.DUMMYFUNCTION("""COMPUTED_VALUE"""),1.1966168E7)</f>
        <v>11966168</v>
      </c>
      <c r="C1377" s="222" t="str">
        <f>IFERROR(__xludf.DUMMYFUNCTION("""COMPUTED_VALUE"""),"SMS PT3 TSS FA D06 TAP")</f>
        <v>SMS PT3 TSS FA D06 TAP</v>
      </c>
      <c r="D1377" s="222" t="str">
        <f>IFERROR(__xludf.DUMMYFUNCTION("""COMPUTED_VALUE"""),"REGIONAL I")</f>
        <v>REGIONAL I</v>
      </c>
      <c r="E1377" s="222" t="str">
        <f>IFERROR(__xludf.DUMMYFUNCTION("""COMPUTED_VALUE"""),"SUMSEL")</f>
        <v>SUMSEL</v>
      </c>
      <c r="F1377" s="222" t="str">
        <f>IFERROR(__xludf.DUMMYFUNCTION("""COMPUTED_VALUE"""),"TSS")</f>
        <v>TSS</v>
      </c>
      <c r="G1377" s="222" t="str">
        <f>IFERROR(__xludf.DUMMYFUNCTION("""COMPUTED_VALUE"""),"SUMBAGSEL")</f>
        <v>SUMBAGSEL</v>
      </c>
      <c r="H1377" s="222" t="str">
        <f>IFERROR(__xludf.DUMMYFUNCTION("""COMPUTED_VALUE"""),"BENGKULU")</f>
        <v>BENGKULU</v>
      </c>
      <c r="I1377" s="222" t="str">
        <f>IFERROR(__xludf.DUMMYFUNCTION("""COMPUTED_VALUE"""),"Batch 2")</f>
        <v>Batch 2</v>
      </c>
      <c r="J1377" s="225">
        <f>IFERROR(__xludf.DUMMYFUNCTION("""COMPUTED_VALUE"""),7.0)</f>
        <v>7</v>
      </c>
      <c r="K1377" s="224">
        <f>IFERROR(__xludf.DUMMYFUNCTION("""COMPUTED_VALUE"""),56.0)</f>
        <v>56</v>
      </c>
      <c r="L1377" s="226">
        <f>IFERROR(__xludf.DUMMYFUNCTION("""COMPUTED_VALUE"""),727377.0)</f>
        <v>727377</v>
      </c>
      <c r="M1377" s="227">
        <f>IFERROR(__xludf.DUMMYFUNCTION("""COMPUTED_VALUE"""),4.0733061E7)</f>
        <v>40733061</v>
      </c>
      <c r="N1377" s="222" t="str">
        <f>IFERROR(__xludf.DUMMYFUNCTION("""COMPUTED_VALUE"""),"PT DIAN KARYA")</f>
        <v>PT DIAN KARYA</v>
      </c>
      <c r="O1377" s="222" t="str">
        <f>IFERROR(__xludf.DUMMYFUNCTION("""COMPUTED_VALUE"""),"7. GOLIVE")</f>
        <v>7. GOLIVE</v>
      </c>
      <c r="P1377" s="222" t="str">
        <f>IFERROR(__xludf.DUMMYFUNCTION("""COMPUTED_VALUE"""),"7.2 Golive Full / OA / DONE OTB")</f>
        <v>7.2 Golive Full / OA / DONE OTB</v>
      </c>
      <c r="Q1377" s="222" t="str">
        <f>IFERROR(__xludf.DUMMYFUNCTION("""COMPUTED_VALUE"""),"10/03 GOLIVE, 09/03 DONE SUBMIT ABD KE SDI, 09/03 DONE VALINS, 08/03 PROGRESS TERMINASI ODP, 06/03 OGP TERMINASI ODP, 03/03 OGP TERMINASI ODP, 02/03 DONE PENARIKAN KABEL 2750M, 28/02 DONE PENANAMAN 1 TIANG DAN OGP PENARIKAN KABEL 1200/2750, 28/2 plan 1 MA"&amp;"r tarik kabel 27/02 MENUNGGU ANTRIAN PEKERJAAN, 26/02 MENUNGGU ANTRIAN PEKERJAAN, 25/02 CAT TIANG, 24/02 MATERIAL ONSITE  23/02 OGP MATDEL, 22/2 menunggu material TIANG  16/02 OGP MATDEL, 12/02 DONE INPUT MATERIAL, (11/02) Butuh Amandemen Budget, 11/2 Don"&amp;"e PRPO- Req Material,  (09/02) Proses PR PO, 6/2 Proses Create PID ,  04/02 DONE EVAL, LANJUT DRM, 31/1  DOne aanwijdzing, eval senin 2 feb  29/01 DONE AANWIDJZING, 28/01 OGP AANWIDJZING, (26/1) tim TIF belum bisa EVAL hasil anwijzing karena lagi diluar k"&amp;"ota , estimasi 29 jan baru kembali ke Palembang(23/1) plan aanwijdzing tgl 27 jan (21/01) menunggu anrian untuk aanwijzing, 13/11 masih menunggu aanwidjzing, 10/11 menunggu aanwidzing 04/11 menunggu aanwijzing 23/10 belum di lakukan oleh mitra ke lokasi
1"&amp;"5/10 plan aanwiznig tgl 17/10
(08/10) menunggu jadwal aanwijizng
(01/10) menunggu jadwal aanwijizng
(19/09) pejadwalan aanwijzing
23/01 penunjukan mitra oleh procurement")</f>
        <v>10/03 GOLIVE, 09/03 DONE SUBMIT ABD KE SDI, 09/03 DONE VALINS, 08/03 PROGRESS TERMINASI ODP, 06/03 OGP TERMINASI ODP, 03/03 OGP TERMINASI ODP, 02/03 DONE PENARIKAN KABEL 2750M, 28/02 DONE PENANAMAN 1 TIANG DAN OGP PENARIKAN KABEL 1200/2750, 28/2 plan 1 MAr tarik kabel 27/02 MENUNGGU ANTRIAN PEKERJAAN, 26/02 MENUNGGU ANTRIAN PEKERJAAN, 25/02 CAT TIANG, 24/02 MATERIAL ONSITE  23/02 OGP MATDEL, 22/2 menunggu material TIANG  16/02 OGP MATDEL, 12/02 DONE INPUT MATERIAL, (11/02) Butuh Amandemen Budget, 11/2 Done PRPO- Req Material,  (09/02) Proses PR PO, 6/2 Proses Create PID ,  04/02 DONE EVAL, LANJUT DRM, 31/1  DOne aanwijdzing, eval senin 2 feb  29/01 DONE AANWIDJZING, 28/01 OGP AANWIDJZING, (26/1) tim TIF belum bisa EVAL hasil anwijzing karena lagi diluar kota , estimasi 29 jan baru kembali ke Palembang(23/1) plan aanwijdzing tgl 27 jan (21/01) menunggu anrian untuk aanwijzing, 13/11 masih menunggu aanwidjzing, 10/11 menunggu aanwidzing 04/11 menunggu aanwijzing 23/10 belum di lakukan oleh mitra ke lokasi
15/10 plan aanwiznig tgl 17/10
(08/10) menunggu jadwal aanwijizng
(01/10) menunggu jadwal aanwijizng
(19/09) pejadwalan aanwijzing
23/01 penunjukan mitra oleh procurement</v>
      </c>
      <c r="R1377" s="228">
        <f>IFERROR(__xludf.DUMMYFUNCTION("""COMPUTED_VALUE"""),46090.0)</f>
        <v>46090</v>
      </c>
      <c r="S1377" s="11" t="str">
        <f>IFERROR(__xludf.DUMMYFUNCTION("""COMPUTED_VALUE"""),"MAR")</f>
        <v>MAR</v>
      </c>
      <c r="T1377" s="11"/>
      <c r="U1377" s="11"/>
      <c r="V1377" s="229" t="str">
        <f>IFERROR(__xludf.DUMMYFUNCTION("""COMPUTED_VALUE"""),"PUTRA")</f>
        <v>PUTRA</v>
      </c>
      <c r="W1377" s="229"/>
      <c r="X1377" s="229" t="str">
        <f>IFERROR(__xludf.DUMMYFUNCTION("""COMPUTED_VALUE"""),"GOLIVE")</f>
        <v>GOLIVE</v>
      </c>
      <c r="Y1377" s="229" t="str">
        <f>IFERROR(__xludf.DUMMYFUNCTION("""COMPUTED_VALUE"""),"DONE")</f>
        <v>DONE</v>
      </c>
      <c r="Z1377" s="229" t="str">
        <f>IFERROR(__xludf.DUMMYFUNCTION("""COMPUTED_VALUE"""),"#N/A")</f>
        <v>#N/A</v>
      </c>
      <c r="AA1377" s="229">
        <f>IFERROR(__xludf.DUMMYFUNCTION("""COMPUTED_VALUE"""),7.0)</f>
        <v>7</v>
      </c>
      <c r="AB1377" s="229"/>
      <c r="AC1377" s="229" t="str">
        <f>IFERROR(__xludf.DUMMYFUNCTION("""COMPUTED_VALUE"""),"8949113#8949118")</f>
        <v>8949113#8949118</v>
      </c>
      <c r="AD1377" s="232">
        <f>IFERROR(__xludf.DUMMYFUNCTION("""COMPUTED_VALUE"""),56.0)</f>
        <v>56</v>
      </c>
      <c r="AE1377" s="233">
        <f>IFERROR(__xludf.DUMMYFUNCTION("""COMPUTED_VALUE"""),46090.0)</f>
        <v>46090</v>
      </c>
      <c r="AF1377" s="54"/>
      <c r="AG1377" s="54"/>
      <c r="AH1377" s="54">
        <v>46090.0</v>
      </c>
      <c r="AI1377" s="55">
        <f t="shared" si="143"/>
        <v>0</v>
      </c>
      <c r="AW1377" s="234"/>
      <c r="BP1377" s="11"/>
      <c r="BQ1377" s="11"/>
      <c r="BR1377" s="235"/>
      <c r="BV1377" s="158"/>
      <c r="BY1377" s="158"/>
      <c r="CB1377" s="158"/>
    </row>
    <row r="1378" ht="18.0" hidden="1" customHeight="1">
      <c r="A1378" s="222">
        <f>IFERROR(__xludf.DUMMYFUNCTION("""COMPUTED_VALUE"""),2026.0)</f>
        <v>2026</v>
      </c>
      <c r="B1378" s="221">
        <f>IFERROR(__xludf.DUMMYFUNCTION("""COMPUTED_VALUE"""),1.2386329E7)</f>
        <v>12386329</v>
      </c>
      <c r="C1378" s="222" t="str">
        <f>IFERROR(__xludf.DUMMYFUNCTION("""COMPUTED_VALUE"""),"BBL PT3 P4I3 TAMBAHAN RIAS UJUNG")</f>
        <v>BBL PT3 P4I3 TAMBAHAN RIAS UJUNG</v>
      </c>
      <c r="D1378" s="222" t="str">
        <f>IFERROR(__xludf.DUMMYFUNCTION("""COMPUTED_VALUE"""),"REGIONAL I")</f>
        <v>REGIONAL I</v>
      </c>
      <c r="E1378" s="222" t="str">
        <f>IFERROR(__xludf.DUMMYFUNCTION("""COMPUTED_VALUE"""),"BABEL")</f>
        <v>BABEL</v>
      </c>
      <c r="F1378" s="222" t="str">
        <f>IFERROR(__xludf.DUMMYFUNCTION("""COMPUTED_VALUE"""),"TBI")</f>
        <v>TBI</v>
      </c>
      <c r="G1378" s="222" t="str">
        <f>IFERROR(__xludf.DUMMYFUNCTION("""COMPUTED_VALUE"""),"SUMBAGSEL")</f>
        <v>SUMBAGSEL</v>
      </c>
      <c r="H1378" s="222" t="str">
        <f>IFERROR(__xludf.DUMMYFUNCTION("""COMPUTED_VALUE"""),"PANGKAL PINANG")</f>
        <v>PANGKAL PINANG</v>
      </c>
      <c r="I1378" s="222" t="str">
        <f>IFERROR(__xludf.DUMMYFUNCTION("""COMPUTED_VALUE"""),"Batch 2")</f>
        <v>Batch 2</v>
      </c>
      <c r="J1378" s="225">
        <f>IFERROR(__xludf.DUMMYFUNCTION("""COMPUTED_VALUE"""),8.0)</f>
        <v>8</v>
      </c>
      <c r="K1378" s="224">
        <f>IFERROR(__xludf.DUMMYFUNCTION("""COMPUTED_VALUE"""),72.0)</f>
        <v>72</v>
      </c>
      <c r="L1378" s="226">
        <f>IFERROR(__xludf.DUMMYFUNCTION("""COMPUTED_VALUE"""),726368.0)</f>
        <v>726368</v>
      </c>
      <c r="M1378" s="227">
        <f>IFERROR(__xludf.DUMMYFUNCTION("""COMPUTED_VALUE"""),5.2298496E7)</f>
        <v>52298496</v>
      </c>
      <c r="N1378" s="222" t="str">
        <f>IFERROR(__xludf.DUMMYFUNCTION("""COMPUTED_VALUE"""),"PT FAJAR MITRA KRIDA ABADI")</f>
        <v>PT FAJAR MITRA KRIDA ABADI</v>
      </c>
      <c r="O1378" s="222" t="str">
        <f>IFERROR(__xludf.DUMMYFUNCTION("""COMPUTED_VALUE"""),"7. GOLIVE")</f>
        <v>7. GOLIVE</v>
      </c>
      <c r="P1378" s="222" t="str">
        <f>IFERROR(__xludf.DUMMYFUNCTION("""COMPUTED_VALUE"""),"7.2 Golive Full / OA / DONE OTB")</f>
        <v>7.2 Golive Full / OA / DONE OTB</v>
      </c>
      <c r="Q1378" s="222" t="str">
        <f>IFERROR(__xludf.DUMMYFUNCTION("""COMPUTED_VALUE"""),"(09/01) Done Go Live (7/1)  SUDAH SETOR V4  06/01 instalasi ODP (05/01) tarik kabel 24D 2100 done (02/01) proses penarikan kabel (31/12) tanam 11 tiang done (16/12) hold , material on site 28/11 sudah bisa request (24/11) proses pr po (21/11) progres DRM "&amp;"mitra (4/11) sudah anwijzing (3/11) Penunjukan mitra")</f>
        <v>(09/01) Done Go Live (7/1)  SUDAH SETOR V4  06/01 instalasi ODP (05/01) tarik kabel 24D 2100 done (02/01) proses penarikan kabel (31/12) tanam 11 tiang done (16/12) hold , material on site 28/11 sudah bisa request (24/11) proses pr po (21/11) progres DRM mitra (4/11) sudah anwijzing (3/11) Penunjukan mitra</v>
      </c>
      <c r="R1378" s="228"/>
      <c r="S1378" s="11"/>
      <c r="T1378" s="11"/>
      <c r="U1378" s="11"/>
      <c r="V1378" s="229"/>
      <c r="W1378" s="229"/>
      <c r="X1378" s="229" t="str">
        <f>IFERROR(__xludf.DUMMYFUNCTION("""COMPUTED_VALUE"""),"GOLIVE")</f>
        <v>GOLIVE</v>
      </c>
      <c r="Y1378" s="229" t="str">
        <f>IFERROR(__xludf.DUMMYFUNCTION("""COMPUTED_VALUE"""),"DONE")</f>
        <v>DONE</v>
      </c>
      <c r="Z1378" s="229" t="str">
        <f>IFERROR(__xludf.DUMMYFUNCTION("""COMPUTED_VALUE"""),"#N/A")</f>
        <v>#N/A</v>
      </c>
      <c r="AA1378" s="229">
        <f>IFERROR(__xludf.DUMMYFUNCTION("""COMPUTED_VALUE"""),7.0)</f>
        <v>7</v>
      </c>
      <c r="AB1378" s="229">
        <f>IFERROR(__xludf.DUMMYFUNCTION("""COMPUTED_VALUE"""),1.0)</f>
        <v>1</v>
      </c>
      <c r="AC1378" s="229" t="str">
        <f>IFERROR(__xludf.DUMMYFUNCTION("""COMPUTED_VALUE"""),"8485649#8485654")</f>
        <v>8485649#8485654</v>
      </c>
      <c r="AD1378" s="232">
        <f>IFERROR(__xludf.DUMMYFUNCTION("""COMPUTED_VALUE"""),72.0)</f>
        <v>72</v>
      </c>
      <c r="AE1378" s="233">
        <f>IFERROR(__xludf.DUMMYFUNCTION("""COMPUTED_VALUE"""),46031.0)</f>
        <v>46031</v>
      </c>
      <c r="AF1378" s="54" t="str">
        <f>IFERROR(__xludf.DUMMYFUNCTION("""COMPUTED_VALUE"""),"DONE")</f>
        <v>DONE</v>
      </c>
      <c r="AG1378" s="54"/>
      <c r="AH1378" s="54"/>
      <c r="AI1378" s="55" t="str">
        <f t="shared" si="143"/>
        <v/>
      </c>
      <c r="AW1378" s="234"/>
      <c r="BP1378" s="11"/>
      <c r="BQ1378" s="11"/>
      <c r="BR1378" s="235"/>
      <c r="BV1378" s="158"/>
      <c r="BY1378" s="158"/>
      <c r="CB1378" s="158"/>
    </row>
    <row r="1379" ht="18.0" customHeight="1">
      <c r="A1379" s="222">
        <f>IFERROR(__xludf.DUMMYFUNCTION("""COMPUTED_VALUE"""),2026.0)</f>
        <v>2026</v>
      </c>
      <c r="B1379" s="221">
        <f>IFERROR(__xludf.DUMMYFUNCTION("""COMPUTED_VALUE"""),1.1335398E7)</f>
        <v>11335398</v>
      </c>
      <c r="C1379" s="222" t="str">
        <f>IFERROR(__xludf.DUMMYFUNCTION("""COMPUTED_VALUE"""),"SMB P2I1 Rawang Teluk Bayur")</f>
        <v>SMB P2I1 Rawang Teluk Bayur</v>
      </c>
      <c r="D1379" s="222" t="str">
        <f>IFERROR(__xludf.DUMMYFUNCTION("""COMPUTED_VALUE"""),"REGIONAL I")</f>
        <v>REGIONAL I</v>
      </c>
      <c r="E1379" s="222" t="str">
        <f>IFERROR(__xludf.DUMMYFUNCTION("""COMPUTED_VALUE"""),"SUMBAR")</f>
        <v>SUMBAR</v>
      </c>
      <c r="F1379" s="222" t="str">
        <f>IFERROR(__xludf.DUMMYFUNCTION("""COMPUTED_VALUE"""),"TLB")</f>
        <v>TLB</v>
      </c>
      <c r="G1379" s="222" t="str">
        <f>IFERROR(__xludf.DUMMYFUNCTION("""COMPUTED_VALUE"""),"SUMBAGTENG")</f>
        <v>SUMBAGTENG</v>
      </c>
      <c r="H1379" s="222" t="str">
        <f>IFERROR(__xludf.DUMMYFUNCTION("""COMPUTED_VALUE"""),"PADANG")</f>
        <v>PADANG</v>
      </c>
      <c r="I1379" s="222" t="str">
        <f>IFERROR(__xludf.DUMMYFUNCTION("""COMPUTED_VALUE"""),"Batch 2")</f>
        <v>Batch 2</v>
      </c>
      <c r="J1379" s="225">
        <f>IFERROR(__xludf.DUMMYFUNCTION("""COMPUTED_VALUE"""),2.0)</f>
        <v>2</v>
      </c>
      <c r="K1379" s="224">
        <f>IFERROR(__xludf.DUMMYFUNCTION("""COMPUTED_VALUE"""),16.0)</f>
        <v>16</v>
      </c>
      <c r="L1379" s="226">
        <f>IFERROR(__xludf.DUMMYFUNCTION("""COMPUTED_VALUE"""),725729.0)</f>
        <v>725729</v>
      </c>
      <c r="M1379" s="227">
        <f>IFERROR(__xludf.DUMMYFUNCTION("""COMPUTED_VALUE"""),1.1611663E7)</f>
        <v>11611663</v>
      </c>
      <c r="N1379" s="222" t="str">
        <f>IFERROR(__xludf.DUMMYFUNCTION("""COMPUTED_VALUE"""),"PT ALAM UTAMA MULIA")</f>
        <v>PT ALAM UTAMA MULIA</v>
      </c>
      <c r="O1379" s="222" t="str">
        <f>IFERROR(__xludf.DUMMYFUNCTION("""COMPUTED_VALUE"""),"0. DROP")</f>
        <v>0. DROP</v>
      </c>
      <c r="P1379" s="222" t="str">
        <f>IFERROR(__xludf.DUMMYFUNCTION("""COMPUTED_VALUE"""),"0.3 Feeder Full")</f>
        <v>0.3 Feeder Full</v>
      </c>
      <c r="Q1379" s="222" t="str">
        <f>IFERROR(__xludf.DUMMYFUNCTION("""COMPUTED_VALUE"""),"(26/01) Kendala feeder TLB-FA FULL")</f>
        <v>(26/01) Kendala feeder TLB-FA FULL</v>
      </c>
      <c r="R1379" s="228"/>
      <c r="S1379" s="11"/>
      <c r="T1379" s="11"/>
      <c r="U1379" s="11"/>
      <c r="V1379" s="229"/>
      <c r="W1379" s="229"/>
      <c r="X1379" s="229" t="str">
        <f>IFERROR(__xludf.DUMMYFUNCTION("""COMPUTED_VALUE"""),"BELUM GOLIVE")</f>
        <v>BELUM GOLIVE</v>
      </c>
      <c r="Y1379" s="229"/>
      <c r="Z1379" s="229" t="str">
        <f>IFERROR(__xludf.DUMMYFUNCTION("""COMPUTED_VALUE"""),"#N/A")</f>
        <v>#N/A</v>
      </c>
      <c r="AA1379" s="229"/>
      <c r="AB1379" s="229"/>
      <c r="AC1379" s="229"/>
      <c r="AD1379" s="232"/>
      <c r="AE1379" s="233"/>
      <c r="AF1379" s="54" t="str">
        <f>IFERROR(__xludf.DUMMYFUNCTION("""COMPUTED_VALUE"""),"Draft BA DROP")</f>
        <v>Draft BA DROP</v>
      </c>
      <c r="AG1379" s="54"/>
      <c r="AH1379" s="54"/>
      <c r="AI1379" s="55" t="str">
        <f t="shared" si="143"/>
        <v/>
      </c>
      <c r="AW1379" s="234"/>
      <c r="BP1379" s="11"/>
      <c r="BQ1379" s="11"/>
      <c r="BR1379" s="235"/>
      <c r="BV1379" s="158"/>
      <c r="BY1379" s="158"/>
      <c r="CB1379" s="158"/>
    </row>
    <row r="1380" ht="18.0" hidden="1" customHeight="1">
      <c r="A1380" s="222">
        <f>IFERROR(__xludf.DUMMYFUNCTION("""COMPUTED_VALUE"""),2026.0)</f>
        <v>2026</v>
      </c>
      <c r="B1380" s="221">
        <f>IFERROR(__xludf.DUMMYFUNCTION("""COMPUTED_VALUE"""),1.1536072E7)</f>
        <v>11536072</v>
      </c>
      <c r="C1380" s="222" t="str">
        <f>IFERROR(__xludf.DUMMYFUNCTION("""COMPUTED_VALUE"""),"MDN PT3 LBP-FF JL.PEMBANGUNAN 1_MD25")</f>
        <v>MDN PT3 LBP-FF JL.PEMBANGUNAN 1_MD25</v>
      </c>
      <c r="D1380" s="222" t="str">
        <f>IFERROR(__xludf.DUMMYFUNCTION("""COMPUTED_VALUE"""),"REGIONAL I")</f>
        <v>REGIONAL I</v>
      </c>
      <c r="E1380" s="222" t="str">
        <f>IFERROR(__xludf.DUMMYFUNCTION("""COMPUTED_VALUE"""),"MEDAN")</f>
        <v>MEDAN</v>
      </c>
      <c r="F1380" s="222" t="str">
        <f>IFERROR(__xludf.DUMMYFUNCTION("""COMPUTED_VALUE"""),"LBP")</f>
        <v>LBP</v>
      </c>
      <c r="G1380" s="222" t="str">
        <f>IFERROR(__xludf.DUMMYFUNCTION("""COMPUTED_VALUE"""),"SUMBAGUT")</f>
        <v>SUMBAGUT</v>
      </c>
      <c r="H1380" s="222" t="str">
        <f>IFERROR(__xludf.DUMMYFUNCTION("""COMPUTED_VALUE"""),"MEDAN")</f>
        <v>MEDAN</v>
      </c>
      <c r="I1380" s="222" t="str">
        <f>IFERROR(__xludf.DUMMYFUNCTION("""COMPUTED_VALUE"""),"Batch 2")</f>
        <v>Batch 2</v>
      </c>
      <c r="J1380" s="225">
        <f>IFERROR(__xludf.DUMMYFUNCTION("""COMPUTED_VALUE"""),8.0)</f>
        <v>8</v>
      </c>
      <c r="K1380" s="224">
        <f>IFERROR(__xludf.DUMMYFUNCTION("""COMPUTED_VALUE"""),64.0)</f>
        <v>64</v>
      </c>
      <c r="L1380" s="226">
        <f>IFERROR(__xludf.DUMMYFUNCTION("""COMPUTED_VALUE"""),945859.0)</f>
        <v>945859</v>
      </c>
      <c r="M1380" s="227">
        <f>IFERROR(__xludf.DUMMYFUNCTION("""COMPUTED_VALUE"""),6.0534937E7)</f>
        <v>60534937</v>
      </c>
      <c r="N1380" s="222" t="str">
        <f>IFERROR(__xludf.DUMMYFUNCTION("""COMPUTED_VALUE"""),"PT BONGKAR SEJATI ANDALAN")</f>
        <v>PT BONGKAR SEJATI ANDALAN</v>
      </c>
      <c r="O1380" s="222" t="str">
        <f>IFERROR(__xludf.DUMMYFUNCTION("""COMPUTED_VALUE"""),"0. DROP")</f>
        <v>0. DROP</v>
      </c>
      <c r="P1380" s="222" t="str">
        <f>IFERROR(__xludf.DUMMYFUNCTION("""COMPUTED_VALUE"""),"0.1 Double Order")</f>
        <v>0.1 Double Order</v>
      </c>
      <c r="Q1380" s="222" t="str">
        <f>IFERROR(__xludf.DUMMYFUNCTION("""COMPUTED_VALUE"""),"11/02 depedensi lop drop MDN PT4 LBP-FF JL.MESJID I
(07/01) Persiapan")</f>
        <v>11/02 depedensi lop drop MDN PT4 LBP-FF JL.MESJID I
(07/01) Persiapan</v>
      </c>
      <c r="R1380" s="228"/>
      <c r="S1380" s="11"/>
      <c r="T1380" s="11"/>
      <c r="U1380" s="11"/>
      <c r="V1380" s="229"/>
      <c r="W1380" s="229"/>
      <c r="X1380" s="229" t="str">
        <f>IFERROR(__xludf.DUMMYFUNCTION("""COMPUTED_VALUE"""),"BELUM GOLIVE")</f>
        <v>BELUM GOLIVE</v>
      </c>
      <c r="Y1380" s="229"/>
      <c r="Z1380" s="229" t="str">
        <f>IFERROR(__xludf.DUMMYFUNCTION("""COMPUTED_VALUE"""),"#N/A")</f>
        <v>#N/A</v>
      </c>
      <c r="AA1380" s="229"/>
      <c r="AB1380" s="229"/>
      <c r="AC1380" s="229"/>
      <c r="AD1380" s="232"/>
      <c r="AE1380" s="233"/>
      <c r="AF1380" s="54"/>
      <c r="AG1380" s="54"/>
      <c r="AH1380" s="54"/>
      <c r="AI1380" s="55" t="str">
        <f t="shared" si="143"/>
        <v/>
      </c>
      <c r="AW1380" s="234"/>
      <c r="BP1380" s="11"/>
      <c r="BQ1380" s="11"/>
      <c r="BR1380" s="235"/>
      <c r="BV1380" s="158"/>
      <c r="BY1380" s="158"/>
      <c r="CB1380" s="158"/>
    </row>
    <row r="1381" ht="18.0" hidden="1" customHeight="1">
      <c r="A1381" s="222">
        <f>IFERROR(__xludf.DUMMYFUNCTION("""COMPUTED_VALUE"""),2026.0)</f>
        <v>2026</v>
      </c>
      <c r="B1381" s="221">
        <f>IFERROR(__xludf.DUMMYFUNCTION("""COMPUTED_VALUE"""),1.1162741E7)</f>
        <v>11162741</v>
      </c>
      <c r="C1381" s="222" t="str">
        <f>IFERROR(__xludf.DUMMYFUNCTION("""COMPUTED_VALUE"""),"MDN PT3 P7I9 PDB-FT GG.BUNGA ESTER")</f>
        <v>MDN PT3 P7I9 PDB-FT GG.BUNGA ESTER</v>
      </c>
      <c r="D1381" s="222" t="str">
        <f>IFERROR(__xludf.DUMMYFUNCTION("""COMPUTED_VALUE"""),"REGIONAL I")</f>
        <v>REGIONAL I</v>
      </c>
      <c r="E1381" s="222" t="str">
        <f>IFERROR(__xludf.DUMMYFUNCTION("""COMPUTED_VALUE"""),"MEDAN")</f>
        <v>MEDAN</v>
      </c>
      <c r="F1381" s="222" t="str">
        <f>IFERROR(__xludf.DUMMYFUNCTION("""COMPUTED_VALUE"""),"PDB")</f>
        <v>PDB</v>
      </c>
      <c r="G1381" s="222" t="str">
        <f>IFERROR(__xludf.DUMMYFUNCTION("""COMPUTED_VALUE"""),"SUMBAGUT")</f>
        <v>SUMBAGUT</v>
      </c>
      <c r="H1381" s="222" t="str">
        <f>IFERROR(__xludf.DUMMYFUNCTION("""COMPUTED_VALUE"""),"MEDAN")</f>
        <v>MEDAN</v>
      </c>
      <c r="I1381" s="222" t="str">
        <f>IFERROR(__xludf.DUMMYFUNCTION("""COMPUTED_VALUE"""),"Batch 2")</f>
        <v>Batch 2</v>
      </c>
      <c r="J1381" s="225">
        <f>IFERROR(__xludf.DUMMYFUNCTION("""COMPUTED_VALUE"""),7.0)</f>
        <v>7</v>
      </c>
      <c r="K1381" s="224">
        <f>IFERROR(__xludf.DUMMYFUNCTION("""COMPUTED_VALUE"""),56.0)</f>
        <v>56</v>
      </c>
      <c r="L1381" s="226">
        <f>IFERROR(__xludf.DUMMYFUNCTION("""COMPUTED_VALUE"""),702452.0)</f>
        <v>702452</v>
      </c>
      <c r="M1381" s="227">
        <f>IFERROR(__xludf.DUMMYFUNCTION("""COMPUTED_VALUE"""),3.9337272E7)</f>
        <v>39337272</v>
      </c>
      <c r="N1381" s="222" t="str">
        <f>IFERROR(__xludf.DUMMYFUNCTION("""COMPUTED_VALUE"""),"SWAKELOLA")</f>
        <v>SWAKELOLA</v>
      </c>
      <c r="O1381" s="222" t="str">
        <f>IFERROR(__xludf.DUMMYFUNCTION("""COMPUTED_VALUE"""),"2. DONE AANWIJZING")</f>
        <v>2. DONE AANWIJZING</v>
      </c>
      <c r="P1381" s="222" t="str">
        <f>IFERROR(__xludf.DUMMYFUNCTION("""COMPUTED_VALUE"""),"2.10 Kendala - Feeder Rusak")</f>
        <v>2.10 Kendala - Feeder Rusak</v>
      </c>
      <c r="Q1381" s="222" t="str">
        <f>IFERROR(__xludf.DUMMYFUNCTION("""COMPUTED_VALUE"""),"02/02 Feeder Tidak Tembus")</f>
        <v>02/02 Feeder Tidak Tembus</v>
      </c>
      <c r="R1381" s="228"/>
      <c r="S1381" s="11"/>
      <c r="T1381" s="11"/>
      <c r="U1381" s="11"/>
      <c r="V1381" s="229"/>
      <c r="W1381" s="229"/>
      <c r="X1381" s="229" t="str">
        <f>IFERROR(__xludf.DUMMYFUNCTION("""COMPUTED_VALUE"""),"BELUM GOLIVE")</f>
        <v>BELUM GOLIVE</v>
      </c>
      <c r="Y1381" s="229"/>
      <c r="Z1381" s="229" t="str">
        <f>IFERROR(__xludf.DUMMYFUNCTION("""COMPUTED_VALUE"""),"#N/A")</f>
        <v>#N/A</v>
      </c>
      <c r="AA1381" s="229"/>
      <c r="AB1381" s="229"/>
      <c r="AC1381" s="229"/>
      <c r="AD1381" s="232"/>
      <c r="AE1381" s="233"/>
      <c r="AF1381" s="54"/>
      <c r="AG1381" s="54"/>
      <c r="AH1381" s="54"/>
      <c r="AI1381" s="55" t="str">
        <f t="shared" si="143"/>
        <v/>
      </c>
      <c r="AW1381" s="234"/>
      <c r="BP1381" s="11"/>
      <c r="BQ1381" s="11"/>
      <c r="BR1381" s="235"/>
      <c r="BV1381" s="158"/>
      <c r="BY1381" s="158"/>
      <c r="CB1381" s="158"/>
    </row>
    <row r="1382" ht="18.0" hidden="1" customHeight="1">
      <c r="A1382" s="222">
        <f>IFERROR(__xludf.DUMMYFUNCTION("""COMPUTED_VALUE"""),2026.0)</f>
        <v>2026</v>
      </c>
      <c r="B1382" s="221">
        <f>IFERROR(__xludf.DUMMYFUNCTION("""COMPUTED_VALUE"""),1.1362698E7)</f>
        <v>11362698</v>
      </c>
      <c r="C1382" s="222" t="str">
        <f>IFERROR(__xludf.DUMMYFUNCTION("""COMPUTED_VALUE"""),"MDN PT3 P7I13 SPM-FDA JL.GEREJA")</f>
        <v>MDN PT3 P7I13 SPM-FDA JL.GEREJA</v>
      </c>
      <c r="D1382" s="222" t="str">
        <f>IFERROR(__xludf.DUMMYFUNCTION("""COMPUTED_VALUE"""),"REGIONAL I")</f>
        <v>REGIONAL I</v>
      </c>
      <c r="E1382" s="222" t="str">
        <f>IFERROR(__xludf.DUMMYFUNCTION("""COMPUTED_VALUE"""),"MEDAN")</f>
        <v>MEDAN</v>
      </c>
      <c r="F1382" s="222" t="str">
        <f>IFERROR(__xludf.DUMMYFUNCTION("""COMPUTED_VALUE"""),"SPM")</f>
        <v>SPM</v>
      </c>
      <c r="G1382" s="222" t="str">
        <f>IFERROR(__xludf.DUMMYFUNCTION("""COMPUTED_VALUE"""),"SUMBAGUT")</f>
        <v>SUMBAGUT</v>
      </c>
      <c r="H1382" s="222" t="str">
        <f>IFERROR(__xludf.DUMMYFUNCTION("""COMPUTED_VALUE"""),"MEDAN")</f>
        <v>MEDAN</v>
      </c>
      <c r="I1382" s="222" t="str">
        <f>IFERROR(__xludf.DUMMYFUNCTION("""COMPUTED_VALUE"""),"Batch 2")</f>
        <v>Batch 2</v>
      </c>
      <c r="J1382" s="225">
        <f>IFERROR(__xludf.DUMMYFUNCTION("""COMPUTED_VALUE"""),5.0)</f>
        <v>5</v>
      </c>
      <c r="K1382" s="224">
        <f>IFERROR(__xludf.DUMMYFUNCTION("""COMPUTED_VALUE"""),40.0)</f>
        <v>40</v>
      </c>
      <c r="L1382" s="226">
        <f>IFERROR(__xludf.DUMMYFUNCTION("""COMPUTED_VALUE"""),710989.0)</f>
        <v>710989</v>
      </c>
      <c r="M1382" s="227">
        <f>IFERROR(__xludf.DUMMYFUNCTION("""COMPUTED_VALUE"""),2.8439551E7)</f>
        <v>28439551</v>
      </c>
      <c r="N1382" s="222" t="str">
        <f>IFERROR(__xludf.DUMMYFUNCTION("""COMPUTED_VALUE"""),"PT WALET SOLUSINDO")</f>
        <v>PT WALET SOLUSINDO</v>
      </c>
      <c r="O1382" s="222" t="str">
        <f>IFERROR(__xludf.DUMMYFUNCTION("""COMPUTED_VALUE"""),"2. DONE AANWIJZING")</f>
        <v>2. DONE AANWIJZING</v>
      </c>
      <c r="P1382" s="222" t="str">
        <f>IFERROR(__xludf.DUMMYFUNCTION("""COMPUTED_VALUE"""),"2.10 Kendala - Feeder Rusak")</f>
        <v>2.10 Kendala - Feeder Rusak</v>
      </c>
      <c r="Q1382" s="222" t="str">
        <f>IFERROR(__xludf.DUMMYFUNCTION("""COMPUTED_VALUE"""),"08/03 Feeder Redti 07/02 Feeder Habis, Core eksis 2")</f>
        <v>08/03 Feeder Redti 07/02 Feeder Habis, Core eksis 2</v>
      </c>
      <c r="R1382" s="228"/>
      <c r="S1382" s="11"/>
      <c r="T1382" s="11"/>
      <c r="U1382" s="11"/>
      <c r="V1382" s="229"/>
      <c r="W1382" s="229"/>
      <c r="X1382" s="229" t="str">
        <f>IFERROR(__xludf.DUMMYFUNCTION("""COMPUTED_VALUE"""),"BELUM GOLIVE")</f>
        <v>BELUM GOLIVE</v>
      </c>
      <c r="Y1382" s="229"/>
      <c r="Z1382" s="229" t="str">
        <f>IFERROR(__xludf.DUMMYFUNCTION("""COMPUTED_VALUE"""),"#N/A")</f>
        <v>#N/A</v>
      </c>
      <c r="AA1382" s="229"/>
      <c r="AB1382" s="229"/>
      <c r="AC1382" s="229"/>
      <c r="AD1382" s="232"/>
      <c r="AE1382" s="233"/>
      <c r="AF1382" s="54"/>
      <c r="AG1382" s="54"/>
      <c r="AH1382" s="54"/>
      <c r="AI1382" s="55" t="str">
        <f t="shared" si="143"/>
        <v/>
      </c>
      <c r="AW1382" s="234"/>
      <c r="BP1382" s="11"/>
      <c r="BQ1382" s="11"/>
      <c r="BR1382" s="235"/>
      <c r="BV1382" s="158"/>
      <c r="BY1382" s="158"/>
      <c r="CB1382" s="158"/>
    </row>
    <row r="1383" ht="18.0" hidden="1" customHeight="1">
      <c r="A1383" s="222">
        <f>IFERROR(__xludf.DUMMYFUNCTION("""COMPUTED_VALUE"""),2026.0)</f>
        <v>2026</v>
      </c>
      <c r="B1383" s="221">
        <f>IFERROR(__xludf.DUMMYFUNCTION("""COMPUTED_VALUE"""),1.1197168E7)</f>
        <v>11197168</v>
      </c>
      <c r="C1383" s="222" t="str">
        <f>IFERROR(__xludf.DUMMYFUNCTION("""COMPUTED_VALUE"""),"MDN PT3 P7I7 TMU-FS JL.SARI REJO")</f>
        <v>MDN PT3 P7I7 TMU-FS JL.SARI REJO</v>
      </c>
      <c r="D1383" s="222" t="str">
        <f>IFERROR(__xludf.DUMMYFUNCTION("""COMPUTED_VALUE"""),"REGIONAL I")</f>
        <v>REGIONAL I</v>
      </c>
      <c r="E1383" s="222" t="str">
        <f>IFERROR(__xludf.DUMMYFUNCTION("""COMPUTED_VALUE"""),"MEDAN")</f>
        <v>MEDAN</v>
      </c>
      <c r="F1383" s="222" t="str">
        <f>IFERROR(__xludf.DUMMYFUNCTION("""COMPUTED_VALUE"""),"TMU")</f>
        <v>TMU</v>
      </c>
      <c r="G1383" s="222" t="str">
        <f>IFERROR(__xludf.DUMMYFUNCTION("""COMPUTED_VALUE"""),"SUMBAGUT")</f>
        <v>SUMBAGUT</v>
      </c>
      <c r="H1383" s="222" t="str">
        <f>IFERROR(__xludf.DUMMYFUNCTION("""COMPUTED_VALUE"""),"MEDAN")</f>
        <v>MEDAN</v>
      </c>
      <c r="I1383" s="222" t="str">
        <f>IFERROR(__xludf.DUMMYFUNCTION("""COMPUTED_VALUE"""),"Batch 2")</f>
        <v>Batch 2</v>
      </c>
      <c r="J1383" s="225">
        <f>IFERROR(__xludf.DUMMYFUNCTION("""COMPUTED_VALUE"""),4.0)</f>
        <v>4</v>
      </c>
      <c r="K1383" s="224">
        <f>IFERROR(__xludf.DUMMYFUNCTION("""COMPUTED_VALUE"""),32.0)</f>
        <v>32</v>
      </c>
      <c r="L1383" s="226">
        <f>IFERROR(__xludf.DUMMYFUNCTION("""COMPUTED_VALUE"""),1688668.0)</f>
        <v>1688668</v>
      </c>
      <c r="M1383" s="227">
        <f>IFERROR(__xludf.DUMMYFUNCTION("""COMPUTED_VALUE"""),5.4037376E7)</f>
        <v>54037376</v>
      </c>
      <c r="N1383" s="222" t="str">
        <f>IFERROR(__xludf.DUMMYFUNCTION("""COMPUTED_VALUE"""),"PT DUL JAYA TAMA")</f>
        <v>PT DUL JAYA TAMA</v>
      </c>
      <c r="O1383" s="222" t="str">
        <f>IFERROR(__xludf.DUMMYFUNCTION("""COMPUTED_VALUE"""),"0. DROP")</f>
        <v>0. DROP</v>
      </c>
      <c r="P1383" s="222" t="str">
        <f>IFERROR(__xludf.DUMMYFUNCTION("""COMPUTED_VALUE"""),"0.4 CPP Tinggi Acc ED TIF")</f>
        <v>0.4 CPP Tinggi Acc ED TIF</v>
      </c>
      <c r="Q1383" s="222" t="str">
        <f>IFERROR(__xludf.DUMMYFUNCTION("""COMPUTED_VALUE"""),"12/02 Lurah Minta 3jt (07/01) Persiapan")</f>
        <v>12/02 Lurah Minta 3jt (07/01) Persiapan</v>
      </c>
      <c r="R1383" s="228"/>
      <c r="S1383" s="11"/>
      <c r="T1383" s="11"/>
      <c r="U1383" s="11"/>
      <c r="V1383" s="229"/>
      <c r="W1383" s="229"/>
      <c r="X1383" s="229" t="str">
        <f>IFERROR(__xludf.DUMMYFUNCTION("""COMPUTED_VALUE"""),"BELUM GOLIVE")</f>
        <v>BELUM GOLIVE</v>
      </c>
      <c r="Y1383" s="229"/>
      <c r="Z1383" s="229" t="str">
        <f>IFERROR(__xludf.DUMMYFUNCTION("""COMPUTED_VALUE"""),"#N/A")</f>
        <v>#N/A</v>
      </c>
      <c r="AA1383" s="229"/>
      <c r="AB1383" s="229"/>
      <c r="AC1383" s="229"/>
      <c r="AD1383" s="232"/>
      <c r="AE1383" s="233"/>
      <c r="AF1383" s="54" t="str">
        <f>IFERROR(__xludf.DUMMYFUNCTION("""COMPUTED_VALUE"""),"Draft BA DROP")</f>
        <v>Draft BA DROP</v>
      </c>
      <c r="AG1383" s="54"/>
      <c r="AH1383" s="54"/>
      <c r="AI1383" s="55" t="str">
        <f t="shared" si="143"/>
        <v/>
      </c>
      <c r="AW1383" s="234"/>
      <c r="BP1383" s="11"/>
      <c r="BQ1383" s="11"/>
      <c r="BR1383" s="235"/>
      <c r="BV1383" s="158"/>
      <c r="BY1383" s="158"/>
      <c r="CB1383" s="158"/>
    </row>
    <row r="1384" ht="18.0" hidden="1" customHeight="1">
      <c r="A1384" s="222">
        <f>IFERROR(__xludf.DUMMYFUNCTION("""COMPUTED_VALUE"""),2026.0)</f>
        <v>2026</v>
      </c>
      <c r="B1384" s="221">
        <f>IFERROR(__xludf.DUMMYFUNCTION("""COMPUTED_VALUE"""),1.1219423E7)</f>
        <v>11219423</v>
      </c>
      <c r="C1384" s="222" t="str">
        <f>IFERROR(__xludf.DUMMYFUNCTION("""COMPUTED_VALUE"""),"MDN PT3 P7I12 LBP-FX JL.BANJAR TJ GARBUS")</f>
        <v>MDN PT3 P7I12 LBP-FX JL.BANJAR TJ GARBUS</v>
      </c>
      <c r="D1384" s="222" t="str">
        <f>IFERROR(__xludf.DUMMYFUNCTION("""COMPUTED_VALUE"""),"REGIONAL I")</f>
        <v>REGIONAL I</v>
      </c>
      <c r="E1384" s="222" t="str">
        <f>IFERROR(__xludf.DUMMYFUNCTION("""COMPUTED_VALUE"""),"MEDAN")</f>
        <v>MEDAN</v>
      </c>
      <c r="F1384" s="222" t="str">
        <f>IFERROR(__xludf.DUMMYFUNCTION("""COMPUTED_VALUE"""),"LBP")</f>
        <v>LBP</v>
      </c>
      <c r="G1384" s="222" t="str">
        <f>IFERROR(__xludf.DUMMYFUNCTION("""COMPUTED_VALUE"""),"SUMBAGUT")</f>
        <v>SUMBAGUT</v>
      </c>
      <c r="H1384" s="222" t="str">
        <f>IFERROR(__xludf.DUMMYFUNCTION("""COMPUTED_VALUE"""),"MEDAN")</f>
        <v>MEDAN</v>
      </c>
      <c r="I1384" s="222" t="str">
        <f>IFERROR(__xludf.DUMMYFUNCTION("""COMPUTED_VALUE"""),"Batch 2")</f>
        <v>Batch 2</v>
      </c>
      <c r="J1384" s="225">
        <f>IFERROR(__xludf.DUMMYFUNCTION("""COMPUTED_VALUE"""),7.0)</f>
        <v>7</v>
      </c>
      <c r="K1384" s="224">
        <f>IFERROR(__xludf.DUMMYFUNCTION("""COMPUTED_VALUE"""),56.0)</f>
        <v>56</v>
      </c>
      <c r="L1384" s="226">
        <f>IFERROR(__xludf.DUMMYFUNCTION("""COMPUTED_VALUE"""),1563575.0)</f>
        <v>1563575</v>
      </c>
      <c r="M1384" s="227">
        <f>IFERROR(__xludf.DUMMYFUNCTION("""COMPUTED_VALUE"""),8.7560183E7)</f>
        <v>87560183</v>
      </c>
      <c r="N1384" s="222" t="str">
        <f>IFERROR(__xludf.DUMMYFUNCTION("""COMPUTED_VALUE"""),"PT BANGUN PRIMA SEMESTA")</f>
        <v>PT BANGUN PRIMA SEMESTA</v>
      </c>
      <c r="O1384" s="222" t="str">
        <f>IFERROR(__xludf.DUMMYFUNCTION("""COMPUTED_VALUE"""),"5. INSTALASI")</f>
        <v>5. INSTALASI</v>
      </c>
      <c r="P1384" s="222" t="str">
        <f>IFERROR(__xludf.DUMMYFUNCTION("""COMPUTED_VALUE"""),"5.4 Proses Penanaman Tiang")</f>
        <v>5.4 Proses Penanaman Tiang</v>
      </c>
      <c r="Q1384" s="222" t="str">
        <f>IFERROR(__xludf.DUMMYFUNCTION("""COMPUTED_VALUE"""),"20/04 OGP tanam tiang
09/03 proses matrial
(08/01) tidak dapat izin tanam tiang , proses aanwijziing , Proses mapping mitra  (07/01) Persiapan")</f>
        <v>20/04 OGP tanam tiang
09/03 proses matrial
(08/01) tidak dapat izin tanam tiang , proses aanwijziing , Proses mapping mitra  (07/01) Persiapan</v>
      </c>
      <c r="R1384" s="228">
        <f>IFERROR(__xludf.DUMMYFUNCTION("""COMPUTED_VALUE"""),46140.0)</f>
        <v>46140</v>
      </c>
      <c r="S1384" s="11" t="str">
        <f>IFERROR(__xludf.DUMMYFUNCTION("""COMPUTED_VALUE"""),"-")</f>
        <v>-</v>
      </c>
      <c r="T1384" s="73"/>
      <c r="U1384" s="11"/>
      <c r="V1384" s="229" t="str">
        <f>IFERROR(__xludf.DUMMYFUNCTION("""COMPUTED_VALUE"""),"27/Apr/2026")</f>
        <v>27/Apr/2026</v>
      </c>
      <c r="W1384" s="229"/>
      <c r="X1384" s="229" t="str">
        <f>IFERROR(__xludf.DUMMYFUNCTION("""COMPUTED_VALUE"""),"BELUM GOLIVE")</f>
        <v>BELUM GOLIVE</v>
      </c>
      <c r="Y1384" s="229"/>
      <c r="Z1384" s="229" t="str">
        <f>IFERROR(__xludf.DUMMYFUNCTION("""COMPUTED_VALUE"""),"#N/A")</f>
        <v>#N/A</v>
      </c>
      <c r="AA1384" s="229"/>
      <c r="AB1384" s="229"/>
      <c r="AC1384" s="229"/>
      <c r="AD1384" s="232"/>
      <c r="AE1384" s="233"/>
      <c r="AF1384" s="54" t="str">
        <f>IFERROR(__xludf.DUMMYFUNCTION("""COMPUTED_VALUE"""),"Draft BA DROP")</f>
        <v>Draft BA DROP</v>
      </c>
      <c r="AG1384" s="54"/>
      <c r="AH1384" s="54"/>
      <c r="AI1384" s="55" t="str">
        <f t="shared" si="143"/>
        <v/>
      </c>
      <c r="AW1384" s="234"/>
      <c r="BP1384" s="11"/>
      <c r="BQ1384" s="11"/>
      <c r="BR1384" s="235"/>
      <c r="BV1384" s="158"/>
      <c r="BY1384" s="158"/>
      <c r="CB1384" s="158"/>
    </row>
    <row r="1385" ht="18.0" customHeight="1">
      <c r="A1385" s="222">
        <f>IFERROR(__xludf.DUMMYFUNCTION("""COMPUTED_VALUE"""),2026.0)</f>
        <v>2026</v>
      </c>
      <c r="B1385" s="221">
        <f>IFERROR(__xludf.DUMMYFUNCTION("""COMPUTED_VALUE"""),1.1396246E7)</f>
        <v>11396246</v>
      </c>
      <c r="C1385" s="222" t="str">
        <f>IFERROR(__xludf.DUMMYFUNCTION("""COMPUTED_VALUE"""),"SMB P3I1 Nagari Lubuk Tarok SJJ")</f>
        <v>SMB P3I1 Nagari Lubuk Tarok SJJ</v>
      </c>
      <c r="D1385" s="222" t="str">
        <f>IFERROR(__xludf.DUMMYFUNCTION("""COMPUTED_VALUE"""),"REGIONAL I")</f>
        <v>REGIONAL I</v>
      </c>
      <c r="E1385" s="222" t="str">
        <f>IFERROR(__xludf.DUMMYFUNCTION("""COMPUTED_VALUE"""),"SUMBAR")</f>
        <v>SUMBAR</v>
      </c>
      <c r="F1385" s="222" t="str">
        <f>IFERROR(__xludf.DUMMYFUNCTION("""COMPUTED_VALUE"""),"SJJ")</f>
        <v>SJJ</v>
      </c>
      <c r="G1385" s="222" t="str">
        <f>IFERROR(__xludf.DUMMYFUNCTION("""COMPUTED_VALUE"""),"SUMBAGTENG")</f>
        <v>SUMBAGTENG</v>
      </c>
      <c r="H1385" s="222" t="str">
        <f>IFERROR(__xludf.DUMMYFUNCTION("""COMPUTED_VALUE"""),"PADANG")</f>
        <v>PADANG</v>
      </c>
      <c r="I1385" s="222" t="str">
        <f>IFERROR(__xludf.DUMMYFUNCTION("""COMPUTED_VALUE"""),"Batch 2")</f>
        <v>Batch 2</v>
      </c>
      <c r="J1385" s="225">
        <f>IFERROR(__xludf.DUMMYFUNCTION("""COMPUTED_VALUE"""),2.0)</f>
        <v>2</v>
      </c>
      <c r="K1385" s="224">
        <f>IFERROR(__xludf.DUMMYFUNCTION("""COMPUTED_VALUE"""),16.0)</f>
        <v>16</v>
      </c>
      <c r="L1385" s="226">
        <f>IFERROR(__xludf.DUMMYFUNCTION("""COMPUTED_VALUE"""),724345.0)</f>
        <v>724345</v>
      </c>
      <c r="M1385" s="227">
        <f>IFERROR(__xludf.DUMMYFUNCTION("""COMPUTED_VALUE"""),1.1589515E7)</f>
        <v>11589515</v>
      </c>
      <c r="N1385" s="222" t="str">
        <f>IFERROR(__xludf.DUMMYFUNCTION("""COMPUTED_VALUE"""),"PT TANJUNG PUTRA PRIMA")</f>
        <v>PT TANJUNG PUTRA PRIMA</v>
      </c>
      <c r="O1385" s="222" t="str">
        <f>IFERROR(__xludf.DUMMYFUNCTION("""COMPUTED_VALUE"""),"0. DROP")</f>
        <v>0. DROP</v>
      </c>
      <c r="P1385" s="222" t="str">
        <f>IFERROR(__xludf.DUMMYFUNCTION("""COMPUTED_VALUE"""),"0.5 DROP TSEL - Acc ED TIF")</f>
        <v>0.5 DROP TSEL - Acc ED TIF</v>
      </c>
      <c r="Q1385" s="222" t="str">
        <f>IFERROR(__xludf.DUMMYFUNCTION("""COMPUTED_VALUE"""),"(06/03) proses create PID (05/03) proses aanwijziing plan selesai 07/03  (02/03) proses aanwijziing (26/01) DROP, permintaan tsel (tidak potensial) ")</f>
        <v>(06/03) proses create PID (05/03) proses aanwijziing plan selesai 07/03  (02/03) proses aanwijziing (26/01) DROP, permintaan tsel (tidak potensial) </v>
      </c>
      <c r="R1385" s="228"/>
      <c r="S1385" s="11"/>
      <c r="T1385" s="11"/>
      <c r="U1385" s="11" t="str">
        <f>IFERROR(__xludf.DUMMYFUNCTION("""COMPUTED_VALUE"""),"TIF-5659/2026  26KT03R158-0070")</f>
        <v>TIF-5659/2026  26KT03R158-0070</v>
      </c>
      <c r="V1385" s="229" t="str">
        <f>IFERROR(__xludf.DUMMYFUNCTION("""COMPUTED_VALUE"""),"YULIO NOVIKO")</f>
        <v>YULIO NOVIKO</v>
      </c>
      <c r="W1385" s="229" t="str">
        <f>IFERROR(__xludf.DUMMYFUNCTION("""COMPUTED_VALUE"""),"MELKO NARWADI")</f>
        <v>MELKO NARWADI</v>
      </c>
      <c r="X1385" s="229" t="str">
        <f>IFERROR(__xludf.DUMMYFUNCTION("""COMPUTED_VALUE"""),"BELUM GOLIVE")</f>
        <v>BELUM GOLIVE</v>
      </c>
      <c r="Y1385" s="229"/>
      <c r="Z1385" s="229" t="str">
        <f>IFERROR(__xludf.DUMMYFUNCTION("""COMPUTED_VALUE"""),"#N/A")</f>
        <v>#N/A</v>
      </c>
      <c r="AA1385" s="229"/>
      <c r="AB1385" s="229"/>
      <c r="AC1385" s="229"/>
      <c r="AD1385" s="232"/>
      <c r="AE1385" s="233"/>
      <c r="AF1385" s="54"/>
      <c r="AG1385" s="54"/>
      <c r="AH1385" s="54"/>
      <c r="AI1385" s="55" t="str">
        <f t="shared" si="143"/>
        <v/>
      </c>
      <c r="AW1385" s="234"/>
      <c r="BP1385" s="11"/>
      <c r="BQ1385" s="11"/>
      <c r="BR1385" s="235"/>
      <c r="BV1385" s="158"/>
      <c r="BY1385" s="158"/>
      <c r="CB1385" s="158"/>
    </row>
    <row r="1386" ht="18.0" customHeight="1">
      <c r="A1386" s="222">
        <f>IFERROR(__xludf.DUMMYFUNCTION("""COMPUTED_VALUE"""),2026.0)</f>
        <v>2026</v>
      </c>
      <c r="B1386" s="221">
        <f>IFERROR(__xludf.DUMMYFUNCTION("""COMPUTED_VALUE"""),1.2053032E7)</f>
        <v>12053032</v>
      </c>
      <c r="C1386" s="222" t="str">
        <f>IFERROR(__xludf.DUMMYFUNCTION("""COMPUTED_VALUE"""),"SMB KJI Perumahan Syahlinar Residence")</f>
        <v>SMB KJI Perumahan Syahlinar Residence</v>
      </c>
      <c r="D1386" s="222" t="str">
        <f>IFERROR(__xludf.DUMMYFUNCTION("""COMPUTED_VALUE"""),"REGIONAL I")</f>
        <v>REGIONAL I</v>
      </c>
      <c r="E1386" s="222" t="str">
        <f>IFERROR(__xludf.DUMMYFUNCTION("""COMPUTED_VALUE"""),"SUMBAR")</f>
        <v>SUMBAR</v>
      </c>
      <c r="F1386" s="222" t="str">
        <f>IFERROR(__xludf.DUMMYFUNCTION("""COMPUTED_VALUE"""),"KJI")</f>
        <v>KJI</v>
      </c>
      <c r="G1386" s="222" t="str">
        <f>IFERROR(__xludf.DUMMYFUNCTION("""COMPUTED_VALUE"""),"SUMBAGTENG")</f>
        <v>SUMBAGTENG</v>
      </c>
      <c r="H1386" s="222" t="str">
        <f>IFERROR(__xludf.DUMMYFUNCTION("""COMPUTED_VALUE"""),"PADANG")</f>
        <v>PADANG</v>
      </c>
      <c r="I1386" s="222" t="str">
        <f>IFERROR(__xludf.DUMMYFUNCTION("""COMPUTED_VALUE"""),"Batch 2")</f>
        <v>Batch 2</v>
      </c>
      <c r="J1386" s="225">
        <f>IFERROR(__xludf.DUMMYFUNCTION("""COMPUTED_VALUE"""),6.0)</f>
        <v>6</v>
      </c>
      <c r="K1386" s="224">
        <f>IFERROR(__xludf.DUMMYFUNCTION("""COMPUTED_VALUE"""),48.0)</f>
        <v>48</v>
      </c>
      <c r="L1386" s="226">
        <f>IFERROR(__xludf.DUMMYFUNCTION("""COMPUTED_VALUE"""),723126.0)</f>
        <v>723126</v>
      </c>
      <c r="M1386" s="227">
        <f>IFERROR(__xludf.DUMMYFUNCTION("""COMPUTED_VALUE"""),3.4710041E7)</f>
        <v>34710041</v>
      </c>
      <c r="N1386" s="222" t="str">
        <f>IFERROR(__xludf.DUMMYFUNCTION("""COMPUTED_VALUE"""),"PT TRI PENAMAS")</f>
        <v>PT TRI PENAMAS</v>
      </c>
      <c r="O1386" s="222" t="str">
        <f>IFERROR(__xludf.DUMMYFUNCTION("""COMPUTED_VALUE"""),"8. UJI TERIMA")</f>
        <v>8. UJI TERIMA</v>
      </c>
      <c r="P1386" s="222" t="str">
        <f>IFERROR(__xludf.DUMMYFUNCTION("""COMPUTED_VALUE"""),"8.1 Proses UT")</f>
        <v>8.1 Proses UT</v>
      </c>
      <c r="Q1386" s="222" t="str">
        <f>IFERROR(__xludf.DUMMYFUNCTION("""COMPUTED_VALUE"""),"(12/01) DROP, kendala perizinan RT/Kades, area HIGH Comcase, (07/01) Persiapan")</f>
        <v>(12/01) DROP, kendala perizinan RT/Kades, area HIGH Comcase, (07/01) Persiapan</v>
      </c>
      <c r="R1386" s="228"/>
      <c r="S1386" s="11"/>
      <c r="T1386" s="11"/>
      <c r="U1386" s="11" t="str">
        <f>IFERROR(__xludf.DUMMYFUNCTION("""COMPUTED_VALUE"""),"W10-1824/2025 25KT03R158-0564")</f>
        <v>W10-1824/2025 25KT03R158-0564</v>
      </c>
      <c r="V1386" s="229" t="str">
        <f>IFERROR(__xludf.DUMMYFUNCTION("""COMPUTED_VALUE"""),"FABIO RAHMAN")</f>
        <v>FABIO RAHMAN</v>
      </c>
      <c r="W1386" s="229" t="str">
        <f>IFERROR(__xludf.DUMMYFUNCTION("""COMPUTED_VALUE"""),"MELKO NARWADI")</f>
        <v>MELKO NARWADI</v>
      </c>
      <c r="X1386" s="229" t="str">
        <f>IFERROR(__xludf.DUMMYFUNCTION("""COMPUTED_VALUE"""),"GOLIVE")</f>
        <v>GOLIVE</v>
      </c>
      <c r="Y1386" s="229" t="str">
        <f>IFERROR(__xludf.DUMMYFUNCTION("""COMPUTED_VALUE"""),"DONE")</f>
        <v>DONE</v>
      </c>
      <c r="Z1386" s="229" t="str">
        <f>IFERROR(__xludf.DUMMYFUNCTION("""COMPUTED_VALUE"""),"#N/A")</f>
        <v>#N/A</v>
      </c>
      <c r="AA1386" s="229">
        <f>IFERROR(__xludf.DUMMYFUNCTION("""COMPUTED_VALUE"""),3.0)</f>
        <v>3</v>
      </c>
      <c r="AB1386" s="229"/>
      <c r="AC1386" s="229" t="str">
        <f>IFERROR(__xludf.DUMMYFUNCTION("""COMPUTED_VALUE"""),"8982439#8982441	")</f>
        <v>8982439#8982441	</v>
      </c>
      <c r="AD1386" s="232">
        <f>IFERROR(__xludf.DUMMYFUNCTION("""COMPUTED_VALUE"""),24.0)</f>
        <v>24</v>
      </c>
      <c r="AE1386" s="233">
        <f>IFERROR(__xludf.DUMMYFUNCTION("""COMPUTED_VALUE"""),46042.0)</f>
        <v>46042</v>
      </c>
      <c r="AF1386" s="54"/>
      <c r="AG1386" s="54"/>
      <c r="AH1386" s="54"/>
      <c r="AI1386" s="55" t="str">
        <f t="shared" si="143"/>
        <v/>
      </c>
      <c r="AW1386" s="234"/>
      <c r="BP1386" s="11"/>
      <c r="BQ1386" s="11"/>
      <c r="BR1386" s="235"/>
      <c r="BV1386" s="158"/>
      <c r="BY1386" s="158"/>
      <c r="CB1386" s="158"/>
    </row>
    <row r="1387" ht="18.0" hidden="1" customHeight="1">
      <c r="A1387" s="222">
        <f>IFERROR(__xludf.DUMMYFUNCTION("""COMPUTED_VALUE"""),2026.0)</f>
        <v>2026</v>
      </c>
      <c r="B1387" s="221">
        <f>IFERROR(__xludf.DUMMYFUNCTION("""COMPUTED_VALUE"""),1.1909649E7)</f>
        <v>11909649</v>
      </c>
      <c r="C1387" s="222" t="str">
        <f>IFERROR(__xludf.DUMMYFUNCTION("""COMPUTED_VALUE"""),"SMS P4I1 PT3 SRO FBV PALEMBANG 134591")</f>
        <v>SMS P4I1 PT3 SRO FBV PALEMBANG 134591</v>
      </c>
      <c r="D1387" s="222" t="str">
        <f>IFERROR(__xludf.DUMMYFUNCTION("""COMPUTED_VALUE"""),"REGIONAL I")</f>
        <v>REGIONAL I</v>
      </c>
      <c r="E1387" s="222" t="str">
        <f>IFERROR(__xludf.DUMMYFUNCTION("""COMPUTED_VALUE"""),"SUMSEL")</f>
        <v>SUMSEL</v>
      </c>
      <c r="F1387" s="222" t="str">
        <f>IFERROR(__xludf.DUMMYFUNCTION("""COMPUTED_VALUE"""),"SRO")</f>
        <v>SRO</v>
      </c>
      <c r="G1387" s="222" t="str">
        <f>IFERROR(__xludf.DUMMYFUNCTION("""COMPUTED_VALUE"""),"SUMBAGSEL")</f>
        <v>SUMBAGSEL</v>
      </c>
      <c r="H1387" s="222" t="str">
        <f>IFERROR(__xludf.DUMMYFUNCTION("""COMPUTED_VALUE"""),"PALEMBANG")</f>
        <v>PALEMBANG</v>
      </c>
      <c r="I1387" s="222" t="str">
        <f>IFERROR(__xludf.DUMMYFUNCTION("""COMPUTED_VALUE"""),"Batch 2")</f>
        <v>Batch 2</v>
      </c>
      <c r="J1387" s="225">
        <f>IFERROR(__xludf.DUMMYFUNCTION("""COMPUTED_VALUE"""),5.0)</f>
        <v>5</v>
      </c>
      <c r="K1387" s="224">
        <f>IFERROR(__xludf.DUMMYFUNCTION("""COMPUTED_VALUE"""),40.0)</f>
        <v>40</v>
      </c>
      <c r="L1387" s="226">
        <f>IFERROR(__xludf.DUMMYFUNCTION("""COMPUTED_VALUE"""),722731.0)</f>
        <v>722731</v>
      </c>
      <c r="M1387" s="227">
        <f>IFERROR(__xludf.DUMMYFUNCTION("""COMPUTED_VALUE"""),2.8909216E7)</f>
        <v>28909216</v>
      </c>
      <c r="N1387" s="222" t="str">
        <f>IFERROR(__xludf.DUMMYFUNCTION("""COMPUTED_VALUE"""),"PT ACERO CETHA METALINDO")</f>
        <v>PT ACERO CETHA METALINDO</v>
      </c>
      <c r="O1387" s="222" t="str">
        <f>IFERROR(__xludf.DUMMYFUNCTION("""COMPUTED_VALUE"""),"0. DROP")</f>
        <v>0. DROP</v>
      </c>
      <c r="P1387" s="222" t="str">
        <f>IFERROR(__xludf.DUMMYFUNCTION("""COMPUTED_VALUE"""),"0.2 Tidak Dapat Izin Warga/Kades/Lurah/Developer")</f>
        <v>0.2 Tidak Dapat Izin Warga/Kades/Lurah/Developer</v>
      </c>
      <c r="Q1387" s="222" t="str">
        <f>IFERROR(__xludf.DUMMYFUNCTION("""COMPUTED_VALUE"""),"09/03 tidak mendapatkan izin lurah 27/2 tidak mendapatkan izin lurah 07/01 DROP, HIGH comcase (21/01)Area High Comcase, (15/1) drop Comecase (11/11) DROP 04/11 Perizinan RT/Kades 13/10 aanwizjing done, proses update hasil aanwizjing untuk eval tif 15/ 10 "&amp;"Perizinan RT/Kades 13/10 aanwizjing done, proses update hasil aanwizjing untuk eval tif
 08/10 aanwizjing done, proses update hasil aanwizjing untuk eval tif
 (01/10) menunggu jadwal aanwizjing")</f>
        <v>09/03 tidak mendapatkan izin lurah 27/2 tidak mendapatkan izin lurah 07/01 DROP, HIGH comcase (21/01)Area High Comcase, (15/1) drop Comecase (11/11) DROP 04/11 Perizinan RT/Kades 13/10 aanwizjing done, proses update hasil aanwizjing untuk eval tif 15/ 10 Perizinan RT/Kades 13/10 aanwizjing done, proses update hasil aanwizjing untuk eval tif
 08/10 aanwizjing done, proses update hasil aanwizjing untuk eval tif
 (01/10) menunggu jadwal aanwizjing</v>
      </c>
      <c r="R1387" s="228"/>
      <c r="S1387" s="11"/>
      <c r="T1387" s="11"/>
      <c r="U1387" s="11"/>
      <c r="V1387" s="229" t="str">
        <f>IFERROR(__xludf.DUMMYFUNCTION("""COMPUTED_VALUE"""),"TEGAR")</f>
        <v>TEGAR</v>
      </c>
      <c r="W1387" s="229"/>
      <c r="X1387" s="229" t="str">
        <f>IFERROR(__xludf.DUMMYFUNCTION("""COMPUTED_VALUE"""),"BELUM GOLIVE")</f>
        <v>BELUM GOLIVE</v>
      </c>
      <c r="Y1387" s="229"/>
      <c r="Z1387" s="229" t="str">
        <f>IFERROR(__xludf.DUMMYFUNCTION("""COMPUTED_VALUE"""),"#N/A")</f>
        <v>#N/A</v>
      </c>
      <c r="AA1387" s="229"/>
      <c r="AB1387" s="229"/>
      <c r="AC1387" s="229"/>
      <c r="AD1387" s="232"/>
      <c r="AE1387" s="233"/>
      <c r="AF1387" s="54" t="str">
        <f>IFERROR(__xludf.DUMMYFUNCTION("""COMPUTED_VALUE"""),"Draft BA DROP")</f>
        <v>Draft BA DROP</v>
      </c>
      <c r="AG1387" s="54"/>
      <c r="AH1387" s="54"/>
      <c r="AI1387" s="55" t="str">
        <f t="shared" si="143"/>
        <v/>
      </c>
      <c r="AW1387" s="234"/>
      <c r="BP1387" s="11"/>
      <c r="BQ1387" s="11"/>
      <c r="BR1387" s="235"/>
      <c r="BV1387" s="158"/>
      <c r="BY1387" s="158"/>
      <c r="CB1387" s="158"/>
    </row>
    <row r="1388" ht="18.0" customHeight="1">
      <c r="A1388" s="222">
        <f>IFERROR(__xludf.DUMMYFUNCTION("""COMPUTED_VALUE"""),2026.0)</f>
        <v>2026</v>
      </c>
      <c r="B1388" s="221">
        <f>IFERROR(__xludf.DUMMYFUNCTION("""COMPUTED_VALUE"""),1.1612548E7)</f>
        <v>11612548</v>
      </c>
      <c r="C1388" s="222" t="str">
        <f>IFERROR(__xludf.DUMMYFUNCTION("""COMPUTED_VALUE"""),"SMB STTF-PAJRI")</f>
        <v>SMB STTF-PAJRI</v>
      </c>
      <c r="D1388" s="222" t="str">
        <f>IFERROR(__xludf.DUMMYFUNCTION("""COMPUTED_VALUE"""),"REGIONAL I")</f>
        <v>REGIONAL I</v>
      </c>
      <c r="E1388" s="222" t="str">
        <f>IFERROR(__xludf.DUMMYFUNCTION("""COMPUTED_VALUE"""),"SUMBAR")</f>
        <v>SUMBAR</v>
      </c>
      <c r="F1388" s="222" t="str">
        <f>IFERROR(__xludf.DUMMYFUNCTION("""COMPUTED_VALUE"""),"SUM")</f>
        <v>SUM</v>
      </c>
      <c r="G1388" s="222" t="str">
        <f>IFERROR(__xludf.DUMMYFUNCTION("""COMPUTED_VALUE"""),"SUMBAGTENG")</f>
        <v>SUMBAGTENG</v>
      </c>
      <c r="H1388" s="222" t="str">
        <f>IFERROR(__xludf.DUMMYFUNCTION("""COMPUTED_VALUE"""),"PADANG")</f>
        <v>PADANG</v>
      </c>
      <c r="I1388" s="222" t="str">
        <f>IFERROR(__xludf.DUMMYFUNCTION("""COMPUTED_VALUE"""),"Batch 2")</f>
        <v>Batch 2</v>
      </c>
      <c r="J1388" s="225">
        <f>IFERROR(__xludf.DUMMYFUNCTION("""COMPUTED_VALUE"""),3.0)</f>
        <v>3</v>
      </c>
      <c r="K1388" s="224">
        <f>IFERROR(__xludf.DUMMYFUNCTION("""COMPUTED_VALUE"""),24.0)</f>
        <v>24</v>
      </c>
      <c r="L1388" s="226">
        <f>IFERROR(__xludf.DUMMYFUNCTION("""COMPUTED_VALUE"""),722152.0)</f>
        <v>722152</v>
      </c>
      <c r="M1388" s="227">
        <f>IFERROR(__xludf.DUMMYFUNCTION("""COMPUTED_VALUE"""),1.7331634E7)</f>
        <v>17331634</v>
      </c>
      <c r="N1388" s="222" t="str">
        <f>IFERROR(__xludf.DUMMYFUNCTION("""COMPUTED_VALUE"""),"PT TRI PENAMAS")</f>
        <v>PT TRI PENAMAS</v>
      </c>
      <c r="O1388" s="222" t="str">
        <f>IFERROR(__xludf.DUMMYFUNCTION("""COMPUTED_VALUE"""),"0. DROP")</f>
        <v>0. DROP</v>
      </c>
      <c r="P1388" s="222" t="str">
        <f>IFERROR(__xludf.DUMMYFUNCTION("""COMPUTED_VALUE"""),"0.1 Double Order")</f>
        <v>0.1 Double Order</v>
      </c>
      <c r="Q1388" s="222" t="str">
        <f>IFERROR(__xludf.DUMMYFUNCTION("""COMPUTED_VALUE"""),"(27/01)butuh repair feeder SUM-FC 15/09 : dengan LOP SMB STTF Jorong Guci Muaro Pingai")</f>
        <v>(27/01)butuh repair feeder SUM-FC 15/09 : dengan LOP SMB STTF Jorong Guci Muaro Pingai</v>
      </c>
      <c r="R1388" s="228"/>
      <c r="S1388" s="11"/>
      <c r="T1388" s="11"/>
      <c r="U1388" s="11"/>
      <c r="V1388" s="229"/>
      <c r="W1388" s="229"/>
      <c r="X1388" s="229" t="str">
        <f>IFERROR(__xludf.DUMMYFUNCTION("""COMPUTED_VALUE"""),"BELUM GOLIVE")</f>
        <v>BELUM GOLIVE</v>
      </c>
      <c r="Y1388" s="229"/>
      <c r="Z1388" s="229" t="str">
        <f>IFERROR(__xludf.DUMMYFUNCTION("""COMPUTED_VALUE"""),"#N/A")</f>
        <v>#N/A</v>
      </c>
      <c r="AA1388" s="229"/>
      <c r="AB1388" s="229"/>
      <c r="AC1388" s="229"/>
      <c r="AD1388" s="232"/>
      <c r="AE1388" s="233"/>
      <c r="AF1388" s="54" t="str">
        <f>IFERROR(__xludf.DUMMYFUNCTION("""COMPUTED_VALUE"""),"Draft BA DROP")</f>
        <v>Draft BA DROP</v>
      </c>
      <c r="AG1388" s="54"/>
      <c r="AH1388" s="54"/>
      <c r="AI1388" s="55" t="str">
        <f t="shared" si="143"/>
        <v/>
      </c>
      <c r="AW1388" s="234"/>
      <c r="BP1388" s="11"/>
      <c r="BQ1388" s="11"/>
      <c r="BR1388" s="235"/>
      <c r="BV1388" s="158"/>
      <c r="BY1388" s="158"/>
      <c r="CB1388" s="158"/>
    </row>
    <row r="1389" ht="18.0" customHeight="1">
      <c r="A1389" s="222">
        <f>IFERROR(__xludf.DUMMYFUNCTION("""COMPUTED_VALUE"""),2026.0)</f>
        <v>2026</v>
      </c>
      <c r="B1389" s="221">
        <f>IFERROR(__xludf.DUMMYFUNCTION("""COMPUTED_VALUE"""),1.109478E7)</f>
        <v>11094780</v>
      </c>
      <c r="C1389" s="222" t="str">
        <f>IFERROR(__xludf.DUMMYFUNCTION("""COMPUTED_VALUE"""),"RKP PT3 JPPTSEL TER-FL JL MERDEKA_LETUNG")</f>
        <v>RKP PT3 JPPTSEL TER-FL JL MERDEKA_LETUNG</v>
      </c>
      <c r="D1389" s="222" t="str">
        <f>IFERROR(__xludf.DUMMYFUNCTION("""COMPUTED_VALUE"""),"REGIONAL I")</f>
        <v>REGIONAL I</v>
      </c>
      <c r="E1389" s="222" t="str">
        <f>IFERROR(__xludf.DUMMYFUNCTION("""COMPUTED_VALUE"""),"RIKEP")</f>
        <v>RIKEP</v>
      </c>
      <c r="F1389" s="222" t="str">
        <f>IFERROR(__xludf.DUMMYFUNCTION("""COMPUTED_VALUE"""),"TER")</f>
        <v>TER</v>
      </c>
      <c r="G1389" s="222" t="str">
        <f>IFERROR(__xludf.DUMMYFUNCTION("""COMPUTED_VALUE"""),"SUMBAGTENG")</f>
        <v>SUMBAGTENG</v>
      </c>
      <c r="H1389" s="222" t="str">
        <f>IFERROR(__xludf.DUMMYFUNCTION("""COMPUTED_VALUE"""),"BATAM")</f>
        <v>BATAM</v>
      </c>
      <c r="I1389" s="222" t="str">
        <f>IFERROR(__xludf.DUMMYFUNCTION("""COMPUTED_VALUE"""),"Batch 2")</f>
        <v>Batch 2</v>
      </c>
      <c r="J1389" s="225">
        <f>IFERROR(__xludf.DUMMYFUNCTION("""COMPUTED_VALUE"""),4.0)</f>
        <v>4</v>
      </c>
      <c r="K1389" s="224">
        <f>IFERROR(__xludf.DUMMYFUNCTION("""COMPUTED_VALUE"""),32.0)</f>
        <v>32</v>
      </c>
      <c r="L1389" s="226">
        <f>IFERROR(__xludf.DUMMYFUNCTION("""COMPUTED_VALUE"""),718628.0)</f>
        <v>718628</v>
      </c>
      <c r="M1389" s="227">
        <f>IFERROR(__xludf.DUMMYFUNCTION("""COMPUTED_VALUE"""),2.2996079E7)</f>
        <v>22996079</v>
      </c>
      <c r="N1389" s="222" t="str">
        <f>IFERROR(__xludf.DUMMYFUNCTION("""COMPUTED_VALUE"""),"SWAKELOLA")</f>
        <v>SWAKELOLA</v>
      </c>
      <c r="O1389" s="222" t="str">
        <f>IFERROR(__xludf.DUMMYFUNCTION("""COMPUTED_VALUE"""),"0. DROP")</f>
        <v>0. DROP</v>
      </c>
      <c r="P1389" s="222" t="str">
        <f>IFERROR(__xludf.DUMMYFUNCTION("""COMPUTED_VALUE"""),"0.2 Tidak Dapat Izin Warga/Kades/Lurah/Developer")</f>
        <v>0.2 Tidak Dapat Izin Warga/Kades/Lurah/Developer</v>
      </c>
      <c r="Q1389" s="222" t="str">
        <f>IFERROR(__xludf.DUMMYFUNCTION("""COMPUTED_VALUE"""),"29/01 Daerah plantar dan sudah full beton jalan, sudah pernah di drop tahun lalu. 22/01 Plan survey 24 Jan ")</f>
        <v>29/01 Daerah plantar dan sudah full beton jalan, sudah pernah di drop tahun lalu. 22/01 Plan survey 24 Jan </v>
      </c>
      <c r="R1389" s="228"/>
      <c r="S1389" s="11"/>
      <c r="T1389" s="11"/>
      <c r="U1389" s="11"/>
      <c r="V1389" s="229" t="str">
        <f>IFERROR(__xludf.DUMMYFUNCTION("""COMPUTED_VALUE"""),"DEDY IRAWAN")</f>
        <v>DEDY IRAWAN</v>
      </c>
      <c r="W1389" s="229" t="str">
        <f>IFERROR(__xludf.DUMMYFUNCTION("""COMPUTED_VALUE"""),"LEVITA INDRIYANI")</f>
        <v>LEVITA INDRIYANI</v>
      </c>
      <c r="X1389" s="229" t="str">
        <f>IFERROR(__xludf.DUMMYFUNCTION("""COMPUTED_VALUE"""),"BELUM GOLIVE")</f>
        <v>BELUM GOLIVE</v>
      </c>
      <c r="Y1389" s="229"/>
      <c r="Z1389" s="229" t="str">
        <f>IFERROR(__xludf.DUMMYFUNCTION("""COMPUTED_VALUE"""),"#N/A")</f>
        <v>#N/A</v>
      </c>
      <c r="AA1389" s="229"/>
      <c r="AB1389" s="229"/>
      <c r="AC1389" s="229"/>
      <c r="AD1389" s="232"/>
      <c r="AE1389" s="233"/>
      <c r="AF1389" s="54" t="str">
        <f>IFERROR(__xludf.DUMMYFUNCTION("""COMPUTED_VALUE"""),"Draft BA DROP")</f>
        <v>Draft BA DROP</v>
      </c>
      <c r="AG1389" s="54"/>
      <c r="AH1389" s="54"/>
      <c r="AI1389" s="55" t="str">
        <f t="shared" si="143"/>
        <v/>
      </c>
      <c r="AW1389" s="234"/>
      <c r="BP1389" s="11"/>
      <c r="BQ1389" s="11"/>
      <c r="BR1389" s="235"/>
      <c r="BV1389" s="158"/>
      <c r="BY1389" s="158"/>
      <c r="CB1389" s="158"/>
    </row>
    <row r="1390" ht="18.0" hidden="1" customHeight="1">
      <c r="A1390" s="222">
        <f>IFERROR(__xludf.DUMMYFUNCTION("""COMPUTED_VALUE"""),2026.0)</f>
        <v>2026</v>
      </c>
      <c r="B1390" s="221">
        <f>IFERROR(__xludf.DUMMYFUNCTION("""COMPUTED_VALUE"""),1.2438304E7)</f>
        <v>12438304</v>
      </c>
      <c r="C1390" s="222" t="str">
        <f>IFERROR(__xludf.DUMMYFUNCTION("""COMPUTED_VALUE"""),"SMS P4I4 PT3 TRA FJ D01 PIRMANSYAH QE")</f>
        <v>SMS P4I4 PT3 TRA FJ D01 PIRMANSYAH QE</v>
      </c>
      <c r="D1390" s="222" t="str">
        <f>IFERROR(__xludf.DUMMYFUNCTION("""COMPUTED_VALUE"""),"REGIONAL I")</f>
        <v>REGIONAL I</v>
      </c>
      <c r="E1390" s="222" t="str">
        <f>IFERROR(__xludf.DUMMYFUNCTION("""COMPUTED_VALUE"""),"SUMSEL")</f>
        <v>SUMSEL</v>
      </c>
      <c r="F1390" s="222" t="str">
        <f>IFERROR(__xludf.DUMMYFUNCTION("""COMPUTED_VALUE"""),"TRA")</f>
        <v>TRA</v>
      </c>
      <c r="G1390" s="222" t="str">
        <f>IFERROR(__xludf.DUMMYFUNCTION("""COMPUTED_VALUE"""),"SUMBAGSEL")</f>
        <v>SUMBAGSEL</v>
      </c>
      <c r="H1390" s="222" t="str">
        <f>IFERROR(__xludf.DUMMYFUNCTION("""COMPUTED_VALUE"""),"PALEMBANG")</f>
        <v>PALEMBANG</v>
      </c>
      <c r="I1390" s="222" t="str">
        <f>IFERROR(__xludf.DUMMYFUNCTION("""COMPUTED_VALUE"""),"Batch 2")</f>
        <v>Batch 2</v>
      </c>
      <c r="J1390" s="225">
        <f>IFERROR(__xludf.DUMMYFUNCTION("""COMPUTED_VALUE"""),3.0)</f>
        <v>3</v>
      </c>
      <c r="K1390" s="224">
        <f>IFERROR(__xludf.DUMMYFUNCTION("""COMPUTED_VALUE"""),24.0)</f>
        <v>24</v>
      </c>
      <c r="L1390" s="226">
        <f>IFERROR(__xludf.DUMMYFUNCTION("""COMPUTED_VALUE"""),717924.0)</f>
        <v>717924</v>
      </c>
      <c r="M1390" s="227">
        <f>IFERROR(__xludf.DUMMYFUNCTION("""COMPUTED_VALUE"""),1.7230169E7)</f>
        <v>17230169</v>
      </c>
      <c r="N1390" s="222" t="str">
        <f>IFERROR(__xludf.DUMMYFUNCTION("""COMPUTED_VALUE"""),"PT SARANA MITRA PERSADA")</f>
        <v>PT SARANA MITRA PERSADA</v>
      </c>
      <c r="O1390" s="222" t="str">
        <f>IFERROR(__xludf.DUMMYFUNCTION("""COMPUTED_VALUE"""),"7. GOLIVE")</f>
        <v>7. GOLIVE</v>
      </c>
      <c r="P1390" s="222" t="str">
        <f>IFERROR(__xludf.DUMMYFUNCTION("""COMPUTED_VALUE"""),"7.2 Golive Full / OA / DONE OTB")</f>
        <v>7.2 Golive Full / OA / DONE OTB</v>
      </c>
      <c r="Q1390" s="222" t="str">
        <f>IFERROR(__xludf.DUMMYFUNCTION("""COMPUTED_VALUE"""),"11/03 GOLIVE, 10/03 MENUNGGU GOLIVE, 07/03 DONE SUBMIT ABD KE SDI, 07/03 PROGRESS INSTAL ODP, 06/03 OGP PEMASANGAN ODP, 04/03 OGP PEMASANGAN ODP, 03/03 DONE PENANAMAN 4 TIANG, PENARIKAN KABEL 235M DAN PEMASANGAN AKSESORIS, 27/02 MITRA MENGAMBIL MATERIAL S"&amp;"ETELAH LEBARAN, 26/02 MENUNGGU APPROVE RFC, 25/02 BLM KELUAR RFC, 24/02 DONE AMD BUDGET, 22/2 menunggu material TIANG  20/02 OGP MATDEL - MENUNGGU TIANG KRNA DI GUDANG KOSONG 15/02 DONE INPUT MATERIAL, 11/02 LANJUT, TERKAIT PERUBAHAN DESAIN KE SALES TSEL "&amp;"NYA DAN HANYA CUKUP 2 ANAKAN UNTUK 2 ODP DARI PLAN 3,SUDAH OKE DARI SALES TSEL, 10/2 perubahan design menunggu confirm dari sales TSEL. , plan Matdel 13 FEB  09/02 DONE DRM, 6/2 proses create PID  31/01 menunggu DRM 30/01 DONE EVAL, LANJUT PROGRES ADA PEN"&amp;"URUNAN BOQ DRI PLAN, SISA ANAKAN 2 D ODC, UNTUK NAMBAH ODP CEK FEEDER DAN KONFIRM KE SALES UNTK PELETAKAN ODP PT2, 25/01 DONE AANWIDJZING - PERIZINAN OK, (21/01) AANWIDJZING, (20/1) sudah penunjukan mitra SMP (14/11)HOLD-  tidak masuk target Optimis 2025 "&amp;"(")</f>
        <v>11/03 GOLIVE, 10/03 MENUNGGU GOLIVE, 07/03 DONE SUBMIT ABD KE SDI, 07/03 PROGRESS INSTAL ODP, 06/03 OGP PEMASANGAN ODP, 04/03 OGP PEMASANGAN ODP, 03/03 DONE PENANAMAN 4 TIANG, PENARIKAN KABEL 235M DAN PEMASANGAN AKSESORIS, 27/02 MITRA MENGAMBIL MATERIAL SETELAH LEBARAN, 26/02 MENUNGGU APPROVE RFC, 25/02 BLM KELUAR RFC, 24/02 DONE AMD BUDGET, 22/2 menunggu material TIANG  20/02 OGP MATDEL - MENUNGGU TIANG KRNA DI GUDANG KOSONG 15/02 DONE INPUT MATERIAL, 11/02 LANJUT, TERKAIT PERUBAHAN DESAIN KE SALES TSEL NYA DAN HANYA CUKUP 2 ANAKAN UNTUK 2 ODP DARI PLAN 3,SUDAH OKE DARI SALES TSEL, 10/2 perubahan design menunggu confirm dari sales TSEL. , plan Matdel 13 FEB  09/02 DONE DRM, 6/2 proses create PID  31/01 menunggu DRM 30/01 DONE EVAL, LANJUT PROGRES ADA PENURUNAN BOQ DRI PLAN, SISA ANAKAN 2 D ODC, UNTUK NAMBAH ODP CEK FEEDER DAN KONFIRM KE SALES UNTK PELETAKAN ODP PT2, 25/01 DONE AANWIDJZING - PERIZINAN OK, (21/01) AANWIDJZING, (20/1) sudah penunjukan mitra SMP (14/11)HOLD-  tidak masuk target Optimis 2025 (</v>
      </c>
      <c r="R1390" s="228">
        <f>IFERROR(__xludf.DUMMYFUNCTION("""COMPUTED_VALUE"""),46096.0)</f>
        <v>46096</v>
      </c>
      <c r="S1390" s="11" t="str">
        <f>IFERROR(__xludf.DUMMYFUNCTION("""COMPUTED_VALUE"""),"MAR")</f>
        <v>MAR</v>
      </c>
      <c r="T1390" s="11"/>
      <c r="U1390" s="11"/>
      <c r="V1390" s="229" t="str">
        <f>IFERROR(__xludf.DUMMYFUNCTION("""COMPUTED_VALUE"""),"RENALDO")</f>
        <v>RENALDO</v>
      </c>
      <c r="W1390" s="229"/>
      <c r="X1390" s="229" t="str">
        <f>IFERROR(__xludf.DUMMYFUNCTION("""COMPUTED_VALUE"""),"GOLIVE")</f>
        <v>GOLIVE</v>
      </c>
      <c r="Y1390" s="229" t="str">
        <f>IFERROR(__xludf.DUMMYFUNCTION("""COMPUTED_VALUE"""),"DONE")</f>
        <v>DONE</v>
      </c>
      <c r="Z1390" s="229" t="str">
        <f>IFERROR(__xludf.DUMMYFUNCTION("""COMPUTED_VALUE"""),"#N/A")</f>
        <v>#N/A</v>
      </c>
      <c r="AA1390" s="229">
        <f>IFERROR(__xludf.DUMMYFUNCTION("""COMPUTED_VALUE"""),2.0)</f>
        <v>2</v>
      </c>
      <c r="AB1390" s="229"/>
      <c r="AC1390" s="229" t="str">
        <f>IFERROR(__xludf.DUMMYFUNCTION("""COMPUTED_VALUE"""),"8949055#8949060")</f>
        <v>8949055#8949060</v>
      </c>
      <c r="AD1390" s="232">
        <f>IFERROR(__xludf.DUMMYFUNCTION("""COMPUTED_VALUE"""),16.0)</f>
        <v>16</v>
      </c>
      <c r="AE1390" s="233">
        <f>IFERROR(__xludf.DUMMYFUNCTION("""COMPUTED_VALUE"""),46089.0)</f>
        <v>46089</v>
      </c>
      <c r="AF1390" s="54"/>
      <c r="AG1390" s="54"/>
      <c r="AH1390" s="54">
        <v>46096.0</v>
      </c>
      <c r="AI1390" s="55">
        <f t="shared" si="143"/>
        <v>7</v>
      </c>
      <c r="AW1390" s="234"/>
      <c r="BP1390" s="11"/>
      <c r="BQ1390" s="11"/>
      <c r="BR1390" s="235"/>
      <c r="BV1390" s="158"/>
      <c r="BY1390" s="158"/>
      <c r="CB1390" s="158"/>
    </row>
    <row r="1391" ht="18.0" hidden="1" customHeight="1">
      <c r="A1391" s="222">
        <f>IFERROR(__xludf.DUMMYFUNCTION("""COMPUTED_VALUE"""),2026.0)</f>
        <v>2026</v>
      </c>
      <c r="B1391" s="221">
        <f>IFERROR(__xludf.DUMMYFUNCTION("""COMPUTED_VALUE"""),1.1518052E7)</f>
        <v>11518052</v>
      </c>
      <c r="C1391" s="222" t="str">
        <f>IFERROR(__xludf.DUMMYFUNCTION("""COMPUTED_VALUE"""),"SMS P3I1 PT4 LHT FXX LAHAT 13430")</f>
        <v>SMS P3I1 PT4 LHT FXX LAHAT 13430</v>
      </c>
      <c r="D1391" s="222" t="str">
        <f>IFERROR(__xludf.DUMMYFUNCTION("""COMPUTED_VALUE"""),"REGIONAL I")</f>
        <v>REGIONAL I</v>
      </c>
      <c r="E1391" s="222" t="str">
        <f>IFERROR(__xludf.DUMMYFUNCTION("""COMPUTED_VALUE"""),"SUMSEL")</f>
        <v>SUMSEL</v>
      </c>
      <c r="F1391" s="222" t="str">
        <f>IFERROR(__xludf.DUMMYFUNCTION("""COMPUTED_VALUE"""),"LHT")</f>
        <v>LHT</v>
      </c>
      <c r="G1391" s="222" t="str">
        <f>IFERROR(__xludf.DUMMYFUNCTION("""COMPUTED_VALUE"""),"SUMBAGSEL")</f>
        <v>SUMBAGSEL</v>
      </c>
      <c r="H1391" s="222" t="str">
        <f>IFERROR(__xludf.DUMMYFUNCTION("""COMPUTED_VALUE"""),"BENGKULU")</f>
        <v>BENGKULU</v>
      </c>
      <c r="I1391" s="222" t="str">
        <f>IFERROR(__xludf.DUMMYFUNCTION("""COMPUTED_VALUE"""),"Batch 2")</f>
        <v>Batch 2</v>
      </c>
      <c r="J1391" s="225">
        <f>IFERROR(__xludf.DUMMYFUNCTION("""COMPUTED_VALUE"""),20.0)</f>
        <v>20</v>
      </c>
      <c r="K1391" s="224">
        <f>IFERROR(__xludf.DUMMYFUNCTION("""COMPUTED_VALUE"""),152.0)</f>
        <v>152</v>
      </c>
      <c r="L1391" s="226">
        <f>IFERROR(__xludf.DUMMYFUNCTION("""COMPUTED_VALUE"""),717564.0)</f>
        <v>717564</v>
      </c>
      <c r="M1391" s="227">
        <f>IFERROR(__xludf.DUMMYFUNCTION("""COMPUTED_VALUE"""),1.09069718E8)</f>
        <v>109069718</v>
      </c>
      <c r="N1391" s="222" t="str">
        <f>IFERROR(__xludf.DUMMYFUNCTION("""COMPUTED_VALUE"""),"PT GITA PRIMA TAMBA PERKASA")</f>
        <v>PT GITA PRIMA TAMBA PERKASA</v>
      </c>
      <c r="O1391" s="222" t="str">
        <f>IFERROR(__xludf.DUMMYFUNCTION("""COMPUTED_VALUE"""),"3. PERIZINAN")</f>
        <v>3. PERIZINAN</v>
      </c>
      <c r="P1391" s="222" t="str">
        <f>IFERROR(__xludf.DUMMYFUNCTION("""COMPUTED_VALUE"""),"3.9 Izin Kades / Lurah / RTRW")</f>
        <v>3.9 Izin Kades / Lurah / RTRW</v>
      </c>
      <c r="Q1391" s="222" t="str">
        <f>IFERROR(__xludf.DUMMYFUNCTION("""COMPUTED_VALUE"""),"27/04 : plan visit ulang  17/04 // 09/04 kepala desa belum ada FEEDBACK , plan 10 apr visit ulang  09/04 proses negosiasi dg kades untuk nilai comcase nya, 08/04 Done Aanwidzing Menunggu evaluasi 31/03 PERGANTIAN MITRA DARI HANSUNG KE GPTP, 25/03 masih me"&amp;"ncari core UPlink - belum ada info, 09/03 masih mencari core UPlink - belum ada info, 08/03 KOORDINASI DG MITRA TERKAIT LOP INI YG MASUK KE BENGKULU, 03/03 masih mencari core UPlink - belum ada info, 27/02masih mencari core UPlink, 24/02masih mencari core"&amp;" UPlink 22/2 masih mencari core UPlink 06/02 HASIL REVIEW TSEL BLM ADA KEPUTUSAN, 15/01 done aanwizjing 2025, mau berkoordinasi dg tif untuk lanjut tidak nya lokasi ini 31/1 update dikirim mitra 2 FEB, tim OGP cek ke lokasi 29/01 Mini OLT Not Ready perlu "&amp;"dipastikan ketersediaan uplink untuk request mini OLT, (24/1) menungggu kepastian core untuk UPlink , plan 26 Jan (21/01) done aanwizjing, menunggu kelanjutan dri TIF untuk lanjut pekerjaan ini, karena CSF dan masuk ke ruas pu nasional(12/01) menunggu kel"&amp;"anjutan dri TIF untuk lanjut pekerjaan ini, karena CSF dan masuk ke ruas pu nasional, (07/01) Persiapan (06/01)order JPP batch-2 2026 (04/11 hold (butuh mini olt) 5/10 aanwizjing done, pembuatan data update lapangan
 08/10 menunggu jadwal aanwizjing
 (01/"&amp;"10) menunggu jadwal aanwijzing
 14/01 sudah penunjukan mitra oleh procurement\")</f>
        <v>27/04 : plan visit ulang  17/04 // 09/04 kepala desa belum ada FEEDBACK , plan 10 apr visit ulang  09/04 proses negosiasi dg kades untuk nilai comcase nya, 08/04 Done Aanwidzing Menunggu evaluasi 31/03 PERGANTIAN MITRA DARI HANSUNG KE GPTP, 25/03 masih mencari core UPlink - belum ada info, 09/03 masih mencari core UPlink - belum ada info, 08/03 KOORDINASI DG MITRA TERKAIT LOP INI YG MASUK KE BENGKULU, 03/03 masih mencari core UPlink - belum ada info, 27/02masih mencari core UPlink, 24/02masih mencari core UPlink 22/2 masih mencari core UPlink 06/02 HASIL REVIEW TSEL BLM ADA KEPUTUSAN, 15/01 done aanwizjing 2025, mau berkoordinasi dg tif untuk lanjut tidak nya lokasi ini 31/1 update dikirim mitra 2 FEB, tim OGP cek ke lokasi 29/01 Mini OLT Not Ready perlu dipastikan ketersediaan uplink untuk request mini OLT, (24/1) menungggu kepastian core untuk UPlink , plan 26 Jan (21/01) done aanwizjing, menunggu kelanjutan dri TIF untuk lanjut pekerjaan ini, karena CSF dan masuk ke ruas pu nasional(12/01) menunggu kelanjutan dri TIF untuk lanjut pekerjaan ini, karena CSF dan masuk ke ruas pu nasional, (07/01) Persiapan (06/01)order JPP batch-2 2026 (04/11 hold (butuh mini olt) 5/10 aanwizjing done, pembuatan data update lapangan
 08/10 menunggu jadwal aanwizjing
 (01/10) menunggu jadwal aanwijzing
 14/01 sudah penunjukan mitra oleh procurement\</v>
      </c>
      <c r="R1391" s="228"/>
      <c r="S1391" s="11"/>
      <c r="T1391" s="11"/>
      <c r="U1391" s="11"/>
      <c r="V1391" s="229" t="str">
        <f>IFERROR(__xludf.DUMMYFUNCTION("""COMPUTED_VALUE"""),"PUTRA")</f>
        <v>PUTRA</v>
      </c>
      <c r="W1391" s="229"/>
      <c r="X1391" s="229" t="str">
        <f>IFERROR(__xludf.DUMMYFUNCTION("""COMPUTED_VALUE"""),"BELUM GOLIVE")</f>
        <v>BELUM GOLIVE</v>
      </c>
      <c r="Y1391" s="229"/>
      <c r="Z1391" s="229"/>
      <c r="AA1391" s="229"/>
      <c r="AB1391" s="229"/>
      <c r="AC1391" s="229"/>
      <c r="AD1391" s="232"/>
      <c r="AE1391" s="233"/>
      <c r="AF1391" s="54"/>
      <c r="AG1391" s="54"/>
      <c r="AH1391" s="54"/>
      <c r="AI1391" s="55" t="str">
        <f t="shared" si="143"/>
        <v/>
      </c>
      <c r="AW1391" s="234"/>
      <c r="BP1391" s="11"/>
      <c r="BQ1391" s="11"/>
      <c r="BR1391" s="235"/>
      <c r="BV1391" s="158"/>
      <c r="BY1391" s="158"/>
      <c r="CB1391" s="158"/>
    </row>
    <row r="1392" ht="18.0" hidden="1" customHeight="1">
      <c r="A1392" s="222">
        <f>IFERROR(__xludf.DUMMYFUNCTION("""COMPUTED_VALUE"""),2026.0)</f>
        <v>2026</v>
      </c>
      <c r="B1392" s="221">
        <f>IFERROR(__xludf.DUMMYFUNCTION("""COMPUTED_VALUE"""),1.1532909E7)</f>
        <v>11532909</v>
      </c>
      <c r="C1392" s="222" t="str">
        <f>IFERROR(__xludf.DUMMYFUNCTION("""COMPUTED_VALUE"""),"MDN PT3 SPM FBV JL.MELATI")</f>
        <v>MDN PT3 SPM FBV JL.MELATI</v>
      </c>
      <c r="D1392" s="222" t="str">
        <f>IFERROR(__xludf.DUMMYFUNCTION("""COMPUTED_VALUE"""),"REGIONAL I")</f>
        <v>REGIONAL I</v>
      </c>
      <c r="E1392" s="222" t="str">
        <f>IFERROR(__xludf.DUMMYFUNCTION("""COMPUTED_VALUE"""),"MEDAN")</f>
        <v>MEDAN</v>
      </c>
      <c r="F1392" s="222" t="str">
        <f>IFERROR(__xludf.DUMMYFUNCTION("""COMPUTED_VALUE"""),"SPM")</f>
        <v>SPM</v>
      </c>
      <c r="G1392" s="222" t="str">
        <f>IFERROR(__xludf.DUMMYFUNCTION("""COMPUTED_VALUE"""),"SUMBAGUT")</f>
        <v>SUMBAGUT</v>
      </c>
      <c r="H1392" s="222" t="str">
        <f>IFERROR(__xludf.DUMMYFUNCTION("""COMPUTED_VALUE"""),"MEDAN")</f>
        <v>MEDAN</v>
      </c>
      <c r="I1392" s="222" t="str">
        <f>IFERROR(__xludf.DUMMYFUNCTION("""COMPUTED_VALUE"""),"Batch 2")</f>
        <v>Batch 2</v>
      </c>
      <c r="J1392" s="225">
        <f>IFERROR(__xludf.DUMMYFUNCTION("""COMPUTED_VALUE"""),3.0)</f>
        <v>3</v>
      </c>
      <c r="K1392" s="224">
        <f>IFERROR(__xludf.DUMMYFUNCTION("""COMPUTED_VALUE"""),24.0)</f>
        <v>24</v>
      </c>
      <c r="L1392" s="226">
        <f>IFERROR(__xludf.DUMMYFUNCTION("""COMPUTED_VALUE"""),892025.0)</f>
        <v>892025</v>
      </c>
      <c r="M1392" s="227">
        <f>IFERROR(__xludf.DUMMYFUNCTION("""COMPUTED_VALUE"""),2.140858E7)</f>
        <v>21408580</v>
      </c>
      <c r="N1392" s="222" t="str">
        <f>IFERROR(__xludf.DUMMYFUNCTION("""COMPUTED_VALUE"""),"PT UPENTEL INTERNASIONAL")</f>
        <v>PT UPENTEL INTERNASIONAL</v>
      </c>
      <c r="O1392" s="222" t="str">
        <f>IFERROR(__xludf.DUMMYFUNCTION("""COMPUTED_VALUE"""),"2. DONE AANWIJZING")</f>
        <v>2. DONE AANWIJZING</v>
      </c>
      <c r="P1392" s="222" t="str">
        <f>IFERROR(__xludf.DUMMYFUNCTION("""COMPUTED_VALUE"""),"2.10 Kendala - Feeder Rusak")</f>
        <v>2.10 Kendala - Feeder Rusak</v>
      </c>
      <c r="Q1392" s="222" t="str">
        <f>IFERROR(__xludf.DUMMYFUNCTION("""COMPUTED_VALUE"""),"07/02 Done Order, Lnjut Aanwidzing")</f>
        <v>07/02 Done Order, Lnjut Aanwidzing</v>
      </c>
      <c r="R1392" s="228"/>
      <c r="S1392" s="11"/>
      <c r="T1392" s="11"/>
      <c r="U1392" s="11"/>
      <c r="V1392" s="229"/>
      <c r="W1392" s="229"/>
      <c r="X1392" s="229" t="str">
        <f>IFERROR(__xludf.DUMMYFUNCTION("""COMPUTED_VALUE"""),"BELUM GOLIVE")</f>
        <v>BELUM GOLIVE</v>
      </c>
      <c r="Y1392" s="229"/>
      <c r="Z1392" s="229" t="str">
        <f>IFERROR(__xludf.DUMMYFUNCTION("""COMPUTED_VALUE"""),"#N/A")</f>
        <v>#N/A</v>
      </c>
      <c r="AA1392" s="229"/>
      <c r="AB1392" s="229"/>
      <c r="AC1392" s="229"/>
      <c r="AD1392" s="232"/>
      <c r="AE1392" s="233"/>
      <c r="AF1392" s="54"/>
      <c r="AG1392" s="54"/>
      <c r="AH1392" s="54"/>
      <c r="AI1392" s="55" t="str">
        <f t="shared" si="143"/>
        <v/>
      </c>
      <c r="AW1392" s="234"/>
      <c r="BP1392" s="11"/>
      <c r="BQ1392" s="11"/>
      <c r="BR1392" s="235"/>
      <c r="BV1392" s="158"/>
      <c r="BY1392" s="158"/>
      <c r="CB1392" s="158"/>
    </row>
    <row r="1393" ht="18.0" hidden="1" customHeight="1">
      <c r="A1393" s="222">
        <f>IFERROR(__xludf.DUMMYFUNCTION("""COMPUTED_VALUE"""),2026.0)</f>
        <v>2026</v>
      </c>
      <c r="B1393" s="221">
        <f>IFERROR(__xludf.DUMMYFUNCTION("""COMPUTED_VALUE"""),1.1188667E7)</f>
        <v>11188667</v>
      </c>
      <c r="C1393" s="222" t="str">
        <f>IFERROR(__xludf.DUMMYFUNCTION("""COMPUTED_VALUE"""),"MDN PT3 PUB-FF JL.PANCING GG.BERKAH")</f>
        <v>MDN PT3 PUB-FF JL.PANCING GG.BERKAH</v>
      </c>
      <c r="D1393" s="222" t="str">
        <f>IFERROR(__xludf.DUMMYFUNCTION("""COMPUTED_VALUE"""),"REGIONAL I")</f>
        <v>REGIONAL I</v>
      </c>
      <c r="E1393" s="222" t="str">
        <f>IFERROR(__xludf.DUMMYFUNCTION("""COMPUTED_VALUE"""),"MEDAN")</f>
        <v>MEDAN</v>
      </c>
      <c r="F1393" s="222" t="str">
        <f>IFERROR(__xludf.DUMMYFUNCTION("""COMPUTED_VALUE"""),"PUB")</f>
        <v>PUB</v>
      </c>
      <c r="G1393" s="222" t="str">
        <f>IFERROR(__xludf.DUMMYFUNCTION("""COMPUTED_VALUE"""),"SUMBAGUT")</f>
        <v>SUMBAGUT</v>
      </c>
      <c r="H1393" s="222" t="str">
        <f>IFERROR(__xludf.DUMMYFUNCTION("""COMPUTED_VALUE"""),"MEDAN")</f>
        <v>MEDAN</v>
      </c>
      <c r="I1393" s="222" t="str">
        <f>IFERROR(__xludf.DUMMYFUNCTION("""COMPUTED_VALUE"""),"Batch 2")</f>
        <v>Batch 2</v>
      </c>
      <c r="J1393" s="225">
        <f>IFERROR(__xludf.DUMMYFUNCTION("""COMPUTED_VALUE"""),1.0)</f>
        <v>1</v>
      </c>
      <c r="K1393" s="224">
        <f>IFERROR(__xludf.DUMMYFUNCTION("""COMPUTED_VALUE"""),8.0)</f>
        <v>8</v>
      </c>
      <c r="L1393" s="226">
        <f>IFERROR(__xludf.DUMMYFUNCTION("""COMPUTED_VALUE"""),1148969.0)</f>
        <v>1148969</v>
      </c>
      <c r="M1393" s="227">
        <f>IFERROR(__xludf.DUMMYFUNCTION("""COMPUTED_VALUE"""),9191752.0)</f>
        <v>9191752</v>
      </c>
      <c r="N1393" s="222" t="str">
        <f>IFERROR(__xludf.DUMMYFUNCTION("""COMPUTED_VALUE"""),"PT WALET SOLUSINDO")</f>
        <v>PT WALET SOLUSINDO</v>
      </c>
      <c r="O1393" s="222" t="str">
        <f>IFERROR(__xludf.DUMMYFUNCTION("""COMPUTED_VALUE"""),"0. DROP")</f>
        <v>0. DROP</v>
      </c>
      <c r="P1393" s="222" t="str">
        <f>IFERROR(__xludf.DUMMYFUNCTION("""COMPUTED_VALUE"""),"0.4 CPP Tinggi Acc ED TIF")</f>
        <v>0.4 CPP Tinggi Acc ED TIF</v>
      </c>
      <c r="Q1393" s="222" t="str">
        <f>IFERROR(__xludf.DUMMYFUNCTION("""COMPUTED_VALUE"""),"(25/09) Feeder Tidak Tembus PUB-FF
(24/09) Perizinan Warga dan Kades / Lurah
(23/09) Perizinan Warga dan Kades / Lurah
15/09 proses aanwijzing")</f>
        <v>(25/09) Feeder Tidak Tembus PUB-FF
(24/09) Perizinan Warga dan Kades / Lurah
(23/09) Perizinan Warga dan Kades / Lurah
15/09 proses aanwijzing</v>
      </c>
      <c r="R1393" s="228"/>
      <c r="S1393" s="11"/>
      <c r="T1393" s="11"/>
      <c r="U1393" s="11"/>
      <c r="V1393" s="229"/>
      <c r="W1393" s="229"/>
      <c r="X1393" s="229" t="str">
        <f>IFERROR(__xludf.DUMMYFUNCTION("""COMPUTED_VALUE"""),"BELUM GOLIVE")</f>
        <v>BELUM GOLIVE</v>
      </c>
      <c r="Y1393" s="229"/>
      <c r="Z1393" s="229" t="str">
        <f>IFERROR(__xludf.DUMMYFUNCTION("""COMPUTED_VALUE"""),"#N/A")</f>
        <v>#N/A</v>
      </c>
      <c r="AA1393" s="229"/>
      <c r="AB1393" s="229"/>
      <c r="AC1393" s="229"/>
      <c r="AD1393" s="232"/>
      <c r="AE1393" s="233"/>
      <c r="AF1393" s="54" t="str">
        <f>IFERROR(__xludf.DUMMYFUNCTION("""COMPUTED_VALUE"""),"Draft BA DROP")</f>
        <v>Draft BA DROP</v>
      </c>
      <c r="AG1393" s="54"/>
      <c r="AH1393" s="54"/>
      <c r="AI1393" s="55" t="str">
        <f t="shared" si="143"/>
        <v/>
      </c>
      <c r="AW1393" s="234"/>
      <c r="BP1393" s="11"/>
      <c r="BQ1393" s="11"/>
      <c r="BR1393" s="235"/>
      <c r="BV1393" s="158"/>
      <c r="BY1393" s="158"/>
      <c r="CB1393" s="158"/>
    </row>
    <row r="1394" ht="18.0" hidden="1" customHeight="1">
      <c r="A1394" s="222">
        <f>IFERROR(__xludf.DUMMYFUNCTION("""COMPUTED_VALUE"""),2026.0)</f>
        <v>2026</v>
      </c>
      <c r="B1394" s="221">
        <f>IFERROR(__xludf.DUMMYFUNCTION("""COMPUTED_VALUE"""),1.1194134E7)</f>
        <v>11194134</v>
      </c>
      <c r="C1394" s="222" t="str">
        <f>IFERROR(__xludf.DUMMYFUNCTION("""COMPUTED_VALUE"""),"MDN PT3 TTG-FJ JL.SRIKANDI GG.TK IMANUEL")</f>
        <v>MDN PT3 TTG-FJ JL.SRIKANDI GG.TK IMANUEL</v>
      </c>
      <c r="D1394" s="222" t="str">
        <f>IFERROR(__xludf.DUMMYFUNCTION("""COMPUTED_VALUE"""),"REGIONAL I")</f>
        <v>REGIONAL I</v>
      </c>
      <c r="E1394" s="222" t="str">
        <f>IFERROR(__xludf.DUMMYFUNCTION("""COMPUTED_VALUE"""),"MEDAN")</f>
        <v>MEDAN</v>
      </c>
      <c r="F1394" s="222" t="str">
        <f>IFERROR(__xludf.DUMMYFUNCTION("""COMPUTED_VALUE"""),"TTG")</f>
        <v>TTG</v>
      </c>
      <c r="G1394" s="222" t="str">
        <f>IFERROR(__xludf.DUMMYFUNCTION("""COMPUTED_VALUE"""),"SUMBAGUT")</f>
        <v>SUMBAGUT</v>
      </c>
      <c r="H1394" s="222" t="str">
        <f>IFERROR(__xludf.DUMMYFUNCTION("""COMPUTED_VALUE"""),"MEDAN")</f>
        <v>MEDAN</v>
      </c>
      <c r="I1394" s="222" t="str">
        <f>IFERROR(__xludf.DUMMYFUNCTION("""COMPUTED_VALUE"""),"Batch 2")</f>
        <v>Batch 2</v>
      </c>
      <c r="J1394" s="225">
        <f>IFERROR(__xludf.DUMMYFUNCTION("""COMPUTED_VALUE"""),2.0)</f>
        <v>2</v>
      </c>
      <c r="K1394" s="224">
        <f>IFERROR(__xludf.DUMMYFUNCTION("""COMPUTED_VALUE"""),16.0)</f>
        <v>16</v>
      </c>
      <c r="L1394" s="226">
        <f>IFERROR(__xludf.DUMMYFUNCTION("""COMPUTED_VALUE"""),969870.0)</f>
        <v>969870</v>
      </c>
      <c r="M1394" s="227">
        <f>IFERROR(__xludf.DUMMYFUNCTION("""COMPUTED_VALUE"""),1.5517913E7)</f>
        <v>15517913</v>
      </c>
      <c r="N1394" s="222" t="str">
        <f>IFERROR(__xludf.DUMMYFUNCTION("""COMPUTED_VALUE"""),"SWAKELOLA")</f>
        <v>SWAKELOLA</v>
      </c>
      <c r="O1394" s="222" t="str">
        <f>IFERROR(__xludf.DUMMYFUNCTION("""COMPUTED_VALUE"""),"1. AANWIJZING")</f>
        <v>1. AANWIJZING</v>
      </c>
      <c r="P1394" s="222" t="str">
        <f>IFERROR(__xludf.DUMMYFUNCTION("""COMPUTED_VALUE"""),"1.6 Ongoing Aanwidjzing")</f>
        <v>1.6 Ongoing Aanwidjzing</v>
      </c>
      <c r="Q1394" s="222" t="str">
        <f>IFERROR(__xludf.DUMMYFUNCTION("""COMPUTED_VALUE"""),"20/04 kunjungan ulang pengecekan feeder alih mitra ke swakelola 13/02 Pengecekan ulang Feeder MDN PT4 P7I3 TTG-FJ KOMP HAWILA RESIDENCE 3 16/10 Feeder Habis
(24/09) Perizinan Warga dan Kades / Lurah
(23/09) Perizinan Warga dan Kades / Lurah
15/09 proses a"&amp;"anwijzing")</f>
        <v>20/04 kunjungan ulang pengecekan feeder alih mitra ke swakelola 13/02 Pengecekan ulang Feeder MDN PT4 P7I3 TTG-FJ KOMP HAWILA RESIDENCE 3 16/10 Feeder Habis
(24/09) Perizinan Warga dan Kades / Lurah
(23/09) Perizinan Warga dan Kades / Lurah
15/09 proses aanwijzing</v>
      </c>
      <c r="R1394" s="228"/>
      <c r="S1394" s="11"/>
      <c r="T1394" s="11"/>
      <c r="U1394" s="11"/>
      <c r="V1394" s="229"/>
      <c r="W1394" s="229"/>
      <c r="X1394" s="229" t="str">
        <f>IFERROR(__xludf.DUMMYFUNCTION("""COMPUTED_VALUE"""),"BELUM GOLIVE")</f>
        <v>BELUM GOLIVE</v>
      </c>
      <c r="Y1394" s="229"/>
      <c r="Z1394" s="229" t="str">
        <f>IFERROR(__xludf.DUMMYFUNCTION("""COMPUTED_VALUE"""),"#N/A")</f>
        <v>#N/A</v>
      </c>
      <c r="AA1394" s="229"/>
      <c r="AB1394" s="229"/>
      <c r="AC1394" s="229"/>
      <c r="AD1394" s="232"/>
      <c r="AE1394" s="233"/>
      <c r="AF1394" s="54"/>
      <c r="AG1394" s="54"/>
      <c r="AH1394" s="54"/>
      <c r="AI1394" s="55" t="str">
        <f t="shared" si="143"/>
        <v/>
      </c>
      <c r="AW1394" s="234"/>
      <c r="BP1394" s="11"/>
      <c r="BQ1394" s="11"/>
      <c r="BR1394" s="235"/>
      <c r="BV1394" s="158"/>
      <c r="BY1394" s="158"/>
      <c r="CB1394" s="158"/>
    </row>
    <row r="1395" ht="18.0" customHeight="1">
      <c r="A1395" s="222">
        <f>IFERROR(__xludf.DUMMYFUNCTION("""COMPUTED_VALUE"""),2026.0)</f>
        <v>2026</v>
      </c>
      <c r="B1395" s="221">
        <f>IFERROR(__xludf.DUMMYFUNCTION("""COMPUTED_VALUE"""),1.1095746E7)</f>
        <v>11095746</v>
      </c>
      <c r="C1395" s="222" t="str">
        <f>IFERROR(__xludf.DUMMYFUNCTION("""COMPUTED_VALUE"""),"RKP PT3 JPPTSEL TUB-FM GREEN LOBAM MAS")</f>
        <v>RKP PT3 JPPTSEL TUB-FM GREEN LOBAM MAS</v>
      </c>
      <c r="D1395" s="222" t="str">
        <f>IFERROR(__xludf.DUMMYFUNCTION("""COMPUTED_VALUE"""),"REGIONAL I")</f>
        <v>REGIONAL I</v>
      </c>
      <c r="E1395" s="222" t="str">
        <f>IFERROR(__xludf.DUMMYFUNCTION("""COMPUTED_VALUE"""),"RIKEP")</f>
        <v>RIKEP</v>
      </c>
      <c r="F1395" s="222" t="str">
        <f>IFERROR(__xludf.DUMMYFUNCTION("""COMPUTED_VALUE"""),"TUB")</f>
        <v>TUB</v>
      </c>
      <c r="G1395" s="222" t="str">
        <f>IFERROR(__xludf.DUMMYFUNCTION("""COMPUTED_VALUE"""),"SUMBAGTENG")</f>
        <v>SUMBAGTENG</v>
      </c>
      <c r="H1395" s="222" t="str">
        <f>IFERROR(__xludf.DUMMYFUNCTION("""COMPUTED_VALUE"""),"BATAM")</f>
        <v>BATAM</v>
      </c>
      <c r="I1395" s="222" t="str">
        <f>IFERROR(__xludf.DUMMYFUNCTION("""COMPUTED_VALUE"""),"Batch 2")</f>
        <v>Batch 2</v>
      </c>
      <c r="J1395" s="225">
        <f>IFERROR(__xludf.DUMMYFUNCTION("""COMPUTED_VALUE"""),6.0)</f>
        <v>6</v>
      </c>
      <c r="K1395" s="224">
        <f>IFERROR(__xludf.DUMMYFUNCTION("""COMPUTED_VALUE"""),48.0)</f>
        <v>48</v>
      </c>
      <c r="L1395" s="226">
        <f>IFERROR(__xludf.DUMMYFUNCTION("""COMPUTED_VALUE"""),716958.0)</f>
        <v>716958</v>
      </c>
      <c r="M1395" s="227">
        <f>IFERROR(__xludf.DUMMYFUNCTION("""COMPUTED_VALUE"""),3.4413971E7)</f>
        <v>34413971</v>
      </c>
      <c r="N1395" s="222" t="str">
        <f>IFERROR(__xludf.DUMMYFUNCTION("""COMPUTED_VALUE"""),"PT SALTTEK DUMPANG JAYA")</f>
        <v>PT SALTTEK DUMPANG JAYA</v>
      </c>
      <c r="O1395" s="222" t="str">
        <f>IFERROR(__xludf.DUMMYFUNCTION("""COMPUTED_VALUE"""),"0. DROP")</f>
        <v>0. DROP</v>
      </c>
      <c r="P1395" s="222" t="str">
        <f>IFERROR(__xludf.DUMMYFUNCTION("""COMPUTED_VALUE"""),"0.2 Tidak Dapat Izin Warga/Kades/Lurah/Developer")</f>
        <v>0.2 Tidak Dapat Izin Warga/Kades/Lurah/Developer</v>
      </c>
      <c r="Q1395" s="222" t="str">
        <f>IFERROR(__xludf.DUMMYFUNCTION("""COMPUTED_VALUE"""),"09/03 dari 5 RT ada 2 RT yang sudah 3x di jumpai dan di chat by wa tidak ada feedback mengenai perizinan.
05/03 Masi proses perizinan pihak RT &amp; RW perumahan setempat
25/02 ada  5 RT, baru 2 yang bisa di jumpai. 16/02 RT susah di temui. 09/02 RT masih blm"&amp;" bisa di jumpai. 04/02 RT sedang tidak di tempat, FU kembali by call No HP.  28/01 Anwijzing OK, proses perizinan, fu kembali tanggal 2 feb. 21/01 Plan anwijzing di minggu depan 27 jan
")</f>
        <v>09/03 dari 5 RT ada 2 RT yang sudah 3x di jumpai dan di chat by wa tidak ada feedback mengenai perizinan.
05/03 Masi proses perizinan pihak RT &amp; RW perumahan setempat
25/02 ada  5 RT, baru 2 yang bisa di jumpai. 16/02 RT susah di temui. 09/02 RT masih blm bisa di jumpai. 04/02 RT sedang tidak di tempat, FU kembali by call No HP.  28/01 Anwijzing OK, proses perizinan, fu kembali tanggal 2 feb. 21/01 Plan anwijzing di minggu depan 27 jan
</v>
      </c>
      <c r="R1395" s="228"/>
      <c r="S1395" s="11"/>
      <c r="T1395" s="11"/>
      <c r="U1395" s="11"/>
      <c r="V1395" s="229" t="str">
        <f>IFERROR(__xludf.DUMMYFUNCTION("""COMPUTED_VALUE"""),"DEDY IRAWAN")</f>
        <v>DEDY IRAWAN</v>
      </c>
      <c r="W1395" s="229" t="str">
        <f>IFERROR(__xludf.DUMMYFUNCTION("""COMPUTED_VALUE"""),"LEVITA INDRIYANI")</f>
        <v>LEVITA INDRIYANI</v>
      </c>
      <c r="X1395" s="229" t="str">
        <f>IFERROR(__xludf.DUMMYFUNCTION("""COMPUTED_VALUE"""),"BELUM GOLIVE")</f>
        <v>BELUM GOLIVE</v>
      </c>
      <c r="Y1395" s="229"/>
      <c r="Z1395" s="229" t="str">
        <f>IFERROR(__xludf.DUMMYFUNCTION("""COMPUTED_VALUE"""),"#N/A")</f>
        <v>#N/A</v>
      </c>
      <c r="AA1395" s="229"/>
      <c r="AB1395" s="229"/>
      <c r="AC1395" s="229"/>
      <c r="AD1395" s="232"/>
      <c r="AE1395" s="233"/>
      <c r="AF1395" s="54"/>
      <c r="AG1395" s="54"/>
      <c r="AH1395" s="54"/>
      <c r="AI1395" s="55" t="str">
        <f t="shared" si="143"/>
        <v/>
      </c>
      <c r="AW1395" s="234"/>
      <c r="BP1395" s="11"/>
      <c r="BQ1395" s="11"/>
      <c r="BR1395" s="235"/>
      <c r="BV1395" s="158"/>
      <c r="BY1395" s="158"/>
      <c r="CB1395" s="158"/>
    </row>
    <row r="1396" ht="18.0" hidden="1" customHeight="1">
      <c r="A1396" s="222">
        <f>IFERROR(__xludf.DUMMYFUNCTION("""COMPUTED_VALUE"""),2026.0)</f>
        <v>2026</v>
      </c>
      <c r="B1396" s="221">
        <f>IFERROR(__xludf.DUMMYFUNCTION("""COMPUTED_VALUE"""),1.1391755E7)</f>
        <v>11391755</v>
      </c>
      <c r="C1396" s="222" t="str">
        <f>IFERROR(__xludf.DUMMYFUNCTION("""COMPUTED_VALUE"""),"LPG PT3 JPP PRINGSEWU_11347 PRW")</f>
        <v>LPG PT3 JPP PRINGSEWU_11347 PRW</v>
      </c>
      <c r="D1396" s="222" t="str">
        <f>IFERROR(__xludf.DUMMYFUNCTION("""COMPUTED_VALUE"""),"REGIONAL I")</f>
        <v>REGIONAL I</v>
      </c>
      <c r="E1396" s="222" t="str">
        <f>IFERROR(__xludf.DUMMYFUNCTION("""COMPUTED_VALUE"""),"LAMPUNG")</f>
        <v>LAMPUNG</v>
      </c>
      <c r="F1396" s="222" t="str">
        <f>IFERROR(__xludf.DUMMYFUNCTION("""COMPUTED_VALUE"""),"PRW")</f>
        <v>PRW</v>
      </c>
      <c r="G1396" s="222" t="str">
        <f>IFERROR(__xludf.DUMMYFUNCTION("""COMPUTED_VALUE"""),"SUMBAGSEL")</f>
        <v>SUMBAGSEL</v>
      </c>
      <c r="H1396" s="222" t="str">
        <f>IFERROR(__xludf.DUMMYFUNCTION("""COMPUTED_VALUE"""),"LAMPUNG")</f>
        <v>LAMPUNG</v>
      </c>
      <c r="I1396" s="222" t="str">
        <f>IFERROR(__xludf.DUMMYFUNCTION("""COMPUTED_VALUE"""),"Batch 2")</f>
        <v>Batch 2</v>
      </c>
      <c r="J1396" s="225">
        <f>IFERROR(__xludf.DUMMYFUNCTION("""COMPUTED_VALUE"""),4.0)</f>
        <v>4</v>
      </c>
      <c r="K1396" s="224">
        <f>IFERROR(__xludf.DUMMYFUNCTION("""COMPUTED_VALUE"""),32.0)</f>
        <v>32</v>
      </c>
      <c r="L1396" s="226">
        <f>IFERROR(__xludf.DUMMYFUNCTION("""COMPUTED_VALUE"""),715643.0)</f>
        <v>715643</v>
      </c>
      <c r="M1396" s="227">
        <f>IFERROR(__xludf.DUMMYFUNCTION("""COMPUTED_VALUE"""),2.2900575E7)</f>
        <v>22900575</v>
      </c>
      <c r="N1396" s="222" t="str">
        <f>IFERROR(__xludf.DUMMYFUNCTION("""COMPUTED_VALUE"""),"PT TEKNOLOGI KARYA MANDIRI")</f>
        <v>PT TEKNOLOGI KARYA MANDIRI</v>
      </c>
      <c r="O1396" s="222" t="str">
        <f>IFERROR(__xludf.DUMMYFUNCTION("""COMPUTED_VALUE"""),"7. GOLIVE")</f>
        <v>7. GOLIVE</v>
      </c>
      <c r="P1396" s="222" t="str">
        <f>IFERROR(__xludf.DUMMYFUNCTION("""COMPUTED_VALUE"""),"7.2 Golive Full / OA / DONE OTB")</f>
        <v>7.2 Golive Full / OA / DONE OTB</v>
      </c>
      <c r="Q1396" s="222" t="str">
        <f>IFERROR(__xludf.DUMMYFUNCTION("""COMPUTED_VALUE"""),"19/1 instalasi odp dan cek core")</f>
        <v>19/1 instalasi odp dan cek core</v>
      </c>
      <c r="R1396" s="228"/>
      <c r="S1396" s="11"/>
      <c r="T1396" s="11"/>
      <c r="U1396" s="11" t="str">
        <f>IFERROR(__xludf.DUMMYFUNCTION("""COMPUTED_VALUE"""),"W02-524/2025")</f>
        <v>W02-524/2025</v>
      </c>
      <c r="V1396" s="229"/>
      <c r="W1396" s="229"/>
      <c r="X1396" s="229" t="str">
        <f>IFERROR(__xludf.DUMMYFUNCTION("""COMPUTED_VALUE"""),"GOLIVE")</f>
        <v>GOLIVE</v>
      </c>
      <c r="Y1396" s="229" t="str">
        <f>IFERROR(__xludf.DUMMYFUNCTION("""COMPUTED_VALUE"""),"DONE")</f>
        <v>DONE</v>
      </c>
      <c r="Z1396" s="229" t="str">
        <f>IFERROR(__xludf.DUMMYFUNCTION("""COMPUTED_VALUE"""),"#N/A")</f>
        <v>#N/A</v>
      </c>
      <c r="AA1396" s="229">
        <f>IFERROR(__xludf.DUMMYFUNCTION("""COMPUTED_VALUE"""),4.0)</f>
        <v>4</v>
      </c>
      <c r="AB1396" s="229"/>
      <c r="AC1396" s="229" t="str">
        <f>IFERROR(__xludf.DUMMYFUNCTION("""COMPUTED_VALUE"""),"9039544#9039549")</f>
        <v>9039544#9039549</v>
      </c>
      <c r="AD1396" s="232">
        <f>IFERROR(__xludf.DUMMYFUNCTION("""COMPUTED_VALUE"""),32.0)</f>
        <v>32</v>
      </c>
      <c r="AE1396" s="233">
        <f>IFERROR(__xludf.DUMMYFUNCTION("""COMPUTED_VALUE"""),46052.0)</f>
        <v>46052</v>
      </c>
      <c r="AF1396" s="54"/>
      <c r="AG1396" s="54"/>
      <c r="AH1396" s="54"/>
      <c r="AI1396" s="55" t="str">
        <f t="shared" si="143"/>
        <v/>
      </c>
      <c r="AW1396" s="234"/>
      <c r="BP1396" s="11"/>
      <c r="BQ1396" s="11"/>
      <c r="BR1396" s="235"/>
      <c r="BV1396" s="158"/>
      <c r="BY1396" s="158"/>
      <c r="CB1396" s="158"/>
    </row>
    <row r="1397" ht="18.0" hidden="1" customHeight="1">
      <c r="A1397" s="222">
        <f>IFERROR(__xludf.DUMMYFUNCTION("""COMPUTED_VALUE"""),2026.0)</f>
        <v>2026</v>
      </c>
      <c r="B1397" s="221">
        <f>IFERROR(__xludf.DUMMYFUNCTION("""COMPUTED_VALUE"""),1.1986296E7)</f>
        <v>11986296</v>
      </c>
      <c r="C1397" s="222" t="str">
        <f>IFERROR(__xludf.DUMMYFUNCTION("""COMPUTED_VALUE"""),"ACH LBR PT3 LBR-FF AXARA RESIDENCE 6")</f>
        <v>ACH LBR PT3 LBR-FF AXARA RESIDENCE 6</v>
      </c>
      <c r="D1397" s="222" t="str">
        <f>IFERROR(__xludf.DUMMYFUNCTION("""COMPUTED_VALUE"""),"REGIONAL I")</f>
        <v>REGIONAL I</v>
      </c>
      <c r="E1397" s="222" t="str">
        <f>IFERROR(__xludf.DUMMYFUNCTION("""COMPUTED_VALUE"""),"ACEH")</f>
        <v>ACEH</v>
      </c>
      <c r="F1397" s="222" t="str">
        <f>IFERROR(__xludf.DUMMYFUNCTION("""COMPUTED_VALUE"""),"LBR")</f>
        <v>LBR</v>
      </c>
      <c r="G1397" s="222" t="str">
        <f>IFERROR(__xludf.DUMMYFUNCTION("""COMPUTED_VALUE"""),"SUMBAGUT")</f>
        <v>SUMBAGUT</v>
      </c>
      <c r="H1397" s="222" t="str">
        <f>IFERROR(__xludf.DUMMYFUNCTION("""COMPUTED_VALUE"""),"BANDA ACEH")</f>
        <v>BANDA ACEH</v>
      </c>
      <c r="I1397" s="222" t="str">
        <f>IFERROR(__xludf.DUMMYFUNCTION("""COMPUTED_VALUE"""),"Batch 2")</f>
        <v>Batch 2</v>
      </c>
      <c r="J1397" s="225">
        <f>IFERROR(__xludf.DUMMYFUNCTION("""COMPUTED_VALUE"""),6.0)</f>
        <v>6</v>
      </c>
      <c r="K1397" s="224">
        <f>IFERROR(__xludf.DUMMYFUNCTION("""COMPUTED_VALUE"""),56.0)</f>
        <v>56</v>
      </c>
      <c r="L1397" s="226">
        <f>IFERROR(__xludf.DUMMYFUNCTION("""COMPUTED_VALUE"""),715397.0)</f>
        <v>715397</v>
      </c>
      <c r="M1397" s="227">
        <f>IFERROR(__xludf.DUMMYFUNCTION("""COMPUTED_VALUE"""),4.0062183E7)</f>
        <v>40062183</v>
      </c>
      <c r="N1397" s="222" t="str">
        <f>IFERROR(__xludf.DUMMYFUNCTION("""COMPUTED_VALUE"""),"PT TRIPOLA PANATA")</f>
        <v>PT TRIPOLA PANATA</v>
      </c>
      <c r="O1397" s="222" t="str">
        <f>IFERROR(__xludf.DUMMYFUNCTION("""COMPUTED_VALUE"""),"7. GOLIVE")</f>
        <v>7. GOLIVE</v>
      </c>
      <c r="P1397" s="222" t="str">
        <f>IFERROR(__xludf.DUMMYFUNCTION("""COMPUTED_VALUE"""),"7.2 Golive Full / OA / DONE OTB")</f>
        <v>7.2 Golive Full / OA / DONE OTB</v>
      </c>
      <c r="Q1397" s="222" t="str">
        <f>IFERROR(__xludf.DUMMYFUNCTION("""COMPUTED_VALUE"""),"08/04 golive
(11/03) Tanam Tiang (07/02) Proses PO Material (30/01)sudah aanwizing (07/01) Persiapan")</f>
        <v>08/04 golive
(11/03) Tanam Tiang (07/02) Proses PO Material (30/01)sudah aanwizing (07/01) Persiapan</v>
      </c>
      <c r="R1397" s="228">
        <f>IFERROR(__xludf.DUMMYFUNCTION("""COMPUTED_VALUE"""),46120.0)</f>
        <v>46120</v>
      </c>
      <c r="S1397" s="11"/>
      <c r="T1397" s="73"/>
      <c r="U1397" s="11"/>
      <c r="V1397" s="229"/>
      <c r="W1397" s="229" t="str">
        <f>IFERROR(__xludf.DUMMYFUNCTION("""COMPUTED_VALUE"""),"#N/A")</f>
        <v>#N/A</v>
      </c>
      <c r="X1397" s="229" t="str">
        <f>IFERROR(__xludf.DUMMYFUNCTION("""COMPUTED_VALUE"""),"GOLIVE")</f>
        <v>GOLIVE</v>
      </c>
      <c r="Y1397" s="229" t="str">
        <f>IFERROR(__xludf.DUMMYFUNCTION("""COMPUTED_VALUE"""),"DONE")</f>
        <v>DONE</v>
      </c>
      <c r="Z1397" s="229" t="str">
        <f>IFERROR(__xludf.DUMMYFUNCTION("""COMPUTED_VALUE"""),"#N/A")</f>
        <v>#N/A</v>
      </c>
      <c r="AA1397" s="229">
        <f>IFERROR(__xludf.DUMMYFUNCTION("""COMPUTED_VALUE"""),7.0)</f>
        <v>7</v>
      </c>
      <c r="AB1397" s="229"/>
      <c r="AC1397" s="229" t="str">
        <f>IFERROR(__xludf.DUMMYFUNCTION("""COMPUTED_VALUE"""),"9243755#9243761")</f>
        <v>9243755#9243761</v>
      </c>
      <c r="AD1397" s="232">
        <f>IFERROR(__xludf.DUMMYFUNCTION("""COMPUTED_VALUE"""),56.0)</f>
        <v>56</v>
      </c>
      <c r="AE1397" s="233">
        <f>IFERROR(__xludf.DUMMYFUNCTION("""COMPUTED_VALUE"""),46120.0)</f>
        <v>46120</v>
      </c>
      <c r="AF1397" s="54"/>
      <c r="AG1397" s="54"/>
      <c r="AH1397" s="54">
        <v>46120.0</v>
      </c>
      <c r="AI1397" s="55">
        <f t="shared" si="143"/>
        <v>0</v>
      </c>
      <c r="AW1397" s="234"/>
      <c r="BP1397" s="11"/>
      <c r="BQ1397" s="11"/>
      <c r="BR1397" s="235"/>
      <c r="BV1397" s="158"/>
      <c r="BY1397" s="158"/>
      <c r="CB1397" s="158"/>
    </row>
    <row r="1398" ht="18.0" hidden="1" customHeight="1">
      <c r="A1398" s="222">
        <f>IFERROR(__xludf.DUMMYFUNCTION("""COMPUTED_VALUE"""),2026.0)</f>
        <v>2026</v>
      </c>
      <c r="B1398" s="221">
        <f>IFERROR(__xludf.DUMMYFUNCTION("""COMPUTED_VALUE"""),1.1241957E7)</f>
        <v>11241957</v>
      </c>
      <c r="C1398" s="222" t="str">
        <f>IFERROR(__xludf.DUMMYFUNCTION("""COMPUTED_VALUE"""),"MDN PT3 CTD-FCN JL.GARUDA 2 GG.KASWARI")</f>
        <v>MDN PT3 CTD-FCN JL.GARUDA 2 GG.KASWARI</v>
      </c>
      <c r="D1398" s="222" t="str">
        <f>IFERROR(__xludf.DUMMYFUNCTION("""COMPUTED_VALUE"""),"REGIONAL I")</f>
        <v>REGIONAL I</v>
      </c>
      <c r="E1398" s="222" t="str">
        <f>IFERROR(__xludf.DUMMYFUNCTION("""COMPUTED_VALUE"""),"MEDAN")</f>
        <v>MEDAN</v>
      </c>
      <c r="F1398" s="222" t="str">
        <f>IFERROR(__xludf.DUMMYFUNCTION("""COMPUTED_VALUE"""),"BJI")</f>
        <v>BJI</v>
      </c>
      <c r="G1398" s="222" t="str">
        <f>IFERROR(__xludf.DUMMYFUNCTION("""COMPUTED_VALUE"""),"SUMBAGUT")</f>
        <v>SUMBAGUT</v>
      </c>
      <c r="H1398" s="222" t="str">
        <f>IFERROR(__xludf.DUMMYFUNCTION("""COMPUTED_VALUE"""),"BINJAI")</f>
        <v>BINJAI</v>
      </c>
      <c r="I1398" s="222" t="str">
        <f>IFERROR(__xludf.DUMMYFUNCTION("""COMPUTED_VALUE"""),"Batch 2")</f>
        <v>Batch 2</v>
      </c>
      <c r="J1398" s="225">
        <f>IFERROR(__xludf.DUMMYFUNCTION("""COMPUTED_VALUE"""),3.0)</f>
        <v>3</v>
      </c>
      <c r="K1398" s="224">
        <f>IFERROR(__xludf.DUMMYFUNCTION("""COMPUTED_VALUE"""),24.0)</f>
        <v>24</v>
      </c>
      <c r="L1398" s="226">
        <f>IFERROR(__xludf.DUMMYFUNCTION("""COMPUTED_VALUE"""),714015.0)</f>
        <v>714015</v>
      </c>
      <c r="M1398" s="227">
        <f>IFERROR(__xludf.DUMMYFUNCTION("""COMPUTED_VALUE"""),1.713636E7)</f>
        <v>17136360</v>
      </c>
      <c r="N1398" s="222" t="str">
        <f>IFERROR(__xludf.DUMMYFUNCTION("""COMPUTED_VALUE"""),"PT KENCANA RAYA INDONESIA")</f>
        <v>PT KENCANA RAYA INDONESIA</v>
      </c>
      <c r="O1398" s="222" t="str">
        <f>IFERROR(__xludf.DUMMYFUNCTION("""COMPUTED_VALUE"""),"7. GOLIVE")</f>
        <v>7. GOLIVE</v>
      </c>
      <c r="P1398" s="222" t="str">
        <f>IFERROR(__xludf.DUMMYFUNCTION("""COMPUTED_VALUE"""),"7.2 Golive Full / OA / DONE OTB")</f>
        <v>7.2 Golive Full / OA / DONE OTB</v>
      </c>
      <c r="Q1398" s="222" t="str">
        <f>IFERROR(__xludf.DUMMYFUNCTION("""COMPUTED_VALUE"""),"23/04 submit SDI
16/04 tanam tiang 
08/04 on going req material
26/03 feeder ready, dist ready 2 core butuh 3 core, harus repair cl
07/01) Persiapan")</f>
        <v>23/04 submit SDI
16/04 tanam tiang 
08/04 on going req material
26/03 feeder ready, dist ready 2 core butuh 3 core, harus repair cl
07/01) Persiapan</v>
      </c>
      <c r="R1398" s="228">
        <f>IFERROR(__xludf.DUMMYFUNCTION("""COMPUTED_VALUE"""),46135.0)</f>
        <v>46135</v>
      </c>
      <c r="S1398" s="11" t="str">
        <f>IFERROR(__xludf.DUMMYFUNCTION("""COMPUTED_VALUE"""),"APR")</f>
        <v>APR</v>
      </c>
      <c r="T1398" s="73"/>
      <c r="U1398" s="11"/>
      <c r="V1398" s="229" t="str">
        <f>IFERROR(__xludf.DUMMYFUNCTION("""COMPUTED_VALUE"""),"27/Apr/2026")</f>
        <v>27/Apr/2026</v>
      </c>
      <c r="W1398" s="229"/>
      <c r="X1398" s="229" t="str">
        <f>IFERROR(__xludf.DUMMYFUNCTION("""COMPUTED_VALUE"""),"GOLIVE")</f>
        <v>GOLIVE</v>
      </c>
      <c r="Y1398" s="229" t="str">
        <f>IFERROR(__xludf.DUMMYFUNCTION("""COMPUTED_VALUE"""),"DONE")</f>
        <v>DONE</v>
      </c>
      <c r="Z1398" s="229" t="str">
        <f>IFERROR(__xludf.DUMMYFUNCTION("""COMPUTED_VALUE"""),"#N/A")</f>
        <v>#N/A</v>
      </c>
      <c r="AA1398" s="229">
        <f>IFERROR(__xludf.DUMMYFUNCTION("""COMPUTED_VALUE"""),3.0)</f>
        <v>3</v>
      </c>
      <c r="AB1398" s="229"/>
      <c r="AC1398" s="229" t="str">
        <f>IFERROR(__xludf.DUMMYFUNCTION("""COMPUTED_VALUE"""),"9304515#9304520")</f>
        <v>9304515#9304520</v>
      </c>
      <c r="AD1398" s="232">
        <f>IFERROR(__xludf.DUMMYFUNCTION("""COMPUTED_VALUE"""),24.0)</f>
        <v>24</v>
      </c>
      <c r="AE1398" s="233">
        <f>IFERROR(__xludf.DUMMYFUNCTION("""COMPUTED_VALUE"""),46135.0)</f>
        <v>46135</v>
      </c>
      <c r="AF1398" s="54"/>
      <c r="AG1398" s="54"/>
      <c r="AH1398" s="54"/>
      <c r="AI1398" s="55">
        <f t="shared" si="143"/>
        <v>0</v>
      </c>
      <c r="AW1398" s="234"/>
      <c r="BP1398" s="11"/>
      <c r="BQ1398" s="11"/>
      <c r="BR1398" s="235"/>
      <c r="BV1398" s="158"/>
      <c r="BY1398" s="158"/>
      <c r="CB1398" s="158"/>
    </row>
    <row r="1399" ht="18.0" hidden="1" customHeight="1">
      <c r="A1399" s="222">
        <f>IFERROR(__xludf.DUMMYFUNCTION("""COMPUTED_VALUE"""),2026.0)</f>
        <v>2026</v>
      </c>
      <c r="B1399" s="221">
        <f>IFERROR(__xludf.DUMMYFUNCTION("""COMPUTED_VALUE"""),1.1410933E7)</f>
        <v>11410933</v>
      </c>
      <c r="C1399" s="222" t="str">
        <f>IFERROR(__xludf.DUMMYFUNCTION("""COMPUTED_VALUE"""),"MDN PT3 BJI-FYD JL.A HAMZAH SAMBIREJO")</f>
        <v>MDN PT3 BJI-FYD JL.A HAMZAH SAMBIREJO</v>
      </c>
      <c r="D1399" s="222" t="str">
        <f>IFERROR(__xludf.DUMMYFUNCTION("""COMPUTED_VALUE"""),"REGIONAL I")</f>
        <v>REGIONAL I</v>
      </c>
      <c r="E1399" s="222" t="str">
        <f>IFERROR(__xludf.DUMMYFUNCTION("""COMPUTED_VALUE"""),"MEDAN")</f>
        <v>MEDAN</v>
      </c>
      <c r="F1399" s="222" t="str">
        <f>IFERROR(__xludf.DUMMYFUNCTION("""COMPUTED_VALUE"""),"BJI")</f>
        <v>BJI</v>
      </c>
      <c r="G1399" s="222" t="str">
        <f>IFERROR(__xludf.DUMMYFUNCTION("""COMPUTED_VALUE"""),"SUMBAGUT")</f>
        <v>SUMBAGUT</v>
      </c>
      <c r="H1399" s="222" t="str">
        <f>IFERROR(__xludf.DUMMYFUNCTION("""COMPUTED_VALUE"""),"BINJAI")</f>
        <v>BINJAI</v>
      </c>
      <c r="I1399" s="222" t="str">
        <f>IFERROR(__xludf.DUMMYFUNCTION("""COMPUTED_VALUE"""),"Batch 2")</f>
        <v>Batch 2</v>
      </c>
      <c r="J1399" s="225">
        <f>IFERROR(__xludf.DUMMYFUNCTION("""COMPUTED_VALUE"""),10.0)</f>
        <v>10</v>
      </c>
      <c r="K1399" s="224">
        <f>IFERROR(__xludf.DUMMYFUNCTION("""COMPUTED_VALUE"""),80.0)</f>
        <v>80</v>
      </c>
      <c r="L1399" s="226">
        <f>IFERROR(__xludf.DUMMYFUNCTION("""COMPUTED_VALUE"""),713782.0)</f>
        <v>713782</v>
      </c>
      <c r="M1399" s="227">
        <f>IFERROR(__xludf.DUMMYFUNCTION("""COMPUTED_VALUE"""),5.7102535E7)</f>
        <v>57102535</v>
      </c>
      <c r="N1399" s="222" t="str">
        <f>IFERROR(__xludf.DUMMYFUNCTION("""COMPUTED_VALUE"""),"PT KENCANA RAYA INDONESIA")</f>
        <v>PT KENCANA RAYA INDONESIA</v>
      </c>
      <c r="O1399" s="222" t="str">
        <f>IFERROR(__xludf.DUMMYFUNCTION("""COMPUTED_VALUE"""),"7. GOLIVE")</f>
        <v>7. GOLIVE</v>
      </c>
      <c r="P1399" s="222" t="str">
        <f>IFERROR(__xludf.DUMMYFUNCTION("""COMPUTED_VALUE"""),"7.2 Golive Full / OA / DONE OTB")</f>
        <v>7.2 Golive Full / OA / DONE OTB</v>
      </c>
      <c r="Q1399" s="222" t="str">
        <f>IFERROR(__xludf.DUMMYFUNCTION("""COMPUTED_VALUE"""),"08/04 instalasi selesai
06/04 instalasi odp
30/03 pengambilan material 
27/03 feeder dist ready
20/09 Feeder Redaman Tinggi
19/09 Kades belum bisa dijumpai
18/09 Perizinan kades
15/09 proses aanwijzing")</f>
        <v>08/04 instalasi selesai
06/04 instalasi odp
30/03 pengambilan material 
27/03 feeder dist ready
20/09 Feeder Redaman Tinggi
19/09 Kades belum bisa dijumpai
18/09 Perizinan kades
15/09 proses aanwijzing</v>
      </c>
      <c r="R1399" s="228">
        <f>IFERROR(__xludf.DUMMYFUNCTION("""COMPUTED_VALUE"""),46121.0)</f>
        <v>46121</v>
      </c>
      <c r="S1399" s="11"/>
      <c r="T1399" s="73"/>
      <c r="U1399" s="11"/>
      <c r="V1399" s="229"/>
      <c r="W1399" s="229"/>
      <c r="X1399" s="229" t="str">
        <f>IFERROR(__xludf.DUMMYFUNCTION("""COMPUTED_VALUE"""),"GOLIVE")</f>
        <v>GOLIVE</v>
      </c>
      <c r="Y1399" s="229" t="str">
        <f>IFERROR(__xludf.DUMMYFUNCTION("""COMPUTED_VALUE"""),"DONE")</f>
        <v>DONE</v>
      </c>
      <c r="Z1399" s="229" t="str">
        <f>IFERROR(__xludf.DUMMYFUNCTION("""COMPUTED_VALUE"""),"#N/A")</f>
        <v>#N/A</v>
      </c>
      <c r="AA1399" s="229">
        <f>IFERROR(__xludf.DUMMYFUNCTION("""COMPUTED_VALUE"""),10.0)</f>
        <v>10</v>
      </c>
      <c r="AB1399" s="229"/>
      <c r="AC1399" s="229" t="str">
        <f>IFERROR(__xludf.DUMMYFUNCTION("""COMPUTED_VALUE"""),"9256562#9256567")</f>
        <v>9256562#9256567</v>
      </c>
      <c r="AD1399" s="232">
        <f>IFERROR(__xludf.DUMMYFUNCTION("""COMPUTED_VALUE"""),80.0)</f>
        <v>80</v>
      </c>
      <c r="AE1399" s="233">
        <f>IFERROR(__xludf.DUMMYFUNCTION("""COMPUTED_VALUE"""),46121.0)</f>
        <v>46121</v>
      </c>
      <c r="AF1399" s="54"/>
      <c r="AG1399" s="54"/>
      <c r="AH1399" s="54">
        <v>46121.0</v>
      </c>
      <c r="AI1399" s="55">
        <f t="shared" si="143"/>
        <v>0</v>
      </c>
      <c r="AW1399" s="234"/>
      <c r="BP1399" s="11"/>
      <c r="BQ1399" s="11"/>
      <c r="BR1399" s="235"/>
      <c r="BV1399" s="158"/>
      <c r="BY1399" s="158"/>
      <c r="CB1399" s="158"/>
    </row>
    <row r="1400" ht="18.0" hidden="1" customHeight="1">
      <c r="A1400" s="222">
        <f>IFERROR(__xludf.DUMMYFUNCTION("""COMPUTED_VALUE"""),2026.0)</f>
        <v>2026</v>
      </c>
      <c r="B1400" s="221">
        <f>IFERROR(__xludf.DUMMYFUNCTION("""COMPUTED_VALUE"""),1.1423205E7)</f>
        <v>11423205</v>
      </c>
      <c r="C1400" s="222" t="str">
        <f>IFERROR(__xludf.DUMMYFUNCTION("""COMPUTED_VALUE"""),"SMS PT3 LHT FAV D03 PADANG LENGKUAS")</f>
        <v>SMS PT3 LHT FAV D03 PADANG LENGKUAS</v>
      </c>
      <c r="D1400" s="222" t="str">
        <f>IFERROR(__xludf.DUMMYFUNCTION("""COMPUTED_VALUE"""),"REGIONAL I")</f>
        <v>REGIONAL I</v>
      </c>
      <c r="E1400" s="222" t="str">
        <f>IFERROR(__xludf.DUMMYFUNCTION("""COMPUTED_VALUE"""),"SUMSEL")</f>
        <v>SUMSEL</v>
      </c>
      <c r="F1400" s="222" t="str">
        <f>IFERROR(__xludf.DUMMYFUNCTION("""COMPUTED_VALUE"""),"LHT")</f>
        <v>LHT</v>
      </c>
      <c r="G1400" s="222" t="str">
        <f>IFERROR(__xludf.DUMMYFUNCTION("""COMPUTED_VALUE"""),"SUMBAGSEL")</f>
        <v>SUMBAGSEL</v>
      </c>
      <c r="H1400" s="222" t="str">
        <f>IFERROR(__xludf.DUMMYFUNCTION("""COMPUTED_VALUE"""),"BENGKULU")</f>
        <v>BENGKULU</v>
      </c>
      <c r="I1400" s="222" t="str">
        <f>IFERROR(__xludf.DUMMYFUNCTION("""COMPUTED_VALUE"""),"Batch 2")</f>
        <v>Batch 2</v>
      </c>
      <c r="J1400" s="225">
        <f>IFERROR(__xludf.DUMMYFUNCTION("""COMPUTED_VALUE"""),8.0)</f>
        <v>8</v>
      </c>
      <c r="K1400" s="224">
        <f>IFERROR(__xludf.DUMMYFUNCTION("""COMPUTED_VALUE"""),64.0)</f>
        <v>64</v>
      </c>
      <c r="L1400" s="226">
        <f>IFERROR(__xludf.DUMMYFUNCTION("""COMPUTED_VALUE"""),713216.0)</f>
        <v>713216</v>
      </c>
      <c r="M1400" s="227">
        <f>IFERROR(__xludf.DUMMYFUNCTION("""COMPUTED_VALUE"""),4.5645775E7)</f>
        <v>45645775</v>
      </c>
      <c r="N1400" s="222" t="str">
        <f>IFERROR(__xludf.DUMMYFUNCTION("""COMPUTED_VALUE"""),"PT DIAN KARYA")</f>
        <v>PT DIAN KARYA</v>
      </c>
      <c r="O1400" s="222" t="str">
        <f>IFERROR(__xludf.DUMMYFUNCTION("""COMPUTED_VALUE"""),"7. GOLIVE")</f>
        <v>7. GOLIVE</v>
      </c>
      <c r="P1400" s="222" t="str">
        <f>IFERROR(__xludf.DUMMYFUNCTION("""COMPUTED_VALUE"""),"7.2 Golive Full / OA / DONE OTB")</f>
        <v>7.2 Golive Full / OA / DONE OTB</v>
      </c>
      <c r="Q1400" s="222" t="str">
        <f>IFERROR(__xludf.DUMMYFUNCTION("""COMPUTED_VALUE"""),"05/03 GOLIVE, 05/03 DONE SUBMIT ABD KE SDI, 04/03 COLLECT DATA OPM DAN VALINS, 03/03 PLAN BESOK VALINS, 02/03 MASIH TERMINASI ODP, 28/02 OGP TERMINASI ODP, 27/02 PENARIKAN KABEL 650 26/02 PELUBANGAN TIANG, 25/02 CAT TIANG, 24/02 MATERIAL ONSITE 23/02 OGP "&amp;"MATDEL, 22/2 menunggu material TIANG  16/02 OGP MATDEL, 12/02 DONE INPUT MATERIAL - KENDALA OVER BUDGET, (11/02) Butuh Amandemen Budget, 11/2 Done PRPO- Req Material, (09/02) Proses PR PO 6/2 proses create PID 04/02 LANJUT DRM, 31/1  DOne aanwijdzing, eva"&amp;"l senin 2 feb  30/01 DONE AANWIDJZING - MITRA BELUM KIRIM HASIL AANWIDJZING, 28/01 DONE AANWIDJZING, 26/1 tim TIF belum bisa EVAL hasil anwijzing karena lagi diluar kota , estimasi 29 jan baru kembali ke Palembang(23/1) plan aanwijdzing tgl 27 jan (21/01)"&amp;" menunggu anrian untuk aanwijzing, (14/11)HOLD-  tidak masuk target Optimis 2025 (14/11) penunjukkan mitra ulang oleh procurement, 12/11 masih menunggu perizinan, 10/11 belum dpt update dari pihak RT untuk izin pembangunan jaringan FO 04/11 belum dpt upda"&amp;"te dari pihak RT untuk izin pembangunan jaringan FO 08/10 belum dpt update dari pihak RT untuk izin pembangunan jaringan FO
(01/10) menunggu izin dari RT untuk sosialisasi dg warga
(25/08) atur jadwal ulang untuk aanwijzing
(19/08) tgl 20/08 untuk aanwizn"&amp;"g
(14/08) menunggu jadwal dari sales untuk aanwizjing
(31/07) menunggu jadwal dari sales untuk aanwizjing
(24/07) menunggu jadwal dari sales untuk aanwizjing
(15/07) menunggu jadwal dari sales untuk aanwizjing
(07/07) penunjukan mitra 
23/01 penunjukan mi"&amp;"tra oleh procurement")</f>
        <v>05/03 GOLIVE, 05/03 DONE SUBMIT ABD KE SDI, 04/03 COLLECT DATA OPM DAN VALINS, 03/03 PLAN BESOK VALINS, 02/03 MASIH TERMINASI ODP, 28/02 OGP TERMINASI ODP, 27/02 PENARIKAN KABEL 650 26/02 PELUBANGAN TIANG, 25/02 CAT TIANG, 24/02 MATERIAL ONSITE 23/02 OGP MATDEL, 22/2 menunggu material TIANG  16/02 OGP MATDEL, 12/02 DONE INPUT MATERIAL - KENDALA OVER BUDGET, (11/02) Butuh Amandemen Budget, 11/2 Done PRPO- Req Material, (09/02) Proses PR PO 6/2 proses create PID 04/02 LANJUT DRM, 31/1  DOne aanwijdzing, eval senin 2 feb  30/01 DONE AANWIDJZING - MITRA BELUM KIRIM HASIL AANWIDJZING, 28/01 DONE AANWIDJZING, 26/1 tim TIF belum bisa EVAL hasil anwijzing karena lagi diluar kota , estimasi 29 jan baru kembali ke Palembang(23/1) plan aanwijdzing tgl 27 jan (21/01) menunggu anrian untuk aanwijzing, (14/11)HOLD-  tidak masuk target Optimis 2025 (14/11) penunjukkan mitra ulang oleh procurement, 12/11 masih menunggu perizinan, 10/11 belum dpt update dari pihak RT untuk izin pembangunan jaringan FO 04/11 belum dpt update dari pihak RT untuk izin pembangunan jaringan FO 08/10 belum dpt update dari pihak RT untuk izin pembangunan jaringan FO
(01/10) menunggu izin dari RT untuk sosialisasi dg warga
(25/08) atur jadwal ulang untuk aanwijzing
(19/08) tgl 20/08 untuk aanwizng
(14/08) menunggu jadwal dari sales untuk aanwizjing
(31/07) menunggu jadwal dari sales untuk aanwizjing
(24/07) menunggu jadwal dari sales untuk aanwizjing
(15/07) menunggu jadwal dari sales untuk aanwizjing
(07/07) penunjukan mitra 
23/01 penunjukan mitra oleh procurement</v>
      </c>
      <c r="R1400" s="228">
        <f>IFERROR(__xludf.DUMMYFUNCTION("""COMPUTED_VALUE"""),46085.0)</f>
        <v>46085</v>
      </c>
      <c r="S1400" s="11" t="str">
        <f>IFERROR(__xludf.DUMMYFUNCTION("""COMPUTED_VALUE"""),"MAR")</f>
        <v>MAR</v>
      </c>
      <c r="T1400" s="11"/>
      <c r="U1400" s="11"/>
      <c r="V1400" s="229" t="str">
        <f>IFERROR(__xludf.DUMMYFUNCTION("""COMPUTED_VALUE"""),"ILHAM")</f>
        <v>ILHAM</v>
      </c>
      <c r="W1400" s="229"/>
      <c r="X1400" s="229" t="str">
        <f>IFERROR(__xludf.DUMMYFUNCTION("""COMPUTED_VALUE"""),"GOLIVE")</f>
        <v>GOLIVE</v>
      </c>
      <c r="Y1400" s="229" t="str">
        <f>IFERROR(__xludf.DUMMYFUNCTION("""COMPUTED_VALUE"""),"DONE")</f>
        <v>DONE</v>
      </c>
      <c r="Z1400" s="229" t="str">
        <f>IFERROR(__xludf.DUMMYFUNCTION("""COMPUTED_VALUE"""),"#N/A")</f>
        <v>#N/A</v>
      </c>
      <c r="AA1400" s="229">
        <f>IFERROR(__xludf.DUMMYFUNCTION("""COMPUTED_VALUE"""),8.0)</f>
        <v>8</v>
      </c>
      <c r="AB1400" s="229"/>
      <c r="AC1400" s="229" t="str">
        <f>IFERROR(__xludf.DUMMYFUNCTION("""COMPUTED_VALUE"""),"8948402#8948407")</f>
        <v>8948402#8948407</v>
      </c>
      <c r="AD1400" s="232">
        <f>IFERROR(__xludf.DUMMYFUNCTION("""COMPUTED_VALUE"""),64.0)</f>
        <v>64</v>
      </c>
      <c r="AE1400" s="233">
        <f>IFERROR(__xludf.DUMMYFUNCTION("""COMPUTED_VALUE"""),46085.0)</f>
        <v>46085</v>
      </c>
      <c r="AF1400" s="54"/>
      <c r="AG1400" s="54"/>
      <c r="AH1400" s="54">
        <v>46085.0</v>
      </c>
      <c r="AI1400" s="55">
        <f t="shared" si="143"/>
        <v>0</v>
      </c>
      <c r="AW1400" s="234"/>
      <c r="BP1400" s="11"/>
      <c r="BQ1400" s="11"/>
      <c r="BR1400" s="235"/>
      <c r="BV1400" s="158"/>
      <c r="BY1400" s="158"/>
      <c r="CB1400" s="158"/>
    </row>
    <row r="1401" ht="18.0" hidden="1" customHeight="1">
      <c r="A1401" s="222">
        <f>IFERROR(__xludf.DUMMYFUNCTION("""COMPUTED_VALUE"""),2026.0)</f>
        <v>2026</v>
      </c>
      <c r="B1401" s="221">
        <f>IFERROR(__xludf.DUMMYFUNCTION("""COMPUTED_VALUE"""),1.1384316E7)</f>
        <v>11384316</v>
      </c>
      <c r="C1401" s="222" t="str">
        <f>IFERROR(__xludf.DUMMYFUNCTION("""COMPUTED_VALUE"""),"SMS P2I2 PT3 PDT FW D02 JIRAK JAYA")</f>
        <v>SMS P2I2 PT3 PDT FW D02 JIRAK JAYA</v>
      </c>
      <c r="D1401" s="222" t="str">
        <f>IFERROR(__xludf.DUMMYFUNCTION("""COMPUTED_VALUE"""),"REGIONAL I")</f>
        <v>REGIONAL I</v>
      </c>
      <c r="E1401" s="222" t="str">
        <f>IFERROR(__xludf.DUMMYFUNCTION("""COMPUTED_VALUE"""),"SUMSEL")</f>
        <v>SUMSEL</v>
      </c>
      <c r="F1401" s="222" t="str">
        <f>IFERROR(__xludf.DUMMYFUNCTION("""COMPUTED_VALUE"""),"PDT")</f>
        <v>PDT</v>
      </c>
      <c r="G1401" s="222" t="str">
        <f>IFERROR(__xludf.DUMMYFUNCTION("""COMPUTED_VALUE"""),"SUMBAGSEL")</f>
        <v>SUMBAGSEL</v>
      </c>
      <c r="H1401" s="222" t="str">
        <f>IFERROR(__xludf.DUMMYFUNCTION("""COMPUTED_VALUE"""),"PALEMBANG")</f>
        <v>PALEMBANG</v>
      </c>
      <c r="I1401" s="222" t="str">
        <f>IFERROR(__xludf.DUMMYFUNCTION("""COMPUTED_VALUE"""),"Batch 2")</f>
        <v>Batch 2</v>
      </c>
      <c r="J1401" s="225">
        <f>IFERROR(__xludf.DUMMYFUNCTION("""COMPUTED_VALUE"""),21.0)</f>
        <v>21</v>
      </c>
      <c r="K1401" s="224">
        <f>IFERROR(__xludf.DUMMYFUNCTION("""COMPUTED_VALUE"""),168.0)</f>
        <v>168</v>
      </c>
      <c r="L1401" s="226">
        <f>IFERROR(__xludf.DUMMYFUNCTION("""COMPUTED_VALUE"""),713078.0)</f>
        <v>713078</v>
      </c>
      <c r="M1401" s="227">
        <f>IFERROR(__xludf.DUMMYFUNCTION("""COMPUTED_VALUE"""),1.19797028E8)</f>
        <v>119797028</v>
      </c>
      <c r="N1401" s="222" t="str">
        <f>IFERROR(__xludf.DUMMYFUNCTION("""COMPUTED_VALUE"""),"PT TRITUNAS PUTRA NUSANTARA")</f>
        <v>PT TRITUNAS PUTRA NUSANTARA</v>
      </c>
      <c r="O1401" s="222" t="str">
        <f>IFERROR(__xludf.DUMMYFUNCTION("""COMPUTED_VALUE"""),"4. MATDEL")</f>
        <v>4. MATDEL</v>
      </c>
      <c r="P1401" s="222" t="str">
        <f>IFERROR(__xludf.DUMMYFUNCTION("""COMPUTED_VALUE"""),"4.3 Proses Kirim Mateial Kelokasi")</f>
        <v>4.3 Proses Kirim Mateial Kelokasi</v>
      </c>
      <c r="Q1401" s="222" t="str">
        <f>IFERROR(__xludf.DUMMYFUNCTION("""COMPUTED_VALUE"""),"27/04 MASIH MENUNGGU PO KABEL ADSS 12 KARENA HABIS DI GUDANG PLG, 24/04 menunggu material kabel adsss-12 , stok gudang habis, 17/04 PROSES INPUT MATERIAL 13/04 Plan kirim material 15 Ap 09/04 proses input material plan matdel  11 APR 07/04 MENUNGGU PR PO,"&amp;" 06/04 PROSES PR PO, 04/04 MASIH MENUNGGU PID LOP DIMAS PPPA MEM 2 UTK DILANJUTKAN KE PR PO, 30/03 PLAN TGL 1 APRIL INPUT MATERIAL, 27/03 EST INPUT MATERIAL TGL 01 APRIL, 25/03 MASIH KOORDINASI DG MITRA TERKAIT JADWAL BON MATERIAL, 24/03 DONE PR PO EST TG"&amp;"L 28 MAR INPUT MATERIAL, 21/03 EST TGL 28 MAR INPUT MATERIAL, 13/03 OGP INPUT MATERIAL, 12/03 OGP INPUT MATERIAL DAN MENUNGGU MITRA UTK KAPAN PROGRESSNYA, 09/03 MENUNGGU ANTRIAN PENGAMBILAN MATERIAL, 03/03 DONE RFC, OGP AMBIL MATERIAL, 02/03 OGP INPUT MAT"&amp;"ERIAL, (28/2)pid blm tttd pak arif horeg , estimasi  ambil material senin 2 mar (27/02) DONE PR PO, 27/02 PROSES CREATE PID, 25/02 DRM, 24/02 CREATE PID, 23/02 DONE EVAL, 22/2 menunggu material TIANG  22/02 SUDAH AANWIDJZING, TINGGAL MEMASTIKAN IZIN KADES"&amp;", 22/02 DIALIHKAN KE MITRA TRITUNAS, 18/02 DIALIHKAN KE MITRA MJT, 06/02 KONFIRM MITRA AUM TDK MENGAMBIL PROJECT INI - DI ALIHKAN KE MITRA LAIN, 6/2 jika 7 feb mitra AUM belum ada Info, LOP akan di berikan kepada mitra lain (21/01) menunggu konfrim mitra "&amp;"untuk estimasi kirim material ke lokasi, (8/1) JPP LANJUT 2026 08/12 HOLD, 25/11 blm ambil material, 20/11 blm ambil material, 19/11 blm ambil material, 17/11 masih belum ambil material, 04/11  blm ambil material 3/11 blm ambil matrial 13/10 INPUT MATERIA"&amp;"L 13/10 (08/10) dari kades belum kasih info untk progres
(01/10) dari kades belum memberi inforemasi terkait izin
(19/09) kades mau berkoordinasi dg perangkat desa terlebih dahulu
(10/09) koordinasi dg sales ada perubahan jalur di lokasi, dan izin dg kade"&amp;"s setempat")</f>
        <v>27/04 MASIH MENUNGGU PO KABEL ADSS 12 KARENA HABIS DI GUDANG PLG, 24/04 menunggu material kabel adsss-12 , stok gudang habis, 17/04 PROSES INPUT MATERIAL 13/04 Plan kirim material 15 Ap 09/04 proses input material plan matdel  11 APR 07/04 MENUNGGU PR PO, 06/04 PROSES PR PO, 04/04 MASIH MENUNGGU PID LOP DIMAS PPPA MEM 2 UTK DILANJUTKAN KE PR PO, 30/03 PLAN TGL 1 APRIL INPUT MATERIAL, 27/03 EST INPUT MATERIAL TGL 01 APRIL, 25/03 MASIH KOORDINASI DG MITRA TERKAIT JADWAL BON MATERIAL, 24/03 DONE PR PO EST TGL 28 MAR INPUT MATERIAL, 21/03 EST TGL 28 MAR INPUT MATERIAL, 13/03 OGP INPUT MATERIAL, 12/03 OGP INPUT MATERIAL DAN MENUNGGU MITRA UTK KAPAN PROGRESSNYA, 09/03 MENUNGGU ANTRIAN PENGAMBILAN MATERIAL, 03/03 DONE RFC, OGP AMBIL MATERIAL, 02/03 OGP INPUT MATERIAL, (28/2)pid blm tttd pak arif horeg , estimasi  ambil material senin 2 mar (27/02) DONE PR PO, 27/02 PROSES CREATE PID, 25/02 DRM, 24/02 CREATE PID, 23/02 DONE EVAL, 22/2 menunggu material TIANG  22/02 SUDAH AANWIDJZING, TINGGAL MEMASTIKAN IZIN KADES, 22/02 DIALIHKAN KE MITRA TRITUNAS, 18/02 DIALIHKAN KE MITRA MJT, 06/02 KONFIRM MITRA AUM TDK MENGAMBIL PROJECT INI - DI ALIHKAN KE MITRA LAIN, 6/2 jika 7 feb mitra AUM belum ada Info, LOP akan di berikan kepada mitra lain (21/01) menunggu konfrim mitra untuk estimasi kirim material ke lokasi, (8/1) JPP LANJUT 2026 08/12 HOLD, 25/11 blm ambil material, 20/11 blm ambil material, 19/11 blm ambil material, 17/11 masih belum ambil material, 04/11  blm ambil material 3/11 blm ambil matrial 13/10 INPUT MATERIAL 13/10 (08/10) dari kades belum kasih info untk progres
(01/10) dari kades belum memberi inforemasi terkait izin
(19/09) kades mau berkoordinasi dg perangkat desa terlebih dahulu
(10/09) koordinasi dg sales ada perubahan jalur di lokasi, dan izin dg kades setempat</v>
      </c>
      <c r="R1401" s="228">
        <f>IFERROR(__xludf.DUMMYFUNCTION("""COMPUTED_VALUE"""),46163.0)</f>
        <v>46163</v>
      </c>
      <c r="S1401" s="11"/>
      <c r="T1401" s="73" t="str">
        <f>IFERROR(__xludf.DUMMYFUNCTION("""COMPUTED_VALUE"""),"P1")</f>
        <v>P1</v>
      </c>
      <c r="U1401" s="11"/>
      <c r="V1401" s="229" t="str">
        <f>IFERROR(__xludf.DUMMYFUNCTION("""COMPUTED_VALUE"""),"ILHAM")</f>
        <v>ILHAM</v>
      </c>
      <c r="W1401" s="229"/>
      <c r="X1401" s="229" t="str">
        <f>IFERROR(__xludf.DUMMYFUNCTION("""COMPUTED_VALUE"""),"BELUM GOLIVE")</f>
        <v>BELUM GOLIVE</v>
      </c>
      <c r="Y1401" s="229"/>
      <c r="Z1401" s="229" t="str">
        <f>IFERROR(__xludf.DUMMYFUNCTION("""COMPUTED_VALUE"""),"#N/A")</f>
        <v>#N/A</v>
      </c>
      <c r="AA1401" s="229"/>
      <c r="AB1401" s="229"/>
      <c r="AC1401" s="229"/>
      <c r="AD1401" s="232"/>
      <c r="AE1401" s="233"/>
      <c r="AF1401" s="54"/>
      <c r="AG1401" s="54"/>
      <c r="AH1401" s="54">
        <v>46136.0</v>
      </c>
      <c r="AI1401" s="55" t="str">
        <f t="shared" si="143"/>
        <v/>
      </c>
      <c r="AW1401" s="234"/>
      <c r="BP1401" s="11"/>
      <c r="BQ1401" s="11"/>
      <c r="BR1401" s="235"/>
      <c r="BV1401" s="158"/>
      <c r="BY1401" s="158"/>
      <c r="CB1401" s="158"/>
    </row>
    <row r="1402" ht="18.0" hidden="1" customHeight="1">
      <c r="A1402" s="222">
        <f>IFERROR(__xludf.DUMMYFUNCTION("""COMPUTED_VALUE"""),2026.0)</f>
        <v>2026</v>
      </c>
      <c r="B1402" s="221">
        <f>IFERROR(__xludf.DUMMYFUNCTION("""COMPUTED_VALUE"""),1.2438946E7)</f>
        <v>12438946</v>
      </c>
      <c r="C1402" s="222" t="str">
        <f>IFERROR(__xludf.DUMMYFUNCTION("""COMPUTED_VALUE"""),"MDN PT3 BJI-FGB SUMATERA UTARA_9360_new")</f>
        <v>MDN PT3 BJI-FGB SUMATERA UTARA_9360_new</v>
      </c>
      <c r="D1402" s="222" t="str">
        <f>IFERROR(__xludf.DUMMYFUNCTION("""COMPUTED_VALUE"""),"REGIONAL I")</f>
        <v>REGIONAL I</v>
      </c>
      <c r="E1402" s="222" t="str">
        <f>IFERROR(__xludf.DUMMYFUNCTION("""COMPUTED_VALUE"""),"MEDAN")</f>
        <v>MEDAN</v>
      </c>
      <c r="F1402" s="222" t="str">
        <f>IFERROR(__xludf.DUMMYFUNCTION("""COMPUTED_VALUE"""),"BJI")</f>
        <v>BJI</v>
      </c>
      <c r="G1402" s="222" t="str">
        <f>IFERROR(__xludf.DUMMYFUNCTION("""COMPUTED_VALUE"""),"SUMBAGUT")</f>
        <v>SUMBAGUT</v>
      </c>
      <c r="H1402" s="222" t="str">
        <f>IFERROR(__xludf.DUMMYFUNCTION("""COMPUTED_VALUE"""),"BINJAI")</f>
        <v>BINJAI</v>
      </c>
      <c r="I1402" s="222" t="str">
        <f>IFERROR(__xludf.DUMMYFUNCTION("""COMPUTED_VALUE"""),"Batch 2")</f>
        <v>Batch 2</v>
      </c>
      <c r="J1402" s="225">
        <f>IFERROR(__xludf.DUMMYFUNCTION("""COMPUTED_VALUE"""),4.0)</f>
        <v>4</v>
      </c>
      <c r="K1402" s="224">
        <f>IFERROR(__xludf.DUMMYFUNCTION("""COMPUTED_VALUE"""),32.0)</f>
        <v>32</v>
      </c>
      <c r="L1402" s="226">
        <f>IFERROR(__xludf.DUMMYFUNCTION("""COMPUTED_VALUE"""),710743.0)</f>
        <v>710743</v>
      </c>
      <c r="M1402" s="227">
        <f>IFERROR(__xludf.DUMMYFUNCTION("""COMPUTED_VALUE"""),2.2743753E7)</f>
        <v>22743753</v>
      </c>
      <c r="N1402" s="222" t="str">
        <f>IFERROR(__xludf.DUMMYFUNCTION("""COMPUTED_VALUE"""),"PT KENCANA RAYA INDONESIA")</f>
        <v>PT KENCANA RAYA INDONESIA</v>
      </c>
      <c r="O1402" s="222" t="str">
        <f>IFERROR(__xludf.DUMMYFUNCTION("""COMPUTED_VALUE"""),"2. DONE AANWIJZING")</f>
        <v>2. DONE AANWIJZING</v>
      </c>
      <c r="P1402" s="222" t="str">
        <f>IFERROR(__xludf.DUMMYFUNCTION("""COMPUTED_VALUE"""),"2.10 Kendala - Feeder Rusak")</f>
        <v>2.10 Kendala - Feeder Rusak</v>
      </c>
      <c r="Q1402" s="222" t="str">
        <f>IFERROR(__xludf.DUMMYFUNCTION("""COMPUTED_VALUE"""),"14/02 feeder redaman tinggi 
(07/01) Persiapan")</f>
        <v>14/02 feeder redaman tinggi 
(07/01) Persiapan</v>
      </c>
      <c r="R1402" s="228"/>
      <c r="S1402" s="11"/>
      <c r="T1402" s="11"/>
      <c r="U1402" s="11"/>
      <c r="V1402" s="229"/>
      <c r="W1402" s="229"/>
      <c r="X1402" s="229" t="str">
        <f>IFERROR(__xludf.DUMMYFUNCTION("""COMPUTED_VALUE"""),"BELUM GOLIVE")</f>
        <v>BELUM GOLIVE</v>
      </c>
      <c r="Y1402" s="229"/>
      <c r="Z1402" s="229" t="str">
        <f>IFERROR(__xludf.DUMMYFUNCTION("""COMPUTED_VALUE"""),"#N/A")</f>
        <v>#N/A</v>
      </c>
      <c r="AA1402" s="229"/>
      <c r="AB1402" s="229"/>
      <c r="AC1402" s="229"/>
      <c r="AD1402" s="232"/>
      <c r="AE1402" s="233"/>
      <c r="AF1402" s="54"/>
      <c r="AG1402" s="54"/>
      <c r="AH1402" s="54"/>
      <c r="AI1402" s="55" t="str">
        <f t="shared" si="143"/>
        <v/>
      </c>
      <c r="AW1402" s="234"/>
      <c r="BP1402" s="11"/>
      <c r="BQ1402" s="11"/>
      <c r="BR1402" s="235"/>
      <c r="BV1402" s="158"/>
      <c r="BY1402" s="158"/>
      <c r="CB1402" s="158"/>
    </row>
    <row r="1403" ht="18.0" hidden="1" customHeight="1">
      <c r="A1403" s="222">
        <f>IFERROR(__xludf.DUMMYFUNCTION("""COMPUTED_VALUE"""),2026.0)</f>
        <v>2026</v>
      </c>
      <c r="B1403" s="221">
        <f>IFERROR(__xludf.DUMMYFUNCTION("""COMPUTED_VALUE"""),1.2129406E7)</f>
        <v>12129406</v>
      </c>
      <c r="C1403" s="222" t="str">
        <f>IFERROR(__xludf.DUMMYFUNCTION("""COMPUTED_VALUE"""),"LPG PT3 JPP PERUM ZAFRAN RESIDEN LKP")</f>
        <v>LPG PT3 JPP PERUM ZAFRAN RESIDEN LKP</v>
      </c>
      <c r="D1403" s="222" t="str">
        <f>IFERROR(__xludf.DUMMYFUNCTION("""COMPUTED_VALUE"""),"REGIONAL I")</f>
        <v>REGIONAL I</v>
      </c>
      <c r="E1403" s="222" t="str">
        <f>IFERROR(__xludf.DUMMYFUNCTION("""COMPUTED_VALUE"""),"LAMPUNG")</f>
        <v>LAMPUNG</v>
      </c>
      <c r="F1403" s="222" t="str">
        <f>IFERROR(__xludf.DUMMYFUNCTION("""COMPUTED_VALUE"""),"LKP")</f>
        <v>LKP</v>
      </c>
      <c r="G1403" s="222" t="str">
        <f>IFERROR(__xludf.DUMMYFUNCTION("""COMPUTED_VALUE"""),"SUMBAGSEL")</f>
        <v>SUMBAGSEL</v>
      </c>
      <c r="H1403" s="222" t="str">
        <f>IFERROR(__xludf.DUMMYFUNCTION("""COMPUTED_VALUE"""),"LAMPUNG")</f>
        <v>LAMPUNG</v>
      </c>
      <c r="I1403" s="222" t="str">
        <f>IFERROR(__xludf.DUMMYFUNCTION("""COMPUTED_VALUE"""),"Batch 2")</f>
        <v>Batch 2</v>
      </c>
      <c r="J1403" s="225">
        <f>IFERROR(__xludf.DUMMYFUNCTION("""COMPUTED_VALUE"""),8.0)</f>
        <v>8</v>
      </c>
      <c r="K1403" s="224">
        <f>IFERROR(__xludf.DUMMYFUNCTION("""COMPUTED_VALUE"""),64.0)</f>
        <v>64</v>
      </c>
      <c r="L1403" s="226">
        <f>IFERROR(__xludf.DUMMYFUNCTION("""COMPUTED_VALUE"""),710031.0)</f>
        <v>710031</v>
      </c>
      <c r="M1403" s="227">
        <f>IFERROR(__xludf.DUMMYFUNCTION("""COMPUTED_VALUE"""),4.5441947E7)</f>
        <v>45441947</v>
      </c>
      <c r="N1403" s="222" t="str">
        <f>IFERROR(__xludf.DUMMYFUNCTION("""COMPUTED_VALUE"""),"SWAKELOLA")</f>
        <v>SWAKELOLA</v>
      </c>
      <c r="O1403" s="222" t="str">
        <f>IFERROR(__xludf.DUMMYFUNCTION("""COMPUTED_VALUE"""),"0. DROP")</f>
        <v>0. DROP</v>
      </c>
      <c r="P1403" s="222" t="str">
        <f>IFERROR(__xludf.DUMMYFUNCTION("""COMPUTED_VALUE"""),"0.2 Tidak Dapat Izin Warga/Kades/Lurah/Developer")</f>
        <v>0.2 Tidak Dapat Izin Warga/Kades/Lurah/Developer</v>
      </c>
      <c r="Q1403" s="222" t="str">
        <f>IFERROR(__xludf.DUMMYFUNCTION("""COMPUTED_VALUE"""),"30/tidak di izinkan tanam tiang karna space lahan jalan kecil
14/1 proses pengacekan core dan perizinan")</f>
        <v>30/tidak di izinkan tanam tiang karna space lahan jalan kecil
14/1 proses pengacekan core dan perizinan</v>
      </c>
      <c r="R1403" s="228"/>
      <c r="S1403" s="11"/>
      <c r="T1403" s="11"/>
      <c r="U1403" s="11"/>
      <c r="V1403" s="229"/>
      <c r="W1403" s="229"/>
      <c r="X1403" s="229" t="str">
        <f>IFERROR(__xludf.DUMMYFUNCTION("""COMPUTED_VALUE"""),"BELUM GOLIVE")</f>
        <v>BELUM GOLIVE</v>
      </c>
      <c r="Y1403" s="229"/>
      <c r="Z1403" s="229" t="str">
        <f>IFERROR(__xludf.DUMMYFUNCTION("""COMPUTED_VALUE"""),"#N/A")</f>
        <v>#N/A</v>
      </c>
      <c r="AA1403" s="229"/>
      <c r="AB1403" s="229"/>
      <c r="AC1403" s="229"/>
      <c r="AD1403" s="232"/>
      <c r="AE1403" s="233"/>
      <c r="AF1403" s="54" t="str">
        <f>IFERROR(__xludf.DUMMYFUNCTION("""COMPUTED_VALUE"""),"Draft BA DROP")</f>
        <v>Draft BA DROP</v>
      </c>
      <c r="AG1403" s="54"/>
      <c r="AH1403" s="54"/>
      <c r="AI1403" s="55" t="str">
        <f t="shared" si="143"/>
        <v/>
      </c>
      <c r="AW1403" s="234"/>
      <c r="BP1403" s="11"/>
      <c r="BQ1403" s="11"/>
      <c r="BR1403" s="235"/>
      <c r="BV1403" s="158"/>
      <c r="BY1403" s="158"/>
      <c r="CB1403" s="158"/>
    </row>
    <row r="1404" ht="18.0" hidden="1" customHeight="1">
      <c r="A1404" s="222">
        <f>IFERROR(__xludf.DUMMYFUNCTION("""COMPUTED_VALUE"""),2026.0)</f>
        <v>2026</v>
      </c>
      <c r="B1404" s="221">
        <f>IFERROR(__xludf.DUMMYFUNCTION("""COMPUTED_VALUE"""),1.1237159E7)</f>
        <v>11237159</v>
      </c>
      <c r="C1404" s="222" t="str">
        <f>IFERROR(__xludf.DUMMYFUNCTION("""COMPUTED_VALUE"""),"MDN PT3 CTD-FBB JL.AKSES TOL HELVETIA")</f>
        <v>MDN PT3 CTD-FBB JL.AKSES TOL HELVETIA</v>
      </c>
      <c r="D1404" s="222" t="str">
        <f>IFERROR(__xludf.DUMMYFUNCTION("""COMPUTED_VALUE"""),"REGIONAL I")</f>
        <v>REGIONAL I</v>
      </c>
      <c r="E1404" s="222" t="str">
        <f>IFERROR(__xludf.DUMMYFUNCTION("""COMPUTED_VALUE"""),"MEDAN")</f>
        <v>MEDAN</v>
      </c>
      <c r="F1404" s="222" t="str">
        <f>IFERROR(__xludf.DUMMYFUNCTION("""COMPUTED_VALUE"""),"CTD")</f>
        <v>CTD</v>
      </c>
      <c r="G1404" s="222" t="str">
        <f>IFERROR(__xludf.DUMMYFUNCTION("""COMPUTED_VALUE"""),"SUMBAGUT")</f>
        <v>SUMBAGUT</v>
      </c>
      <c r="H1404" s="222" t="str">
        <f>IFERROR(__xludf.DUMMYFUNCTION("""COMPUTED_VALUE"""),"MEDAN")</f>
        <v>MEDAN</v>
      </c>
      <c r="I1404" s="222" t="str">
        <f>IFERROR(__xludf.DUMMYFUNCTION("""COMPUTED_VALUE"""),"Batch 2")</f>
        <v>Batch 2</v>
      </c>
      <c r="J1404" s="225">
        <f>IFERROR(__xludf.DUMMYFUNCTION("""COMPUTED_VALUE"""),3.0)</f>
        <v>3</v>
      </c>
      <c r="K1404" s="224">
        <f>IFERROR(__xludf.DUMMYFUNCTION("""COMPUTED_VALUE"""),24.0)</f>
        <v>24</v>
      </c>
      <c r="L1404" s="226">
        <f>IFERROR(__xludf.DUMMYFUNCTION("""COMPUTED_VALUE"""),1045896.0)</f>
        <v>1045896</v>
      </c>
      <c r="M1404" s="227">
        <f>IFERROR(__xludf.DUMMYFUNCTION("""COMPUTED_VALUE"""),2.5101497E7)</f>
        <v>25101497</v>
      </c>
      <c r="N1404" s="222" t="str">
        <f>IFERROR(__xludf.DUMMYFUNCTION("""COMPUTED_VALUE"""),"SWAKELOLA")</f>
        <v>SWAKELOLA</v>
      </c>
      <c r="O1404" s="222" t="str">
        <f>IFERROR(__xludf.DUMMYFUNCTION("""COMPUTED_VALUE"""),"2. DONE AANWIJZING")</f>
        <v>2. DONE AANWIJZING</v>
      </c>
      <c r="P1404" s="222" t="str">
        <f>IFERROR(__xludf.DUMMYFUNCTION("""COMPUTED_VALUE"""),"2.10 Kendala - Feeder Rusak")</f>
        <v>2.10 Kendala - Feeder Rusak</v>
      </c>
      <c r="Q1404" s="222" t="str">
        <f>IFERROR(__xludf.DUMMYFUNCTION("""COMPUTED_VALUE"""),"22/04 pengecekan tipus butuh QE
02/02 Feeder Tidak Tembus")</f>
        <v>22/04 pengecekan tipus butuh QE
02/02 Feeder Tidak Tembus</v>
      </c>
      <c r="R1404" s="228"/>
      <c r="S1404" s="11"/>
      <c r="T1404" s="11"/>
      <c r="U1404" s="11"/>
      <c r="V1404" s="229"/>
      <c r="W1404" s="229"/>
      <c r="X1404" s="229" t="str">
        <f>IFERROR(__xludf.DUMMYFUNCTION("""COMPUTED_VALUE"""),"BELUM GOLIVE")</f>
        <v>BELUM GOLIVE</v>
      </c>
      <c r="Y1404" s="229"/>
      <c r="Z1404" s="229" t="str">
        <f>IFERROR(__xludf.DUMMYFUNCTION("""COMPUTED_VALUE"""),"#N/A")</f>
        <v>#N/A</v>
      </c>
      <c r="AA1404" s="229"/>
      <c r="AB1404" s="229"/>
      <c r="AC1404" s="229"/>
      <c r="AD1404" s="232"/>
      <c r="AE1404" s="233"/>
      <c r="AF1404" s="54"/>
      <c r="AG1404" s="54"/>
      <c r="AH1404" s="54"/>
      <c r="AI1404" s="55" t="str">
        <f t="shared" si="143"/>
        <v/>
      </c>
      <c r="AW1404" s="234"/>
      <c r="BP1404" s="11"/>
      <c r="BQ1404" s="11"/>
      <c r="BR1404" s="235"/>
      <c r="BV1404" s="158"/>
      <c r="BY1404" s="158"/>
      <c r="CB1404" s="158"/>
    </row>
    <row r="1405" ht="18.0" hidden="1" customHeight="1">
      <c r="A1405" s="222">
        <f>IFERROR(__xludf.DUMMYFUNCTION("""COMPUTED_VALUE"""),2026.0)</f>
        <v>2026</v>
      </c>
      <c r="B1405" s="221">
        <f>IFERROR(__xludf.DUMMYFUNCTION("""COMPUTED_VALUE"""),1.1288349E7)</f>
        <v>11288349</v>
      </c>
      <c r="C1405" s="222" t="str">
        <f>IFERROR(__xludf.DUMMYFUNCTION("""COMPUTED_VALUE"""),"MDN PT3 P7I6 CTD-FU SRIGUNTING RESIDENCE")</f>
        <v>MDN PT3 P7I6 CTD-FU SRIGUNTING RESIDENCE</v>
      </c>
      <c r="D1405" s="222" t="str">
        <f>IFERROR(__xludf.DUMMYFUNCTION("""COMPUTED_VALUE"""),"REGIONAL I")</f>
        <v>REGIONAL I</v>
      </c>
      <c r="E1405" s="222" t="str">
        <f>IFERROR(__xludf.DUMMYFUNCTION("""COMPUTED_VALUE"""),"MEDAN")</f>
        <v>MEDAN</v>
      </c>
      <c r="F1405" s="222" t="str">
        <f>IFERROR(__xludf.DUMMYFUNCTION("""COMPUTED_VALUE"""),"CTD")</f>
        <v>CTD</v>
      </c>
      <c r="G1405" s="222" t="str">
        <f>IFERROR(__xludf.DUMMYFUNCTION("""COMPUTED_VALUE"""),"SUMBAGUT")</f>
        <v>SUMBAGUT</v>
      </c>
      <c r="H1405" s="222" t="str">
        <f>IFERROR(__xludf.DUMMYFUNCTION("""COMPUTED_VALUE"""),"MEDAN")</f>
        <v>MEDAN</v>
      </c>
      <c r="I1405" s="222" t="str">
        <f>IFERROR(__xludf.DUMMYFUNCTION("""COMPUTED_VALUE"""),"Batch 2")</f>
        <v>Batch 2</v>
      </c>
      <c r="J1405" s="225">
        <f>IFERROR(__xludf.DUMMYFUNCTION("""COMPUTED_VALUE"""),6.0)</f>
        <v>6</v>
      </c>
      <c r="K1405" s="224">
        <f>IFERROR(__xludf.DUMMYFUNCTION("""COMPUTED_VALUE"""),48.0)</f>
        <v>48</v>
      </c>
      <c r="L1405" s="226">
        <f>IFERROR(__xludf.DUMMYFUNCTION("""COMPUTED_VALUE"""),709655.0)</f>
        <v>709655</v>
      </c>
      <c r="M1405" s="227">
        <f>IFERROR(__xludf.DUMMYFUNCTION("""COMPUTED_VALUE"""),3.4063409E7)</f>
        <v>34063409</v>
      </c>
      <c r="N1405" s="222" t="str">
        <f>IFERROR(__xludf.DUMMYFUNCTION("""COMPUTED_VALUE"""),"PT CAHAYA PERMATA MANDIRI")</f>
        <v>PT CAHAYA PERMATA MANDIRI</v>
      </c>
      <c r="O1405" s="222" t="str">
        <f>IFERROR(__xludf.DUMMYFUNCTION("""COMPUTED_VALUE"""),"0. DROP")</f>
        <v>0. DROP</v>
      </c>
      <c r="P1405" s="222" t="str">
        <f>IFERROR(__xludf.DUMMYFUNCTION("""COMPUTED_VALUE"""),"0.3 Feeder Full")</f>
        <v>0.3 Feeder Full</v>
      </c>
      <c r="Q1405" s="222" t="str">
        <f>IFERROR(__xludf.DUMMYFUNCTION("""COMPUTED_VALUE"""),"16/10 Feeder Habis
16/10 Mapping Mitra")</f>
        <v>16/10 Feeder Habis
16/10 Mapping Mitra</v>
      </c>
      <c r="R1405" s="228"/>
      <c r="S1405" s="11"/>
      <c r="T1405" s="11"/>
      <c r="U1405" s="11"/>
      <c r="V1405" s="229"/>
      <c r="W1405" s="229"/>
      <c r="X1405" s="229" t="str">
        <f>IFERROR(__xludf.DUMMYFUNCTION("""COMPUTED_VALUE"""),"BELUM GOLIVE")</f>
        <v>BELUM GOLIVE</v>
      </c>
      <c r="Y1405" s="229"/>
      <c r="Z1405" s="229" t="str">
        <f>IFERROR(__xludf.DUMMYFUNCTION("""COMPUTED_VALUE"""),"#N/A")</f>
        <v>#N/A</v>
      </c>
      <c r="AA1405" s="229"/>
      <c r="AB1405" s="229"/>
      <c r="AC1405" s="229"/>
      <c r="AD1405" s="232"/>
      <c r="AE1405" s="233"/>
      <c r="AF1405" s="54"/>
      <c r="AG1405" s="54"/>
      <c r="AH1405" s="54"/>
      <c r="AI1405" s="55" t="str">
        <f t="shared" si="143"/>
        <v/>
      </c>
      <c r="AW1405" s="234"/>
      <c r="BP1405" s="11"/>
      <c r="BQ1405" s="11"/>
      <c r="BR1405" s="235"/>
      <c r="BV1405" s="158"/>
      <c r="BY1405" s="158"/>
      <c r="CB1405" s="158"/>
    </row>
    <row r="1406" ht="18.0" customHeight="1">
      <c r="A1406" s="222">
        <f>IFERROR(__xludf.DUMMYFUNCTION("""COMPUTED_VALUE"""),2026.0)</f>
        <v>2026</v>
      </c>
      <c r="B1406" s="221">
        <f>IFERROR(__xludf.DUMMYFUNCTION("""COMPUTED_VALUE"""),1.1691802E7)</f>
        <v>11691802</v>
      </c>
      <c r="C1406" s="222" t="str">
        <f>IFERROR(__xludf.DUMMYFUNCTION("""COMPUTED_VALUE"""),"RDR PBR PT3 P2I1 PERMATA SURYA REGENCY")</f>
        <v>RDR PBR PT3 P2I1 PERMATA SURYA REGENCY</v>
      </c>
      <c r="D1406" s="222" t="str">
        <f>IFERROR(__xludf.DUMMYFUNCTION("""COMPUTED_VALUE"""),"REGIONAL I")</f>
        <v>REGIONAL I</v>
      </c>
      <c r="E1406" s="222" t="str">
        <f>IFERROR(__xludf.DUMMYFUNCTION("""COMPUTED_VALUE"""),"RIDAR")</f>
        <v>RIDAR</v>
      </c>
      <c r="F1406" s="222" t="str">
        <f>IFERROR(__xludf.DUMMYFUNCTION("""COMPUTED_VALUE"""),"PBB")</f>
        <v>PBB</v>
      </c>
      <c r="G1406" s="222" t="str">
        <f>IFERROR(__xludf.DUMMYFUNCTION("""COMPUTED_VALUE"""),"SUMBAGTENG")</f>
        <v>SUMBAGTENG</v>
      </c>
      <c r="H1406" s="222" t="str">
        <f>IFERROR(__xludf.DUMMYFUNCTION("""COMPUTED_VALUE"""),"PEKANBARU")</f>
        <v>PEKANBARU</v>
      </c>
      <c r="I1406" s="222" t="str">
        <f>IFERROR(__xludf.DUMMYFUNCTION("""COMPUTED_VALUE"""),"Batch 2")</f>
        <v>Batch 2</v>
      </c>
      <c r="J1406" s="225">
        <f>IFERROR(__xludf.DUMMYFUNCTION("""COMPUTED_VALUE"""),6.0)</f>
        <v>6</v>
      </c>
      <c r="K1406" s="224">
        <f>IFERROR(__xludf.DUMMYFUNCTION("""COMPUTED_VALUE"""),48.0)</f>
        <v>48</v>
      </c>
      <c r="L1406" s="226">
        <f>IFERROR(__xludf.DUMMYFUNCTION("""COMPUTED_VALUE"""),708459.0)</f>
        <v>708459</v>
      </c>
      <c r="M1406" s="227">
        <f>IFERROR(__xludf.DUMMYFUNCTION("""COMPUTED_VALUE"""),3.4006008E7)</f>
        <v>34006008</v>
      </c>
      <c r="N1406" s="222" t="str">
        <f>IFERROR(__xludf.DUMMYFUNCTION("""COMPUTED_VALUE"""),"SWAKELOLA")</f>
        <v>SWAKELOLA</v>
      </c>
      <c r="O1406" s="222" t="str">
        <f>IFERROR(__xludf.DUMMYFUNCTION("""COMPUTED_VALUE"""),"0. DROP")</f>
        <v>0. DROP</v>
      </c>
      <c r="P1406" s="222" t="str">
        <f>IFERROR(__xludf.DUMMYFUNCTION("""COMPUTED_VALUE"""),"0.3 Feeder Full")</f>
        <v>0.3 Feeder Full</v>
      </c>
      <c r="Q1406" s="222" t="str">
        <f>IFERROR(__xludf.DUMMYFUNCTION("""COMPUTED_VALUE"""),"20/01 Kendala Dist Full (07/01) Persiapan")</f>
        <v>20/01 Kendala Dist Full (07/01) Persiapan</v>
      </c>
      <c r="R1406" s="228"/>
      <c r="S1406" s="11"/>
      <c r="T1406" s="11"/>
      <c r="U1406" s="11"/>
      <c r="V1406" s="229" t="str">
        <f>IFERROR(__xludf.DUMMYFUNCTION("""COMPUTED_VALUE"""),"PIKI NOFRI SAPUTRA")</f>
        <v>PIKI NOFRI SAPUTRA</v>
      </c>
      <c r="W1406" s="229" t="str">
        <f>IFERROR(__xludf.DUMMYFUNCTION("""COMPUTED_VALUE"""),"ANZALA SAKINAH")</f>
        <v>ANZALA SAKINAH</v>
      </c>
      <c r="X1406" s="229" t="str">
        <f>IFERROR(__xludf.DUMMYFUNCTION("""COMPUTED_VALUE"""),"BELUM GOLIVE")</f>
        <v>BELUM GOLIVE</v>
      </c>
      <c r="Y1406" s="229"/>
      <c r="Z1406" s="229" t="str">
        <f>IFERROR(__xludf.DUMMYFUNCTION("""COMPUTED_VALUE"""),"#N/A")</f>
        <v>#N/A</v>
      </c>
      <c r="AA1406" s="229"/>
      <c r="AB1406" s="229"/>
      <c r="AC1406" s="229"/>
      <c r="AD1406" s="232"/>
      <c r="AE1406" s="233"/>
      <c r="AF1406" s="54"/>
      <c r="AG1406" s="54"/>
      <c r="AH1406" s="54"/>
      <c r="AI1406" s="55" t="str">
        <f t="shared" si="143"/>
        <v/>
      </c>
      <c r="AW1406" s="234"/>
      <c r="BP1406" s="11"/>
      <c r="BQ1406" s="11"/>
      <c r="BR1406" s="235"/>
      <c r="BV1406" s="158"/>
      <c r="BY1406" s="158"/>
      <c r="CB1406" s="158"/>
    </row>
    <row r="1407" ht="18.0" hidden="1" customHeight="1">
      <c r="A1407" s="222">
        <f>IFERROR(__xludf.DUMMYFUNCTION("""COMPUTED_VALUE"""),2026.0)</f>
        <v>2026</v>
      </c>
      <c r="B1407" s="221">
        <f>IFERROR(__xludf.DUMMYFUNCTION("""COMPUTED_VALUE"""),1.1589677E7)</f>
        <v>11589677</v>
      </c>
      <c r="C1407" s="222" t="str">
        <f>IFERROR(__xludf.DUMMYFUNCTION("""COMPUTED_VALUE"""),"SMS P3I1 PT3 PBM FJ D04 KENDALA PBM FJ")</f>
        <v>SMS P3I1 PT3 PBM FJ D04 KENDALA PBM FJ</v>
      </c>
      <c r="D1407" s="222" t="str">
        <f>IFERROR(__xludf.DUMMYFUNCTION("""COMPUTED_VALUE"""),"REGIONAL I")</f>
        <v>REGIONAL I</v>
      </c>
      <c r="E1407" s="222" t="str">
        <f>IFERROR(__xludf.DUMMYFUNCTION("""COMPUTED_VALUE"""),"SUMSEL")</f>
        <v>SUMSEL</v>
      </c>
      <c r="F1407" s="222" t="str">
        <f>IFERROR(__xludf.DUMMYFUNCTION("""COMPUTED_VALUE"""),"PBM")</f>
        <v>PBM</v>
      </c>
      <c r="G1407" s="222" t="str">
        <f>IFERROR(__xludf.DUMMYFUNCTION("""COMPUTED_VALUE"""),"SUMBAGSEL")</f>
        <v>SUMBAGSEL</v>
      </c>
      <c r="H1407" s="222" t="str">
        <f>IFERROR(__xludf.DUMMYFUNCTION("""COMPUTED_VALUE"""),"PALEMBANG")</f>
        <v>PALEMBANG</v>
      </c>
      <c r="I1407" s="222" t="str">
        <f>IFERROR(__xludf.DUMMYFUNCTION("""COMPUTED_VALUE"""),"Batch 2")</f>
        <v>Batch 2</v>
      </c>
      <c r="J1407" s="225">
        <f>IFERROR(__xludf.DUMMYFUNCTION("""COMPUTED_VALUE"""),8.0)</f>
        <v>8</v>
      </c>
      <c r="K1407" s="224">
        <f>IFERROR(__xludf.DUMMYFUNCTION("""COMPUTED_VALUE"""),64.0)</f>
        <v>64</v>
      </c>
      <c r="L1407" s="226">
        <f>IFERROR(__xludf.DUMMYFUNCTION("""COMPUTED_VALUE"""),708454.0)</f>
        <v>708454</v>
      </c>
      <c r="M1407" s="227">
        <f>IFERROR(__xludf.DUMMYFUNCTION("""COMPUTED_VALUE"""),4.5341003E7)</f>
        <v>45341003</v>
      </c>
      <c r="N1407" s="222" t="str">
        <f>IFERROR(__xludf.DUMMYFUNCTION("""COMPUTED_VALUE"""),"PT ACERO CETHA METALINDO")</f>
        <v>PT ACERO CETHA METALINDO</v>
      </c>
      <c r="O1407" s="222" t="str">
        <f>IFERROR(__xludf.DUMMYFUNCTION("""COMPUTED_VALUE"""),"7. GOLIVE")</f>
        <v>7. GOLIVE</v>
      </c>
      <c r="P1407" s="222" t="str">
        <f>IFERROR(__xludf.DUMMYFUNCTION("""COMPUTED_VALUE"""),"7.2 Golive Full / OA / DONE OTB")</f>
        <v>7.2 Golive Full / OA / DONE OTB</v>
      </c>
      <c r="Q1407" s="222" t="str">
        <f>IFERROR(__xludf.DUMMYFUNCTION("""COMPUTED_VALUE"""),"24/04 PROSES GOLIVE -  DONE SUBMIT ABD KE SDI 24/04 PROSES PASANG ODP, 22/04 DONE PENARIKAN KABEL LANJUT PASANG ODP, 21/04 progres penarikan kabel, 15/04 progres tanam tiang, 13/04 Plan kirim material 14 Apr 09/04 PRoses input material,plan matdel 11 APR "&amp;"08/04 DONE PR PO, 07/04 MENUNGGU PR PO, 06/04 PENGAJUAN PR PO, 04/04 DONE DRM, 01/04 MASIH MENUNGGU TTD DRM MITRA, 30/03 MENUNGGU TTD DRM MITRA, 27/03 PROSES DRM, 26/03 KOORDINASI DG TIM SQUAD TERKAIT PENGECEKAN DAN PELURUSAN CORE, 24/03 NEED PELURUSAN KA"&amp;"RENA FEEDER BYK YG RUSAK JADI BUTUH TARIK ULANG DARI STO, 21/03 FEEDER BYK RUSAK BUTUH TARIK ULANG DRI STO - PERLU DILURUSKAN LAGI, 13/03 FEEDER BYK RUSAK BUTUH TARIK ULANG DRI STO - PERLU DILURUSKAN LAGI, 12/03 HOLD -  BOQ NAIK DARI PLAN 15% DAN MELEWATI"&amp;" CROSSING REL KERETA SEBANYAK 2 TITIK, 24/02 DROP - BOQ NAIK DARI PLAN 15% DAN MELEWATI CROSSING REL KERETA SEBANYAK 2 TITIK, 06/02 HASIL REVIEW TSEL PROPOSE DROP - REDESIGN, 04/03 DONE EVAL, HOLD PERUBAHAN DRI BRANCINGAN D04 MENJADI NEW DIST , ADA KENAIK"&amp;"AN SEBESAT 15% DARI PLAN, DAN CPP , TETAPI DI LOKASI MELEWATI CROSSING REL KERETA 2 KALI, 04/02 DONE EVAL, HOLD PERUBAHAN DRI BRANCINGAN D04 MENJADI NEW DIST , ADA KENAIKAN SEBESAT 15% DARI PLAN, DAN CPP , TETAPI DI LOKASI MELEWATI CROSSING REL KERETA 2 K"&amp;"ALI, 04/02 OGP EVAL, (26/1) tim TIF belum bisa EVAL hasil anwijzing karena lagi diluar kota , estimasi 29 jan baru kembali ke Palembang(23/01) DONE AANWIDJZING, (21/01) menunggu antrian aanwizjing, (15/1) ORDER DITERIMA MITRA 14/1, plan Aanwijdzing 19 Jan"&amp;" (14/11)HOLD- tidak masuk target Optimis 2025 (14/11 masih penunjukkan mitra, 13/11 lop di tolak mitra, jadi masih penunjukkan mitra 12/11 masih penunjukkan mitra 05/11 menunggu Aanwijzing 23/10 penunjukan mitra
 14/01 penunjukan mitra oleh procurement")</f>
        <v>24/04 PROSES GOLIVE -  DONE SUBMIT ABD KE SDI 24/04 PROSES PASANG ODP, 22/04 DONE PENARIKAN KABEL LANJUT PASANG ODP, 21/04 progres penarikan kabel, 15/04 progres tanam tiang, 13/04 Plan kirim material 14 Apr 09/04 PRoses input material,plan matdel 11 APR 08/04 DONE PR PO, 07/04 MENUNGGU PR PO, 06/04 PENGAJUAN PR PO, 04/04 DONE DRM, 01/04 MASIH MENUNGGU TTD DRM MITRA, 30/03 MENUNGGU TTD DRM MITRA, 27/03 PROSES DRM, 26/03 KOORDINASI DG TIM SQUAD TERKAIT PENGECEKAN DAN PELURUSAN CORE, 24/03 NEED PELURUSAN KARENA FEEDER BYK YG RUSAK JADI BUTUH TARIK ULANG DARI STO, 21/03 FEEDER BYK RUSAK BUTUH TARIK ULANG DRI STO - PERLU DILURUSKAN LAGI, 13/03 FEEDER BYK RUSAK BUTUH TARIK ULANG DRI STO - PERLU DILURUSKAN LAGI, 12/03 HOLD -  BOQ NAIK DARI PLAN 15% DAN MELEWATI CROSSING REL KERETA SEBANYAK 2 TITIK, 24/02 DROP - BOQ NAIK DARI PLAN 15% DAN MELEWATI CROSSING REL KERETA SEBANYAK 2 TITIK, 06/02 HASIL REVIEW TSEL PROPOSE DROP - REDESIGN, 04/03 DONE EVAL, HOLD PERUBAHAN DRI BRANCINGAN D04 MENJADI NEW DIST , ADA KENAIKAN SEBESAT 15% DARI PLAN, DAN CPP , TETAPI DI LOKASI MELEWATI CROSSING REL KERETA 2 KALI, 04/02 DONE EVAL, HOLD PERUBAHAN DRI BRANCINGAN D04 MENJADI NEW DIST , ADA KENAIKAN SEBESAT 15% DARI PLAN, DAN CPP , TETAPI DI LOKASI MELEWATI CROSSING REL KERETA 2 KALI, 04/02 OGP EVAL, (26/1) tim TIF belum bisa EVAL hasil anwijzing karena lagi diluar kota , estimasi 29 jan baru kembali ke Palembang(23/01) DONE AANWIDJZING, (21/01) menunggu antrian aanwizjing, (15/1) ORDER DITERIMA MITRA 14/1, plan Aanwijdzing 19 Jan (14/11)HOLD- tidak masuk target Optimis 2025 (14/11 masih penunjukkan mitra, 13/11 lop di tolak mitra, jadi masih penunjukkan mitra 12/11 masih penunjukkan mitra 05/11 menunggu Aanwijzing 23/10 penunjukan mitra
 14/01 penunjukan mitra oleh procurement</v>
      </c>
      <c r="R1407" s="228">
        <f>IFERROR(__xludf.DUMMYFUNCTION("""COMPUTED_VALUE"""),46136.0)</f>
        <v>46136</v>
      </c>
      <c r="S1407" s="11" t="str">
        <f>IFERROR(__xludf.DUMMYFUNCTION("""COMPUTED_VALUE"""),"APR")</f>
        <v>APR</v>
      </c>
      <c r="T1407" s="11"/>
      <c r="U1407" s="11"/>
      <c r="V1407" s="229" t="str">
        <f>IFERROR(__xludf.DUMMYFUNCTION("""COMPUTED_VALUE"""),"ILHAM")</f>
        <v>ILHAM</v>
      </c>
      <c r="W1407" s="229"/>
      <c r="X1407" s="229" t="str">
        <f>IFERROR(__xludf.DUMMYFUNCTION("""COMPUTED_VALUE"""),"GOLIVE")</f>
        <v>GOLIVE</v>
      </c>
      <c r="Y1407" s="229" t="str">
        <f>IFERROR(__xludf.DUMMYFUNCTION("""COMPUTED_VALUE"""),"DONE")</f>
        <v>DONE</v>
      </c>
      <c r="Z1407" s="229" t="str">
        <f>IFERROR(__xludf.DUMMYFUNCTION("""COMPUTED_VALUE"""),"#N/A")</f>
        <v>#N/A</v>
      </c>
      <c r="AA1407" s="229">
        <f>IFERROR(__xludf.DUMMYFUNCTION("""COMPUTED_VALUE"""),6.0)</f>
        <v>6</v>
      </c>
      <c r="AB1407" s="229"/>
      <c r="AC1407" s="229"/>
      <c r="AD1407" s="232">
        <f>IFERROR(__xludf.DUMMYFUNCTION("""COMPUTED_VALUE"""),48.0)</f>
        <v>48</v>
      </c>
      <c r="AE1407" s="233">
        <f>IFERROR(__xludf.DUMMYFUNCTION("""COMPUTED_VALUE"""),46136.0)</f>
        <v>46136</v>
      </c>
      <c r="AF1407" s="54"/>
      <c r="AG1407" s="54"/>
      <c r="AH1407" s="54"/>
      <c r="AI1407" s="55">
        <f t="shared" si="143"/>
        <v>0</v>
      </c>
      <c r="AW1407" s="234"/>
      <c r="BP1407" s="11"/>
      <c r="BQ1407" s="11"/>
      <c r="BR1407" s="235"/>
      <c r="BV1407" s="158"/>
      <c r="BY1407" s="158"/>
      <c r="CB1407" s="158"/>
    </row>
    <row r="1408" ht="18.0" hidden="1" customHeight="1">
      <c r="A1408" s="222">
        <f>IFERROR(__xludf.DUMMYFUNCTION("""COMPUTED_VALUE"""),2026.0)</f>
        <v>2026</v>
      </c>
      <c r="B1408" s="221">
        <f>IFERROR(__xludf.DUMMYFUNCTION("""COMPUTED_VALUE"""),1.1589915E7)</f>
        <v>11589915</v>
      </c>
      <c r="C1408" s="222" t="str">
        <f>IFERROR(__xludf.DUMMYFUNCTION("""COMPUTED_VALUE"""),"SMS P3I1 PT3 BTA FAV D05 KARANG SARI DEN")</f>
        <v>SMS P3I1 PT3 BTA FAV D05 KARANG SARI DEN</v>
      </c>
      <c r="D1408" s="222" t="str">
        <f>IFERROR(__xludf.DUMMYFUNCTION("""COMPUTED_VALUE"""),"REGIONAL I")</f>
        <v>REGIONAL I</v>
      </c>
      <c r="E1408" s="222" t="str">
        <f>IFERROR(__xludf.DUMMYFUNCTION("""COMPUTED_VALUE"""),"SUMSEL")</f>
        <v>SUMSEL</v>
      </c>
      <c r="F1408" s="222" t="str">
        <f>IFERROR(__xludf.DUMMYFUNCTION("""COMPUTED_VALUE"""),"BTA")</f>
        <v>BTA</v>
      </c>
      <c r="G1408" s="222" t="str">
        <f>IFERROR(__xludf.DUMMYFUNCTION("""COMPUTED_VALUE"""),"SUMBAGSEL")</f>
        <v>SUMBAGSEL</v>
      </c>
      <c r="H1408" s="222" t="str">
        <f>IFERROR(__xludf.DUMMYFUNCTION("""COMPUTED_VALUE"""),"PALEMBANG")</f>
        <v>PALEMBANG</v>
      </c>
      <c r="I1408" s="222" t="str">
        <f>IFERROR(__xludf.DUMMYFUNCTION("""COMPUTED_VALUE"""),"Batch 2")</f>
        <v>Batch 2</v>
      </c>
      <c r="J1408" s="225">
        <f>IFERROR(__xludf.DUMMYFUNCTION("""COMPUTED_VALUE"""),2.0)</f>
        <v>2</v>
      </c>
      <c r="K1408" s="224">
        <f>IFERROR(__xludf.DUMMYFUNCTION("""COMPUTED_VALUE"""),16.0)</f>
        <v>16</v>
      </c>
      <c r="L1408" s="226">
        <f>IFERROR(__xludf.DUMMYFUNCTION("""COMPUTED_VALUE"""),707303.0)</f>
        <v>707303</v>
      </c>
      <c r="M1408" s="227">
        <f>IFERROR(__xludf.DUMMYFUNCTION("""COMPUTED_VALUE"""),1.1316835E7)</f>
        <v>11316835</v>
      </c>
      <c r="N1408" s="222" t="str">
        <f>IFERROR(__xludf.DUMMYFUNCTION("""COMPUTED_VALUE"""),"PT GARINDO TECHNO MANDIRI")</f>
        <v>PT GARINDO TECHNO MANDIRI</v>
      </c>
      <c r="O1408" s="222" t="str">
        <f>IFERROR(__xludf.DUMMYFUNCTION("""COMPUTED_VALUE"""),"0. DROP")</f>
        <v>0. DROP</v>
      </c>
      <c r="P1408" s="222" t="str">
        <f>IFERROR(__xludf.DUMMYFUNCTION("""COMPUTED_VALUE"""),"0.2 Tidak Dapat Izin Warga/Kades/Lurah/Developer")</f>
        <v>0.2 Tidak Dapat Izin Warga/Kades/Lurah/Developer</v>
      </c>
      <c r="Q1408" s="222" t="str">
        <f>IFERROR(__xludf.DUMMYFUNCTION("""COMPUTED_VALUE"""),"06/03 permintaan DROP - TSEL dimas  28/2 permintaan DROP - TSEL dimas  27/02 DONE RFC,OGP AMBIL MATERIAL EST TGL 02/03, 26/02 MENUNGGU RFC UTK PENGAMBILAN MATERIAL, 25/02 MASIH MENUNGGU TIANG, 24/02 LANJUT PROGRESS SDH ADA RFC DAN MENUNGGU TIANG, 23/02 BE"&amp;"LUM INPUT MATERIAL TIANG KRNA TIANG HABIS,  22/2 menunggu material TIANG  20/02 DONE INPUT MATERIAL, 18/02 PROGRESS INPUT MATERIAL - KENDALA OVER BUDGET, 18/02 BELUM BISA INPUT MATERIAL - MSH MENUNGGU PA, 11/2 menunggu PRPO  10/02 PROGRESS DRM, 4/2 Sudah "&amp;"evall, lanjut  Deploy  30/01 SUDAH AANWIDJZING TH 2025 - LANJUT EVAL, (21/01) menunggu antrian aanwizjing, (15/1) ORDER DITERIMA MITRA 14/1,  SUDAH AANWIJZING - MENUNGGU CONFIRM IZIN KADES (18/11) tidak masuk target optimis 2025 (14/11 done aanwidjzing, o"&amp;"n progress eval, (11/11) Penunjukkan MITRA  oleh Procurement  23/10 penunjukan mitra")</f>
        <v>06/03 permintaan DROP - TSEL dimas  28/2 permintaan DROP - TSEL dimas  27/02 DONE RFC,OGP AMBIL MATERIAL EST TGL 02/03, 26/02 MENUNGGU RFC UTK PENGAMBILAN MATERIAL, 25/02 MASIH MENUNGGU TIANG, 24/02 LANJUT PROGRESS SDH ADA RFC DAN MENUNGGU TIANG, 23/02 BELUM INPUT MATERIAL TIANG KRNA TIANG HABIS,  22/2 menunggu material TIANG  20/02 DONE INPUT MATERIAL, 18/02 PROGRESS INPUT MATERIAL - KENDALA OVER BUDGET, 18/02 BELUM BISA INPUT MATERIAL - MSH MENUNGGU PA, 11/2 menunggu PRPO  10/02 PROGRESS DRM, 4/2 Sudah evall, lanjut  Deploy  30/01 SUDAH AANWIDJZING TH 2025 - LANJUT EVAL, (21/01) menunggu antrian aanwizjing, (15/1) ORDER DITERIMA MITRA 14/1,  SUDAH AANWIJZING - MENUNGGU CONFIRM IZIN KADES (18/11) tidak masuk target optimis 2025 (14/11 done aanwidjzing, on progress eval, (11/11) Penunjukkan MITRA  oleh Procurement  23/10 penunjukan mitra</v>
      </c>
      <c r="R1408" s="228"/>
      <c r="S1408" s="11"/>
      <c r="T1408" s="11"/>
      <c r="U1408" s="11"/>
      <c r="V1408" s="229" t="str">
        <f>IFERROR(__xludf.DUMMYFUNCTION("""COMPUTED_VALUE"""),"TANTOWI")</f>
        <v>TANTOWI</v>
      </c>
      <c r="W1408" s="229"/>
      <c r="X1408" s="229" t="str">
        <f>IFERROR(__xludf.DUMMYFUNCTION("""COMPUTED_VALUE"""),"BELUM GOLIVE")</f>
        <v>BELUM GOLIVE</v>
      </c>
      <c r="Y1408" s="229"/>
      <c r="Z1408" s="229" t="str">
        <f>IFERROR(__xludf.DUMMYFUNCTION("""COMPUTED_VALUE"""),"#N/A")</f>
        <v>#N/A</v>
      </c>
      <c r="AA1408" s="229"/>
      <c r="AB1408" s="229"/>
      <c r="AC1408" s="229"/>
      <c r="AD1408" s="232"/>
      <c r="AE1408" s="233"/>
      <c r="AF1408" s="54"/>
      <c r="AG1408" s="54"/>
      <c r="AH1408" s="54"/>
      <c r="AI1408" s="55" t="str">
        <f t="shared" si="143"/>
        <v/>
      </c>
      <c r="AW1408" s="234"/>
      <c r="BP1408" s="11"/>
      <c r="BQ1408" s="11"/>
      <c r="BR1408" s="235"/>
      <c r="BV1408" s="158"/>
      <c r="BY1408" s="158"/>
      <c r="CB1408" s="158"/>
    </row>
    <row r="1409" ht="18.0" hidden="1" customHeight="1">
      <c r="A1409" s="222">
        <f>IFERROR(__xludf.DUMMYFUNCTION("""COMPUTED_VALUE"""),2026.0)</f>
        <v>2026</v>
      </c>
      <c r="B1409" s="221">
        <f>IFERROR(__xludf.DUMMYFUNCTION("""COMPUTED_VALUE"""),1.1447478E7)</f>
        <v>11447478</v>
      </c>
      <c r="C1409" s="222" t="str">
        <f>IFERROR(__xludf.DUMMYFUNCTION("""COMPUTED_VALUE"""),"SMU PSP-FAR D08 CLUST UJUNG PADANG")</f>
        <v>SMU PSP-FAR D08 CLUST UJUNG PADANG</v>
      </c>
      <c r="D1409" s="222" t="str">
        <f>IFERROR(__xludf.DUMMYFUNCTION("""COMPUTED_VALUE"""),"REGIONAL I")</f>
        <v>REGIONAL I</v>
      </c>
      <c r="E1409" s="222" t="str">
        <f>IFERROR(__xludf.DUMMYFUNCTION("""COMPUTED_VALUE"""),"SUMUT")</f>
        <v>SUMUT</v>
      </c>
      <c r="F1409" s="222" t="str">
        <f>IFERROR(__xludf.DUMMYFUNCTION("""COMPUTED_VALUE"""),"PSP")</f>
        <v>PSP</v>
      </c>
      <c r="G1409" s="222" t="str">
        <f>IFERROR(__xludf.DUMMYFUNCTION("""COMPUTED_VALUE"""),"SUMBAGUT")</f>
        <v>SUMBAGUT</v>
      </c>
      <c r="H1409" s="222" t="str">
        <f>IFERROR(__xludf.DUMMYFUNCTION("""COMPUTED_VALUE"""),"PADANG SIDEMPUAN")</f>
        <v>PADANG SIDEMPUAN</v>
      </c>
      <c r="I1409" s="222" t="str">
        <f>IFERROR(__xludf.DUMMYFUNCTION("""COMPUTED_VALUE"""),"Batch 2")</f>
        <v>Batch 2</v>
      </c>
      <c r="J1409" s="225">
        <f>IFERROR(__xludf.DUMMYFUNCTION("""COMPUTED_VALUE"""),6.0)</f>
        <v>6</v>
      </c>
      <c r="K1409" s="224">
        <f>IFERROR(__xludf.DUMMYFUNCTION("""COMPUTED_VALUE"""),48.0)</f>
        <v>48</v>
      </c>
      <c r="L1409" s="226">
        <f>IFERROR(__xludf.DUMMYFUNCTION("""COMPUTED_VALUE"""),1307309.0)</f>
        <v>1307309</v>
      </c>
      <c r="M1409" s="227">
        <f>IFERROR(__xludf.DUMMYFUNCTION("""COMPUTED_VALUE"""),6.2750804E7)</f>
        <v>62750804</v>
      </c>
      <c r="N1409" s="222" t="str">
        <f>IFERROR(__xludf.DUMMYFUNCTION("""COMPUTED_VALUE"""),"PT SALTTEK DUMPANG JAYA")</f>
        <v>PT SALTTEK DUMPANG JAYA</v>
      </c>
      <c r="O1409" s="222" t="str">
        <f>IFERROR(__xludf.DUMMYFUNCTION("""COMPUTED_VALUE"""),"0. DROP")</f>
        <v>0. DROP</v>
      </c>
      <c r="P1409" s="222" t="str">
        <f>IFERROR(__xludf.DUMMYFUNCTION("""COMPUTED_VALUE"""),"0.1 Double Order")</f>
        <v>0.1 Double Order</v>
      </c>
      <c r="Q1409" s="222" t="str">
        <f>IFERROR(__xludf.DUMMYFUNCTION("""COMPUTED_VALUE"""),"sudah golive 2025 golive (07/01) Persiapan")</f>
        <v>sudah golive 2025 golive (07/01) Persiapan</v>
      </c>
      <c r="R1409" s="228"/>
      <c r="S1409" s="11"/>
      <c r="T1409" s="11"/>
      <c r="U1409" s="11" t="str">
        <f>IFERROR(__xludf.DUMMYFUNCTION("""COMPUTED_VALUE"""),"W03-1490/2025")</f>
        <v>W03-1490/2025</v>
      </c>
      <c r="V1409" s="229"/>
      <c r="W1409" s="229"/>
      <c r="X1409" s="229"/>
      <c r="Y1409" s="229" t="str">
        <f>IFERROR(__xludf.DUMMYFUNCTION("""COMPUTED_VALUE"""),"DONE")</f>
        <v>DONE</v>
      </c>
      <c r="Z1409" s="229" t="str">
        <f>IFERROR(__xludf.DUMMYFUNCTION("""COMPUTED_VALUE"""),"#N/A")</f>
        <v>#N/A</v>
      </c>
      <c r="AA1409" s="229"/>
      <c r="AB1409" s="229"/>
      <c r="AC1409" s="229"/>
      <c r="AD1409" s="232"/>
      <c r="AE1409" s="233"/>
      <c r="AF1409" s="54" t="str">
        <f>IFERROR(__xludf.DUMMYFUNCTION("""COMPUTED_VALUE"""),"Draft BA DROP")</f>
        <v>Draft BA DROP</v>
      </c>
      <c r="AG1409" s="54"/>
      <c r="AH1409" s="54"/>
      <c r="AI1409" s="55" t="str">
        <f t="shared" si="143"/>
        <v/>
      </c>
      <c r="AW1409" s="234"/>
      <c r="BP1409" s="11"/>
      <c r="BQ1409" s="11"/>
      <c r="BR1409" s="235"/>
      <c r="BV1409" s="158"/>
      <c r="BY1409" s="158"/>
      <c r="CB1409" s="158"/>
    </row>
    <row r="1410" ht="18.0" hidden="1" customHeight="1">
      <c r="A1410" s="222">
        <f>IFERROR(__xludf.DUMMYFUNCTION("""COMPUTED_VALUE"""),2026.0)</f>
        <v>2026</v>
      </c>
      <c r="B1410" s="221">
        <f>IFERROR(__xludf.DUMMYFUNCTION("""COMPUTED_VALUE"""),1.142038E7)</f>
        <v>11420380</v>
      </c>
      <c r="C1410" s="222" t="str">
        <f>IFERROR(__xludf.DUMMYFUNCTION("""COMPUTED_VALUE"""),"SMU RAP-FAR D04 CLUST DESA AEK PALA")</f>
        <v>SMU RAP-FAR D04 CLUST DESA AEK PALA</v>
      </c>
      <c r="D1410" s="222" t="str">
        <f>IFERROR(__xludf.DUMMYFUNCTION("""COMPUTED_VALUE"""),"REGIONAL I")</f>
        <v>REGIONAL I</v>
      </c>
      <c r="E1410" s="222" t="str">
        <f>IFERROR(__xludf.DUMMYFUNCTION("""COMPUTED_VALUE"""),"SUMUT")</f>
        <v>SUMUT</v>
      </c>
      <c r="F1410" s="222" t="str">
        <f>IFERROR(__xludf.DUMMYFUNCTION("""COMPUTED_VALUE"""),"RAP")</f>
        <v>RAP</v>
      </c>
      <c r="G1410" s="222" t="str">
        <f>IFERROR(__xludf.DUMMYFUNCTION("""COMPUTED_VALUE"""),"SUMBAGUT")</f>
        <v>SUMBAGUT</v>
      </c>
      <c r="H1410" s="222" t="str">
        <f>IFERROR(__xludf.DUMMYFUNCTION("""COMPUTED_VALUE"""),"RANTAU PRAPAT")</f>
        <v>RANTAU PRAPAT</v>
      </c>
      <c r="I1410" s="222" t="str">
        <f>IFERROR(__xludf.DUMMYFUNCTION("""COMPUTED_VALUE"""),"Batch 2")</f>
        <v>Batch 2</v>
      </c>
      <c r="J1410" s="225">
        <f>IFERROR(__xludf.DUMMYFUNCTION("""COMPUTED_VALUE"""),15.0)</f>
        <v>15</v>
      </c>
      <c r="K1410" s="224">
        <f>IFERROR(__xludf.DUMMYFUNCTION("""COMPUTED_VALUE"""),120.0)</f>
        <v>120</v>
      </c>
      <c r="L1410" s="226">
        <f>IFERROR(__xludf.DUMMYFUNCTION("""COMPUTED_VALUE"""),1307517.0)</f>
        <v>1307517</v>
      </c>
      <c r="M1410" s="227">
        <f>IFERROR(__xludf.DUMMYFUNCTION("""COMPUTED_VALUE"""),1.56901989E8)</f>
        <v>156901989</v>
      </c>
      <c r="N1410" s="222" t="str">
        <f>IFERROR(__xludf.DUMMYFUNCTION("""COMPUTED_VALUE"""),"PT TRIPOLA PANATA")</f>
        <v>PT TRIPOLA PANATA</v>
      </c>
      <c r="O1410" s="222" t="str">
        <f>IFERROR(__xludf.DUMMYFUNCTION("""COMPUTED_VALUE"""),"8. UJI TERIMA")</f>
        <v>8. UJI TERIMA</v>
      </c>
      <c r="P1410" s="222" t="str">
        <f>IFERROR(__xludf.DUMMYFUNCTION("""COMPUTED_VALUE"""),"8.1 Proses UT")</f>
        <v>8.1 Proses UT</v>
      </c>
      <c r="Q1410" s="222" t="str">
        <f>IFERROR(__xludf.DUMMYFUNCTION("""COMPUTED_VALUE"""),"27/1 sisa 1 odp progres HI | Golive partial, odp 70 sisa valins  , golive  partial sisa 1 odp (rap far 70) , (07/01) Persiapan")</f>
        <v>27/1 sisa 1 odp progres HI | Golive partial, odp 70 sisa valins  , golive  partial sisa 1 odp (rap far 70) , (07/01) Persiapan</v>
      </c>
      <c r="R1410" s="228">
        <f>IFERROR(__xludf.DUMMYFUNCTION("""COMPUTED_VALUE"""),46031.0)</f>
        <v>46031</v>
      </c>
      <c r="S1410" s="11"/>
      <c r="T1410" s="11"/>
      <c r="U1410" s="11" t="str">
        <f>IFERROR(__xludf.DUMMYFUNCTION("""COMPUTED_VALUE"""),"W03-1401/2025")</f>
        <v>W03-1401/2025</v>
      </c>
      <c r="V1410" s="229"/>
      <c r="W1410" s="229"/>
      <c r="X1410" s="229" t="str">
        <f>IFERROR(__xludf.DUMMYFUNCTION("""COMPUTED_VALUE"""),"GOLIVE")</f>
        <v>GOLIVE</v>
      </c>
      <c r="Y1410" s="229" t="str">
        <f>IFERROR(__xludf.DUMMYFUNCTION("""COMPUTED_VALUE"""),"DONE")</f>
        <v>DONE</v>
      </c>
      <c r="Z1410" s="229" t="str">
        <f>IFERROR(__xludf.DUMMYFUNCTION("""COMPUTED_VALUE"""),"#N/A")</f>
        <v>#N/A</v>
      </c>
      <c r="AA1410" s="229">
        <f>IFERROR(__xludf.DUMMYFUNCTION("""COMPUTED_VALUE"""),14.0)</f>
        <v>14</v>
      </c>
      <c r="AB1410" s="229"/>
      <c r="AC1410" s="229" t="str">
        <f>IFERROR(__xludf.DUMMYFUNCTION("""COMPUTED_VALUE"""),"8885639#8885644")</f>
        <v>8885639#8885644</v>
      </c>
      <c r="AD1410" s="232">
        <f>IFERROR(__xludf.DUMMYFUNCTION("""COMPUTED_VALUE"""),112.0)</f>
        <v>112</v>
      </c>
      <c r="AE1410" s="233">
        <f>IFERROR(__xludf.DUMMYFUNCTION("""COMPUTED_VALUE"""),46031.0)</f>
        <v>46031</v>
      </c>
      <c r="AF1410" s="54"/>
      <c r="AG1410" s="54"/>
      <c r="AH1410" s="54">
        <v>46031.0</v>
      </c>
      <c r="AI1410" s="55">
        <f t="shared" si="143"/>
        <v>0</v>
      </c>
      <c r="AW1410" s="234"/>
      <c r="BP1410" s="11"/>
      <c r="BQ1410" s="11"/>
      <c r="BR1410" s="235"/>
      <c r="BV1410" s="158"/>
      <c r="BY1410" s="158"/>
      <c r="CB1410" s="158"/>
    </row>
    <row r="1411" ht="18.0" hidden="1" customHeight="1">
      <c r="A1411" s="222">
        <f>IFERROR(__xludf.DUMMYFUNCTION("""COMPUTED_VALUE"""),2026.0)</f>
        <v>2026</v>
      </c>
      <c r="B1411" s="221">
        <f>IFERROR(__xludf.DUMMYFUNCTION("""COMPUTED_VALUE"""),1.1394137E7)</f>
        <v>11394137</v>
      </c>
      <c r="C1411" s="222" t="str">
        <f>IFERROR(__xludf.DUMMYFUNCTION("""COMPUTED_VALUE"""),"MDN PT3 BJI-FEB KOTA BINJAI_11058")</f>
        <v>MDN PT3 BJI-FEB KOTA BINJAI_11058</v>
      </c>
      <c r="D1411" s="222" t="str">
        <f>IFERROR(__xludf.DUMMYFUNCTION("""COMPUTED_VALUE"""),"REGIONAL I")</f>
        <v>REGIONAL I</v>
      </c>
      <c r="E1411" s="222" t="str">
        <f>IFERROR(__xludf.DUMMYFUNCTION("""COMPUTED_VALUE"""),"MEDAN")</f>
        <v>MEDAN</v>
      </c>
      <c r="F1411" s="222" t="str">
        <f>IFERROR(__xludf.DUMMYFUNCTION("""COMPUTED_VALUE"""),"BJI")</f>
        <v>BJI</v>
      </c>
      <c r="G1411" s="222" t="str">
        <f>IFERROR(__xludf.DUMMYFUNCTION("""COMPUTED_VALUE"""),"SUMBAGUT")</f>
        <v>SUMBAGUT</v>
      </c>
      <c r="H1411" s="222" t="str">
        <f>IFERROR(__xludf.DUMMYFUNCTION("""COMPUTED_VALUE"""),"BINJAI")</f>
        <v>BINJAI</v>
      </c>
      <c r="I1411" s="222" t="str">
        <f>IFERROR(__xludf.DUMMYFUNCTION("""COMPUTED_VALUE"""),"Batch 2")</f>
        <v>Batch 2</v>
      </c>
      <c r="J1411" s="225">
        <f>IFERROR(__xludf.DUMMYFUNCTION("""COMPUTED_VALUE"""),4.0)</f>
        <v>4</v>
      </c>
      <c r="K1411" s="224">
        <f>IFERROR(__xludf.DUMMYFUNCTION("""COMPUTED_VALUE"""),32.0)</f>
        <v>32</v>
      </c>
      <c r="L1411" s="226">
        <f>IFERROR(__xludf.DUMMYFUNCTION("""COMPUTED_VALUE"""),879800.0)</f>
        <v>879800</v>
      </c>
      <c r="M1411" s="227">
        <f>IFERROR(__xludf.DUMMYFUNCTION("""COMPUTED_VALUE"""),2.8153594E7)</f>
        <v>28153594</v>
      </c>
      <c r="N1411" s="222" t="str">
        <f>IFERROR(__xludf.DUMMYFUNCTION("""COMPUTED_VALUE"""),"PT KENCANA RAYA INDONESIA")</f>
        <v>PT KENCANA RAYA INDONESIA</v>
      </c>
      <c r="O1411" s="222" t="str">
        <f>IFERROR(__xludf.DUMMYFUNCTION("""COMPUTED_VALUE"""),"0. DROP")</f>
        <v>0. DROP</v>
      </c>
      <c r="P1411" s="222" t="str">
        <f>IFERROR(__xludf.DUMMYFUNCTION("""COMPUTED_VALUE"""),"0.2 Tidak Dapat Izin Warga/Kades/Lurah/Developer")</f>
        <v>0.2 Tidak Dapat Izin Warga/Kades/Lurah/Developer</v>
      </c>
      <c r="Q1411" s="222" t="str">
        <f>IFERROR(__xludf.DUMMYFUNCTION("""COMPUTED_VALUE"""),"20/04 tidak dapat izin
26/03 feeder dist ready, perumahan minta 1jt/tiang total 7 tiang
20/09 Feeder Redaman Tinggi
19/09 Kades belum bisa dijumpai
18/09 Perizinan kades
15/09 proses aanwijzing")</f>
        <v>20/04 tidak dapat izin
26/03 feeder dist ready, perumahan minta 1jt/tiang total 7 tiang
20/09 Feeder Redaman Tinggi
19/09 Kades belum bisa dijumpai
18/09 Perizinan kades
15/09 proses aanwijzing</v>
      </c>
      <c r="R1411" s="228"/>
      <c r="S1411" s="11"/>
      <c r="T1411" s="73"/>
      <c r="U1411" s="11"/>
      <c r="V1411" s="229" t="str">
        <f>IFERROR(__xludf.DUMMYFUNCTION("""COMPUTED_VALUE"""),"27/Apr/2026")</f>
        <v>27/Apr/2026</v>
      </c>
      <c r="W1411" s="229"/>
      <c r="X1411" s="229" t="str">
        <f>IFERROR(__xludf.DUMMYFUNCTION("""COMPUTED_VALUE"""),"BELUM GOLIVE")</f>
        <v>BELUM GOLIVE</v>
      </c>
      <c r="Y1411" s="229"/>
      <c r="Z1411" s="229" t="str">
        <f>IFERROR(__xludf.DUMMYFUNCTION("""COMPUTED_VALUE"""),"#N/A")</f>
        <v>#N/A</v>
      </c>
      <c r="AA1411" s="229"/>
      <c r="AB1411" s="229"/>
      <c r="AC1411" s="229"/>
      <c r="AD1411" s="232"/>
      <c r="AE1411" s="233"/>
      <c r="AF1411" s="54"/>
      <c r="AG1411" s="54"/>
      <c r="AH1411" s="54"/>
      <c r="AI1411" s="55" t="str">
        <f t="shared" si="143"/>
        <v/>
      </c>
      <c r="AW1411" s="234"/>
      <c r="BP1411" s="11"/>
      <c r="BQ1411" s="11"/>
      <c r="BR1411" s="235"/>
      <c r="BV1411" s="158"/>
      <c r="BY1411" s="158"/>
      <c r="CB1411" s="158"/>
    </row>
    <row r="1412" ht="18.0" hidden="1" customHeight="1">
      <c r="A1412" s="222">
        <f>IFERROR(__xludf.DUMMYFUNCTION("""COMPUTED_VALUE"""),2026.0)</f>
        <v>2026</v>
      </c>
      <c r="B1412" s="221">
        <f>IFERROR(__xludf.DUMMYFUNCTION("""COMPUTED_VALUE"""),1.1914222E7)</f>
        <v>11914222</v>
      </c>
      <c r="C1412" s="222" t="str">
        <f>IFERROR(__xludf.DUMMYFUNCTION("""COMPUTED_VALUE"""),"JBI-PT3 BRAN-BKO-FE-NOVA TAVRIANA")</f>
        <v>JBI-PT3 BRAN-BKO-FE-NOVA TAVRIANA</v>
      </c>
      <c r="D1412" s="222" t="str">
        <f>IFERROR(__xludf.DUMMYFUNCTION("""COMPUTED_VALUE"""),"REGIONAL I")</f>
        <v>REGIONAL I</v>
      </c>
      <c r="E1412" s="222" t="str">
        <f>IFERROR(__xludf.DUMMYFUNCTION("""COMPUTED_VALUE"""),"JAMBI")</f>
        <v>JAMBI</v>
      </c>
      <c r="F1412" s="222" t="str">
        <f>IFERROR(__xludf.DUMMYFUNCTION("""COMPUTED_VALUE"""),"BKO")</f>
        <v>BKO</v>
      </c>
      <c r="G1412" s="222" t="str">
        <f>IFERROR(__xludf.DUMMYFUNCTION("""COMPUTED_VALUE"""),"SUMBAGSEL")</f>
        <v>SUMBAGSEL</v>
      </c>
      <c r="H1412" s="222" t="str">
        <f>IFERROR(__xludf.DUMMYFUNCTION("""COMPUTED_VALUE"""),"JAMBI")</f>
        <v>JAMBI</v>
      </c>
      <c r="I1412" s="222" t="str">
        <f>IFERROR(__xludf.DUMMYFUNCTION("""COMPUTED_VALUE"""),"Batch 2")</f>
        <v>Batch 2</v>
      </c>
      <c r="J1412" s="225">
        <f>IFERROR(__xludf.DUMMYFUNCTION("""COMPUTED_VALUE"""),1.0)</f>
        <v>1</v>
      </c>
      <c r="K1412" s="224">
        <f>IFERROR(__xludf.DUMMYFUNCTION("""COMPUTED_VALUE"""),8.0)</f>
        <v>8</v>
      </c>
      <c r="L1412" s="226">
        <f>IFERROR(__xludf.DUMMYFUNCTION("""COMPUTED_VALUE"""),706456.0)</f>
        <v>706456</v>
      </c>
      <c r="M1412" s="227">
        <f>IFERROR(__xludf.DUMMYFUNCTION("""COMPUTED_VALUE"""),5651647.0)</f>
        <v>5651647</v>
      </c>
      <c r="N1412" s="222" t="str">
        <f>IFERROR(__xludf.DUMMYFUNCTION("""COMPUTED_VALUE"""),"PT ANGSO DUO TELEKOMUNIKASI")</f>
        <v>PT ANGSO DUO TELEKOMUNIKASI</v>
      </c>
      <c r="O1412" s="222" t="str">
        <f>IFERROR(__xludf.DUMMYFUNCTION("""COMPUTED_VALUE"""),"6. FINISH INSTALASI")</f>
        <v>6. FINISH INSTALASI</v>
      </c>
      <c r="P1412" s="222" t="str">
        <f>IFERROR(__xludf.DUMMYFUNCTION("""COMPUTED_VALUE"""),"6.7 Belum Submit ABD")</f>
        <v>6.7 Belum Submit ABD</v>
      </c>
      <c r="Q1412" s="222" t="str">
        <f>IFERROR(__xludf.DUMMYFUNCTION("""COMPUTED_VALUE"""),"27/04 FI Ogp V4 26/04 Penarikan kabel 25/4 plan 26 APR instlasi 13/4 Perizinan OK, lanjut DRM 09/04 masih belum ada feedback dari kades, Plan visit ulang 11 APR 08/04 Perizinan kepala desa belum ada feedback26/03) Kepala desa belum mengizinkan (22/1) Suda"&amp;"h aanwijdzing, feeder rusak (12/1) Proses aanwidjizing , PLAN VISIT 14 JAN  7/1 DRM (06/01)order JPP batch-2 2026 (28/11 HOLD 17/11 matdel 10/11 kendala operasional mitra (03/11) Done Aanwijzing (21/10) Mapping Mitra")</f>
        <v>27/04 FI Ogp V4 26/04 Penarikan kabel 25/4 plan 26 APR instlasi 13/4 Perizinan OK, lanjut DRM 09/04 masih belum ada feedback dari kades, Plan visit ulang 11 APR 08/04 Perizinan kepala desa belum ada feedback26/03) Kepala desa belum mengizinkan (22/1) Sudah aanwijdzing, feeder rusak (12/1) Proses aanwidjizing , PLAN VISIT 14 JAN  7/1 DRM (06/01)order JPP batch-2 2026 (28/11 HOLD 17/11 matdel 10/11 kendala operasional mitra (03/11) Done Aanwijzing (21/10) Mapping Mitra</v>
      </c>
      <c r="R1412" s="228">
        <f>IFERROR(__xludf.DUMMYFUNCTION("""COMPUTED_VALUE"""),46139.0)</f>
        <v>46139</v>
      </c>
      <c r="S1412" s="11"/>
      <c r="T1412" s="11"/>
      <c r="U1412" s="11"/>
      <c r="V1412" s="229"/>
      <c r="W1412" s="229"/>
      <c r="X1412" s="229" t="str">
        <f>IFERROR(__xludf.DUMMYFUNCTION("""COMPUTED_VALUE"""),"BELUM GOLIVE")</f>
        <v>BELUM GOLIVE</v>
      </c>
      <c r="Y1412" s="229"/>
      <c r="Z1412" s="229" t="str">
        <f>IFERROR(__xludf.DUMMYFUNCTION("""COMPUTED_VALUE"""),"#N/A")</f>
        <v>#N/A</v>
      </c>
      <c r="AA1412" s="229"/>
      <c r="AB1412" s="229"/>
      <c r="AC1412" s="229"/>
      <c r="AD1412" s="232"/>
      <c r="AE1412" s="233"/>
      <c r="AF1412" s="54"/>
      <c r="AG1412" s="54"/>
      <c r="AH1412" s="54">
        <v>46142.0</v>
      </c>
      <c r="AI1412" s="55" t="str">
        <f t="shared" si="143"/>
        <v/>
      </c>
      <c r="AW1412" s="234"/>
      <c r="BP1412" s="11"/>
      <c r="BQ1412" s="11"/>
      <c r="BR1412" s="235"/>
      <c r="BV1412" s="158"/>
      <c r="BY1412" s="158"/>
      <c r="CB1412" s="158"/>
    </row>
    <row r="1413" ht="18.0" hidden="1" customHeight="1">
      <c r="A1413" s="222">
        <f>IFERROR(__xludf.DUMMYFUNCTION("""COMPUTED_VALUE"""),2026.0)</f>
        <v>2026</v>
      </c>
      <c r="B1413" s="221">
        <f>IFERROR(__xludf.DUMMYFUNCTION("""COMPUTED_VALUE"""),1.2436495E7)</f>
        <v>12436495</v>
      </c>
      <c r="C1413" s="222" t="str">
        <f>IFERROR(__xludf.DUMMYFUNCTION("""COMPUTED_VALUE"""),"ACH PT3 TTN-FG BR.D03 MEUKEK")</f>
        <v>ACH PT3 TTN-FG BR.D03 MEUKEK</v>
      </c>
      <c r="D1413" s="222" t="str">
        <f>IFERROR(__xludf.DUMMYFUNCTION("""COMPUTED_VALUE"""),"REGIONAL I")</f>
        <v>REGIONAL I</v>
      </c>
      <c r="E1413" s="222" t="str">
        <f>IFERROR(__xludf.DUMMYFUNCTION("""COMPUTED_VALUE"""),"ACEH")</f>
        <v>ACEH</v>
      </c>
      <c r="F1413" s="222" t="str">
        <f>IFERROR(__xludf.DUMMYFUNCTION("""COMPUTED_VALUE"""),"TTN")</f>
        <v>TTN</v>
      </c>
      <c r="G1413" s="222" t="str">
        <f>IFERROR(__xludf.DUMMYFUNCTION("""COMPUTED_VALUE"""),"SUMBAGUT")</f>
        <v>SUMBAGUT</v>
      </c>
      <c r="H1413" s="222" t="str">
        <f>IFERROR(__xludf.DUMMYFUNCTION("""COMPUTED_VALUE"""),"BANDA ACEH")</f>
        <v>BANDA ACEH</v>
      </c>
      <c r="I1413" s="222" t="str">
        <f>IFERROR(__xludf.DUMMYFUNCTION("""COMPUTED_VALUE"""),"Batch 2")</f>
        <v>Batch 2</v>
      </c>
      <c r="J1413" s="225">
        <f>IFERROR(__xludf.DUMMYFUNCTION("""COMPUTED_VALUE"""),2.0)</f>
        <v>2</v>
      </c>
      <c r="K1413" s="224">
        <f>IFERROR(__xludf.DUMMYFUNCTION("""COMPUTED_VALUE"""),16.0)</f>
        <v>16</v>
      </c>
      <c r="L1413" s="226">
        <f>IFERROR(__xludf.DUMMYFUNCTION("""COMPUTED_VALUE"""),705778.0)</f>
        <v>705778</v>
      </c>
      <c r="M1413" s="227">
        <f>IFERROR(__xludf.DUMMYFUNCTION("""COMPUTED_VALUE"""),1.1292442E7)</f>
        <v>11292442</v>
      </c>
      <c r="N1413" s="222" t="str">
        <f>IFERROR(__xludf.DUMMYFUNCTION("""COMPUTED_VALUE"""),"PT ASWA KARYA DIFA")</f>
        <v>PT ASWA KARYA DIFA</v>
      </c>
      <c r="O1413" s="222" t="str">
        <f>IFERROR(__xludf.DUMMYFUNCTION("""COMPUTED_VALUE"""),"2. DONE AANWIJZING")</f>
        <v>2. DONE AANWIJZING</v>
      </c>
      <c r="P1413" s="222" t="str">
        <f>IFERROR(__xludf.DUMMYFUNCTION("""COMPUTED_VALUE"""),"2.10 Kendala - Feeder Rusak")</f>
        <v>2.10 Kendala - Feeder Rusak</v>
      </c>
      <c r="Q1413" s="222" t="str">
        <f>IFERROR(__xludf.DUMMYFUNCTION("""COMPUTED_VALUE"""),"29/01 Perlu review solusi QE Feeder rusak dengan TIF  (22/01) Done Aanwijzing, Feeder Habis Terpakai (07/01) Persiapan")</f>
        <v>29/01 Perlu review solusi QE Feeder rusak dengan TIF  (22/01) Done Aanwijzing, Feeder Habis Terpakai (07/01) Persiapan</v>
      </c>
      <c r="R1413" s="228"/>
      <c r="S1413" s="11"/>
      <c r="T1413" s="11"/>
      <c r="U1413" s="11"/>
      <c r="V1413" s="229"/>
      <c r="W1413" s="229"/>
      <c r="X1413" s="229" t="str">
        <f>IFERROR(__xludf.DUMMYFUNCTION("""COMPUTED_VALUE"""),"BELUM GOLIVE")</f>
        <v>BELUM GOLIVE</v>
      </c>
      <c r="Y1413" s="229"/>
      <c r="Z1413" s="229" t="str">
        <f>IFERROR(__xludf.DUMMYFUNCTION("""COMPUTED_VALUE"""),"#N/A")</f>
        <v>#N/A</v>
      </c>
      <c r="AA1413" s="229"/>
      <c r="AB1413" s="229"/>
      <c r="AC1413" s="229"/>
      <c r="AD1413" s="232"/>
      <c r="AE1413" s="233"/>
      <c r="AF1413" s="54"/>
      <c r="AG1413" s="54"/>
      <c r="AH1413" s="54"/>
      <c r="AI1413" s="55" t="str">
        <f t="shared" si="143"/>
        <v/>
      </c>
      <c r="AW1413" s="234"/>
      <c r="BP1413" s="11"/>
      <c r="BQ1413" s="11"/>
      <c r="BR1413" s="235"/>
      <c r="BV1413" s="158"/>
      <c r="BY1413" s="158"/>
      <c r="CB1413" s="158"/>
    </row>
    <row r="1414" ht="18.0" customHeight="1">
      <c r="A1414" s="222">
        <f>IFERROR(__xludf.DUMMYFUNCTION("""COMPUTED_VALUE"""),2026.0)</f>
        <v>2026</v>
      </c>
      <c r="B1414" s="221">
        <f>IFERROR(__xludf.DUMMYFUNCTION("""COMPUTED_VALUE"""),1.1508041E7)</f>
        <v>11508041</v>
      </c>
      <c r="C1414" s="222" t="str">
        <f>IFERROR(__xludf.DUMMYFUNCTION("""COMPUTED_VALUE"""),"SMB MD - STTF TAMBAHAN BAN KAPA SPE-FB")</f>
        <v>SMB MD - STTF TAMBAHAN BAN KAPA SPE-FB</v>
      </c>
      <c r="D1414" s="222" t="str">
        <f>IFERROR(__xludf.DUMMYFUNCTION("""COMPUTED_VALUE"""),"REGIONAL I")</f>
        <v>REGIONAL I</v>
      </c>
      <c r="E1414" s="222" t="str">
        <f>IFERROR(__xludf.DUMMYFUNCTION("""COMPUTED_VALUE"""),"SUMBAR")</f>
        <v>SUMBAR</v>
      </c>
      <c r="F1414" s="222" t="str">
        <f>IFERROR(__xludf.DUMMYFUNCTION("""COMPUTED_VALUE"""),"SPE")</f>
        <v>SPE</v>
      </c>
      <c r="G1414" s="222" t="str">
        <f>IFERROR(__xludf.DUMMYFUNCTION("""COMPUTED_VALUE"""),"SUMBAGTENG")</f>
        <v>SUMBAGTENG</v>
      </c>
      <c r="H1414" s="222" t="str">
        <f>IFERROR(__xludf.DUMMYFUNCTION("""COMPUTED_VALUE"""),"BUKIT TINGGI")</f>
        <v>BUKIT TINGGI</v>
      </c>
      <c r="I1414" s="222" t="str">
        <f>IFERROR(__xludf.DUMMYFUNCTION("""COMPUTED_VALUE"""),"Batch 2")</f>
        <v>Batch 2</v>
      </c>
      <c r="J1414" s="225">
        <f>IFERROR(__xludf.DUMMYFUNCTION("""COMPUTED_VALUE"""),3.0)</f>
        <v>3</v>
      </c>
      <c r="K1414" s="224">
        <f>IFERROR(__xludf.DUMMYFUNCTION("""COMPUTED_VALUE"""),24.0)</f>
        <v>24</v>
      </c>
      <c r="L1414" s="226">
        <f>IFERROR(__xludf.DUMMYFUNCTION("""COMPUTED_VALUE"""),705639.0)</f>
        <v>705639</v>
      </c>
      <c r="M1414" s="227">
        <f>IFERROR(__xludf.DUMMYFUNCTION("""COMPUTED_VALUE"""),1.693532E7)</f>
        <v>16935320</v>
      </c>
      <c r="N1414" s="222" t="str">
        <f>IFERROR(__xludf.DUMMYFUNCTION("""COMPUTED_VALUE"""),"PT TIGA AKSES MANDIRI")</f>
        <v>PT TIGA AKSES MANDIRI</v>
      </c>
      <c r="O1414" s="222" t="str">
        <f>IFERROR(__xludf.DUMMYFUNCTION("""COMPUTED_VALUE"""),"0. DROP")</f>
        <v>0. DROP</v>
      </c>
      <c r="P1414" s="222" t="str">
        <f>IFERROR(__xludf.DUMMYFUNCTION("""COMPUTED_VALUE"""),"0.3 Feeder Full")</f>
        <v>0.3 Feeder Full</v>
      </c>
      <c r="Q1414" s="222" t="str">
        <f>IFERROR(__xludf.DUMMYFUNCTION("""COMPUTED_VALUE"""),"(26/01) Kendala feeder SPE-FB FULL")</f>
        <v>(26/01) Kendala feeder SPE-FB FULL</v>
      </c>
      <c r="R1414" s="228"/>
      <c r="S1414" s="11"/>
      <c r="T1414" s="11"/>
      <c r="U1414" s="11"/>
      <c r="V1414" s="229"/>
      <c r="W1414" s="229"/>
      <c r="X1414" s="229" t="str">
        <f>IFERROR(__xludf.DUMMYFUNCTION("""COMPUTED_VALUE"""),"BELUM GOLIVE")</f>
        <v>BELUM GOLIVE</v>
      </c>
      <c r="Y1414" s="229"/>
      <c r="Z1414" s="229" t="str">
        <f>IFERROR(__xludf.DUMMYFUNCTION("""COMPUTED_VALUE"""),"#N/A")</f>
        <v>#N/A</v>
      </c>
      <c r="AA1414" s="229"/>
      <c r="AB1414" s="229"/>
      <c r="AC1414" s="229"/>
      <c r="AD1414" s="232"/>
      <c r="AE1414" s="233"/>
      <c r="AF1414" s="54" t="str">
        <f>IFERROR(__xludf.DUMMYFUNCTION("""COMPUTED_VALUE"""),"Draft BA DROP")</f>
        <v>Draft BA DROP</v>
      </c>
      <c r="AG1414" s="54"/>
      <c r="AH1414" s="54">
        <v>46137.0</v>
      </c>
      <c r="AI1414" s="237">
        <f>AH1414-NOW()</f>
        <v>-3.377989931</v>
      </c>
      <c r="AJ1414" s="229" t="str">
        <f>if(AI1414&gt;=0,"In Komitmen","Out Komitmen")</f>
        <v>Out Komitmen</v>
      </c>
      <c r="AW1414" s="234"/>
      <c r="BP1414" s="11"/>
      <c r="BQ1414" s="11"/>
      <c r="BR1414" s="235"/>
      <c r="BV1414" s="158"/>
      <c r="BY1414" s="158"/>
      <c r="CB1414" s="158"/>
    </row>
    <row r="1415" ht="18.0" customHeight="1">
      <c r="A1415" s="222">
        <f>IFERROR(__xludf.DUMMYFUNCTION("""COMPUTED_VALUE"""),2026.0)</f>
        <v>2026</v>
      </c>
      <c r="B1415" s="221">
        <f>IFERROR(__xludf.DUMMYFUNCTION("""COMPUTED_VALUE"""),1.1450006E7)</f>
        <v>11450006</v>
      </c>
      <c r="C1415" s="222" t="str">
        <f>IFERROR(__xludf.DUMMYFUNCTION("""COMPUTED_VALUE"""),"RKP PT3 TSEL RAI-FR JL. HASANUDIN")</f>
        <v>RKP PT3 TSEL RAI-FR JL. HASANUDIN</v>
      </c>
      <c r="D1415" s="222" t="str">
        <f>IFERROR(__xludf.DUMMYFUNCTION("""COMPUTED_VALUE"""),"REGIONAL I")</f>
        <v>REGIONAL I</v>
      </c>
      <c r="E1415" s="222" t="str">
        <f>IFERROR(__xludf.DUMMYFUNCTION("""COMPUTED_VALUE"""),"RIKEP")</f>
        <v>RIKEP</v>
      </c>
      <c r="F1415" s="222" t="str">
        <f>IFERROR(__xludf.DUMMYFUNCTION("""COMPUTED_VALUE"""),"RAI")</f>
        <v>RAI</v>
      </c>
      <c r="G1415" s="222" t="str">
        <f>IFERROR(__xludf.DUMMYFUNCTION("""COMPUTED_VALUE"""),"SUMBAGTENG")</f>
        <v>SUMBAGTENG</v>
      </c>
      <c r="H1415" s="222" t="str">
        <f>IFERROR(__xludf.DUMMYFUNCTION("""COMPUTED_VALUE"""),"BATAM")</f>
        <v>BATAM</v>
      </c>
      <c r="I1415" s="222" t="str">
        <f>IFERROR(__xludf.DUMMYFUNCTION("""COMPUTED_VALUE"""),"Batch 2")</f>
        <v>Batch 2</v>
      </c>
      <c r="J1415" s="225">
        <f>IFERROR(__xludf.DUMMYFUNCTION("""COMPUTED_VALUE"""),4.0)</f>
        <v>4</v>
      </c>
      <c r="K1415" s="224">
        <f>IFERROR(__xludf.DUMMYFUNCTION("""COMPUTED_VALUE"""),32.0)</f>
        <v>32</v>
      </c>
      <c r="L1415" s="226">
        <f>IFERROR(__xludf.DUMMYFUNCTION("""COMPUTED_VALUE"""),1310741.0)</f>
        <v>1310741</v>
      </c>
      <c r="M1415" s="227">
        <f>IFERROR(__xludf.DUMMYFUNCTION("""COMPUTED_VALUE"""),4.1943712E7)</f>
        <v>41943712</v>
      </c>
      <c r="N1415" s="222" t="str">
        <f>IFERROR(__xludf.DUMMYFUNCTION("""COMPUTED_VALUE"""),"SWAKELOLA")</f>
        <v>SWAKELOLA</v>
      </c>
      <c r="O1415" s="222" t="str">
        <f>IFERROR(__xludf.DUMMYFUNCTION("""COMPUTED_VALUE"""),"4. MATDEL")</f>
        <v>4. MATDEL</v>
      </c>
      <c r="P1415" s="222" t="str">
        <f>IFERROR(__xludf.DUMMYFUNCTION("""COMPUTED_VALUE"""),"4.3 Proses Kirim Mateial Kelokasi")</f>
        <v>4.3 Proses Kirim Mateial Kelokasi</v>
      </c>
      <c r="Q1415"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415" s="228"/>
      <c r="S1415" s="11"/>
      <c r="T1415" s="11"/>
      <c r="U1415" s="11" t="str">
        <f>IFERROR(__xludf.DUMMYFUNCTION("""COMPUTED_VALUE"""),"W09-235/2026")</f>
        <v>W09-235/2026</v>
      </c>
      <c r="V1415" s="229" t="str">
        <f>IFERROR(__xludf.DUMMYFUNCTION("""COMPUTED_VALUE"""),"DEDY IRAWAN")</f>
        <v>DEDY IRAWAN</v>
      </c>
      <c r="W1415" s="229" t="str">
        <f>IFERROR(__xludf.DUMMYFUNCTION("""COMPUTED_VALUE"""),"LEVITA INDRIYANI")</f>
        <v>LEVITA INDRIYANI</v>
      </c>
      <c r="X1415" s="229" t="str">
        <f>IFERROR(__xludf.DUMMYFUNCTION("""COMPUTED_VALUE"""),"BELUM GOLIVE")</f>
        <v>BELUM GOLIVE</v>
      </c>
      <c r="Y1415" s="229"/>
      <c r="Z1415" s="229" t="str">
        <f>IFERROR(__xludf.DUMMYFUNCTION("""COMPUTED_VALUE"""),"#N/A")</f>
        <v>#N/A</v>
      </c>
      <c r="AA1415" s="229"/>
      <c r="AB1415" s="229"/>
      <c r="AC1415" s="229"/>
      <c r="AD1415" s="232"/>
      <c r="AE1415" s="233"/>
      <c r="AF1415" s="54"/>
      <c r="AG1415" s="54"/>
      <c r="AH1415" s="54"/>
      <c r="AI1415" s="55" t="str">
        <f t="shared" ref="AI1415:AI1425" si="144">IF(OR(R1415="",AE1415=""),"",R1415-AE1415)</f>
        <v/>
      </c>
      <c r="AW1415" s="234"/>
      <c r="BP1415" s="11"/>
      <c r="BQ1415" s="11"/>
      <c r="BR1415" s="235"/>
      <c r="BV1415" s="158"/>
      <c r="BY1415" s="158"/>
      <c r="CB1415" s="158"/>
    </row>
    <row r="1416" ht="18.0" hidden="1" customHeight="1">
      <c r="A1416" s="222">
        <f>IFERROR(__xludf.DUMMYFUNCTION("""COMPUTED_VALUE"""),2026.0)</f>
        <v>2026</v>
      </c>
      <c r="B1416" s="221">
        <f>IFERROR(__xludf.DUMMYFUNCTION("""COMPUTED_VALUE"""),1.0991435E7)</f>
        <v>10991435</v>
      </c>
      <c r="C1416" s="222" t="str">
        <f>IFERROR(__xludf.DUMMYFUNCTION("""COMPUTED_VALUE"""),"MDN PT3 P7I2 TJR-FH MEGA MANSION T.MORAWA")</f>
        <v>MDN PT3 P7I2 TJR-FH MEGA MANSION T.MORAWA</v>
      </c>
      <c r="D1416" s="222" t="str">
        <f>IFERROR(__xludf.DUMMYFUNCTION("""COMPUTED_VALUE"""),"REGIONAL I")</f>
        <v>REGIONAL I</v>
      </c>
      <c r="E1416" s="222" t="str">
        <f>IFERROR(__xludf.DUMMYFUNCTION("""COMPUTED_VALUE"""),"MEDAN")</f>
        <v>MEDAN</v>
      </c>
      <c r="F1416" s="222" t="str">
        <f>IFERROR(__xludf.DUMMYFUNCTION("""COMPUTED_VALUE"""),"TJR")</f>
        <v>TJR</v>
      </c>
      <c r="G1416" s="222" t="str">
        <f>IFERROR(__xludf.DUMMYFUNCTION("""COMPUTED_VALUE"""),"SUMBAGUT")</f>
        <v>SUMBAGUT</v>
      </c>
      <c r="H1416" s="222" t="str">
        <f>IFERROR(__xludf.DUMMYFUNCTION("""COMPUTED_VALUE"""),"MEDAN")</f>
        <v>MEDAN</v>
      </c>
      <c r="I1416" s="222" t="str">
        <f>IFERROR(__xludf.DUMMYFUNCTION("""COMPUTED_VALUE"""),"Batch 2")</f>
        <v>Batch 2</v>
      </c>
      <c r="J1416" s="225">
        <f>IFERROR(__xludf.DUMMYFUNCTION("""COMPUTED_VALUE"""),3.0)</f>
        <v>3</v>
      </c>
      <c r="K1416" s="224">
        <f>IFERROR(__xludf.DUMMYFUNCTION("""COMPUTED_VALUE"""),24.0)</f>
        <v>24</v>
      </c>
      <c r="L1416" s="226">
        <f>IFERROR(__xludf.DUMMYFUNCTION("""COMPUTED_VALUE"""),704852.0)</f>
        <v>704852</v>
      </c>
      <c r="M1416" s="227">
        <f>IFERROR(__xludf.DUMMYFUNCTION("""COMPUTED_VALUE"""),1.6916427E7)</f>
        <v>16916427</v>
      </c>
      <c r="N1416" s="222" t="str">
        <f>IFERROR(__xludf.DUMMYFUNCTION("""COMPUTED_VALUE"""),"PT PRIMA INDO SENTOSA")</f>
        <v>PT PRIMA INDO SENTOSA</v>
      </c>
      <c r="O1416" s="222" t="str">
        <f>IFERROR(__xludf.DUMMYFUNCTION("""COMPUTED_VALUE"""),"0. DROP")</f>
        <v>0. DROP</v>
      </c>
      <c r="P1416" s="222" t="str">
        <f>IFERROR(__xludf.DUMMYFUNCTION("""COMPUTED_VALUE"""),"0.1 Double Order")</f>
        <v>0.1 Double Order</v>
      </c>
      <c r="Q1416" s="222" t="str">
        <f>IFERROR(__xludf.DUMMYFUNCTION("""COMPUTED_VALUE"""),"12/02 FTTH PT-3  PT-3 MD  10991435")</f>
        <v>12/02 FTTH PT-3  PT-3 MD  10991435</v>
      </c>
      <c r="R1416" s="228"/>
      <c r="S1416" s="11"/>
      <c r="T1416" s="11"/>
      <c r="U1416" s="11"/>
      <c r="V1416" s="229"/>
      <c r="W1416" s="229"/>
      <c r="X1416" s="229"/>
      <c r="Y1416" s="229" t="str">
        <f>IFERROR(__xludf.DUMMYFUNCTION("""COMPUTED_VALUE"""),"DONE")</f>
        <v>DONE</v>
      </c>
      <c r="Z1416" s="229" t="str">
        <f>IFERROR(__xludf.DUMMYFUNCTION("""COMPUTED_VALUE"""),"#N/A")</f>
        <v>#N/A</v>
      </c>
      <c r="AA1416" s="229"/>
      <c r="AB1416" s="229"/>
      <c r="AC1416" s="229"/>
      <c r="AD1416" s="232"/>
      <c r="AE1416" s="233"/>
      <c r="AF1416" s="54" t="str">
        <f>IFERROR(__xludf.DUMMYFUNCTION("""COMPUTED_VALUE"""),"Draft BA DROP")</f>
        <v>Draft BA DROP</v>
      </c>
      <c r="AG1416" s="54"/>
      <c r="AH1416" s="54"/>
      <c r="AI1416" s="55" t="str">
        <f t="shared" si="144"/>
        <v/>
      </c>
      <c r="AW1416" s="234"/>
      <c r="BP1416" s="11"/>
      <c r="BQ1416" s="11"/>
      <c r="BR1416" s="235"/>
      <c r="BV1416" s="158"/>
      <c r="BY1416" s="158"/>
      <c r="CB1416" s="158"/>
    </row>
    <row r="1417" ht="18.0" customHeight="1">
      <c r="A1417" s="222">
        <f>IFERROR(__xludf.DUMMYFUNCTION("""COMPUTED_VALUE"""),2026.0)</f>
        <v>2026</v>
      </c>
      <c r="B1417" s="221">
        <f>IFERROR(__xludf.DUMMYFUNCTION("""COMPUTED_VALUE"""),1.1440334E7)</f>
        <v>11440334</v>
      </c>
      <c r="C1417" s="222" t="str">
        <f>IFERROR(__xludf.DUMMYFUNCTION("""COMPUTED_VALUE"""),"SMB LIMA PULUH KOTA_14400")</f>
        <v>SMB LIMA PULUH KOTA_14400</v>
      </c>
      <c r="D1417" s="222" t="str">
        <f>IFERROR(__xludf.DUMMYFUNCTION("""COMPUTED_VALUE"""),"REGIONAL I")</f>
        <v>REGIONAL I</v>
      </c>
      <c r="E1417" s="222" t="str">
        <f>IFERROR(__xludf.DUMMYFUNCTION("""COMPUTED_VALUE"""),"SUMBAR")</f>
        <v>SUMBAR</v>
      </c>
      <c r="F1417" s="222" t="str">
        <f>IFERROR(__xludf.DUMMYFUNCTION("""COMPUTED_VALUE"""),"HRU")</f>
        <v>HRU</v>
      </c>
      <c r="G1417" s="222" t="str">
        <f>IFERROR(__xludf.DUMMYFUNCTION("""COMPUTED_VALUE"""),"SUMBAGTENG")</f>
        <v>SUMBAGTENG</v>
      </c>
      <c r="H1417" s="222" t="str">
        <f>IFERROR(__xludf.DUMMYFUNCTION("""COMPUTED_VALUE"""),"BUKIT TINGGI")</f>
        <v>BUKIT TINGGI</v>
      </c>
      <c r="I1417" s="222" t="str">
        <f>IFERROR(__xludf.DUMMYFUNCTION("""COMPUTED_VALUE"""),"Batch 2")</f>
        <v>Batch 2</v>
      </c>
      <c r="J1417" s="225">
        <f>IFERROR(__xludf.DUMMYFUNCTION("""COMPUTED_VALUE"""),4.0)</f>
        <v>4</v>
      </c>
      <c r="K1417" s="224">
        <f>IFERROR(__xludf.DUMMYFUNCTION("""COMPUTED_VALUE"""),32.0)</f>
        <v>32</v>
      </c>
      <c r="L1417" s="226">
        <f>IFERROR(__xludf.DUMMYFUNCTION("""COMPUTED_VALUE"""),704034.0)</f>
        <v>704034</v>
      </c>
      <c r="M1417" s="227">
        <f>IFERROR(__xludf.DUMMYFUNCTION("""COMPUTED_VALUE"""),2.2529075E7)</f>
        <v>22529075</v>
      </c>
      <c r="N1417" s="222" t="str">
        <f>IFERROR(__xludf.DUMMYFUNCTION("""COMPUTED_VALUE"""),"PT TSUIKA BERKAH RAYA")</f>
        <v>PT TSUIKA BERKAH RAYA</v>
      </c>
      <c r="O1417" s="222" t="str">
        <f>IFERROR(__xludf.DUMMYFUNCTION("""COMPUTED_VALUE"""),"0. DROP")</f>
        <v>0. DROP</v>
      </c>
      <c r="P1417" s="222" t="str">
        <f>IFERROR(__xludf.DUMMYFUNCTION("""COMPUTED_VALUE"""),"0.3 Feeder Full")</f>
        <v>0.3 Feeder Full</v>
      </c>
      <c r="Q1417" s="222" t="str">
        <f>IFERROR(__xludf.DUMMYFUNCTION("""COMPUTED_VALUE"""),"(26/01) KENDALA FEEDER HRU-FE FULL, BUTUH NEW FEEDER")</f>
        <v>(26/01) KENDALA FEEDER HRU-FE FULL, BUTUH NEW FEEDER</v>
      </c>
      <c r="R1417" s="228"/>
      <c r="S1417" s="11"/>
      <c r="T1417" s="11"/>
      <c r="U1417" s="11"/>
      <c r="V1417" s="229"/>
      <c r="W1417" s="229"/>
      <c r="X1417" s="229" t="str">
        <f>IFERROR(__xludf.DUMMYFUNCTION("""COMPUTED_VALUE"""),"BELUM GOLIVE")</f>
        <v>BELUM GOLIVE</v>
      </c>
      <c r="Y1417" s="229"/>
      <c r="Z1417" s="229" t="str">
        <f>IFERROR(__xludf.DUMMYFUNCTION("""COMPUTED_VALUE"""),"#N/A")</f>
        <v>#N/A</v>
      </c>
      <c r="AA1417" s="229"/>
      <c r="AB1417" s="229"/>
      <c r="AC1417" s="229"/>
      <c r="AD1417" s="232"/>
      <c r="AE1417" s="233"/>
      <c r="AF1417" s="54" t="str">
        <f>IFERROR(__xludf.DUMMYFUNCTION("""COMPUTED_VALUE"""),"Draft BA DROP")</f>
        <v>Draft BA DROP</v>
      </c>
      <c r="AG1417" s="54"/>
      <c r="AH1417" s="54"/>
      <c r="AI1417" s="55" t="str">
        <f t="shared" si="144"/>
        <v/>
      </c>
      <c r="AW1417" s="234"/>
      <c r="BP1417" s="11"/>
      <c r="BQ1417" s="11"/>
      <c r="BR1417" s="235"/>
      <c r="BV1417" s="158"/>
      <c r="BY1417" s="158"/>
      <c r="CB1417" s="158"/>
    </row>
    <row r="1418" ht="18.0" hidden="1" customHeight="1">
      <c r="A1418" s="222">
        <f>IFERROR(__xludf.DUMMYFUNCTION("""COMPUTED_VALUE"""),2026.0)</f>
        <v>2026</v>
      </c>
      <c r="B1418" s="221">
        <f>IFERROR(__xludf.DUMMYFUNCTION("""COMPUTED_VALUE"""),1.1986377E7)</f>
        <v>11986377</v>
      </c>
      <c r="C1418" s="222" t="str">
        <f>IFERROR(__xludf.DUMMYFUNCTION("""COMPUTED_VALUE"""),"ACH SAB PT3 SAB-FG BR.D03 IE MEULEE")</f>
        <v>ACH SAB PT3 SAB-FG BR.D03 IE MEULEE</v>
      </c>
      <c r="D1418" s="222" t="str">
        <f>IFERROR(__xludf.DUMMYFUNCTION("""COMPUTED_VALUE"""),"REGIONAL I")</f>
        <v>REGIONAL I</v>
      </c>
      <c r="E1418" s="222" t="str">
        <f>IFERROR(__xludf.DUMMYFUNCTION("""COMPUTED_VALUE"""),"ACEH")</f>
        <v>ACEH</v>
      </c>
      <c r="F1418" s="222" t="str">
        <f>IFERROR(__xludf.DUMMYFUNCTION("""COMPUTED_VALUE"""),"SAB")</f>
        <v>SAB</v>
      </c>
      <c r="G1418" s="222" t="str">
        <f>IFERROR(__xludf.DUMMYFUNCTION("""COMPUTED_VALUE"""),"SUMBAGUT")</f>
        <v>SUMBAGUT</v>
      </c>
      <c r="H1418" s="222" t="str">
        <f>IFERROR(__xludf.DUMMYFUNCTION("""COMPUTED_VALUE"""),"BANDA ACEH")</f>
        <v>BANDA ACEH</v>
      </c>
      <c r="I1418" s="222" t="str">
        <f>IFERROR(__xludf.DUMMYFUNCTION("""COMPUTED_VALUE"""),"Batch 2")</f>
        <v>Batch 2</v>
      </c>
      <c r="J1418" s="225">
        <f>IFERROR(__xludf.DUMMYFUNCTION("""COMPUTED_VALUE"""),10.0)</f>
        <v>10</v>
      </c>
      <c r="K1418" s="224">
        <f>IFERROR(__xludf.DUMMYFUNCTION("""COMPUTED_VALUE"""),80.0)</f>
        <v>80</v>
      </c>
      <c r="L1418" s="226">
        <f>IFERROR(__xludf.DUMMYFUNCTION("""COMPUTED_VALUE"""),703841.0)</f>
        <v>703841</v>
      </c>
      <c r="M1418" s="227">
        <f>IFERROR(__xludf.DUMMYFUNCTION("""COMPUTED_VALUE"""),5.6307241E7)</f>
        <v>56307241</v>
      </c>
      <c r="N1418" s="222" t="str">
        <f>IFERROR(__xludf.DUMMYFUNCTION("""COMPUTED_VALUE"""),"PT TRIPOLA PANATA")</f>
        <v>PT TRIPOLA PANATA</v>
      </c>
      <c r="O1418" s="222" t="str">
        <f>IFERROR(__xludf.DUMMYFUNCTION("""COMPUTED_VALUE"""),"7. GOLIVE")</f>
        <v>7. GOLIVE</v>
      </c>
      <c r="P1418" s="222" t="str">
        <f>IFERROR(__xludf.DUMMYFUNCTION("""COMPUTED_VALUE"""),"7.2 Golive Full / OA / DONE OTB")</f>
        <v>7.2 Golive Full / OA / DONE OTB</v>
      </c>
      <c r="Q1418" s="222" t="str">
        <f>IFERROR(__xludf.DUMMYFUNCTION("""COMPUTED_VALUE"""),"(11/02) terminasi (07/02) Penarikan Kabel (02/02) Tanam Tiang (23/01) PO Material (21/01) DelMat (07/01) Persiapan")</f>
        <v>(11/02) terminasi (07/02) Penarikan Kabel (02/02) Tanam Tiang (23/01) PO Material (21/01) DelMat (07/01) Persiapan</v>
      </c>
      <c r="R1418" s="228">
        <f>IFERROR(__xludf.DUMMYFUNCTION("""COMPUTED_VALUE"""),46075.0)</f>
        <v>46075</v>
      </c>
      <c r="S1418" s="11"/>
      <c r="T1418" s="11"/>
      <c r="U1418" s="11" t="str">
        <f>IFERROR(__xludf.DUMMYFUNCTION("""COMPUTED_VALUE"""),"W04-1057/2025")</f>
        <v>W04-1057/2025</v>
      </c>
      <c r="V1418" s="229"/>
      <c r="W1418" s="229"/>
      <c r="X1418" s="229" t="str">
        <f>IFERROR(__xludf.DUMMYFUNCTION("""COMPUTED_VALUE"""),"GOLIVE")</f>
        <v>GOLIVE</v>
      </c>
      <c r="Y1418" s="229" t="str">
        <f>IFERROR(__xludf.DUMMYFUNCTION("""COMPUTED_VALUE"""),"DONE")</f>
        <v>DONE</v>
      </c>
      <c r="Z1418" s="229" t="str">
        <f>IFERROR(__xludf.DUMMYFUNCTION("""COMPUTED_VALUE"""),"#N/A")</f>
        <v>#N/A</v>
      </c>
      <c r="AA1418" s="229">
        <f>IFERROR(__xludf.DUMMYFUNCTION("""COMPUTED_VALUE"""),10.0)</f>
        <v>10</v>
      </c>
      <c r="AB1418" s="229"/>
      <c r="AC1418" s="229" t="str">
        <f>IFERROR(__xludf.DUMMYFUNCTION("""COMPUTED_VALUE"""),"9129681#9129686")</f>
        <v>9129681#9129686</v>
      </c>
      <c r="AD1418" s="232">
        <f>IFERROR(__xludf.DUMMYFUNCTION("""COMPUTED_VALUE"""),80.0)</f>
        <v>80</v>
      </c>
      <c r="AE1418" s="233">
        <f>IFERROR(__xludf.DUMMYFUNCTION("""COMPUTED_VALUE"""),46076.0)</f>
        <v>46076</v>
      </c>
      <c r="AF1418" s="54"/>
      <c r="AG1418" s="54"/>
      <c r="AH1418" s="54">
        <v>46075.0</v>
      </c>
      <c r="AI1418" s="55">
        <f t="shared" si="144"/>
        <v>-1</v>
      </c>
      <c r="AW1418" s="234"/>
      <c r="BP1418" s="11"/>
      <c r="BQ1418" s="11"/>
      <c r="BR1418" s="235"/>
      <c r="BV1418" s="158"/>
      <c r="BY1418" s="158"/>
      <c r="CB1418" s="158"/>
    </row>
    <row r="1419" ht="18.0" hidden="1" customHeight="1">
      <c r="A1419" s="222">
        <f>IFERROR(__xludf.DUMMYFUNCTION("""COMPUTED_VALUE"""),2026.0)</f>
        <v>2026</v>
      </c>
      <c r="B1419" s="221">
        <f>IFERROR(__xludf.DUMMYFUNCTION("""COMPUTED_VALUE"""),1.118928E7)</f>
        <v>11189280</v>
      </c>
      <c r="C1419" s="222" t="str">
        <f>IFERROR(__xludf.DUMMYFUNCTION("""COMPUTED_VALUE"""),"MDN PT3 TMU-FAD JL.PUSAKA GG SADAR 2")</f>
        <v>MDN PT3 TMU-FAD JL.PUSAKA GG SADAR 2</v>
      </c>
      <c r="D1419" s="222" t="str">
        <f>IFERROR(__xludf.DUMMYFUNCTION("""COMPUTED_VALUE"""),"REGIONAL I")</f>
        <v>REGIONAL I</v>
      </c>
      <c r="E1419" s="222" t="str">
        <f>IFERROR(__xludf.DUMMYFUNCTION("""COMPUTED_VALUE"""),"MEDAN")</f>
        <v>MEDAN</v>
      </c>
      <c r="F1419" s="222" t="str">
        <f>IFERROR(__xludf.DUMMYFUNCTION("""COMPUTED_VALUE"""),"TMU")</f>
        <v>TMU</v>
      </c>
      <c r="G1419" s="222" t="str">
        <f>IFERROR(__xludf.DUMMYFUNCTION("""COMPUTED_VALUE"""),"SUMBAGUT")</f>
        <v>SUMBAGUT</v>
      </c>
      <c r="H1419" s="222" t="str">
        <f>IFERROR(__xludf.DUMMYFUNCTION("""COMPUTED_VALUE"""),"MEDAN")</f>
        <v>MEDAN</v>
      </c>
      <c r="I1419" s="222" t="str">
        <f>IFERROR(__xludf.DUMMYFUNCTION("""COMPUTED_VALUE"""),"Batch 2")</f>
        <v>Batch 2</v>
      </c>
      <c r="J1419" s="225">
        <f>IFERROR(__xludf.DUMMYFUNCTION("""COMPUTED_VALUE"""),6.0)</f>
        <v>6</v>
      </c>
      <c r="K1419" s="224">
        <f>IFERROR(__xludf.DUMMYFUNCTION("""COMPUTED_VALUE"""),48.0)</f>
        <v>48</v>
      </c>
      <c r="L1419" s="226">
        <f>IFERROR(__xludf.DUMMYFUNCTION("""COMPUTED_VALUE"""),1033724.0)</f>
        <v>1033724</v>
      </c>
      <c r="M1419" s="227">
        <f>IFERROR(__xludf.DUMMYFUNCTION("""COMPUTED_VALUE"""),4.9618728E7)</f>
        <v>49618728</v>
      </c>
      <c r="N1419" s="222" t="str">
        <f>IFERROR(__xludf.DUMMYFUNCTION("""COMPUTED_VALUE"""),"PT DUL JAYA TAMA")</f>
        <v>PT DUL JAYA TAMA</v>
      </c>
      <c r="O1419" s="222" t="str">
        <f>IFERROR(__xludf.DUMMYFUNCTION("""COMPUTED_VALUE"""),"7. GOLIVE")</f>
        <v>7. GOLIVE</v>
      </c>
      <c r="P1419" s="222" t="str">
        <f>IFERROR(__xludf.DUMMYFUNCTION("""COMPUTED_VALUE"""),"7.2 Golive Full / OA / DONE OTB")</f>
        <v>7.2 Golive Full / OA / DONE OTB</v>
      </c>
      <c r="Q1419" s="222" t="str">
        <f>IFERROR(__xludf.DUMMYFUNCTION("""COMPUTED_VALUE"""),"09/03 pembuatan ABD 06/03 Progress VALINS 17/02 Penarikan KU dan Tanam Tiang 11/02 Prelim Approved TIF 04/02 Aanwidzing ok, lnjut perizinan")</f>
        <v>09/03 pembuatan ABD 06/03 Progress VALINS 17/02 Penarikan KU dan Tanam Tiang 11/02 Prelim Approved TIF 04/02 Aanwidzing ok, lnjut perizinan</v>
      </c>
      <c r="R1419" s="228">
        <f>IFERROR(__xludf.DUMMYFUNCTION("""COMPUTED_VALUE"""),46094.0)</f>
        <v>46094</v>
      </c>
      <c r="S1419" s="11" t="str">
        <f>IFERROR(__xludf.DUMMYFUNCTION("""COMPUTED_VALUE"""),"MAR")</f>
        <v>MAR</v>
      </c>
      <c r="T1419" s="11"/>
      <c r="U1419" s="11"/>
      <c r="V1419" s="229"/>
      <c r="W1419" s="229"/>
      <c r="X1419" s="229" t="str">
        <f>IFERROR(__xludf.DUMMYFUNCTION("""COMPUTED_VALUE"""),"GOLIVE")</f>
        <v>GOLIVE</v>
      </c>
      <c r="Y1419" s="229" t="str">
        <f>IFERROR(__xludf.DUMMYFUNCTION("""COMPUTED_VALUE"""),"DONE")</f>
        <v>DONE</v>
      </c>
      <c r="Z1419" s="229" t="str">
        <f>IFERROR(__xludf.DUMMYFUNCTION("""COMPUTED_VALUE"""),"#N/A")</f>
        <v>#N/A</v>
      </c>
      <c r="AA1419" s="229">
        <f>IFERROR(__xludf.DUMMYFUNCTION("""COMPUTED_VALUE"""),6.0)</f>
        <v>6</v>
      </c>
      <c r="AB1419" s="229"/>
      <c r="AC1419" s="229" t="str">
        <f>IFERROR(__xludf.DUMMYFUNCTION("""COMPUTED_VALUE"""),"9198337#9198342")</f>
        <v>9198337#9198342</v>
      </c>
      <c r="AD1419" s="232">
        <f>IFERROR(__xludf.DUMMYFUNCTION("""COMPUTED_VALUE"""),48.0)</f>
        <v>48</v>
      </c>
      <c r="AE1419" s="233">
        <f>IFERROR(__xludf.DUMMYFUNCTION("""COMPUTED_VALUE"""),46092.0)</f>
        <v>46092</v>
      </c>
      <c r="AF1419" s="54"/>
      <c r="AG1419" s="54"/>
      <c r="AH1419" s="54">
        <v>46094.0</v>
      </c>
      <c r="AI1419" s="55">
        <f t="shared" si="144"/>
        <v>2</v>
      </c>
      <c r="AW1419" s="234"/>
      <c r="BP1419" s="11"/>
      <c r="BQ1419" s="11"/>
      <c r="BR1419" s="235"/>
      <c r="BV1419" s="158"/>
      <c r="BY1419" s="158"/>
      <c r="CB1419" s="158"/>
    </row>
    <row r="1420" ht="18.0" customHeight="1">
      <c r="A1420" s="222">
        <f>IFERROR(__xludf.DUMMYFUNCTION("""COMPUTED_VALUE"""),2026.0)</f>
        <v>2026</v>
      </c>
      <c r="B1420" s="221">
        <f>IFERROR(__xludf.DUMMYFUNCTION("""COMPUTED_VALUE"""),1.1390799E7)</f>
        <v>11390799</v>
      </c>
      <c r="C1420" s="222" t="str">
        <f>IFERROR(__xludf.DUMMYFUNCTION("""COMPUTED_VALUE"""),"SMB MD KOTA PADANG_15762")</f>
        <v>SMB MD KOTA PADANG_15762</v>
      </c>
      <c r="D1420" s="222" t="str">
        <f>IFERROR(__xludf.DUMMYFUNCTION("""COMPUTED_VALUE"""),"REGIONAL I")</f>
        <v>REGIONAL I</v>
      </c>
      <c r="E1420" s="222" t="str">
        <f>IFERROR(__xludf.DUMMYFUNCTION("""COMPUTED_VALUE"""),"SUMBAR")</f>
        <v>SUMBAR</v>
      </c>
      <c r="F1420" s="222" t="str">
        <f>IFERROR(__xludf.DUMMYFUNCTION("""COMPUTED_VALUE"""),"KJI")</f>
        <v>KJI</v>
      </c>
      <c r="G1420" s="222" t="str">
        <f>IFERROR(__xludf.DUMMYFUNCTION("""COMPUTED_VALUE"""),"SUMBAGTENG")</f>
        <v>SUMBAGTENG</v>
      </c>
      <c r="H1420" s="222" t="str">
        <f>IFERROR(__xludf.DUMMYFUNCTION("""COMPUTED_VALUE"""),"PADANG")</f>
        <v>PADANG</v>
      </c>
      <c r="I1420" s="222" t="str">
        <f>IFERROR(__xludf.DUMMYFUNCTION("""COMPUTED_VALUE"""),"Batch 2")</f>
        <v>Batch 2</v>
      </c>
      <c r="J1420" s="225">
        <f>IFERROR(__xludf.DUMMYFUNCTION("""COMPUTED_VALUE"""),3.0)</f>
        <v>3</v>
      </c>
      <c r="K1420" s="224">
        <f>IFERROR(__xludf.DUMMYFUNCTION("""COMPUTED_VALUE"""),24.0)</f>
        <v>24</v>
      </c>
      <c r="L1420" s="226">
        <f>IFERROR(__xludf.DUMMYFUNCTION("""COMPUTED_VALUE"""),703759.0)</f>
        <v>703759</v>
      </c>
      <c r="M1420" s="227">
        <f>IFERROR(__xludf.DUMMYFUNCTION("""COMPUTED_VALUE"""),1.68902E7)</f>
        <v>16890200</v>
      </c>
      <c r="N1420" s="222" t="str">
        <f>IFERROR(__xludf.DUMMYFUNCTION("""COMPUTED_VALUE"""),"PT TRI PENAMAS")</f>
        <v>PT TRI PENAMAS</v>
      </c>
      <c r="O1420" s="222" t="str">
        <f>IFERROR(__xludf.DUMMYFUNCTION("""COMPUTED_VALUE"""),"4. MATDEL")</f>
        <v>4. MATDEL</v>
      </c>
      <c r="P1420" s="222" t="str">
        <f>IFERROR(__xludf.DUMMYFUNCTION("""COMPUTED_VALUE"""),"4.4 Proses Pengiriman Pabribak ke WH")</f>
        <v>4.4 Proses Pengiriman Pabribak ke WH</v>
      </c>
      <c r="Q1420" s="222" t="str">
        <f>IFERROR(__xludf.DUMMYFUNCTION("""COMPUTED_VALUE"""),"(27/04) menunggu PO kabel 24 ADSS (20/04) sudah aanwijziing, proses eval  (10/04) Proses aanwijziing , LOP HOLD FEEDER FULL ACC GO (07/01) KENDALA FEEDER KJI-FD FULL, BUTUH NEW FEEDER")</f>
        <v>(27/04) menunggu PO kabel 24 ADSS (20/04) sudah aanwijziing, proses eval  (10/04) Proses aanwijziing , LOP HOLD FEEDER FULL ACC GO (07/01) KENDALA FEEDER KJI-FD FULL, BUTUH NEW FEEDER</v>
      </c>
      <c r="R1420" s="228"/>
      <c r="S1420" s="11"/>
      <c r="T1420" s="11"/>
      <c r="U1420" s="11"/>
      <c r="V1420" s="229" t="str">
        <f>IFERROR(__xludf.DUMMYFUNCTION("""COMPUTED_VALUE"""),"FABIO RAHMAN")</f>
        <v>FABIO RAHMAN</v>
      </c>
      <c r="W1420" s="229" t="str">
        <f>IFERROR(__xludf.DUMMYFUNCTION("""COMPUTED_VALUE"""),"MELKO NARWADI")</f>
        <v>MELKO NARWADI</v>
      </c>
      <c r="X1420" s="229" t="str">
        <f>IFERROR(__xludf.DUMMYFUNCTION("""COMPUTED_VALUE"""),"BELUM GOLIVE")</f>
        <v>BELUM GOLIVE</v>
      </c>
      <c r="Y1420" s="229"/>
      <c r="Z1420" s="229" t="str">
        <f>IFERROR(__xludf.DUMMYFUNCTION("""COMPUTED_VALUE"""),"#N/A")</f>
        <v>#N/A</v>
      </c>
      <c r="AA1420" s="229"/>
      <c r="AB1420" s="229"/>
      <c r="AC1420" s="229"/>
      <c r="AD1420" s="232"/>
      <c r="AE1420" s="233"/>
      <c r="AF1420" s="54"/>
      <c r="AG1420" s="54"/>
      <c r="AH1420" s="54"/>
      <c r="AI1420" s="55" t="str">
        <f t="shared" si="144"/>
        <v/>
      </c>
      <c r="AW1420" s="234"/>
      <c r="BP1420" s="11"/>
      <c r="BQ1420" s="11"/>
      <c r="BR1420" s="235"/>
      <c r="BV1420" s="158"/>
      <c r="BY1420" s="158"/>
      <c r="CB1420" s="158"/>
    </row>
    <row r="1421" ht="18.0" hidden="1" customHeight="1">
      <c r="A1421" s="222">
        <f>IFERROR(__xludf.DUMMYFUNCTION("""COMPUTED_VALUE"""),2026.0)</f>
        <v>2026</v>
      </c>
      <c r="B1421" s="221">
        <f>IFERROR(__xludf.DUMMYFUNCTION("""COMPUTED_VALUE"""),1.1843462E7)</f>
        <v>11843462</v>
      </c>
      <c r="C1421" s="222" t="str">
        <f>IFERROR(__xludf.DUMMYFUNCTION("""COMPUTED_VALUE"""),"MDN PT3 DLT-FAA GG.EMIA_MD25")</f>
        <v>MDN PT3 DLT-FAA GG.EMIA_MD25</v>
      </c>
      <c r="D1421" s="222" t="str">
        <f>IFERROR(__xludf.DUMMYFUNCTION("""COMPUTED_VALUE"""),"REGIONAL I")</f>
        <v>REGIONAL I</v>
      </c>
      <c r="E1421" s="222" t="str">
        <f>IFERROR(__xludf.DUMMYFUNCTION("""COMPUTED_VALUE"""),"MEDAN")</f>
        <v>MEDAN</v>
      </c>
      <c r="F1421" s="222" t="str">
        <f>IFERROR(__xludf.DUMMYFUNCTION("""COMPUTED_VALUE"""),"DLT")</f>
        <v>DLT</v>
      </c>
      <c r="G1421" s="222" t="str">
        <f>IFERROR(__xludf.DUMMYFUNCTION("""COMPUTED_VALUE"""),"SUMBAGUT")</f>
        <v>SUMBAGUT</v>
      </c>
      <c r="H1421" s="222" t="str">
        <f>IFERROR(__xludf.DUMMYFUNCTION("""COMPUTED_VALUE"""),"MEDAN")</f>
        <v>MEDAN</v>
      </c>
      <c r="I1421" s="222" t="str">
        <f>IFERROR(__xludf.DUMMYFUNCTION("""COMPUTED_VALUE"""),"Batch 2")</f>
        <v>Batch 2</v>
      </c>
      <c r="J1421" s="225">
        <f>IFERROR(__xludf.DUMMYFUNCTION("""COMPUTED_VALUE"""),5.0)</f>
        <v>5</v>
      </c>
      <c r="K1421" s="224">
        <f>IFERROR(__xludf.DUMMYFUNCTION("""COMPUTED_VALUE"""),40.0)</f>
        <v>40</v>
      </c>
      <c r="L1421" s="226">
        <f>IFERROR(__xludf.DUMMYFUNCTION("""COMPUTED_VALUE"""),949711.0)</f>
        <v>949711</v>
      </c>
      <c r="M1421" s="227">
        <f>IFERROR(__xludf.DUMMYFUNCTION("""COMPUTED_VALUE"""),3.7988411E7)</f>
        <v>37988411</v>
      </c>
      <c r="N1421" s="222" t="str">
        <f>IFERROR(__xludf.DUMMYFUNCTION("""COMPUTED_VALUE"""),"PT SALTTEK DUMPANG JAYA")</f>
        <v>PT SALTTEK DUMPANG JAYA</v>
      </c>
      <c r="O1421" s="222" t="str">
        <f>IFERROR(__xludf.DUMMYFUNCTION("""COMPUTED_VALUE"""),"7. GOLIVE")</f>
        <v>7. GOLIVE</v>
      </c>
      <c r="P1421" s="222" t="str">
        <f>IFERROR(__xludf.DUMMYFUNCTION("""COMPUTED_VALUE"""),"7.2 Golive Full / OA / DONE OTB")</f>
        <v>7.2 Golive Full / OA / DONE OTB</v>
      </c>
      <c r="Q1421" s="222" t="str">
        <f>IFERROR(__xludf.DUMMYFUNCTION("""COMPUTED_VALUE"""),"04/03 valins 03/03 terminasi ODC/ODP 02/03 komitmen ABD 09/03 03/02 penarikan KU 19/02 Req Material 05/02 Kades minta comcase 8.5 jt")</f>
        <v>04/03 valins 03/03 terminasi ODC/ODP 02/03 komitmen ABD 09/03 03/02 penarikan KU 19/02 Req Material 05/02 Kades minta comcase 8.5 jt</v>
      </c>
      <c r="R1421" s="228">
        <f>IFERROR(__xludf.DUMMYFUNCTION("""COMPUTED_VALUE"""),46107.0)</f>
        <v>46107</v>
      </c>
      <c r="S1421" s="11" t="str">
        <f>IFERROR(__xludf.DUMMYFUNCTION("""COMPUTED_VALUE"""),"MAR")</f>
        <v>MAR</v>
      </c>
      <c r="T1421" s="11"/>
      <c r="U1421" s="11"/>
      <c r="V1421" s="229"/>
      <c r="W1421" s="229"/>
      <c r="X1421" s="229" t="str">
        <f>IFERROR(__xludf.DUMMYFUNCTION("""COMPUTED_VALUE"""),"GOLIVE")</f>
        <v>GOLIVE</v>
      </c>
      <c r="Y1421" s="229" t="str">
        <f>IFERROR(__xludf.DUMMYFUNCTION("""COMPUTED_VALUE"""),"DONE")</f>
        <v>DONE</v>
      </c>
      <c r="Z1421" s="229" t="str">
        <f>IFERROR(__xludf.DUMMYFUNCTION("""COMPUTED_VALUE"""),"#N/A")</f>
        <v>#N/A</v>
      </c>
      <c r="AA1421" s="229">
        <f>IFERROR(__xludf.DUMMYFUNCTION("""COMPUTED_VALUE"""),5.0)</f>
        <v>5</v>
      </c>
      <c r="AB1421" s="229"/>
      <c r="AC1421" s="229" t="str">
        <f>IFERROR(__xludf.DUMMYFUNCTION("""COMPUTED_VALUE"""),"9186651#9186656")</f>
        <v>9186651#9186656</v>
      </c>
      <c r="AD1421" s="232">
        <f>IFERROR(__xludf.DUMMYFUNCTION("""COMPUTED_VALUE"""),40.0)</f>
        <v>40</v>
      </c>
      <c r="AE1421" s="233">
        <f>IFERROR(__xludf.DUMMYFUNCTION("""COMPUTED_VALUE"""),46089.0)</f>
        <v>46089</v>
      </c>
      <c r="AF1421" s="54"/>
      <c r="AG1421" s="54"/>
      <c r="AH1421" s="54">
        <v>46107.0</v>
      </c>
      <c r="AI1421" s="55">
        <f t="shared" si="144"/>
        <v>18</v>
      </c>
      <c r="AW1421" s="234"/>
      <c r="BP1421" s="11"/>
      <c r="BQ1421" s="11"/>
      <c r="BR1421" s="235"/>
      <c r="BV1421" s="158"/>
      <c r="BY1421" s="158"/>
      <c r="CB1421" s="158"/>
    </row>
    <row r="1422" ht="18.0" hidden="1" customHeight="1">
      <c r="A1422" s="222">
        <f>IFERROR(__xludf.DUMMYFUNCTION("""COMPUTED_VALUE"""),2026.0)</f>
        <v>2026</v>
      </c>
      <c r="B1422" s="221">
        <f>IFERROR(__xludf.DUMMYFUNCTION("""COMPUTED_VALUE"""),1.1332829E7)</f>
        <v>11332829</v>
      </c>
      <c r="C1422" s="222" t="str">
        <f>IFERROR(__xludf.DUMMYFUNCTION("""COMPUTED_VALUE"""),"SMS P2I2 PT3 SGB FAZ D02 LR AL BAROKAH")</f>
        <v>SMS P2I2 PT3 SGB FAZ D02 LR AL BAROKAH</v>
      </c>
      <c r="D1422" s="222" t="str">
        <f>IFERROR(__xludf.DUMMYFUNCTION("""COMPUTED_VALUE"""),"REGIONAL I")</f>
        <v>REGIONAL I</v>
      </c>
      <c r="E1422" s="222" t="str">
        <f>IFERROR(__xludf.DUMMYFUNCTION("""COMPUTED_VALUE"""),"SUMSEL")</f>
        <v>SUMSEL</v>
      </c>
      <c r="F1422" s="222" t="str">
        <f>IFERROR(__xludf.DUMMYFUNCTION("""COMPUTED_VALUE"""),"SGB")</f>
        <v>SGB</v>
      </c>
      <c r="G1422" s="222" t="str">
        <f>IFERROR(__xludf.DUMMYFUNCTION("""COMPUTED_VALUE"""),"SUMBAGSEL")</f>
        <v>SUMBAGSEL</v>
      </c>
      <c r="H1422" s="222" t="str">
        <f>IFERROR(__xludf.DUMMYFUNCTION("""COMPUTED_VALUE"""),"PALEMBANG")</f>
        <v>PALEMBANG</v>
      </c>
      <c r="I1422" s="222" t="str">
        <f>IFERROR(__xludf.DUMMYFUNCTION("""COMPUTED_VALUE"""),"Batch 2")</f>
        <v>Batch 2</v>
      </c>
      <c r="J1422" s="225">
        <f>IFERROR(__xludf.DUMMYFUNCTION("""COMPUTED_VALUE"""),2.0)</f>
        <v>2</v>
      </c>
      <c r="K1422" s="224">
        <f>IFERROR(__xludf.DUMMYFUNCTION("""COMPUTED_VALUE"""),16.0)</f>
        <v>16</v>
      </c>
      <c r="L1422" s="226">
        <f>IFERROR(__xludf.DUMMYFUNCTION("""COMPUTED_VALUE"""),701031.0)</f>
        <v>701031</v>
      </c>
      <c r="M1422" s="227">
        <f>IFERROR(__xludf.DUMMYFUNCTION("""COMPUTED_VALUE"""),1.1216482E7)</f>
        <v>11216482</v>
      </c>
      <c r="N1422" s="222" t="str">
        <f>IFERROR(__xludf.DUMMYFUNCTION("""COMPUTED_VALUE"""),"PT TRIPUTRA ANDALAN")</f>
        <v>PT TRIPUTRA ANDALAN</v>
      </c>
      <c r="O1422" s="222" t="str">
        <f>IFERROR(__xludf.DUMMYFUNCTION("""COMPUTED_VALUE"""),"0. DROP")</f>
        <v>0. DROP</v>
      </c>
      <c r="P1422" s="222" t="str">
        <f>IFERROR(__xludf.DUMMYFUNCTION("""COMPUTED_VALUE"""),"0.2 Tidak Dapat Izin Warga/Kades/Lurah/Developer")</f>
        <v>0.2 Tidak Dapat Izin Warga/Kades/Lurah/Developer</v>
      </c>
      <c r="Q1422" s="222" t="str">
        <f>IFERROR(__xludf.DUMMYFUNCTION("""COMPUTED_VALUE"""),"06/03 tidak mendapatkan izin, 24/2 tidak mendapatkan izin  07/01 Drop permintaan sales 08/10 DROP dari permintaan sales
 (01/10) menunggu update dri ED karena nilai CPP naik
 (19/09) proses izin RT setempat 22/09
 15/09 proses pencarian core uplink")</f>
        <v>06/03 tidak mendapatkan izin, 24/2 tidak mendapatkan izin  07/01 Drop permintaan sales 08/10 DROP dari permintaan sales
 (01/10) menunggu update dri ED karena nilai CPP naik
 (19/09) proses izin RT setempat 22/09
 15/09 proses pencarian core uplink</v>
      </c>
      <c r="R1422" s="228"/>
      <c r="S1422" s="11"/>
      <c r="T1422" s="11"/>
      <c r="U1422" s="11"/>
      <c r="V1422" s="229" t="str">
        <f>IFERROR(__xludf.DUMMYFUNCTION("""COMPUTED_VALUE"""),"TANTOWI")</f>
        <v>TANTOWI</v>
      </c>
      <c r="W1422" s="229"/>
      <c r="X1422" s="229" t="str">
        <f>IFERROR(__xludf.DUMMYFUNCTION("""COMPUTED_VALUE"""),"BELUM GOLIVE")</f>
        <v>BELUM GOLIVE</v>
      </c>
      <c r="Y1422" s="229"/>
      <c r="Z1422" s="229" t="str">
        <f>IFERROR(__xludf.DUMMYFUNCTION("""COMPUTED_VALUE"""),"#N/A")</f>
        <v>#N/A</v>
      </c>
      <c r="AA1422" s="229"/>
      <c r="AB1422" s="229"/>
      <c r="AC1422" s="229"/>
      <c r="AD1422" s="232"/>
      <c r="AE1422" s="233"/>
      <c r="AF1422" s="54" t="str">
        <f>IFERROR(__xludf.DUMMYFUNCTION("""COMPUTED_VALUE"""),"Draft BA DROP")</f>
        <v>Draft BA DROP</v>
      </c>
      <c r="AG1422" s="54"/>
      <c r="AH1422" s="54"/>
      <c r="AI1422" s="55" t="str">
        <f t="shared" si="144"/>
        <v/>
      </c>
      <c r="AW1422" s="234"/>
      <c r="BP1422" s="11"/>
      <c r="BQ1422" s="11"/>
      <c r="BR1422" s="235"/>
      <c r="BV1422" s="158"/>
      <c r="BY1422" s="158"/>
      <c r="CB1422" s="158"/>
    </row>
    <row r="1423" ht="18.0" customHeight="1">
      <c r="A1423" s="222">
        <f>IFERROR(__xludf.DUMMYFUNCTION("""COMPUTED_VALUE"""),2026.0)</f>
        <v>2026</v>
      </c>
      <c r="B1423" s="221">
        <f>IFERROR(__xludf.DUMMYFUNCTION("""COMPUTED_VALUE"""),1.198066E7)</f>
        <v>11980660</v>
      </c>
      <c r="C1423" s="222" t="str">
        <f>IFERROR(__xludf.DUMMYFUNCTION("""COMPUTED_VALUE"""),"SMB-PT3-ODC-LBS-FA-PASAMAN - 4 Cluster")</f>
        <v>SMB-PT3-ODC-LBS-FA-PASAMAN - 4 Cluster</v>
      </c>
      <c r="D1423" s="222" t="str">
        <f>IFERROR(__xludf.DUMMYFUNCTION("""COMPUTED_VALUE"""),"REGIONAL I")</f>
        <v>REGIONAL I</v>
      </c>
      <c r="E1423" s="222" t="str">
        <f>IFERROR(__xludf.DUMMYFUNCTION("""COMPUTED_VALUE"""),"SUMBAR")</f>
        <v>SUMBAR</v>
      </c>
      <c r="F1423" s="222" t="str">
        <f>IFERROR(__xludf.DUMMYFUNCTION("""COMPUTED_VALUE"""),"LBS")</f>
        <v>LBS</v>
      </c>
      <c r="G1423" s="222" t="str">
        <f>IFERROR(__xludf.DUMMYFUNCTION("""COMPUTED_VALUE"""),"SUMBAGTENG")</f>
        <v>SUMBAGTENG</v>
      </c>
      <c r="H1423" s="222" t="str">
        <f>IFERROR(__xludf.DUMMYFUNCTION("""COMPUTED_VALUE"""),"BUKIT TINGGI")</f>
        <v>BUKIT TINGGI</v>
      </c>
      <c r="I1423" s="222" t="str">
        <f>IFERROR(__xludf.DUMMYFUNCTION("""COMPUTED_VALUE"""),"Batch 2")</f>
        <v>Batch 2</v>
      </c>
      <c r="J1423" s="225">
        <f>IFERROR(__xludf.DUMMYFUNCTION("""COMPUTED_VALUE"""),10.0)</f>
        <v>10</v>
      </c>
      <c r="K1423" s="224">
        <f>IFERROR(__xludf.DUMMYFUNCTION("""COMPUTED_VALUE"""),80.0)</f>
        <v>80</v>
      </c>
      <c r="L1423" s="226">
        <f>IFERROR(__xludf.DUMMYFUNCTION("""COMPUTED_VALUE"""),700128.0)</f>
        <v>700128</v>
      </c>
      <c r="M1423" s="227">
        <f>IFERROR(__xludf.DUMMYFUNCTION("""COMPUTED_VALUE"""),5.6010213E7)</f>
        <v>56010213</v>
      </c>
      <c r="N1423" s="222" t="str">
        <f>IFERROR(__xludf.DUMMYFUNCTION("""COMPUTED_VALUE"""),"PT RATRI PRIMA MANDIRI")</f>
        <v>PT RATRI PRIMA MANDIRI</v>
      </c>
      <c r="O1423" s="222" t="str">
        <f>IFERROR(__xludf.DUMMYFUNCTION("""COMPUTED_VALUE"""),"2. DONE AANWIJZING")</f>
        <v>2. DONE AANWIJZING</v>
      </c>
      <c r="P1423" s="222" t="str">
        <f>IFERROR(__xludf.DUMMYFUNCTION("""COMPUTED_VALUE"""),"2.9 Kendala - Distribusi Penuh / Rusak")</f>
        <v>2.9 Kendala - Distribusi Penuh / Rusak</v>
      </c>
      <c r="Q1423" s="222" t="str">
        <f>IFERROR(__xludf.DUMMYFUNCTION("""COMPUTED_VALUE"""),"(27/01) kendala dist 10 LBS-FA full ")</f>
        <v>(27/01) kendala dist 10 LBS-FA full </v>
      </c>
      <c r="R1423" s="228"/>
      <c r="S1423" s="11"/>
      <c r="T1423" s="11"/>
      <c r="U1423" s="11"/>
      <c r="V1423" s="229"/>
      <c r="W1423" s="229"/>
      <c r="X1423" s="229" t="str">
        <f>IFERROR(__xludf.DUMMYFUNCTION("""COMPUTED_VALUE"""),"BELUM GOLIVE")</f>
        <v>BELUM GOLIVE</v>
      </c>
      <c r="Y1423" s="229"/>
      <c r="Z1423" s="229" t="str">
        <f>IFERROR(__xludf.DUMMYFUNCTION("""COMPUTED_VALUE"""),"#N/A")</f>
        <v>#N/A</v>
      </c>
      <c r="AA1423" s="229"/>
      <c r="AB1423" s="229"/>
      <c r="AC1423" s="229"/>
      <c r="AD1423" s="232"/>
      <c r="AE1423" s="233"/>
      <c r="AF1423" s="54"/>
      <c r="AG1423" s="54"/>
      <c r="AH1423" s="54"/>
      <c r="AI1423" s="55" t="str">
        <f t="shared" si="144"/>
        <v/>
      </c>
      <c r="AW1423" s="234"/>
      <c r="BP1423" s="11"/>
      <c r="BQ1423" s="11"/>
      <c r="BR1423" s="235"/>
      <c r="BV1423" s="158"/>
      <c r="BY1423" s="158"/>
      <c r="CB1423" s="158"/>
    </row>
    <row r="1424" ht="18.0" hidden="1" customHeight="1">
      <c r="A1424" s="222">
        <f>IFERROR(__xludf.DUMMYFUNCTION("""COMPUTED_VALUE"""),2026.0)</f>
        <v>2026</v>
      </c>
      <c r="B1424" s="221">
        <f>IFERROR(__xludf.DUMMYFUNCTION("""COMPUTED_VALUE"""),1.0847609E7)</f>
        <v>10847609</v>
      </c>
      <c r="C1424" s="222" t="str">
        <f>IFERROR(__xludf.DUMMYFUNCTION("""COMPUTED_VALUE"""),"JBI-PT3 BRANCHING-MAB-FE-DYAN FRAHMA VUTRA")</f>
        <v>JBI-PT3 BRANCHING-MAB-FE-DYAN FRAHMA VUTRA</v>
      </c>
      <c r="D1424" s="222" t="str">
        <f>IFERROR(__xludf.DUMMYFUNCTION("""COMPUTED_VALUE"""),"REGIONAL I")</f>
        <v>REGIONAL I</v>
      </c>
      <c r="E1424" s="222" t="str">
        <f>IFERROR(__xludf.DUMMYFUNCTION("""COMPUTED_VALUE"""),"JAMBI")</f>
        <v>JAMBI</v>
      </c>
      <c r="F1424" s="222" t="str">
        <f>IFERROR(__xludf.DUMMYFUNCTION("""COMPUTED_VALUE"""),"MAB")</f>
        <v>MAB</v>
      </c>
      <c r="G1424" s="222" t="str">
        <f>IFERROR(__xludf.DUMMYFUNCTION("""COMPUTED_VALUE"""),"SUMBAGSEL")</f>
        <v>SUMBAGSEL</v>
      </c>
      <c r="H1424" s="222" t="str">
        <f>IFERROR(__xludf.DUMMYFUNCTION("""COMPUTED_VALUE"""),"JAMBI")</f>
        <v>JAMBI</v>
      </c>
      <c r="I1424" s="222" t="str">
        <f>IFERROR(__xludf.DUMMYFUNCTION("""COMPUTED_VALUE"""),"Batch 2")</f>
        <v>Batch 2</v>
      </c>
      <c r="J1424" s="225">
        <f>IFERROR(__xludf.DUMMYFUNCTION("""COMPUTED_VALUE"""),2.0)</f>
        <v>2</v>
      </c>
      <c r="K1424" s="224">
        <f>IFERROR(__xludf.DUMMYFUNCTION("""COMPUTED_VALUE"""),16.0)</f>
        <v>16</v>
      </c>
      <c r="L1424" s="226">
        <f>IFERROR(__xludf.DUMMYFUNCTION("""COMPUTED_VALUE"""),699930.0)</f>
        <v>699930</v>
      </c>
      <c r="M1424" s="227">
        <f>IFERROR(__xludf.DUMMYFUNCTION("""COMPUTED_VALUE"""),1.1198875E7)</f>
        <v>11198875</v>
      </c>
      <c r="N1424" s="222" t="str">
        <f>IFERROR(__xludf.DUMMYFUNCTION("""COMPUTED_VALUE"""),"PT HAN SUNG INDONESIA")</f>
        <v>PT HAN SUNG INDONESIA</v>
      </c>
      <c r="O1424" s="222" t="str">
        <f>IFERROR(__xludf.DUMMYFUNCTION("""COMPUTED_VALUE"""),"7. GOLIVE")</f>
        <v>7. GOLIVE</v>
      </c>
      <c r="P1424" s="222" t="str">
        <f>IFERROR(__xludf.DUMMYFUNCTION("""COMPUTED_VALUE"""),"7.2 Golive Full / OA / DONE OTB")</f>
        <v>7.2 Golive Full / OA / DONE OTB</v>
      </c>
      <c r="Q1424" s="222" t="str">
        <f>IFERROR(__xludf.DUMMYFUNCTION("""COMPUTED_VALUE"""),"(13/2) golive sdi 13 feb (5/2) JUMPER  (29/1) MATERIAL SUDAH ONSITE (22/01) PID Done ogp Apv PM Area (12/1) CHANGE MITRA HAN SUNG-  28/11 HOLD 17/11 kendala mitra ,redesign 10/11 matdel (05/11)Req Material (15/10) Mapping Mitra")</f>
        <v>(13/2) golive sdi 13 feb (5/2) JUMPER  (29/1) MATERIAL SUDAH ONSITE (22/01) PID Done ogp Apv PM Area (12/1) CHANGE MITRA HAN SUNG-  28/11 HOLD 17/11 kendala mitra ,redesign 10/11 matdel (05/11)Req Material (15/10) Mapping Mitra</v>
      </c>
      <c r="R1424" s="228">
        <f>IFERROR(__xludf.DUMMYFUNCTION("""COMPUTED_VALUE"""),46066.0)</f>
        <v>46066</v>
      </c>
      <c r="S1424" s="11"/>
      <c r="T1424" s="11"/>
      <c r="U1424" s="11"/>
      <c r="V1424" s="229"/>
      <c r="W1424" s="229"/>
      <c r="X1424" s="229" t="str">
        <f>IFERROR(__xludf.DUMMYFUNCTION("""COMPUTED_VALUE"""),"GOLIVE")</f>
        <v>GOLIVE</v>
      </c>
      <c r="Y1424" s="229" t="str">
        <f>IFERROR(__xludf.DUMMYFUNCTION("""COMPUTED_VALUE"""),"DONE")</f>
        <v>DONE</v>
      </c>
      <c r="Z1424" s="229" t="str">
        <f>IFERROR(__xludf.DUMMYFUNCTION("""COMPUTED_VALUE"""),"#N/A")</f>
        <v>#N/A</v>
      </c>
      <c r="AA1424" s="229">
        <f>IFERROR(__xludf.DUMMYFUNCTION("""COMPUTED_VALUE"""),1.0)</f>
        <v>1</v>
      </c>
      <c r="AB1424" s="229"/>
      <c r="AC1424" s="229" t="str">
        <f>IFERROR(__xludf.DUMMYFUNCTION("""COMPUTED_VALUE"""),"8503999#8504004")</f>
        <v>8503999#8504004</v>
      </c>
      <c r="AD1424" s="232">
        <f>IFERROR(__xludf.DUMMYFUNCTION("""COMPUTED_VALUE"""),8.0)</f>
        <v>8</v>
      </c>
      <c r="AE1424" s="233">
        <f>IFERROR(__xludf.DUMMYFUNCTION("""COMPUTED_VALUE"""),46066.0)</f>
        <v>46066</v>
      </c>
      <c r="AF1424" s="54"/>
      <c r="AG1424" s="54"/>
      <c r="AH1424" s="54">
        <v>46066.0</v>
      </c>
      <c r="AI1424" s="55">
        <f t="shared" si="144"/>
        <v>0</v>
      </c>
      <c r="AW1424" s="234"/>
      <c r="BP1424" s="11"/>
      <c r="BQ1424" s="11"/>
      <c r="BR1424" s="235"/>
      <c r="BV1424" s="158"/>
      <c r="BY1424" s="158"/>
      <c r="CB1424" s="158"/>
    </row>
    <row r="1425" ht="18.0" hidden="1" customHeight="1">
      <c r="A1425" s="222">
        <f>IFERROR(__xludf.DUMMYFUNCTION("""COMPUTED_VALUE"""),2026.0)</f>
        <v>2026</v>
      </c>
      <c r="B1425" s="221">
        <f>IFERROR(__xludf.DUMMYFUNCTION("""COMPUTED_VALUE"""),1.2386068E7)</f>
        <v>12386068</v>
      </c>
      <c r="C1425" s="222" t="str">
        <f>IFERROR(__xludf.DUMMYFUNCTION("""COMPUTED_VALUE"""),"SMS P4I3 PT3 SGB FCD D03 PELANGI SERRA")</f>
        <v>SMS P4I3 PT3 SGB FCD D03 PELANGI SERRA</v>
      </c>
      <c r="D1425" s="222" t="str">
        <f>IFERROR(__xludf.DUMMYFUNCTION("""COMPUTED_VALUE"""),"REGIONAL I")</f>
        <v>REGIONAL I</v>
      </c>
      <c r="E1425" s="222" t="str">
        <f>IFERROR(__xludf.DUMMYFUNCTION("""COMPUTED_VALUE"""),"SUMSEL")</f>
        <v>SUMSEL</v>
      </c>
      <c r="F1425" s="222" t="str">
        <f>IFERROR(__xludf.DUMMYFUNCTION("""COMPUTED_VALUE"""),"SGB")</f>
        <v>SGB</v>
      </c>
      <c r="G1425" s="222" t="str">
        <f>IFERROR(__xludf.DUMMYFUNCTION("""COMPUTED_VALUE"""),"SUMBAGSEL")</f>
        <v>SUMBAGSEL</v>
      </c>
      <c r="H1425" s="222" t="str">
        <f>IFERROR(__xludf.DUMMYFUNCTION("""COMPUTED_VALUE"""),"PALEMBANG")</f>
        <v>PALEMBANG</v>
      </c>
      <c r="I1425" s="222" t="str">
        <f>IFERROR(__xludf.DUMMYFUNCTION("""COMPUTED_VALUE"""),"Batch 2")</f>
        <v>Batch 2</v>
      </c>
      <c r="J1425" s="225">
        <f>IFERROR(__xludf.DUMMYFUNCTION("""COMPUTED_VALUE"""),2.0)</f>
        <v>2</v>
      </c>
      <c r="K1425" s="224">
        <f>IFERROR(__xludf.DUMMYFUNCTION("""COMPUTED_VALUE"""),16.0)</f>
        <v>16</v>
      </c>
      <c r="L1425" s="226">
        <f>IFERROR(__xludf.DUMMYFUNCTION("""COMPUTED_VALUE"""),699431.0)</f>
        <v>699431</v>
      </c>
      <c r="M1425" s="227">
        <f>IFERROR(__xludf.DUMMYFUNCTION("""COMPUTED_VALUE"""),1.1190884E7)</f>
        <v>11190884</v>
      </c>
      <c r="N1425" s="222" t="str">
        <f>IFERROR(__xludf.DUMMYFUNCTION("""COMPUTED_VALUE"""),"PT SARANA MITRA PERSADA")</f>
        <v>PT SARANA MITRA PERSADA</v>
      </c>
      <c r="O1425" s="222" t="str">
        <f>IFERROR(__xludf.DUMMYFUNCTION("""COMPUTED_VALUE"""),"7. GOLIVE")</f>
        <v>7. GOLIVE</v>
      </c>
      <c r="P1425" s="222" t="str">
        <f>IFERROR(__xludf.DUMMYFUNCTION("""COMPUTED_VALUE"""),"7.2 Golive Full / OA / DONE OTB")</f>
        <v>7.2 Golive Full / OA / DONE OTB</v>
      </c>
      <c r="Q1425" s="222" t="str">
        <f>IFERROR(__xludf.DUMMYFUNCTION("""COMPUTED_VALUE"""),"30/03 GOLIVE, 27/03 DONE SUBMIT ABD, 26/03 MENUNGGU DATA ABD, 21/03 DONE VALINS, 19/03 OGP VALINS, 18/03 DONE TANAM TIANG 5BTG - OGP PENARIKAN KABEL, 17/03 PROGRESS PENGAMBILAN MATERIAL, 16/03 DONE RFC, OGP AMBIL MATERIAL, 13/03 PLAN TGL 14 AMBIL MATERIAL"&amp;", 10/03 MITRA MENGAMBIL MATERIAL EST 30 MAR,  26/02 OGP AMBIL MATERIAL, 25/02 AMBIL MATERIAL TGL 26/2, 24/02 DONE RFC, OGP PENGAMBILAN MATERIAL, 23/02 MATERIAL DELIVERY, 22/2 menunggu material TIANG  20/02 DONE AMD TP BLM DI APPROVE KRNA MASIH MENUNGGU TI"&amp;"ANG DIGUDANG YG KOSONG, 16/02 PROSES AMD BUDGET KRNA OVER BUDGET, 15/02 DONE INPUT MATERIAL, 10/2 perubahan design menunggu confirm dari sales TSEL. , plan Matdel 13 FEB  09/02 DONE DRM, 6/2 proses create PID  31/01 menunggu DRM 30/01 DONE EVAL, LANJUT PR"&amp;"OGRES, 27/01 PERIZINAN OK, (21/01) PERIZINAN DEVELOPER, (20/01) DONE AANWIDJZING, (15/1) ORDER DITERIMA 14/1, PLAN AANWIJDZING  19 JAN 26 (14/11)HOLD-  tidak masuk target Optimis 2025 (
14/01 penunjukan mitra oleh procurement")</f>
        <v>30/03 GOLIVE, 27/03 DONE SUBMIT ABD, 26/03 MENUNGGU DATA ABD, 21/03 DONE VALINS, 19/03 OGP VALINS, 18/03 DONE TANAM TIANG 5BTG - OGP PENARIKAN KABEL, 17/03 PROGRESS PENGAMBILAN MATERIAL, 16/03 DONE RFC, OGP AMBIL MATERIAL, 13/03 PLAN TGL 14 AMBIL MATERIAL, 10/03 MITRA MENGAMBIL MATERIAL EST 30 MAR,  26/02 OGP AMBIL MATERIAL, 25/02 AMBIL MATERIAL TGL 26/2, 24/02 DONE RFC, OGP PENGAMBILAN MATERIAL, 23/02 MATERIAL DELIVERY, 22/2 menunggu material TIANG  20/02 DONE AMD TP BLM DI APPROVE KRNA MASIH MENUNGGU TIANG DIGUDANG YG KOSONG, 16/02 PROSES AMD BUDGET KRNA OVER BUDGET, 15/02 DONE INPUT MATERIAL, 10/2 perubahan design menunggu confirm dari sales TSEL. , plan Matdel 13 FEB  09/02 DONE DRM, 6/2 proses create PID  31/01 menunggu DRM 30/01 DONE EVAL, LANJUT PROGRES, 27/01 PERIZINAN OK, (21/01) PERIZINAN DEVELOPER, (20/01) DONE AANWIDJZING, (15/1) ORDER DITERIMA 14/1, PLAN AANWIJDZING  19 JAN 26 (14/11)HOLD-  tidak masuk target Optimis 2025 (
14/01 penunjukan mitra oleh procurement</v>
      </c>
      <c r="R1425" s="228">
        <f>IFERROR(__xludf.DUMMYFUNCTION("""COMPUTED_VALUE"""),46106.0)</f>
        <v>46106</v>
      </c>
      <c r="S1425" s="11" t="str">
        <f>IFERROR(__xludf.DUMMYFUNCTION("""COMPUTED_VALUE"""),"MAR")</f>
        <v>MAR</v>
      </c>
      <c r="T1425" s="11" t="str">
        <f>IFERROR(__xludf.DUMMYFUNCTION("""COMPUTED_VALUE"""),"P1")</f>
        <v>P1</v>
      </c>
      <c r="U1425" s="11"/>
      <c r="V1425" s="229" t="str">
        <f>IFERROR(__xludf.DUMMYFUNCTION("""COMPUTED_VALUE"""),"RENALDO")</f>
        <v>RENALDO</v>
      </c>
      <c r="W1425" s="229"/>
      <c r="X1425" s="229" t="str">
        <f>IFERROR(__xludf.DUMMYFUNCTION("""COMPUTED_VALUE"""),"GOLIVE")</f>
        <v>GOLIVE</v>
      </c>
      <c r="Y1425" s="229" t="str">
        <f>IFERROR(__xludf.DUMMYFUNCTION("""COMPUTED_VALUE"""),"DONE")</f>
        <v>DONE</v>
      </c>
      <c r="Z1425" s="229" t="str">
        <f>IFERROR(__xludf.DUMMYFUNCTION("""COMPUTED_VALUE"""),"#N/A")</f>
        <v>#N/A</v>
      </c>
      <c r="AA1425" s="229">
        <f>IFERROR(__xludf.DUMMYFUNCTION("""COMPUTED_VALUE"""),2.0)</f>
        <v>2</v>
      </c>
      <c r="AB1425" s="229"/>
      <c r="AC1425" s="229" t="str">
        <f>IFERROR(__xludf.DUMMYFUNCTION("""COMPUTED_VALUE"""),"8949145#8949150")</f>
        <v>8949145#8949150</v>
      </c>
      <c r="AD1425" s="232">
        <f>IFERROR(__xludf.DUMMYFUNCTION("""COMPUTED_VALUE"""),16.0)</f>
        <v>16</v>
      </c>
      <c r="AE1425" s="233">
        <f>IFERROR(__xludf.DUMMYFUNCTION("""COMPUTED_VALUE"""),46108.0)</f>
        <v>46108</v>
      </c>
      <c r="AF1425" s="54"/>
      <c r="AG1425" s="54"/>
      <c r="AH1425" s="54">
        <v>46106.0</v>
      </c>
      <c r="AI1425" s="55">
        <f t="shared" si="144"/>
        <v>-2</v>
      </c>
      <c r="AW1425" s="234"/>
      <c r="BP1425" s="11"/>
      <c r="BQ1425" s="11"/>
      <c r="BR1425" s="235"/>
      <c r="BV1425" s="158"/>
      <c r="BY1425" s="158"/>
      <c r="CB1425" s="158"/>
    </row>
    <row r="1426" ht="18.0" customHeight="1">
      <c r="A1426" s="222">
        <f>IFERROR(__xludf.DUMMYFUNCTION("""COMPUTED_VALUE"""),2026.0)</f>
        <v>2026</v>
      </c>
      <c r="B1426" s="221">
        <f>IFERROR(__xludf.DUMMYFUNCTION("""COMPUTED_VALUE"""),1.2487096E7)</f>
        <v>12487096</v>
      </c>
      <c r="C1426" s="222" t="str">
        <f>IFERROR(__xludf.DUMMYFUNCTION("""COMPUTED_VALUE"""),"RDR JPP PT3 BENGKALIS_167852")</f>
        <v>RDR JPP PT3 BENGKALIS_167852</v>
      </c>
      <c r="D1426" s="222" t="str">
        <f>IFERROR(__xludf.DUMMYFUNCTION("""COMPUTED_VALUE"""),"REGIONAL I")</f>
        <v>REGIONAL I</v>
      </c>
      <c r="E1426" s="222" t="str">
        <f>IFERROR(__xludf.DUMMYFUNCTION("""COMPUTED_VALUE"""),"RIDAR")</f>
        <v>RIDAR</v>
      </c>
      <c r="F1426" s="222" t="str">
        <f>IFERROR(__xludf.DUMMYFUNCTION("""COMPUTED_VALUE"""),"BAS")</f>
        <v>BAS</v>
      </c>
      <c r="G1426" s="222" t="str">
        <f>IFERROR(__xludf.DUMMYFUNCTION("""COMPUTED_VALUE"""),"SUMBAGTENG")</f>
        <v>SUMBAGTENG</v>
      </c>
      <c r="H1426" s="222" t="str">
        <f>IFERROR(__xludf.DUMMYFUNCTION("""COMPUTED_VALUE"""),"DUMAI")</f>
        <v>DUMAI</v>
      </c>
      <c r="I1426" s="222" t="str">
        <f>IFERROR(__xludf.DUMMYFUNCTION("""COMPUTED_VALUE"""),"Batch 2")</f>
        <v>Batch 2</v>
      </c>
      <c r="J1426" s="225">
        <f>IFERROR(__xludf.DUMMYFUNCTION("""COMPUTED_VALUE"""),6.0)</f>
        <v>6</v>
      </c>
      <c r="K1426" s="224">
        <f>IFERROR(__xludf.DUMMYFUNCTION("""COMPUTED_VALUE"""),96.0)</f>
        <v>96</v>
      </c>
      <c r="L1426" s="226">
        <f>IFERROR(__xludf.DUMMYFUNCTION("""COMPUTED_VALUE"""),699192.0)</f>
        <v>699192</v>
      </c>
      <c r="M1426" s="227">
        <f>IFERROR(__xludf.DUMMYFUNCTION("""COMPUTED_VALUE"""),6.7122401E7)</f>
        <v>67122401</v>
      </c>
      <c r="N1426" s="222" t="str">
        <f>IFERROR(__xludf.DUMMYFUNCTION("""COMPUTED_VALUE"""),"PT SAMUDERA PUTRA KENCANA")</f>
        <v>PT SAMUDERA PUTRA KENCANA</v>
      </c>
      <c r="O1426" s="222" t="str">
        <f>IFERROR(__xludf.DUMMYFUNCTION("""COMPUTED_VALUE"""),"7. GOLIVE")</f>
        <v>7. GOLIVE</v>
      </c>
      <c r="P1426" s="222" t="str">
        <f>IFERROR(__xludf.DUMMYFUNCTION("""COMPUTED_VALUE"""),"7.2 Golive Full / OA / DONE OTB")</f>
        <v>7.2 Golive Full / OA / DONE OTB</v>
      </c>
      <c r="Q1426" s="222" t="str">
        <f>IFERROR(__xludf.DUMMYFUNCTION("""COMPUTED_VALUE"""),"10/02 Penanaman tiang Penarikan kabel 04/02 Penanamantiang di stop oleh warga 29/01 Penanaman tiang dan penarikan kabel (12/01) penunjukkan mitra ulang oleh procurement, (07/01) Persiapan")</f>
        <v>10/02 Penanaman tiang Penarikan kabel 04/02 Penanamantiang di stop oleh warga 29/01 Penanaman tiang dan penarikan kabel (12/01) penunjukkan mitra ulang oleh procurement, (07/01) Persiapan</v>
      </c>
      <c r="R1426" s="228">
        <f>IFERROR(__xludf.DUMMYFUNCTION("""COMPUTED_VALUE"""),46071.0)</f>
        <v>46071</v>
      </c>
      <c r="S1426" s="11"/>
      <c r="T1426" s="11"/>
      <c r="U1426" s="11" t="str">
        <f>IFERROR(__xludf.DUMMYFUNCTION("""COMPUTED_VALUE"""),"W08-86/2026")</f>
        <v>W08-86/2026</v>
      </c>
      <c r="V1426" s="229" t="str">
        <f>IFERROR(__xludf.DUMMYFUNCTION("""COMPUTED_VALUE"""),"PIKI NOFRI SAPUTRA")</f>
        <v>PIKI NOFRI SAPUTRA</v>
      </c>
      <c r="W1426" s="229" t="str">
        <f>IFERROR(__xludf.DUMMYFUNCTION("""COMPUTED_VALUE"""),"ANZALA SAKINAH")</f>
        <v>ANZALA SAKINAH</v>
      </c>
      <c r="X1426" s="229" t="str">
        <f>IFERROR(__xludf.DUMMYFUNCTION("""COMPUTED_VALUE"""),"GOLIVE")</f>
        <v>GOLIVE</v>
      </c>
      <c r="Y1426" s="229" t="str">
        <f>IFERROR(__xludf.DUMMYFUNCTION("""COMPUTED_VALUE"""),"DONE")</f>
        <v>DONE</v>
      </c>
      <c r="Z1426" s="229" t="str">
        <f>IFERROR(__xludf.DUMMYFUNCTION("""COMPUTED_VALUE"""),"#N/A")</f>
        <v>#N/A</v>
      </c>
      <c r="AA1426" s="229">
        <f>IFERROR(__xludf.DUMMYFUNCTION("""COMPUTED_VALUE"""),8.0)</f>
        <v>8</v>
      </c>
      <c r="AB1426" s="229"/>
      <c r="AC1426" s="229" t="str">
        <f>IFERROR(__xludf.DUMMYFUNCTION("""COMPUTED_VALUE"""),"8966999#8967004")</f>
        <v>8966999#8967004</v>
      </c>
      <c r="AD1426" s="232">
        <f>IFERROR(__xludf.DUMMYFUNCTION("""COMPUTED_VALUE"""),64.0)</f>
        <v>64</v>
      </c>
      <c r="AE1426" s="233">
        <f>IFERROR(__xludf.DUMMYFUNCTION("""COMPUTED_VALUE"""),46071.0)</f>
        <v>46071</v>
      </c>
      <c r="AF1426" s="54"/>
      <c r="AG1426" s="54"/>
      <c r="AH1426" s="54">
        <v>46071.0</v>
      </c>
      <c r="AI1426" s="55">
        <f>IF(OR(AH1426="",AE1426=""),"",AH1426-AE1426)</f>
        <v>0</v>
      </c>
      <c r="AW1426" s="234"/>
      <c r="BP1426" s="11"/>
      <c r="BQ1426" s="11"/>
      <c r="BR1426" s="235"/>
      <c r="BV1426" s="158"/>
      <c r="BY1426" s="158"/>
      <c r="CB1426" s="158"/>
    </row>
    <row r="1427" ht="18.0" hidden="1" customHeight="1">
      <c r="A1427" s="222">
        <f>IFERROR(__xludf.DUMMYFUNCTION("""COMPUTED_VALUE"""),2026.0)</f>
        <v>2026</v>
      </c>
      <c r="B1427" s="221">
        <f>IFERROR(__xludf.DUMMYFUNCTION("""COMPUTED_VALUE"""),1.1423578E7)</f>
        <v>11423578</v>
      </c>
      <c r="C1427" s="222" t="str">
        <f>IFERROR(__xludf.DUMMYFUNCTION("""COMPUTED_VALUE"""),"SMS PT3 LHT FAH D06 RAJAWALI PT2")</f>
        <v>SMS PT3 LHT FAH D06 RAJAWALI PT2</v>
      </c>
      <c r="D1427" s="222" t="str">
        <f>IFERROR(__xludf.DUMMYFUNCTION("""COMPUTED_VALUE"""),"REGIONAL I")</f>
        <v>REGIONAL I</v>
      </c>
      <c r="E1427" s="222" t="str">
        <f>IFERROR(__xludf.DUMMYFUNCTION("""COMPUTED_VALUE"""),"SUMSEL")</f>
        <v>SUMSEL</v>
      </c>
      <c r="F1427" s="222" t="str">
        <f>IFERROR(__xludf.DUMMYFUNCTION("""COMPUTED_VALUE"""),"LHT")</f>
        <v>LHT</v>
      </c>
      <c r="G1427" s="222" t="str">
        <f>IFERROR(__xludf.DUMMYFUNCTION("""COMPUTED_VALUE"""),"SUMBAGSEL")</f>
        <v>SUMBAGSEL</v>
      </c>
      <c r="H1427" s="222" t="str">
        <f>IFERROR(__xludf.DUMMYFUNCTION("""COMPUTED_VALUE"""),"BENGKULU")</f>
        <v>BENGKULU</v>
      </c>
      <c r="I1427" s="222" t="str">
        <f>IFERROR(__xludf.DUMMYFUNCTION("""COMPUTED_VALUE"""),"Batch 2")</f>
        <v>Batch 2</v>
      </c>
      <c r="J1427" s="225">
        <f>IFERROR(__xludf.DUMMYFUNCTION("""COMPUTED_VALUE"""),4.0)</f>
        <v>4</v>
      </c>
      <c r="K1427" s="224">
        <f>IFERROR(__xludf.DUMMYFUNCTION("""COMPUTED_VALUE"""),32.0)</f>
        <v>32</v>
      </c>
      <c r="L1427" s="226">
        <f>IFERROR(__xludf.DUMMYFUNCTION("""COMPUTED_VALUE"""),697577.0)</f>
        <v>697577</v>
      </c>
      <c r="M1427" s="227">
        <f>IFERROR(__xludf.DUMMYFUNCTION("""COMPUTED_VALUE"""),2.2322454E7)</f>
        <v>22322454</v>
      </c>
      <c r="N1427" s="222" t="str">
        <f>IFERROR(__xludf.DUMMYFUNCTION("""COMPUTED_VALUE"""),"PT DIAN KARYA")</f>
        <v>PT DIAN KARYA</v>
      </c>
      <c r="O1427" s="222" t="str">
        <f>IFERROR(__xludf.DUMMYFUNCTION("""COMPUTED_VALUE"""),"7. GOLIVE")</f>
        <v>7. GOLIVE</v>
      </c>
      <c r="P1427" s="222" t="str">
        <f>IFERROR(__xludf.DUMMYFUNCTION("""COMPUTED_VALUE"""),"7.2 Golive Full / OA / DONE OTB")</f>
        <v>7.2 Golive Full / OA / DONE OTB</v>
      </c>
      <c r="Q1427" s="222" t="str">
        <f>IFERROR(__xludf.DUMMYFUNCTION("""COMPUTED_VALUE"""),"09/03 GOLIVE, 06/03 MENUNGGU GOLIVE, 05/03 DONE SUBMIT ABD KE SDI, 05/03 VALINS - DONE PENARIKAN KABEL 380M/380M, 04/03 DONE PENARIKAN KABEL 380M, 03/03 FISIK SDH SELESAI, TP ADA KENDALA KABEL EXISTING YG PUTUS BUTUH PERGANTIAN KABEL, 28/02 OGP TERMINASI "&amp;"ODP, 27/02 PENANAMAN TIANG, 26/02 PELUBANGAN TIANG, 25/02 MATERIAL ONSITE  24/02 DONE PR PO,  22/2 menunggu material TIANG  16/02 OGP MATDEL, 12/02 DONE INPUT MATERIAL, (11/02) Butuh Amandemen Budget, 11/2 Done PRPO- Req Material,  (09/02) Proses PR PO 6/"&amp;"2 Proses Create PID 04/02 LANJUT DRM, 31/1  DOne aanwijdzing, eval senin 2 feb  30/01 DONE AANWIDJZING - MITRA BELUM KIRIM HASIL AANWIDJZING, 24/01 DONE AANWIDJZING, 26/1 tim TIF belum bisa EVAL hasil anwijzing karena lagi diluar kota , estimasi 29 jan ba"&amp;"ru kembali ke Palembang(23/1) plan aanwijdzing tgl 27 jan (21/01) menunggu anrian untuk aanwijzing, (14/11)HOLD-  tidak masuk target Optimis 2025 (14/11) penunjukkan mitra ulang oleh procurement, 12/11 masih menunggu perizinan, 10/11 belum dpt update dari"&amp;" pihak RT untuk izin pembangunan jaringan FO 04/11 belum dpt update dari pihak RT untuk izin pembangunan jaringan FO08/10 belum dpt update dari pihak RT untuk izin pembangunan jaringan FO
(01/10) menunggu izin dari RT untuk sosialisasi dg warga
(25/08) at"&amp;"ur jadwal ulang untuk aanwijzing
(19/08) tgl 20/08 untuk aanwizng
(14/08) menunggu jadwal dari sales untuk aanwizjing
(31/07) menunggu jadwal dari sales untuk aanwizjing
(24/07) menunggu jadwal dari sales untuk aanwizjing
(15/07) menunggu jadwal dari sale"&amp;"s untuk aanwizjing
(07/07) penunjukan mitra 
23/01 penunjukan mitra oleh procurement")</f>
        <v>09/03 GOLIVE, 06/03 MENUNGGU GOLIVE, 05/03 DONE SUBMIT ABD KE SDI, 05/03 VALINS - DONE PENARIKAN KABEL 380M/380M, 04/03 DONE PENARIKAN KABEL 380M, 03/03 FISIK SDH SELESAI, TP ADA KENDALA KABEL EXISTING YG PUTUS BUTUH PERGANTIAN KABEL, 28/02 OGP TERMINASI ODP, 27/02 PENANAMAN TIANG, 26/02 PELUBANGAN TIANG, 25/02 MATERIAL ONSITE  24/02 DONE PR PO,  22/2 menunggu material TIANG  16/02 OGP MATDEL, 12/02 DONE INPUT MATERIAL, (11/02) Butuh Amandemen Budget, 11/2 Done PRPO- Req Material,  (09/02) Proses PR PO 6/2 Proses Create PID 04/02 LANJUT DRM, 31/1  DOne aanwijdzing, eval senin 2 feb  30/01 DONE AANWIDJZING - MITRA BELUM KIRIM HASIL AANWIDJZING, 24/01 DONE AANWIDJZING, 26/1 tim TIF belum bisa EVAL hasil anwijzing karena lagi diluar kota , estimasi 29 jan baru kembali ke Palembang(23/1) plan aanwijdzing tgl 27 jan (21/01) menunggu anrian untuk aanwijzing, (14/11)HOLD-  tidak masuk target Optimis 2025 (14/11) penunjukkan mitra ulang oleh procurement, 12/11 masih menunggu perizinan, 10/11 belum dpt update dari pihak RT untuk izin pembangunan jaringan FO 04/11 belum dpt update dari pihak RT untuk izin pembangunan jaringan FO08/10 belum dpt update dari pihak RT untuk izin pembangunan jaringan FO
(01/10) menunggu izin dari RT untuk sosialisasi dg warga
(25/08) atur jadwal ulang untuk aanwijzing
(19/08) tgl 20/08 untuk aanwizng
(14/08) menunggu jadwal dari sales untuk aanwizjing
(31/07) menunggu jadwal dari sales untuk aanwizjing
(24/07) menunggu jadwal dari sales untuk aanwizjing
(15/07) menunggu jadwal dari sales untuk aanwizjing
(07/07) penunjukan mitra 
23/01 penunjukan mitra oleh procurement</v>
      </c>
      <c r="R1427" s="228">
        <f>IFERROR(__xludf.DUMMYFUNCTION("""COMPUTED_VALUE"""),46096.0)</f>
        <v>46096</v>
      </c>
      <c r="S1427" s="11" t="str">
        <f>IFERROR(__xludf.DUMMYFUNCTION("""COMPUTED_VALUE"""),"MAR")</f>
        <v>MAR</v>
      </c>
      <c r="T1427" s="11"/>
      <c r="U1427" s="11"/>
      <c r="V1427" s="229" t="str">
        <f>IFERROR(__xludf.DUMMYFUNCTION("""COMPUTED_VALUE"""),"ILHAM")</f>
        <v>ILHAM</v>
      </c>
      <c r="W1427" s="229"/>
      <c r="X1427" s="229" t="str">
        <f>IFERROR(__xludf.DUMMYFUNCTION("""COMPUTED_VALUE"""),"GOLIVE")</f>
        <v>GOLIVE</v>
      </c>
      <c r="Y1427" s="229" t="str">
        <f>IFERROR(__xludf.DUMMYFUNCTION("""COMPUTED_VALUE"""),"DONE")</f>
        <v>DONE</v>
      </c>
      <c r="Z1427" s="229" t="str">
        <f>IFERROR(__xludf.DUMMYFUNCTION("""COMPUTED_VALUE"""),"#N/A")</f>
        <v>#N/A</v>
      </c>
      <c r="AA1427" s="229">
        <f>IFERROR(__xludf.DUMMYFUNCTION("""COMPUTED_VALUE"""),4.0)</f>
        <v>4</v>
      </c>
      <c r="AB1427" s="229"/>
      <c r="AC1427" s="229" t="str">
        <f>IFERROR(__xludf.DUMMYFUNCTION("""COMPUTED_VALUE"""),"8950766#8950771")</f>
        <v>8950766#8950771</v>
      </c>
      <c r="AD1427" s="232">
        <f>IFERROR(__xludf.DUMMYFUNCTION("""COMPUTED_VALUE"""),32.0)</f>
        <v>32</v>
      </c>
      <c r="AE1427" s="233">
        <f>IFERROR(__xludf.DUMMYFUNCTION("""COMPUTED_VALUE"""),46086.0)</f>
        <v>46086</v>
      </c>
      <c r="AF1427" s="54"/>
      <c r="AG1427" s="54"/>
      <c r="AH1427" s="54">
        <v>46096.0</v>
      </c>
      <c r="AI1427" s="55">
        <f t="shared" ref="AI1427:AI1452" si="145">IF(OR(R1427="",AE1427=""),"",R1427-AE1427)</f>
        <v>10</v>
      </c>
      <c r="AW1427" s="234"/>
      <c r="BP1427" s="11"/>
      <c r="BQ1427" s="11"/>
      <c r="BR1427" s="235"/>
      <c r="BV1427" s="158"/>
      <c r="BY1427" s="158"/>
      <c r="CB1427" s="158"/>
    </row>
    <row r="1428" ht="18.0" hidden="1" customHeight="1">
      <c r="A1428" s="222">
        <f>IFERROR(__xludf.DUMMYFUNCTION("""COMPUTED_VALUE"""),2026.0)</f>
        <v>2026</v>
      </c>
      <c r="B1428" s="221">
        <f>IFERROR(__xludf.DUMMYFUNCTION("""COMPUTED_VALUE"""),1.1843506E7)</f>
        <v>11843506</v>
      </c>
      <c r="C1428" s="222" t="str">
        <f>IFERROR(__xludf.DUMMYFUNCTION("""COMPUTED_VALUE"""),"MDN PT3 DLT-FK GG.MESJID_MD25")</f>
        <v>MDN PT3 DLT-FK GG.MESJID_MD25</v>
      </c>
      <c r="D1428" s="222" t="str">
        <f>IFERROR(__xludf.DUMMYFUNCTION("""COMPUTED_VALUE"""),"REGIONAL I")</f>
        <v>REGIONAL I</v>
      </c>
      <c r="E1428" s="222" t="str">
        <f>IFERROR(__xludf.DUMMYFUNCTION("""COMPUTED_VALUE"""),"MEDAN")</f>
        <v>MEDAN</v>
      </c>
      <c r="F1428" s="222" t="str">
        <f>IFERROR(__xludf.DUMMYFUNCTION("""COMPUTED_VALUE"""),"DLT")</f>
        <v>DLT</v>
      </c>
      <c r="G1428" s="222" t="str">
        <f>IFERROR(__xludf.DUMMYFUNCTION("""COMPUTED_VALUE"""),"SUMBAGUT")</f>
        <v>SUMBAGUT</v>
      </c>
      <c r="H1428" s="222" t="str">
        <f>IFERROR(__xludf.DUMMYFUNCTION("""COMPUTED_VALUE"""),"MEDAN")</f>
        <v>MEDAN</v>
      </c>
      <c r="I1428" s="222" t="str">
        <f>IFERROR(__xludf.DUMMYFUNCTION("""COMPUTED_VALUE"""),"Batch 2")</f>
        <v>Batch 2</v>
      </c>
      <c r="J1428" s="225">
        <f>IFERROR(__xludf.DUMMYFUNCTION("""COMPUTED_VALUE"""),2.0)</f>
        <v>2</v>
      </c>
      <c r="K1428" s="224">
        <f>IFERROR(__xludf.DUMMYFUNCTION("""COMPUTED_VALUE"""),16.0)</f>
        <v>16</v>
      </c>
      <c r="L1428" s="226">
        <f>IFERROR(__xludf.DUMMYFUNCTION("""COMPUTED_VALUE"""),870844.0)</f>
        <v>870844</v>
      </c>
      <c r="M1428" s="227">
        <f>IFERROR(__xludf.DUMMYFUNCTION("""COMPUTED_VALUE"""),1.3933492E7)</f>
        <v>13933492</v>
      </c>
      <c r="N1428" s="222" t="str">
        <f>IFERROR(__xludf.DUMMYFUNCTION("""COMPUTED_VALUE"""),"PT UPENTEL INTERNASIONAL")</f>
        <v>PT UPENTEL INTERNASIONAL</v>
      </c>
      <c r="O1428" s="222" t="str">
        <f>IFERROR(__xludf.DUMMYFUNCTION("""COMPUTED_VALUE"""),"2. DONE AANWIJZING")</f>
        <v>2. DONE AANWIJZING</v>
      </c>
      <c r="P1428" s="222" t="str">
        <f>IFERROR(__xludf.DUMMYFUNCTION("""COMPUTED_VALUE"""),"2.10 Kendala - Feeder Rusak")</f>
        <v>2.10 Kendala - Feeder Rusak</v>
      </c>
      <c r="Q1428" s="222" t="str">
        <f>IFERROR(__xludf.DUMMYFUNCTION("""COMPUTED_VALUE"""),"08/03 Feeder Redti 16/10 Feeder Habis
(24/09) Perizinan Warga dan Kades / Lurah
(23/09) Perizinan Warga dan Kades / Lurah
15/09 proses aanwijzing")</f>
        <v>08/03 Feeder Redti 16/10 Feeder Habis
(24/09) Perizinan Warga dan Kades / Lurah
(23/09) Perizinan Warga dan Kades / Lurah
15/09 proses aanwijzing</v>
      </c>
      <c r="R1428" s="228"/>
      <c r="S1428" s="11"/>
      <c r="T1428" s="11"/>
      <c r="U1428" s="11"/>
      <c r="V1428" s="229"/>
      <c r="W1428" s="229"/>
      <c r="X1428" s="229" t="str">
        <f>IFERROR(__xludf.DUMMYFUNCTION("""COMPUTED_VALUE"""),"BELUM GOLIVE")</f>
        <v>BELUM GOLIVE</v>
      </c>
      <c r="Y1428" s="229"/>
      <c r="Z1428" s="229" t="str">
        <f>IFERROR(__xludf.DUMMYFUNCTION("""COMPUTED_VALUE"""),"#N/A")</f>
        <v>#N/A</v>
      </c>
      <c r="AA1428" s="229"/>
      <c r="AB1428" s="229"/>
      <c r="AC1428" s="229"/>
      <c r="AD1428" s="232"/>
      <c r="AE1428" s="233"/>
      <c r="AF1428" s="54"/>
      <c r="AG1428" s="54"/>
      <c r="AH1428" s="54"/>
      <c r="AI1428" s="55" t="str">
        <f t="shared" si="145"/>
        <v/>
      </c>
      <c r="AW1428" s="234"/>
      <c r="BP1428" s="11"/>
      <c r="BQ1428" s="11"/>
      <c r="BR1428" s="235"/>
      <c r="BV1428" s="158"/>
      <c r="BY1428" s="158"/>
      <c r="CB1428" s="158"/>
    </row>
    <row r="1429" ht="18.0" hidden="1" customHeight="1">
      <c r="A1429" s="222">
        <f>IFERROR(__xludf.DUMMYFUNCTION("""COMPUTED_VALUE"""),2026.0)</f>
        <v>2026</v>
      </c>
      <c r="B1429" s="221">
        <f>IFERROR(__xludf.DUMMYFUNCTION("""COMPUTED_VALUE"""),1.1272364E7)</f>
        <v>11272364</v>
      </c>
      <c r="C1429" s="222" t="str">
        <f>IFERROR(__xludf.DUMMYFUNCTION("""COMPUTED_VALUE"""),"MDN PT3 P1I1 PGL-FSD JL.TELUK KARANG")</f>
        <v>MDN PT3 P1I1 PGL-FSD JL.TELUK KARANG</v>
      </c>
      <c r="D1429" s="222" t="str">
        <f>IFERROR(__xludf.DUMMYFUNCTION("""COMPUTED_VALUE"""),"REGIONAL I")</f>
        <v>REGIONAL I</v>
      </c>
      <c r="E1429" s="222" t="str">
        <f>IFERROR(__xludf.DUMMYFUNCTION("""COMPUTED_VALUE"""),"MEDAN")</f>
        <v>MEDAN</v>
      </c>
      <c r="F1429" s="222" t="str">
        <f>IFERROR(__xludf.DUMMYFUNCTION("""COMPUTED_VALUE"""),"PGL")</f>
        <v>PGL</v>
      </c>
      <c r="G1429" s="222" t="str">
        <f>IFERROR(__xludf.DUMMYFUNCTION("""COMPUTED_VALUE"""),"SUMBAGUT")</f>
        <v>SUMBAGUT</v>
      </c>
      <c r="H1429" s="222" t="str">
        <f>IFERROR(__xludf.DUMMYFUNCTION("""COMPUTED_VALUE"""),"BINJAI")</f>
        <v>BINJAI</v>
      </c>
      <c r="I1429" s="222" t="str">
        <f>IFERROR(__xludf.DUMMYFUNCTION("""COMPUTED_VALUE"""),"Batch 2")</f>
        <v>Batch 2</v>
      </c>
      <c r="J1429" s="225">
        <f>IFERROR(__xludf.DUMMYFUNCTION("""COMPUTED_VALUE"""),4.0)</f>
        <v>4</v>
      </c>
      <c r="K1429" s="224">
        <f>IFERROR(__xludf.DUMMYFUNCTION("""COMPUTED_VALUE"""),32.0)</f>
        <v>32</v>
      </c>
      <c r="L1429" s="226">
        <f>IFERROR(__xludf.DUMMYFUNCTION("""COMPUTED_VALUE"""),1557969.0)</f>
        <v>1557969</v>
      </c>
      <c r="M1429" s="227">
        <f>IFERROR(__xludf.DUMMYFUNCTION("""COMPUTED_VALUE"""),4.9855005E7)</f>
        <v>49855005</v>
      </c>
      <c r="N1429" s="222" t="str">
        <f>IFERROR(__xludf.DUMMYFUNCTION("""COMPUTED_VALUE"""),"PT KENCANA RAYA INDONESIA")</f>
        <v>PT KENCANA RAYA INDONESIA</v>
      </c>
      <c r="O1429" s="222" t="str">
        <f>IFERROR(__xludf.DUMMYFUNCTION("""COMPUTED_VALUE"""),"0. DROP")</f>
        <v>0. DROP</v>
      </c>
      <c r="P1429" s="222" t="str">
        <f>IFERROR(__xludf.DUMMYFUNCTION("""COMPUTED_VALUE"""),"0.4 CPP Tinggi Acc ED TIF")</f>
        <v>0.4 CPP Tinggi Acc ED TIF</v>
      </c>
      <c r="Q1429" s="222" t="str">
        <f>IFERROR(__xludf.DUMMYFUNCTION("""COMPUTED_VALUE"""),"14/02 distribusid penuh
06/11 Distribusi Habis sisa 2 Core
15/09 proses aanwijzing")</f>
        <v>14/02 distribusid penuh
06/11 Distribusi Habis sisa 2 Core
15/09 proses aanwijzing</v>
      </c>
      <c r="R1429" s="228"/>
      <c r="S1429" s="11"/>
      <c r="T1429" s="11"/>
      <c r="U1429" s="11"/>
      <c r="V1429" s="229"/>
      <c r="W1429" s="229"/>
      <c r="X1429" s="229" t="str">
        <f>IFERROR(__xludf.DUMMYFUNCTION("""COMPUTED_VALUE"""),"BELUM GOLIVE")</f>
        <v>BELUM GOLIVE</v>
      </c>
      <c r="Y1429" s="229"/>
      <c r="Z1429" s="229" t="str">
        <f>IFERROR(__xludf.DUMMYFUNCTION("""COMPUTED_VALUE"""),"#N/A")</f>
        <v>#N/A</v>
      </c>
      <c r="AA1429" s="229"/>
      <c r="AB1429" s="229"/>
      <c r="AC1429" s="229"/>
      <c r="AD1429" s="232"/>
      <c r="AE1429" s="233"/>
      <c r="AF1429" s="54" t="str">
        <f>IFERROR(__xludf.DUMMYFUNCTION("""COMPUTED_VALUE"""),"Draft BA DROP")</f>
        <v>Draft BA DROP</v>
      </c>
      <c r="AG1429" s="54"/>
      <c r="AH1429" s="54"/>
      <c r="AI1429" s="55" t="str">
        <f t="shared" si="145"/>
        <v/>
      </c>
      <c r="AW1429" s="234"/>
      <c r="BP1429" s="11"/>
      <c r="BQ1429" s="11"/>
      <c r="BR1429" s="235"/>
      <c r="BV1429" s="158"/>
      <c r="BY1429" s="158"/>
      <c r="CB1429" s="158"/>
    </row>
    <row r="1430" ht="18.0" hidden="1" customHeight="1">
      <c r="A1430" s="222">
        <f>IFERROR(__xludf.DUMMYFUNCTION("""COMPUTED_VALUE"""),2026.0)</f>
        <v>2026</v>
      </c>
      <c r="B1430" s="221">
        <f>IFERROR(__xludf.DUMMYFUNCTION("""COMPUTED_VALUE"""),1.1237225E7)</f>
        <v>11237225</v>
      </c>
      <c r="C1430" s="222" t="str">
        <f>IFERROR(__xludf.DUMMYFUNCTION("""COMPUTED_VALUE"""),"MDN PT3 P7I13 LBP-FE GG.LEMBU")</f>
        <v>MDN PT3 P7I13 LBP-FE GG.LEMBU</v>
      </c>
      <c r="D1430" s="222" t="str">
        <f>IFERROR(__xludf.DUMMYFUNCTION("""COMPUTED_VALUE"""),"REGIONAL I")</f>
        <v>REGIONAL I</v>
      </c>
      <c r="E1430" s="222" t="str">
        <f>IFERROR(__xludf.DUMMYFUNCTION("""COMPUTED_VALUE"""),"MEDAN")</f>
        <v>MEDAN</v>
      </c>
      <c r="F1430" s="222" t="str">
        <f>IFERROR(__xludf.DUMMYFUNCTION("""COMPUTED_VALUE"""),"LBP")</f>
        <v>LBP</v>
      </c>
      <c r="G1430" s="222" t="str">
        <f>IFERROR(__xludf.DUMMYFUNCTION("""COMPUTED_VALUE"""),"SUMBAGUT")</f>
        <v>SUMBAGUT</v>
      </c>
      <c r="H1430" s="222" t="str">
        <f>IFERROR(__xludf.DUMMYFUNCTION("""COMPUTED_VALUE"""),"MEDAN")</f>
        <v>MEDAN</v>
      </c>
      <c r="I1430" s="222" t="str">
        <f>IFERROR(__xludf.DUMMYFUNCTION("""COMPUTED_VALUE"""),"Batch 2")</f>
        <v>Batch 2</v>
      </c>
      <c r="J1430" s="225">
        <f>IFERROR(__xludf.DUMMYFUNCTION("""COMPUTED_VALUE"""),5.0)</f>
        <v>5</v>
      </c>
      <c r="K1430" s="224">
        <f>IFERROR(__xludf.DUMMYFUNCTION("""COMPUTED_VALUE"""),40.0)</f>
        <v>40</v>
      </c>
      <c r="L1430" s="226">
        <f>IFERROR(__xludf.DUMMYFUNCTION("""COMPUTED_VALUE"""),880173.0)</f>
        <v>880173</v>
      </c>
      <c r="M1430" s="227">
        <f>IFERROR(__xludf.DUMMYFUNCTION("""COMPUTED_VALUE"""),3.5206902E7)</f>
        <v>35206902</v>
      </c>
      <c r="N1430" s="222" t="str">
        <f>IFERROR(__xludf.DUMMYFUNCTION("""COMPUTED_VALUE"""),"PT BONGKAR SEJATI ANDALAN")</f>
        <v>PT BONGKAR SEJATI ANDALAN</v>
      </c>
      <c r="O1430" s="222" t="str">
        <f>IFERROR(__xludf.DUMMYFUNCTION("""COMPUTED_VALUE"""),"2. DONE AANWIJZING")</f>
        <v>2. DONE AANWIJZING</v>
      </c>
      <c r="P1430" s="222" t="str">
        <f>IFERROR(__xludf.DUMMYFUNCTION("""COMPUTED_VALUE"""),"2.9 Kendala - Distribusi Penuh / Rusak")</f>
        <v>2.9 Kendala - Distribusi Penuh / Rusak</v>
      </c>
      <c r="Q1430" s="222" t="str">
        <f>IFERROR(__xludf.DUMMYFUNCTION("""COMPUTED_VALUE"""),"20/04 pengecekan ulang hasil redisgn
09/02 feeder ok, D04 habis
(08/01) kendala feeder BDT-FA full, Proses mapping mitra  (07/01) Persiapan")</f>
        <v>20/04 pengecekan ulang hasil redisgn
09/02 feeder ok, D04 habis
(08/01) kendala feeder BDT-FA full, Proses mapping mitra  (07/01) Persiapan</v>
      </c>
      <c r="R1430" s="228"/>
      <c r="S1430" s="11"/>
      <c r="T1430" s="11"/>
      <c r="U1430" s="11"/>
      <c r="V1430" s="229"/>
      <c r="W1430" s="229"/>
      <c r="X1430" s="229" t="str">
        <f>IFERROR(__xludf.DUMMYFUNCTION("""COMPUTED_VALUE"""),"BELUM GOLIVE")</f>
        <v>BELUM GOLIVE</v>
      </c>
      <c r="Y1430" s="229"/>
      <c r="Z1430" s="229" t="str">
        <f>IFERROR(__xludf.DUMMYFUNCTION("""COMPUTED_VALUE"""),"#N/A")</f>
        <v>#N/A</v>
      </c>
      <c r="AA1430" s="229"/>
      <c r="AB1430" s="229"/>
      <c r="AC1430" s="229"/>
      <c r="AD1430" s="232"/>
      <c r="AE1430" s="233"/>
      <c r="AF1430" s="54"/>
      <c r="AG1430" s="54"/>
      <c r="AH1430" s="54"/>
      <c r="AI1430" s="55" t="str">
        <f t="shared" si="145"/>
        <v/>
      </c>
      <c r="AW1430" s="234"/>
      <c r="BP1430" s="11"/>
      <c r="BQ1430" s="11"/>
      <c r="BR1430" s="235"/>
      <c r="BV1430" s="158"/>
      <c r="BY1430" s="158"/>
      <c r="CB1430" s="158"/>
    </row>
    <row r="1431" ht="18.0" customHeight="1">
      <c r="A1431" s="222">
        <f>IFERROR(__xludf.DUMMYFUNCTION("""COMPUTED_VALUE"""),2026.0)</f>
        <v>2026</v>
      </c>
      <c r="B1431" s="221">
        <f>IFERROR(__xludf.DUMMYFUNCTION("""COMPUTED_VALUE"""),1.133359E7)</f>
        <v>11333590</v>
      </c>
      <c r="C1431" s="222" t="str">
        <f>IFERROR(__xludf.DUMMYFUNCTION("""COMPUTED_VALUE"""),"SMB P2I1 Graha Residence Asri IV")</f>
        <v>SMB P2I1 Graha Residence Asri IV</v>
      </c>
      <c r="D1431" s="222" t="str">
        <f>IFERROR(__xludf.DUMMYFUNCTION("""COMPUTED_VALUE"""),"REGIONAL I")</f>
        <v>REGIONAL I</v>
      </c>
      <c r="E1431" s="222" t="str">
        <f>IFERROR(__xludf.DUMMYFUNCTION("""COMPUTED_VALUE"""),"SUMBAR")</f>
        <v>SUMBAR</v>
      </c>
      <c r="F1431" s="222" t="str">
        <f>IFERROR(__xludf.DUMMYFUNCTION("""COMPUTED_VALUE"""),"BDT")</f>
        <v>BDT</v>
      </c>
      <c r="G1431" s="222" t="str">
        <f>IFERROR(__xludf.DUMMYFUNCTION("""COMPUTED_VALUE"""),"SUMBAGTENG")</f>
        <v>SUMBAGTENG</v>
      </c>
      <c r="H1431" s="222" t="str">
        <f>IFERROR(__xludf.DUMMYFUNCTION("""COMPUTED_VALUE"""),"PADANG")</f>
        <v>PADANG</v>
      </c>
      <c r="I1431" s="222" t="str">
        <f>IFERROR(__xludf.DUMMYFUNCTION("""COMPUTED_VALUE"""),"Batch 2")</f>
        <v>Batch 2</v>
      </c>
      <c r="J1431" s="225">
        <f>IFERROR(__xludf.DUMMYFUNCTION("""COMPUTED_VALUE"""),7.0)</f>
        <v>7</v>
      </c>
      <c r="K1431" s="224">
        <f>IFERROR(__xludf.DUMMYFUNCTION("""COMPUTED_VALUE"""),56.0)</f>
        <v>56</v>
      </c>
      <c r="L1431" s="226">
        <f>IFERROR(__xludf.DUMMYFUNCTION("""COMPUTED_VALUE"""),696330.0)</f>
        <v>696330</v>
      </c>
      <c r="M1431" s="227">
        <f>IFERROR(__xludf.DUMMYFUNCTION("""COMPUTED_VALUE"""),3.8994439E7)</f>
        <v>38994439</v>
      </c>
      <c r="N1431" s="222" t="str">
        <f>IFERROR(__xludf.DUMMYFUNCTION("""COMPUTED_VALUE"""),"PT TRI PENAMAS")</f>
        <v>PT TRI PENAMAS</v>
      </c>
      <c r="O1431" s="222" t="str">
        <f>IFERROR(__xludf.DUMMYFUNCTION("""COMPUTED_VALUE"""),"0. DROP")</f>
        <v>0. DROP</v>
      </c>
      <c r="P1431" s="222" t="str">
        <f>IFERROR(__xludf.DUMMYFUNCTION("""COMPUTED_VALUE"""),"0.3 Feeder Full")</f>
        <v>0.3 Feeder Full</v>
      </c>
      <c r="Q1431" s="222" t="str">
        <f>IFERROR(__xludf.DUMMYFUNCTION("""COMPUTED_VALUE"""),"(26/01)  kendala feeder BDT-FA full")</f>
        <v>(26/01)  kendala feeder BDT-FA full</v>
      </c>
      <c r="R1431" s="228"/>
      <c r="S1431" s="11"/>
      <c r="T1431" s="11"/>
      <c r="U1431" s="11"/>
      <c r="V1431" s="229"/>
      <c r="W1431" s="229"/>
      <c r="X1431" s="229" t="str">
        <f>IFERROR(__xludf.DUMMYFUNCTION("""COMPUTED_VALUE"""),"BELUM GOLIVE")</f>
        <v>BELUM GOLIVE</v>
      </c>
      <c r="Y1431" s="229"/>
      <c r="Z1431" s="229" t="str">
        <f>IFERROR(__xludf.DUMMYFUNCTION("""COMPUTED_VALUE"""),"#N/A")</f>
        <v>#N/A</v>
      </c>
      <c r="AA1431" s="229"/>
      <c r="AB1431" s="229"/>
      <c r="AC1431" s="229"/>
      <c r="AD1431" s="232"/>
      <c r="AE1431" s="233"/>
      <c r="AF1431" s="54" t="str">
        <f>IFERROR(__xludf.DUMMYFUNCTION("""COMPUTED_VALUE"""),"Draft BA DROP")</f>
        <v>Draft BA DROP</v>
      </c>
      <c r="AG1431" s="54"/>
      <c r="AH1431" s="54"/>
      <c r="AI1431" s="55" t="str">
        <f t="shared" si="145"/>
        <v/>
      </c>
      <c r="AW1431" s="234"/>
      <c r="BP1431" s="11"/>
      <c r="BQ1431" s="11"/>
      <c r="BR1431" s="235"/>
      <c r="BV1431" s="158"/>
      <c r="BY1431" s="158"/>
      <c r="CB1431" s="158"/>
    </row>
    <row r="1432" ht="18.0" customHeight="1">
      <c r="A1432" s="222">
        <f>IFERROR(__xludf.DUMMYFUNCTION("""COMPUTED_VALUE"""),2026.0)</f>
        <v>2026</v>
      </c>
      <c r="B1432" s="221">
        <f>IFERROR(__xludf.DUMMYFUNCTION("""COMPUTED_VALUE"""),1.125704E7)</f>
        <v>11257040</v>
      </c>
      <c r="C1432" s="222" t="str">
        <f>IFERROR(__xludf.DUMMYFUNCTION("""COMPUTED_VALUE"""),"RKP PT3 TSEL BDS-FS SUB BEACH PALACE")</f>
        <v>RKP PT3 TSEL BDS-FS SUB BEACH PALACE</v>
      </c>
      <c r="D1432" s="222" t="str">
        <f>IFERROR(__xludf.DUMMYFUNCTION("""COMPUTED_VALUE"""),"REGIONAL I")</f>
        <v>REGIONAL I</v>
      </c>
      <c r="E1432" s="222" t="str">
        <f>IFERROR(__xludf.DUMMYFUNCTION("""COMPUTED_VALUE"""),"RIKEP")</f>
        <v>RIKEP</v>
      </c>
      <c r="F1432" s="222" t="str">
        <f>IFERROR(__xludf.DUMMYFUNCTION("""COMPUTED_VALUE"""),"DGS")</f>
        <v>DGS</v>
      </c>
      <c r="G1432" s="222" t="str">
        <f>IFERROR(__xludf.DUMMYFUNCTION("""COMPUTED_VALUE"""),"SUMBAGTENG")</f>
        <v>SUMBAGTENG</v>
      </c>
      <c r="H1432" s="222" t="str">
        <f>IFERROR(__xludf.DUMMYFUNCTION("""COMPUTED_VALUE"""),"BATAM")</f>
        <v>BATAM</v>
      </c>
      <c r="I1432" s="222" t="str">
        <f>IFERROR(__xludf.DUMMYFUNCTION("""COMPUTED_VALUE"""),"Batch 2")</f>
        <v>Batch 2</v>
      </c>
      <c r="J1432" s="225">
        <f>IFERROR(__xludf.DUMMYFUNCTION("""COMPUTED_VALUE"""),4.0)</f>
        <v>4</v>
      </c>
      <c r="K1432" s="224">
        <f>IFERROR(__xludf.DUMMYFUNCTION("""COMPUTED_VALUE"""),32.0)</f>
        <v>32</v>
      </c>
      <c r="L1432" s="226">
        <f>IFERROR(__xludf.DUMMYFUNCTION("""COMPUTED_VALUE"""),695149.0)</f>
        <v>695149</v>
      </c>
      <c r="M1432" s="227">
        <f>IFERROR(__xludf.DUMMYFUNCTION("""COMPUTED_VALUE"""),2.2244746E7)</f>
        <v>22244746</v>
      </c>
      <c r="N1432" s="222" t="str">
        <f>IFERROR(__xludf.DUMMYFUNCTION("""COMPUTED_VALUE"""),"PT SINAR KEPRI SEJAHTERA")</f>
        <v>PT SINAR KEPRI SEJAHTERA</v>
      </c>
      <c r="O1432" s="222" t="str">
        <f>IFERROR(__xludf.DUMMYFUNCTION("""COMPUTED_VALUE"""),"0. DROP")</f>
        <v>0. DROP</v>
      </c>
      <c r="P1432" s="222" t="str">
        <f>IFERROR(__xludf.DUMMYFUNCTION("""COMPUTED_VALUE"""),"0.2 Tidak Dapat Izin Warga/Kades/Lurah/Developer")</f>
        <v>0.2 Tidak Dapat Izin Warga/Kades/Lurah/Developer</v>
      </c>
      <c r="Q1432" s="222" t="str">
        <f>IFERROR(__xludf.DUMMYFUNCTION("""COMPUTED_VALUE"""),"21/01 Izin di tolak RT karena sudah kerjasama dengan biznet")</f>
        <v>21/01 Izin di tolak RT karena sudah kerjasama dengan biznet</v>
      </c>
      <c r="R1432" s="228"/>
      <c r="S1432" s="11"/>
      <c r="T1432" s="11"/>
      <c r="U1432" s="11"/>
      <c r="V1432" s="229" t="str">
        <f>IFERROR(__xludf.DUMMYFUNCTION("""COMPUTED_VALUE"""),"GANI PRASTYO")</f>
        <v>GANI PRASTYO</v>
      </c>
      <c r="W1432" s="229" t="str">
        <f>IFERROR(__xludf.DUMMYFUNCTION("""COMPUTED_VALUE"""),"LEVITA INDRIYANI")</f>
        <v>LEVITA INDRIYANI</v>
      </c>
      <c r="X1432" s="229" t="str">
        <f>IFERROR(__xludf.DUMMYFUNCTION("""COMPUTED_VALUE"""),"BELUM GOLIVE")</f>
        <v>BELUM GOLIVE</v>
      </c>
      <c r="Y1432" s="229"/>
      <c r="Z1432" s="229" t="str">
        <f>IFERROR(__xludf.DUMMYFUNCTION("""COMPUTED_VALUE"""),"#N/A")</f>
        <v>#N/A</v>
      </c>
      <c r="AA1432" s="229"/>
      <c r="AB1432" s="229"/>
      <c r="AC1432" s="229"/>
      <c r="AD1432" s="232"/>
      <c r="AE1432" s="233"/>
      <c r="AF1432" s="54" t="str">
        <f>IFERROR(__xludf.DUMMYFUNCTION("""COMPUTED_VALUE"""),"Draft BA DROP")</f>
        <v>Draft BA DROP</v>
      </c>
      <c r="AG1432" s="54"/>
      <c r="AH1432" s="54"/>
      <c r="AI1432" s="55" t="str">
        <f t="shared" si="145"/>
        <v/>
      </c>
      <c r="AW1432" s="234"/>
      <c r="BP1432" s="11"/>
      <c r="BQ1432" s="11"/>
      <c r="BR1432" s="235"/>
      <c r="BV1432" s="158"/>
      <c r="BY1432" s="158"/>
      <c r="CB1432" s="158"/>
    </row>
    <row r="1433" ht="18.0" customHeight="1">
      <c r="A1433" s="222">
        <f>IFERROR(__xludf.DUMMYFUNCTION("""COMPUTED_VALUE"""),2026.0)</f>
        <v>2026</v>
      </c>
      <c r="B1433" s="221">
        <f>IFERROR(__xludf.DUMMYFUNCTION("""COMPUTED_VALUE"""),1.1755943E7)</f>
        <v>11755943</v>
      </c>
      <c r="C1433" s="222" t="str">
        <f>IFERROR(__xludf.DUMMYFUNCTION("""COMPUTED_VALUE"""),"SMB SLK PT3-PT4 AFMA NURUL RAHAYU DWITA")</f>
        <v>SMB SLK PT3-PT4 AFMA NURUL RAHAYU DWITA</v>
      </c>
      <c r="D1433" s="222" t="str">
        <f>IFERROR(__xludf.DUMMYFUNCTION("""COMPUTED_VALUE"""),"REGIONAL I")</f>
        <v>REGIONAL I</v>
      </c>
      <c r="E1433" s="222" t="str">
        <f>IFERROR(__xludf.DUMMYFUNCTION("""COMPUTED_VALUE"""),"SUMBAR")</f>
        <v>SUMBAR</v>
      </c>
      <c r="F1433" s="222" t="str">
        <f>IFERROR(__xludf.DUMMYFUNCTION("""COMPUTED_VALUE"""),"SLK")</f>
        <v>SLK</v>
      </c>
      <c r="G1433" s="222" t="str">
        <f>IFERROR(__xludf.DUMMYFUNCTION("""COMPUTED_VALUE"""),"SUMBAGTENG")</f>
        <v>SUMBAGTENG</v>
      </c>
      <c r="H1433" s="222" t="str">
        <f>IFERROR(__xludf.DUMMYFUNCTION("""COMPUTED_VALUE"""),"PADANG")</f>
        <v>PADANG</v>
      </c>
      <c r="I1433" s="222" t="str">
        <f>IFERROR(__xludf.DUMMYFUNCTION("""COMPUTED_VALUE"""),"Batch 2")</f>
        <v>Batch 2</v>
      </c>
      <c r="J1433" s="225">
        <f>IFERROR(__xludf.DUMMYFUNCTION("""COMPUTED_VALUE"""),2.0)</f>
        <v>2</v>
      </c>
      <c r="K1433" s="224">
        <f>IFERROR(__xludf.DUMMYFUNCTION("""COMPUTED_VALUE"""),16.0)</f>
        <v>16</v>
      </c>
      <c r="L1433" s="226">
        <f>IFERROR(__xludf.DUMMYFUNCTION("""COMPUTED_VALUE"""),694653.0)</f>
        <v>694653</v>
      </c>
      <c r="M1433" s="227">
        <f>IFERROR(__xludf.DUMMYFUNCTION("""COMPUTED_VALUE"""),1.1114435E7)</f>
        <v>11114435</v>
      </c>
      <c r="N1433" s="222" t="str">
        <f>IFERROR(__xludf.DUMMYFUNCTION("""COMPUTED_VALUE"""),"PT TRI PENAMAS")</f>
        <v>PT TRI PENAMAS</v>
      </c>
      <c r="O1433" s="222" t="str">
        <f>IFERROR(__xludf.DUMMYFUNCTION("""COMPUTED_VALUE"""),"0. DROP")</f>
        <v>0. DROP</v>
      </c>
      <c r="P1433" s="222" t="str">
        <f>IFERROR(__xludf.DUMMYFUNCTION("""COMPUTED_VALUE"""),"0.3 Feeder Full")</f>
        <v>0.3 Feeder Full</v>
      </c>
      <c r="Q1433" s="222" t="str">
        <f>IFERROR(__xludf.DUMMYFUNCTION("""COMPUTED_VALUE"""),"(07/01) FEEDER SLK-FH FULL")</f>
        <v>(07/01) FEEDER SLK-FH FULL</v>
      </c>
      <c r="R1433" s="228"/>
      <c r="S1433" s="11"/>
      <c r="T1433" s="11"/>
      <c r="U1433" s="11"/>
      <c r="V1433" s="229"/>
      <c r="W1433" s="229"/>
      <c r="X1433" s="229" t="str">
        <f>IFERROR(__xludf.DUMMYFUNCTION("""COMPUTED_VALUE"""),"BELUM GOLIVE")</f>
        <v>BELUM GOLIVE</v>
      </c>
      <c r="Y1433" s="229"/>
      <c r="Z1433" s="229" t="str">
        <f>IFERROR(__xludf.DUMMYFUNCTION("""COMPUTED_VALUE"""),"#N/A")</f>
        <v>#N/A</v>
      </c>
      <c r="AA1433" s="229"/>
      <c r="AB1433" s="229"/>
      <c r="AC1433" s="229"/>
      <c r="AD1433" s="232"/>
      <c r="AE1433" s="233"/>
      <c r="AF1433" s="54" t="str">
        <f>IFERROR(__xludf.DUMMYFUNCTION("""COMPUTED_VALUE"""),"Draft BA DROP")</f>
        <v>Draft BA DROP</v>
      </c>
      <c r="AG1433" s="54"/>
      <c r="AH1433" s="54"/>
      <c r="AI1433" s="55" t="str">
        <f t="shared" si="145"/>
        <v/>
      </c>
      <c r="AW1433" s="234"/>
      <c r="BP1433" s="11"/>
      <c r="BQ1433" s="11"/>
      <c r="BR1433" s="235"/>
      <c r="BV1433" s="158"/>
      <c r="BY1433" s="158"/>
      <c r="CB1433" s="158"/>
    </row>
    <row r="1434" ht="18.0" hidden="1" customHeight="1">
      <c r="A1434" s="222">
        <f>IFERROR(__xludf.DUMMYFUNCTION("""COMPUTED_VALUE"""),2026.0)</f>
        <v>2026</v>
      </c>
      <c r="B1434" s="221">
        <f>IFERROR(__xludf.DUMMYFUNCTION("""COMPUTED_VALUE"""),1.1341901E7)</f>
        <v>11341901</v>
      </c>
      <c r="C1434" s="222" t="str">
        <f>IFERROR(__xludf.DUMMYFUNCTION("""COMPUTED_VALUE"""),"ACH PT3 LSM-FAE D04 JLN AIR BERSIH")</f>
        <v>ACH PT3 LSM-FAE D04 JLN AIR BERSIH</v>
      </c>
      <c r="D1434" s="222" t="str">
        <f>IFERROR(__xludf.DUMMYFUNCTION("""COMPUTED_VALUE"""),"REGIONAL I")</f>
        <v>REGIONAL I</v>
      </c>
      <c r="E1434" s="222" t="str">
        <f>IFERROR(__xludf.DUMMYFUNCTION("""COMPUTED_VALUE"""),"ACEH")</f>
        <v>ACEH</v>
      </c>
      <c r="F1434" s="222" t="str">
        <f>IFERROR(__xludf.DUMMYFUNCTION("""COMPUTED_VALUE"""),"LSM")</f>
        <v>LSM</v>
      </c>
      <c r="G1434" s="222" t="str">
        <f>IFERROR(__xludf.DUMMYFUNCTION("""COMPUTED_VALUE"""),"SUMBAGUT")</f>
        <v>SUMBAGUT</v>
      </c>
      <c r="H1434" s="222" t="str">
        <f>IFERROR(__xludf.DUMMYFUNCTION("""COMPUTED_VALUE"""),"BINJAI")</f>
        <v>BINJAI</v>
      </c>
      <c r="I1434" s="222" t="str">
        <f>IFERROR(__xludf.DUMMYFUNCTION("""COMPUTED_VALUE"""),"Batch 2")</f>
        <v>Batch 2</v>
      </c>
      <c r="J1434" s="225">
        <f>IFERROR(__xludf.DUMMYFUNCTION("""COMPUTED_VALUE"""),10.0)</f>
        <v>10</v>
      </c>
      <c r="K1434" s="224">
        <f>IFERROR(__xludf.DUMMYFUNCTION("""COMPUTED_VALUE"""),80.0)</f>
        <v>80</v>
      </c>
      <c r="L1434" s="226">
        <f>IFERROR(__xludf.DUMMYFUNCTION("""COMPUTED_VALUE"""),694313.0)</f>
        <v>694313</v>
      </c>
      <c r="M1434" s="227">
        <f>IFERROR(__xludf.DUMMYFUNCTION("""COMPUTED_VALUE"""),5.5544999E7)</f>
        <v>55544999</v>
      </c>
      <c r="N1434" s="222" t="str">
        <f>IFERROR(__xludf.DUMMYFUNCTION("""COMPUTED_VALUE"""),"PT TRIPOLA PANATA")</f>
        <v>PT TRIPOLA PANATA</v>
      </c>
      <c r="O1434" s="222" t="str">
        <f>IFERROR(__xludf.DUMMYFUNCTION("""COMPUTED_VALUE"""),"7. GOLIVE")</f>
        <v>7. GOLIVE</v>
      </c>
      <c r="P1434" s="222" t="str">
        <f>IFERROR(__xludf.DUMMYFUNCTION("""COMPUTED_VALUE"""),"7.2 Golive Full / OA / DONE OTB")</f>
        <v>7.2 Golive Full / OA / DONE OTB</v>
      </c>
      <c r="Q1434" s="222" t="str">
        <f>IFERROR(__xludf.DUMMYFUNCTION("""COMPUTED_VALUE"""),"(11/03) Persiapan Terminasi (03/03) Penarikan Kabel (18/02) Tanam Tiang (11/02) Done aanwijzing (07/01) Persiapan")</f>
        <v>(11/03) Persiapan Terminasi (03/03) Penarikan Kabel (18/02) Tanam Tiang (11/02) Done aanwijzing (07/01) Persiapan</v>
      </c>
      <c r="R1434" s="228">
        <f>IFERROR(__xludf.DUMMYFUNCTION("""COMPUTED_VALUE"""),46108.0)</f>
        <v>46108</v>
      </c>
      <c r="S1434" s="11" t="str">
        <f>IFERROR(__xludf.DUMMYFUNCTION("""COMPUTED_VALUE"""),"MAR")</f>
        <v>MAR</v>
      </c>
      <c r="T1434" s="11"/>
      <c r="U1434" s="11"/>
      <c r="V1434" s="229"/>
      <c r="W1434" s="229"/>
      <c r="X1434" s="229" t="str">
        <f>IFERROR(__xludf.DUMMYFUNCTION("""COMPUTED_VALUE"""),"GOLIVE")</f>
        <v>GOLIVE</v>
      </c>
      <c r="Y1434" s="229" t="str">
        <f>IFERROR(__xludf.DUMMYFUNCTION("""COMPUTED_VALUE"""),"DONE")</f>
        <v>DONE</v>
      </c>
      <c r="Z1434" s="229" t="str">
        <f>IFERROR(__xludf.DUMMYFUNCTION("""COMPUTED_VALUE"""),"#N/A")</f>
        <v>#N/A</v>
      </c>
      <c r="AA1434" s="229">
        <f>IFERROR(__xludf.DUMMYFUNCTION("""COMPUTED_VALUE"""),10.0)</f>
        <v>10</v>
      </c>
      <c r="AB1434" s="229"/>
      <c r="AC1434" s="229" t="str">
        <f>IFERROR(__xludf.DUMMYFUNCTION("""COMPUTED_VALUE"""),"9192569#9192574")</f>
        <v>9192569#9192574</v>
      </c>
      <c r="AD1434" s="232">
        <f>IFERROR(__xludf.DUMMYFUNCTION("""COMPUTED_VALUE"""),80.0)</f>
        <v>80</v>
      </c>
      <c r="AE1434" s="233">
        <f>IFERROR(__xludf.DUMMYFUNCTION("""COMPUTED_VALUE"""),46092.0)</f>
        <v>46092</v>
      </c>
      <c r="AF1434" s="54"/>
      <c r="AG1434" s="54"/>
      <c r="AH1434" s="54">
        <v>46108.0</v>
      </c>
      <c r="AI1434" s="55">
        <f t="shared" si="145"/>
        <v>16</v>
      </c>
      <c r="AW1434" s="234"/>
      <c r="BP1434" s="11"/>
      <c r="BQ1434" s="11"/>
      <c r="BR1434" s="235"/>
      <c r="BV1434" s="158"/>
      <c r="BY1434" s="158"/>
      <c r="CB1434" s="158"/>
    </row>
    <row r="1435" ht="18.0" hidden="1" customHeight="1">
      <c r="A1435" s="222">
        <f>IFERROR(__xludf.DUMMYFUNCTION("""COMPUTED_VALUE"""),2026.0)</f>
        <v>2026</v>
      </c>
      <c r="B1435" s="221">
        <f>IFERROR(__xludf.DUMMYFUNCTION("""COMPUTED_VALUE"""),1.1083859E7)</f>
        <v>11083859</v>
      </c>
      <c r="C1435" s="222" t="str">
        <f>IFERROR(__xludf.DUMMYFUNCTION("""COMPUTED_VALUE"""),"MDN PT3 P7I1 CTD-FU PRIMA GRIYA SRIGUNTING")</f>
        <v>MDN PT3 P7I1 CTD-FU PRIMA GRIYA SRIGUNTING</v>
      </c>
      <c r="D1435" s="222" t="str">
        <f>IFERROR(__xludf.DUMMYFUNCTION("""COMPUTED_VALUE"""),"REGIONAL I")</f>
        <v>REGIONAL I</v>
      </c>
      <c r="E1435" s="222" t="str">
        <f>IFERROR(__xludf.DUMMYFUNCTION("""COMPUTED_VALUE"""),"MEDAN")</f>
        <v>MEDAN</v>
      </c>
      <c r="F1435" s="222" t="str">
        <f>IFERROR(__xludf.DUMMYFUNCTION("""COMPUTED_VALUE"""),"CTD")</f>
        <v>CTD</v>
      </c>
      <c r="G1435" s="222" t="str">
        <f>IFERROR(__xludf.DUMMYFUNCTION("""COMPUTED_VALUE"""),"SUMBAGUT")</f>
        <v>SUMBAGUT</v>
      </c>
      <c r="H1435" s="222" t="str">
        <f>IFERROR(__xludf.DUMMYFUNCTION("""COMPUTED_VALUE"""),"MEDAN")</f>
        <v>MEDAN</v>
      </c>
      <c r="I1435" s="222" t="str">
        <f>IFERROR(__xludf.DUMMYFUNCTION("""COMPUTED_VALUE"""),"Batch 2")</f>
        <v>Batch 2</v>
      </c>
      <c r="J1435" s="225">
        <f>IFERROR(__xludf.DUMMYFUNCTION("""COMPUTED_VALUE"""),20.0)</f>
        <v>20</v>
      </c>
      <c r="K1435" s="224">
        <f>IFERROR(__xludf.DUMMYFUNCTION("""COMPUTED_VALUE"""),160.0)</f>
        <v>160</v>
      </c>
      <c r="L1435" s="226">
        <f>IFERROR(__xludf.DUMMYFUNCTION("""COMPUTED_VALUE"""),694108.0)</f>
        <v>694108</v>
      </c>
      <c r="M1435" s="227">
        <f>IFERROR(__xludf.DUMMYFUNCTION("""COMPUTED_VALUE"""),1.11057124E8)</f>
        <v>111057124</v>
      </c>
      <c r="N1435" s="222" t="str">
        <f>IFERROR(__xludf.DUMMYFUNCTION("""COMPUTED_VALUE"""),"PT TRIPOLA PANATA")</f>
        <v>PT TRIPOLA PANATA</v>
      </c>
      <c r="O1435" s="222" t="str">
        <f>IFERROR(__xludf.DUMMYFUNCTION("""COMPUTED_VALUE"""),"0. DROP")</f>
        <v>0. DROP</v>
      </c>
      <c r="P1435" s="222" t="str">
        <f>IFERROR(__xludf.DUMMYFUNCTION("""COMPUTED_VALUE"""),"0.3 Feeder Full")</f>
        <v>0.3 Feeder Full</v>
      </c>
      <c r="Q1435" s="222" t="str">
        <f>IFERROR(__xludf.DUMMYFUNCTION("""COMPUTED_VALUE"""),"08/03 Feeder Penuh 16/10 Feeder Redaman Tinggi
16/10 Mapping Mitra")</f>
        <v>08/03 Feeder Penuh 16/10 Feeder Redaman Tinggi
16/10 Mapping Mitra</v>
      </c>
      <c r="R1435" s="228"/>
      <c r="S1435" s="11"/>
      <c r="T1435" s="11"/>
      <c r="U1435" s="11"/>
      <c r="V1435" s="229"/>
      <c r="W1435" s="229"/>
      <c r="X1435" s="229" t="str">
        <f>IFERROR(__xludf.DUMMYFUNCTION("""COMPUTED_VALUE"""),"BELUM GOLIVE")</f>
        <v>BELUM GOLIVE</v>
      </c>
      <c r="Y1435" s="229"/>
      <c r="Z1435" s="229" t="str">
        <f>IFERROR(__xludf.DUMMYFUNCTION("""COMPUTED_VALUE"""),"#N/A")</f>
        <v>#N/A</v>
      </c>
      <c r="AA1435" s="229"/>
      <c r="AB1435" s="229"/>
      <c r="AC1435" s="229"/>
      <c r="AD1435" s="232"/>
      <c r="AE1435" s="233"/>
      <c r="AF1435" s="54"/>
      <c r="AG1435" s="54"/>
      <c r="AH1435" s="54"/>
      <c r="AI1435" s="55" t="str">
        <f t="shared" si="145"/>
        <v/>
      </c>
      <c r="AW1435" s="234"/>
      <c r="BP1435" s="11"/>
      <c r="BQ1435" s="11"/>
      <c r="BR1435" s="235"/>
      <c r="BV1435" s="158"/>
      <c r="BY1435" s="158"/>
      <c r="CB1435" s="158"/>
    </row>
    <row r="1436" ht="18.0" hidden="1" customHeight="1">
      <c r="A1436" s="222">
        <f>IFERROR(__xludf.DUMMYFUNCTION("""COMPUTED_VALUE"""),2026.0)</f>
        <v>2026</v>
      </c>
      <c r="B1436" s="221">
        <f>IFERROR(__xludf.DUMMYFUNCTION("""COMPUTED_VALUE"""),1.2386366E7)</f>
        <v>12386366</v>
      </c>
      <c r="C1436" s="222" t="str">
        <f>IFERROR(__xludf.DUMMYFUNCTION("""COMPUTED_VALUE"""),"BBL PT3 P4I3 Tambahan AS Regency")</f>
        <v>BBL PT3 P4I3 Tambahan AS Regency</v>
      </c>
      <c r="D1436" s="222" t="str">
        <f>IFERROR(__xludf.DUMMYFUNCTION("""COMPUTED_VALUE"""),"REGIONAL I")</f>
        <v>REGIONAL I</v>
      </c>
      <c r="E1436" s="222" t="str">
        <f>IFERROR(__xludf.DUMMYFUNCTION("""COMPUTED_VALUE"""),"BABEL")</f>
        <v>BABEL</v>
      </c>
      <c r="F1436" s="222" t="str">
        <f>IFERROR(__xludf.DUMMYFUNCTION("""COMPUTED_VALUE"""),"TJN")</f>
        <v>TJN</v>
      </c>
      <c r="G1436" s="222" t="str">
        <f>IFERROR(__xludf.DUMMYFUNCTION("""COMPUTED_VALUE"""),"SUMBAGSEL")</f>
        <v>SUMBAGSEL</v>
      </c>
      <c r="H1436" s="222" t="str">
        <f>IFERROR(__xludf.DUMMYFUNCTION("""COMPUTED_VALUE"""),"PANGKAL PINANG")</f>
        <v>PANGKAL PINANG</v>
      </c>
      <c r="I1436" s="222" t="str">
        <f>IFERROR(__xludf.DUMMYFUNCTION("""COMPUTED_VALUE"""),"Batch 2")</f>
        <v>Batch 2</v>
      </c>
      <c r="J1436" s="225">
        <f>IFERROR(__xludf.DUMMYFUNCTION("""COMPUTED_VALUE"""),2.0)</f>
        <v>2</v>
      </c>
      <c r="K1436" s="224">
        <f>IFERROR(__xludf.DUMMYFUNCTION("""COMPUTED_VALUE"""),16.0)</f>
        <v>16</v>
      </c>
      <c r="L1436" s="226">
        <f>IFERROR(__xludf.DUMMYFUNCTION("""COMPUTED_VALUE"""),692462.0)</f>
        <v>692462</v>
      </c>
      <c r="M1436" s="227">
        <f>IFERROR(__xludf.DUMMYFUNCTION("""COMPUTED_VALUE"""),1.1079379E7)</f>
        <v>11079379</v>
      </c>
      <c r="N1436" s="222" t="str">
        <f>IFERROR(__xludf.DUMMYFUNCTION("""COMPUTED_VALUE"""),"PT BAYUMI CAHAYA NUSANTARA")</f>
        <v>PT BAYUMI CAHAYA NUSANTARA</v>
      </c>
      <c r="O1436" s="222" t="str">
        <f>IFERROR(__xludf.DUMMYFUNCTION("""COMPUTED_VALUE"""),"8. UJI TERIMA")</f>
        <v>8. UJI TERIMA</v>
      </c>
      <c r="P1436" s="222" t="str">
        <f>IFERROR(__xludf.DUMMYFUNCTION("""COMPUTED_VALUE"""),"8.1 Proses UT")</f>
        <v>8.1 Proses UT</v>
      </c>
      <c r="Q1436" s="222" t="str">
        <f>IFERROR(__xludf.DUMMYFUNCTION("""COMPUTED_VALUE"""),"(20/1) golive 20 jan 2026 16/01 finish instalasi (13/01)  Penarikan Kabel dan Rekap V4 (7/1)  REKAP V4  31/12 finish instalasi (16/12) hold, finish instalasi 28/11 proses instalasi ODP 18/11 fisik done (17/11) mitra masih mengerjakan lokasi lain 15/11 pen"&amp;"arikan kabel 12D 650/650 done (14/11) perapian tiang 1/1 done (13/11) Proses penanaman Tiang 1/1  (12/11) matdel (10/11) progres DRM mitra (29/10) done anwijzing (28/10) Penunjukan mitra")</f>
        <v>(20/1) golive 20 jan 2026 16/01 finish instalasi (13/01)  Penarikan Kabel dan Rekap V4 (7/1)  REKAP V4  31/12 finish instalasi (16/12) hold, finish instalasi 28/11 proses instalasi ODP 18/11 fisik done (17/11) mitra masih mengerjakan lokasi lain 15/11 penarikan kabel 12D 650/650 done (14/11) perapian tiang 1/1 done (13/11) Proses penanaman Tiang 1/1  (12/11) matdel (10/11) progres DRM mitra (29/10) done anwijzing (28/10) Penunjukan mitra</v>
      </c>
      <c r="R1436" s="228"/>
      <c r="S1436" s="11"/>
      <c r="T1436" s="11"/>
      <c r="U1436" s="11"/>
      <c r="V1436" s="229"/>
      <c r="W1436" s="229"/>
      <c r="X1436" s="229" t="str">
        <f>IFERROR(__xludf.DUMMYFUNCTION("""COMPUTED_VALUE"""),"GOLIVE")</f>
        <v>GOLIVE</v>
      </c>
      <c r="Y1436" s="229" t="str">
        <f>IFERROR(__xludf.DUMMYFUNCTION("""COMPUTED_VALUE"""),"DONE")</f>
        <v>DONE</v>
      </c>
      <c r="Z1436" s="229" t="str">
        <f>IFERROR(__xludf.DUMMYFUNCTION("""COMPUTED_VALUE"""),"#N/A")</f>
        <v>#N/A</v>
      </c>
      <c r="AA1436" s="229"/>
      <c r="AB1436" s="229">
        <f>IFERROR(__xludf.DUMMYFUNCTION("""COMPUTED_VALUE"""),2.0)</f>
        <v>2</v>
      </c>
      <c r="AC1436" s="229" t="str">
        <f>IFERROR(__xludf.DUMMYFUNCTION("""COMPUTED_VALUE"""),"8962769#8962774")</f>
        <v>8962769#8962774</v>
      </c>
      <c r="AD1436" s="232">
        <f>IFERROR(__xludf.DUMMYFUNCTION("""COMPUTED_VALUE"""),32.0)</f>
        <v>32</v>
      </c>
      <c r="AE1436" s="233">
        <f>IFERROR(__xludf.DUMMYFUNCTION("""COMPUTED_VALUE"""),46042.0)</f>
        <v>46042</v>
      </c>
      <c r="AF1436" s="54" t="str">
        <f>IFERROR(__xludf.DUMMYFUNCTION("""COMPUTED_VALUE"""),"DONE")</f>
        <v>DONE</v>
      </c>
      <c r="AG1436" s="54"/>
      <c r="AH1436" s="54"/>
      <c r="AI1436" s="55" t="str">
        <f t="shared" si="145"/>
        <v/>
      </c>
      <c r="AW1436" s="234"/>
      <c r="BP1436" s="11"/>
      <c r="BQ1436" s="11"/>
      <c r="BR1436" s="235"/>
      <c r="BV1436" s="158"/>
      <c r="BY1436" s="158"/>
      <c r="CB1436" s="158"/>
    </row>
    <row r="1437" ht="18.0" hidden="1" customHeight="1">
      <c r="A1437" s="222">
        <f>IFERROR(__xludf.DUMMYFUNCTION("""COMPUTED_VALUE"""),2026.0)</f>
        <v>2026</v>
      </c>
      <c r="B1437" s="221">
        <f>IFERROR(__xludf.DUMMYFUNCTION("""COMPUTED_VALUE"""),1.2429254E7)</f>
        <v>12429254</v>
      </c>
      <c r="C1437" s="222" t="str">
        <f>IFERROR(__xludf.DUMMYFUNCTION("""COMPUTED_VALUE"""),"MDN 520144")</f>
        <v>MDN 520144</v>
      </c>
      <c r="D1437" s="222" t="str">
        <f>IFERROR(__xludf.DUMMYFUNCTION("""COMPUTED_VALUE"""),"REGIONAL I")</f>
        <v>REGIONAL I</v>
      </c>
      <c r="E1437" s="222" t="str">
        <f>IFERROR(__xludf.DUMMYFUNCTION("""COMPUTED_VALUE"""),"MEDAN")</f>
        <v>MEDAN</v>
      </c>
      <c r="F1437" s="222" t="str">
        <f>IFERROR(__xludf.DUMMYFUNCTION("""COMPUTED_VALUE"""),"BLW")</f>
        <v>BLW</v>
      </c>
      <c r="G1437" s="222" t="str">
        <f>IFERROR(__xludf.DUMMYFUNCTION("""COMPUTED_VALUE"""),"SUMBAGUT")</f>
        <v>SUMBAGUT</v>
      </c>
      <c r="H1437" s="222" t="str">
        <f>IFERROR(__xludf.DUMMYFUNCTION("""COMPUTED_VALUE"""),"MEDAN")</f>
        <v>MEDAN</v>
      </c>
      <c r="I1437" s="222" t="str">
        <f>IFERROR(__xludf.DUMMYFUNCTION("""COMPUTED_VALUE"""),"Batch 2")</f>
        <v>Batch 2</v>
      </c>
      <c r="J1437" s="225">
        <f>IFERROR(__xludf.DUMMYFUNCTION("""COMPUTED_VALUE"""),3.0)</f>
        <v>3</v>
      </c>
      <c r="K1437" s="224">
        <f>IFERROR(__xludf.DUMMYFUNCTION("""COMPUTED_VALUE"""),24.0)</f>
        <v>24</v>
      </c>
      <c r="L1437" s="226">
        <f>IFERROR(__xludf.DUMMYFUNCTION("""COMPUTED_VALUE"""),688720.0)</f>
        <v>688720</v>
      </c>
      <c r="M1437" s="227">
        <f>IFERROR(__xludf.DUMMYFUNCTION("""COMPUTED_VALUE"""),1.6529271E7)</f>
        <v>16529271</v>
      </c>
      <c r="N1437" s="222" t="str">
        <f>IFERROR(__xludf.DUMMYFUNCTION("""COMPUTED_VALUE"""),"PT BENWA  MITRA PRATAMA")</f>
        <v>PT BENWA  MITRA PRATAMA</v>
      </c>
      <c r="O1437" s="222" t="str">
        <f>IFERROR(__xludf.DUMMYFUNCTION("""COMPUTED_VALUE"""),"0. DROP")</f>
        <v>0. DROP</v>
      </c>
      <c r="P1437" s="222" t="str">
        <f>IFERROR(__xludf.DUMMYFUNCTION("""COMPUTED_VALUE"""),"0.2 Tidak Dapat Izin Warga/Kades/Lurah/Developer")</f>
        <v>0.2 Tidak Dapat Izin Warga/Kades/Lurah/Developer</v>
      </c>
      <c r="Q1437" s="222" t="str">
        <f>IFERROR(__xludf.DUMMYFUNCTION("""COMPUTED_VALUE"""),"20/04 tidak dapat izin dari kadus, karena daerah rawan 09/04 komitmen anwidzing 13/04 antrian pekerjaan (MDN PT3 BLW-FAH 250_1671_1648) 06/04 take over mitra BENWA")</f>
        <v>20/04 tidak dapat izin dari kadus, karena daerah rawan 09/04 komitmen anwidzing 13/04 antrian pekerjaan (MDN PT3 BLW-FAH 250_1671_1648) 06/04 take over mitra BENWA</v>
      </c>
      <c r="R1437" s="228"/>
      <c r="S1437" s="11"/>
      <c r="T1437" s="73"/>
      <c r="U1437" s="11"/>
      <c r="V1437" s="229" t="str">
        <f>IFERROR(__xludf.DUMMYFUNCTION("""COMPUTED_VALUE"""),"29/Apr/2026")</f>
        <v>29/Apr/2026</v>
      </c>
      <c r="W1437" s="229"/>
      <c r="X1437" s="229" t="str">
        <f>IFERROR(__xludf.DUMMYFUNCTION("""COMPUTED_VALUE"""),"BELUM GOLIVE")</f>
        <v>BELUM GOLIVE</v>
      </c>
      <c r="Y1437" s="229"/>
      <c r="Z1437" s="229" t="str">
        <f>IFERROR(__xludf.DUMMYFUNCTION("""COMPUTED_VALUE"""),"#N/A")</f>
        <v>#N/A</v>
      </c>
      <c r="AA1437" s="229"/>
      <c r="AB1437" s="229"/>
      <c r="AC1437" s="229"/>
      <c r="AD1437" s="232"/>
      <c r="AE1437" s="233"/>
      <c r="AF1437" s="54"/>
      <c r="AG1437" s="54"/>
      <c r="AH1437" s="54"/>
      <c r="AI1437" s="55" t="str">
        <f t="shared" si="145"/>
        <v/>
      </c>
      <c r="AW1437" s="234"/>
      <c r="BP1437" s="11"/>
      <c r="BQ1437" s="11"/>
      <c r="BR1437" s="235"/>
      <c r="BV1437" s="158"/>
      <c r="BY1437" s="158"/>
      <c r="CB1437" s="158"/>
    </row>
    <row r="1438" ht="18.0" hidden="1" customHeight="1">
      <c r="A1438" s="222">
        <f>IFERROR(__xludf.DUMMYFUNCTION("""COMPUTED_VALUE"""),2026.0)</f>
        <v>2026</v>
      </c>
      <c r="B1438" s="221">
        <f>IFERROR(__xludf.DUMMYFUNCTION("""COMPUTED_VALUE"""),1.2436397E7)</f>
        <v>12436397</v>
      </c>
      <c r="C1438" s="222" t="str">
        <f>IFERROR(__xludf.DUMMYFUNCTION("""COMPUTED_VALUE"""),"ACH PT3 DAR-FRU BR.D07 LHAMBUK")</f>
        <v>ACH PT3 DAR-FRU BR.D07 LHAMBUK</v>
      </c>
      <c r="D1438" s="222" t="str">
        <f>IFERROR(__xludf.DUMMYFUNCTION("""COMPUTED_VALUE"""),"REGIONAL I")</f>
        <v>REGIONAL I</v>
      </c>
      <c r="E1438" s="222" t="str">
        <f>IFERROR(__xludf.DUMMYFUNCTION("""COMPUTED_VALUE"""),"ACEH")</f>
        <v>ACEH</v>
      </c>
      <c r="F1438" s="222" t="str">
        <f>IFERROR(__xludf.DUMMYFUNCTION("""COMPUTED_VALUE"""),"DAR")</f>
        <v>DAR</v>
      </c>
      <c r="G1438" s="222" t="str">
        <f>IFERROR(__xludf.DUMMYFUNCTION("""COMPUTED_VALUE"""),"SUMBAGUT")</f>
        <v>SUMBAGUT</v>
      </c>
      <c r="H1438" s="222" t="str">
        <f>IFERROR(__xludf.DUMMYFUNCTION("""COMPUTED_VALUE"""),"BANDA ACEH")</f>
        <v>BANDA ACEH</v>
      </c>
      <c r="I1438" s="222" t="str">
        <f>IFERROR(__xludf.DUMMYFUNCTION("""COMPUTED_VALUE"""),"Batch 2")</f>
        <v>Batch 2</v>
      </c>
      <c r="J1438" s="225">
        <f>IFERROR(__xludf.DUMMYFUNCTION("""COMPUTED_VALUE"""),3.0)</f>
        <v>3</v>
      </c>
      <c r="K1438" s="224">
        <f>IFERROR(__xludf.DUMMYFUNCTION("""COMPUTED_VALUE"""),24.0)</f>
        <v>24</v>
      </c>
      <c r="L1438" s="226">
        <f>IFERROR(__xludf.DUMMYFUNCTION("""COMPUTED_VALUE"""),688630.0)</f>
        <v>688630</v>
      </c>
      <c r="M1438" s="227">
        <f>IFERROR(__xludf.DUMMYFUNCTION("""COMPUTED_VALUE"""),1.6527098E7)</f>
        <v>16527098</v>
      </c>
      <c r="N1438" s="222" t="str">
        <f>IFERROR(__xludf.DUMMYFUNCTION("""COMPUTED_VALUE"""),"PT NIAGA NUSANTARA DIVA")</f>
        <v>PT NIAGA NUSANTARA DIVA</v>
      </c>
      <c r="O1438" s="222" t="str">
        <f>IFERROR(__xludf.DUMMYFUNCTION("""COMPUTED_VALUE"""),"7. GOLIVE")</f>
        <v>7. GOLIVE</v>
      </c>
      <c r="P1438" s="222" t="str">
        <f>IFERROR(__xludf.DUMMYFUNCTION("""COMPUTED_VALUE"""),"7.2 Golive Full / OA / DONE OTB")</f>
        <v>7.2 Golive Full / OA / DONE OTB</v>
      </c>
      <c r="Q1438" s="222" t="str">
        <f>IFERROR(__xludf.DUMMYFUNCTION("""COMPUTED_VALUE"""),"(02/03) Proses Valins (27/02) Penarikan Kabel (20/02) Tanam Tiang (14/02) DelMat (07/02) Review Design (30/01) 3. AANWIJZING (07/01) Persiapan")</f>
        <v>(02/03) Proses Valins (27/02) Penarikan Kabel (20/02) Tanam Tiang (14/02) DelMat (07/02) Review Design (30/01) 3. AANWIJZING (07/01) Persiapan</v>
      </c>
      <c r="R1438" s="228">
        <f>IFERROR(__xludf.DUMMYFUNCTION("""COMPUTED_VALUE"""),46084.0)</f>
        <v>46084</v>
      </c>
      <c r="S1438" s="11" t="str">
        <f>IFERROR(__xludf.DUMMYFUNCTION("""COMPUTED_VALUE"""),"MAR")</f>
        <v>MAR</v>
      </c>
      <c r="T1438" s="11"/>
      <c r="U1438" s="11" t="str">
        <f>IFERROR(__xludf.DUMMYFUNCTION("""COMPUTED_VALUE"""),"TIF-3501/2026")</f>
        <v>TIF-3501/2026</v>
      </c>
      <c r="V1438" s="229"/>
      <c r="W1438" s="229"/>
      <c r="X1438" s="229" t="str">
        <f>IFERROR(__xludf.DUMMYFUNCTION("""COMPUTED_VALUE"""),"GOLIVE")</f>
        <v>GOLIVE</v>
      </c>
      <c r="Y1438" s="229" t="str">
        <f>IFERROR(__xludf.DUMMYFUNCTION("""COMPUTED_VALUE"""),"DONE")</f>
        <v>DONE</v>
      </c>
      <c r="Z1438" s="229" t="str">
        <f>IFERROR(__xludf.DUMMYFUNCTION("""COMPUTED_VALUE"""),"#N/A")</f>
        <v>#N/A</v>
      </c>
      <c r="AA1438" s="229">
        <f>IFERROR(__xludf.DUMMYFUNCTION("""COMPUTED_VALUE"""),3.0)</f>
        <v>3</v>
      </c>
      <c r="AB1438" s="229"/>
      <c r="AC1438" s="229" t="str">
        <f>IFERROR(__xludf.DUMMYFUNCTION("""COMPUTED_VALUE"""),"9141155#9141160")</f>
        <v>9141155#9141160</v>
      </c>
      <c r="AD1438" s="232">
        <f>IFERROR(__xludf.DUMMYFUNCTION("""COMPUTED_VALUE"""),24.0)</f>
        <v>24</v>
      </c>
      <c r="AE1438" s="233">
        <f>IFERROR(__xludf.DUMMYFUNCTION("""COMPUTED_VALUE"""),46084.0)</f>
        <v>46084</v>
      </c>
      <c r="AF1438" s="54"/>
      <c r="AG1438" s="54"/>
      <c r="AH1438" s="54">
        <v>46084.0</v>
      </c>
      <c r="AI1438" s="55">
        <f t="shared" si="145"/>
        <v>0</v>
      </c>
      <c r="AW1438" s="234"/>
      <c r="BP1438" s="11"/>
      <c r="BQ1438" s="11"/>
      <c r="BR1438" s="235"/>
      <c r="BV1438" s="158"/>
      <c r="BY1438" s="158"/>
      <c r="CB1438" s="158"/>
    </row>
    <row r="1439" ht="18.0" hidden="1" customHeight="1">
      <c r="A1439" s="222">
        <f>IFERROR(__xludf.DUMMYFUNCTION("""COMPUTED_VALUE"""),2026.0)</f>
        <v>2026</v>
      </c>
      <c r="B1439" s="221">
        <f>IFERROR(__xludf.DUMMYFUNCTION("""COMPUTED_VALUE"""),1.1237212E7)</f>
        <v>11237212</v>
      </c>
      <c r="C1439" s="222" t="str">
        <f>IFERROR(__xludf.DUMMYFUNCTION("""COMPUTED_VALUE"""),"MDN PT3 P7I13 DLT-FB JL.DELI TUA PAMAH")</f>
        <v>MDN PT3 P7I13 DLT-FB JL.DELI TUA PAMAH</v>
      </c>
      <c r="D1439" s="222" t="str">
        <f>IFERROR(__xludf.DUMMYFUNCTION("""COMPUTED_VALUE"""),"REGIONAL I")</f>
        <v>REGIONAL I</v>
      </c>
      <c r="E1439" s="222" t="str">
        <f>IFERROR(__xludf.DUMMYFUNCTION("""COMPUTED_VALUE"""),"MEDAN")</f>
        <v>MEDAN</v>
      </c>
      <c r="F1439" s="222" t="str">
        <f>IFERROR(__xludf.DUMMYFUNCTION("""COMPUTED_VALUE"""),"DLT")</f>
        <v>DLT</v>
      </c>
      <c r="G1439" s="222" t="str">
        <f>IFERROR(__xludf.DUMMYFUNCTION("""COMPUTED_VALUE"""),"SUMBAGUT")</f>
        <v>SUMBAGUT</v>
      </c>
      <c r="H1439" s="222" t="str">
        <f>IFERROR(__xludf.DUMMYFUNCTION("""COMPUTED_VALUE"""),"MEDAN")</f>
        <v>MEDAN</v>
      </c>
      <c r="I1439" s="222" t="str">
        <f>IFERROR(__xludf.DUMMYFUNCTION("""COMPUTED_VALUE"""),"Batch 2")</f>
        <v>Batch 2</v>
      </c>
      <c r="J1439" s="225">
        <f>IFERROR(__xludf.DUMMYFUNCTION("""COMPUTED_VALUE"""),1.0)</f>
        <v>1</v>
      </c>
      <c r="K1439" s="224">
        <f>IFERROR(__xludf.DUMMYFUNCTION("""COMPUTED_VALUE"""),8.0)</f>
        <v>8</v>
      </c>
      <c r="L1439" s="226">
        <f>IFERROR(__xludf.DUMMYFUNCTION("""COMPUTED_VALUE"""),1096310.0)</f>
        <v>1096310</v>
      </c>
      <c r="M1439" s="227">
        <f>IFERROR(__xludf.DUMMYFUNCTION("""COMPUTED_VALUE"""),8770476.0)</f>
        <v>8770476</v>
      </c>
      <c r="N1439" s="222" t="str">
        <f>IFERROR(__xludf.DUMMYFUNCTION("""COMPUTED_VALUE"""),"PT SALTTEK DUMPANG JAYA")</f>
        <v>PT SALTTEK DUMPANG JAYA</v>
      </c>
      <c r="O1439" s="222" t="str">
        <f>IFERROR(__xludf.DUMMYFUNCTION("""COMPUTED_VALUE"""),"0. DROP")</f>
        <v>0. DROP</v>
      </c>
      <c r="P1439" s="222" t="str">
        <f>IFERROR(__xludf.DUMMYFUNCTION("""COMPUTED_VALUE"""),"0.2 Tidak Dapat Izin Warga/Kades/Lurah/Developer")</f>
        <v>0.2 Tidak Dapat Izin Warga/Kades/Lurah/Developer</v>
      </c>
      <c r="Q1439" s="222" t="str">
        <f>IFERROR(__xludf.DUMMYFUNCTION("""COMPUTED_VALUE"""),"05/02 KADES angkat tangan perihal perizinan")</f>
        <v>05/02 KADES angkat tangan perihal perizinan</v>
      </c>
      <c r="R1439" s="228"/>
      <c r="S1439" s="11"/>
      <c r="T1439" s="11"/>
      <c r="U1439" s="11"/>
      <c r="V1439" s="229"/>
      <c r="W1439" s="229"/>
      <c r="X1439" s="229" t="str">
        <f>IFERROR(__xludf.DUMMYFUNCTION("""COMPUTED_VALUE"""),"BELUM GOLIVE")</f>
        <v>BELUM GOLIVE</v>
      </c>
      <c r="Y1439" s="229"/>
      <c r="Z1439" s="229" t="str">
        <f>IFERROR(__xludf.DUMMYFUNCTION("""COMPUTED_VALUE"""),"#N/A")</f>
        <v>#N/A</v>
      </c>
      <c r="AA1439" s="229"/>
      <c r="AB1439" s="229"/>
      <c r="AC1439" s="229"/>
      <c r="AD1439" s="232"/>
      <c r="AE1439" s="233"/>
      <c r="AF1439" s="54" t="str">
        <f>IFERROR(__xludf.DUMMYFUNCTION("""COMPUTED_VALUE"""),"Draft BA DROP")</f>
        <v>Draft BA DROP</v>
      </c>
      <c r="AG1439" s="54"/>
      <c r="AH1439" s="54"/>
      <c r="AI1439" s="55" t="str">
        <f t="shared" si="145"/>
        <v/>
      </c>
      <c r="AW1439" s="234"/>
      <c r="BP1439" s="11"/>
      <c r="BQ1439" s="11"/>
      <c r="BR1439" s="235"/>
      <c r="BV1439" s="158"/>
      <c r="BY1439" s="158"/>
      <c r="CB1439" s="158"/>
    </row>
    <row r="1440" ht="18.0" customHeight="1">
      <c r="A1440" s="222">
        <f>IFERROR(__xludf.DUMMYFUNCTION("""COMPUTED_VALUE"""),2026.0)</f>
        <v>2026</v>
      </c>
      <c r="B1440" s="221">
        <f>IFERROR(__xludf.DUMMYFUNCTION("""COMPUTED_VALUE"""),1.1030315E7)</f>
        <v>11030315</v>
      </c>
      <c r="C1440" s="222" t="str">
        <f>IFERROR(__xludf.DUMMYFUNCTION("""COMPUTED_VALUE"""),"SMB P7I5 Griya Citra Harmoni KJI")</f>
        <v>SMB P7I5 Griya Citra Harmoni KJI</v>
      </c>
      <c r="D1440" s="222" t="str">
        <f>IFERROR(__xludf.DUMMYFUNCTION("""COMPUTED_VALUE"""),"REGIONAL I")</f>
        <v>REGIONAL I</v>
      </c>
      <c r="E1440" s="222" t="str">
        <f>IFERROR(__xludf.DUMMYFUNCTION("""COMPUTED_VALUE"""),"SUMBAR")</f>
        <v>SUMBAR</v>
      </c>
      <c r="F1440" s="222" t="str">
        <f>IFERROR(__xludf.DUMMYFUNCTION("""COMPUTED_VALUE"""),"KJI")</f>
        <v>KJI</v>
      </c>
      <c r="G1440" s="222" t="str">
        <f>IFERROR(__xludf.DUMMYFUNCTION("""COMPUTED_VALUE"""),"SUMBAGTENG")</f>
        <v>SUMBAGTENG</v>
      </c>
      <c r="H1440" s="222" t="str">
        <f>IFERROR(__xludf.DUMMYFUNCTION("""COMPUTED_VALUE"""),"PADANG")</f>
        <v>PADANG</v>
      </c>
      <c r="I1440" s="222" t="str">
        <f>IFERROR(__xludf.DUMMYFUNCTION("""COMPUTED_VALUE"""),"Batch 2")</f>
        <v>Batch 2</v>
      </c>
      <c r="J1440" s="225">
        <f>IFERROR(__xludf.DUMMYFUNCTION("""COMPUTED_VALUE"""),3.0)</f>
        <v>3</v>
      </c>
      <c r="K1440" s="224">
        <f>IFERROR(__xludf.DUMMYFUNCTION("""COMPUTED_VALUE"""),24.0)</f>
        <v>24</v>
      </c>
      <c r="L1440" s="226">
        <f>IFERROR(__xludf.DUMMYFUNCTION("""COMPUTED_VALUE"""),688439.0)</f>
        <v>688439</v>
      </c>
      <c r="M1440" s="227">
        <f>IFERROR(__xludf.DUMMYFUNCTION("""COMPUTED_VALUE"""),1.6522525E7)</f>
        <v>16522525</v>
      </c>
      <c r="N1440" s="222" t="str">
        <f>IFERROR(__xludf.DUMMYFUNCTION("""COMPUTED_VALUE"""),"PT ALAM UTAMA MULIA")</f>
        <v>PT ALAM UTAMA MULIA</v>
      </c>
      <c r="O1440" s="222" t="str">
        <f>IFERROR(__xludf.DUMMYFUNCTION("""COMPUTED_VALUE"""),"8. UJI TERIMA")</f>
        <v>8. UJI TERIMA</v>
      </c>
      <c r="P1440" s="222" t="str">
        <f>IFERROR(__xludf.DUMMYFUNCTION("""COMPUTED_VALUE"""),"8.1 Proses UT")</f>
        <v>8.1 Proses UT</v>
      </c>
      <c r="Q1440" s="222" t="str">
        <f>IFERROR(__xludf.DUMMYFUNCTION("""COMPUTED_VALUE"""),"(07/01) Persiapan")</f>
        <v>(07/01) Persiapan</v>
      </c>
      <c r="R1440" s="228"/>
      <c r="S1440" s="11"/>
      <c r="T1440" s="11"/>
      <c r="U1440" s="11" t="str">
        <f>IFERROR(__xludf.DUMMYFUNCTION("""COMPUTED_VALUE"""),"W10-1792/2025 25KT03R158-0571")</f>
        <v>W10-1792/2025 25KT03R158-0571</v>
      </c>
      <c r="V1440" s="229" t="str">
        <f>IFERROR(__xludf.DUMMYFUNCTION("""COMPUTED_VALUE"""),"ALDI EFENDI")</f>
        <v>ALDI EFENDI</v>
      </c>
      <c r="W1440" s="229" t="str">
        <f>IFERROR(__xludf.DUMMYFUNCTION("""COMPUTED_VALUE"""),"MELKO NARWADI")</f>
        <v>MELKO NARWADI</v>
      </c>
      <c r="X1440" s="229" t="str">
        <f>IFERROR(__xludf.DUMMYFUNCTION("""COMPUTED_VALUE"""),"GOLIVE")</f>
        <v>GOLIVE</v>
      </c>
      <c r="Y1440" s="229" t="str">
        <f>IFERROR(__xludf.DUMMYFUNCTION("""COMPUTED_VALUE"""),"DONE")</f>
        <v>DONE</v>
      </c>
      <c r="Z1440" s="229" t="str">
        <f>IFERROR(__xludf.DUMMYFUNCTION("""COMPUTED_VALUE"""),"#N/A")</f>
        <v>#N/A</v>
      </c>
      <c r="AA1440" s="229">
        <f>IFERROR(__xludf.DUMMYFUNCTION("""COMPUTED_VALUE"""),1.0)</f>
        <v>1</v>
      </c>
      <c r="AB1440" s="229"/>
      <c r="AC1440" s="229" t="str">
        <f>IFERROR(__xludf.DUMMYFUNCTION("""COMPUTED_VALUE"""),"8938106#8938111")</f>
        <v>8938106#8938111</v>
      </c>
      <c r="AD1440" s="232">
        <f>IFERROR(__xludf.DUMMYFUNCTION("""COMPUTED_VALUE"""),8.0)</f>
        <v>8</v>
      </c>
      <c r="AE1440" s="233">
        <f>IFERROR(__xludf.DUMMYFUNCTION("""COMPUTED_VALUE"""),46031.0)</f>
        <v>46031</v>
      </c>
      <c r="AF1440" s="54"/>
      <c r="AG1440" s="54"/>
      <c r="AH1440" s="54"/>
      <c r="AI1440" s="55" t="str">
        <f t="shared" si="145"/>
        <v/>
      </c>
      <c r="AW1440" s="234"/>
      <c r="BP1440" s="11"/>
      <c r="BQ1440" s="11"/>
      <c r="BR1440" s="235"/>
      <c r="BV1440" s="158"/>
      <c r="BY1440" s="158"/>
      <c r="CB1440" s="158"/>
    </row>
    <row r="1441" ht="18.0" hidden="1" customHeight="1">
      <c r="A1441" s="222">
        <f>IFERROR(__xludf.DUMMYFUNCTION("""COMPUTED_VALUE"""),2026.0)</f>
        <v>2026</v>
      </c>
      <c r="B1441" s="221">
        <f>IFERROR(__xludf.DUMMYFUNCTION("""COMPUTED_VALUE"""),1.1393421E7)</f>
        <v>11393421</v>
      </c>
      <c r="C1441" s="222" t="str">
        <f>IFERROR(__xludf.DUMMYFUNCTION("""COMPUTED_VALUE"""),"LPG PT3 JPP LAMPUNG UTARA_11725 KBI")</f>
        <v>LPG PT3 JPP LAMPUNG UTARA_11725 KBI</v>
      </c>
      <c r="D1441" s="222" t="str">
        <f>IFERROR(__xludf.DUMMYFUNCTION("""COMPUTED_VALUE"""),"REGIONAL I")</f>
        <v>REGIONAL I</v>
      </c>
      <c r="E1441" s="222" t="str">
        <f>IFERROR(__xludf.DUMMYFUNCTION("""COMPUTED_VALUE"""),"LAMPUNG")</f>
        <v>LAMPUNG</v>
      </c>
      <c r="F1441" s="222" t="str">
        <f>IFERROR(__xludf.DUMMYFUNCTION("""COMPUTED_VALUE"""),"KBI")</f>
        <v>KBI</v>
      </c>
      <c r="G1441" s="222" t="str">
        <f>IFERROR(__xludf.DUMMYFUNCTION("""COMPUTED_VALUE"""),"SUMBAGSEL")</f>
        <v>SUMBAGSEL</v>
      </c>
      <c r="H1441" s="222" t="str">
        <f>IFERROR(__xludf.DUMMYFUNCTION("""COMPUTED_VALUE"""),"LAMPUNG")</f>
        <v>LAMPUNG</v>
      </c>
      <c r="I1441" s="222" t="str">
        <f>IFERROR(__xludf.DUMMYFUNCTION("""COMPUTED_VALUE"""),"Batch 2")</f>
        <v>Batch 2</v>
      </c>
      <c r="J1441" s="225">
        <f>IFERROR(__xludf.DUMMYFUNCTION("""COMPUTED_VALUE"""),6.0)</f>
        <v>6</v>
      </c>
      <c r="K1441" s="224">
        <f>IFERROR(__xludf.DUMMYFUNCTION("""COMPUTED_VALUE"""),48.0)</f>
        <v>48</v>
      </c>
      <c r="L1441" s="226">
        <f>IFERROR(__xludf.DUMMYFUNCTION("""COMPUTED_VALUE"""),688304.0)</f>
        <v>688304</v>
      </c>
      <c r="M1441" s="227">
        <f>IFERROR(__xludf.DUMMYFUNCTION("""COMPUTED_VALUE"""),3.3038576E7)</f>
        <v>33038576</v>
      </c>
      <c r="N1441" s="222" t="str">
        <f>IFERROR(__xludf.DUMMYFUNCTION("""COMPUTED_VALUE"""),"PT ALAM UTAMA MULIA")</f>
        <v>PT ALAM UTAMA MULIA</v>
      </c>
      <c r="O1441" s="222" t="str">
        <f>IFERROR(__xludf.DUMMYFUNCTION("""COMPUTED_VALUE"""),"7. GOLIVE")</f>
        <v>7. GOLIVE</v>
      </c>
      <c r="P1441" s="222" t="str">
        <f>IFERROR(__xludf.DUMMYFUNCTION("""COMPUTED_VALUE"""),"7.2 Golive Full / OA / DONE OTB")</f>
        <v>7.2 Golive Full / OA / DONE OTB</v>
      </c>
      <c r="Q1441" s="222" t="str">
        <f>IFERROR(__xludf.DUMMYFUNCTION("""COMPUTED_VALUE"""),"18/2 mitra sudah kirim ABD V4 - 17 FEB  11/2 Mareial onsite- plan progress 15 FEB 9/2 MATDEL  6/2 plan matdel ,ambil material 9/2 plan fi 24/2
4/2 stok material kosong ,estimasi tiba 07/2 
30/1 pengajuan pid  05/2 
23/1 estimasi pengambilan material 
28/0"&amp;"1  ambil material di gudang
19/1 MINI OLT HABIS")</f>
        <v>18/2 mitra sudah kirim ABD V4 - 17 FEB  11/2 Mareial onsite- plan progress 15 FEB 9/2 MATDEL  6/2 plan matdel ,ambil material 9/2 plan fi 24/2
4/2 stok material kosong ,estimasi tiba 07/2 
30/1 pengajuan pid  05/2 
23/1 estimasi pengambilan material 
28/01  ambil material di gudang
19/1 MINI OLT HABIS</v>
      </c>
      <c r="R1441" s="228">
        <f>IFERROR(__xludf.DUMMYFUNCTION("""COMPUTED_VALUE"""),46072.0)</f>
        <v>46072</v>
      </c>
      <c r="S1441" s="11"/>
      <c r="T1441" s="11"/>
      <c r="U1441" s="11" t="str">
        <f>IFERROR(__xludf.DUMMYFUNCTION("""COMPUTED_VALUE"""),"W02-564/2025")</f>
        <v>W02-564/2025</v>
      </c>
      <c r="V1441" s="229"/>
      <c r="W1441" s="229"/>
      <c r="X1441" s="229" t="str">
        <f>IFERROR(__xludf.DUMMYFUNCTION("""COMPUTED_VALUE"""),"GOLIVE")</f>
        <v>GOLIVE</v>
      </c>
      <c r="Y1441" s="229" t="str">
        <f>IFERROR(__xludf.DUMMYFUNCTION("""COMPUTED_VALUE"""),"DONE")</f>
        <v>DONE</v>
      </c>
      <c r="Z1441" s="229" t="str">
        <f>IFERROR(__xludf.DUMMYFUNCTION("""COMPUTED_VALUE"""),"#N/A")</f>
        <v>#N/A</v>
      </c>
      <c r="AA1441" s="229">
        <f>IFERROR(__xludf.DUMMYFUNCTION("""COMPUTED_VALUE"""),5.0)</f>
        <v>5</v>
      </c>
      <c r="AB1441" s="229"/>
      <c r="AC1441" s="229" t="str">
        <f>IFERROR(__xludf.DUMMYFUNCTION("""COMPUTED_VALUE"""),"9117941#9117946")</f>
        <v>9117941#9117946</v>
      </c>
      <c r="AD1441" s="232">
        <f>IFERROR(__xludf.DUMMYFUNCTION("""COMPUTED_VALUE"""),40.0)</f>
        <v>40</v>
      </c>
      <c r="AE1441" s="233">
        <f>IFERROR(__xludf.DUMMYFUNCTION("""COMPUTED_VALUE"""),46072.0)</f>
        <v>46072</v>
      </c>
      <c r="AF1441" s="54"/>
      <c r="AG1441" s="54"/>
      <c r="AH1441" s="54">
        <v>46072.0</v>
      </c>
      <c r="AI1441" s="55">
        <f t="shared" si="145"/>
        <v>0</v>
      </c>
      <c r="AW1441" s="234"/>
      <c r="BP1441" s="11"/>
      <c r="BQ1441" s="11"/>
      <c r="BR1441" s="235"/>
      <c r="BV1441" s="158"/>
      <c r="BY1441" s="158"/>
      <c r="CB1441" s="158"/>
    </row>
    <row r="1442" ht="18.0" hidden="1" customHeight="1">
      <c r="A1442" s="222">
        <f>IFERROR(__xludf.DUMMYFUNCTION("""COMPUTED_VALUE"""),2026.0)</f>
        <v>2026</v>
      </c>
      <c r="B1442" s="221">
        <f>IFERROR(__xludf.DUMMYFUNCTION("""COMPUTED_VALUE"""),1.1365002E7)</f>
        <v>11365002</v>
      </c>
      <c r="C1442" s="222" t="str">
        <f>IFERROR(__xludf.DUMMYFUNCTION("""COMPUTED_VALUE"""),"MDN PT3 P7I9 BJI-FQA JL.MEDAN KRIO")</f>
        <v>MDN PT3 P7I9 BJI-FQA JL.MEDAN KRIO</v>
      </c>
      <c r="D1442" s="222" t="str">
        <f>IFERROR(__xludf.DUMMYFUNCTION("""COMPUTED_VALUE"""),"REGIONAL I")</f>
        <v>REGIONAL I</v>
      </c>
      <c r="E1442" s="222" t="str">
        <f>IFERROR(__xludf.DUMMYFUNCTION("""COMPUTED_VALUE"""),"MEDAN")</f>
        <v>MEDAN</v>
      </c>
      <c r="F1442" s="222" t="str">
        <f>IFERROR(__xludf.DUMMYFUNCTION("""COMPUTED_VALUE"""),"BJI")</f>
        <v>BJI</v>
      </c>
      <c r="G1442" s="222" t="str">
        <f>IFERROR(__xludf.DUMMYFUNCTION("""COMPUTED_VALUE"""),"SUMBAGUT")</f>
        <v>SUMBAGUT</v>
      </c>
      <c r="H1442" s="222" t="str">
        <f>IFERROR(__xludf.DUMMYFUNCTION("""COMPUTED_VALUE"""),"BINJAI")</f>
        <v>BINJAI</v>
      </c>
      <c r="I1442" s="222" t="str">
        <f>IFERROR(__xludf.DUMMYFUNCTION("""COMPUTED_VALUE"""),"Batch 2")</f>
        <v>Batch 2</v>
      </c>
      <c r="J1442" s="225">
        <f>IFERROR(__xludf.DUMMYFUNCTION("""COMPUTED_VALUE"""),3.0)</f>
        <v>3</v>
      </c>
      <c r="K1442" s="224">
        <f>IFERROR(__xludf.DUMMYFUNCTION("""COMPUTED_VALUE"""),24.0)</f>
        <v>24</v>
      </c>
      <c r="L1442" s="226">
        <f>IFERROR(__xludf.DUMMYFUNCTION("""COMPUTED_VALUE"""),606864.0)</f>
        <v>606864</v>
      </c>
      <c r="M1442" s="227">
        <f>IFERROR(__xludf.DUMMYFUNCTION("""COMPUTED_VALUE"""),1.4564725E7)</f>
        <v>14564725</v>
      </c>
      <c r="N1442" s="222" t="str">
        <f>IFERROR(__xludf.DUMMYFUNCTION("""COMPUTED_VALUE"""),"PT KENCANA RAYA INDONESIA")</f>
        <v>PT KENCANA RAYA INDONESIA</v>
      </c>
      <c r="O1442" s="222" t="str">
        <f>IFERROR(__xludf.DUMMYFUNCTION("""COMPUTED_VALUE"""),"7. GOLIVE")</f>
        <v>7. GOLIVE</v>
      </c>
      <c r="P1442" s="222" t="str">
        <f>IFERROR(__xludf.DUMMYFUNCTION("""COMPUTED_VALUE"""),"7.2 Golive Full / OA / DONE OTB")</f>
        <v>7.2 Golive Full / OA / DONE OTB</v>
      </c>
      <c r="Q1442" s="222" t="str">
        <f>IFERROR(__xludf.DUMMYFUNCTION("""COMPUTED_VALUE"""),"16/04 req barcode
08/04 on going req material
26/03 feeder oke, D2 ready 1 core dan space tanam tiang tidak ada,  butuh redesign dari D8 
20/09 Feeder Redaman Tinggi
19/09 Kades belum bisa dijumpai
18/09 Perizinan kades
15/09 proses aanwijzing")</f>
        <v>16/04 req barcode
08/04 on going req material
26/03 feeder oke, D2 ready 1 core dan space tanam tiang tidak ada,  butuh redesign dari D8 
20/09 Feeder Redaman Tinggi
19/09 Kades belum bisa dijumpai
18/09 Perizinan kades
15/09 proses aanwijzing</v>
      </c>
      <c r="R1442" s="228">
        <f>IFERROR(__xludf.DUMMYFUNCTION("""COMPUTED_VALUE"""),46133.0)</f>
        <v>46133</v>
      </c>
      <c r="S1442" s="11" t="str">
        <f>IFERROR(__xludf.DUMMYFUNCTION("""COMPUTED_VALUE"""),"APR")</f>
        <v>APR</v>
      </c>
      <c r="T1442" s="73"/>
      <c r="U1442" s="11"/>
      <c r="V1442" s="229" t="str">
        <f>IFERROR(__xludf.DUMMYFUNCTION("""COMPUTED_VALUE"""),"27/Apr/2026")</f>
        <v>27/Apr/2026</v>
      </c>
      <c r="W1442" s="229"/>
      <c r="X1442" s="229" t="str">
        <f>IFERROR(__xludf.DUMMYFUNCTION("""COMPUTED_VALUE"""),"GOLIVE")</f>
        <v>GOLIVE</v>
      </c>
      <c r="Y1442" s="229" t="str">
        <f>IFERROR(__xludf.DUMMYFUNCTION("""COMPUTED_VALUE"""),"DONE")</f>
        <v>DONE</v>
      </c>
      <c r="Z1442" s="229" t="str">
        <f>IFERROR(__xludf.DUMMYFUNCTION("""COMPUTED_VALUE"""),"#N/A")</f>
        <v>#N/A</v>
      </c>
      <c r="AA1442" s="229">
        <f>IFERROR(__xludf.DUMMYFUNCTION("""COMPUTED_VALUE"""),3.0)</f>
        <v>3</v>
      </c>
      <c r="AB1442" s="229"/>
      <c r="AC1442" s="229" t="str">
        <f>IFERROR(__xludf.DUMMYFUNCTION("""COMPUTED_VALUE"""),"9295473#9295478")</f>
        <v>9295473#9295478</v>
      </c>
      <c r="AD1442" s="232">
        <f>IFERROR(__xludf.DUMMYFUNCTION("""COMPUTED_VALUE"""),24.0)</f>
        <v>24</v>
      </c>
      <c r="AE1442" s="233">
        <f>IFERROR(__xludf.DUMMYFUNCTION("""COMPUTED_VALUE"""),46133.0)</f>
        <v>46133</v>
      </c>
      <c r="AF1442" s="54"/>
      <c r="AG1442" s="54"/>
      <c r="AH1442" s="54"/>
      <c r="AI1442" s="55">
        <f t="shared" si="145"/>
        <v>0</v>
      </c>
      <c r="AW1442" s="234"/>
      <c r="BP1442" s="11"/>
      <c r="BQ1442" s="11"/>
      <c r="BR1442" s="235"/>
      <c r="BV1442" s="158"/>
      <c r="BY1442" s="158"/>
      <c r="CB1442" s="158"/>
    </row>
    <row r="1443" ht="18.0" hidden="1" customHeight="1">
      <c r="A1443" s="222">
        <f>IFERROR(__xludf.DUMMYFUNCTION("""COMPUTED_VALUE"""),2026.0)</f>
        <v>2026</v>
      </c>
      <c r="B1443" s="221">
        <f>IFERROR(__xludf.DUMMYFUNCTION("""COMPUTED_VALUE"""),1.1869529E7)</f>
        <v>11869529</v>
      </c>
      <c r="C1443" s="222" t="str">
        <f>IFERROR(__xludf.DUMMYFUNCTION("""COMPUTED_VALUE"""),"MDN PT3 BLW-FAD JL.CHAIDIR 250_1669_1666")</f>
        <v>MDN PT3 BLW-FAD JL.CHAIDIR 250_1669_1666</v>
      </c>
      <c r="D1443" s="222" t="str">
        <f>IFERROR(__xludf.DUMMYFUNCTION("""COMPUTED_VALUE"""),"REGIONAL I")</f>
        <v>REGIONAL I</v>
      </c>
      <c r="E1443" s="222" t="str">
        <f>IFERROR(__xludf.DUMMYFUNCTION("""COMPUTED_VALUE"""),"MEDAN")</f>
        <v>MEDAN</v>
      </c>
      <c r="F1443" s="222" t="str">
        <f>IFERROR(__xludf.DUMMYFUNCTION("""COMPUTED_VALUE"""),"BLW")</f>
        <v>BLW</v>
      </c>
      <c r="G1443" s="222" t="str">
        <f>IFERROR(__xludf.DUMMYFUNCTION("""COMPUTED_VALUE"""),"SUMBAGUT")</f>
        <v>SUMBAGUT</v>
      </c>
      <c r="H1443" s="222" t="str">
        <f>IFERROR(__xludf.DUMMYFUNCTION("""COMPUTED_VALUE"""),"MEDAN")</f>
        <v>MEDAN</v>
      </c>
      <c r="I1443" s="222" t="str">
        <f>IFERROR(__xludf.DUMMYFUNCTION("""COMPUTED_VALUE"""),"Batch 2")</f>
        <v>Batch 2</v>
      </c>
      <c r="J1443" s="225">
        <f>IFERROR(__xludf.DUMMYFUNCTION("""COMPUTED_VALUE"""),5.0)</f>
        <v>5</v>
      </c>
      <c r="K1443" s="224">
        <f>IFERROR(__xludf.DUMMYFUNCTION("""COMPUTED_VALUE"""),40.0)</f>
        <v>40</v>
      </c>
      <c r="L1443" s="226">
        <f>IFERROR(__xludf.DUMMYFUNCTION("""COMPUTED_VALUE"""),686237.0)</f>
        <v>686237</v>
      </c>
      <c r="M1443" s="227">
        <f>IFERROR(__xludf.DUMMYFUNCTION("""COMPUTED_VALUE"""),2.7449456E7)</f>
        <v>27449456</v>
      </c>
      <c r="N1443" s="222" t="str">
        <f>IFERROR(__xludf.DUMMYFUNCTION("""COMPUTED_VALUE"""),"PT GLOBAL KARYA WANDA")</f>
        <v>PT GLOBAL KARYA WANDA</v>
      </c>
      <c r="O1443" s="222" t="str">
        <f>IFERROR(__xludf.DUMMYFUNCTION("""COMPUTED_VALUE"""),"2. DONE AANWIJZING")</f>
        <v>2. DONE AANWIJZING</v>
      </c>
      <c r="P1443" s="222" t="str">
        <f>IFERROR(__xludf.DUMMYFUNCTION("""COMPUTED_VALUE"""),"2.10 Kendala - Feeder Rusak")</f>
        <v>2.10 Kendala - Feeder Rusak</v>
      </c>
      <c r="Q1443" s="222" t="str">
        <f>IFERROR(__xludf.DUMMYFUNCTION("""COMPUTED_VALUE"""),"24/02 feeder redti")</f>
        <v>24/02 feeder redti</v>
      </c>
      <c r="R1443" s="228"/>
      <c r="S1443" s="11"/>
      <c r="T1443" s="11"/>
      <c r="U1443" s="11"/>
      <c r="V1443" s="229"/>
      <c r="W1443" s="229"/>
      <c r="X1443" s="229" t="str">
        <f>IFERROR(__xludf.DUMMYFUNCTION("""COMPUTED_VALUE"""),"BELUM GOLIVE")</f>
        <v>BELUM GOLIVE</v>
      </c>
      <c r="Y1443" s="229"/>
      <c r="Z1443" s="229" t="str">
        <f>IFERROR(__xludf.DUMMYFUNCTION("""COMPUTED_VALUE"""),"#N/A")</f>
        <v>#N/A</v>
      </c>
      <c r="AA1443" s="229"/>
      <c r="AB1443" s="229"/>
      <c r="AC1443" s="229"/>
      <c r="AD1443" s="232"/>
      <c r="AE1443" s="233"/>
      <c r="AF1443" s="54"/>
      <c r="AG1443" s="54"/>
      <c r="AH1443" s="54"/>
      <c r="AI1443" s="55" t="str">
        <f t="shared" si="145"/>
        <v/>
      </c>
      <c r="AW1443" s="234"/>
      <c r="BP1443" s="11"/>
      <c r="BQ1443" s="11"/>
      <c r="BR1443" s="235"/>
      <c r="BV1443" s="158"/>
      <c r="BY1443" s="158"/>
      <c r="CB1443" s="158"/>
    </row>
    <row r="1444" ht="18.0" hidden="1" customHeight="1">
      <c r="A1444" s="222">
        <f>IFERROR(__xludf.DUMMYFUNCTION("""COMPUTED_VALUE"""),2026.0)</f>
        <v>2026</v>
      </c>
      <c r="B1444" s="221">
        <f>IFERROR(__xludf.DUMMYFUNCTION("""COMPUTED_VALUE"""),1.1986248E7)</f>
        <v>11986248</v>
      </c>
      <c r="C1444" s="222" t="str">
        <f>IFERROR(__xludf.DUMMYFUNCTION("""COMPUTED_VALUE"""),"ACH BNA PT3 BNA-FT BR.D01 JL.SETIA RAMAI")</f>
        <v>ACH BNA PT3 BNA-FT BR.D01 JL.SETIA RAMAI</v>
      </c>
      <c r="D1444" s="222" t="str">
        <f>IFERROR(__xludf.DUMMYFUNCTION("""COMPUTED_VALUE"""),"REGIONAL I")</f>
        <v>REGIONAL I</v>
      </c>
      <c r="E1444" s="222" t="str">
        <f>IFERROR(__xludf.DUMMYFUNCTION("""COMPUTED_VALUE"""),"ACEH")</f>
        <v>ACEH</v>
      </c>
      <c r="F1444" s="222" t="str">
        <f>IFERROR(__xludf.DUMMYFUNCTION("""COMPUTED_VALUE"""),"BNA")</f>
        <v>BNA</v>
      </c>
      <c r="G1444" s="222" t="str">
        <f>IFERROR(__xludf.DUMMYFUNCTION("""COMPUTED_VALUE"""),"SUMBAGUT")</f>
        <v>SUMBAGUT</v>
      </c>
      <c r="H1444" s="222" t="str">
        <f>IFERROR(__xludf.DUMMYFUNCTION("""COMPUTED_VALUE"""),"BANDA ACEH")</f>
        <v>BANDA ACEH</v>
      </c>
      <c r="I1444" s="222" t="str">
        <f>IFERROR(__xludf.DUMMYFUNCTION("""COMPUTED_VALUE"""),"Batch 2")</f>
        <v>Batch 2</v>
      </c>
      <c r="J1444" s="225">
        <f>IFERROR(__xludf.DUMMYFUNCTION("""COMPUTED_VALUE"""),6.0)</f>
        <v>6</v>
      </c>
      <c r="K1444" s="224">
        <f>IFERROR(__xludf.DUMMYFUNCTION("""COMPUTED_VALUE"""),48.0)</f>
        <v>48</v>
      </c>
      <c r="L1444" s="226">
        <f>IFERROR(__xludf.DUMMYFUNCTION("""COMPUTED_VALUE"""),686033.0)</f>
        <v>686033</v>
      </c>
      <c r="M1444" s="227">
        <f>IFERROR(__xludf.DUMMYFUNCTION("""COMPUTED_VALUE"""),3.2929546E7)</f>
        <v>32929546</v>
      </c>
      <c r="N1444" s="222" t="str">
        <f>IFERROR(__xludf.DUMMYFUNCTION("""COMPUTED_VALUE"""),"PT TRIPOLA PANATA")</f>
        <v>PT TRIPOLA PANATA</v>
      </c>
      <c r="O1444" s="222" t="str">
        <f>IFERROR(__xludf.DUMMYFUNCTION("""COMPUTED_VALUE"""),"0. DROP")</f>
        <v>0. DROP</v>
      </c>
      <c r="P1444" s="222" t="str">
        <f>IFERROR(__xludf.DUMMYFUNCTION("""COMPUTED_VALUE"""),"0.2 Tidak Dapat Izin Warga/Kades/Lurah/Developer")</f>
        <v>0.2 Tidak Dapat Izin Warga/Kades/Lurah/Developer</v>
      </c>
      <c r="Q1444" s="222" t="str">
        <f>IFERROR(__xludf.DUMMYFUNCTION("""COMPUTED_VALUE"""),"(19/02) BAKP Reject, Purpose Drop (07/01) Persiapan")</f>
        <v>(19/02) BAKP Reject, Purpose Drop (07/01) Persiapan</v>
      </c>
      <c r="R1444" s="228"/>
      <c r="S1444" s="11"/>
      <c r="T1444" s="11"/>
      <c r="U1444" s="11"/>
      <c r="V1444" s="229"/>
      <c r="W1444" s="229"/>
      <c r="X1444" s="229" t="str">
        <f>IFERROR(__xludf.DUMMYFUNCTION("""COMPUTED_VALUE"""),"BELUM GOLIVE")</f>
        <v>BELUM GOLIVE</v>
      </c>
      <c r="Y1444" s="229"/>
      <c r="Z1444" s="229" t="str">
        <f>IFERROR(__xludf.DUMMYFUNCTION("""COMPUTED_VALUE"""),"#N/A")</f>
        <v>#N/A</v>
      </c>
      <c r="AA1444" s="229"/>
      <c r="AB1444" s="229"/>
      <c r="AC1444" s="229"/>
      <c r="AD1444" s="232"/>
      <c r="AE1444" s="233"/>
      <c r="AF1444" s="54" t="str">
        <f>IFERROR(__xludf.DUMMYFUNCTION("""COMPUTED_VALUE"""),"Draft BA DROP")</f>
        <v>Draft BA DROP</v>
      </c>
      <c r="AG1444" s="54"/>
      <c r="AH1444" s="54"/>
      <c r="AI1444" s="55" t="str">
        <f t="shared" si="145"/>
        <v/>
      </c>
      <c r="AW1444" s="234"/>
      <c r="BP1444" s="11"/>
      <c r="BQ1444" s="11"/>
      <c r="BR1444" s="235"/>
      <c r="BV1444" s="158"/>
      <c r="BY1444" s="158"/>
      <c r="CB1444" s="158"/>
    </row>
    <row r="1445" ht="18.0" hidden="1" customHeight="1">
      <c r="A1445" s="222">
        <f>IFERROR(__xludf.DUMMYFUNCTION("""COMPUTED_VALUE"""),2026.0)</f>
        <v>2026</v>
      </c>
      <c r="B1445" s="221">
        <f>IFERROR(__xludf.DUMMYFUNCTION("""COMPUTED_VALUE"""),1.1265978E7)</f>
        <v>11265978</v>
      </c>
      <c r="C1445" s="222" t="str">
        <f>IFERROR(__xludf.DUMMYFUNCTION("""COMPUTED_VALUE"""),"ACH PT3 DAR-FAV GRIYA ATLANTA 3 BAET")</f>
        <v>ACH PT3 DAR-FAV GRIYA ATLANTA 3 BAET</v>
      </c>
      <c r="D1445" s="222" t="str">
        <f>IFERROR(__xludf.DUMMYFUNCTION("""COMPUTED_VALUE"""),"REGIONAL I")</f>
        <v>REGIONAL I</v>
      </c>
      <c r="E1445" s="222" t="str">
        <f>IFERROR(__xludf.DUMMYFUNCTION("""COMPUTED_VALUE"""),"ACEH")</f>
        <v>ACEH</v>
      </c>
      <c r="F1445" s="222" t="str">
        <f>IFERROR(__xludf.DUMMYFUNCTION("""COMPUTED_VALUE"""),"DAR")</f>
        <v>DAR</v>
      </c>
      <c r="G1445" s="222" t="str">
        <f>IFERROR(__xludf.DUMMYFUNCTION("""COMPUTED_VALUE"""),"SUMBAGUT")</f>
        <v>SUMBAGUT</v>
      </c>
      <c r="H1445" s="222" t="str">
        <f>IFERROR(__xludf.DUMMYFUNCTION("""COMPUTED_VALUE"""),"BANDA ACEH")</f>
        <v>BANDA ACEH</v>
      </c>
      <c r="I1445" s="222" t="str">
        <f>IFERROR(__xludf.DUMMYFUNCTION("""COMPUTED_VALUE"""),"Batch 2")</f>
        <v>Batch 2</v>
      </c>
      <c r="J1445" s="225">
        <f>IFERROR(__xludf.DUMMYFUNCTION("""COMPUTED_VALUE"""),4.0)</f>
        <v>4</v>
      </c>
      <c r="K1445" s="224">
        <f>IFERROR(__xludf.DUMMYFUNCTION("""COMPUTED_VALUE"""),32.0)</f>
        <v>32</v>
      </c>
      <c r="L1445" s="226">
        <f>IFERROR(__xludf.DUMMYFUNCTION("""COMPUTED_VALUE"""),683754.0)</f>
        <v>683754</v>
      </c>
      <c r="M1445" s="227">
        <f>IFERROR(__xludf.DUMMYFUNCTION("""COMPUTED_VALUE"""),2.1880123E7)</f>
        <v>21880123</v>
      </c>
      <c r="N1445" s="222" t="str">
        <f>IFERROR(__xludf.DUMMYFUNCTION("""COMPUTED_VALUE"""),"PT NURISA JAYA PERKASA")</f>
        <v>PT NURISA JAYA PERKASA</v>
      </c>
      <c r="O1445" s="222" t="str">
        <f>IFERROR(__xludf.DUMMYFUNCTION("""COMPUTED_VALUE"""),"7. GOLIVE")</f>
        <v>7. GOLIVE</v>
      </c>
      <c r="P1445" s="222" t="str">
        <f>IFERROR(__xludf.DUMMYFUNCTION("""COMPUTED_VALUE"""),"7.2 Golive Full / OA / DONE OTB")</f>
        <v>7.2 Golive Full / OA / DONE OTB</v>
      </c>
      <c r="Q1445" s="222" t="str">
        <f>IFERROR(__xludf.DUMMYFUNCTION("""COMPUTED_VALUE"""),"(08/01) kendala feeder penuh, FEEDER SLK-FK FULL (07/01) Persiapan")</f>
        <v>(08/01) kendala feeder penuh, FEEDER SLK-FK FULL (07/01) Persiapan</v>
      </c>
      <c r="R1445" s="228">
        <f>IFERROR(__xludf.DUMMYFUNCTION("""COMPUTED_VALUE"""),46035.0)</f>
        <v>46035</v>
      </c>
      <c r="S1445" s="11"/>
      <c r="T1445" s="11"/>
      <c r="U1445" s="11" t="str">
        <f>IFERROR(__xludf.DUMMYFUNCTION("""COMPUTED_VALUE"""),"W04-913/2025")</f>
        <v>W04-913/2025</v>
      </c>
      <c r="V1445" s="229"/>
      <c r="W1445" s="229"/>
      <c r="X1445" s="229" t="str">
        <f>IFERROR(__xludf.DUMMYFUNCTION("""COMPUTED_VALUE"""),"GOLIVE")</f>
        <v>GOLIVE</v>
      </c>
      <c r="Y1445" s="229" t="str">
        <f>IFERROR(__xludf.DUMMYFUNCTION("""COMPUTED_VALUE"""),"DONE")</f>
        <v>DONE</v>
      </c>
      <c r="Z1445" s="229" t="str">
        <f>IFERROR(__xludf.DUMMYFUNCTION("""COMPUTED_VALUE"""),"#N/A")</f>
        <v>#N/A</v>
      </c>
      <c r="AA1445" s="229">
        <f>IFERROR(__xludf.DUMMYFUNCTION("""COMPUTED_VALUE"""),4.0)</f>
        <v>4</v>
      </c>
      <c r="AB1445" s="229"/>
      <c r="AC1445" s="229" t="str">
        <f>IFERROR(__xludf.DUMMYFUNCTION("""COMPUTED_VALUE"""),"8948945#8948950")</f>
        <v>8948945#8948950</v>
      </c>
      <c r="AD1445" s="232">
        <f>IFERROR(__xludf.DUMMYFUNCTION("""COMPUTED_VALUE"""),32.0)</f>
        <v>32</v>
      </c>
      <c r="AE1445" s="233">
        <f>IFERROR(__xludf.DUMMYFUNCTION("""COMPUTED_VALUE"""),46035.0)</f>
        <v>46035</v>
      </c>
      <c r="AF1445" s="54"/>
      <c r="AG1445" s="54"/>
      <c r="AH1445" s="54">
        <v>46035.0</v>
      </c>
      <c r="AI1445" s="55">
        <f t="shared" si="145"/>
        <v>0</v>
      </c>
      <c r="AW1445" s="234"/>
      <c r="BP1445" s="11"/>
      <c r="BQ1445" s="11"/>
      <c r="BR1445" s="235"/>
      <c r="BV1445" s="158"/>
      <c r="BY1445" s="158"/>
      <c r="CB1445" s="158"/>
    </row>
    <row r="1446" ht="18.0" customHeight="1">
      <c r="A1446" s="222">
        <f>IFERROR(__xludf.DUMMYFUNCTION("""COMPUTED_VALUE"""),2026.0)</f>
        <v>2026</v>
      </c>
      <c r="B1446" s="221">
        <f>IFERROR(__xludf.DUMMYFUNCTION("""COMPUTED_VALUE"""),1.1777599E7)</f>
        <v>11777599</v>
      </c>
      <c r="C1446" s="222" t="str">
        <f>IFERROR(__xludf.DUMMYFUNCTION("""COMPUTED_VALUE"""),"SMB SLK PT3-PT4 Anissa fadilla")</f>
        <v>SMB SLK PT3-PT4 Anissa fadilla</v>
      </c>
      <c r="D1446" s="222" t="str">
        <f>IFERROR(__xludf.DUMMYFUNCTION("""COMPUTED_VALUE"""),"REGIONAL I")</f>
        <v>REGIONAL I</v>
      </c>
      <c r="E1446" s="222" t="str">
        <f>IFERROR(__xludf.DUMMYFUNCTION("""COMPUTED_VALUE"""),"SUMBAR")</f>
        <v>SUMBAR</v>
      </c>
      <c r="F1446" s="222" t="str">
        <f>IFERROR(__xludf.DUMMYFUNCTION("""COMPUTED_VALUE"""),"SLK")</f>
        <v>SLK</v>
      </c>
      <c r="G1446" s="222" t="str">
        <f>IFERROR(__xludf.DUMMYFUNCTION("""COMPUTED_VALUE"""),"SUMBAGTENG")</f>
        <v>SUMBAGTENG</v>
      </c>
      <c r="H1446" s="222" t="str">
        <f>IFERROR(__xludf.DUMMYFUNCTION("""COMPUTED_VALUE"""),"PADANG")</f>
        <v>PADANG</v>
      </c>
      <c r="I1446" s="222" t="str">
        <f>IFERROR(__xludf.DUMMYFUNCTION("""COMPUTED_VALUE"""),"Batch 2")</f>
        <v>Batch 2</v>
      </c>
      <c r="J1446" s="225">
        <f>IFERROR(__xludf.DUMMYFUNCTION("""COMPUTED_VALUE"""),4.0)</f>
        <v>4</v>
      </c>
      <c r="K1446" s="224">
        <f>IFERROR(__xludf.DUMMYFUNCTION("""COMPUTED_VALUE"""),32.0)</f>
        <v>32</v>
      </c>
      <c r="L1446" s="226">
        <f>IFERROR(__xludf.DUMMYFUNCTION("""COMPUTED_VALUE"""),683527.0)</f>
        <v>683527</v>
      </c>
      <c r="M1446" s="227">
        <f>IFERROR(__xludf.DUMMYFUNCTION("""COMPUTED_VALUE"""),2.1872837E7)</f>
        <v>21872837</v>
      </c>
      <c r="N1446" s="222" t="str">
        <f>IFERROR(__xludf.DUMMYFUNCTION("""COMPUTED_VALUE"""),"PT TRI PENAMAS")</f>
        <v>PT TRI PENAMAS</v>
      </c>
      <c r="O1446" s="222" t="str">
        <f>IFERROR(__xludf.DUMMYFUNCTION("""COMPUTED_VALUE"""),"0. DROP")</f>
        <v>0. DROP</v>
      </c>
      <c r="P1446" s="222" t="str">
        <f>IFERROR(__xludf.DUMMYFUNCTION("""COMPUTED_VALUE"""),"0.3 Feeder Full")</f>
        <v>0.3 Feeder Full</v>
      </c>
      <c r="Q1446" s="222" t="str">
        <f>IFERROR(__xludf.DUMMYFUNCTION("""COMPUTED_VALUE"""),"(07/01) FEEDER SLK-FK FULL")</f>
        <v>(07/01) FEEDER SLK-FK FULL</v>
      </c>
      <c r="R1446" s="228"/>
      <c r="S1446" s="11"/>
      <c r="T1446" s="11"/>
      <c r="U1446" s="11"/>
      <c r="V1446" s="229"/>
      <c r="W1446" s="229"/>
      <c r="X1446" s="229" t="str">
        <f>IFERROR(__xludf.DUMMYFUNCTION("""COMPUTED_VALUE"""),"BELUM GOLIVE")</f>
        <v>BELUM GOLIVE</v>
      </c>
      <c r="Y1446" s="229"/>
      <c r="Z1446" s="229" t="str">
        <f>IFERROR(__xludf.DUMMYFUNCTION("""COMPUTED_VALUE"""),"#N/A")</f>
        <v>#N/A</v>
      </c>
      <c r="AA1446" s="229"/>
      <c r="AB1446" s="229"/>
      <c r="AC1446" s="229"/>
      <c r="AD1446" s="232"/>
      <c r="AE1446" s="233"/>
      <c r="AF1446" s="54" t="str">
        <f>IFERROR(__xludf.DUMMYFUNCTION("""COMPUTED_VALUE"""),"Draft BA DROP")</f>
        <v>Draft BA DROP</v>
      </c>
      <c r="AG1446" s="54"/>
      <c r="AH1446" s="54"/>
      <c r="AI1446" s="55" t="str">
        <f t="shared" si="145"/>
        <v/>
      </c>
      <c r="AW1446" s="234"/>
      <c r="BP1446" s="11"/>
      <c r="BQ1446" s="11"/>
      <c r="BR1446" s="235"/>
      <c r="BV1446" s="158"/>
      <c r="BY1446" s="158"/>
      <c r="CB1446" s="158"/>
    </row>
    <row r="1447" ht="18.0" hidden="1" customHeight="1">
      <c r="A1447" s="222">
        <f>IFERROR(__xludf.DUMMYFUNCTION("""COMPUTED_VALUE"""),2026.0)</f>
        <v>2026</v>
      </c>
      <c r="B1447" s="221">
        <f>IFERROR(__xludf.DUMMYFUNCTION("""COMPUTED_VALUE"""),1.1444463E7)</f>
        <v>11444463</v>
      </c>
      <c r="C1447" s="222" t="str">
        <f>IFERROR(__xludf.DUMMYFUNCTION("""COMPUTED_VALUE"""),"BNK-PT3-JPPTSEL-SEMBAYAT-TIS-FD")</f>
        <v>BNK-PT3-JPPTSEL-SEMBAYAT-TIS-FD</v>
      </c>
      <c r="D1447" s="222" t="str">
        <f>IFERROR(__xludf.DUMMYFUNCTION("""COMPUTED_VALUE"""),"REGIONAL I")</f>
        <v>REGIONAL I</v>
      </c>
      <c r="E1447" s="222" t="str">
        <f>IFERROR(__xludf.DUMMYFUNCTION("""COMPUTED_VALUE"""),"BENGKULU")</f>
        <v>BENGKULU</v>
      </c>
      <c r="F1447" s="222" t="str">
        <f>IFERROR(__xludf.DUMMYFUNCTION("""COMPUTED_VALUE"""),"TIS")</f>
        <v>TIS</v>
      </c>
      <c r="G1447" s="222" t="str">
        <f>IFERROR(__xludf.DUMMYFUNCTION("""COMPUTED_VALUE"""),"SUMBAGSEL")</f>
        <v>SUMBAGSEL</v>
      </c>
      <c r="H1447" s="222" t="str">
        <f>IFERROR(__xludf.DUMMYFUNCTION("""COMPUTED_VALUE"""),"BENGKULU")</f>
        <v>BENGKULU</v>
      </c>
      <c r="I1447" s="222" t="str">
        <f>IFERROR(__xludf.DUMMYFUNCTION("""COMPUTED_VALUE"""),"Batch 2")</f>
        <v>Batch 2</v>
      </c>
      <c r="J1447" s="225">
        <f>IFERROR(__xludf.DUMMYFUNCTION("""COMPUTED_VALUE"""),21.0)</f>
        <v>21</v>
      </c>
      <c r="K1447" s="224">
        <f>IFERROR(__xludf.DUMMYFUNCTION("""COMPUTED_VALUE"""),168.0)</f>
        <v>168</v>
      </c>
      <c r="L1447" s="226">
        <f>IFERROR(__xludf.DUMMYFUNCTION("""COMPUTED_VALUE"""),1315730.0)</f>
        <v>1315730</v>
      </c>
      <c r="M1447" s="227">
        <f>IFERROR(__xludf.DUMMYFUNCTION("""COMPUTED_VALUE"""),2.21042615E8)</f>
        <v>221042615</v>
      </c>
      <c r="N1447" s="222" t="str">
        <f>IFERROR(__xludf.DUMMYFUNCTION("""COMPUTED_VALUE"""),"PT JAGO MULTI DIMENSI")</f>
        <v>PT JAGO MULTI DIMENSI</v>
      </c>
      <c r="O1447" s="222" t="str">
        <f>IFERROR(__xludf.DUMMYFUNCTION("""COMPUTED_VALUE"""),"7. GOLIVE")</f>
        <v>7. GOLIVE</v>
      </c>
      <c r="P1447" s="222" t="str">
        <f>IFERROR(__xludf.DUMMYFUNCTION("""COMPUTED_VALUE"""),"7.2 Golive Full / OA / DONE OTB")</f>
        <v>7.2 Golive Full / OA / DONE OTB</v>
      </c>
      <c r="Q1447" s="222" t="str">
        <f>IFERROR(__xludf.DUMMYFUNCTION("""COMPUTED_VALUE"""),"14/01 : Proses golive // (08/01) drop permintaan tsel  (07/01) Persiapan")</f>
        <v>14/01 : Proses golive // (08/01) drop permintaan tsel  (07/01) Persiapan</v>
      </c>
      <c r="R1447" s="228"/>
      <c r="S1447" s="11"/>
      <c r="T1447" s="11"/>
      <c r="U1447" s="11" t="str">
        <f>IFERROR(__xludf.DUMMYFUNCTION("""COMPUTED_VALUE"""),"W06-330/2025")</f>
        <v>W06-330/2025</v>
      </c>
      <c r="V1447" s="229"/>
      <c r="W1447" s="229"/>
      <c r="X1447" s="229" t="str">
        <f>IFERROR(__xludf.DUMMYFUNCTION("""COMPUTED_VALUE"""),"GOLIVE")</f>
        <v>GOLIVE</v>
      </c>
      <c r="Y1447" s="229" t="str">
        <f>IFERROR(__xludf.DUMMYFUNCTION("""COMPUTED_VALUE"""),"DONE")</f>
        <v>DONE</v>
      </c>
      <c r="Z1447" s="229" t="str">
        <f>IFERROR(__xludf.DUMMYFUNCTION("""COMPUTED_VALUE"""),"#N/A")</f>
        <v>#N/A</v>
      </c>
      <c r="AA1447" s="229">
        <f>IFERROR(__xludf.DUMMYFUNCTION("""COMPUTED_VALUE"""),21.0)</f>
        <v>21</v>
      </c>
      <c r="AB1447" s="229"/>
      <c r="AC1447" s="229" t="str">
        <f>IFERROR(__xludf.DUMMYFUNCTION("""COMPUTED_VALUE"""),"8798392#8798397")</f>
        <v>8798392#8798397</v>
      </c>
      <c r="AD1447" s="232">
        <f>IFERROR(__xludf.DUMMYFUNCTION("""COMPUTED_VALUE"""),168.0)</f>
        <v>168</v>
      </c>
      <c r="AE1447" s="233">
        <f>IFERROR(__xludf.DUMMYFUNCTION("""COMPUTED_VALUE"""),46038.0)</f>
        <v>46038</v>
      </c>
      <c r="AF1447" s="54"/>
      <c r="AG1447" s="54"/>
      <c r="AH1447" s="54"/>
      <c r="AI1447" s="55" t="str">
        <f t="shared" si="145"/>
        <v/>
      </c>
      <c r="AW1447" s="234"/>
      <c r="BP1447" s="11"/>
      <c r="BQ1447" s="11"/>
      <c r="BR1447" s="235"/>
      <c r="BV1447" s="158"/>
      <c r="BY1447" s="158"/>
      <c r="CB1447" s="158"/>
    </row>
    <row r="1448" ht="18.0" customHeight="1">
      <c r="A1448" s="222">
        <f>IFERROR(__xludf.DUMMYFUNCTION("""COMPUTED_VALUE"""),2026.0)</f>
        <v>2026</v>
      </c>
      <c r="B1448" s="221">
        <f>IFERROR(__xludf.DUMMYFUNCTION("""COMPUTED_VALUE"""),1.1219971E7)</f>
        <v>11219971</v>
      </c>
      <c r="C1448" s="222" t="str">
        <f>IFERROR(__xludf.DUMMYFUNCTION("""COMPUTED_VALUE"""),"SMB P1I2 AOi4241204124320261de3590")</f>
        <v>SMB P1I2 AOi4241204124320261de3590</v>
      </c>
      <c r="D1448" s="222" t="str">
        <f>IFERROR(__xludf.DUMMYFUNCTION("""COMPUTED_VALUE"""),"REGIONAL I")</f>
        <v>REGIONAL I</v>
      </c>
      <c r="E1448" s="222" t="str">
        <f>IFERROR(__xludf.DUMMYFUNCTION("""COMPUTED_VALUE"""),"SUMBAR")</f>
        <v>SUMBAR</v>
      </c>
      <c r="F1448" s="222" t="str">
        <f>IFERROR(__xludf.DUMMYFUNCTION("""COMPUTED_VALUE"""),"PPJ")</f>
        <v>PPJ</v>
      </c>
      <c r="G1448" s="222" t="str">
        <f>IFERROR(__xludf.DUMMYFUNCTION("""COMPUTED_VALUE"""),"SUMBAGTENG")</f>
        <v>SUMBAGTENG</v>
      </c>
      <c r="H1448" s="222" t="str">
        <f>IFERROR(__xludf.DUMMYFUNCTION("""COMPUTED_VALUE"""),"BUKIT TINGGI")</f>
        <v>BUKIT TINGGI</v>
      </c>
      <c r="I1448" s="222" t="str">
        <f>IFERROR(__xludf.DUMMYFUNCTION("""COMPUTED_VALUE"""),"Batch 2")</f>
        <v>Batch 2</v>
      </c>
      <c r="J1448" s="225">
        <f>IFERROR(__xludf.DUMMYFUNCTION("""COMPUTED_VALUE"""),1.0)</f>
        <v>1</v>
      </c>
      <c r="K1448" s="224">
        <f>IFERROR(__xludf.DUMMYFUNCTION("""COMPUTED_VALUE"""),8.0)</f>
        <v>8</v>
      </c>
      <c r="L1448" s="226">
        <f>IFERROR(__xludf.DUMMYFUNCTION("""COMPUTED_VALUE"""),679721.0)</f>
        <v>679721</v>
      </c>
      <c r="M1448" s="227">
        <f>IFERROR(__xludf.DUMMYFUNCTION("""COMPUTED_VALUE"""),5437763.0)</f>
        <v>5437763</v>
      </c>
      <c r="N1448" s="222" t="str">
        <f>IFERROR(__xludf.DUMMYFUNCTION("""COMPUTED_VALUE"""),"PT PASIFIK MORA TAMA")</f>
        <v>PT PASIFIK MORA TAMA</v>
      </c>
      <c r="O1448" s="222" t="str">
        <f>IFERROR(__xludf.DUMMYFUNCTION("""COMPUTED_VALUE"""),"0. DROP")</f>
        <v>0. DROP</v>
      </c>
      <c r="P1448" s="222" t="str">
        <f>IFERROR(__xludf.DUMMYFUNCTION("""COMPUTED_VALUE"""),"0.3 Feeder Full")</f>
        <v>0.3 Feeder Full</v>
      </c>
      <c r="Q1448" s="222" t="str">
        <f>IFERROR(__xludf.DUMMYFUNCTION("""COMPUTED_VALUE"""),"(02/03) Kendala feeder PPJ-FH full ")</f>
        <v>(02/03) Kendala feeder PPJ-FH full </v>
      </c>
      <c r="R1448" s="228"/>
      <c r="S1448" s="11"/>
      <c r="T1448" s="11"/>
      <c r="U1448" s="11"/>
      <c r="V1448" s="229"/>
      <c r="W1448" s="229"/>
      <c r="X1448" s="229" t="str">
        <f>IFERROR(__xludf.DUMMYFUNCTION("""COMPUTED_VALUE"""),"BELUM GOLIVE")</f>
        <v>BELUM GOLIVE</v>
      </c>
      <c r="Y1448" s="229"/>
      <c r="Z1448" s="229" t="str">
        <f>IFERROR(__xludf.DUMMYFUNCTION("""COMPUTED_VALUE"""),"#N/A")</f>
        <v>#N/A</v>
      </c>
      <c r="AA1448" s="229"/>
      <c r="AB1448" s="229"/>
      <c r="AC1448" s="229"/>
      <c r="AD1448" s="232"/>
      <c r="AE1448" s="233"/>
      <c r="AF1448" s="54" t="str">
        <f>IFERROR(__xludf.DUMMYFUNCTION("""COMPUTED_VALUE"""),"Draft BA DROP")</f>
        <v>Draft BA DROP</v>
      </c>
      <c r="AG1448" s="54"/>
      <c r="AH1448" s="54"/>
      <c r="AI1448" s="55" t="str">
        <f t="shared" si="145"/>
        <v/>
      </c>
      <c r="AW1448" s="234"/>
      <c r="BP1448" s="11"/>
      <c r="BQ1448" s="11"/>
      <c r="BR1448" s="235"/>
      <c r="BV1448" s="158"/>
      <c r="BY1448" s="158"/>
      <c r="CB1448" s="158"/>
    </row>
    <row r="1449" ht="18.0" customHeight="1">
      <c r="A1449" s="222">
        <f>IFERROR(__xludf.DUMMYFUNCTION("""COMPUTED_VALUE"""),2026.0)</f>
        <v>2026</v>
      </c>
      <c r="B1449" s="221">
        <f>IFERROR(__xludf.DUMMYFUNCTION("""COMPUTED_VALUE"""),1.1383016E7)</f>
        <v>11383016</v>
      </c>
      <c r="C1449" s="222" t="str">
        <f>IFERROR(__xludf.DUMMYFUNCTION("""COMPUTED_VALUE"""),"SMB MD KOTA PADANG_9681")</f>
        <v>SMB MD KOTA PADANG_9681</v>
      </c>
      <c r="D1449" s="222" t="str">
        <f>IFERROR(__xludf.DUMMYFUNCTION("""COMPUTED_VALUE"""),"REGIONAL I")</f>
        <v>REGIONAL I</v>
      </c>
      <c r="E1449" s="222" t="str">
        <f>IFERROR(__xludf.DUMMYFUNCTION("""COMPUTED_VALUE"""),"SUMBAR")</f>
        <v>SUMBAR</v>
      </c>
      <c r="F1449" s="222" t="str">
        <f>IFERROR(__xludf.DUMMYFUNCTION("""COMPUTED_VALUE"""),"TLB")</f>
        <v>TLB</v>
      </c>
      <c r="G1449" s="222" t="str">
        <f>IFERROR(__xludf.DUMMYFUNCTION("""COMPUTED_VALUE"""),"SUMBAGTENG")</f>
        <v>SUMBAGTENG</v>
      </c>
      <c r="H1449" s="222" t="str">
        <f>IFERROR(__xludf.DUMMYFUNCTION("""COMPUTED_VALUE"""),"PADANG")</f>
        <v>PADANG</v>
      </c>
      <c r="I1449" s="222" t="str">
        <f>IFERROR(__xludf.DUMMYFUNCTION("""COMPUTED_VALUE"""),"Batch 2")</f>
        <v>Batch 2</v>
      </c>
      <c r="J1449" s="225">
        <f>IFERROR(__xludf.DUMMYFUNCTION("""COMPUTED_VALUE"""),6.0)</f>
        <v>6</v>
      </c>
      <c r="K1449" s="224">
        <f>IFERROR(__xludf.DUMMYFUNCTION("""COMPUTED_VALUE"""),48.0)</f>
        <v>48</v>
      </c>
      <c r="L1449" s="226">
        <f>IFERROR(__xludf.DUMMYFUNCTION("""COMPUTED_VALUE"""),679649.0)</f>
        <v>679649</v>
      </c>
      <c r="M1449" s="227">
        <f>IFERROR(__xludf.DUMMYFUNCTION("""COMPUTED_VALUE"""),3.2623132E7)</f>
        <v>32623132</v>
      </c>
      <c r="N1449" s="222" t="str">
        <f>IFERROR(__xludf.DUMMYFUNCTION("""COMPUTED_VALUE"""),"PT TIGA AKSES MANDIRI")</f>
        <v>PT TIGA AKSES MANDIRI</v>
      </c>
      <c r="O1449" s="222" t="str">
        <f>IFERROR(__xludf.DUMMYFUNCTION("""COMPUTED_VALUE"""),"0. DROP")</f>
        <v>0. DROP</v>
      </c>
      <c r="P1449" s="222" t="str">
        <f>IFERROR(__xludf.DUMMYFUNCTION("""COMPUTED_VALUE"""),"0.3 Feeder Full")</f>
        <v>0.3 Feeder Full</v>
      </c>
      <c r="Q1449" s="222" t="str">
        <f>IFERROR(__xludf.DUMMYFUNCTION("""COMPUTED_VALUE"""),"(07/01) KENDALA FEEDER TLB-FA FULL, BUTUH NEW FEEDER")</f>
        <v>(07/01) KENDALA FEEDER TLB-FA FULL, BUTUH NEW FEEDER</v>
      </c>
      <c r="R1449" s="228"/>
      <c r="S1449" s="11"/>
      <c r="T1449" s="11"/>
      <c r="U1449" s="11"/>
      <c r="V1449" s="229"/>
      <c r="W1449" s="229"/>
      <c r="X1449" s="229" t="str">
        <f>IFERROR(__xludf.DUMMYFUNCTION("""COMPUTED_VALUE"""),"BELUM GOLIVE")</f>
        <v>BELUM GOLIVE</v>
      </c>
      <c r="Y1449" s="229"/>
      <c r="Z1449" s="229" t="str">
        <f>IFERROR(__xludf.DUMMYFUNCTION("""COMPUTED_VALUE"""),"#N/A")</f>
        <v>#N/A</v>
      </c>
      <c r="AA1449" s="229"/>
      <c r="AB1449" s="229"/>
      <c r="AC1449" s="229"/>
      <c r="AD1449" s="232"/>
      <c r="AE1449" s="233"/>
      <c r="AF1449" s="54" t="str">
        <f>IFERROR(__xludf.DUMMYFUNCTION("""COMPUTED_VALUE"""),"Draft BA DROP")</f>
        <v>Draft BA DROP</v>
      </c>
      <c r="AG1449" s="54"/>
      <c r="AH1449" s="54"/>
      <c r="AI1449" s="55" t="str">
        <f t="shared" si="145"/>
        <v/>
      </c>
      <c r="AW1449" s="234"/>
      <c r="BP1449" s="11"/>
      <c r="BQ1449" s="11"/>
      <c r="BR1449" s="235"/>
      <c r="BV1449" s="158"/>
      <c r="BY1449" s="158"/>
      <c r="CB1449" s="158"/>
    </row>
    <row r="1450" ht="18.0" hidden="1" customHeight="1">
      <c r="A1450" s="222">
        <f>IFERROR(__xludf.DUMMYFUNCTION("""COMPUTED_VALUE"""),2026.0)</f>
        <v>2026</v>
      </c>
      <c r="B1450" s="221">
        <f>IFERROR(__xludf.DUMMYFUNCTION("""COMPUTED_VALUE"""),1.1390719E7)</f>
        <v>11390719</v>
      </c>
      <c r="C1450" s="222" t="str">
        <f>IFERROR(__xludf.DUMMYFUNCTION("""COMPUTED_VALUE"""),"ACH PT3 LTM-FG D08 GRIYA LAVENDER MIBO")</f>
        <v>ACH PT3 LTM-FG D08 GRIYA LAVENDER MIBO</v>
      </c>
      <c r="D1450" s="222" t="str">
        <f>IFERROR(__xludf.DUMMYFUNCTION("""COMPUTED_VALUE"""),"REGIONAL I")</f>
        <v>REGIONAL I</v>
      </c>
      <c r="E1450" s="222" t="str">
        <f>IFERROR(__xludf.DUMMYFUNCTION("""COMPUTED_VALUE"""),"ACEH")</f>
        <v>ACEH</v>
      </c>
      <c r="F1450" s="222" t="str">
        <f>IFERROR(__xludf.DUMMYFUNCTION("""COMPUTED_VALUE"""),"LTM")</f>
        <v>LTM</v>
      </c>
      <c r="G1450" s="222" t="str">
        <f>IFERROR(__xludf.DUMMYFUNCTION("""COMPUTED_VALUE"""),"SUMBAGUT")</f>
        <v>SUMBAGUT</v>
      </c>
      <c r="H1450" s="222" t="str">
        <f>IFERROR(__xludf.DUMMYFUNCTION("""COMPUTED_VALUE"""),"BANDA ACEH")</f>
        <v>BANDA ACEH</v>
      </c>
      <c r="I1450" s="222" t="str">
        <f>IFERROR(__xludf.DUMMYFUNCTION("""COMPUTED_VALUE"""),"Batch 2")</f>
        <v>Batch 2</v>
      </c>
      <c r="J1450" s="225">
        <f>IFERROR(__xludf.DUMMYFUNCTION("""COMPUTED_VALUE"""),5.0)</f>
        <v>5</v>
      </c>
      <c r="K1450" s="224">
        <f>IFERROR(__xludf.DUMMYFUNCTION("""COMPUTED_VALUE"""),40.0)</f>
        <v>40</v>
      </c>
      <c r="L1450" s="226">
        <f>IFERROR(__xludf.DUMMYFUNCTION("""COMPUTED_VALUE"""),679397.0)</f>
        <v>679397</v>
      </c>
      <c r="M1450" s="227">
        <f>IFERROR(__xludf.DUMMYFUNCTION("""COMPUTED_VALUE"""),2.7175874E7)</f>
        <v>27175874</v>
      </c>
      <c r="N1450" s="222" t="str">
        <f>IFERROR(__xludf.DUMMYFUNCTION("""COMPUTED_VALUE"""),"PT ARA PAYA INTAN")</f>
        <v>PT ARA PAYA INTAN</v>
      </c>
      <c r="O1450" s="222" t="str">
        <f>IFERROR(__xludf.DUMMYFUNCTION("""COMPUTED_VALUE"""),"7. GOLIVE")</f>
        <v>7. GOLIVE</v>
      </c>
      <c r="P1450" s="222" t="str">
        <f>IFERROR(__xludf.DUMMYFUNCTION("""COMPUTED_VALUE"""),"7.2 Golive Full / OA / DONE OTB")</f>
        <v>7.2 Golive Full / OA / DONE OTB</v>
      </c>
      <c r="Q1450" s="222" t="str">
        <f>IFERROR(__xludf.DUMMYFUNCTION("""COMPUTED_VALUE"""),"(21/01) ABD Mancore")</f>
        <v>(21/01) ABD Mancore</v>
      </c>
      <c r="R1450" s="228">
        <f>IFERROR(__xludf.DUMMYFUNCTION("""COMPUTED_VALUE"""),46044.0)</f>
        <v>46044</v>
      </c>
      <c r="S1450" s="11"/>
      <c r="T1450" s="11"/>
      <c r="U1450" s="11" t="str">
        <f>IFERROR(__xludf.DUMMYFUNCTION("""COMPUTED_VALUE"""),"W04-1036/2025")</f>
        <v>W04-1036/2025</v>
      </c>
      <c r="V1450" s="229"/>
      <c r="W1450" s="229"/>
      <c r="X1450" s="229" t="str">
        <f>IFERROR(__xludf.DUMMYFUNCTION("""COMPUTED_VALUE"""),"GOLIVE")</f>
        <v>GOLIVE</v>
      </c>
      <c r="Y1450" s="229" t="str">
        <f>IFERROR(__xludf.DUMMYFUNCTION("""COMPUTED_VALUE"""),"DONE")</f>
        <v>DONE</v>
      </c>
      <c r="Z1450" s="229" t="str">
        <f>IFERROR(__xludf.DUMMYFUNCTION("""COMPUTED_VALUE"""),"#N/A")</f>
        <v>#N/A</v>
      </c>
      <c r="AA1450" s="229">
        <f>IFERROR(__xludf.DUMMYFUNCTION("""COMPUTED_VALUE"""),5.0)</f>
        <v>5</v>
      </c>
      <c r="AB1450" s="229"/>
      <c r="AC1450" s="229" t="str">
        <f>IFERROR(__xludf.DUMMYFUNCTION("""COMPUTED_VALUE"""),"8997181#8997186")</f>
        <v>8997181#8997186</v>
      </c>
      <c r="AD1450" s="232">
        <f>IFERROR(__xludf.DUMMYFUNCTION("""COMPUTED_VALUE"""),40.0)</f>
        <v>40</v>
      </c>
      <c r="AE1450" s="233">
        <f>IFERROR(__xludf.DUMMYFUNCTION("""COMPUTED_VALUE"""),46044.0)</f>
        <v>46044</v>
      </c>
      <c r="AF1450" s="54"/>
      <c r="AG1450" s="54"/>
      <c r="AH1450" s="54">
        <v>46044.0</v>
      </c>
      <c r="AI1450" s="55">
        <f t="shared" si="145"/>
        <v>0</v>
      </c>
      <c r="AW1450" s="234"/>
      <c r="BP1450" s="11"/>
      <c r="BQ1450" s="11"/>
      <c r="BR1450" s="235"/>
      <c r="BV1450" s="158"/>
      <c r="BY1450" s="158"/>
      <c r="CB1450" s="158"/>
    </row>
    <row r="1451" ht="18.0" hidden="1" customHeight="1">
      <c r="A1451" s="222">
        <f>IFERROR(__xludf.DUMMYFUNCTION("""COMPUTED_VALUE"""),2026.0)</f>
        <v>2026</v>
      </c>
      <c r="B1451" s="221">
        <f>IFERROR(__xludf.DUMMYFUNCTION("""COMPUTED_VALUE"""),1.1530314E7)</f>
        <v>11530314</v>
      </c>
      <c r="C1451" s="222" t="str">
        <f>IFERROR(__xludf.DUMMYFUNCTION("""COMPUTED_VALUE"""),"BNK-PT4-BNC-JPPTSEL- KEBUN KENANGA")</f>
        <v>BNK-PT4-BNC-JPPTSEL- KEBUN KENANGA</v>
      </c>
      <c r="D1451" s="222" t="str">
        <f>IFERROR(__xludf.DUMMYFUNCTION("""COMPUTED_VALUE"""),"REGIONAL I")</f>
        <v>REGIONAL I</v>
      </c>
      <c r="E1451" s="222" t="str">
        <f>IFERROR(__xludf.DUMMYFUNCTION("""COMPUTED_VALUE"""),"BENGKULU")</f>
        <v>BENGKULU</v>
      </c>
      <c r="F1451" s="222" t="str">
        <f>IFERROR(__xludf.DUMMYFUNCTION("""COMPUTED_VALUE"""),"BNC")</f>
        <v>BNC</v>
      </c>
      <c r="G1451" s="222" t="str">
        <f>IFERROR(__xludf.DUMMYFUNCTION("""COMPUTED_VALUE"""),"SUMBAGSEL")</f>
        <v>SUMBAGSEL</v>
      </c>
      <c r="H1451" s="222" t="str">
        <f>IFERROR(__xludf.DUMMYFUNCTION("""COMPUTED_VALUE"""),"BENGKULU")</f>
        <v>BENGKULU</v>
      </c>
      <c r="I1451" s="222" t="str">
        <f>IFERROR(__xludf.DUMMYFUNCTION("""COMPUTED_VALUE"""),"Batch 2")</f>
        <v>Batch 2</v>
      </c>
      <c r="J1451" s="225">
        <f>IFERROR(__xludf.DUMMYFUNCTION("""COMPUTED_VALUE"""),7.0)</f>
        <v>7</v>
      </c>
      <c r="K1451" s="224">
        <f>IFERROR(__xludf.DUMMYFUNCTION("""COMPUTED_VALUE"""),56.0)</f>
        <v>56</v>
      </c>
      <c r="L1451" s="226">
        <f>IFERROR(__xludf.DUMMYFUNCTION("""COMPUTED_VALUE"""),676338.0)</f>
        <v>676338</v>
      </c>
      <c r="M1451" s="227">
        <f>IFERROR(__xludf.DUMMYFUNCTION("""COMPUTED_VALUE"""),3.7874889E7)</f>
        <v>37874889</v>
      </c>
      <c r="N1451" s="222" t="str">
        <f>IFERROR(__xludf.DUMMYFUNCTION("""COMPUTED_VALUE"""),"SWAKELOLA")</f>
        <v>SWAKELOLA</v>
      </c>
      <c r="O1451" s="222" t="str">
        <f>IFERROR(__xludf.DUMMYFUNCTION("""COMPUTED_VALUE"""),"0. DROP")</f>
        <v>0. DROP</v>
      </c>
      <c r="P1451" s="222" t="str">
        <f>IFERROR(__xludf.DUMMYFUNCTION("""COMPUTED_VALUE"""),"0.3 Feeder Full")</f>
        <v>0.3 Feeder Full</v>
      </c>
      <c r="Q1451" s="222" t="str">
        <f>IFERROR(__xludf.DUMMYFUNCTION("""COMPUTED_VALUE"""),"02/03 : Feeder  full  // 08/01 : Kendala feeder full  (07/01) Persiapan")</f>
        <v>02/03 : Feeder  full  // 08/01 : Kendala feeder full  (07/01) Persiapan</v>
      </c>
      <c r="R1451" s="228"/>
      <c r="S1451" s="11"/>
      <c r="T1451" s="11"/>
      <c r="U1451" s="11"/>
      <c r="V1451" s="229"/>
      <c r="W1451" s="229"/>
      <c r="X1451" s="229" t="str">
        <f>IFERROR(__xludf.DUMMYFUNCTION("""COMPUTED_VALUE"""),"BELUM GOLIVE")</f>
        <v>BELUM GOLIVE</v>
      </c>
      <c r="Y1451" s="229"/>
      <c r="Z1451" s="229" t="str">
        <f>IFERROR(__xludf.DUMMYFUNCTION("""COMPUTED_VALUE"""),"#N/A")</f>
        <v>#N/A</v>
      </c>
      <c r="AA1451" s="229"/>
      <c r="AB1451" s="229"/>
      <c r="AC1451" s="229"/>
      <c r="AD1451" s="232"/>
      <c r="AE1451" s="233"/>
      <c r="AF1451" s="54" t="str">
        <f>IFERROR(__xludf.DUMMYFUNCTION("""COMPUTED_VALUE"""),"Draft BA DROP")</f>
        <v>Draft BA DROP</v>
      </c>
      <c r="AG1451" s="54"/>
      <c r="AH1451" s="54"/>
      <c r="AI1451" s="55" t="str">
        <f t="shared" si="145"/>
        <v/>
      </c>
      <c r="AW1451" s="234"/>
      <c r="BP1451" s="11"/>
      <c r="BQ1451" s="11"/>
      <c r="BR1451" s="235"/>
      <c r="BV1451" s="158"/>
      <c r="BY1451" s="158"/>
      <c r="CB1451" s="158"/>
    </row>
    <row r="1452" ht="18.0" customHeight="1">
      <c r="A1452" s="222">
        <f>IFERROR(__xludf.DUMMYFUNCTION("""COMPUTED_VALUE"""),2026.0)</f>
        <v>2026</v>
      </c>
      <c r="B1452" s="221">
        <f>IFERROR(__xludf.DUMMYFUNCTION("""COMPUTED_VALUE"""),1.1036465E7)</f>
        <v>11036465</v>
      </c>
      <c r="C1452" s="222" t="str">
        <f>IFERROR(__xludf.DUMMYFUNCTION("""COMPUTED_VALUE"""),"SMB P3I7 PT3 SCATTER JL. KURAI TIGO BALEH")</f>
        <v>SMB P3I7 PT3 SCATTER JL. KURAI TIGO BALEH</v>
      </c>
      <c r="D1452" s="222" t="str">
        <f>IFERROR(__xludf.DUMMYFUNCTION("""COMPUTED_VALUE"""),"REGIONAL I")</f>
        <v>REGIONAL I</v>
      </c>
      <c r="E1452" s="222" t="str">
        <f>IFERROR(__xludf.DUMMYFUNCTION("""COMPUTED_VALUE"""),"SUMBAR")</f>
        <v>SUMBAR</v>
      </c>
      <c r="F1452" s="222" t="str">
        <f>IFERROR(__xludf.DUMMYFUNCTION("""COMPUTED_VALUE"""),"BKT")</f>
        <v>BKT</v>
      </c>
      <c r="G1452" s="222" t="str">
        <f>IFERROR(__xludf.DUMMYFUNCTION("""COMPUTED_VALUE"""),"SUMBAGTENG")</f>
        <v>SUMBAGTENG</v>
      </c>
      <c r="H1452" s="222" t="str">
        <f>IFERROR(__xludf.DUMMYFUNCTION("""COMPUTED_VALUE"""),"BUKIT TINGGI")</f>
        <v>BUKIT TINGGI</v>
      </c>
      <c r="I1452" s="222" t="str">
        <f>IFERROR(__xludf.DUMMYFUNCTION("""COMPUTED_VALUE"""),"Batch 2")</f>
        <v>Batch 2</v>
      </c>
      <c r="J1452" s="225">
        <f>IFERROR(__xludf.DUMMYFUNCTION("""COMPUTED_VALUE"""),3.0)</f>
        <v>3</v>
      </c>
      <c r="K1452" s="224">
        <f>IFERROR(__xludf.DUMMYFUNCTION("""COMPUTED_VALUE"""),24.0)</f>
        <v>24</v>
      </c>
      <c r="L1452" s="226">
        <f>IFERROR(__xludf.DUMMYFUNCTION("""COMPUTED_VALUE"""),671950.0)</f>
        <v>671950</v>
      </c>
      <c r="M1452" s="227">
        <f>IFERROR(__xludf.DUMMYFUNCTION("""COMPUTED_VALUE"""),1.6126792E7)</f>
        <v>16126792</v>
      </c>
      <c r="N1452" s="222" t="str">
        <f>IFERROR(__xludf.DUMMYFUNCTION("""COMPUTED_VALUE"""),"PT RATRI PRIMA MANDIRI")</f>
        <v>PT RATRI PRIMA MANDIRI</v>
      </c>
      <c r="O1452" s="222" t="str">
        <f>IFERROR(__xludf.DUMMYFUNCTION("""COMPUTED_VALUE"""),"2. DONE AANWIJZING")</f>
        <v>2. DONE AANWIJZING</v>
      </c>
      <c r="P1452" s="222" t="str">
        <f>IFERROR(__xludf.DUMMYFUNCTION("""COMPUTED_VALUE"""),"2.10 Kendala - Feeder Rusak")</f>
        <v>2.10 Kendala - Feeder Rusak</v>
      </c>
      <c r="Q1452" s="222" t="str">
        <f>IFERROR(__xludf.DUMMYFUNCTION("""COMPUTED_VALUE"""),"(20/04Proses identifikasi QE feeder  (12/03) proses pengukuran tipus feeder BKT-FAA (27/01) BUTUH QE FEEDER BKT-FAA")</f>
        <v>(20/04Proses identifikasi QE feeder  (12/03) proses pengukuran tipus feeder BKT-FAA (27/01) BUTUH QE FEEDER BKT-FAA</v>
      </c>
      <c r="R1452" s="228"/>
      <c r="S1452" s="11"/>
      <c r="T1452" s="11"/>
      <c r="U1452" s="11"/>
      <c r="V1452" s="229"/>
      <c r="W1452" s="229"/>
      <c r="X1452" s="229" t="str">
        <f>IFERROR(__xludf.DUMMYFUNCTION("""COMPUTED_VALUE"""),"BELUM GOLIVE")</f>
        <v>BELUM GOLIVE</v>
      </c>
      <c r="Y1452" s="229"/>
      <c r="Z1452" s="229" t="str">
        <f>IFERROR(__xludf.DUMMYFUNCTION("""COMPUTED_VALUE"""),"#N/A")</f>
        <v>#N/A</v>
      </c>
      <c r="AA1452" s="229"/>
      <c r="AB1452" s="229"/>
      <c r="AC1452" s="229"/>
      <c r="AD1452" s="232"/>
      <c r="AE1452" s="233"/>
      <c r="AF1452" s="54"/>
      <c r="AG1452" s="54"/>
      <c r="AH1452" s="54">
        <v>46116.0</v>
      </c>
      <c r="AI1452" s="55" t="str">
        <f t="shared" si="145"/>
        <v/>
      </c>
      <c r="AJ1452" s="229" t="str">
        <f t="shared" ref="AJ1452:AJ1453" si="146">if(AI1452&gt;=0,"Gl in Komitmen","Gl out komitmen")</f>
        <v>Gl in Komitmen</v>
      </c>
      <c r="AW1452" s="234"/>
      <c r="BP1452" s="11"/>
      <c r="BQ1452" s="11"/>
      <c r="BR1452" s="235"/>
      <c r="BV1452" s="158"/>
      <c r="BY1452" s="158"/>
      <c r="CB1452" s="158"/>
    </row>
    <row r="1453" ht="18.0" customHeight="1">
      <c r="A1453" s="222">
        <f>IFERROR(__xludf.DUMMYFUNCTION("""COMPUTED_VALUE"""),2026.0)</f>
        <v>2026</v>
      </c>
      <c r="B1453" s="221">
        <f>IFERROR(__xludf.DUMMYFUNCTION("""COMPUTED_VALUE"""),1.1105854E7)</f>
        <v>11105854</v>
      </c>
      <c r="C1453" s="222" t="str">
        <f>IFERROR(__xludf.DUMMYFUNCTION("""COMPUTED_VALUE"""),"RKP PT3 JPPTSEL KMS-FU PERUM. KARYA SEJAHTERA 2_")</f>
        <v>RKP PT3 JPPTSEL KMS-FU PERUM. KARYA SEJAHTERA 2_</v>
      </c>
      <c r="D1453" s="222" t="str">
        <f>IFERROR(__xludf.DUMMYFUNCTION("""COMPUTED_VALUE"""),"REGIONAL I")</f>
        <v>REGIONAL I</v>
      </c>
      <c r="E1453" s="222" t="str">
        <f>IFERROR(__xludf.DUMMYFUNCTION("""COMPUTED_VALUE"""),"RIKEP")</f>
        <v>RIKEP</v>
      </c>
      <c r="F1453" s="222" t="str">
        <f>IFERROR(__xludf.DUMMYFUNCTION("""COMPUTED_VALUE"""),"KMS")</f>
        <v>KMS</v>
      </c>
      <c r="G1453" s="222" t="str">
        <f>IFERROR(__xludf.DUMMYFUNCTION("""COMPUTED_VALUE"""),"SUMBAGTENG")</f>
        <v>SUMBAGTENG</v>
      </c>
      <c r="H1453" s="222" t="str">
        <f>IFERROR(__xludf.DUMMYFUNCTION("""COMPUTED_VALUE"""),"BATAM")</f>
        <v>BATAM</v>
      </c>
      <c r="I1453" s="222" t="str">
        <f>IFERROR(__xludf.DUMMYFUNCTION("""COMPUTED_VALUE"""),"Batch 2")</f>
        <v>Batch 2</v>
      </c>
      <c r="J1453" s="225">
        <f>IFERROR(__xludf.DUMMYFUNCTION("""COMPUTED_VALUE"""),2.0)</f>
        <v>2</v>
      </c>
      <c r="K1453" s="224">
        <f>IFERROR(__xludf.DUMMYFUNCTION("""COMPUTED_VALUE"""),16.0)</f>
        <v>16</v>
      </c>
      <c r="L1453" s="226">
        <f>IFERROR(__xludf.DUMMYFUNCTION("""COMPUTED_VALUE"""),671276.0)</f>
        <v>671276</v>
      </c>
      <c r="M1453" s="227">
        <f>IFERROR(__xludf.DUMMYFUNCTION("""COMPUTED_VALUE"""),1.0740407E7)</f>
        <v>10740407</v>
      </c>
      <c r="N1453" s="222" t="str">
        <f>IFERROR(__xludf.DUMMYFUNCTION("""COMPUTED_VALUE"""),"PT SALTTEK DUMPANG JAYA")</f>
        <v>PT SALTTEK DUMPANG JAYA</v>
      </c>
      <c r="O1453" s="222" t="str">
        <f>IFERROR(__xludf.DUMMYFUNCTION("""COMPUTED_VALUE"""),"7. GOLIVE")</f>
        <v>7. GOLIVE</v>
      </c>
      <c r="P1453" s="222" t="str">
        <f>IFERROR(__xludf.DUMMYFUNCTION("""COMPUTED_VALUE"""),"7.2 Golive Full / OA / DONE OTB")</f>
        <v>7.2 Golive Full / OA / DONE OTB</v>
      </c>
      <c r="Q1453" s="222" t="str">
        <f>IFERROR(__xludf.DUMMYFUNCTION("""COMPUTED_VALUE"""),"31/03 OGP penarikan, Plan GL 02 April. 30/03 Titik putus distribusi sudah di solusikan, OGP req material. 09/03 titik putus, butuh cek satu satu di ODP.  04/03 Core dist rusak butuh eviden OTDR ulang.21/01 Distirbusi Rusak")</f>
        <v>31/03 OGP penarikan, Plan GL 02 April. 30/03 Titik putus distribusi sudah di solusikan, OGP req material. 09/03 titik putus, butuh cek satu satu di ODP.  04/03 Core dist rusak butuh eviden OTDR ulang.21/01 Distirbusi Rusak</v>
      </c>
      <c r="R1453" s="228">
        <f>IFERROR(__xludf.DUMMYFUNCTION("""COMPUTED_VALUE"""),46116.0)</f>
        <v>46116</v>
      </c>
      <c r="S1453" s="11" t="str">
        <f>IFERROR(__xludf.DUMMYFUNCTION("""COMPUTED_VALUE"""),"APR")</f>
        <v>APR</v>
      </c>
      <c r="T1453" s="73"/>
      <c r="U1453" s="11" t="str">
        <f>IFERROR(__xludf.DUMMYFUNCTION("""COMPUTED_VALUE"""),"W09-298/2026")</f>
        <v>W09-298/2026</v>
      </c>
      <c r="V1453" s="229" t="str">
        <f>IFERROR(__xludf.DUMMYFUNCTION("""COMPUTED_VALUE"""),"DEDY IRAWAN")</f>
        <v>DEDY IRAWAN</v>
      </c>
      <c r="W1453" s="229" t="str">
        <f>IFERROR(__xludf.DUMMYFUNCTION("""COMPUTED_VALUE"""),"LEVITA INDRIYANI")</f>
        <v>LEVITA INDRIYANI</v>
      </c>
      <c r="X1453" s="229" t="str">
        <f>IFERROR(__xludf.DUMMYFUNCTION("""COMPUTED_VALUE"""),"GOLIVE")</f>
        <v>GOLIVE</v>
      </c>
      <c r="Y1453" s="229" t="str">
        <f>IFERROR(__xludf.DUMMYFUNCTION("""COMPUTED_VALUE"""),"DONE")</f>
        <v>DONE</v>
      </c>
      <c r="Z1453" s="229" t="str">
        <f>IFERROR(__xludf.DUMMYFUNCTION("""COMPUTED_VALUE"""),"#N/A")</f>
        <v>#N/A</v>
      </c>
      <c r="AA1453" s="229">
        <f>IFERROR(__xludf.DUMMYFUNCTION("""COMPUTED_VALUE"""),2.0)</f>
        <v>2</v>
      </c>
      <c r="AB1453" s="229"/>
      <c r="AC1453" s="229" t="str">
        <f>IFERROR(__xludf.DUMMYFUNCTION("""COMPUTED_VALUE"""),"9241415#9241420")</f>
        <v>9241415#9241420</v>
      </c>
      <c r="AD1453" s="232">
        <f>IFERROR(__xludf.DUMMYFUNCTION("""COMPUTED_VALUE"""),16.0)</f>
        <v>16</v>
      </c>
      <c r="AE1453" s="233">
        <f>IFERROR(__xludf.DUMMYFUNCTION("""COMPUTED_VALUE"""),46116.0)</f>
        <v>46116</v>
      </c>
      <c r="AF1453" s="54"/>
      <c r="AG1453" s="54"/>
      <c r="AH1453" s="54">
        <v>46116.0</v>
      </c>
      <c r="AI1453" s="55">
        <f>IF(OR(AH1453="",AE1453=""),"",AH1453-AE1453)</f>
        <v>0</v>
      </c>
      <c r="AJ1453" s="229" t="str">
        <f t="shared" si="146"/>
        <v>Gl in Komitmen</v>
      </c>
      <c r="AK1453" s="231" t="s">
        <v>199</v>
      </c>
      <c r="AW1453" s="234"/>
      <c r="BP1453" s="11"/>
      <c r="BQ1453" s="11"/>
      <c r="BR1453" s="235"/>
      <c r="BV1453" s="158"/>
      <c r="BY1453" s="158"/>
      <c r="CB1453" s="158"/>
    </row>
    <row r="1454" ht="18.0" hidden="1" customHeight="1">
      <c r="A1454" s="222">
        <f>IFERROR(__xludf.DUMMYFUNCTION("""COMPUTED_VALUE"""),2026.0)</f>
        <v>2026</v>
      </c>
      <c r="B1454" s="221">
        <f>IFERROR(__xludf.DUMMYFUNCTION("""COMPUTED_VALUE"""),1.208562E7)</f>
        <v>12085620</v>
      </c>
      <c r="C1454" s="222" t="str">
        <f>IFERROR(__xludf.DUMMYFUNCTION("""COMPUTED_VALUE"""),"MDN PT3 CTD-FAG 250_1609_1631_MD25")</f>
        <v>MDN PT3 CTD-FAG 250_1609_1631_MD25</v>
      </c>
      <c r="D1454" s="222" t="str">
        <f>IFERROR(__xludf.DUMMYFUNCTION("""COMPUTED_VALUE"""),"REGIONAL I")</f>
        <v>REGIONAL I</v>
      </c>
      <c r="E1454" s="222" t="str">
        <f>IFERROR(__xludf.DUMMYFUNCTION("""COMPUTED_VALUE"""),"MEDAN")</f>
        <v>MEDAN</v>
      </c>
      <c r="F1454" s="222" t="str">
        <f>IFERROR(__xludf.DUMMYFUNCTION("""COMPUTED_VALUE"""),"CTD")</f>
        <v>CTD</v>
      </c>
      <c r="G1454" s="222" t="str">
        <f>IFERROR(__xludf.DUMMYFUNCTION("""COMPUTED_VALUE"""),"SUMBAGUT")</f>
        <v>SUMBAGUT</v>
      </c>
      <c r="H1454" s="222" t="str">
        <f>IFERROR(__xludf.DUMMYFUNCTION("""COMPUTED_VALUE"""),"MEDAN")</f>
        <v>MEDAN</v>
      </c>
      <c r="I1454" s="222" t="str">
        <f>IFERROR(__xludf.DUMMYFUNCTION("""COMPUTED_VALUE"""),"Batch 2")</f>
        <v>Batch 2</v>
      </c>
      <c r="J1454" s="225">
        <f>IFERROR(__xludf.DUMMYFUNCTION("""COMPUTED_VALUE"""),3.0)</f>
        <v>3</v>
      </c>
      <c r="K1454" s="224">
        <f>IFERROR(__xludf.DUMMYFUNCTION("""COMPUTED_VALUE"""),24.0)</f>
        <v>24</v>
      </c>
      <c r="L1454" s="226">
        <f>IFERROR(__xludf.DUMMYFUNCTION("""COMPUTED_VALUE"""),669169.0)</f>
        <v>669169</v>
      </c>
      <c r="M1454" s="227">
        <f>IFERROR(__xludf.DUMMYFUNCTION("""COMPUTED_VALUE"""),1.6060055E7)</f>
        <v>16060055</v>
      </c>
      <c r="N1454" s="222" t="str">
        <f>IFERROR(__xludf.DUMMYFUNCTION("""COMPUTED_VALUE"""),"PT MILFHA MUTIARA PRIMA")</f>
        <v>PT MILFHA MUTIARA PRIMA</v>
      </c>
      <c r="O1454" s="222" t="str">
        <f>IFERROR(__xludf.DUMMYFUNCTION("""COMPUTED_VALUE"""),"0. DROP")</f>
        <v>0. DROP</v>
      </c>
      <c r="P1454" s="222" t="str">
        <f>IFERROR(__xludf.DUMMYFUNCTION("""COMPUTED_VALUE"""),"0.3 Feeder Full")</f>
        <v>0.3 Feeder Full</v>
      </c>
      <c r="Q1454" s="222" t="str">
        <f>IFERROR(__xludf.DUMMYFUNCTION("""COMPUTED_VALUE"""),"07/02 Feeder Habis")</f>
        <v>07/02 Feeder Habis</v>
      </c>
      <c r="R1454" s="228"/>
      <c r="S1454" s="11"/>
      <c r="T1454" s="11"/>
      <c r="U1454" s="11"/>
      <c r="V1454" s="229"/>
      <c r="W1454" s="229"/>
      <c r="X1454" s="229" t="str">
        <f>IFERROR(__xludf.DUMMYFUNCTION("""COMPUTED_VALUE"""),"BELUM GOLIVE")</f>
        <v>BELUM GOLIVE</v>
      </c>
      <c r="Y1454" s="229"/>
      <c r="Z1454" s="229" t="str">
        <f>IFERROR(__xludf.DUMMYFUNCTION("""COMPUTED_VALUE"""),"#N/A")</f>
        <v>#N/A</v>
      </c>
      <c r="AA1454" s="229"/>
      <c r="AB1454" s="229"/>
      <c r="AC1454" s="229"/>
      <c r="AD1454" s="232"/>
      <c r="AE1454" s="233"/>
      <c r="AF1454" s="54"/>
      <c r="AG1454" s="54"/>
      <c r="AH1454" s="54">
        <v>46127.0</v>
      </c>
      <c r="AI1454" s="237">
        <f>AH1454-NOW()</f>
        <v>-13.37798993</v>
      </c>
      <c r="AJ1454" s="229" t="str">
        <f>if(AI1454&gt;=0,"in Komitmen","Out komitmen")</f>
        <v>Out komitmen</v>
      </c>
      <c r="AK1454" s="229" t="s">
        <v>199</v>
      </c>
      <c r="AW1454" s="234"/>
      <c r="BP1454" s="11"/>
      <c r="BQ1454" s="11"/>
      <c r="BR1454" s="235"/>
      <c r="BV1454" s="158"/>
      <c r="BY1454" s="158"/>
      <c r="CB1454" s="158"/>
    </row>
    <row r="1455" ht="18.0" customHeight="1">
      <c r="A1455" s="222">
        <f>IFERROR(__xludf.DUMMYFUNCTION("""COMPUTED_VALUE"""),2026.0)</f>
        <v>2026</v>
      </c>
      <c r="B1455" s="221">
        <f>IFERROR(__xludf.DUMMYFUNCTION("""COMPUTED_VALUE"""),1.1197936E7)</f>
        <v>11197936</v>
      </c>
      <c r="C1455" s="222" t="str">
        <f>IFERROR(__xludf.DUMMYFUNCTION("""COMPUTED_VALUE"""),"RKP PT3 TSEL TJT-FL TANJUNG BATU BARU")</f>
        <v>RKP PT3 TSEL TJT-FL TANJUNG BATU BARU</v>
      </c>
      <c r="D1455" s="222" t="str">
        <f>IFERROR(__xludf.DUMMYFUNCTION("""COMPUTED_VALUE"""),"REGIONAL I")</f>
        <v>REGIONAL I</v>
      </c>
      <c r="E1455" s="222" t="str">
        <f>IFERROR(__xludf.DUMMYFUNCTION("""COMPUTED_VALUE"""),"RIKEP")</f>
        <v>RIKEP</v>
      </c>
      <c r="F1455" s="222" t="str">
        <f>IFERROR(__xludf.DUMMYFUNCTION("""COMPUTED_VALUE"""),"TJT")</f>
        <v>TJT</v>
      </c>
      <c r="G1455" s="222" t="str">
        <f>IFERROR(__xludf.DUMMYFUNCTION("""COMPUTED_VALUE"""),"SUMBAGTENG")</f>
        <v>SUMBAGTENG</v>
      </c>
      <c r="H1455" s="222" t="str">
        <f>IFERROR(__xludf.DUMMYFUNCTION("""COMPUTED_VALUE"""),"BATAM")</f>
        <v>BATAM</v>
      </c>
      <c r="I1455" s="222" t="str">
        <f>IFERROR(__xludf.DUMMYFUNCTION("""COMPUTED_VALUE"""),"Batch 2")</f>
        <v>Batch 2</v>
      </c>
      <c r="J1455" s="225">
        <f>IFERROR(__xludf.DUMMYFUNCTION("""COMPUTED_VALUE"""),2.0)</f>
        <v>2</v>
      </c>
      <c r="K1455" s="224">
        <f>IFERROR(__xludf.DUMMYFUNCTION("""COMPUTED_VALUE"""),16.0)</f>
        <v>16</v>
      </c>
      <c r="L1455" s="226">
        <f>IFERROR(__xludf.DUMMYFUNCTION("""COMPUTED_VALUE"""),668592.0)</f>
        <v>668592</v>
      </c>
      <c r="M1455" s="227">
        <f>IFERROR(__xludf.DUMMYFUNCTION("""COMPUTED_VALUE"""),1.0697457E7)</f>
        <v>10697457</v>
      </c>
      <c r="N1455" s="222" t="str">
        <f>IFERROR(__xludf.DUMMYFUNCTION("""COMPUTED_VALUE"""),"PT MITRA AKSES INSANI")</f>
        <v>PT MITRA AKSES INSANI</v>
      </c>
      <c r="O1455" s="222" t="str">
        <f>IFERROR(__xludf.DUMMYFUNCTION("""COMPUTED_VALUE"""),"7. GOLIVE")</f>
        <v>7. GOLIVE</v>
      </c>
      <c r="P1455" s="222" t="str">
        <f>IFERROR(__xludf.DUMMYFUNCTION("""COMPUTED_VALUE"""),"7.2 Golive Full / OA / DONE OTB")</f>
        <v>7.2 Golive Full / OA / DONE OTB</v>
      </c>
      <c r="Q1455" s="222" t="str">
        <f>IFERROR(__xludf.DUMMYFUNCTION("""COMPUTED_VALUE"""),"13/04 Plan FI hari ini. 
07/04 penarikan DONE, plan terminasi di pulau tanjung batu serial, target golive sesuai komitmen golive
31/03 Tim terminasi berangkat dari pulau batam ke pualau tanjung batu tanggal 04 april, plan GL 07 apr.27/03 Tim terminasi bel"&amp;"um berangkat dari batam ke Pulau tanjung batu. 16/03 Tim terminasi berangkat ke pulau tanjung batu dari batam setelah lebaran. 
09/03 Terminasi ODP. 
05/ 03 proses Penanaman tiang
26/02 Tanam tiang DONE, proses tarik kabel tim serial. 13/02 Jadwal kapal k"&amp;"e pulau tanjung batu di hari rabu, karena kapal hari minggu sudah penuh. 09/02 LOP belum di survey oleh mitra, komitmen terakhi hari minggu tgl 8 feb tim berangkat ke pulau tanjung batu. 29/01 mitra MAI sudah acc dan plan survey senin 2 Februari. 21/01 Pl"&amp;"an anwijzing Lokasi di pulau outer Tanjung batu")</f>
        <v>13/04 Plan FI hari ini. 
07/04 penarikan DONE, plan terminasi di pulau tanjung batu serial, target golive sesuai komitmen golive
31/03 Tim terminasi berangkat dari pulau batam ke pualau tanjung batu tanggal 04 april, plan GL 07 apr.27/03 Tim terminasi belum berangkat dari batam ke Pulau tanjung batu. 16/03 Tim terminasi berangkat ke pulau tanjung batu dari batam setelah lebaran. 
09/03 Terminasi ODP. 
05/ 03 proses Penanaman tiang
26/02 Tanam tiang DONE, proses tarik kabel tim serial.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1455" s="228">
        <f>IFERROR(__xludf.DUMMYFUNCTION("""COMPUTED_VALUE"""),46127.0)</f>
        <v>46127</v>
      </c>
      <c r="S1455" s="11" t="str">
        <f>IFERROR(__xludf.DUMMYFUNCTION("""COMPUTED_VALUE"""),"APR")</f>
        <v>APR</v>
      </c>
      <c r="T1455" s="73"/>
      <c r="U1455" s="11" t="str">
        <f>IFERROR(__xludf.DUMMYFUNCTION("""COMPUTED_VALUE"""),"W09-159/2026")</f>
        <v>W09-159/2026</v>
      </c>
      <c r="V1455" s="229" t="str">
        <f>IFERROR(__xludf.DUMMYFUNCTION("""COMPUTED_VALUE"""),"MOHAMMAD FAUZY")</f>
        <v>MOHAMMAD FAUZY</v>
      </c>
      <c r="W1455" s="229" t="str">
        <f>IFERROR(__xludf.DUMMYFUNCTION("""COMPUTED_VALUE"""),"LEVITA INDRIYANI")</f>
        <v>LEVITA INDRIYANI</v>
      </c>
      <c r="X1455" s="229" t="str">
        <f>IFERROR(__xludf.DUMMYFUNCTION("""COMPUTED_VALUE"""),"GOLIVE")</f>
        <v>GOLIVE</v>
      </c>
      <c r="Y1455" s="229" t="str">
        <f>IFERROR(__xludf.DUMMYFUNCTION("""COMPUTED_VALUE"""),"DONE")</f>
        <v>DONE</v>
      </c>
      <c r="Z1455" s="229" t="str">
        <f>IFERROR(__xludf.DUMMYFUNCTION("""COMPUTED_VALUE"""),"#N/A")</f>
        <v>#N/A</v>
      </c>
      <c r="AA1455" s="229">
        <f>IFERROR(__xludf.DUMMYFUNCTION("""COMPUTED_VALUE"""),2.0)</f>
        <v>2</v>
      </c>
      <c r="AB1455" s="229"/>
      <c r="AC1455" s="229" t="str">
        <f>IFERROR(__xludf.DUMMYFUNCTION("""COMPUTED_VALUE"""),"9133380#9133385")</f>
        <v>9133380#9133385</v>
      </c>
      <c r="AD1455" s="232">
        <f>IFERROR(__xludf.DUMMYFUNCTION("""COMPUTED_VALUE"""),16.0)</f>
        <v>16</v>
      </c>
      <c r="AE1455" s="233">
        <f>IFERROR(__xludf.DUMMYFUNCTION("""COMPUTED_VALUE"""),46127.0)</f>
        <v>46127</v>
      </c>
      <c r="AF1455" s="54"/>
      <c r="AG1455" s="54"/>
      <c r="AH1455" s="54">
        <v>46132.0</v>
      </c>
      <c r="AI1455" s="55">
        <f>IF(OR(AH1455="",AE1455=""),"",AH1455-AE1455)</f>
        <v>5</v>
      </c>
      <c r="AJ1455" s="229" t="str">
        <f>if(AI1455&gt;=0,"Gl in Komitmen","Gl out komitmen")</f>
        <v>Gl in Komitmen</v>
      </c>
      <c r="AK1455" s="231" t="s">
        <v>199</v>
      </c>
      <c r="AW1455" s="234"/>
      <c r="BP1455" s="11"/>
      <c r="BQ1455" s="11"/>
      <c r="BR1455" s="235"/>
      <c r="BV1455" s="158"/>
      <c r="BY1455" s="158"/>
      <c r="CB1455" s="158"/>
    </row>
    <row r="1456" ht="18.0" customHeight="1">
      <c r="A1456" s="222">
        <f>IFERROR(__xludf.DUMMYFUNCTION("""COMPUTED_VALUE"""),2026.0)</f>
        <v>2026</v>
      </c>
      <c r="B1456" s="221">
        <f>IFERROR(__xludf.DUMMYFUNCTION("""COMPUTED_VALUE"""),1.2089262E7)</f>
        <v>12089262</v>
      </c>
      <c r="C1456" s="222" t="str">
        <f>IFERROR(__xludf.DUMMYFUNCTION("""COMPUTED_VALUE"""),"RKP TSEL PT3 TJT-FR TANJUNG BATU BARU")</f>
        <v>RKP TSEL PT3 TJT-FR TANJUNG BATU BARU</v>
      </c>
      <c r="D1456" s="222" t="str">
        <f>IFERROR(__xludf.DUMMYFUNCTION("""COMPUTED_VALUE"""),"REGIONAL I")</f>
        <v>REGIONAL I</v>
      </c>
      <c r="E1456" s="222" t="str">
        <f>IFERROR(__xludf.DUMMYFUNCTION("""COMPUTED_VALUE"""),"RIKEP")</f>
        <v>RIKEP</v>
      </c>
      <c r="F1456" s="222" t="str">
        <f>IFERROR(__xludf.DUMMYFUNCTION("""COMPUTED_VALUE"""),"TJT")</f>
        <v>TJT</v>
      </c>
      <c r="G1456" s="222" t="str">
        <f>IFERROR(__xludf.DUMMYFUNCTION("""COMPUTED_VALUE"""),"SUMBAGTENG")</f>
        <v>SUMBAGTENG</v>
      </c>
      <c r="H1456" s="222" t="str">
        <f>IFERROR(__xludf.DUMMYFUNCTION("""COMPUTED_VALUE"""),"BATAM")</f>
        <v>BATAM</v>
      </c>
      <c r="I1456" s="222" t="str">
        <f>IFERROR(__xludf.DUMMYFUNCTION("""COMPUTED_VALUE"""),"Batch 2")</f>
        <v>Batch 2</v>
      </c>
      <c r="J1456" s="225">
        <f>IFERROR(__xludf.DUMMYFUNCTION("""COMPUTED_VALUE"""),2.0)</f>
        <v>2</v>
      </c>
      <c r="K1456" s="224">
        <f>IFERROR(__xludf.DUMMYFUNCTION("""COMPUTED_VALUE"""),16.0)</f>
        <v>16</v>
      </c>
      <c r="L1456" s="226">
        <f>IFERROR(__xludf.DUMMYFUNCTION("""COMPUTED_VALUE"""),668592.0)</f>
        <v>668592</v>
      </c>
      <c r="M1456" s="227">
        <f>IFERROR(__xludf.DUMMYFUNCTION("""COMPUTED_VALUE"""),1.0697457E7)</f>
        <v>10697457</v>
      </c>
      <c r="N1456" s="222" t="str">
        <f>IFERROR(__xludf.DUMMYFUNCTION("""COMPUTED_VALUE"""),"PT MITRA AKSES INSANI")</f>
        <v>PT MITRA AKSES INSANI</v>
      </c>
      <c r="O1456" s="222" t="str">
        <f>IFERROR(__xludf.DUMMYFUNCTION("""COMPUTED_VALUE"""),"0. DROP")</f>
        <v>0. DROP</v>
      </c>
      <c r="P1456" s="222" t="str">
        <f>IFERROR(__xludf.DUMMYFUNCTION("""COMPUTED_VALUE"""),"0.1 Double Order")</f>
        <v>0.1 Double Order</v>
      </c>
      <c r="Q1456" s="222" t="str">
        <f>IFERROR(__xludf.DUMMYFUNCTION("""COMPUTED_VALUE"""),"18/02 LOP double order dengan LOP IHLD 11197936. 13/02 Jadwal kapal ke pulau tanjung batu di hari rabu, karena kapal hari minggu sudah penuh. 09/02 LOP belum di survey oleh mitra, komitmen terakhi hari minggu tgl 8 feb tim berangkat ke pulau tanjung batu."&amp;" 29/01 mitra MAI sudah acc dan plan survey senin 2 Februari. 21/01 Plan anwijzing Lokasi di pulau outer Tanjung batu")</f>
        <v>18/02 LOP double order dengan LOP IHLD 11197936.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1456" s="228"/>
      <c r="S1456" s="11"/>
      <c r="T1456" s="11"/>
      <c r="U1456" s="11"/>
      <c r="V1456" s="229" t="str">
        <f>IFERROR(__xludf.DUMMYFUNCTION("""COMPUTED_VALUE"""),"MOHAMMAD FAUZY")</f>
        <v>MOHAMMAD FAUZY</v>
      </c>
      <c r="W1456" s="229" t="str">
        <f>IFERROR(__xludf.DUMMYFUNCTION("""COMPUTED_VALUE"""),"LEVITA INDRIYANI")</f>
        <v>LEVITA INDRIYANI</v>
      </c>
      <c r="X1456" s="229" t="str">
        <f>IFERROR(__xludf.DUMMYFUNCTION("""COMPUTED_VALUE"""),"BELUM GOLIVE")</f>
        <v>BELUM GOLIVE</v>
      </c>
      <c r="Y1456" s="229"/>
      <c r="Z1456" s="229" t="str">
        <f>IFERROR(__xludf.DUMMYFUNCTION("""COMPUTED_VALUE"""),"#N/A")</f>
        <v>#N/A</v>
      </c>
      <c r="AA1456" s="229"/>
      <c r="AB1456" s="229"/>
      <c r="AC1456" s="229"/>
      <c r="AD1456" s="232"/>
      <c r="AE1456" s="233"/>
      <c r="AF1456" s="54" t="str">
        <f>IFERROR(__xludf.DUMMYFUNCTION("""COMPUTED_VALUE"""),"Draft BA DROP")</f>
        <v>Draft BA DROP</v>
      </c>
      <c r="AG1456" s="54"/>
      <c r="AH1456" s="54"/>
      <c r="AI1456" s="55" t="str">
        <f t="shared" ref="AI1456:AI1468" si="147">IF(OR(R1456="",AE1456=""),"",R1456-AE1456)</f>
        <v/>
      </c>
      <c r="AW1456" s="234"/>
      <c r="BP1456" s="11"/>
      <c r="BQ1456" s="11"/>
      <c r="BR1456" s="235"/>
      <c r="BV1456" s="158"/>
      <c r="BY1456" s="158"/>
      <c r="CB1456" s="158"/>
    </row>
    <row r="1457" ht="18.0" hidden="1" customHeight="1">
      <c r="A1457" s="222">
        <f>IFERROR(__xludf.DUMMYFUNCTION("""COMPUTED_VALUE"""),2026.0)</f>
        <v>2026</v>
      </c>
      <c r="B1457" s="221">
        <f>IFERROR(__xludf.DUMMYFUNCTION("""COMPUTED_VALUE"""),1.2436362E7)</f>
        <v>12436362</v>
      </c>
      <c r="C1457" s="222" t="str">
        <f>IFERROR(__xludf.DUMMYFUNCTION("""COMPUTED_VALUE"""),"ACH PT3 DAR-FAV KOMP.MEDINA PAYUNG")</f>
        <v>ACH PT3 DAR-FAV KOMP.MEDINA PAYUNG</v>
      </c>
      <c r="D1457" s="222" t="str">
        <f>IFERROR(__xludf.DUMMYFUNCTION("""COMPUTED_VALUE"""),"REGIONAL I")</f>
        <v>REGIONAL I</v>
      </c>
      <c r="E1457" s="222" t="str">
        <f>IFERROR(__xludf.DUMMYFUNCTION("""COMPUTED_VALUE"""),"ACEH")</f>
        <v>ACEH</v>
      </c>
      <c r="F1457" s="222" t="str">
        <f>IFERROR(__xludf.DUMMYFUNCTION("""COMPUTED_VALUE"""),"DAR")</f>
        <v>DAR</v>
      </c>
      <c r="G1457" s="222" t="str">
        <f>IFERROR(__xludf.DUMMYFUNCTION("""COMPUTED_VALUE"""),"SUMBAGUT")</f>
        <v>SUMBAGUT</v>
      </c>
      <c r="H1457" s="222" t="str">
        <f>IFERROR(__xludf.DUMMYFUNCTION("""COMPUTED_VALUE"""),"BANDA ACEH")</f>
        <v>BANDA ACEH</v>
      </c>
      <c r="I1457" s="222" t="str">
        <f>IFERROR(__xludf.DUMMYFUNCTION("""COMPUTED_VALUE"""),"Batch 2")</f>
        <v>Batch 2</v>
      </c>
      <c r="J1457" s="225">
        <f>IFERROR(__xludf.DUMMYFUNCTION("""COMPUTED_VALUE"""),1.0)</f>
        <v>1</v>
      </c>
      <c r="K1457" s="224">
        <f>IFERROR(__xludf.DUMMYFUNCTION("""COMPUTED_VALUE"""),16.0)</f>
        <v>16</v>
      </c>
      <c r="L1457" s="226">
        <f>IFERROR(__xludf.DUMMYFUNCTION("""COMPUTED_VALUE"""),667321.0)</f>
        <v>667321</v>
      </c>
      <c r="M1457" s="227">
        <f>IFERROR(__xludf.DUMMYFUNCTION("""COMPUTED_VALUE"""),1.0677131E7)</f>
        <v>10677131</v>
      </c>
      <c r="N1457" s="222" t="str">
        <f>IFERROR(__xludf.DUMMYFUNCTION("""COMPUTED_VALUE"""),"PT NURISA JAYA PERKASA")</f>
        <v>PT NURISA JAYA PERKASA</v>
      </c>
      <c r="O1457" s="222" t="str">
        <f>IFERROR(__xludf.DUMMYFUNCTION("""COMPUTED_VALUE"""),"4. MATDEL")</f>
        <v>4. MATDEL</v>
      </c>
      <c r="P1457" s="222" t="str">
        <f>IFERROR(__xludf.DUMMYFUNCTION("""COMPUTED_VALUE"""),"4.5 Material On Site")</f>
        <v>4.5 Material On Site</v>
      </c>
      <c r="Q1457" s="222" t="str">
        <f>IFERROR(__xludf.DUMMYFUNCTION("""COMPUTED_VALUE"""),"(14/04) Persiapan Instalasi, MOS 10/04) Penjadwalan JOVIS bersama PIC TSEL (07/04) Penjadwalan JOVIS bersama PIC TSEL (07/02) Proses negosiasi dgn Kepala Desa (07/01) Persiapan")</f>
        <v>(14/04) Persiapan Instalasi, MOS 10/04) Penjadwalan JOVIS bersama PIC TSEL (07/04) Penjadwalan JOVIS bersama PIC TSEL (07/02) Proses negosiasi dgn Kepala Desa (07/01) Persiapan</v>
      </c>
      <c r="R1457" s="228">
        <f>IFERROR(__xludf.DUMMYFUNCTION("""COMPUTED_VALUE"""),46141.0)</f>
        <v>46141</v>
      </c>
      <c r="S1457" s="11"/>
      <c r="T1457" s="73"/>
      <c r="U1457" s="11"/>
      <c r="V1457" s="229" t="str">
        <f>IFERROR(__xludf.DUMMYFUNCTION("""COMPUTED_VALUE"""),"28/Apr/2026")</f>
        <v>28/Apr/2026</v>
      </c>
      <c r="W1457" s="229"/>
      <c r="X1457" s="229" t="str">
        <f>IFERROR(__xludf.DUMMYFUNCTION("""COMPUTED_VALUE"""),"BELUM GOLIVE")</f>
        <v>BELUM GOLIVE</v>
      </c>
      <c r="Y1457" s="229"/>
      <c r="Z1457" s="229" t="str">
        <f>IFERROR(__xludf.DUMMYFUNCTION("""COMPUTED_VALUE"""),"#N/A")</f>
        <v>#N/A</v>
      </c>
      <c r="AA1457" s="229"/>
      <c r="AB1457" s="229"/>
      <c r="AC1457" s="229"/>
      <c r="AD1457" s="232"/>
      <c r="AE1457" s="233"/>
      <c r="AF1457" s="54"/>
      <c r="AG1457" s="54"/>
      <c r="AH1457" s="54"/>
      <c r="AI1457" s="55" t="str">
        <f t="shared" si="147"/>
        <v/>
      </c>
      <c r="AW1457" s="234"/>
      <c r="BP1457" s="11"/>
      <c r="BQ1457" s="11"/>
      <c r="BR1457" s="235"/>
      <c r="BV1457" s="158"/>
      <c r="BY1457" s="158"/>
      <c r="CB1457" s="158"/>
    </row>
    <row r="1458" ht="18.0" hidden="1" customHeight="1">
      <c r="A1458" s="222">
        <f>IFERROR(__xludf.DUMMYFUNCTION("""COMPUTED_VALUE"""),2026.0)</f>
        <v>2026</v>
      </c>
      <c r="B1458" s="221">
        <f>IFERROR(__xludf.DUMMYFUNCTION("""COMPUTED_VALUE"""),1.238597E7)</f>
        <v>12385970</v>
      </c>
      <c r="C1458" s="222" t="str">
        <f>IFERROR(__xludf.DUMMYFUNCTION("""COMPUTED_VALUE"""),"MDN PT3 DLT-FAD 250_1543_1673")</f>
        <v>MDN PT3 DLT-FAD 250_1543_1673</v>
      </c>
      <c r="D1458" s="222" t="str">
        <f>IFERROR(__xludf.DUMMYFUNCTION("""COMPUTED_VALUE"""),"REGIONAL I")</f>
        <v>REGIONAL I</v>
      </c>
      <c r="E1458" s="222" t="str">
        <f>IFERROR(__xludf.DUMMYFUNCTION("""COMPUTED_VALUE"""),"MEDAN")</f>
        <v>MEDAN</v>
      </c>
      <c r="F1458" s="222" t="str">
        <f>IFERROR(__xludf.DUMMYFUNCTION("""COMPUTED_VALUE"""),"DLT")</f>
        <v>DLT</v>
      </c>
      <c r="G1458" s="222" t="str">
        <f>IFERROR(__xludf.DUMMYFUNCTION("""COMPUTED_VALUE"""),"SUMBAGUT")</f>
        <v>SUMBAGUT</v>
      </c>
      <c r="H1458" s="222" t="str">
        <f>IFERROR(__xludf.DUMMYFUNCTION("""COMPUTED_VALUE"""),"MEDAN")</f>
        <v>MEDAN</v>
      </c>
      <c r="I1458" s="222" t="str">
        <f>IFERROR(__xludf.DUMMYFUNCTION("""COMPUTED_VALUE"""),"Batch 2")</f>
        <v>Batch 2</v>
      </c>
      <c r="J1458" s="225">
        <f>IFERROR(__xludf.DUMMYFUNCTION("""COMPUTED_VALUE"""),2.0)</f>
        <v>2</v>
      </c>
      <c r="K1458" s="224">
        <f>IFERROR(__xludf.DUMMYFUNCTION("""COMPUTED_VALUE"""),16.0)</f>
        <v>16</v>
      </c>
      <c r="L1458" s="226">
        <f>IFERROR(__xludf.DUMMYFUNCTION("""COMPUTED_VALUE"""),664658.0)</f>
        <v>664658</v>
      </c>
      <c r="M1458" s="227">
        <f>IFERROR(__xludf.DUMMYFUNCTION("""COMPUTED_VALUE"""),1.0634528E7)</f>
        <v>10634528</v>
      </c>
      <c r="N1458" s="222" t="str">
        <f>IFERROR(__xludf.DUMMYFUNCTION("""COMPUTED_VALUE"""),"PT SALTTEK DUMPANG JAYA")</f>
        <v>PT SALTTEK DUMPANG JAYA</v>
      </c>
      <c r="O1458" s="222" t="str">
        <f>IFERROR(__xludf.DUMMYFUNCTION("""COMPUTED_VALUE"""),"0. DROP")</f>
        <v>0. DROP</v>
      </c>
      <c r="P1458" s="222" t="str">
        <f>IFERROR(__xludf.DUMMYFUNCTION("""COMPUTED_VALUE"""),"0.3 Feeder Full")</f>
        <v>0.3 Feeder Full</v>
      </c>
      <c r="Q1458" s="222" t="str">
        <f>IFERROR(__xludf.DUMMYFUNCTION("""COMPUTED_VALUE"""),"08/03 Feeder Penuh (07/01) Persiapan")</f>
        <v>08/03 Feeder Penuh (07/01) Persiapan</v>
      </c>
      <c r="R1458" s="228"/>
      <c r="S1458" s="11"/>
      <c r="T1458" s="11"/>
      <c r="U1458" s="11"/>
      <c r="V1458" s="229"/>
      <c r="W1458" s="229"/>
      <c r="X1458" s="229" t="str">
        <f>IFERROR(__xludf.DUMMYFUNCTION("""COMPUTED_VALUE"""),"BELUM GOLIVE")</f>
        <v>BELUM GOLIVE</v>
      </c>
      <c r="Y1458" s="229"/>
      <c r="Z1458" s="229" t="str">
        <f>IFERROR(__xludf.DUMMYFUNCTION("""COMPUTED_VALUE"""),"#N/A")</f>
        <v>#N/A</v>
      </c>
      <c r="AA1458" s="229"/>
      <c r="AB1458" s="229"/>
      <c r="AC1458" s="229"/>
      <c r="AD1458" s="232"/>
      <c r="AE1458" s="233"/>
      <c r="AF1458" s="54"/>
      <c r="AG1458" s="54"/>
      <c r="AH1458" s="54"/>
      <c r="AI1458" s="55" t="str">
        <f t="shared" si="147"/>
        <v/>
      </c>
      <c r="AW1458" s="234"/>
      <c r="BP1458" s="11"/>
      <c r="BQ1458" s="11"/>
      <c r="BR1458" s="235"/>
      <c r="BV1458" s="158"/>
      <c r="BY1458" s="158"/>
      <c r="CB1458" s="158"/>
    </row>
    <row r="1459" ht="18.0" customHeight="1">
      <c r="A1459" s="222">
        <f>IFERROR(__xludf.DUMMYFUNCTION("""COMPUTED_VALUE"""),2026.0)</f>
        <v>2026</v>
      </c>
      <c r="B1459" s="221">
        <f>IFERROR(__xludf.DUMMYFUNCTION("""COMPUTED_VALUE"""),1.1860945E7)</f>
        <v>11860945</v>
      </c>
      <c r="C1459" s="222" t="str">
        <f>IFERROR(__xludf.DUMMYFUNCTION("""COMPUTED_VALUE"""),"RDR JPP PT3 DUM-FH")</f>
        <v>RDR JPP PT3 DUM-FH</v>
      </c>
      <c r="D1459" s="222" t="str">
        <f>IFERROR(__xludf.DUMMYFUNCTION("""COMPUTED_VALUE"""),"REGIONAL I")</f>
        <v>REGIONAL I</v>
      </c>
      <c r="E1459" s="222" t="str">
        <f>IFERROR(__xludf.DUMMYFUNCTION("""COMPUTED_VALUE"""),"RIDAR")</f>
        <v>RIDAR</v>
      </c>
      <c r="F1459" s="222" t="str">
        <f>IFERROR(__xludf.DUMMYFUNCTION("""COMPUTED_VALUE"""),"DUM")</f>
        <v>DUM</v>
      </c>
      <c r="G1459" s="222" t="str">
        <f>IFERROR(__xludf.DUMMYFUNCTION("""COMPUTED_VALUE"""),"SUMBAGTENG")</f>
        <v>SUMBAGTENG</v>
      </c>
      <c r="H1459" s="222" t="str">
        <f>IFERROR(__xludf.DUMMYFUNCTION("""COMPUTED_VALUE"""),"DUMAI")</f>
        <v>DUMAI</v>
      </c>
      <c r="I1459" s="222" t="str">
        <f>IFERROR(__xludf.DUMMYFUNCTION("""COMPUTED_VALUE"""),"Batch 2")</f>
        <v>Batch 2</v>
      </c>
      <c r="J1459" s="225">
        <f>IFERROR(__xludf.DUMMYFUNCTION("""COMPUTED_VALUE"""),8.0)</f>
        <v>8</v>
      </c>
      <c r="K1459" s="224">
        <f>IFERROR(__xludf.DUMMYFUNCTION("""COMPUTED_VALUE"""),64.0)</f>
        <v>64</v>
      </c>
      <c r="L1459" s="226">
        <f>IFERROR(__xludf.DUMMYFUNCTION("""COMPUTED_VALUE"""),664066.0)</f>
        <v>664066</v>
      </c>
      <c r="M1459" s="227">
        <f>IFERROR(__xludf.DUMMYFUNCTION("""COMPUTED_VALUE"""),4.2500198E7)</f>
        <v>42500198</v>
      </c>
      <c r="N1459" s="222" t="str">
        <f>IFERROR(__xludf.DUMMYFUNCTION("""COMPUTED_VALUE"""),"PT TIGA AKSES MANDIRI")</f>
        <v>PT TIGA AKSES MANDIRI</v>
      </c>
      <c r="O1459" s="222" t="str">
        <f>IFERROR(__xludf.DUMMYFUNCTION("""COMPUTED_VALUE"""),"2. DONE AANWIJZING")</f>
        <v>2. DONE AANWIJZING</v>
      </c>
      <c r="P1459" s="222" t="str">
        <f>IFERROR(__xludf.DUMMYFUNCTION("""COMPUTED_VALUE"""),"2.10 Kendala - Feeder Rusak")</f>
        <v>2.10 Kendala - Feeder Rusak</v>
      </c>
      <c r="Q1459" s="222" t="str">
        <f>IFERROR(__xludf.DUMMYFUNCTION("""COMPUTED_VALUE"""),"20/04 Pengambilan ulang hasil ukur OTDR 13/04 Survey ulang kebutuhan QE 08/04 Survey ulang kebutuhan qe 20/01 Drop kendala feeder (07/01) Persiapan")</f>
        <v>20/04 Pengambilan ulang hasil ukur OTDR 13/04 Survey ulang kebutuhan QE 08/04 Survey ulang kebutuhan qe 20/01 Drop kendala feeder (07/01) Persiapan</v>
      </c>
      <c r="R1459" s="228"/>
      <c r="S1459" s="11"/>
      <c r="T1459" s="11"/>
      <c r="U1459" s="11"/>
      <c r="V1459" s="229" t="str">
        <f>IFERROR(__xludf.DUMMYFUNCTION("""COMPUTED_VALUE"""),"FIRDAUS ZULKARNAIEN")</f>
        <v>FIRDAUS ZULKARNAIEN</v>
      </c>
      <c r="W1459" s="229" t="str">
        <f>IFERROR(__xludf.DUMMYFUNCTION("""COMPUTED_VALUE"""),"ANZALA SAKINAH")</f>
        <v>ANZALA SAKINAH</v>
      </c>
      <c r="X1459" s="229" t="str">
        <f>IFERROR(__xludf.DUMMYFUNCTION("""COMPUTED_VALUE"""),"BELUM GOLIVE")</f>
        <v>BELUM GOLIVE</v>
      </c>
      <c r="Y1459" s="229"/>
      <c r="Z1459" s="229" t="str">
        <f>IFERROR(__xludf.DUMMYFUNCTION("""COMPUTED_VALUE"""),"#N/A")</f>
        <v>#N/A</v>
      </c>
      <c r="AA1459" s="229"/>
      <c r="AB1459" s="229"/>
      <c r="AC1459" s="229"/>
      <c r="AD1459" s="232"/>
      <c r="AE1459" s="233"/>
      <c r="AF1459" s="54"/>
      <c r="AG1459" s="54"/>
      <c r="AH1459" s="54"/>
      <c r="AI1459" s="55" t="str">
        <f t="shared" si="147"/>
        <v/>
      </c>
      <c r="AW1459" s="234"/>
      <c r="BP1459" s="11"/>
      <c r="BQ1459" s="11"/>
      <c r="BR1459" s="235"/>
      <c r="BV1459" s="158"/>
      <c r="BY1459" s="158"/>
      <c r="CB1459" s="158"/>
    </row>
    <row r="1460" ht="18.0" customHeight="1">
      <c r="A1460" s="222">
        <f>IFERROR(__xludf.DUMMYFUNCTION("""COMPUTED_VALUE"""),2026.0)</f>
        <v>2026</v>
      </c>
      <c r="B1460" s="221">
        <f>IFERROR(__xludf.DUMMYFUNCTION("""COMPUTED_VALUE"""),1.158082E7)</f>
        <v>11580820</v>
      </c>
      <c r="C1460" s="222" t="str">
        <f>IFERROR(__xludf.DUMMYFUNCTION("""COMPUTED_VALUE"""),"RKP TSEL PT3 TPI-FJ JL. SULTAN SULAIMAN")</f>
        <v>RKP TSEL PT3 TPI-FJ JL. SULTAN SULAIMAN</v>
      </c>
      <c r="D1460" s="222" t="str">
        <f>IFERROR(__xludf.DUMMYFUNCTION("""COMPUTED_VALUE"""),"REGIONAL I")</f>
        <v>REGIONAL I</v>
      </c>
      <c r="E1460" s="222" t="str">
        <f>IFERROR(__xludf.DUMMYFUNCTION("""COMPUTED_VALUE"""),"RIKEP")</f>
        <v>RIKEP</v>
      </c>
      <c r="F1460" s="222" t="str">
        <f>IFERROR(__xludf.DUMMYFUNCTION("""COMPUTED_VALUE"""),"TPI")</f>
        <v>TPI</v>
      </c>
      <c r="G1460" s="222" t="str">
        <f>IFERROR(__xludf.DUMMYFUNCTION("""COMPUTED_VALUE"""),"SUMBAGTENG")</f>
        <v>SUMBAGTENG</v>
      </c>
      <c r="H1460" s="222" t="str">
        <f>IFERROR(__xludf.DUMMYFUNCTION("""COMPUTED_VALUE"""),"BATAM")</f>
        <v>BATAM</v>
      </c>
      <c r="I1460" s="222" t="str">
        <f>IFERROR(__xludf.DUMMYFUNCTION("""COMPUTED_VALUE"""),"Batch 2")</f>
        <v>Batch 2</v>
      </c>
      <c r="J1460" s="225">
        <f>IFERROR(__xludf.DUMMYFUNCTION("""COMPUTED_VALUE"""),4.0)</f>
        <v>4</v>
      </c>
      <c r="K1460" s="224">
        <f>IFERROR(__xludf.DUMMYFUNCTION("""COMPUTED_VALUE"""),32.0)</f>
        <v>32</v>
      </c>
      <c r="L1460" s="226">
        <f>IFERROR(__xludf.DUMMYFUNCTION("""COMPUTED_VALUE"""),663343.0)</f>
        <v>663343</v>
      </c>
      <c r="M1460" s="227">
        <f>IFERROR(__xludf.DUMMYFUNCTION("""COMPUTED_VALUE"""),2.1226949E7)</f>
        <v>21226949</v>
      </c>
      <c r="N1460" s="222" t="str">
        <f>IFERROR(__xludf.DUMMYFUNCTION("""COMPUTED_VALUE"""),"PT SALTTEK DUMPANG JAYA")</f>
        <v>PT SALTTEK DUMPANG JAYA</v>
      </c>
      <c r="O1460" s="222" t="str">
        <f>IFERROR(__xludf.DUMMYFUNCTION("""COMPUTED_VALUE"""),"2. DONE AANWIJZING")</f>
        <v>2. DONE AANWIJZING</v>
      </c>
      <c r="P1460" s="222" t="str">
        <f>IFERROR(__xludf.DUMMYFUNCTION("""COMPUTED_VALUE"""),"2.9 Kendala - Distribusi Penuh / Rusak")</f>
        <v>2.9 Kendala - Distribusi Penuh / Rusak</v>
      </c>
      <c r="Q1460" s="222" t="str">
        <f>IFERROR(__xludf.DUMMYFUNCTION("""COMPUTED_VALUE"""),"09/03 Core rusak putus pangkal. di ODP closure. 
04/03 Core dist rusak butuh eviden OTDR ulang.16/02 Kendala core dist rusak. 09/02 RT masih blm bisa di jumpai.04/01 RT belum bisa di jumpai, plan FU tgl 4 feb. 28/01 Proses perizinan HI  21/01 Proses anwij"&amp;"zing tanggal 22 Jan 2026")</f>
        <v>09/03 Core rusak putus pangkal. di ODP closure. 
04/03 Core dist rusak butuh eviden OTDR ulang.16/02 Kendala core dist rusak. 09/02 RT masih blm bisa di jumpai.04/01 RT belum bisa di jumpai, plan FU tgl 4 feb. 28/01 Proses perizinan HI  21/01 Proses anwijzing tanggal 22 Jan 2026</v>
      </c>
      <c r="R1460" s="228"/>
      <c r="S1460" s="11"/>
      <c r="T1460" s="11"/>
      <c r="U1460" s="11"/>
      <c r="V1460" s="229" t="str">
        <f>IFERROR(__xludf.DUMMYFUNCTION("""COMPUTED_VALUE"""),"DEDY IRAWAN")</f>
        <v>DEDY IRAWAN</v>
      </c>
      <c r="W1460" s="229" t="str">
        <f>IFERROR(__xludf.DUMMYFUNCTION("""COMPUTED_VALUE"""),"LEVITA INDRIYANI")</f>
        <v>LEVITA INDRIYANI</v>
      </c>
      <c r="X1460" s="229" t="str">
        <f>IFERROR(__xludf.DUMMYFUNCTION("""COMPUTED_VALUE"""),"BELUM GOLIVE")</f>
        <v>BELUM GOLIVE</v>
      </c>
      <c r="Y1460" s="229"/>
      <c r="Z1460" s="229" t="str">
        <f>IFERROR(__xludf.DUMMYFUNCTION("""COMPUTED_VALUE"""),"#N/A")</f>
        <v>#N/A</v>
      </c>
      <c r="AA1460" s="229"/>
      <c r="AB1460" s="229"/>
      <c r="AC1460" s="229"/>
      <c r="AD1460" s="232"/>
      <c r="AE1460" s="233"/>
      <c r="AF1460" s="54"/>
      <c r="AG1460" s="54"/>
      <c r="AH1460" s="54"/>
      <c r="AI1460" s="55" t="str">
        <f t="shared" si="147"/>
        <v/>
      </c>
      <c r="AW1460" s="234"/>
      <c r="BP1460" s="11"/>
      <c r="BQ1460" s="11"/>
      <c r="BR1460" s="235"/>
      <c r="BV1460" s="158"/>
      <c r="BY1460" s="158"/>
      <c r="CB1460" s="158"/>
    </row>
    <row r="1461" ht="18.0" hidden="1" customHeight="1">
      <c r="A1461" s="222">
        <f>IFERROR(__xludf.DUMMYFUNCTION("""COMPUTED_VALUE"""),2026.0)</f>
        <v>2026</v>
      </c>
      <c r="B1461" s="221">
        <f>IFERROR(__xludf.DUMMYFUNCTION("""COMPUTED_VALUE"""),1.1271922E7)</f>
        <v>11271922</v>
      </c>
      <c r="C1461" s="222" t="str">
        <f>IFERROR(__xludf.DUMMYFUNCTION("""COMPUTED_VALUE"""),"MDN PT3 P1I1 PDB-FN TJ. SELAMAT TAHAP II")</f>
        <v>MDN PT3 P1I1 PDB-FN TJ. SELAMAT TAHAP II</v>
      </c>
      <c r="D1461" s="222" t="str">
        <f>IFERROR(__xludf.DUMMYFUNCTION("""COMPUTED_VALUE"""),"REGIONAL I")</f>
        <v>REGIONAL I</v>
      </c>
      <c r="E1461" s="222" t="str">
        <f>IFERROR(__xludf.DUMMYFUNCTION("""COMPUTED_VALUE"""),"MEDAN")</f>
        <v>MEDAN</v>
      </c>
      <c r="F1461" s="222" t="str">
        <f>IFERROR(__xludf.DUMMYFUNCTION("""COMPUTED_VALUE"""),"PDB")</f>
        <v>PDB</v>
      </c>
      <c r="G1461" s="222" t="str">
        <f>IFERROR(__xludf.DUMMYFUNCTION("""COMPUTED_VALUE"""),"SUMBAGUT")</f>
        <v>SUMBAGUT</v>
      </c>
      <c r="H1461" s="222" t="str">
        <f>IFERROR(__xludf.DUMMYFUNCTION("""COMPUTED_VALUE"""),"MEDAN")</f>
        <v>MEDAN</v>
      </c>
      <c r="I1461" s="222" t="str">
        <f>IFERROR(__xludf.DUMMYFUNCTION("""COMPUTED_VALUE"""),"Batch 2")</f>
        <v>Batch 2</v>
      </c>
      <c r="J1461" s="225">
        <f>IFERROR(__xludf.DUMMYFUNCTION("""COMPUTED_VALUE"""),7.0)</f>
        <v>7</v>
      </c>
      <c r="K1461" s="224">
        <f>IFERROR(__xludf.DUMMYFUNCTION("""COMPUTED_VALUE"""),56.0)</f>
        <v>56</v>
      </c>
      <c r="L1461" s="226">
        <f>IFERROR(__xludf.DUMMYFUNCTION("""COMPUTED_VALUE"""),949641.0)</f>
        <v>949641</v>
      </c>
      <c r="M1461" s="227">
        <f>IFERROR(__xludf.DUMMYFUNCTION("""COMPUTED_VALUE"""),5.3179851E7)</f>
        <v>53179851</v>
      </c>
      <c r="N1461" s="222" t="str">
        <f>IFERROR(__xludf.DUMMYFUNCTION("""COMPUTED_VALUE"""),"PT GLOBAL KARYA WANDA")</f>
        <v>PT GLOBAL KARYA WANDA</v>
      </c>
      <c r="O1461" s="222" t="str">
        <f>IFERROR(__xludf.DUMMYFUNCTION("""COMPUTED_VALUE"""),"2. DONE AANWIJZING")</f>
        <v>2. DONE AANWIJZING</v>
      </c>
      <c r="P1461" s="222" t="str">
        <f>IFERROR(__xludf.DUMMYFUNCTION("""COMPUTED_VALUE"""),"2.10 Kendala - Feeder Rusak")</f>
        <v>2.10 Kendala - Feeder Rusak</v>
      </c>
      <c r="Q1461" s="222" t="str">
        <f>IFERROR(__xludf.DUMMYFUNCTION("""COMPUTED_VALUE"""),"27/02 Feeder Redti 26/02 done order")</f>
        <v>27/02 Feeder Redti 26/02 done order</v>
      </c>
      <c r="R1461" s="228"/>
      <c r="S1461" s="11"/>
      <c r="T1461" s="11"/>
      <c r="U1461" s="11"/>
      <c r="V1461" s="229"/>
      <c r="W1461" s="229"/>
      <c r="X1461" s="229" t="str">
        <f>IFERROR(__xludf.DUMMYFUNCTION("""COMPUTED_VALUE"""),"BELUM GOLIVE")</f>
        <v>BELUM GOLIVE</v>
      </c>
      <c r="Y1461" s="229"/>
      <c r="Z1461" s="229" t="str">
        <f>IFERROR(__xludf.DUMMYFUNCTION("""COMPUTED_VALUE"""),"#N/A")</f>
        <v>#N/A</v>
      </c>
      <c r="AA1461" s="229"/>
      <c r="AB1461" s="229"/>
      <c r="AC1461" s="229"/>
      <c r="AD1461" s="232"/>
      <c r="AE1461" s="233"/>
      <c r="AF1461" s="54"/>
      <c r="AG1461" s="54"/>
      <c r="AH1461" s="54"/>
      <c r="AI1461" s="55" t="str">
        <f t="shared" si="147"/>
        <v/>
      </c>
      <c r="AW1461" s="234"/>
      <c r="BP1461" s="11"/>
      <c r="BQ1461" s="11"/>
      <c r="BR1461" s="235"/>
      <c r="BV1461" s="158"/>
      <c r="BY1461" s="158"/>
      <c r="CB1461" s="158"/>
    </row>
    <row r="1462" ht="18.0" hidden="1" customHeight="1">
      <c r="A1462" s="222">
        <f>IFERROR(__xludf.DUMMYFUNCTION("""COMPUTED_VALUE"""),2026.0)</f>
        <v>2026</v>
      </c>
      <c r="B1462" s="221">
        <f>IFERROR(__xludf.DUMMYFUNCTION("""COMPUTED_VALUE"""),1.121944E7)</f>
        <v>11219440</v>
      </c>
      <c r="C1462" s="222" t="str">
        <f>IFERROR(__xludf.DUMMYFUNCTION("""COMPUTED_VALUE"""),"MDN PT3 P7I12 SPM-FCH JL.KEDONDONG")</f>
        <v>MDN PT3 P7I12 SPM-FCH JL.KEDONDONG</v>
      </c>
      <c r="D1462" s="222" t="str">
        <f>IFERROR(__xludf.DUMMYFUNCTION("""COMPUTED_VALUE"""),"REGIONAL I")</f>
        <v>REGIONAL I</v>
      </c>
      <c r="E1462" s="222" t="str">
        <f>IFERROR(__xludf.DUMMYFUNCTION("""COMPUTED_VALUE"""),"MEDAN")</f>
        <v>MEDAN</v>
      </c>
      <c r="F1462" s="222" t="str">
        <f>IFERROR(__xludf.DUMMYFUNCTION("""COMPUTED_VALUE"""),"SPM")</f>
        <v>SPM</v>
      </c>
      <c r="G1462" s="222" t="str">
        <f>IFERROR(__xludf.DUMMYFUNCTION("""COMPUTED_VALUE"""),"SUMBAGUT")</f>
        <v>SUMBAGUT</v>
      </c>
      <c r="H1462" s="222" t="str">
        <f>IFERROR(__xludf.DUMMYFUNCTION("""COMPUTED_VALUE"""),"MEDAN")</f>
        <v>MEDAN</v>
      </c>
      <c r="I1462" s="222" t="str">
        <f>IFERROR(__xludf.DUMMYFUNCTION("""COMPUTED_VALUE"""),"Batch 2")</f>
        <v>Batch 2</v>
      </c>
      <c r="J1462" s="225">
        <f>IFERROR(__xludf.DUMMYFUNCTION("""COMPUTED_VALUE"""),3.0)</f>
        <v>3</v>
      </c>
      <c r="K1462" s="224">
        <f>IFERROR(__xludf.DUMMYFUNCTION("""COMPUTED_VALUE"""),24.0)</f>
        <v>24</v>
      </c>
      <c r="L1462" s="226">
        <f>IFERROR(__xludf.DUMMYFUNCTION("""COMPUTED_VALUE"""),964142.0)</f>
        <v>964142</v>
      </c>
      <c r="M1462" s="227">
        <f>IFERROR(__xludf.DUMMYFUNCTION("""COMPUTED_VALUE"""),2.3139398E7)</f>
        <v>23139398</v>
      </c>
      <c r="N1462" s="222" t="str">
        <f>IFERROR(__xludf.DUMMYFUNCTION("""COMPUTED_VALUE"""),"PT UPENTEL INTERNASIONAL")</f>
        <v>PT UPENTEL INTERNASIONAL</v>
      </c>
      <c r="O1462" s="222" t="str">
        <f>IFERROR(__xludf.DUMMYFUNCTION("""COMPUTED_VALUE"""),"2. DONE AANWIJZING")</f>
        <v>2. DONE AANWIJZING</v>
      </c>
      <c r="P1462" s="222" t="str">
        <f>IFERROR(__xludf.DUMMYFUNCTION("""COMPUTED_VALUE"""),"2.9 Kendala - Distribusi Penuh / Rusak")</f>
        <v>2.9 Kendala - Distribusi Penuh / Rusak</v>
      </c>
      <c r="Q1462" s="222" t="str">
        <f>IFERROR(__xludf.DUMMYFUNCTION("""COMPUTED_VALUE"""),"05/11 Distribusi Habis
(24/09) Perizinan Warga dan Kades / Lurah
(23/09) Perizinan Warga dan Kades / Lurah
15/09 proses aanwijzing")</f>
        <v>05/11 Distribusi Habis
(24/09) Perizinan Warga dan Kades / Lurah
(23/09) Perizinan Warga dan Kades / Lurah
15/09 proses aanwijzing</v>
      </c>
      <c r="R1462" s="228"/>
      <c r="S1462" s="11"/>
      <c r="T1462" s="11"/>
      <c r="U1462" s="11"/>
      <c r="V1462" s="229"/>
      <c r="W1462" s="229"/>
      <c r="X1462" s="229" t="str">
        <f>IFERROR(__xludf.DUMMYFUNCTION("""COMPUTED_VALUE"""),"BELUM GOLIVE")</f>
        <v>BELUM GOLIVE</v>
      </c>
      <c r="Y1462" s="229"/>
      <c r="Z1462" s="229" t="str">
        <f>IFERROR(__xludf.DUMMYFUNCTION("""COMPUTED_VALUE"""),"#N/A")</f>
        <v>#N/A</v>
      </c>
      <c r="AA1462" s="229"/>
      <c r="AB1462" s="229"/>
      <c r="AC1462" s="229"/>
      <c r="AD1462" s="232"/>
      <c r="AE1462" s="233"/>
      <c r="AF1462" s="54"/>
      <c r="AG1462" s="54"/>
      <c r="AH1462" s="54"/>
      <c r="AI1462" s="55" t="str">
        <f t="shared" si="147"/>
        <v/>
      </c>
      <c r="AW1462" s="234"/>
      <c r="BP1462" s="11"/>
      <c r="BQ1462" s="11"/>
      <c r="BR1462" s="235"/>
      <c r="BV1462" s="158"/>
      <c r="BY1462" s="158"/>
      <c r="CB1462" s="158"/>
    </row>
    <row r="1463" ht="18.0" customHeight="1">
      <c r="A1463" s="222">
        <f>IFERROR(__xludf.DUMMYFUNCTION("""COMPUTED_VALUE"""),2026.0)</f>
        <v>2026</v>
      </c>
      <c r="B1463" s="221">
        <f>IFERROR(__xludf.DUMMYFUNCTION("""COMPUTED_VALUE"""),1.1297685E7)</f>
        <v>11297685</v>
      </c>
      <c r="C1463" s="222" t="str">
        <f>IFERROR(__xludf.DUMMYFUNCTION("""COMPUTED_VALUE"""),"RKP PT3 TSEL SLU-FBM KAV. BARU")</f>
        <v>RKP PT3 TSEL SLU-FBM KAV. BARU</v>
      </c>
      <c r="D1463" s="222" t="str">
        <f>IFERROR(__xludf.DUMMYFUNCTION("""COMPUTED_VALUE"""),"REGIONAL I")</f>
        <v>REGIONAL I</v>
      </c>
      <c r="E1463" s="222" t="str">
        <f>IFERROR(__xludf.DUMMYFUNCTION("""COMPUTED_VALUE"""),"RIKEP")</f>
        <v>RIKEP</v>
      </c>
      <c r="F1463" s="222" t="str">
        <f>IFERROR(__xludf.DUMMYFUNCTION("""COMPUTED_VALUE"""),"SLU")</f>
        <v>SLU</v>
      </c>
      <c r="G1463" s="222" t="str">
        <f>IFERROR(__xludf.DUMMYFUNCTION("""COMPUTED_VALUE"""),"SUMBAGTENG")</f>
        <v>SUMBAGTENG</v>
      </c>
      <c r="H1463" s="222" t="str">
        <f>IFERROR(__xludf.DUMMYFUNCTION("""COMPUTED_VALUE"""),"BATAM")</f>
        <v>BATAM</v>
      </c>
      <c r="I1463" s="222" t="str">
        <f>IFERROR(__xludf.DUMMYFUNCTION("""COMPUTED_VALUE"""),"Batch 2")</f>
        <v>Batch 2</v>
      </c>
      <c r="J1463" s="225">
        <f>IFERROR(__xludf.DUMMYFUNCTION("""COMPUTED_VALUE"""),3.0)</f>
        <v>3</v>
      </c>
      <c r="K1463" s="224">
        <f>IFERROR(__xludf.DUMMYFUNCTION("""COMPUTED_VALUE"""),24.0)</f>
        <v>24</v>
      </c>
      <c r="L1463" s="226">
        <f>IFERROR(__xludf.DUMMYFUNCTION("""COMPUTED_VALUE"""),663308.0)</f>
        <v>663308</v>
      </c>
      <c r="M1463" s="227">
        <f>IFERROR(__xludf.DUMMYFUNCTION("""COMPUTED_VALUE"""),1.5919372E7)</f>
        <v>15919372</v>
      </c>
      <c r="N1463" s="222" t="str">
        <f>IFERROR(__xludf.DUMMYFUNCTION("""COMPUTED_VALUE"""),"PT MITRA HOSINDO SEJAHTERA")</f>
        <v>PT MITRA HOSINDO SEJAHTERA</v>
      </c>
      <c r="O1463" s="222" t="str">
        <f>IFERROR(__xludf.DUMMYFUNCTION("""COMPUTED_VALUE"""),"0. DROP")</f>
        <v>0. DROP</v>
      </c>
      <c r="P1463" s="222" t="str">
        <f>IFERROR(__xludf.DUMMYFUNCTION("""COMPUTED_VALUE"""),"0.1 Double Order")</f>
        <v>0.1 Double Order</v>
      </c>
      <c r="Q1463" s="222" t="str">
        <f>IFERROR(__xludf.DUMMYFUNCTION("""COMPUTED_VALUE"""),"03/03 Duplicate order dengan LOP SLU-FBM SEI LANGKAI 26/01 LOP sudah pernah di bangun sejalur dengan MD tahun lalu dengan nama LOP SLU-FBM SEI LANGKAI. 21/01 Plan survey tanggal 27 jan")</f>
        <v>03/03 Duplicate order dengan LOP SLU-FBM SEI LANGKAI 26/01 LOP sudah pernah di bangun sejalur dengan MD tahun lalu dengan nama LOP SLU-FBM SEI LANGKAI. 21/01 Plan survey tanggal 27 jan</v>
      </c>
      <c r="R1463" s="228"/>
      <c r="S1463" s="11"/>
      <c r="T1463" s="11"/>
      <c r="U1463" s="11"/>
      <c r="V1463" s="229" t="str">
        <f>IFERROR(__xludf.DUMMYFUNCTION("""COMPUTED_VALUE"""),"MUHAMMAD RIDHO FALFO")</f>
        <v>MUHAMMAD RIDHO FALFO</v>
      </c>
      <c r="W1463" s="229" t="str">
        <f>IFERROR(__xludf.DUMMYFUNCTION("""COMPUTED_VALUE"""),"LEVITA INDRIYANI")</f>
        <v>LEVITA INDRIYANI</v>
      </c>
      <c r="X1463" s="229" t="str">
        <f>IFERROR(__xludf.DUMMYFUNCTION("""COMPUTED_VALUE"""),"BELUM GOLIVE")</f>
        <v>BELUM GOLIVE</v>
      </c>
      <c r="Y1463" s="229"/>
      <c r="Z1463" s="229" t="str">
        <f>IFERROR(__xludf.DUMMYFUNCTION("""COMPUTED_VALUE"""),"#N/A")</f>
        <v>#N/A</v>
      </c>
      <c r="AA1463" s="229"/>
      <c r="AB1463" s="229"/>
      <c r="AC1463" s="229"/>
      <c r="AD1463" s="232"/>
      <c r="AE1463" s="233"/>
      <c r="AF1463" s="54" t="str">
        <f>IFERROR(__xludf.DUMMYFUNCTION("""COMPUTED_VALUE"""),"Draft BA DROP")</f>
        <v>Draft BA DROP</v>
      </c>
      <c r="AG1463" s="54"/>
      <c r="AH1463" s="54"/>
      <c r="AI1463" s="55" t="str">
        <f t="shared" si="147"/>
        <v/>
      </c>
      <c r="AW1463" s="234"/>
      <c r="BP1463" s="11"/>
      <c r="BQ1463" s="11"/>
      <c r="BR1463" s="235"/>
      <c r="BV1463" s="158"/>
      <c r="BY1463" s="158"/>
      <c r="CB1463" s="158"/>
    </row>
    <row r="1464" ht="18.0" hidden="1" customHeight="1">
      <c r="A1464" s="222">
        <f>IFERROR(__xludf.DUMMYFUNCTION("""COMPUTED_VALUE"""),2026.0)</f>
        <v>2026</v>
      </c>
      <c r="B1464" s="221">
        <f>IFERROR(__xludf.DUMMYFUNCTION("""COMPUTED_VALUE"""),1.1174055E7)</f>
        <v>11174055</v>
      </c>
      <c r="C1464" s="222" t="str">
        <f>IFERROR(__xludf.DUMMYFUNCTION("""COMPUTED_VALUE"""),"MDN PT3 P7I6 TMU-FA JL.BAMBU")</f>
        <v>MDN PT3 P7I6 TMU-FA JL.BAMBU</v>
      </c>
      <c r="D1464" s="222" t="str">
        <f>IFERROR(__xludf.DUMMYFUNCTION("""COMPUTED_VALUE"""),"REGIONAL I")</f>
        <v>REGIONAL I</v>
      </c>
      <c r="E1464" s="222" t="str">
        <f>IFERROR(__xludf.DUMMYFUNCTION("""COMPUTED_VALUE"""),"MEDAN")</f>
        <v>MEDAN</v>
      </c>
      <c r="F1464" s="222" t="str">
        <f>IFERROR(__xludf.DUMMYFUNCTION("""COMPUTED_VALUE"""),"TMU")</f>
        <v>TMU</v>
      </c>
      <c r="G1464" s="222" t="str">
        <f>IFERROR(__xludf.DUMMYFUNCTION("""COMPUTED_VALUE"""),"SUMBAGUT")</f>
        <v>SUMBAGUT</v>
      </c>
      <c r="H1464" s="222" t="str">
        <f>IFERROR(__xludf.DUMMYFUNCTION("""COMPUTED_VALUE"""),"MEDAN")</f>
        <v>MEDAN</v>
      </c>
      <c r="I1464" s="222" t="str">
        <f>IFERROR(__xludf.DUMMYFUNCTION("""COMPUTED_VALUE"""),"Batch 2")</f>
        <v>Batch 2</v>
      </c>
      <c r="J1464" s="225">
        <f>IFERROR(__xludf.DUMMYFUNCTION("""COMPUTED_VALUE"""),4.0)</f>
        <v>4</v>
      </c>
      <c r="K1464" s="224">
        <f>IFERROR(__xludf.DUMMYFUNCTION("""COMPUTED_VALUE"""),32.0)</f>
        <v>32</v>
      </c>
      <c r="L1464" s="226">
        <f>IFERROR(__xludf.DUMMYFUNCTION("""COMPUTED_VALUE"""),663258.0)</f>
        <v>663258</v>
      </c>
      <c r="M1464" s="227">
        <f>IFERROR(__xludf.DUMMYFUNCTION("""COMPUTED_VALUE"""),2.1224226E7)</f>
        <v>21224226</v>
      </c>
      <c r="N1464" s="222" t="str">
        <f>IFERROR(__xludf.DUMMYFUNCTION("""COMPUTED_VALUE"""),"PT GLOBAL KARYA WANDA")</f>
        <v>PT GLOBAL KARYA WANDA</v>
      </c>
      <c r="O1464" s="222" t="str">
        <f>IFERROR(__xludf.DUMMYFUNCTION("""COMPUTED_VALUE"""),"0. DROP")</f>
        <v>0. DROP</v>
      </c>
      <c r="P1464" s="222" t="str">
        <f>IFERROR(__xludf.DUMMYFUNCTION("""COMPUTED_VALUE"""),"0.1 Double Order")</f>
        <v>0.1 Double Order</v>
      </c>
      <c r="Q1464" s="222" t="str">
        <f>IFERROR(__xludf.DUMMYFUNCTION("""COMPUTED_VALUE"""),"11/03 Double uda GL 2025 10/03 redesign  alih rute karna tidak ada izin 08/03 alih mitra 27/02 done order")</f>
        <v>11/03 Double uda GL 2025 10/03 redesign  alih rute karna tidak ada izin 08/03 alih mitra 27/02 done order</v>
      </c>
      <c r="R1464" s="228"/>
      <c r="S1464" s="11"/>
      <c r="T1464" s="11"/>
      <c r="U1464" s="11"/>
      <c r="V1464" s="229"/>
      <c r="W1464" s="229"/>
      <c r="X1464" s="229" t="str">
        <f>IFERROR(__xludf.DUMMYFUNCTION("""COMPUTED_VALUE"""),"BELUM GOLIVE")</f>
        <v>BELUM GOLIVE</v>
      </c>
      <c r="Y1464" s="229"/>
      <c r="Z1464" s="229" t="str">
        <f>IFERROR(__xludf.DUMMYFUNCTION("""COMPUTED_VALUE"""),"#N/A")</f>
        <v>#N/A</v>
      </c>
      <c r="AA1464" s="229"/>
      <c r="AB1464" s="229"/>
      <c r="AC1464" s="229"/>
      <c r="AD1464" s="232"/>
      <c r="AE1464" s="233"/>
      <c r="AF1464" s="54"/>
      <c r="AG1464" s="54"/>
      <c r="AH1464" s="54"/>
      <c r="AI1464" s="55" t="str">
        <f t="shared" si="147"/>
        <v/>
      </c>
      <c r="AW1464" s="234"/>
      <c r="BP1464" s="11"/>
      <c r="BQ1464" s="11"/>
      <c r="BR1464" s="235"/>
      <c r="BV1464" s="158"/>
      <c r="BY1464" s="158"/>
      <c r="CB1464" s="158"/>
    </row>
    <row r="1465" ht="18.0" customHeight="1">
      <c r="A1465" s="222">
        <f>IFERROR(__xludf.DUMMYFUNCTION("""COMPUTED_VALUE"""),2026.0)</f>
        <v>2026</v>
      </c>
      <c r="B1465" s="221">
        <f>IFERROR(__xludf.DUMMYFUNCTION("""COMPUTED_VALUE"""),1.1391964E7)</f>
        <v>11391964</v>
      </c>
      <c r="C1465" s="222" t="str">
        <f>IFERROR(__xludf.DUMMYFUNCTION("""COMPUTED_VALUE"""),"SMB MD KOTA PADANG_11888")</f>
        <v>SMB MD KOTA PADANG_11888</v>
      </c>
      <c r="D1465" s="222" t="str">
        <f>IFERROR(__xludf.DUMMYFUNCTION("""COMPUTED_VALUE"""),"REGIONAL I")</f>
        <v>REGIONAL I</v>
      </c>
      <c r="E1465" s="222" t="str">
        <f>IFERROR(__xludf.DUMMYFUNCTION("""COMPUTED_VALUE"""),"SUMBAR")</f>
        <v>SUMBAR</v>
      </c>
      <c r="F1465" s="222" t="str">
        <f>IFERROR(__xludf.DUMMYFUNCTION("""COMPUTED_VALUE"""),"KJI")</f>
        <v>KJI</v>
      </c>
      <c r="G1465" s="222" t="str">
        <f>IFERROR(__xludf.DUMMYFUNCTION("""COMPUTED_VALUE"""),"SUMBAGTENG")</f>
        <v>SUMBAGTENG</v>
      </c>
      <c r="H1465" s="222" t="str">
        <f>IFERROR(__xludf.DUMMYFUNCTION("""COMPUTED_VALUE"""),"PADANG")</f>
        <v>PADANG</v>
      </c>
      <c r="I1465" s="222" t="str">
        <f>IFERROR(__xludf.DUMMYFUNCTION("""COMPUTED_VALUE"""),"Batch 2")</f>
        <v>Batch 2</v>
      </c>
      <c r="J1465" s="225">
        <f>IFERROR(__xludf.DUMMYFUNCTION("""COMPUTED_VALUE"""),5.0)</f>
        <v>5</v>
      </c>
      <c r="K1465" s="224">
        <f>IFERROR(__xludf.DUMMYFUNCTION("""COMPUTED_VALUE"""),40.0)</f>
        <v>40</v>
      </c>
      <c r="L1465" s="226">
        <f>IFERROR(__xludf.DUMMYFUNCTION("""COMPUTED_VALUE"""),659183.0)</f>
        <v>659183</v>
      </c>
      <c r="M1465" s="227">
        <f>IFERROR(__xludf.DUMMYFUNCTION("""COMPUTED_VALUE"""),2.6367299E7)</f>
        <v>26367299</v>
      </c>
      <c r="N1465" s="222" t="str">
        <f>IFERROR(__xludf.DUMMYFUNCTION("""COMPUTED_VALUE"""),"PT TRI PENAMAS")</f>
        <v>PT TRI PENAMAS</v>
      </c>
      <c r="O1465" s="222" t="str">
        <f>IFERROR(__xludf.DUMMYFUNCTION("""COMPUTED_VALUE"""),"0. DROP")</f>
        <v>0. DROP</v>
      </c>
      <c r="P1465" s="222" t="str">
        <f>IFERROR(__xludf.DUMMYFUNCTION("""COMPUTED_VALUE"""),"0.3 Feeder Full")</f>
        <v>0.3 Feeder Full</v>
      </c>
      <c r="Q1465" s="222" t="str">
        <f>IFERROR(__xludf.DUMMYFUNCTION("""COMPUTED_VALUE"""),"(26/01) .  KENDALA FEEDER KJI-FB FULL")</f>
        <v>(26/01) .  KENDALA FEEDER KJI-FB FULL</v>
      </c>
      <c r="R1465" s="228"/>
      <c r="S1465" s="11"/>
      <c r="T1465" s="11"/>
      <c r="U1465" s="11"/>
      <c r="V1465" s="229"/>
      <c r="W1465" s="229"/>
      <c r="X1465" s="229" t="str">
        <f>IFERROR(__xludf.DUMMYFUNCTION("""COMPUTED_VALUE"""),"BELUM GOLIVE")</f>
        <v>BELUM GOLIVE</v>
      </c>
      <c r="Y1465" s="229"/>
      <c r="Z1465" s="229" t="str">
        <f>IFERROR(__xludf.DUMMYFUNCTION("""COMPUTED_VALUE"""),"#N/A")</f>
        <v>#N/A</v>
      </c>
      <c r="AA1465" s="229"/>
      <c r="AB1465" s="229"/>
      <c r="AC1465" s="229"/>
      <c r="AD1465" s="232"/>
      <c r="AE1465" s="233"/>
      <c r="AF1465" s="54" t="str">
        <f>IFERROR(__xludf.DUMMYFUNCTION("""COMPUTED_VALUE"""),"Draft BA DROP")</f>
        <v>Draft BA DROP</v>
      </c>
      <c r="AG1465" s="54"/>
      <c r="AH1465" s="54"/>
      <c r="AI1465" s="55" t="str">
        <f t="shared" si="147"/>
        <v/>
      </c>
      <c r="AW1465" s="234"/>
      <c r="BP1465" s="11"/>
      <c r="BQ1465" s="11"/>
      <c r="BR1465" s="235"/>
      <c r="BV1465" s="158"/>
      <c r="BY1465" s="158"/>
      <c r="CB1465" s="158"/>
    </row>
    <row r="1466" ht="18.0" hidden="1" customHeight="1">
      <c r="A1466" s="222">
        <f>IFERROR(__xludf.DUMMYFUNCTION("""COMPUTED_VALUE"""),2026.0)</f>
        <v>2026</v>
      </c>
      <c r="B1466" s="221">
        <f>IFERROR(__xludf.DUMMYFUNCTION("""COMPUTED_VALUE"""),1.2092066E7)</f>
        <v>12092066</v>
      </c>
      <c r="C1466" s="222" t="str">
        <f>IFERROR(__xludf.DUMMYFUNCTION("""COMPUTED_VALUE"""),"SMS P4I2 PT3 SBU FBF D07 KOTA PLG 108819")</f>
        <v>SMS P4I2 PT3 SBU FBF D07 KOTA PLG 108819</v>
      </c>
      <c r="D1466" s="222" t="str">
        <f>IFERROR(__xludf.DUMMYFUNCTION("""COMPUTED_VALUE"""),"REGIONAL I")</f>
        <v>REGIONAL I</v>
      </c>
      <c r="E1466" s="222" t="str">
        <f>IFERROR(__xludf.DUMMYFUNCTION("""COMPUTED_VALUE"""),"SUMSEL")</f>
        <v>SUMSEL</v>
      </c>
      <c r="F1466" s="222" t="str">
        <f>IFERROR(__xludf.DUMMYFUNCTION("""COMPUTED_VALUE"""),"SBU")</f>
        <v>SBU</v>
      </c>
      <c r="G1466" s="222" t="str">
        <f>IFERROR(__xludf.DUMMYFUNCTION("""COMPUTED_VALUE"""),"SUMBAGSEL")</f>
        <v>SUMBAGSEL</v>
      </c>
      <c r="H1466" s="222" t="str">
        <f>IFERROR(__xludf.DUMMYFUNCTION("""COMPUTED_VALUE"""),"PALEMBANG")</f>
        <v>PALEMBANG</v>
      </c>
      <c r="I1466" s="222" t="str">
        <f>IFERROR(__xludf.DUMMYFUNCTION("""COMPUTED_VALUE"""),"Batch 2")</f>
        <v>Batch 2</v>
      </c>
      <c r="J1466" s="225">
        <f>IFERROR(__xludf.DUMMYFUNCTION("""COMPUTED_VALUE"""),5.0)</f>
        <v>5</v>
      </c>
      <c r="K1466" s="224">
        <f>IFERROR(__xludf.DUMMYFUNCTION("""COMPUTED_VALUE"""),112.0)</f>
        <v>112</v>
      </c>
      <c r="L1466" s="226">
        <f>IFERROR(__xludf.DUMMYFUNCTION("""COMPUTED_VALUE"""),659029.0)</f>
        <v>659029</v>
      </c>
      <c r="M1466" s="227">
        <f>IFERROR(__xludf.DUMMYFUNCTION("""COMPUTED_VALUE"""),7.3811174E7)</f>
        <v>73811174</v>
      </c>
      <c r="N1466" s="222" t="str">
        <f>IFERROR(__xludf.DUMMYFUNCTION("""COMPUTED_VALUE"""),"PT ACERO CETHA METALINDO")</f>
        <v>PT ACERO CETHA METALINDO</v>
      </c>
      <c r="O1466" s="222" t="str">
        <f>IFERROR(__xludf.DUMMYFUNCTION("""COMPUTED_VALUE"""),"0. DROP")</f>
        <v>0. DROP</v>
      </c>
      <c r="P1466" s="222" t="str">
        <f>IFERROR(__xludf.DUMMYFUNCTION("""COMPUTED_VALUE"""),"0.4 CPP Tinggi Acc ED TIF")</f>
        <v>0.4 CPP Tinggi Acc ED TIF</v>
      </c>
      <c r="Q1466" s="222" t="str">
        <f>IFERROR(__xludf.DUMMYFUNCTION("""COMPUTED_VALUE"""),"23/02 DROP STUB CORE FEEDER HABIS DAN AREA HIGH COMCASE, 06/02 HASIL REVIEW TSEL DROP STUB FEEDER ODC HABIS,27/01 DROP, karena area high comcase dan stub core feeder habis, 07/01 DROP kendala feeder habis 22/01 DROP (21/01) HI proses aanwizjing kelokasi, "&amp;"18/11 feeder reti, (14/11)HOLD- tidak masuk target Optimis 2025 (5/11 menunggu jadwal aanwidzjing 23/10 penunjukan mitra")</f>
        <v>23/02 DROP STUB CORE FEEDER HABIS DAN AREA HIGH COMCASE, 06/02 HASIL REVIEW TSEL DROP STUB FEEDER ODC HABIS,27/01 DROP, karena area high comcase dan stub core feeder habis, 07/01 DROP kendala feeder habis 22/01 DROP (21/01) HI proses aanwizjing kelokasi, 18/11 feeder reti, (14/11)HOLD- tidak masuk target Optimis 2025 (5/11 menunggu jadwal aanwidzjing 23/10 penunjukan mitra</v>
      </c>
      <c r="R1466" s="228"/>
      <c r="S1466" s="11"/>
      <c r="T1466" s="11"/>
      <c r="U1466" s="11"/>
      <c r="V1466" s="229" t="str">
        <f>IFERROR(__xludf.DUMMYFUNCTION("""COMPUTED_VALUE"""),"PRIGUS")</f>
        <v>PRIGUS</v>
      </c>
      <c r="W1466" s="229"/>
      <c r="X1466" s="229" t="str">
        <f>IFERROR(__xludf.DUMMYFUNCTION("""COMPUTED_VALUE"""),"BELUM GOLIVE")</f>
        <v>BELUM GOLIVE</v>
      </c>
      <c r="Y1466" s="229"/>
      <c r="Z1466" s="229" t="str">
        <f>IFERROR(__xludf.DUMMYFUNCTION("""COMPUTED_VALUE"""),"#N/A")</f>
        <v>#N/A</v>
      </c>
      <c r="AA1466" s="229"/>
      <c r="AB1466" s="229"/>
      <c r="AC1466" s="229"/>
      <c r="AD1466" s="232"/>
      <c r="AE1466" s="233"/>
      <c r="AF1466" s="54" t="str">
        <f>IFERROR(__xludf.DUMMYFUNCTION("""COMPUTED_VALUE"""),"Draft BA DROP")</f>
        <v>Draft BA DROP</v>
      </c>
      <c r="AG1466" s="54"/>
      <c r="AH1466" s="54"/>
      <c r="AI1466" s="55" t="str">
        <f t="shared" si="147"/>
        <v/>
      </c>
      <c r="AW1466" s="234"/>
      <c r="BP1466" s="11"/>
      <c r="BQ1466" s="11"/>
      <c r="BR1466" s="235"/>
      <c r="BV1466" s="158"/>
      <c r="BY1466" s="158"/>
      <c r="CB1466" s="158"/>
    </row>
    <row r="1467" ht="18.0" hidden="1" customHeight="1">
      <c r="A1467" s="222">
        <f>IFERROR(__xludf.DUMMYFUNCTION("""COMPUTED_VALUE"""),2026.0)</f>
        <v>2026</v>
      </c>
      <c r="B1467" s="221">
        <f>IFERROR(__xludf.DUMMYFUNCTION("""COMPUTED_VALUE"""),1.1899953E7)</f>
        <v>11899953</v>
      </c>
      <c r="C1467" s="222" t="str">
        <f>IFERROR(__xludf.DUMMYFUNCTION("""COMPUTED_VALUE"""),"MDN PT3 SKI-FBL DELI SERDANG_150828")</f>
        <v>MDN PT3 SKI-FBL DELI SERDANG_150828</v>
      </c>
      <c r="D1467" s="222" t="str">
        <f>IFERROR(__xludf.DUMMYFUNCTION("""COMPUTED_VALUE"""),"REGIONAL I")</f>
        <v>REGIONAL I</v>
      </c>
      <c r="E1467" s="222" t="str">
        <f>IFERROR(__xludf.DUMMYFUNCTION("""COMPUTED_VALUE"""),"MEDAN")</f>
        <v>MEDAN</v>
      </c>
      <c r="F1467" s="222" t="str">
        <f>IFERROR(__xludf.DUMMYFUNCTION("""COMPUTED_VALUE"""),"SKI")</f>
        <v>SKI</v>
      </c>
      <c r="G1467" s="222" t="str">
        <f>IFERROR(__xludf.DUMMYFUNCTION("""COMPUTED_VALUE"""),"SUMBAGUT")</f>
        <v>SUMBAGUT</v>
      </c>
      <c r="H1467" s="222" t="str">
        <f>IFERROR(__xludf.DUMMYFUNCTION("""COMPUTED_VALUE"""),"MEDAN")</f>
        <v>MEDAN</v>
      </c>
      <c r="I1467" s="222" t="str">
        <f>IFERROR(__xludf.DUMMYFUNCTION("""COMPUTED_VALUE"""),"Batch 2")</f>
        <v>Batch 2</v>
      </c>
      <c r="J1467" s="225">
        <f>IFERROR(__xludf.DUMMYFUNCTION("""COMPUTED_VALUE"""),3.0)</f>
        <v>3</v>
      </c>
      <c r="K1467" s="224">
        <f>IFERROR(__xludf.DUMMYFUNCTION("""COMPUTED_VALUE"""),24.0)</f>
        <v>24</v>
      </c>
      <c r="L1467" s="226">
        <f>IFERROR(__xludf.DUMMYFUNCTION("""COMPUTED_VALUE"""),657246.0)</f>
        <v>657246</v>
      </c>
      <c r="M1467" s="227">
        <f>IFERROR(__xludf.DUMMYFUNCTION("""COMPUTED_VALUE"""),1.5773886E7)</f>
        <v>15773886</v>
      </c>
      <c r="N1467" s="222" t="str">
        <f>IFERROR(__xludf.DUMMYFUNCTION("""COMPUTED_VALUE"""),"PT UPENTEL INTERNASIONAL")</f>
        <v>PT UPENTEL INTERNASIONAL</v>
      </c>
      <c r="O1467" s="222" t="str">
        <f>IFERROR(__xludf.DUMMYFUNCTION("""COMPUTED_VALUE"""),"2. DONE AANWIJZING")</f>
        <v>2. DONE AANWIJZING</v>
      </c>
      <c r="P1467" s="222" t="str">
        <f>IFERROR(__xludf.DUMMYFUNCTION("""COMPUTED_VALUE"""),"2.10 Kendala - Feeder Rusak")</f>
        <v>2.10 Kendala - Feeder Rusak</v>
      </c>
      <c r="Q1467" s="222" t="str">
        <f>IFERROR(__xludf.DUMMYFUNCTION("""COMPUTED_VALUE"""),"21/04 pengecekan tipus / butuh qe
26/02 Feeder Tidak Tembus 18/02 Komitmen 23/02")</f>
        <v>21/04 pengecekan tipus / butuh qe
26/02 Feeder Tidak Tembus 18/02 Komitmen 23/02</v>
      </c>
      <c r="R1467" s="228"/>
      <c r="S1467" s="11"/>
      <c r="T1467" s="11"/>
      <c r="U1467" s="11"/>
      <c r="V1467" s="229"/>
      <c r="W1467" s="229"/>
      <c r="X1467" s="229" t="str">
        <f>IFERROR(__xludf.DUMMYFUNCTION("""COMPUTED_VALUE"""),"BELUM GOLIVE")</f>
        <v>BELUM GOLIVE</v>
      </c>
      <c r="Y1467" s="229"/>
      <c r="Z1467" s="229" t="str">
        <f>IFERROR(__xludf.DUMMYFUNCTION("""COMPUTED_VALUE"""),"#N/A")</f>
        <v>#N/A</v>
      </c>
      <c r="AA1467" s="229"/>
      <c r="AB1467" s="229"/>
      <c r="AC1467" s="229"/>
      <c r="AD1467" s="232"/>
      <c r="AE1467" s="233"/>
      <c r="AF1467" s="54"/>
      <c r="AG1467" s="54"/>
      <c r="AH1467" s="54"/>
      <c r="AI1467" s="55" t="str">
        <f t="shared" si="147"/>
        <v/>
      </c>
      <c r="AW1467" s="234"/>
      <c r="BP1467" s="11"/>
      <c r="BQ1467" s="11"/>
      <c r="BR1467" s="235"/>
      <c r="BV1467" s="158"/>
      <c r="BY1467" s="158"/>
      <c r="CB1467" s="158"/>
    </row>
    <row r="1468" ht="18.0" hidden="1" customHeight="1">
      <c r="A1468" s="239">
        <f>IFERROR(__xludf.DUMMYFUNCTION("""COMPUTED_VALUE"""),2026.0)</f>
        <v>2026</v>
      </c>
      <c r="B1468" s="240">
        <f>IFERROR(__xludf.DUMMYFUNCTION("""COMPUTED_VALUE"""),1.2355743E7)</f>
        <v>12355743</v>
      </c>
      <c r="C1468" s="239" t="str">
        <f>IFERROR(__xludf.DUMMYFUNCTION("""COMPUTED_VALUE"""),"SMU SIB-FAC D08 CLUST 151248_H2_2025")</f>
        <v>SMU SIB-FAC D08 CLUST 151248_H2_2025</v>
      </c>
      <c r="D1468" s="239" t="str">
        <f>IFERROR(__xludf.DUMMYFUNCTION("""COMPUTED_VALUE"""),"REGIONAL I")</f>
        <v>REGIONAL I</v>
      </c>
      <c r="E1468" s="239" t="str">
        <f>IFERROR(__xludf.DUMMYFUNCTION("""COMPUTED_VALUE"""),"SUMUT")</f>
        <v>SUMUT</v>
      </c>
      <c r="F1468" s="239" t="str">
        <f>IFERROR(__xludf.DUMMYFUNCTION("""COMPUTED_VALUE"""),"SIB")</f>
        <v>SIB</v>
      </c>
      <c r="G1468" s="239" t="str">
        <f>IFERROR(__xludf.DUMMYFUNCTION("""COMPUTED_VALUE"""),"SUMBAGUT")</f>
        <v>SUMBAGUT</v>
      </c>
      <c r="H1468" s="239" t="str">
        <f>IFERROR(__xludf.DUMMYFUNCTION("""COMPUTED_VALUE"""),"PADANG SIDEMPUAN")</f>
        <v>PADANG SIDEMPUAN</v>
      </c>
      <c r="I1468" s="239" t="str">
        <f>IFERROR(__xludf.DUMMYFUNCTION("""COMPUTED_VALUE"""),"Batch 2")</f>
        <v>Batch 2</v>
      </c>
      <c r="J1468" s="241">
        <f>IFERROR(__xludf.DUMMYFUNCTION("""COMPUTED_VALUE"""),3.0)</f>
        <v>3</v>
      </c>
      <c r="K1468" s="242">
        <f>IFERROR(__xludf.DUMMYFUNCTION("""COMPUTED_VALUE"""),24.0)</f>
        <v>24</v>
      </c>
      <c r="L1468" s="243">
        <f>IFERROR(__xludf.DUMMYFUNCTION("""COMPUTED_VALUE"""),657128.0)</f>
        <v>657128</v>
      </c>
      <c r="M1468" s="244">
        <f>IFERROR(__xludf.DUMMYFUNCTION("""COMPUTED_VALUE"""),1.5771067E7)</f>
        <v>15771067</v>
      </c>
      <c r="N1468" s="239" t="str">
        <f>IFERROR(__xludf.DUMMYFUNCTION("""COMPUTED_VALUE"""),"PT ARTHA MANDIRI BERSAMA")</f>
        <v>PT ARTHA MANDIRI BERSAMA</v>
      </c>
      <c r="O1468" s="239" t="str">
        <f>IFERROR(__xludf.DUMMYFUNCTION("""COMPUTED_VALUE"""),"6. FINISH INSTALASI")</f>
        <v>6. FINISH INSTALASI</v>
      </c>
      <c r="P1468" s="239" t="str">
        <f>IFERROR(__xludf.DUMMYFUNCTION("""COMPUTED_VALUE"""),"6.1 Selesai Fisik/RFS/L0/Perapihan")</f>
        <v>6.1 Selesai Fisik/RFS/L0/Perapihan</v>
      </c>
      <c r="Q1468" s="239" t="str">
        <f>IFERROR(__xludf.DUMMYFUNCTION("""COMPUTED_VALUE"""),"26/4 penarikan kabel 12 (3250) sisa 650, tiang 6 belum progres, odp 3 blm progres, 24/4 proses tanama tiang ,m23/4 plan besok 24/4 team progres dilokasi, 22/4 tim partial di lop dls fah, 21/4 prepair tim untuk progres dilokasi, 20/04 pengiriman material k"&amp;"e lokasi, est MOS  23 April 2026 16/4 plan mitra hari ini mengirim boq kml survey, 15/4 tim blm turun kelokasi untuk survey, 14/4 prepair tim untuk survey kelokasi, 13/4 prepair tim untuk survey ke lokasi, 10/4 prepair tim untuk survey ke lokasi senin tgl"&amp;" 13 april, 9/4 prepair tim untuk survey ke lokasi senin tgl 13 april, 8/4 prepair tim untuk survey ke lokasi senin tgl 13 april, 6/4 prepair tim untuk survey ke lokasi senin tgl 13 april, 5/4 prepair tim untuk survey kelokasi,  1/4 prepair tim untuk surve"&amp;"y kelokasi, 31/3 prepair tim untuk survey kelokasi, 30/3 plan survey redesain hari selsa 31 maret, 27/3 plan survey redesain hari selsa 31 maret, 26/3 menunggu boq kml redesign dari sdi plan senin 30/3, 22/3 menunggu boq kml redesign dari sdi, 18/3 plan s"&amp;"urvey redesign setelah lebaran, 16/3 menunggu redesign dari sdi, kendala feeder ful,   3/2 prepair team untuk survey kelokasi (pengalihan dari mitra pt.aum), 2/2 prepair team untuk survey kelokasi (pengalihan dari mitra pt.aum), 1/2 plan besok 2/2 team tu"&amp;"run kelokasi untuk survey, 30/1 prepair team untuk survey ke lokasi ( sesuai zoom mnggu ini tidak jalan lop akan kita alihkan ke mitra lain), 28/1 prepair team untuk survey ke lokasi ( sesuai zoom mnggu ini tidak jalan lop akan kita alihkan ke mitra lain)"&amp;", 27/1 prepair team untuk survey ke lokasi ( sesuai zoom mnggu ini tidak jalan lop akan kita alihkan ke mitra lain), 26/1 prepair team untuk survey ke lokasi ( sesuai zoom mnggu ini tidak jalan lop akan kita alihkan ke mitra lain), 23/1 ( hari ini pic mit"&amp;"ra menuju siantar untuk kordinasi terkait kelanjutan project), 22/1 plan survey 23/1,21/1 plan survey 22/1 (apabila surveynya tidak kunjung jalan  kita plankan pengalihan ke mitra lain), 20/1 plan survey tanggal  21/1, 19/1 plan survey tanggal 21/1, 15/1 "&amp;"plan survey tanggal 17/1, 14/01 plan survey minggu ini tgl 16/01, 13/01 plan survey minggu ini tgl 16/01, (07/01) Persiapan")</f>
        <v>26/4 penarikan kabel 12 (3250) sisa 650, tiang 6 belum progres, odp 3 blm progres, 24/4 proses tanama tiang ,m23/4 plan besok 24/4 team progres dilokasi, 22/4 tim partial di lop dls fah, 21/4 prepair tim untuk progres dilokasi, 20/04 pengiriman material ke lokasi, est MOS  23 April 2026 16/4 plan mitra hari ini mengirim boq kml survey, 15/4 tim blm turun kelokasi untuk survey, 14/4 prepair tim untuk survey kelokasi, 13/4 prepair tim untuk survey ke lokasi, 10/4 prepair tim untuk survey ke lokasi senin tgl 13 april, 9/4 prepair tim untuk survey ke lokasi senin tgl 13 april, 8/4 prepair tim untuk survey ke lokasi senin tgl 13 april, 6/4 prepair tim untuk survey ke lokasi senin tgl 13 april, 5/4 prepair tim untuk survey kelokasi,  1/4 prepair tim untuk survey kelokasi, 31/3 prepair tim untuk survey kelokasi, 30/3 plan survey redesain hari selsa 31 maret, 27/3 plan survey redesain hari selsa 31 maret, 26/3 menunggu boq kml redesign dari sdi plan senin 30/3, 22/3 menunggu boq kml redesign dari sdi, 18/3 plan survey redesign setelah lebaran, 16/3 menunggu redesign dari sdi, kendala feeder ful,   3/2 prepair team untuk survey kelokasi (pengalihan dari mitra pt.aum), 2/2 prepair team untuk survey kelokasi (pengalihan dari mitra pt.aum), 1/2 plan besok 2/2 team turun kelokasi untuk survey, 30/1 prepair team untuk survey ke lokasi ( sesuai zoom mnggu ini tidak jalan lop akan kita alihkan ke mitra lain), 28/1 prepair team untuk survey ke lokasi ( sesuai zoom mnggu ini tidak jalan lop akan kita alihkan ke mitra lain), 27/1 prepair team untuk survey ke lokasi ( sesuai zoom mnggu ini tidak jalan lop akan kita alihkan ke mitra lain), 26/1 prepair team untuk survey ke lokasi ( sesuai zoom mnggu ini tidak jalan lop akan kita alihkan ke mitra lain), 23/1 ( hari ini pic mitra menuju siantar untuk kordinasi terkait kelanjutan project), 22/1 plan survey 23/1,21/1 plan survey 22/1 (apabila surveynya tidak kunjung jalan  kita plankan pengalihan ke mitra lain), 20/1 plan survey tanggal  21/1, 19/1 plan survey tanggal 21/1, 15/1 plan survey tanggal 17/1, 14/01 plan survey minggu ini tgl 16/01, 13/01 plan survey minggu ini tgl 16/01, (07/01) Persiapan</v>
      </c>
      <c r="R1468" s="245">
        <f>IFERROR(__xludf.DUMMYFUNCTION("""COMPUTED_VALUE"""),46136.0)</f>
        <v>46136</v>
      </c>
      <c r="S1468" s="246"/>
      <c r="T1468" s="247"/>
      <c r="U1468" s="246" t="str">
        <f>IFERROR(__xludf.DUMMYFUNCTION("""COMPUTED_VALUE"""),"TIF-1386/2026")</f>
        <v>TIF-1386/2026</v>
      </c>
      <c r="V1468" s="248" t="str">
        <f>IFERROR(__xludf.DUMMYFUNCTION("""COMPUTED_VALUE"""),"24/Apr/2026")</f>
        <v>24/Apr/2026</v>
      </c>
      <c r="W1468" s="248"/>
      <c r="X1468" s="248" t="str">
        <f>IFERROR(__xludf.DUMMYFUNCTION("""COMPUTED_VALUE"""),"BELUM GOLIVE")</f>
        <v>BELUM GOLIVE</v>
      </c>
      <c r="Y1468" s="248" t="str">
        <f>IFERROR(__xludf.DUMMYFUNCTION("""COMPUTED_VALUE"""),"Feeder Penuh")</f>
        <v>Feeder Penuh</v>
      </c>
      <c r="Z1468" s="248" t="str">
        <f>IFERROR(__xludf.DUMMYFUNCTION("""COMPUTED_VALUE"""),"#N/A")</f>
        <v>#N/A</v>
      </c>
      <c r="AA1468" s="248"/>
      <c r="AB1468" s="248"/>
      <c r="AC1468" s="248"/>
      <c r="AD1468" s="249"/>
      <c r="AE1468" s="250"/>
      <c r="AF1468" s="251" t="str">
        <f>IFERROR(__xludf.DUMMYFUNCTION("""COMPUTED_VALUE"""),"Draft BA DROP")</f>
        <v>Draft BA DROP</v>
      </c>
      <c r="AG1468" s="251"/>
      <c r="AH1468" s="251"/>
      <c r="AI1468" s="252" t="str">
        <f t="shared" si="147"/>
        <v/>
      </c>
      <c r="AJ1468" s="248"/>
      <c r="AK1468" s="248"/>
      <c r="AL1468" s="248"/>
      <c r="AM1468" s="248"/>
      <c r="AN1468" s="248"/>
      <c r="AO1468" s="248"/>
      <c r="AP1468" s="248"/>
      <c r="AQ1468" s="248"/>
      <c r="AR1468" s="248"/>
      <c r="AS1468" s="248"/>
      <c r="AT1468" s="248"/>
      <c r="AU1468" s="248"/>
      <c r="AV1468" s="248"/>
      <c r="AW1468" s="253"/>
      <c r="AX1468" s="248"/>
      <c r="AY1468" s="248"/>
      <c r="AZ1468" s="248"/>
      <c r="BA1468" s="248"/>
      <c r="BB1468" s="248"/>
      <c r="BC1468" s="248"/>
      <c r="BD1468" s="248"/>
      <c r="BE1468" s="248"/>
      <c r="BF1468" s="248"/>
      <c r="BG1468" s="248"/>
      <c r="BH1468" s="248"/>
      <c r="BI1468" s="248"/>
      <c r="BJ1468" s="248"/>
      <c r="BK1468" s="248"/>
      <c r="BL1468" s="248"/>
      <c r="BN1468" s="248"/>
      <c r="BO1468" s="248"/>
      <c r="BP1468" s="246"/>
      <c r="BQ1468" s="246"/>
      <c r="BR1468" s="254"/>
      <c r="BS1468" s="248"/>
      <c r="BT1468" s="248"/>
      <c r="BU1468" s="248"/>
      <c r="BV1468" s="255"/>
      <c r="BW1468" s="248"/>
      <c r="BX1468" s="248"/>
      <c r="BY1468" s="255"/>
      <c r="BZ1468" s="248"/>
      <c r="CA1468" s="248"/>
      <c r="CB1468" s="255"/>
      <c r="CC1468" s="248"/>
      <c r="CD1468" s="248"/>
      <c r="CE1468" s="248"/>
      <c r="CF1468" s="248"/>
      <c r="CG1468" s="248"/>
      <c r="CH1468" s="248"/>
      <c r="CI1468" s="248"/>
      <c r="CJ1468" s="248"/>
      <c r="CK1468" s="248"/>
      <c r="CL1468" s="248"/>
      <c r="CM1468" s="248"/>
      <c r="CN1468" s="248"/>
      <c r="CO1468" s="248"/>
      <c r="CP1468" s="248"/>
    </row>
    <row r="1469" ht="18.0" customHeight="1">
      <c r="A1469" s="222">
        <f>IFERROR(__xludf.DUMMYFUNCTION("""COMPUTED_VALUE"""),2026.0)</f>
        <v>2026</v>
      </c>
      <c r="B1469" s="221">
        <f>IFERROR(__xludf.DUMMYFUNCTION("""COMPUTED_VALUE"""),1.2528404E7)</f>
        <v>12528404</v>
      </c>
      <c r="C1469" s="222" t="str">
        <f>IFERROR(__xludf.DUMMYFUNCTION("""COMPUTED_VALUE"""),"RKP TSEL PT3 NGS-FAD 250_515_4082")</f>
        <v>RKP TSEL PT3 NGS-FAD 250_515_4082</v>
      </c>
      <c r="D1469" s="222" t="str">
        <f>IFERROR(__xludf.DUMMYFUNCTION("""COMPUTED_VALUE"""),"REGIONAL I")</f>
        <v>REGIONAL I</v>
      </c>
      <c r="E1469" s="222" t="str">
        <f>IFERROR(__xludf.DUMMYFUNCTION("""COMPUTED_VALUE"""),"RIKEP")</f>
        <v>RIKEP</v>
      </c>
      <c r="F1469" s="222" t="str">
        <f>IFERROR(__xludf.DUMMYFUNCTION("""COMPUTED_VALUE"""),"NGS")</f>
        <v>NGS</v>
      </c>
      <c r="G1469" s="222" t="str">
        <f>IFERROR(__xludf.DUMMYFUNCTION("""COMPUTED_VALUE"""),"SUMBAGTENG")</f>
        <v>SUMBAGTENG</v>
      </c>
      <c r="H1469" s="222" t="str">
        <f>IFERROR(__xludf.DUMMYFUNCTION("""COMPUTED_VALUE"""),"BATAM")</f>
        <v>BATAM</v>
      </c>
      <c r="I1469" s="222" t="str">
        <f>IFERROR(__xludf.DUMMYFUNCTION("""COMPUTED_VALUE"""),"Batch 2")</f>
        <v>Batch 2</v>
      </c>
      <c r="J1469" s="225">
        <f>IFERROR(__xludf.DUMMYFUNCTION("""COMPUTED_VALUE"""),2.0)</f>
        <v>2</v>
      </c>
      <c r="K1469" s="224">
        <f>IFERROR(__xludf.DUMMYFUNCTION("""COMPUTED_VALUE"""),16.0)</f>
        <v>16</v>
      </c>
      <c r="L1469" s="226">
        <f>IFERROR(__xludf.DUMMYFUNCTION("""COMPUTED_VALUE"""),656553.0)</f>
        <v>656553</v>
      </c>
      <c r="M1469" s="227">
        <f>IFERROR(__xludf.DUMMYFUNCTION("""COMPUTED_VALUE"""),1.0504845E7)</f>
        <v>10504845</v>
      </c>
      <c r="N1469" s="222" t="str">
        <f>IFERROR(__xludf.DUMMYFUNCTION("""COMPUTED_VALUE"""),"PT MITRA AKSES INSANI")</f>
        <v>PT MITRA AKSES INSANI</v>
      </c>
      <c r="O1469" s="222" t="str">
        <f>IFERROR(__xludf.DUMMYFUNCTION("""COMPUTED_VALUE"""),"0. DROP")</f>
        <v>0. DROP</v>
      </c>
      <c r="P1469" s="222" t="str">
        <f>IFERROR(__xludf.DUMMYFUNCTION("""COMPUTED_VALUE"""),"0.2 Tidak Dapat Izin Warga/Kades/Lurah/Developer")</f>
        <v>0.2 Tidak Dapat Izin Warga/Kades/Lurah/Developer</v>
      </c>
      <c r="Q1469" s="222" t="str">
        <f>IFERROR(__xludf.DUMMYFUNCTION("""COMPUTED_VALUE"""),"10/04 RT ACC, tapi RW meminta di hold dulu sampai Dropcore di benjar. 07/04 Tim KU dari jawa sampai ke batam tanggal 03 april, plan progres, 08 april, plan GL 10april. 30/03 RT sudah 3x di jumpai tidak ada di tempat, effort terakhir besok di jumpai untuk "&amp;"terakhir kali. 03/03 RT tidak bisa dijumpai, sudah 2x di datangi. 16/02 Plan FU perizinan besok 18 Feb.09/02 belum di survey karena, PIC mitra masih fokus di installasi dan LOP butuh percepatan dari Telkomsel. 29/01 Plan survey tanggal 30 karena PIC mitra"&amp;" sdg berhalangan. 28/01 Plan survey 29 Jan. 22/01 Plan survey 24 Jan ")</f>
        <v>10/04 RT ACC, tapi RW meminta di hold dulu sampai Dropcore di benjar. 07/04 Tim KU dari jawa sampai ke batam tanggal 03 april, plan progres, 08 april, plan GL 10april. 30/03 RT sudah 3x di jumpai tidak ada di tempat, effort terakhir besok di jumpai untuk terakhir kali. 03/03 RT tidak bisa dijumpai, sudah 2x di datangi. 16/02 Plan FU perizinan besok 18 Feb.09/02 belum di survey karena, PIC mitra masih fokus di installasi dan LOP butuh percepatan dari Telkomsel. 29/01 Plan survey tanggal 30 karena PIC mitra sdg berhalangan. 28/01 Plan survey 29 Jan. 22/01 Plan survey 24 Jan </v>
      </c>
      <c r="R1469" s="228"/>
      <c r="S1469" s="11"/>
      <c r="T1469" s="73"/>
      <c r="U1469" s="11" t="str">
        <f>IFERROR(__xludf.DUMMYFUNCTION("""COMPUTED_VALUE"""),"TIF-7804/2026")</f>
        <v>TIF-7804/2026</v>
      </c>
      <c r="V1469" s="229" t="str">
        <f>IFERROR(__xludf.DUMMYFUNCTION("""COMPUTED_VALUE"""),"GANI PRASTYO")</f>
        <v>GANI PRASTYO</v>
      </c>
      <c r="W1469" s="229" t="str">
        <f>IFERROR(__xludf.DUMMYFUNCTION("""COMPUTED_VALUE"""),"LEVITA INDRIYANI")</f>
        <v>LEVITA INDRIYANI</v>
      </c>
      <c r="X1469" s="229" t="str">
        <f>IFERROR(__xludf.DUMMYFUNCTION("""COMPUTED_VALUE"""),"BELUM GOLIVE")</f>
        <v>BELUM GOLIVE</v>
      </c>
      <c r="Y1469" s="229"/>
      <c r="Z1469" s="229" t="str">
        <f>IFERROR(__xludf.DUMMYFUNCTION("""COMPUTED_VALUE"""),"#N/A")</f>
        <v>#N/A</v>
      </c>
      <c r="AA1469" s="229"/>
      <c r="AB1469" s="229"/>
      <c r="AC1469" s="229"/>
      <c r="AD1469" s="232"/>
      <c r="AE1469" s="233"/>
      <c r="AF1469" s="54"/>
      <c r="AG1469" s="54"/>
      <c r="AH1469" s="54"/>
      <c r="AI1469" s="55">
        <f>AH1469-TODAY()</f>
        <v>-46140</v>
      </c>
      <c r="AJ1469" s="229" t="str">
        <f>if(AI1469&gt;=0,"In Komitmen","Out Komitmen")</f>
        <v>Out Komitmen</v>
      </c>
      <c r="AW1469" s="234"/>
      <c r="BP1469" s="11"/>
      <c r="BQ1469" s="11"/>
      <c r="BR1469" s="235"/>
      <c r="BV1469" s="158"/>
      <c r="BY1469" s="158"/>
      <c r="CB1469" s="158"/>
    </row>
    <row r="1470" ht="18.0" hidden="1" customHeight="1">
      <c r="A1470" s="222">
        <f>IFERROR(__xludf.DUMMYFUNCTION("""COMPUTED_VALUE"""),2026.0)</f>
        <v>2026</v>
      </c>
      <c r="B1470" s="221">
        <f>IFERROR(__xludf.DUMMYFUNCTION("""COMPUTED_VALUE"""),1.0756616E7)</f>
        <v>10756616</v>
      </c>
      <c r="C1470" s="222" t="str">
        <f>IFERROR(__xludf.DUMMYFUNCTION("""COMPUTED_VALUE"""),"JBI-PT 3 BRANCHING-PLTSEL-BKO-FG-joni irawan")</f>
        <v>JBI-PT 3 BRANCHING-PLTSEL-BKO-FG-joni irawan</v>
      </c>
      <c r="D1470" s="222" t="str">
        <f>IFERROR(__xludf.DUMMYFUNCTION("""COMPUTED_VALUE"""),"REGIONAL I")</f>
        <v>REGIONAL I</v>
      </c>
      <c r="E1470" s="222" t="str">
        <f>IFERROR(__xludf.DUMMYFUNCTION("""COMPUTED_VALUE"""),"JAMBI")</f>
        <v>JAMBI</v>
      </c>
      <c r="F1470" s="222" t="str">
        <f>IFERROR(__xludf.DUMMYFUNCTION("""COMPUTED_VALUE"""),"BKO")</f>
        <v>BKO</v>
      </c>
      <c r="G1470" s="222" t="str">
        <f>IFERROR(__xludf.DUMMYFUNCTION("""COMPUTED_VALUE"""),"SUMBAGSEL")</f>
        <v>SUMBAGSEL</v>
      </c>
      <c r="H1470" s="222" t="str">
        <f>IFERROR(__xludf.DUMMYFUNCTION("""COMPUTED_VALUE"""),"JAMBI")</f>
        <v>JAMBI</v>
      </c>
      <c r="I1470" s="222" t="str">
        <f>IFERROR(__xludf.DUMMYFUNCTION("""COMPUTED_VALUE"""),"Batch 2")</f>
        <v>Batch 2</v>
      </c>
      <c r="J1470" s="225">
        <f>IFERROR(__xludf.DUMMYFUNCTION("""COMPUTED_VALUE"""),1.0)</f>
        <v>1</v>
      </c>
      <c r="K1470" s="224">
        <f>IFERROR(__xludf.DUMMYFUNCTION("""COMPUTED_VALUE"""),8.0)</f>
        <v>8</v>
      </c>
      <c r="L1470" s="226">
        <f>IFERROR(__xludf.DUMMYFUNCTION("""COMPUTED_VALUE"""),656432.0)</f>
        <v>656432</v>
      </c>
      <c r="M1470" s="227">
        <f>IFERROR(__xludf.DUMMYFUNCTION("""COMPUTED_VALUE"""),5251450.0)</f>
        <v>5251450</v>
      </c>
      <c r="N1470" s="222" t="str">
        <f>IFERROR(__xludf.DUMMYFUNCTION("""COMPUTED_VALUE"""),"PT TSUIKA BERKAH RAYA")</f>
        <v>PT TSUIKA BERKAH RAYA</v>
      </c>
      <c r="O1470" s="222" t="str">
        <f>IFERROR(__xludf.DUMMYFUNCTION("""COMPUTED_VALUE"""),"0. DROP")</f>
        <v>0. DROP</v>
      </c>
      <c r="P1470" s="222" t="str">
        <f>IFERROR(__xludf.DUMMYFUNCTION("""COMPUTED_VALUE"""),"0.5 DROP TSEL - Acc ED TIF")</f>
        <v>0.5 DROP TSEL - Acc ED TIF</v>
      </c>
      <c r="Q1470" s="222" t="str">
        <f>IFERROR(__xludf.DUMMYFUNCTION("""COMPUTED_VALUE"""),"09/04 BA Drop Sirkulir - Permintaan Tsel Market tidak OK  (12/1) BA Drop Sirkulir-PERMINTAAN TSEL MARKET TIDAK OK  (18/11) tidak masuk target optimis 2025 (17/11 kendala mitra,redesign 10/11 matdel (05/11)Req Material (15/10) Mapping Mitra")</f>
        <v>09/04 BA Drop Sirkulir - Permintaan Tsel Market tidak OK  (12/1) BA Drop Sirkulir-PERMINTAAN TSEL MARKET TIDAK OK  (18/11) tidak masuk target optimis 2025 (17/11 kendala mitra,redesign 10/11 matdel (05/11)Req Material (15/10) Mapping Mitra</v>
      </c>
      <c r="R1470" s="228"/>
      <c r="S1470" s="11"/>
      <c r="T1470" s="11"/>
      <c r="U1470" s="11"/>
      <c r="V1470" s="229"/>
      <c r="W1470" s="229"/>
      <c r="X1470" s="229" t="str">
        <f>IFERROR(__xludf.DUMMYFUNCTION("""COMPUTED_VALUE"""),"BELUM GOLIVE")</f>
        <v>BELUM GOLIVE</v>
      </c>
      <c r="Y1470" s="229"/>
      <c r="Z1470" s="229" t="str">
        <f>IFERROR(__xludf.DUMMYFUNCTION("""COMPUTED_VALUE"""),"#N/A")</f>
        <v>#N/A</v>
      </c>
      <c r="AA1470" s="229"/>
      <c r="AB1470" s="229"/>
      <c r="AC1470" s="229"/>
      <c r="AD1470" s="232"/>
      <c r="AE1470" s="233"/>
      <c r="AF1470" s="54"/>
      <c r="AG1470" s="54"/>
      <c r="AH1470" s="54"/>
      <c r="AI1470" s="55" t="str">
        <f t="shared" ref="AI1470:AI1471" si="148">IF(OR(R1470="",AE1470=""),"",R1470-AE1470)</f>
        <v/>
      </c>
      <c r="AW1470" s="234"/>
      <c r="BP1470" s="11"/>
      <c r="BQ1470" s="11"/>
      <c r="BR1470" s="235"/>
      <c r="BV1470" s="158"/>
      <c r="BY1470" s="158"/>
      <c r="CB1470" s="158"/>
    </row>
    <row r="1471" ht="18.0" customHeight="1">
      <c r="A1471" s="222">
        <f>IFERROR(__xludf.DUMMYFUNCTION("""COMPUTED_VALUE"""),2026.0)</f>
        <v>2026</v>
      </c>
      <c r="B1471" s="221">
        <f>IFERROR(__xludf.DUMMYFUNCTION("""COMPUTED_VALUE"""),1.2219332E7)</f>
        <v>12219332</v>
      </c>
      <c r="C1471" s="222" t="str">
        <f>IFERROR(__xludf.DUMMYFUNCTION("""COMPUTED_VALUE"""),"RDR JPP PT3 PERUMAHAN SRI INDRA")</f>
        <v>RDR JPP PT3 PERUMAHAN SRI INDRA</v>
      </c>
      <c r="D1471" s="222" t="str">
        <f>IFERROR(__xludf.DUMMYFUNCTION("""COMPUTED_VALUE"""),"REGIONAL I")</f>
        <v>REGIONAL I</v>
      </c>
      <c r="E1471" s="222" t="str">
        <f>IFERROR(__xludf.DUMMYFUNCTION("""COMPUTED_VALUE"""),"RIDAR")</f>
        <v>RIDAR</v>
      </c>
      <c r="F1471" s="222" t="str">
        <f>IFERROR(__xludf.DUMMYFUNCTION("""COMPUTED_VALUE"""),"RBI")</f>
        <v>RBI</v>
      </c>
      <c r="G1471" s="222" t="str">
        <f>IFERROR(__xludf.DUMMYFUNCTION("""COMPUTED_VALUE"""),"SUMBAGTENG")</f>
        <v>SUMBAGTENG</v>
      </c>
      <c r="H1471" s="222" t="str">
        <f>IFERROR(__xludf.DUMMYFUNCTION("""COMPUTED_VALUE"""),"PEKANBARU")</f>
        <v>PEKANBARU</v>
      </c>
      <c r="I1471" s="222" t="str">
        <f>IFERROR(__xludf.DUMMYFUNCTION("""COMPUTED_VALUE"""),"Batch 2")</f>
        <v>Batch 2</v>
      </c>
      <c r="J1471" s="225">
        <f>IFERROR(__xludf.DUMMYFUNCTION("""COMPUTED_VALUE"""),5.0)</f>
        <v>5</v>
      </c>
      <c r="K1471" s="224">
        <f>IFERROR(__xludf.DUMMYFUNCTION("""COMPUTED_VALUE"""),40.0)</f>
        <v>40</v>
      </c>
      <c r="L1471" s="226">
        <f>IFERROR(__xludf.DUMMYFUNCTION("""COMPUTED_VALUE"""),655319.0)</f>
        <v>655319</v>
      </c>
      <c r="M1471" s="227">
        <f>IFERROR(__xludf.DUMMYFUNCTION("""COMPUTED_VALUE"""),2.6212726E7)</f>
        <v>26212726</v>
      </c>
      <c r="N1471" s="222"/>
      <c r="O1471" s="222" t="str">
        <f>IFERROR(__xludf.DUMMYFUNCTION("""COMPUTED_VALUE"""),"0. DROP")</f>
        <v>0. DROP</v>
      </c>
      <c r="P1471" s="222" t="str">
        <f>IFERROR(__xludf.DUMMYFUNCTION("""COMPUTED_VALUE"""),"0.2 Tidak Dapat Izin Warga/Kades/Lurah/Developer")</f>
        <v>0.2 Tidak Dapat Izin Warga/Kades/Lurah/Developer</v>
      </c>
      <c r="Q1471" s="222" t="str">
        <f>IFERROR(__xludf.DUMMYFUNCTION("""COMPUTED_VALUE"""),"20/01 Tidak dapat izin RT/RW dan Warga  (08/01) Perizinan")</f>
        <v>20/01 Tidak dapat izin RT/RW dan Warga  (08/01) Perizinan</v>
      </c>
      <c r="R1471" s="228"/>
      <c r="S1471" s="11"/>
      <c r="T1471" s="11"/>
      <c r="U1471" s="11"/>
      <c r="V1471" s="229"/>
      <c r="W1471" s="229"/>
      <c r="X1471" s="229" t="str">
        <f>IFERROR(__xludf.DUMMYFUNCTION("""COMPUTED_VALUE"""),"BELUM GOLIVE")</f>
        <v>BELUM GOLIVE</v>
      </c>
      <c r="Y1471" s="229"/>
      <c r="Z1471" s="229" t="str">
        <f>IFERROR(__xludf.DUMMYFUNCTION("""COMPUTED_VALUE"""),"#N/A")</f>
        <v>#N/A</v>
      </c>
      <c r="AA1471" s="229"/>
      <c r="AB1471" s="229"/>
      <c r="AC1471" s="229"/>
      <c r="AD1471" s="232"/>
      <c r="AE1471" s="233"/>
      <c r="AF1471" s="54" t="str">
        <f>IFERROR(__xludf.DUMMYFUNCTION("""COMPUTED_VALUE"""),"Draft BA DROP")</f>
        <v>Draft BA DROP</v>
      </c>
      <c r="AG1471" s="54"/>
      <c r="AH1471" s="54"/>
      <c r="AI1471" s="55" t="str">
        <f t="shared" si="148"/>
        <v/>
      </c>
      <c r="AW1471" s="234"/>
      <c r="BP1471" s="11"/>
      <c r="BQ1471" s="11"/>
      <c r="BR1471" s="235"/>
      <c r="BV1471" s="158"/>
      <c r="BY1471" s="158"/>
      <c r="CB1471" s="158"/>
    </row>
    <row r="1472" ht="18.0" customHeight="1">
      <c r="A1472" s="222">
        <f>IFERROR(__xludf.DUMMYFUNCTION("""COMPUTED_VALUE"""),2026.0)</f>
        <v>2026</v>
      </c>
      <c r="B1472" s="221">
        <f>IFERROR(__xludf.DUMMYFUNCTION("""COMPUTED_VALUE"""),1.1580451E7)</f>
        <v>11580451</v>
      </c>
      <c r="C1472" s="222" t="str">
        <f>IFERROR(__xludf.DUMMYFUNCTION("""COMPUTED_VALUE"""),"RKP TSEL PT3 SLU-FBH AZURE GARDENIA THP2")</f>
        <v>RKP TSEL PT3 SLU-FBH AZURE GARDENIA THP2</v>
      </c>
      <c r="D1472" s="222" t="str">
        <f>IFERROR(__xludf.DUMMYFUNCTION("""COMPUTED_VALUE"""),"REGIONAL I")</f>
        <v>REGIONAL I</v>
      </c>
      <c r="E1472" s="222" t="str">
        <f>IFERROR(__xludf.DUMMYFUNCTION("""COMPUTED_VALUE"""),"RIKEP")</f>
        <v>RIKEP</v>
      </c>
      <c r="F1472" s="222" t="str">
        <f>IFERROR(__xludf.DUMMYFUNCTION("""COMPUTED_VALUE"""),"SLU")</f>
        <v>SLU</v>
      </c>
      <c r="G1472" s="222" t="str">
        <f>IFERROR(__xludf.DUMMYFUNCTION("""COMPUTED_VALUE"""),"SUMBAGTENG")</f>
        <v>SUMBAGTENG</v>
      </c>
      <c r="H1472" s="222" t="str">
        <f>IFERROR(__xludf.DUMMYFUNCTION("""COMPUTED_VALUE"""),"BATAM")</f>
        <v>BATAM</v>
      </c>
      <c r="I1472" s="222" t="str">
        <f>IFERROR(__xludf.DUMMYFUNCTION("""COMPUTED_VALUE"""),"Batch 2")</f>
        <v>Batch 2</v>
      </c>
      <c r="J1472" s="225">
        <f>IFERROR(__xludf.DUMMYFUNCTION("""COMPUTED_VALUE"""),4.0)</f>
        <v>4</v>
      </c>
      <c r="K1472" s="224">
        <f>IFERROR(__xludf.DUMMYFUNCTION("""COMPUTED_VALUE"""),32.0)</f>
        <v>32</v>
      </c>
      <c r="L1472" s="226">
        <f>IFERROR(__xludf.DUMMYFUNCTION("""COMPUTED_VALUE"""),654822.0)</f>
        <v>654822</v>
      </c>
      <c r="M1472" s="227">
        <f>IFERROR(__xludf.DUMMYFUNCTION("""COMPUTED_VALUE"""),2.0954292E7)</f>
        <v>20954292</v>
      </c>
      <c r="N1472" s="222" t="str">
        <f>IFERROR(__xludf.DUMMYFUNCTION("""COMPUTED_VALUE"""),"PT MITRA HOSINDO SEJAHTERA")</f>
        <v>PT MITRA HOSINDO SEJAHTERA</v>
      </c>
      <c r="O1472" s="222" t="str">
        <f>IFERROR(__xludf.DUMMYFUNCTION("""COMPUTED_VALUE"""),"7. GOLIVE")</f>
        <v>7. GOLIVE</v>
      </c>
      <c r="P1472" s="222" t="str">
        <f>IFERROR(__xludf.DUMMYFUNCTION("""COMPUTED_VALUE"""),"7.2 Golive Full / OA / DONE OTB")</f>
        <v>7.2 Golive Full / OA / DONE OTB</v>
      </c>
      <c r="Q1472" s="222" t="str">
        <f>IFERROR(__xludf.DUMMYFUNCTION("""COMPUTED_VALUE"""),"09/02 proses golive. 30/01 Proses tanam tiang. 29/01 Plan pengecekan core 30 Jan. 28/01 Plan progres mulai tgl 29 Jan, proses req material. 21/01 Plan progres 27 Jan 2026")</f>
        <v>09/02 proses golive. 30/01 Proses tanam tiang. 29/01 Plan pengecekan core 30 Jan. 28/01 Plan progres mulai tgl 29 Jan, proses req material. 21/01 Plan progres 27 Jan 2026</v>
      </c>
      <c r="R1472" s="228">
        <f>IFERROR(__xludf.DUMMYFUNCTION("""COMPUTED_VALUE"""),46062.0)</f>
        <v>46062</v>
      </c>
      <c r="S1472" s="11"/>
      <c r="T1472" s="11"/>
      <c r="U1472" s="11" t="str">
        <f>IFERROR(__xludf.DUMMYFUNCTION("""COMPUTED_VALUE"""),"W09-114/2026")</f>
        <v>W09-114/2026</v>
      </c>
      <c r="V1472" s="229" t="str">
        <f>IFERROR(__xludf.DUMMYFUNCTION("""COMPUTED_VALUE"""),"MUHAMMAD RIDHO FALFO")</f>
        <v>MUHAMMAD RIDHO FALFO</v>
      </c>
      <c r="W1472" s="229" t="str">
        <f>IFERROR(__xludf.DUMMYFUNCTION("""COMPUTED_VALUE"""),"LEVITA INDRIYANI")</f>
        <v>LEVITA INDRIYANI</v>
      </c>
      <c r="X1472" s="229" t="str">
        <f>IFERROR(__xludf.DUMMYFUNCTION("""COMPUTED_VALUE"""),"GOLIVE")</f>
        <v>GOLIVE</v>
      </c>
      <c r="Y1472" s="229" t="str">
        <f>IFERROR(__xludf.DUMMYFUNCTION("""COMPUTED_VALUE"""),"DONE")</f>
        <v>DONE</v>
      </c>
      <c r="Z1472" s="229" t="str">
        <f>IFERROR(__xludf.DUMMYFUNCTION("""COMPUTED_VALUE"""),"#N/A")</f>
        <v>#N/A</v>
      </c>
      <c r="AA1472" s="229">
        <f>IFERROR(__xludf.DUMMYFUNCTION("""COMPUTED_VALUE"""),4.0)</f>
        <v>4</v>
      </c>
      <c r="AB1472" s="229"/>
      <c r="AC1472" s="229" t="str">
        <f>IFERROR(__xludf.DUMMYFUNCTION("""COMPUTED_VALUE"""),"9041785#9041790")</f>
        <v>9041785#9041790</v>
      </c>
      <c r="AD1472" s="232">
        <f>IFERROR(__xludf.DUMMYFUNCTION("""COMPUTED_VALUE"""),32.0)</f>
        <v>32</v>
      </c>
      <c r="AE1472" s="233">
        <f>IFERROR(__xludf.DUMMYFUNCTION("""COMPUTED_VALUE"""),46063.0)</f>
        <v>46063</v>
      </c>
      <c r="AF1472" s="54"/>
      <c r="AG1472" s="54"/>
      <c r="AH1472" s="54">
        <v>46134.0</v>
      </c>
      <c r="AI1472" s="237">
        <f>AH1472-NOW()</f>
        <v>-6.377989931</v>
      </c>
      <c r="AJ1472" s="229" t="str">
        <f>if(AI1472&gt;=0,"In Komitmen","Out Komitmen")</f>
        <v>Out Komitmen</v>
      </c>
      <c r="AW1472" s="234"/>
      <c r="BP1472" s="11"/>
      <c r="BQ1472" s="11"/>
      <c r="BR1472" s="235"/>
      <c r="BV1472" s="158"/>
      <c r="BY1472" s="158"/>
      <c r="CB1472" s="158"/>
    </row>
    <row r="1473" ht="18.0" customHeight="1">
      <c r="A1473" s="222">
        <f>IFERROR(__xludf.DUMMYFUNCTION("""COMPUTED_VALUE"""),2026.0)</f>
        <v>2026</v>
      </c>
      <c r="B1473" s="221">
        <f>IFERROR(__xludf.DUMMYFUNCTION("""COMPUTED_VALUE"""),1.1090647E7)</f>
        <v>11090647</v>
      </c>
      <c r="C1473" s="222" t="str">
        <f>IFERROR(__xludf.DUMMYFUNCTION("""COMPUTED_VALUE"""),"RKP PT3 JPPTSEL KMS-FU Jl. Mangga Toapaya")</f>
        <v>RKP PT3 JPPTSEL KMS-FU Jl. Mangga Toapaya</v>
      </c>
      <c r="D1473" s="222" t="str">
        <f>IFERROR(__xludf.DUMMYFUNCTION("""COMPUTED_VALUE"""),"REGIONAL I")</f>
        <v>REGIONAL I</v>
      </c>
      <c r="E1473" s="222" t="str">
        <f>IFERROR(__xludf.DUMMYFUNCTION("""COMPUTED_VALUE"""),"RIKEP")</f>
        <v>RIKEP</v>
      </c>
      <c r="F1473" s="222" t="str">
        <f>IFERROR(__xludf.DUMMYFUNCTION("""COMPUTED_VALUE"""),"KMS")</f>
        <v>KMS</v>
      </c>
      <c r="G1473" s="222" t="str">
        <f>IFERROR(__xludf.DUMMYFUNCTION("""COMPUTED_VALUE"""),"SUMBAGTENG")</f>
        <v>SUMBAGTENG</v>
      </c>
      <c r="H1473" s="222" t="str">
        <f>IFERROR(__xludf.DUMMYFUNCTION("""COMPUTED_VALUE"""),"BATAM")</f>
        <v>BATAM</v>
      </c>
      <c r="I1473" s="222" t="str">
        <f>IFERROR(__xludf.DUMMYFUNCTION("""COMPUTED_VALUE"""),"Batch 2")</f>
        <v>Batch 2</v>
      </c>
      <c r="J1473" s="225">
        <f>IFERROR(__xludf.DUMMYFUNCTION("""COMPUTED_VALUE"""),6.0)</f>
        <v>6</v>
      </c>
      <c r="K1473" s="224">
        <f>IFERROR(__xludf.DUMMYFUNCTION("""COMPUTED_VALUE"""),48.0)</f>
        <v>48</v>
      </c>
      <c r="L1473" s="226">
        <f>IFERROR(__xludf.DUMMYFUNCTION("""COMPUTED_VALUE"""),652843.0)</f>
        <v>652843</v>
      </c>
      <c r="M1473" s="227">
        <f>IFERROR(__xludf.DUMMYFUNCTION("""COMPUTED_VALUE"""),3.1336444E7)</f>
        <v>31336444</v>
      </c>
      <c r="N1473" s="222" t="str">
        <f>IFERROR(__xludf.DUMMYFUNCTION("""COMPUTED_VALUE"""),"PT SALTTEK DUMPANG JAYA")</f>
        <v>PT SALTTEK DUMPANG JAYA</v>
      </c>
      <c r="O1473" s="222" t="str">
        <f>IFERROR(__xludf.DUMMYFUNCTION("""COMPUTED_VALUE"""),"7. GOLIVE")</f>
        <v>7. GOLIVE</v>
      </c>
      <c r="P1473" s="222" t="str">
        <f>IFERROR(__xludf.DUMMYFUNCTION("""COMPUTED_VALUE"""),"7.2 Golive Full / OA / DONE OTB")</f>
        <v>7.2 Golive Full / OA / DONE OTB</v>
      </c>
      <c r="Q1473" s="222" t="str">
        <f>IFERROR(__xludf.DUMMYFUNCTION("""COMPUTED_VALUE"""),"20/04 ABD Mancore. 13/04 Proses galian dan tanam tiang, GL sesuai mapping. 07/04 Tim mitra serial sedang mengerjakan LOP lain, plan GL sesuai komitmen. 
31/03 Plan installasi tgl 14 apr, Plan GL 20 Apr. 30/03 Menunggu pelunasan prelim.  05/03 Masi proses "&amp;"perizinan pihak RT &amp; RW perumahan setempat
25/02 Proses pelunasan prelim minggu ini. 16/02 Kompensasi pelunasan di minggu ini. 09/02 nilai prelim sudah di eval dan di acc04/01 proses eval kenaikan karena ada permintaan prelim 2 jt rupiah.28/01 Proses peri"&amp;"zinan besok 29 Jan.  21/01 Proses anwijzing tanggal 22 Jan 2026
")</f>
        <v>20/04 ABD Mancore. 13/04 Proses galian dan tanam tiang, GL sesuai mapping. 07/04 Tim mitra serial sedang mengerjakan LOP lain, plan GL sesuai komitmen. 
31/03 Plan installasi tgl 14 apr, Plan GL 20 Apr. 30/03 Menunggu pelunasan prelim.  05/03 Masi proses perizinan pihak RT &amp; RW perumahan setempat
25/02 Proses pelunasan prelim minggu ini. 16/02 Kompensasi pelunasan di minggu ini. 09/02 nilai prelim sudah di eval dan di acc04/01 proses eval kenaikan karena ada permintaan prelim 2 jt rupiah.28/01 Proses perizinan besok 29 Jan.  21/01 Proses anwijzing tanggal 22 Jan 2026
</v>
      </c>
      <c r="R1473" s="228">
        <f>IFERROR(__xludf.DUMMYFUNCTION("""COMPUTED_VALUE"""),46134.0)</f>
        <v>46134</v>
      </c>
      <c r="S1473" s="11" t="str">
        <f>IFERROR(__xludf.DUMMYFUNCTION("""COMPUTED_VALUE"""),"APR")</f>
        <v>APR</v>
      </c>
      <c r="T1473" s="73"/>
      <c r="U1473" s="11" t="str">
        <f>IFERROR(__xludf.DUMMYFUNCTION("""COMPUTED_VALUE"""),"W09-302/2026")</f>
        <v>W09-302/2026</v>
      </c>
      <c r="V1473" s="229" t="str">
        <f>IFERROR(__xludf.DUMMYFUNCTION("""COMPUTED_VALUE"""),"DEDY IRAWAN")</f>
        <v>DEDY IRAWAN</v>
      </c>
      <c r="W1473" s="229" t="str">
        <f>IFERROR(__xludf.DUMMYFUNCTION("""COMPUTED_VALUE"""),"LEVITA INDRIYANI")</f>
        <v>LEVITA INDRIYANI</v>
      </c>
      <c r="X1473" s="229" t="str">
        <f>IFERROR(__xludf.DUMMYFUNCTION("""COMPUTED_VALUE"""),"GOLIVE")</f>
        <v>GOLIVE</v>
      </c>
      <c r="Y1473" s="229" t="str">
        <f>IFERROR(__xludf.DUMMYFUNCTION("""COMPUTED_VALUE"""),"DONE")</f>
        <v>DONE</v>
      </c>
      <c r="Z1473" s="229" t="str">
        <f>IFERROR(__xludf.DUMMYFUNCTION("""COMPUTED_VALUE"""),"#N/A")</f>
        <v>#N/A</v>
      </c>
      <c r="AA1473" s="229">
        <f>IFERROR(__xludf.DUMMYFUNCTION("""COMPUTED_VALUE"""),6.0)</f>
        <v>6</v>
      </c>
      <c r="AB1473" s="229"/>
      <c r="AC1473" s="229" t="str">
        <f>IFERROR(__xludf.DUMMYFUNCTION("""COMPUTED_VALUE"""),"9267222#9267227")</f>
        <v>9267222#9267227</v>
      </c>
      <c r="AD1473" s="232">
        <f>IFERROR(__xludf.DUMMYFUNCTION("""COMPUTED_VALUE"""),48.0)</f>
        <v>48</v>
      </c>
      <c r="AE1473" s="233">
        <f>IFERROR(__xludf.DUMMYFUNCTION("""COMPUTED_VALUE"""),46134.0)</f>
        <v>46134</v>
      </c>
      <c r="AF1473" s="54"/>
      <c r="AG1473" s="54"/>
      <c r="AH1473" s="54">
        <v>46134.0</v>
      </c>
      <c r="AI1473" s="55">
        <f>IF(OR(AH1473="",AE1473=""),"",AH1473-AE1473)</f>
        <v>0</v>
      </c>
      <c r="AJ1473" s="229" t="str">
        <f>if(AI1473&gt;=0,"Gl in Komitmen","Gl out komitmen")</f>
        <v>Gl in Komitmen</v>
      </c>
      <c r="AK1473" s="231" t="s">
        <v>199</v>
      </c>
      <c r="AW1473" s="234"/>
      <c r="BP1473" s="11"/>
      <c r="BQ1473" s="11"/>
      <c r="BR1473" s="235"/>
      <c r="BV1473" s="158"/>
      <c r="BY1473" s="158"/>
      <c r="CB1473" s="158"/>
    </row>
    <row r="1474" ht="18.0" hidden="1" customHeight="1">
      <c r="A1474" s="222">
        <f>IFERROR(__xludf.DUMMYFUNCTION("""COMPUTED_VALUE"""),2026.0)</f>
        <v>2026</v>
      </c>
      <c r="B1474" s="221">
        <f>IFERROR(__xludf.DUMMYFUNCTION("""COMPUTED_VALUE"""),1.1536059E7)</f>
        <v>11536059</v>
      </c>
      <c r="C1474" s="222" t="str">
        <f>IFERROR(__xludf.DUMMYFUNCTION("""COMPUTED_VALUE"""),"MDN PT3 SPM-FCH JL.ADVOKAT RAYA")</f>
        <v>MDN PT3 SPM-FCH JL.ADVOKAT RAYA</v>
      </c>
      <c r="D1474" s="222" t="str">
        <f>IFERROR(__xludf.DUMMYFUNCTION("""COMPUTED_VALUE"""),"REGIONAL I")</f>
        <v>REGIONAL I</v>
      </c>
      <c r="E1474" s="222" t="str">
        <f>IFERROR(__xludf.DUMMYFUNCTION("""COMPUTED_VALUE"""),"MEDAN")</f>
        <v>MEDAN</v>
      </c>
      <c r="F1474" s="222" t="str">
        <f>IFERROR(__xludf.DUMMYFUNCTION("""COMPUTED_VALUE"""),"SPM")</f>
        <v>SPM</v>
      </c>
      <c r="G1474" s="222" t="str">
        <f>IFERROR(__xludf.DUMMYFUNCTION("""COMPUTED_VALUE"""),"SUMBAGUT")</f>
        <v>SUMBAGUT</v>
      </c>
      <c r="H1474" s="222" t="str">
        <f>IFERROR(__xludf.DUMMYFUNCTION("""COMPUTED_VALUE"""),"MEDAN")</f>
        <v>MEDAN</v>
      </c>
      <c r="I1474" s="222" t="str">
        <f>IFERROR(__xludf.DUMMYFUNCTION("""COMPUTED_VALUE"""),"Batch 2")</f>
        <v>Batch 2</v>
      </c>
      <c r="J1474" s="225">
        <f>IFERROR(__xludf.DUMMYFUNCTION("""COMPUTED_VALUE"""),9.0)</f>
        <v>9</v>
      </c>
      <c r="K1474" s="224">
        <f>IFERROR(__xludf.DUMMYFUNCTION("""COMPUTED_VALUE"""),72.0)</f>
        <v>72</v>
      </c>
      <c r="L1474" s="226">
        <f>IFERROR(__xludf.DUMMYFUNCTION("""COMPUTED_VALUE"""),821454.0)</f>
        <v>821454</v>
      </c>
      <c r="M1474" s="227">
        <f>IFERROR(__xludf.DUMMYFUNCTION("""COMPUTED_VALUE"""),5.9144642E7)</f>
        <v>59144642</v>
      </c>
      <c r="N1474" s="222" t="str">
        <f>IFERROR(__xludf.DUMMYFUNCTION("""COMPUTED_VALUE"""),"PT UPENTEL INTERNASIONAL")</f>
        <v>PT UPENTEL INTERNASIONAL</v>
      </c>
      <c r="O1474" s="222" t="str">
        <f>IFERROR(__xludf.DUMMYFUNCTION("""COMPUTED_VALUE"""),"0. DROP")</f>
        <v>0. DROP</v>
      </c>
      <c r="P1474" s="222" t="str">
        <f>IFERROR(__xludf.DUMMYFUNCTION("""COMPUTED_VALUE"""),"0.1 Double Order")</f>
        <v>0.1 Double Order</v>
      </c>
      <c r="Q1474" s="222" t="str">
        <f>IFERROR(__xludf.DUMMYFUNCTION("""COMPUTED_VALUE"""),"04/03 diblanded dengan LoP MDN PT3 SPM-FCH JL.BAJAK V_MD25 03/03 pengajuan redesign NEW DS 27/02 done order")</f>
        <v>04/03 diblanded dengan LoP MDN PT3 SPM-FCH JL.BAJAK V_MD25 03/03 pengajuan redesign NEW DS 27/02 done order</v>
      </c>
      <c r="R1474" s="228"/>
      <c r="S1474" s="11"/>
      <c r="T1474" s="11"/>
      <c r="U1474" s="11"/>
      <c r="V1474" s="229"/>
      <c r="W1474" s="229"/>
      <c r="X1474" s="229" t="str">
        <f>IFERROR(__xludf.DUMMYFUNCTION("""COMPUTED_VALUE"""),"BELUM GOLIVE")</f>
        <v>BELUM GOLIVE</v>
      </c>
      <c r="Y1474" s="229"/>
      <c r="Z1474" s="229" t="str">
        <f>IFERROR(__xludf.DUMMYFUNCTION("""COMPUTED_VALUE"""),"#N/A")</f>
        <v>#N/A</v>
      </c>
      <c r="AA1474" s="229"/>
      <c r="AB1474" s="229"/>
      <c r="AC1474" s="229"/>
      <c r="AD1474" s="232"/>
      <c r="AE1474" s="233"/>
      <c r="AF1474" s="54"/>
      <c r="AG1474" s="54"/>
      <c r="AH1474" s="54"/>
      <c r="AI1474" s="55" t="str">
        <f t="shared" ref="AI1474:AI1490" si="149">IF(OR(R1474="",AE1474=""),"",R1474-AE1474)</f>
        <v/>
      </c>
      <c r="AW1474" s="234"/>
      <c r="BP1474" s="11"/>
      <c r="BQ1474" s="11"/>
      <c r="BR1474" s="235"/>
      <c r="BV1474" s="158"/>
      <c r="BY1474" s="158"/>
      <c r="CB1474" s="158"/>
    </row>
    <row r="1475" ht="18.0" hidden="1" customHeight="1">
      <c r="A1475" s="222">
        <f>IFERROR(__xludf.DUMMYFUNCTION("""COMPUTED_VALUE"""),2026.0)</f>
        <v>2026</v>
      </c>
      <c r="B1475" s="221">
        <f>IFERROR(__xludf.DUMMYFUNCTION("""COMPUTED_VALUE"""),1.1966198E7)</f>
        <v>11966198</v>
      </c>
      <c r="C1475" s="222" t="str">
        <f>IFERROR(__xludf.DUMMYFUNCTION("""COMPUTED_VALUE"""),"LPG JPP MD PT3 LAMPUNG TIMUR_1171 WJA")</f>
        <v>LPG JPP MD PT3 LAMPUNG TIMUR_1171 WJA</v>
      </c>
      <c r="D1475" s="222" t="str">
        <f>IFERROR(__xludf.DUMMYFUNCTION("""COMPUTED_VALUE"""),"REGIONAL I")</f>
        <v>REGIONAL I</v>
      </c>
      <c r="E1475" s="222" t="str">
        <f>IFERROR(__xludf.DUMMYFUNCTION("""COMPUTED_VALUE"""),"LAMPUNG")</f>
        <v>LAMPUNG</v>
      </c>
      <c r="F1475" s="222" t="str">
        <f>IFERROR(__xludf.DUMMYFUNCTION("""COMPUTED_VALUE"""),"WJA")</f>
        <v>WJA</v>
      </c>
      <c r="G1475" s="222" t="str">
        <f>IFERROR(__xludf.DUMMYFUNCTION("""COMPUTED_VALUE"""),"SUMBAGSEL")</f>
        <v>SUMBAGSEL</v>
      </c>
      <c r="H1475" s="222" t="str">
        <f>IFERROR(__xludf.DUMMYFUNCTION("""COMPUTED_VALUE"""),"LAMPUNG")</f>
        <v>LAMPUNG</v>
      </c>
      <c r="I1475" s="222" t="str">
        <f>IFERROR(__xludf.DUMMYFUNCTION("""COMPUTED_VALUE"""),"Batch 2")</f>
        <v>Batch 2</v>
      </c>
      <c r="J1475" s="225">
        <f>IFERROR(__xludf.DUMMYFUNCTION("""COMPUTED_VALUE"""),3.0)</f>
        <v>3</v>
      </c>
      <c r="K1475" s="224">
        <f>IFERROR(__xludf.DUMMYFUNCTION("""COMPUTED_VALUE"""),24.0)</f>
        <v>24</v>
      </c>
      <c r="L1475" s="226">
        <f>IFERROR(__xludf.DUMMYFUNCTION("""COMPUTED_VALUE"""),650685.0)</f>
        <v>650685</v>
      </c>
      <c r="M1475" s="227">
        <f>IFERROR(__xludf.DUMMYFUNCTION("""COMPUTED_VALUE"""),1.5616428E7)</f>
        <v>15616428</v>
      </c>
      <c r="N1475" s="222" t="str">
        <f>IFERROR(__xludf.DUMMYFUNCTION("""COMPUTED_VALUE"""),"PT FAJAR MITRA KRIDA ABADI")</f>
        <v>PT FAJAR MITRA KRIDA ABADI</v>
      </c>
      <c r="O1475" s="222" t="str">
        <f>IFERROR(__xludf.DUMMYFUNCTION("""COMPUTED_VALUE"""),"7. GOLIVE")</f>
        <v>7. GOLIVE</v>
      </c>
      <c r="P1475" s="222" t="str">
        <f>IFERROR(__xludf.DUMMYFUNCTION("""COMPUTED_VALUE"""),"7.2 Golive Full / OA / DONE OTB")</f>
        <v>7.2 Golive Full / OA / DONE OTB</v>
      </c>
      <c r="Q1475" s="222" t="str">
        <f>IFERROR(__xludf.DUMMYFUNCTION("""COMPUTED_VALUE"""),"20/2 mitra sudah sumbit abd V4 (11/2) truk sudah sampai di WH lampung, namun ada kendala budget kurang 6/2 plan matdel ,ambil material 11 /2 plan fi 19 /2
4/2 port OLT Metro penuh, stok material kosong ,estimasi tiba 07/2 
3/2 prores pengajuan PR/PO 09/02"&amp;" 
02/02 plan matdel 09/02
23/1 plan. matdel senin 26/1
19/1 PLAN MATDEL SABTU TGL 24/1")</f>
        <v>20/2 mitra sudah sumbit abd V4 (11/2) truk sudah sampai di WH lampung, namun ada kendala budget kurang 6/2 plan matdel ,ambil material 11 /2 plan fi 19 /2
4/2 port OLT Metro penuh, stok material kosong ,estimasi tiba 07/2 
3/2 prores pengajuan PR/PO 09/02 
02/02 plan matdel 09/02
23/1 plan. matdel senin 26/1
19/1 PLAN MATDEL SABTU TGL 24/1</v>
      </c>
      <c r="R1475" s="228">
        <f>IFERROR(__xludf.DUMMYFUNCTION("""COMPUTED_VALUE"""),46073.0)</f>
        <v>46073</v>
      </c>
      <c r="S1475" s="11"/>
      <c r="T1475" s="11"/>
      <c r="U1475" s="11" t="str">
        <f>IFERROR(__xludf.DUMMYFUNCTION("""COMPUTED_VALUE"""),"W02-689/2025")</f>
        <v>W02-689/2025</v>
      </c>
      <c r="V1475" s="229"/>
      <c r="W1475" s="229"/>
      <c r="X1475" s="229" t="str">
        <f>IFERROR(__xludf.DUMMYFUNCTION("""COMPUTED_VALUE"""),"GOLIVE")</f>
        <v>GOLIVE</v>
      </c>
      <c r="Y1475" s="229" t="str">
        <f>IFERROR(__xludf.DUMMYFUNCTION("""COMPUTED_VALUE"""),"DONE")</f>
        <v>DONE</v>
      </c>
      <c r="Z1475" s="229" t="str">
        <f>IFERROR(__xludf.DUMMYFUNCTION("""COMPUTED_VALUE"""),"#N/A")</f>
        <v>#N/A</v>
      </c>
      <c r="AA1475" s="229">
        <f>IFERROR(__xludf.DUMMYFUNCTION("""COMPUTED_VALUE"""),3.0)</f>
        <v>3</v>
      </c>
      <c r="AB1475" s="229"/>
      <c r="AC1475" s="229" t="str">
        <f>IFERROR(__xludf.DUMMYFUNCTION("""COMPUTED_VALUE"""),"8752272#8752277")</f>
        <v>8752272#8752277</v>
      </c>
      <c r="AD1475" s="232">
        <f>IFERROR(__xludf.DUMMYFUNCTION("""COMPUTED_VALUE"""),24.0)</f>
        <v>24</v>
      </c>
      <c r="AE1475" s="233">
        <f>IFERROR(__xludf.DUMMYFUNCTION("""COMPUTED_VALUE"""),46073.0)</f>
        <v>46073</v>
      </c>
      <c r="AF1475" s="54"/>
      <c r="AG1475" s="54"/>
      <c r="AH1475" s="54">
        <v>46073.0</v>
      </c>
      <c r="AI1475" s="55">
        <f t="shared" si="149"/>
        <v>0</v>
      </c>
      <c r="AW1475" s="234"/>
      <c r="BP1475" s="11"/>
      <c r="BQ1475" s="11"/>
      <c r="BR1475" s="235"/>
      <c r="BV1475" s="158"/>
      <c r="BY1475" s="158"/>
      <c r="CB1475" s="158"/>
    </row>
    <row r="1476" ht="18.0" customHeight="1">
      <c r="A1476" s="222">
        <f>IFERROR(__xludf.DUMMYFUNCTION("""COMPUTED_VALUE"""),2026.0)</f>
        <v>2026</v>
      </c>
      <c r="B1476" s="221">
        <f>IFERROR(__xludf.DUMMYFUNCTION("""COMPUTED_VALUE"""),1.1348166E7)</f>
        <v>11348166</v>
      </c>
      <c r="C1476" s="222" t="str">
        <f>IFERROR(__xludf.DUMMYFUNCTION("""COMPUTED_VALUE"""),"SMB P2I2 Perumahan Andara Tanjung Pati")</f>
        <v>SMB P2I2 Perumahan Andara Tanjung Pati</v>
      </c>
      <c r="D1476" s="222" t="str">
        <f>IFERROR(__xludf.DUMMYFUNCTION("""COMPUTED_VALUE"""),"REGIONAL I")</f>
        <v>REGIONAL I</v>
      </c>
      <c r="E1476" s="222" t="str">
        <f>IFERROR(__xludf.DUMMYFUNCTION("""COMPUTED_VALUE"""),"SUMBAR")</f>
        <v>SUMBAR</v>
      </c>
      <c r="F1476" s="222" t="str">
        <f>IFERROR(__xludf.DUMMYFUNCTION("""COMPUTED_VALUE"""),"HRU")</f>
        <v>HRU</v>
      </c>
      <c r="G1476" s="222" t="str">
        <f>IFERROR(__xludf.DUMMYFUNCTION("""COMPUTED_VALUE"""),"SUMBAGTENG")</f>
        <v>SUMBAGTENG</v>
      </c>
      <c r="H1476" s="222" t="str">
        <f>IFERROR(__xludf.DUMMYFUNCTION("""COMPUTED_VALUE"""),"BUKIT TINGGI")</f>
        <v>BUKIT TINGGI</v>
      </c>
      <c r="I1476" s="222" t="str">
        <f>IFERROR(__xludf.DUMMYFUNCTION("""COMPUTED_VALUE"""),"Batch 2")</f>
        <v>Batch 2</v>
      </c>
      <c r="J1476" s="225">
        <f>IFERROR(__xludf.DUMMYFUNCTION("""COMPUTED_VALUE"""),2.0)</f>
        <v>2</v>
      </c>
      <c r="K1476" s="224">
        <f>IFERROR(__xludf.DUMMYFUNCTION("""COMPUTED_VALUE"""),16.0)</f>
        <v>16</v>
      </c>
      <c r="L1476" s="226">
        <f>IFERROR(__xludf.DUMMYFUNCTION("""COMPUTED_VALUE"""),650410.0)</f>
        <v>650410</v>
      </c>
      <c r="M1476" s="227">
        <f>IFERROR(__xludf.DUMMYFUNCTION("""COMPUTED_VALUE"""),1.040655E7)</f>
        <v>10406550</v>
      </c>
      <c r="N1476" s="222" t="str">
        <f>IFERROR(__xludf.DUMMYFUNCTION("""COMPUTED_VALUE"""),"PT RATRI PRIMA MANDIRI")</f>
        <v>PT RATRI PRIMA MANDIRI</v>
      </c>
      <c r="O1476" s="222" t="str">
        <f>IFERROR(__xludf.DUMMYFUNCTION("""COMPUTED_VALUE"""),"0. DROP")</f>
        <v>0. DROP</v>
      </c>
      <c r="P1476" s="222" t="str">
        <f>IFERROR(__xludf.DUMMYFUNCTION("""COMPUTED_VALUE"""),"0.3 Feeder Full")</f>
        <v>0.3 Feeder Full</v>
      </c>
      <c r="Q1476" s="222" t="str">
        <f>IFERROR(__xludf.DUMMYFUNCTION("""COMPUTED_VALUE"""),"(26/01) Kendala feeder HRU-FG full")</f>
        <v>(26/01) Kendala feeder HRU-FG full</v>
      </c>
      <c r="R1476" s="228"/>
      <c r="S1476" s="11"/>
      <c r="T1476" s="11"/>
      <c r="U1476" s="11"/>
      <c r="V1476" s="229"/>
      <c r="W1476" s="229"/>
      <c r="X1476" s="229" t="str">
        <f>IFERROR(__xludf.DUMMYFUNCTION("""COMPUTED_VALUE"""),"BELUM GOLIVE")</f>
        <v>BELUM GOLIVE</v>
      </c>
      <c r="Y1476" s="229"/>
      <c r="Z1476" s="229" t="str">
        <f>IFERROR(__xludf.DUMMYFUNCTION("""COMPUTED_VALUE"""),"#N/A")</f>
        <v>#N/A</v>
      </c>
      <c r="AA1476" s="229"/>
      <c r="AB1476" s="229"/>
      <c r="AC1476" s="229"/>
      <c r="AD1476" s="232"/>
      <c r="AE1476" s="233"/>
      <c r="AF1476" s="54" t="str">
        <f>IFERROR(__xludf.DUMMYFUNCTION("""COMPUTED_VALUE"""),"Draft BA DROP")</f>
        <v>Draft BA DROP</v>
      </c>
      <c r="AG1476" s="54"/>
      <c r="AH1476" s="54"/>
      <c r="AI1476" s="55" t="str">
        <f t="shared" si="149"/>
        <v/>
      </c>
      <c r="AW1476" s="234"/>
      <c r="BP1476" s="11"/>
      <c r="BQ1476" s="11"/>
      <c r="BR1476" s="235"/>
      <c r="BV1476" s="158"/>
      <c r="BY1476" s="158"/>
      <c r="CB1476" s="158"/>
    </row>
    <row r="1477" ht="18.0" hidden="1" customHeight="1">
      <c r="A1477" s="222">
        <f>IFERROR(__xludf.DUMMYFUNCTION("""COMPUTED_VALUE"""),2026.0)</f>
        <v>2026</v>
      </c>
      <c r="B1477" s="221">
        <f>IFERROR(__xludf.DUMMYFUNCTION("""COMPUTED_VALUE"""),1.1237218E7)</f>
        <v>11237218</v>
      </c>
      <c r="C1477" s="222" t="str">
        <f>IFERROR(__xludf.DUMMYFUNCTION("""COMPUTED_VALUE"""),"MDN PT3 P7I13 DLT-FV JL.SIMPANG JABA")</f>
        <v>MDN PT3 P7I13 DLT-FV JL.SIMPANG JABA</v>
      </c>
      <c r="D1477" s="222" t="str">
        <f>IFERROR(__xludf.DUMMYFUNCTION("""COMPUTED_VALUE"""),"REGIONAL I")</f>
        <v>REGIONAL I</v>
      </c>
      <c r="E1477" s="222" t="str">
        <f>IFERROR(__xludf.DUMMYFUNCTION("""COMPUTED_VALUE"""),"MEDAN")</f>
        <v>MEDAN</v>
      </c>
      <c r="F1477" s="222" t="str">
        <f>IFERROR(__xludf.DUMMYFUNCTION("""COMPUTED_VALUE"""),"DLT")</f>
        <v>DLT</v>
      </c>
      <c r="G1477" s="222" t="str">
        <f>IFERROR(__xludf.DUMMYFUNCTION("""COMPUTED_VALUE"""),"SUMBAGUT")</f>
        <v>SUMBAGUT</v>
      </c>
      <c r="H1477" s="222" t="str">
        <f>IFERROR(__xludf.DUMMYFUNCTION("""COMPUTED_VALUE"""),"MEDAN")</f>
        <v>MEDAN</v>
      </c>
      <c r="I1477" s="222" t="str">
        <f>IFERROR(__xludf.DUMMYFUNCTION("""COMPUTED_VALUE"""),"Batch 2")</f>
        <v>Batch 2</v>
      </c>
      <c r="J1477" s="225">
        <f>IFERROR(__xludf.DUMMYFUNCTION("""COMPUTED_VALUE"""),6.0)</f>
        <v>6</v>
      </c>
      <c r="K1477" s="224">
        <f>IFERROR(__xludf.DUMMYFUNCTION("""COMPUTED_VALUE"""),48.0)</f>
        <v>48</v>
      </c>
      <c r="L1477" s="226">
        <f>IFERROR(__xludf.DUMMYFUNCTION("""COMPUTED_VALUE"""),1560121.0)</f>
        <v>1560121</v>
      </c>
      <c r="M1477" s="227">
        <f>IFERROR(__xludf.DUMMYFUNCTION("""COMPUTED_VALUE"""),7.4885798E7)</f>
        <v>74885798</v>
      </c>
      <c r="N1477" s="222" t="str">
        <f>IFERROR(__xludf.DUMMYFUNCTION("""COMPUTED_VALUE"""),"PT SALTTEK DUMPANG JAYA")</f>
        <v>PT SALTTEK DUMPANG JAYA</v>
      </c>
      <c r="O1477" s="222" t="str">
        <f>IFERROR(__xludf.DUMMYFUNCTION("""COMPUTED_VALUE"""),"0. DROP")</f>
        <v>0. DROP</v>
      </c>
      <c r="P1477" s="222" t="str">
        <f>IFERROR(__xludf.DUMMYFUNCTION("""COMPUTED_VALUE"""),"0.4 CPP Tinggi Acc ED TIF")</f>
        <v>0.4 CPP Tinggi Acc ED TIF</v>
      </c>
      <c r="Q1477" s="222" t="str">
        <f>IFERROR(__xludf.DUMMYFUNCTION("""COMPUTED_VALUE"""),"(08/01) Kendala feeder PDC-FH FULL,proses aanwijziing,Proses mapping mitra (07/01) Persiapan")</f>
        <v>(08/01) Kendala feeder PDC-FH FULL,proses aanwijziing,Proses mapping mitra (07/01) Persiapan</v>
      </c>
      <c r="R1477" s="228"/>
      <c r="S1477" s="11"/>
      <c r="T1477" s="11"/>
      <c r="U1477" s="11"/>
      <c r="V1477" s="229"/>
      <c r="W1477" s="229"/>
      <c r="X1477" s="229" t="str">
        <f>IFERROR(__xludf.DUMMYFUNCTION("""COMPUTED_VALUE"""),"BELUM GOLIVE")</f>
        <v>BELUM GOLIVE</v>
      </c>
      <c r="Y1477" s="229"/>
      <c r="Z1477" s="229" t="str">
        <f>IFERROR(__xludf.DUMMYFUNCTION("""COMPUTED_VALUE"""),"#N/A")</f>
        <v>#N/A</v>
      </c>
      <c r="AA1477" s="229"/>
      <c r="AB1477" s="229"/>
      <c r="AC1477" s="229"/>
      <c r="AD1477" s="232"/>
      <c r="AE1477" s="233"/>
      <c r="AF1477" s="54" t="str">
        <f>IFERROR(__xludf.DUMMYFUNCTION("""COMPUTED_VALUE"""),"Draft BA DROP")</f>
        <v>Draft BA DROP</v>
      </c>
      <c r="AG1477" s="54"/>
      <c r="AH1477" s="54"/>
      <c r="AI1477" s="55" t="str">
        <f t="shared" si="149"/>
        <v/>
      </c>
      <c r="AW1477" s="234"/>
      <c r="BP1477" s="11"/>
      <c r="BQ1477" s="11"/>
      <c r="BR1477" s="235"/>
      <c r="BV1477" s="158"/>
      <c r="BY1477" s="158"/>
      <c r="CB1477" s="158"/>
    </row>
    <row r="1478" ht="18.0" customHeight="1">
      <c r="A1478" s="222">
        <f>IFERROR(__xludf.DUMMYFUNCTION("""COMPUTED_VALUE"""),2026.0)</f>
        <v>2026</v>
      </c>
      <c r="B1478" s="221">
        <f>IFERROR(__xludf.DUMMYFUNCTION("""COMPUTED_VALUE"""),1.1162667E7)</f>
        <v>11162667</v>
      </c>
      <c r="C1478" s="222" t="str">
        <f>IFERROR(__xludf.DUMMYFUNCTION("""COMPUTED_VALUE"""),"SMB MD PDG 15124 new")</f>
        <v>SMB MD PDG 15124 new</v>
      </c>
      <c r="D1478" s="222" t="str">
        <f>IFERROR(__xludf.DUMMYFUNCTION("""COMPUTED_VALUE"""),"REGIONAL I")</f>
        <v>REGIONAL I</v>
      </c>
      <c r="E1478" s="222" t="str">
        <f>IFERROR(__xludf.DUMMYFUNCTION("""COMPUTED_VALUE"""),"SUMBAR")</f>
        <v>SUMBAR</v>
      </c>
      <c r="F1478" s="222" t="str">
        <f>IFERROR(__xludf.DUMMYFUNCTION("""COMPUTED_VALUE"""),"PDC")</f>
        <v>PDC</v>
      </c>
      <c r="G1478" s="222" t="str">
        <f>IFERROR(__xludf.DUMMYFUNCTION("""COMPUTED_VALUE"""),"SUMBAGTENG")</f>
        <v>SUMBAGTENG</v>
      </c>
      <c r="H1478" s="222" t="str">
        <f>IFERROR(__xludf.DUMMYFUNCTION("""COMPUTED_VALUE"""),"PADANG")</f>
        <v>PADANG</v>
      </c>
      <c r="I1478" s="222" t="str">
        <f>IFERROR(__xludf.DUMMYFUNCTION("""COMPUTED_VALUE"""),"Batch 2")</f>
        <v>Batch 2</v>
      </c>
      <c r="J1478" s="225">
        <f>IFERROR(__xludf.DUMMYFUNCTION("""COMPUTED_VALUE"""),1.0)</f>
        <v>1</v>
      </c>
      <c r="K1478" s="224">
        <f>IFERROR(__xludf.DUMMYFUNCTION("""COMPUTED_VALUE"""),8.0)</f>
        <v>8</v>
      </c>
      <c r="L1478" s="226">
        <f>IFERROR(__xludf.DUMMYFUNCTION("""COMPUTED_VALUE"""),649878.0)</f>
        <v>649878</v>
      </c>
      <c r="M1478" s="227">
        <f>IFERROR(__xludf.DUMMYFUNCTION("""COMPUTED_VALUE"""),5199024.0)</f>
        <v>5199024</v>
      </c>
      <c r="N1478" s="222" t="str">
        <f>IFERROR(__xludf.DUMMYFUNCTION("""COMPUTED_VALUE"""),"PT ALAM UTAMA MULIA")</f>
        <v>PT ALAM UTAMA MULIA</v>
      </c>
      <c r="O1478" s="222" t="str">
        <f>IFERROR(__xludf.DUMMYFUNCTION("""COMPUTED_VALUE"""),"0. DROP")</f>
        <v>0. DROP</v>
      </c>
      <c r="P1478" s="222" t="str">
        <f>IFERROR(__xludf.DUMMYFUNCTION("""COMPUTED_VALUE"""),"0.3 Feeder Full")</f>
        <v>0.3 Feeder Full</v>
      </c>
      <c r="Q1478" s="222" t="str">
        <f>IFERROR(__xludf.DUMMYFUNCTION("""COMPUTED_VALUE"""),"(26/01) Kendala feeder PDC-FH FULL")</f>
        <v>(26/01) Kendala feeder PDC-FH FULL</v>
      </c>
      <c r="R1478" s="228"/>
      <c r="S1478" s="11"/>
      <c r="T1478" s="11"/>
      <c r="U1478" s="11"/>
      <c r="V1478" s="229"/>
      <c r="W1478" s="229"/>
      <c r="X1478" s="229" t="str">
        <f>IFERROR(__xludf.DUMMYFUNCTION("""COMPUTED_VALUE"""),"BELUM GOLIVE")</f>
        <v>BELUM GOLIVE</v>
      </c>
      <c r="Y1478" s="229"/>
      <c r="Z1478" s="229" t="str">
        <f>IFERROR(__xludf.DUMMYFUNCTION("""COMPUTED_VALUE"""),"#N/A")</f>
        <v>#N/A</v>
      </c>
      <c r="AA1478" s="229"/>
      <c r="AB1478" s="229"/>
      <c r="AC1478" s="229"/>
      <c r="AD1478" s="232"/>
      <c r="AE1478" s="233"/>
      <c r="AF1478" s="54" t="str">
        <f>IFERROR(__xludf.DUMMYFUNCTION("""COMPUTED_VALUE"""),"Draft BA DROP")</f>
        <v>Draft BA DROP</v>
      </c>
      <c r="AG1478" s="54"/>
      <c r="AH1478" s="54"/>
      <c r="AI1478" s="55" t="str">
        <f t="shared" si="149"/>
        <v/>
      </c>
      <c r="AW1478" s="234"/>
      <c r="BP1478" s="11"/>
      <c r="BQ1478" s="11"/>
      <c r="BR1478" s="235"/>
      <c r="BV1478" s="158"/>
      <c r="BY1478" s="158"/>
      <c r="CB1478" s="158"/>
    </row>
    <row r="1479" ht="18.0" hidden="1" customHeight="1">
      <c r="A1479" s="222">
        <f>IFERROR(__xludf.DUMMYFUNCTION("""COMPUTED_VALUE"""),2026.0)</f>
        <v>2026</v>
      </c>
      <c r="B1479" s="221">
        <f>IFERROR(__xludf.DUMMYFUNCTION("""COMPUTED_VALUE"""),1.2133276E7)</f>
        <v>12133276</v>
      </c>
      <c r="C1479" s="222" t="str">
        <f>IFERROR(__xludf.DUMMYFUNCTION("""COMPUTED_VALUE"""),"LPG PT3 JPP Perum Keiko KDT")</f>
        <v>LPG PT3 JPP Perum Keiko KDT</v>
      </c>
      <c r="D1479" s="222" t="str">
        <f>IFERROR(__xludf.DUMMYFUNCTION("""COMPUTED_VALUE"""),"REGIONAL I")</f>
        <v>REGIONAL I</v>
      </c>
      <c r="E1479" s="222" t="str">
        <f>IFERROR(__xludf.DUMMYFUNCTION("""COMPUTED_VALUE"""),"LAMPUNG")</f>
        <v>LAMPUNG</v>
      </c>
      <c r="F1479" s="222" t="str">
        <f>IFERROR(__xludf.DUMMYFUNCTION("""COMPUTED_VALUE"""),"KDT")</f>
        <v>KDT</v>
      </c>
      <c r="G1479" s="222" t="str">
        <f>IFERROR(__xludf.DUMMYFUNCTION("""COMPUTED_VALUE"""),"SUMBAGSEL")</f>
        <v>SUMBAGSEL</v>
      </c>
      <c r="H1479" s="222" t="str">
        <f>IFERROR(__xludf.DUMMYFUNCTION("""COMPUTED_VALUE"""),"LAMPUNG")</f>
        <v>LAMPUNG</v>
      </c>
      <c r="I1479" s="222" t="str">
        <f>IFERROR(__xludf.DUMMYFUNCTION("""COMPUTED_VALUE"""),"Batch 2")</f>
        <v>Batch 2</v>
      </c>
      <c r="J1479" s="225">
        <f>IFERROR(__xludf.DUMMYFUNCTION("""COMPUTED_VALUE"""),6.0)</f>
        <v>6</v>
      </c>
      <c r="K1479" s="224">
        <f>IFERROR(__xludf.DUMMYFUNCTION("""COMPUTED_VALUE"""),48.0)</f>
        <v>48</v>
      </c>
      <c r="L1479" s="226">
        <f>IFERROR(__xludf.DUMMYFUNCTION("""COMPUTED_VALUE"""),649059.0)</f>
        <v>649059</v>
      </c>
      <c r="M1479" s="227">
        <f>IFERROR(__xludf.DUMMYFUNCTION("""COMPUTED_VALUE"""),3.1154811E7)</f>
        <v>31154811</v>
      </c>
      <c r="N1479" s="222" t="str">
        <f>IFERROR(__xludf.DUMMYFUNCTION("""COMPUTED_VALUE"""),"PT BANGTELINDO")</f>
        <v>PT BANGTELINDO</v>
      </c>
      <c r="O1479" s="222" t="str">
        <f>IFERROR(__xludf.DUMMYFUNCTION("""COMPUTED_VALUE"""),"0. DROP")</f>
        <v>0. DROP</v>
      </c>
      <c r="P1479" s="222" t="str">
        <f>IFERROR(__xludf.DUMMYFUNCTION("""COMPUTED_VALUE"""),"0.2 Tidak Dapat Izin Warga/Kades/Lurah/Developer")</f>
        <v>0.2 Tidak Dapat Izin Warga/Kades/Lurah/Developer</v>
      </c>
      <c r="Q1479" s="222" t="str">
        <f>IFERROR(__xludf.DUMMYFUNCTION("""COMPUTED_VALUE"""),"10/2 lurah minta surat disperkikm  6/2  lurah belum plng umroh sekdes tidaka bisa putuskan ,folow uf 09/2 ,estimasi 12/2
4/2 menunggu konfirmasi balik dari lurah terkiat perizinan 
28/1 menungu keputusan lurah 
21/progres cek eletrical odc dan olt
19/1 pr"&amp;"oses pengacekan core dan perizinan")</f>
        <v>10/2 lurah minta surat disperkikm  6/2  lurah belum plng umroh sekdes tidaka bisa putuskan ,folow uf 09/2 ,estimasi 12/2
4/2 menunggu konfirmasi balik dari lurah terkiat perizinan 
28/1 menungu keputusan lurah 
21/progres cek eletrical odc dan olt
19/1 proses pengacekan core dan perizinan</v>
      </c>
      <c r="R1479" s="228"/>
      <c r="S1479" s="11"/>
      <c r="T1479" s="11"/>
      <c r="U1479" s="11"/>
      <c r="V1479" s="229"/>
      <c r="W1479" s="229"/>
      <c r="X1479" s="229" t="str">
        <f>IFERROR(__xludf.DUMMYFUNCTION("""COMPUTED_VALUE"""),"BELUM GOLIVE")</f>
        <v>BELUM GOLIVE</v>
      </c>
      <c r="Y1479" s="229" t="str">
        <f>IFERROR(__xludf.DUMMYFUNCTION("""COMPUTED_VALUE"""),"PORT OLT Penuh")</f>
        <v>PORT OLT Penuh</v>
      </c>
      <c r="Z1479" s="229" t="str">
        <f>IFERROR(__xludf.DUMMYFUNCTION("""COMPUTED_VALUE"""),"#N/A")</f>
        <v>#N/A</v>
      </c>
      <c r="AA1479" s="229"/>
      <c r="AB1479" s="229"/>
      <c r="AC1479" s="229"/>
      <c r="AD1479" s="232"/>
      <c r="AE1479" s="233"/>
      <c r="AF1479" s="54" t="str">
        <f>IFERROR(__xludf.DUMMYFUNCTION("""COMPUTED_VALUE"""),"Draft BA DROP")</f>
        <v>Draft BA DROP</v>
      </c>
      <c r="AG1479" s="54"/>
      <c r="AH1479" s="54"/>
      <c r="AI1479" s="55" t="str">
        <f t="shared" si="149"/>
        <v/>
      </c>
      <c r="AW1479" s="234"/>
      <c r="BP1479" s="11"/>
      <c r="BQ1479" s="11"/>
      <c r="BR1479" s="235"/>
      <c r="BV1479" s="158"/>
      <c r="BY1479" s="158"/>
      <c r="CB1479" s="158"/>
    </row>
    <row r="1480" ht="18.0" hidden="1" customHeight="1">
      <c r="A1480" s="222">
        <f>IFERROR(__xludf.DUMMYFUNCTION("""COMPUTED_VALUE"""),2026.0)</f>
        <v>2026</v>
      </c>
      <c r="B1480" s="221">
        <f>IFERROR(__xludf.DUMMYFUNCTION("""COMPUTED_VALUE"""),1.2313827E7)</f>
        <v>12313827</v>
      </c>
      <c r="C1480" s="222" t="str">
        <f>IFERROR(__xludf.DUMMYFUNCTION("""COMPUTED_VALUE"""),"JBI-PT3 BRANCHING-PAP-FAU-ID549372")</f>
        <v>JBI-PT3 BRANCHING-PAP-FAU-ID549372</v>
      </c>
      <c r="D1480" s="222" t="str">
        <f>IFERROR(__xludf.DUMMYFUNCTION("""COMPUTED_VALUE"""),"REGIONAL I")</f>
        <v>REGIONAL I</v>
      </c>
      <c r="E1480" s="222" t="str">
        <f>IFERROR(__xludf.DUMMYFUNCTION("""COMPUTED_VALUE"""),"JAMBI")</f>
        <v>JAMBI</v>
      </c>
      <c r="F1480" s="222" t="str">
        <f>IFERROR(__xludf.DUMMYFUNCTION("""COMPUTED_VALUE"""),"PAP")</f>
        <v>PAP</v>
      </c>
      <c r="G1480" s="222" t="str">
        <f>IFERROR(__xludf.DUMMYFUNCTION("""COMPUTED_VALUE"""),"SUMBAGSEL")</f>
        <v>SUMBAGSEL</v>
      </c>
      <c r="H1480" s="222" t="str">
        <f>IFERROR(__xludf.DUMMYFUNCTION("""COMPUTED_VALUE"""),"JAMBI")</f>
        <v>JAMBI</v>
      </c>
      <c r="I1480" s="222" t="str">
        <f>IFERROR(__xludf.DUMMYFUNCTION("""COMPUTED_VALUE"""),"Batch 2")</f>
        <v>Batch 2</v>
      </c>
      <c r="J1480" s="225">
        <f>IFERROR(__xludf.DUMMYFUNCTION("""COMPUTED_VALUE"""),2.0)</f>
        <v>2</v>
      </c>
      <c r="K1480" s="224">
        <f>IFERROR(__xludf.DUMMYFUNCTION("""COMPUTED_VALUE"""),16.0)</f>
        <v>16</v>
      </c>
      <c r="L1480" s="226">
        <f>IFERROR(__xludf.DUMMYFUNCTION("""COMPUTED_VALUE"""),647250.0)</f>
        <v>647250</v>
      </c>
      <c r="M1480" s="227">
        <f>IFERROR(__xludf.DUMMYFUNCTION("""COMPUTED_VALUE"""),1.0355992E7)</f>
        <v>10355992</v>
      </c>
      <c r="N1480" s="222" t="str">
        <f>IFERROR(__xludf.DUMMYFUNCTION("""COMPUTED_VALUE"""),"PT ANGSO DUO TELEKOMUNIKASI")</f>
        <v>PT ANGSO DUO TELEKOMUNIKASI</v>
      </c>
      <c r="O1480" s="222" t="str">
        <f>IFERROR(__xludf.DUMMYFUNCTION("""COMPUTED_VALUE"""),"0. DROP")</f>
        <v>0. DROP</v>
      </c>
      <c r="P1480" s="222" t="str">
        <f>IFERROR(__xludf.DUMMYFUNCTION("""COMPUTED_VALUE"""),"0.2 Tidak Dapat Izin Warga/Kades/Lurah/Developer")</f>
        <v>0.2 Tidak Dapat Izin Warga/Kades/Lurah/Developer</v>
      </c>
      <c r="Q1480" s="222" t="str">
        <f>IFERROR(__xludf.DUMMYFUNCTION("""COMPUTED_VALUE"""),"(12/1) drop DItolak RT Setempat 17/11 BELUM OPTIMIS NOV25 , HOLD TIF (08/11)tidak dapat izin rt dan pemilik lahan RT karena sudah ada 3 provider lain  (21/10) Mapping Mitra")</f>
        <v>(12/1) drop DItolak RT Setempat 17/11 BELUM OPTIMIS NOV25 , HOLD TIF (08/11)tidak dapat izin rt dan pemilik lahan RT karena sudah ada 3 provider lain  (21/10) Mapping Mitra</v>
      </c>
      <c r="R1480" s="228"/>
      <c r="S1480" s="11"/>
      <c r="T1480" s="11"/>
      <c r="U1480" s="11"/>
      <c r="V1480" s="229"/>
      <c r="W1480" s="229"/>
      <c r="X1480" s="229" t="str">
        <f>IFERROR(__xludf.DUMMYFUNCTION("""COMPUTED_VALUE"""),"BELUM GOLIVE")</f>
        <v>BELUM GOLIVE</v>
      </c>
      <c r="Y1480" s="229"/>
      <c r="Z1480" s="229" t="str">
        <f>IFERROR(__xludf.DUMMYFUNCTION("""COMPUTED_VALUE"""),"#N/A")</f>
        <v>#N/A</v>
      </c>
      <c r="AA1480" s="229"/>
      <c r="AB1480" s="229"/>
      <c r="AC1480" s="229"/>
      <c r="AD1480" s="232"/>
      <c r="AE1480" s="233"/>
      <c r="AF1480" s="54" t="str">
        <f>IFERROR(__xludf.DUMMYFUNCTION("""COMPUTED_VALUE"""),"Draft BA DROP")</f>
        <v>Draft BA DROP</v>
      </c>
      <c r="AG1480" s="54"/>
      <c r="AH1480" s="54"/>
      <c r="AI1480" s="55" t="str">
        <f t="shared" si="149"/>
        <v/>
      </c>
      <c r="AW1480" s="234"/>
      <c r="BP1480" s="11"/>
      <c r="BQ1480" s="11"/>
      <c r="BR1480" s="235"/>
      <c r="BV1480" s="158"/>
      <c r="BY1480" s="158"/>
      <c r="CB1480" s="158"/>
    </row>
    <row r="1481" ht="18.0" hidden="1" customHeight="1">
      <c r="A1481" s="222">
        <f>IFERROR(__xludf.DUMMYFUNCTION("""COMPUTED_VALUE"""),2026.0)</f>
        <v>2026</v>
      </c>
      <c r="B1481" s="221">
        <f>IFERROR(__xludf.DUMMYFUNCTION("""COMPUTED_VALUE"""),1.1189318E7)</f>
        <v>11189318</v>
      </c>
      <c r="C1481" s="222" t="str">
        <f>IFERROR(__xludf.DUMMYFUNCTION("""COMPUTED_VALUE"""),"MDN PT3 P7I10 TTG-FBE JL.LUKU I GG.KALI")</f>
        <v>MDN PT3 P7I10 TTG-FBE JL.LUKU I GG.KALI</v>
      </c>
      <c r="D1481" s="222" t="str">
        <f>IFERROR(__xludf.DUMMYFUNCTION("""COMPUTED_VALUE"""),"REGIONAL I")</f>
        <v>REGIONAL I</v>
      </c>
      <c r="E1481" s="222" t="str">
        <f>IFERROR(__xludf.DUMMYFUNCTION("""COMPUTED_VALUE"""),"MEDAN")</f>
        <v>MEDAN</v>
      </c>
      <c r="F1481" s="222" t="str">
        <f>IFERROR(__xludf.DUMMYFUNCTION("""COMPUTED_VALUE"""),"TTG")</f>
        <v>TTG</v>
      </c>
      <c r="G1481" s="222" t="str">
        <f>IFERROR(__xludf.DUMMYFUNCTION("""COMPUTED_VALUE"""),"SUMBAGUT")</f>
        <v>SUMBAGUT</v>
      </c>
      <c r="H1481" s="222" t="str">
        <f>IFERROR(__xludf.DUMMYFUNCTION("""COMPUTED_VALUE"""),"MEDAN")</f>
        <v>MEDAN</v>
      </c>
      <c r="I1481" s="222" t="str">
        <f>IFERROR(__xludf.DUMMYFUNCTION("""COMPUTED_VALUE"""),"Batch 2")</f>
        <v>Batch 2</v>
      </c>
      <c r="J1481" s="225">
        <f>IFERROR(__xludf.DUMMYFUNCTION("""COMPUTED_VALUE"""),4.0)</f>
        <v>4</v>
      </c>
      <c r="K1481" s="224">
        <f>IFERROR(__xludf.DUMMYFUNCTION("""COMPUTED_VALUE"""),32.0)</f>
        <v>32</v>
      </c>
      <c r="L1481" s="226">
        <f>IFERROR(__xludf.DUMMYFUNCTION("""COMPUTED_VALUE"""),646962.0)</f>
        <v>646962</v>
      </c>
      <c r="M1481" s="227">
        <f>IFERROR(__xludf.DUMMYFUNCTION("""COMPUTED_VALUE"""),2.0702753E7)</f>
        <v>20702753</v>
      </c>
      <c r="N1481" s="222" t="str">
        <f>IFERROR(__xludf.DUMMYFUNCTION("""COMPUTED_VALUE"""),"PT FAJAR MITRA KRIDA ABADI")</f>
        <v>PT FAJAR MITRA KRIDA ABADI</v>
      </c>
      <c r="O1481" s="222" t="str">
        <f>IFERROR(__xludf.DUMMYFUNCTION("""COMPUTED_VALUE"""),"0. DROP")</f>
        <v>0. DROP</v>
      </c>
      <c r="P1481" s="222" t="str">
        <f>IFERROR(__xludf.DUMMYFUNCTION("""COMPUTED_VALUE"""),"0.3 Feeder Full")</f>
        <v>0.3 Feeder Full</v>
      </c>
      <c r="Q1481" s="222" t="str">
        <f>IFERROR(__xludf.DUMMYFUNCTION("""COMPUTED_VALUE"""),"08/03 Feeder Penuh (07/01) Persiapan")</f>
        <v>08/03 Feeder Penuh (07/01) Persiapan</v>
      </c>
      <c r="R1481" s="228"/>
      <c r="S1481" s="11"/>
      <c r="T1481" s="11"/>
      <c r="U1481" s="11"/>
      <c r="V1481" s="229"/>
      <c r="W1481" s="229"/>
      <c r="X1481" s="229" t="str">
        <f>IFERROR(__xludf.DUMMYFUNCTION("""COMPUTED_VALUE"""),"BELUM GOLIVE")</f>
        <v>BELUM GOLIVE</v>
      </c>
      <c r="Y1481" s="229"/>
      <c r="Z1481" s="229" t="str">
        <f>IFERROR(__xludf.DUMMYFUNCTION("""COMPUTED_VALUE"""),"#N/A")</f>
        <v>#N/A</v>
      </c>
      <c r="AA1481" s="229"/>
      <c r="AB1481" s="229"/>
      <c r="AC1481" s="229"/>
      <c r="AD1481" s="232"/>
      <c r="AE1481" s="233"/>
      <c r="AF1481" s="54"/>
      <c r="AG1481" s="54"/>
      <c r="AH1481" s="54"/>
      <c r="AI1481" s="55" t="str">
        <f t="shared" si="149"/>
        <v/>
      </c>
      <c r="AW1481" s="234"/>
      <c r="BP1481" s="11"/>
      <c r="BQ1481" s="11"/>
      <c r="BR1481" s="235"/>
      <c r="BV1481" s="158"/>
      <c r="BY1481" s="158"/>
      <c r="CB1481" s="158"/>
    </row>
    <row r="1482" ht="18.0" hidden="1" customHeight="1">
      <c r="A1482" s="222">
        <f>IFERROR(__xludf.DUMMYFUNCTION("""COMPUTED_VALUE"""),2026.0)</f>
        <v>2026</v>
      </c>
      <c r="B1482" s="221">
        <f>IFERROR(__xludf.DUMMYFUNCTION("""COMPUTED_VALUE"""),1.2085967E7)</f>
        <v>12085967</v>
      </c>
      <c r="C1482" s="222" t="str">
        <f>IFERROR(__xludf.DUMMYFUNCTION("""COMPUTED_VALUE"""),"JBI-PT3-ODC-JMB-FQ-549366")</f>
        <v>JBI-PT3-ODC-JMB-FQ-549366</v>
      </c>
      <c r="D1482" s="222" t="str">
        <f>IFERROR(__xludf.DUMMYFUNCTION("""COMPUTED_VALUE"""),"REGIONAL I")</f>
        <v>REGIONAL I</v>
      </c>
      <c r="E1482" s="222" t="str">
        <f>IFERROR(__xludf.DUMMYFUNCTION("""COMPUTED_VALUE"""),"JAMBI")</f>
        <v>JAMBI</v>
      </c>
      <c r="F1482" s="222" t="str">
        <f>IFERROR(__xludf.DUMMYFUNCTION("""COMPUTED_VALUE"""),"JMB")</f>
        <v>JMB</v>
      </c>
      <c r="G1482" s="222" t="str">
        <f>IFERROR(__xludf.DUMMYFUNCTION("""COMPUTED_VALUE"""),"SUMBAGSEL")</f>
        <v>SUMBAGSEL</v>
      </c>
      <c r="H1482" s="222" t="str">
        <f>IFERROR(__xludf.DUMMYFUNCTION("""COMPUTED_VALUE"""),"JAMBI")</f>
        <v>JAMBI</v>
      </c>
      <c r="I1482" s="222" t="str">
        <f>IFERROR(__xludf.DUMMYFUNCTION("""COMPUTED_VALUE"""),"Batch 2")</f>
        <v>Batch 2</v>
      </c>
      <c r="J1482" s="225">
        <f>IFERROR(__xludf.DUMMYFUNCTION("""COMPUTED_VALUE"""),3.0)</f>
        <v>3</v>
      </c>
      <c r="K1482" s="224">
        <f>IFERROR(__xludf.DUMMYFUNCTION("""COMPUTED_VALUE"""),24.0)</f>
        <v>24</v>
      </c>
      <c r="L1482" s="226">
        <f>IFERROR(__xludf.DUMMYFUNCTION("""COMPUTED_VALUE"""),646793.0)</f>
        <v>646793</v>
      </c>
      <c r="M1482" s="227">
        <f>IFERROR(__xludf.DUMMYFUNCTION("""COMPUTED_VALUE"""),1.5523026E7)</f>
        <v>15523026</v>
      </c>
      <c r="N1482" s="222" t="str">
        <f>IFERROR(__xludf.DUMMYFUNCTION("""COMPUTED_VALUE"""),"SWAKELOLA")</f>
        <v>SWAKELOLA</v>
      </c>
      <c r="O1482" s="222" t="str">
        <f>IFERROR(__xludf.DUMMYFUNCTION("""COMPUTED_VALUE"""),"0. DROP")</f>
        <v>0. DROP</v>
      </c>
      <c r="P1482" s="222" t="str">
        <f>IFERROR(__xludf.DUMMYFUNCTION("""COMPUTED_VALUE"""),"0.5 DROP TSEL - Acc ED TIF")</f>
        <v>0.5 DROP TSEL - Acc ED TIF</v>
      </c>
      <c r="Q1482" s="222" t="str">
        <f>IFERROR(__xludf.DUMMYFUNCTION("""COMPUTED_VALUE"""),"09/04 BA Drop Sirkulir - Permintaan Tsel Market tidak OK  (12/1) BA Drop Sirkulir - Permintaan Tsel Market tidak OK")</f>
        <v>09/04 BA Drop Sirkulir - Permintaan Tsel Market tidak OK  (12/1) BA Drop Sirkulir - Permintaan Tsel Market tidak OK</v>
      </c>
      <c r="R1482" s="228"/>
      <c r="S1482" s="11"/>
      <c r="T1482" s="11"/>
      <c r="U1482" s="11"/>
      <c r="V1482" s="229"/>
      <c r="W1482" s="229"/>
      <c r="X1482" s="229" t="str">
        <f>IFERROR(__xludf.DUMMYFUNCTION("""COMPUTED_VALUE"""),"BELUM GOLIVE")</f>
        <v>BELUM GOLIVE</v>
      </c>
      <c r="Y1482" s="229"/>
      <c r="Z1482" s="229" t="str">
        <f>IFERROR(__xludf.DUMMYFUNCTION("""COMPUTED_VALUE"""),"#N/A")</f>
        <v>#N/A</v>
      </c>
      <c r="AA1482" s="229"/>
      <c r="AB1482" s="229"/>
      <c r="AC1482" s="229"/>
      <c r="AD1482" s="232"/>
      <c r="AE1482" s="233"/>
      <c r="AF1482" s="54"/>
      <c r="AG1482" s="54"/>
      <c r="AH1482" s="54"/>
      <c r="AI1482" s="55" t="str">
        <f t="shared" si="149"/>
        <v/>
      </c>
      <c r="AW1482" s="234"/>
      <c r="BP1482" s="11"/>
      <c r="BQ1482" s="11"/>
      <c r="BR1482" s="235"/>
      <c r="BV1482" s="158"/>
      <c r="BY1482" s="158"/>
      <c r="CB1482" s="158"/>
    </row>
    <row r="1483" ht="18.0" hidden="1" customHeight="1">
      <c r="A1483" s="222">
        <f>IFERROR(__xludf.DUMMYFUNCTION("""COMPUTED_VALUE"""),2026.0)</f>
        <v>2026</v>
      </c>
      <c r="B1483" s="221">
        <f>IFERROR(__xludf.DUMMYFUNCTION("""COMPUTED_VALUE"""),1.1861931E7)</f>
        <v>11861931</v>
      </c>
      <c r="C1483" s="222" t="str">
        <f>IFERROR(__xludf.DUMMYFUNCTION("""COMPUTED_VALUE"""),"LPG PT3 JPP AL-KAHFI 4 KEDAUNG LKP")</f>
        <v>LPG PT3 JPP AL-KAHFI 4 KEDAUNG LKP</v>
      </c>
      <c r="D1483" s="222" t="str">
        <f>IFERROR(__xludf.DUMMYFUNCTION("""COMPUTED_VALUE"""),"REGIONAL I")</f>
        <v>REGIONAL I</v>
      </c>
      <c r="E1483" s="222" t="str">
        <f>IFERROR(__xludf.DUMMYFUNCTION("""COMPUTED_VALUE"""),"LAMPUNG")</f>
        <v>LAMPUNG</v>
      </c>
      <c r="F1483" s="222" t="str">
        <f>IFERROR(__xludf.DUMMYFUNCTION("""COMPUTED_VALUE"""),"LKP")</f>
        <v>LKP</v>
      </c>
      <c r="G1483" s="222" t="str">
        <f>IFERROR(__xludf.DUMMYFUNCTION("""COMPUTED_VALUE"""),"SUMBAGSEL")</f>
        <v>SUMBAGSEL</v>
      </c>
      <c r="H1483" s="222" t="str">
        <f>IFERROR(__xludf.DUMMYFUNCTION("""COMPUTED_VALUE"""),"LAMPUNG")</f>
        <v>LAMPUNG</v>
      </c>
      <c r="I1483" s="222" t="str">
        <f>IFERROR(__xludf.DUMMYFUNCTION("""COMPUTED_VALUE"""),"Batch 2")</f>
        <v>Batch 2</v>
      </c>
      <c r="J1483" s="225">
        <f>IFERROR(__xludf.DUMMYFUNCTION("""COMPUTED_VALUE"""),5.0)</f>
        <v>5</v>
      </c>
      <c r="K1483" s="224">
        <f>IFERROR(__xludf.DUMMYFUNCTION("""COMPUTED_VALUE"""),40.0)</f>
        <v>40</v>
      </c>
      <c r="L1483" s="226">
        <f>IFERROR(__xludf.DUMMYFUNCTION("""COMPUTED_VALUE"""),645385.0)</f>
        <v>645385</v>
      </c>
      <c r="M1483" s="227">
        <f>IFERROR(__xludf.DUMMYFUNCTION("""COMPUTED_VALUE"""),2.5815367E7)</f>
        <v>25815367</v>
      </c>
      <c r="N1483" s="222" t="str">
        <f>IFERROR(__xludf.DUMMYFUNCTION("""COMPUTED_VALUE"""),"PT SARANA MITRA PERSADA")</f>
        <v>PT SARANA MITRA PERSADA</v>
      </c>
      <c r="O1483" s="222" t="str">
        <f>IFERROR(__xludf.DUMMYFUNCTION("""COMPUTED_VALUE"""),"0. DROP")</f>
        <v>0. DROP</v>
      </c>
      <c r="P1483" s="222" t="str">
        <f>IFERROR(__xludf.DUMMYFUNCTION("""COMPUTED_VALUE"""),"0.2 Tidak Dapat Izin Warga/Kades/Lurah/Developer")</f>
        <v>0.2 Tidak Dapat Izin Warga/Kades/Lurah/Developer</v>
      </c>
      <c r="Q1483" s="222" t="str">
        <f>IFERROR(__xludf.DUMMYFUNCTION("""COMPUTED_VALUE"""),"15/1 lurah minta surat perkim,diskominfo dan tata kota")</f>
        <v>15/1 lurah minta surat perkim,diskominfo dan tata kota</v>
      </c>
      <c r="R1483" s="228"/>
      <c r="S1483" s="11"/>
      <c r="T1483" s="11"/>
      <c r="U1483" s="11" t="str">
        <f>IFERROR(__xludf.DUMMYFUNCTION("""COMPUTED_VALUE"""),"W02-463/2025")</f>
        <v>W02-463/2025</v>
      </c>
      <c r="V1483" s="229"/>
      <c r="W1483" s="229"/>
      <c r="X1483" s="229" t="str">
        <f>IFERROR(__xludf.DUMMYFUNCTION("""COMPUTED_VALUE"""),"BELUM GOLIVE")</f>
        <v>BELUM GOLIVE</v>
      </c>
      <c r="Y1483" s="229"/>
      <c r="Z1483" s="229" t="str">
        <f>IFERROR(__xludf.DUMMYFUNCTION("""COMPUTED_VALUE"""),"#N/A")</f>
        <v>#N/A</v>
      </c>
      <c r="AA1483" s="229"/>
      <c r="AB1483" s="229"/>
      <c r="AC1483" s="229"/>
      <c r="AD1483" s="232"/>
      <c r="AE1483" s="233"/>
      <c r="AF1483" s="54" t="str">
        <f>IFERROR(__xludf.DUMMYFUNCTION("""COMPUTED_VALUE"""),"Draft BA DROP")</f>
        <v>Draft BA DROP</v>
      </c>
      <c r="AG1483" s="54"/>
      <c r="AH1483" s="54"/>
      <c r="AI1483" s="55" t="str">
        <f t="shared" si="149"/>
        <v/>
      </c>
      <c r="AW1483" s="234"/>
      <c r="BP1483" s="11"/>
      <c r="BQ1483" s="11"/>
      <c r="BR1483" s="235"/>
      <c r="BV1483" s="158"/>
      <c r="BY1483" s="158"/>
      <c r="CB1483" s="158"/>
    </row>
    <row r="1484" ht="18.0" hidden="1" customHeight="1">
      <c r="A1484" s="222">
        <f>IFERROR(__xludf.DUMMYFUNCTION("""COMPUTED_VALUE"""),2026.0)</f>
        <v>2026</v>
      </c>
      <c r="B1484" s="221">
        <f>IFERROR(__xludf.DUMMYFUNCTION("""COMPUTED_VALUE"""),1.1272036E7)</f>
        <v>11272036</v>
      </c>
      <c r="C1484" s="222" t="str">
        <f>IFERROR(__xludf.DUMMYFUNCTION("""COMPUTED_VALUE"""),"MDN PT3 P1I1 TTG-FK BINTANG MUTIARA 2")</f>
        <v>MDN PT3 P1I1 TTG-FK BINTANG MUTIARA 2</v>
      </c>
      <c r="D1484" s="222" t="str">
        <f>IFERROR(__xludf.DUMMYFUNCTION("""COMPUTED_VALUE"""),"REGIONAL I")</f>
        <v>REGIONAL I</v>
      </c>
      <c r="E1484" s="222" t="str">
        <f>IFERROR(__xludf.DUMMYFUNCTION("""COMPUTED_VALUE"""),"MEDAN")</f>
        <v>MEDAN</v>
      </c>
      <c r="F1484" s="222" t="str">
        <f>IFERROR(__xludf.DUMMYFUNCTION("""COMPUTED_VALUE"""),"TTG")</f>
        <v>TTG</v>
      </c>
      <c r="G1484" s="222" t="str">
        <f>IFERROR(__xludf.DUMMYFUNCTION("""COMPUTED_VALUE"""),"SUMBAGUT")</f>
        <v>SUMBAGUT</v>
      </c>
      <c r="H1484" s="222" t="str">
        <f>IFERROR(__xludf.DUMMYFUNCTION("""COMPUTED_VALUE"""),"MEDAN")</f>
        <v>MEDAN</v>
      </c>
      <c r="I1484" s="222" t="str">
        <f>IFERROR(__xludf.DUMMYFUNCTION("""COMPUTED_VALUE"""),"Batch 2")</f>
        <v>Batch 2</v>
      </c>
      <c r="J1484" s="225">
        <f>IFERROR(__xludf.DUMMYFUNCTION("""COMPUTED_VALUE"""),6.0)</f>
        <v>6</v>
      </c>
      <c r="K1484" s="224">
        <f>IFERROR(__xludf.DUMMYFUNCTION("""COMPUTED_VALUE"""),48.0)</f>
        <v>48</v>
      </c>
      <c r="L1484" s="226">
        <f>IFERROR(__xludf.DUMMYFUNCTION("""COMPUTED_VALUE"""),807066.0)</f>
        <v>807066</v>
      </c>
      <c r="M1484" s="227">
        <f>IFERROR(__xludf.DUMMYFUNCTION("""COMPUTED_VALUE"""),3.8739158E7)</f>
        <v>38739158</v>
      </c>
      <c r="N1484" s="222" t="str">
        <f>IFERROR(__xludf.DUMMYFUNCTION("""COMPUTED_VALUE"""),"SWAKELOLA")</f>
        <v>SWAKELOLA</v>
      </c>
      <c r="O1484" s="222" t="str">
        <f>IFERROR(__xludf.DUMMYFUNCTION("""COMPUTED_VALUE"""),"1. AANWIJZING")</f>
        <v>1. AANWIJZING</v>
      </c>
      <c r="P1484" s="222" t="str">
        <f>IFERROR(__xludf.DUMMYFUNCTION("""COMPUTED_VALUE"""),"1.6 Ongoing Aanwidjzing")</f>
        <v>1.6 Ongoing Aanwidjzing</v>
      </c>
      <c r="Q1484" s="222" t="str">
        <f>IFERROR(__xludf.DUMMYFUNCTION("""COMPUTED_VALUE"""),"20/04 pengecekan ulang core terkendala 08/03 Feeder Redti (16/04) Feeder habis TTG-FK")</f>
        <v>20/04 pengecekan ulang core terkendala 08/03 Feeder Redti (16/04) Feeder habis TTG-FK</v>
      </c>
      <c r="R1484" s="228"/>
      <c r="S1484" s="11"/>
      <c r="T1484" s="11"/>
      <c r="U1484" s="11"/>
      <c r="V1484" s="229"/>
      <c r="W1484" s="229"/>
      <c r="X1484" s="229" t="str">
        <f>IFERROR(__xludf.DUMMYFUNCTION("""COMPUTED_VALUE"""),"BELUM GOLIVE")</f>
        <v>BELUM GOLIVE</v>
      </c>
      <c r="Y1484" s="229"/>
      <c r="Z1484" s="229" t="str">
        <f>IFERROR(__xludf.DUMMYFUNCTION("""COMPUTED_VALUE"""),"#N/A")</f>
        <v>#N/A</v>
      </c>
      <c r="AA1484" s="229"/>
      <c r="AB1484" s="229"/>
      <c r="AC1484" s="229"/>
      <c r="AD1484" s="232"/>
      <c r="AE1484" s="233"/>
      <c r="AF1484" s="54"/>
      <c r="AG1484" s="54"/>
      <c r="AH1484" s="54"/>
      <c r="AI1484" s="55" t="str">
        <f t="shared" si="149"/>
        <v/>
      </c>
      <c r="AW1484" s="234"/>
      <c r="BP1484" s="11"/>
      <c r="BQ1484" s="11"/>
      <c r="BR1484" s="235"/>
      <c r="BV1484" s="158"/>
      <c r="BY1484" s="158"/>
      <c r="CB1484" s="158"/>
    </row>
    <row r="1485" ht="18.0" hidden="1" customHeight="1">
      <c r="A1485" s="222">
        <f>IFERROR(__xludf.DUMMYFUNCTION("""COMPUTED_VALUE"""),2026.0)</f>
        <v>2026</v>
      </c>
      <c r="B1485" s="221">
        <f>IFERROR(__xludf.DUMMYFUNCTION("""COMPUTED_VALUE"""),1.1192716E7)</f>
        <v>11192716</v>
      </c>
      <c r="C1485" s="222" t="str">
        <f>IFERROR(__xludf.DUMMYFUNCTION("""COMPUTED_VALUE"""),"MDN PT3 DLT-FK JL.PANTAI RAMBUNG")</f>
        <v>MDN PT3 DLT-FK JL.PANTAI RAMBUNG</v>
      </c>
      <c r="D1485" s="222" t="str">
        <f>IFERROR(__xludf.DUMMYFUNCTION("""COMPUTED_VALUE"""),"REGIONAL I")</f>
        <v>REGIONAL I</v>
      </c>
      <c r="E1485" s="222" t="str">
        <f>IFERROR(__xludf.DUMMYFUNCTION("""COMPUTED_VALUE"""),"MEDAN")</f>
        <v>MEDAN</v>
      </c>
      <c r="F1485" s="222" t="str">
        <f>IFERROR(__xludf.DUMMYFUNCTION("""COMPUTED_VALUE"""),"DLT")</f>
        <v>DLT</v>
      </c>
      <c r="G1485" s="222" t="str">
        <f>IFERROR(__xludf.DUMMYFUNCTION("""COMPUTED_VALUE"""),"SUMBAGUT")</f>
        <v>SUMBAGUT</v>
      </c>
      <c r="H1485" s="222" t="str">
        <f>IFERROR(__xludf.DUMMYFUNCTION("""COMPUTED_VALUE"""),"MEDAN")</f>
        <v>MEDAN</v>
      </c>
      <c r="I1485" s="222" t="str">
        <f>IFERROR(__xludf.DUMMYFUNCTION("""COMPUTED_VALUE"""),"Batch 2")</f>
        <v>Batch 2</v>
      </c>
      <c r="J1485" s="225">
        <f>IFERROR(__xludf.DUMMYFUNCTION("""COMPUTED_VALUE"""),3.0)</f>
        <v>3</v>
      </c>
      <c r="K1485" s="224">
        <f>IFERROR(__xludf.DUMMYFUNCTION("""COMPUTED_VALUE"""),24.0)</f>
        <v>24</v>
      </c>
      <c r="L1485" s="226">
        <f>IFERROR(__xludf.DUMMYFUNCTION("""COMPUTED_VALUE"""),916002.0)</f>
        <v>916002</v>
      </c>
      <c r="M1485" s="227">
        <f>IFERROR(__xludf.DUMMYFUNCTION("""COMPUTED_VALUE"""),2.1984042E7)</f>
        <v>21984042</v>
      </c>
      <c r="N1485" s="222" t="str">
        <f>IFERROR(__xludf.DUMMYFUNCTION("""COMPUTED_VALUE"""),"PT UPENTEL INTERNASIONAL")</f>
        <v>PT UPENTEL INTERNASIONAL</v>
      </c>
      <c r="O1485" s="222" t="str">
        <f>IFERROR(__xludf.DUMMYFUNCTION("""COMPUTED_VALUE"""),"2. DONE AANWIJZING")</f>
        <v>2. DONE AANWIJZING</v>
      </c>
      <c r="P1485" s="222" t="str">
        <f>IFERROR(__xludf.DUMMYFUNCTION("""COMPUTED_VALUE"""),"2.10 Kendala - Feeder Rusak")</f>
        <v>2.10 Kendala - Feeder Rusak</v>
      </c>
      <c r="Q1485" s="222" t="str">
        <f>IFERROR(__xludf.DUMMYFUNCTION("""COMPUTED_VALUE"""),"08/03 Feeder Redti 16/10 Feeder Habis
(24/09) Perizinan Warga dan Kades / Lurah
(23/09) Perizinan Warga dan Kades / Lurah
15/09 proses aanwijzing")</f>
        <v>08/03 Feeder Redti 16/10 Feeder Habis
(24/09) Perizinan Warga dan Kades / Lurah
(23/09) Perizinan Warga dan Kades / Lurah
15/09 proses aanwijzing</v>
      </c>
      <c r="R1485" s="228"/>
      <c r="S1485" s="11"/>
      <c r="T1485" s="11"/>
      <c r="U1485" s="11"/>
      <c r="V1485" s="229"/>
      <c r="W1485" s="229"/>
      <c r="X1485" s="229" t="str">
        <f>IFERROR(__xludf.DUMMYFUNCTION("""COMPUTED_VALUE"""),"BELUM GOLIVE")</f>
        <v>BELUM GOLIVE</v>
      </c>
      <c r="Y1485" s="229"/>
      <c r="Z1485" s="229" t="str">
        <f>IFERROR(__xludf.DUMMYFUNCTION("""COMPUTED_VALUE"""),"#N/A")</f>
        <v>#N/A</v>
      </c>
      <c r="AA1485" s="229"/>
      <c r="AB1485" s="229"/>
      <c r="AC1485" s="229"/>
      <c r="AD1485" s="232"/>
      <c r="AE1485" s="233"/>
      <c r="AF1485" s="54"/>
      <c r="AG1485" s="54"/>
      <c r="AH1485" s="54"/>
      <c r="AI1485" s="55" t="str">
        <f t="shared" si="149"/>
        <v/>
      </c>
      <c r="AW1485" s="234"/>
      <c r="BP1485" s="11"/>
      <c r="BQ1485" s="11"/>
      <c r="BR1485" s="235"/>
      <c r="BV1485" s="158"/>
      <c r="BY1485" s="158"/>
      <c r="CB1485" s="158"/>
    </row>
    <row r="1486" ht="18.0" hidden="1" customHeight="1">
      <c r="A1486" s="222">
        <f>IFERROR(__xludf.DUMMYFUNCTION("""COMPUTED_VALUE"""),2026.0)</f>
        <v>2026</v>
      </c>
      <c r="B1486" s="221">
        <f>IFERROR(__xludf.DUMMYFUNCTION("""COMPUTED_VALUE"""),1.1911023E7)</f>
        <v>11911023</v>
      </c>
      <c r="C1486" s="222" t="str">
        <f>IFERROR(__xludf.DUMMYFUNCTION("""COMPUTED_VALUE"""),"MDN PT3 BJI-FNB JL.TANDEM 250_1647_1592")</f>
        <v>MDN PT3 BJI-FNB JL.TANDEM 250_1647_1592</v>
      </c>
      <c r="D1486" s="222" t="str">
        <f>IFERROR(__xludf.DUMMYFUNCTION("""COMPUTED_VALUE"""),"REGIONAL I")</f>
        <v>REGIONAL I</v>
      </c>
      <c r="E1486" s="222" t="str">
        <f>IFERROR(__xludf.DUMMYFUNCTION("""COMPUTED_VALUE"""),"MEDAN")</f>
        <v>MEDAN</v>
      </c>
      <c r="F1486" s="222" t="str">
        <f>IFERROR(__xludf.DUMMYFUNCTION("""COMPUTED_VALUE"""),"BJI")</f>
        <v>BJI</v>
      </c>
      <c r="G1486" s="222" t="str">
        <f>IFERROR(__xludf.DUMMYFUNCTION("""COMPUTED_VALUE"""),"SUMBAGUT")</f>
        <v>SUMBAGUT</v>
      </c>
      <c r="H1486" s="222" t="str">
        <f>IFERROR(__xludf.DUMMYFUNCTION("""COMPUTED_VALUE"""),"BINJAI")</f>
        <v>BINJAI</v>
      </c>
      <c r="I1486" s="222" t="str">
        <f>IFERROR(__xludf.DUMMYFUNCTION("""COMPUTED_VALUE"""),"Batch 2")</f>
        <v>Batch 2</v>
      </c>
      <c r="J1486" s="225">
        <f>IFERROR(__xludf.DUMMYFUNCTION("""COMPUTED_VALUE"""),5.0)</f>
        <v>5</v>
      </c>
      <c r="K1486" s="224">
        <f>IFERROR(__xludf.DUMMYFUNCTION("""COMPUTED_VALUE"""),40.0)</f>
        <v>40</v>
      </c>
      <c r="L1486" s="226">
        <f>IFERROR(__xludf.DUMMYFUNCTION("""COMPUTED_VALUE"""),644117.0)</f>
        <v>644117</v>
      </c>
      <c r="M1486" s="227">
        <f>IFERROR(__xludf.DUMMYFUNCTION("""COMPUTED_VALUE"""),2.5764669E7)</f>
        <v>25764669</v>
      </c>
      <c r="N1486" s="222" t="str">
        <f>IFERROR(__xludf.DUMMYFUNCTION("""COMPUTED_VALUE"""),"PT FIBERHOME TECHNOLOGIES INDONESIA")</f>
        <v>PT FIBERHOME TECHNOLOGIES INDONESIA</v>
      </c>
      <c r="O1486" s="222" t="str">
        <f>IFERROR(__xludf.DUMMYFUNCTION("""COMPUTED_VALUE"""),"2. DONE AANWIJZING")</f>
        <v>2. DONE AANWIJZING</v>
      </c>
      <c r="P1486" s="222" t="str">
        <f>IFERROR(__xludf.DUMMYFUNCTION("""COMPUTED_VALUE"""),"2.10 Kendala - Feeder Rusak")</f>
        <v>2.10 Kendala - Feeder Rusak</v>
      </c>
      <c r="Q1486" s="222" t="str">
        <f>IFERROR(__xludf.DUMMYFUNCTION("""COMPUTED_VALUE"""),"(07/02) done permit lanjut cek alpro (07/01) Persiapan")</f>
        <v>(07/02) done permit lanjut cek alpro (07/01) Persiapan</v>
      </c>
      <c r="R1486" s="228"/>
      <c r="S1486" s="11"/>
      <c r="T1486" s="11"/>
      <c r="U1486" s="11"/>
      <c r="V1486" s="229"/>
      <c r="W1486" s="229"/>
      <c r="X1486" s="229" t="str">
        <f>IFERROR(__xludf.DUMMYFUNCTION("""COMPUTED_VALUE"""),"BELUM GOLIVE")</f>
        <v>BELUM GOLIVE</v>
      </c>
      <c r="Y1486" s="229"/>
      <c r="Z1486" s="229" t="str">
        <f>IFERROR(__xludf.DUMMYFUNCTION("""COMPUTED_VALUE"""),"#N/A")</f>
        <v>#N/A</v>
      </c>
      <c r="AA1486" s="229"/>
      <c r="AB1486" s="229"/>
      <c r="AC1486" s="229"/>
      <c r="AD1486" s="232"/>
      <c r="AE1486" s="233"/>
      <c r="AF1486" s="54"/>
      <c r="AG1486" s="54"/>
      <c r="AH1486" s="54"/>
      <c r="AI1486" s="55" t="str">
        <f t="shared" si="149"/>
        <v/>
      </c>
      <c r="AW1486" s="234"/>
      <c r="BP1486" s="11"/>
      <c r="BQ1486" s="11"/>
      <c r="BR1486" s="235"/>
      <c r="BV1486" s="158"/>
      <c r="BY1486" s="158"/>
      <c r="CB1486" s="158"/>
    </row>
    <row r="1487" ht="18.0" hidden="1" customHeight="1">
      <c r="A1487" s="222">
        <f>IFERROR(__xludf.DUMMYFUNCTION("""COMPUTED_VALUE"""),2026.0)</f>
        <v>2026</v>
      </c>
      <c r="B1487" s="221">
        <f>IFERROR(__xludf.DUMMYFUNCTION("""COMPUTED_VALUE"""),1.1570121E7)</f>
        <v>11570121</v>
      </c>
      <c r="C1487" s="222" t="str">
        <f>IFERROR(__xludf.DUMMYFUNCTION("""COMPUTED_VALUE"""),"SMS P3I1 PT3 SKY FX D01 PALEM HIJAU RSDN")</f>
        <v>SMS P3I1 PT3 SKY FX D01 PALEM HIJAU RSDN</v>
      </c>
      <c r="D1487" s="222" t="str">
        <f>IFERROR(__xludf.DUMMYFUNCTION("""COMPUTED_VALUE"""),"REGIONAL I")</f>
        <v>REGIONAL I</v>
      </c>
      <c r="E1487" s="222" t="str">
        <f>IFERROR(__xludf.DUMMYFUNCTION("""COMPUTED_VALUE"""),"SUMSEL")</f>
        <v>SUMSEL</v>
      </c>
      <c r="F1487" s="222" t="str">
        <f>IFERROR(__xludf.DUMMYFUNCTION("""COMPUTED_VALUE"""),"SKY")</f>
        <v>SKY</v>
      </c>
      <c r="G1487" s="222" t="str">
        <f>IFERROR(__xludf.DUMMYFUNCTION("""COMPUTED_VALUE"""),"SUMBAGSEL")</f>
        <v>SUMBAGSEL</v>
      </c>
      <c r="H1487" s="222" t="str">
        <f>IFERROR(__xludf.DUMMYFUNCTION("""COMPUTED_VALUE"""),"PALEMBANG")</f>
        <v>PALEMBANG</v>
      </c>
      <c r="I1487" s="222" t="str">
        <f>IFERROR(__xludf.DUMMYFUNCTION("""COMPUTED_VALUE"""),"Batch 2")</f>
        <v>Batch 2</v>
      </c>
      <c r="J1487" s="225">
        <f>IFERROR(__xludf.DUMMYFUNCTION("""COMPUTED_VALUE"""),6.0)</f>
        <v>6</v>
      </c>
      <c r="K1487" s="224">
        <f>IFERROR(__xludf.DUMMYFUNCTION("""COMPUTED_VALUE"""),48.0)</f>
        <v>48</v>
      </c>
      <c r="L1487" s="226">
        <f>IFERROR(__xludf.DUMMYFUNCTION("""COMPUTED_VALUE"""),643969.0)</f>
        <v>643969</v>
      </c>
      <c r="M1487" s="227">
        <f>IFERROR(__xludf.DUMMYFUNCTION("""COMPUTED_VALUE"""),3.0910495E7)</f>
        <v>30910495</v>
      </c>
      <c r="N1487" s="222" t="str">
        <f>IFERROR(__xludf.DUMMYFUNCTION("""COMPUTED_VALUE"""),"PT MAJU JAYA TEKNOLOGI")</f>
        <v>PT MAJU JAYA TEKNOLOGI</v>
      </c>
      <c r="O1487" s="222" t="str">
        <f>IFERROR(__xludf.DUMMYFUNCTION("""COMPUTED_VALUE"""),"7. GOLIVE")</f>
        <v>7. GOLIVE</v>
      </c>
      <c r="P1487" s="222" t="str">
        <f>IFERROR(__xludf.DUMMYFUNCTION("""COMPUTED_VALUE"""),"7.2 Golive Full / OA / DONE OTB")</f>
        <v>7.2 Golive Full / OA / DONE OTB</v>
      </c>
      <c r="Q1487" s="222" t="str">
        <f>IFERROR(__xludf.DUMMYFUNCTION("""COMPUTED_VALUE"""),"04/04 GOLIVE, 02/04 DONE SUBMIT ABD V4 KE SDI, 01/04 DONE CAT COR TIANG, LANJUT PENARIKAN KABEL, 31/03 MATERIAL ONSITE - PROGRESS CAT TIANG, 30/03 AMBIL MATERIAL, 30/03 LANJUT PROGRESS EST TGL 30 MAR, 27/03 KOORDINASI DG MITRA UTK JADWAL PENGAMBILAN MATER"&amp;"IAL, 21/03 LANJUT PROGRESS SETELAH LEBARAN, 17/03 MENUNGGU ANTRIAN PEKERJAAN LOP LUBUK SAUNG 3, 13/03 OGP AMBIL MATERIAL, 11/03 AMBIL MATERIAL SELESAI PROGRESS LOP BERLIAN MAKMUR &amp; SERASAN LINGGO, 06/03 BELUM AMBIL MATERIAL, 04/03 HARI INI AMBIL MATERIAL,"&amp;" 03/03 OGP AMBIL MATERIAL, 27/02 OGP AMBIL MATERIAL, 25/02 MASIH MENUNGGU TIANG, 22/2 menunggu material TIANG  12/02 DONE INPUT MATERIAL, 11/2 PID Done, PR-PO AMD on going  09/02 CREATE PID, 7/2 mitra  sudah mengirim kan DRM  04/02 DONE EVAL, LANJUT PROGR"&amp;"ES ADA PENGURANGAN ODP DRI PLAN SDH SEPAKAT DG SALES, 31/01 PROSES AANWIDJZING, 30/01 MENUNGGU JADWAL AANWIDJZING DG MITRA, (24/1) plan aawijdizng 27/1 (21/01) menunggu antrian untuk aanwizjing lapangan, ( 20/1) MJT setuju (15/1) ORDER DITERIMA 14/1 ,PLAN"&amp;" AANWIJDZING 21 JAN 26 (26/11) ORDER HOLD , FLAGGING ""TIDAK LANJUT DARI PED"" (25/11 MJT setuju, 24/11 penunjukkan mitra MJT,(14/11) MItra MJS blm ambil pekerjaan baru terkait close pekerjaan lama , LOP juga tidak masuk list optimis close 2025 ( (11/11) "&amp;"Penunjukkan MITRA  oleh Procurement  23/10 penunjukan mitra
14/01 Surat lanjut kerja oleh procurement")</f>
        <v>04/04 GOLIVE, 02/04 DONE SUBMIT ABD V4 KE SDI, 01/04 DONE CAT COR TIANG, LANJUT PENARIKAN KABEL, 31/03 MATERIAL ONSITE - PROGRESS CAT TIANG, 30/03 AMBIL MATERIAL, 30/03 LANJUT PROGRESS EST TGL 30 MAR, 27/03 KOORDINASI DG MITRA UTK JADWAL PENGAMBILAN MATERIAL, 21/03 LANJUT PROGRESS SETELAH LEBARAN, 17/03 MENUNGGU ANTRIAN PEKERJAAN LOP LUBUK SAUNG 3, 13/03 OGP AMBIL MATERIAL, 11/03 AMBIL MATERIAL SELESAI PROGRESS LOP BERLIAN MAKMUR &amp; SERASAN LINGGO, 06/03 BELUM AMBIL MATERIAL, 04/03 HARI INI AMBIL MATERIAL, 03/03 OGP AMBIL MATERIAL, 27/02 OGP AMBIL MATERIAL, 25/02 MASIH MENUNGGU TIANG, 22/2 menunggu material TIANG  12/02 DONE INPUT MATERIAL, 11/2 PID Done, PR-PO AMD on going  09/02 CREATE PID, 7/2 mitra  sudah mengirim kan DRM  04/02 DONE EVAL, LANJUT PROGRES ADA PENGURANGAN ODP DRI PLAN SDH SEPAKAT DG SALES, 31/01 PROSES AANWIDJZING, 30/01 MENUNGGU JADWAL AANWIDJZING DG MITRA, (24/1) plan aawijdizng 27/1 (21/01) menunggu antrian untuk aanwizjing lapangan, ( 20/1) MJT setuju (15/1) ORDER DITERIMA 14/1 ,PLAN AANWIJDZING 21 JAN 26 (26/11) ORDER HOLD , FLAGGING "TIDAK LANJUT DARI PED" (25/11 MJT setuju, 24/11 penunjukkan mitra MJT,(14/11) MItra MJS blm ambil pekerjaan baru terkait close pekerjaan lama , LOP juga tidak masuk list optimis close 2025 ( (11/11) Penunjukkan MITRA  oleh Procurement  23/10 penunjukan mitra
14/01 Surat lanjut kerja oleh procurement</v>
      </c>
      <c r="R1487" s="228">
        <f>IFERROR(__xludf.DUMMYFUNCTION("""COMPUTED_VALUE"""),46114.0)</f>
        <v>46114</v>
      </c>
      <c r="S1487" s="11" t="str">
        <f>IFERROR(__xludf.DUMMYFUNCTION("""COMPUTED_VALUE"""),"APR")</f>
        <v>APR</v>
      </c>
      <c r="T1487" s="73" t="str">
        <f>IFERROR(__xludf.DUMMYFUNCTION("""COMPUTED_VALUE"""),"P1")</f>
        <v>P1</v>
      </c>
      <c r="U1487" s="11"/>
      <c r="V1487" s="229" t="str">
        <f>IFERROR(__xludf.DUMMYFUNCTION("""COMPUTED_VALUE"""),"TEGAR")</f>
        <v>TEGAR</v>
      </c>
      <c r="W1487" s="229"/>
      <c r="X1487" s="229" t="str">
        <f>IFERROR(__xludf.DUMMYFUNCTION("""COMPUTED_VALUE"""),"GOLIVE")</f>
        <v>GOLIVE</v>
      </c>
      <c r="Y1487" s="229" t="str">
        <f>IFERROR(__xludf.DUMMYFUNCTION("""COMPUTED_VALUE"""),"DONE")</f>
        <v>DONE</v>
      </c>
      <c r="Z1487" s="229" t="str">
        <f>IFERROR(__xludf.DUMMYFUNCTION("""COMPUTED_VALUE"""),"#N/A")</f>
        <v>#N/A</v>
      </c>
      <c r="AA1487" s="229">
        <f>IFERROR(__xludf.DUMMYFUNCTION("""COMPUTED_VALUE"""),5.0)</f>
        <v>5</v>
      </c>
      <c r="AB1487" s="229"/>
      <c r="AC1487" s="229" t="str">
        <f>IFERROR(__xludf.DUMMYFUNCTION("""COMPUTED_VALUE"""),"8949587#8949592")</f>
        <v>8949587#8949592</v>
      </c>
      <c r="AD1487" s="232">
        <f>IFERROR(__xludf.DUMMYFUNCTION("""COMPUTED_VALUE"""),40.0)</f>
        <v>40</v>
      </c>
      <c r="AE1487" s="233">
        <f>IFERROR(__xludf.DUMMYFUNCTION("""COMPUTED_VALUE"""),46114.0)</f>
        <v>46114</v>
      </c>
      <c r="AF1487" s="54"/>
      <c r="AG1487" s="54"/>
      <c r="AH1487" s="54">
        <v>46114.0</v>
      </c>
      <c r="AI1487" s="55">
        <f t="shared" si="149"/>
        <v>0</v>
      </c>
      <c r="AW1487" s="234"/>
      <c r="BP1487" s="11"/>
      <c r="BQ1487" s="11"/>
      <c r="BR1487" s="235"/>
      <c r="BV1487" s="158"/>
      <c r="BY1487" s="158"/>
      <c r="CB1487" s="158"/>
    </row>
    <row r="1488" ht="18.0" hidden="1" customHeight="1">
      <c r="A1488" s="222">
        <f>IFERROR(__xludf.DUMMYFUNCTION("""COMPUTED_VALUE"""),2026.0)</f>
        <v>2026</v>
      </c>
      <c r="B1488" s="221">
        <f>IFERROR(__xludf.DUMMYFUNCTION("""COMPUTED_VALUE"""),1.2313806E7)</f>
        <v>12313806</v>
      </c>
      <c r="C1488" s="222" t="str">
        <f>IFERROR(__xludf.DUMMYFUNCTION("""COMPUTED_VALUE"""),"SMS P4I2 PT3 PGA FG D04 LURAH SELIBAR")</f>
        <v>SMS P4I2 PT3 PGA FG D04 LURAH SELIBAR</v>
      </c>
      <c r="D1488" s="222" t="str">
        <f>IFERROR(__xludf.DUMMYFUNCTION("""COMPUTED_VALUE"""),"REGIONAL I")</f>
        <v>REGIONAL I</v>
      </c>
      <c r="E1488" s="222" t="str">
        <f>IFERROR(__xludf.DUMMYFUNCTION("""COMPUTED_VALUE"""),"SUMSEL")</f>
        <v>SUMSEL</v>
      </c>
      <c r="F1488" s="222" t="str">
        <f>IFERROR(__xludf.DUMMYFUNCTION("""COMPUTED_VALUE"""),"PGA")</f>
        <v>PGA</v>
      </c>
      <c r="G1488" s="222" t="str">
        <f>IFERROR(__xludf.DUMMYFUNCTION("""COMPUTED_VALUE"""),"SUMBAGSEL")</f>
        <v>SUMBAGSEL</v>
      </c>
      <c r="H1488" s="222" t="str">
        <f>IFERROR(__xludf.DUMMYFUNCTION("""COMPUTED_VALUE"""),"BENGKULU")</f>
        <v>BENGKULU</v>
      </c>
      <c r="I1488" s="222" t="str">
        <f>IFERROR(__xludf.DUMMYFUNCTION("""COMPUTED_VALUE"""),"Batch 2")</f>
        <v>Batch 2</v>
      </c>
      <c r="J1488" s="225">
        <f>IFERROR(__xludf.DUMMYFUNCTION("""COMPUTED_VALUE"""),2.0)</f>
        <v>2</v>
      </c>
      <c r="K1488" s="224">
        <f>IFERROR(__xludf.DUMMYFUNCTION("""COMPUTED_VALUE"""),16.0)</f>
        <v>16</v>
      </c>
      <c r="L1488" s="226">
        <f>IFERROR(__xludf.DUMMYFUNCTION("""COMPUTED_VALUE"""),639924.0)</f>
        <v>639924</v>
      </c>
      <c r="M1488" s="227">
        <f>IFERROR(__xludf.DUMMYFUNCTION("""COMPUTED_VALUE"""),1.0238773E7)</f>
        <v>10238773</v>
      </c>
      <c r="N1488" s="222" t="str">
        <f>IFERROR(__xludf.DUMMYFUNCTION("""COMPUTED_VALUE"""),"PT GITA PRIMA TAMBA PERKASA")</f>
        <v>PT GITA PRIMA TAMBA PERKASA</v>
      </c>
      <c r="O1488" s="222" t="str">
        <f>IFERROR(__xludf.DUMMYFUNCTION("""COMPUTED_VALUE"""),"2. DONE AANWIJZING")</f>
        <v>2. DONE AANWIJZING</v>
      </c>
      <c r="P1488" s="222" t="str">
        <f>IFERROR(__xludf.DUMMYFUNCTION("""COMPUTED_VALUE"""),"2.5 Proses Create PID")</f>
        <v>2.5 Proses Create PID</v>
      </c>
      <c r="Q1488" s="222" t="str">
        <f>IFERROR(__xludf.DUMMYFUNCTION("""COMPUTED_VALUE"""),"27/04 : Proses PR PO // 09/04 kepala desa belum ada FEEDBACK , plan 10 apr visit ulang  08/04 Proses perizinan kepala desa, belum ada feedback 26/03 proses pergantian mitra dri raharja ke GPTP, 25/03 PROGRESS UPDATE BOQ DAN KML SETELAH AANWIDJZING - MASIH"&amp;" MENUNGGU INFO TSEL MENGENAI PENGURANGAN ODP,  16/03 HASIL AANWIDJZING TDK PERLU IZIN KRNA HANYA TARIK KABEL SAJA (BISA DIKERJAKAN), 12/03 DONE AANWIDJZING, 10/03 PROGRESS AANWIJDZING ULANG, 09/03 DIALIHKAN KE MITRA GPTP, 09/03 DATA UPDATE BLM DI KIRIM MI"&amp;"TRA, 06/03 SDH DI FU TERUS TP BELUM ADA INFO DARI MITRA, 02/03 SDH DI FU TERUS TP BELUM ADA INFO DARI MITRA, 27/02 BELUM EVAL, 23/02 LANJUT EVAL, 22/2  menunggu hasil perhitungan QE dan review TIF  19/02 HASIL AANWIDJZING BISA DIKERJAKAN SESUAI PLAN DAN T"&amp;"IDAK BUTUH IZIN DIKARENAKAN HANYA PENARIKAN KABEL PENDEK, 10/02 DONE AANWIDJZING - MITRA BELUM KIRIM HASIL AANWIDJZING, 04/02 PROSES AANWIDJZING, 30/01 PROSES AANWIDJZING, (23/1) Proses Aanwijdzing - Est 27 Setor ke Pak wijaya  (21/01) menunggu antrian un"&amp;"tuk aanwizjing, (15/1) ORDER DITERIMA MITRA 14/1, masih menunngu confirm- kepastian 19 jan (14/11)HOLD-  tidak masuk target Optimis 2025 (13/11)  penunjukkan mitra raharja, 10/11 penunjukkan mitra raharja 3/11 mitra raharja ditunjuk sbagai mitra lop ini 2"&amp;"3/10 belum di lakukan oleh mitra ke lokasi
15/10 plan aanwiznig tgl 17/10
(08/10) menunggu jadwal aanwijizng
(01/10) menunggu jadwal aanwijizng
(19/09) pejadwalan aanwijzing
14/01 sudah penunjukan mitra oleh procurement")</f>
        <v>27/04 : Proses PR PO //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1488" s="228"/>
      <c r="S1488" s="11"/>
      <c r="T1488" s="11" t="str">
        <f>IFERROR(__xludf.DUMMYFUNCTION("""COMPUTED_VALUE"""),"P1")</f>
        <v>P1</v>
      </c>
      <c r="U1488" s="11"/>
      <c r="V1488" s="229" t="str">
        <f>IFERROR(__xludf.DUMMYFUNCTION("""COMPUTED_VALUE"""),"PUTRA")</f>
        <v>PUTRA</v>
      </c>
      <c r="W1488" s="229"/>
      <c r="X1488" s="229" t="str">
        <f>IFERROR(__xludf.DUMMYFUNCTION("""COMPUTED_VALUE"""),"BELUM GOLIVE")</f>
        <v>BELUM GOLIVE</v>
      </c>
      <c r="Y1488" s="229"/>
      <c r="Z1488" s="229" t="str">
        <f>IFERROR(__xludf.DUMMYFUNCTION("""COMPUTED_VALUE"""),"#N/A")</f>
        <v>#N/A</v>
      </c>
      <c r="AA1488" s="229"/>
      <c r="AB1488" s="229"/>
      <c r="AC1488" s="229"/>
      <c r="AD1488" s="232"/>
      <c r="AE1488" s="233"/>
      <c r="AF1488" s="54"/>
      <c r="AG1488" s="54"/>
      <c r="AH1488" s="54"/>
      <c r="AI1488" s="55" t="str">
        <f t="shared" si="149"/>
        <v/>
      </c>
      <c r="AW1488" s="234"/>
      <c r="BP1488" s="11"/>
      <c r="BQ1488" s="11"/>
      <c r="BR1488" s="235"/>
      <c r="BV1488" s="158"/>
      <c r="BY1488" s="158"/>
      <c r="CB1488" s="158"/>
    </row>
    <row r="1489" ht="18.0" customHeight="1">
      <c r="A1489" s="222">
        <f>IFERROR(__xludf.DUMMYFUNCTION("""COMPUTED_VALUE"""),2026.0)</f>
        <v>2026</v>
      </c>
      <c r="B1489" s="221">
        <f>IFERROR(__xludf.DUMMYFUNCTION("""COMPUTED_VALUE"""),1.1511578E7)</f>
        <v>11511578</v>
      </c>
      <c r="C1489" s="222" t="str">
        <f>IFERROR(__xludf.DUMMYFUNCTION("""COMPUTED_VALUE"""),"RDR KDS PT3 P2I2 EXPAND KDS FA")</f>
        <v>RDR KDS PT3 P2I2 EXPAND KDS FA</v>
      </c>
      <c r="D1489" s="222" t="str">
        <f>IFERROR(__xludf.DUMMYFUNCTION("""COMPUTED_VALUE"""),"REGIONAL I")</f>
        <v>REGIONAL I</v>
      </c>
      <c r="E1489" s="222" t="str">
        <f>IFERROR(__xludf.DUMMYFUNCTION("""COMPUTED_VALUE"""),"RIDAR")</f>
        <v>RIDAR</v>
      </c>
      <c r="F1489" s="222" t="str">
        <f>IFERROR(__xludf.DUMMYFUNCTION("""COMPUTED_VALUE"""),"MIS")</f>
        <v>MIS</v>
      </c>
      <c r="G1489" s="222" t="str">
        <f>IFERROR(__xludf.DUMMYFUNCTION("""COMPUTED_VALUE"""),"SUMBAGTENG")</f>
        <v>SUMBAGTENG</v>
      </c>
      <c r="H1489" s="222" t="str">
        <f>IFERROR(__xludf.DUMMYFUNCTION("""COMPUTED_VALUE"""),"PEKANBARU")</f>
        <v>PEKANBARU</v>
      </c>
      <c r="I1489" s="222" t="str">
        <f>IFERROR(__xludf.DUMMYFUNCTION("""COMPUTED_VALUE"""),"Batch 2")</f>
        <v>Batch 2</v>
      </c>
      <c r="J1489" s="225">
        <f>IFERROR(__xludf.DUMMYFUNCTION("""COMPUTED_VALUE"""),14.0)</f>
        <v>14</v>
      </c>
      <c r="K1489" s="224">
        <f>IFERROR(__xludf.DUMMYFUNCTION("""COMPUTED_VALUE"""),112.0)</f>
        <v>112</v>
      </c>
      <c r="L1489" s="226">
        <f>IFERROR(__xludf.DUMMYFUNCTION("""COMPUTED_VALUE"""),639603.0)</f>
        <v>639603</v>
      </c>
      <c r="M1489" s="227">
        <f>IFERROR(__xludf.DUMMYFUNCTION("""COMPUTED_VALUE"""),7.1635475E7)</f>
        <v>71635475</v>
      </c>
      <c r="N1489" s="222" t="str">
        <f>IFERROR(__xludf.DUMMYFUNCTION("""COMPUTED_VALUE"""),"PT ACERO CETHA METALINDO")</f>
        <v>PT ACERO CETHA METALINDO</v>
      </c>
      <c r="O1489" s="222" t="str">
        <f>IFERROR(__xludf.DUMMYFUNCTION("""COMPUTED_VALUE"""),"0. DROP")</f>
        <v>0. DROP</v>
      </c>
      <c r="P1489" s="222" t="str">
        <f>IFERROR(__xludf.DUMMYFUNCTION("""COMPUTED_VALUE"""),"0.3 Feeder Full")</f>
        <v>0.3 Feeder Full</v>
      </c>
      <c r="Q1489" s="222" t="str">
        <f>IFERROR(__xludf.DUMMYFUNCTION("""COMPUTED_VALUE"""),"20/01 Drop kendala feeder full (07/01) Persiapan")</f>
        <v>20/01 Drop kendala feeder full (07/01) Persiapan</v>
      </c>
      <c r="R1489" s="228"/>
      <c r="S1489" s="11"/>
      <c r="T1489" s="11"/>
      <c r="U1489" s="11"/>
      <c r="V1489" s="229" t="str">
        <f>IFERROR(__xludf.DUMMYFUNCTION("""COMPUTED_VALUE"""),"ONDI EKA SAPUTRA")</f>
        <v>ONDI EKA SAPUTRA</v>
      </c>
      <c r="W1489" s="229" t="str">
        <f>IFERROR(__xludf.DUMMYFUNCTION("""COMPUTED_VALUE"""),"DESLITA RAHMADANI")</f>
        <v>DESLITA RAHMADANI</v>
      </c>
      <c r="X1489" s="229" t="str">
        <f>IFERROR(__xludf.DUMMYFUNCTION("""COMPUTED_VALUE"""),"BELUM GOLIVE")</f>
        <v>BELUM GOLIVE</v>
      </c>
      <c r="Y1489" s="229"/>
      <c r="Z1489" s="229" t="str">
        <f>IFERROR(__xludf.DUMMYFUNCTION("""COMPUTED_VALUE"""),"#N/A")</f>
        <v>#N/A</v>
      </c>
      <c r="AA1489" s="229"/>
      <c r="AB1489" s="229"/>
      <c r="AC1489" s="229"/>
      <c r="AD1489" s="232"/>
      <c r="AE1489" s="233"/>
      <c r="AF1489" s="54" t="str">
        <f>IFERROR(__xludf.DUMMYFUNCTION("""COMPUTED_VALUE"""),"Draft BA DROP")</f>
        <v>Draft BA DROP</v>
      </c>
      <c r="AG1489" s="54"/>
      <c r="AH1489" s="54"/>
      <c r="AI1489" s="55" t="str">
        <f t="shared" si="149"/>
        <v/>
      </c>
      <c r="AW1489" s="234"/>
      <c r="BP1489" s="11"/>
      <c r="BQ1489" s="11"/>
      <c r="BR1489" s="235"/>
      <c r="BV1489" s="158"/>
      <c r="BY1489" s="158"/>
      <c r="CB1489" s="158"/>
    </row>
    <row r="1490" ht="18.0" hidden="1" customHeight="1">
      <c r="A1490" s="222">
        <f>IFERROR(__xludf.DUMMYFUNCTION("""COMPUTED_VALUE"""),2026.0)</f>
        <v>2026</v>
      </c>
      <c r="B1490" s="221">
        <f>IFERROR(__xludf.DUMMYFUNCTION("""COMPUTED_VALUE"""),1.2438413E7)</f>
        <v>12438413</v>
      </c>
      <c r="C1490" s="222" t="str">
        <f>IFERROR(__xludf.DUMMYFUNCTION("""COMPUTED_VALUE"""),"MDN PT3 BJI-FAB 250_1607_1581")</f>
        <v>MDN PT3 BJI-FAB 250_1607_1581</v>
      </c>
      <c r="D1490" s="222" t="str">
        <f>IFERROR(__xludf.DUMMYFUNCTION("""COMPUTED_VALUE"""),"REGIONAL I")</f>
        <v>REGIONAL I</v>
      </c>
      <c r="E1490" s="222" t="str">
        <f>IFERROR(__xludf.DUMMYFUNCTION("""COMPUTED_VALUE"""),"MEDAN")</f>
        <v>MEDAN</v>
      </c>
      <c r="F1490" s="222" t="str">
        <f>IFERROR(__xludf.DUMMYFUNCTION("""COMPUTED_VALUE"""),"BJI")</f>
        <v>BJI</v>
      </c>
      <c r="G1490" s="222" t="str">
        <f>IFERROR(__xludf.DUMMYFUNCTION("""COMPUTED_VALUE"""),"SUMBAGUT")</f>
        <v>SUMBAGUT</v>
      </c>
      <c r="H1490" s="222" t="str">
        <f>IFERROR(__xludf.DUMMYFUNCTION("""COMPUTED_VALUE"""),"BINJAI")</f>
        <v>BINJAI</v>
      </c>
      <c r="I1490" s="222" t="str">
        <f>IFERROR(__xludf.DUMMYFUNCTION("""COMPUTED_VALUE"""),"Batch 2")</f>
        <v>Batch 2</v>
      </c>
      <c r="J1490" s="225">
        <f>IFERROR(__xludf.DUMMYFUNCTION("""COMPUTED_VALUE"""),3.0)</f>
        <v>3</v>
      </c>
      <c r="K1490" s="224">
        <f>IFERROR(__xludf.DUMMYFUNCTION("""COMPUTED_VALUE"""),24.0)</f>
        <v>24</v>
      </c>
      <c r="L1490" s="226">
        <f>IFERROR(__xludf.DUMMYFUNCTION("""COMPUTED_VALUE"""),637401.0)</f>
        <v>637401</v>
      </c>
      <c r="M1490" s="227">
        <f>IFERROR(__xludf.DUMMYFUNCTION("""COMPUTED_VALUE"""),1.5297622E7)</f>
        <v>15297622</v>
      </c>
      <c r="N1490" s="222" t="str">
        <f>IFERROR(__xludf.DUMMYFUNCTION("""COMPUTED_VALUE"""),"PT KENCANA RAYA INDONESIA")</f>
        <v>PT KENCANA RAYA INDONESIA</v>
      </c>
      <c r="O1490" s="222" t="str">
        <f>IFERROR(__xludf.DUMMYFUNCTION("""COMPUTED_VALUE"""),"2. DONE AANWIJZING")</f>
        <v>2. DONE AANWIJZING</v>
      </c>
      <c r="P1490" s="222" t="str">
        <f>IFERROR(__xludf.DUMMYFUNCTION("""COMPUTED_VALUE"""),"2.9 Kendala - Distribusi Penuh / Rusak")</f>
        <v>2.9 Kendala - Distribusi Penuh / Rusak</v>
      </c>
      <c r="Q1490" s="222" t="str">
        <f>IFERROR(__xludf.DUMMYFUNCTION("""COMPUTED_VALUE"""),"14/02 distribusi tidak tembus 07/01) Persiapan")</f>
        <v>14/02 distribusi tidak tembus 07/01) Persiapan</v>
      </c>
      <c r="R1490" s="228"/>
      <c r="S1490" s="11"/>
      <c r="T1490" s="11"/>
      <c r="U1490" s="11"/>
      <c r="V1490" s="229"/>
      <c r="W1490" s="229"/>
      <c r="X1490" s="229" t="str">
        <f>IFERROR(__xludf.DUMMYFUNCTION("""COMPUTED_VALUE"""),"BELUM GOLIVE")</f>
        <v>BELUM GOLIVE</v>
      </c>
      <c r="Y1490" s="229"/>
      <c r="Z1490" s="229" t="str">
        <f>IFERROR(__xludf.DUMMYFUNCTION("""COMPUTED_VALUE"""),"#N/A")</f>
        <v>#N/A</v>
      </c>
      <c r="AA1490" s="229"/>
      <c r="AB1490" s="229"/>
      <c r="AC1490" s="229"/>
      <c r="AD1490" s="232"/>
      <c r="AE1490" s="233"/>
      <c r="AF1490" s="54"/>
      <c r="AG1490" s="54"/>
      <c r="AH1490" s="54"/>
      <c r="AI1490" s="55" t="str">
        <f t="shared" si="149"/>
        <v/>
      </c>
      <c r="AW1490" s="234"/>
      <c r="BP1490" s="11"/>
      <c r="BQ1490" s="11"/>
      <c r="BR1490" s="235"/>
      <c r="BV1490" s="158"/>
      <c r="BY1490" s="158"/>
      <c r="CB1490" s="158"/>
    </row>
    <row r="1491" ht="18.0" hidden="1" customHeight="1">
      <c r="A1491" s="222">
        <f>IFERROR(__xludf.DUMMYFUNCTION("""COMPUTED_VALUE"""),2026.0)</f>
        <v>2026</v>
      </c>
      <c r="B1491" s="221">
        <f>IFERROR(__xludf.DUMMYFUNCTION("""COMPUTED_VALUE"""),1.23673E7)</f>
        <v>12367300</v>
      </c>
      <c r="C1491" s="222" t="str">
        <f>IFERROR(__xludf.DUMMYFUNCTION("""COMPUTED_VALUE"""),"MDN PT3 BJI-FRC DELI SERDANG_134035")</f>
        <v>MDN PT3 BJI-FRC DELI SERDANG_134035</v>
      </c>
      <c r="D1491" s="222" t="str">
        <f>IFERROR(__xludf.DUMMYFUNCTION("""COMPUTED_VALUE"""),"REGIONAL I")</f>
        <v>REGIONAL I</v>
      </c>
      <c r="E1491" s="222" t="str">
        <f>IFERROR(__xludf.DUMMYFUNCTION("""COMPUTED_VALUE"""),"MEDAN")</f>
        <v>MEDAN</v>
      </c>
      <c r="F1491" s="222" t="str">
        <f>IFERROR(__xludf.DUMMYFUNCTION("""COMPUTED_VALUE"""),"BJI")</f>
        <v>BJI</v>
      </c>
      <c r="G1491" s="222" t="str">
        <f>IFERROR(__xludf.DUMMYFUNCTION("""COMPUTED_VALUE"""),"SUMBAGUT")</f>
        <v>SUMBAGUT</v>
      </c>
      <c r="H1491" s="222" t="str">
        <f>IFERROR(__xludf.DUMMYFUNCTION("""COMPUTED_VALUE"""),"BINJAI")</f>
        <v>BINJAI</v>
      </c>
      <c r="I1491" s="222" t="str">
        <f>IFERROR(__xludf.DUMMYFUNCTION("""COMPUTED_VALUE"""),"Batch 2")</f>
        <v>Batch 2</v>
      </c>
      <c r="J1491" s="225">
        <f>IFERROR(__xludf.DUMMYFUNCTION("""COMPUTED_VALUE"""),3.0)</f>
        <v>3</v>
      </c>
      <c r="K1491" s="224">
        <f>IFERROR(__xludf.DUMMYFUNCTION("""COMPUTED_VALUE"""),24.0)</f>
        <v>24</v>
      </c>
      <c r="L1491" s="226">
        <f>IFERROR(__xludf.DUMMYFUNCTION("""COMPUTED_VALUE"""),635690.0)</f>
        <v>635690</v>
      </c>
      <c r="M1491" s="227">
        <f>IFERROR(__xludf.DUMMYFUNCTION("""COMPUTED_VALUE"""),1.5256543E7)</f>
        <v>15256543</v>
      </c>
      <c r="N1491" s="222" t="str">
        <f>IFERROR(__xludf.DUMMYFUNCTION("""COMPUTED_VALUE"""),"PT FIBERHOME TECHNOLOGIES INDONESIA")</f>
        <v>PT FIBERHOME TECHNOLOGIES INDONESIA</v>
      </c>
      <c r="O1491" s="222" t="str">
        <f>IFERROR(__xludf.DUMMYFUNCTION("""COMPUTED_VALUE"""),"4. MATDEL")</f>
        <v>4. MATDEL</v>
      </c>
      <c r="P1491" s="222" t="str">
        <f>IFERROR(__xludf.DUMMYFUNCTION("""COMPUTED_VALUE"""),"4.1 Belum Request Material (Alista)")</f>
        <v>4.1 Belum Request Material (Alista)</v>
      </c>
      <c r="Q1491" s="222" t="str">
        <f>IFERROR(__xludf.DUMMYFUNCTION("""COMPUTED_VALUE"""),"20/04 req material 09/04 komitmen perizinan ulang 14/04 31/03 komitmen perizinan (02/04)  05/03 feeder dist ready
(07/02) done permit lanjut cek alpro (07/01) Persiapan")</f>
        <v>20/04 req material 09/04 komitmen perizinan ulang 14/04 31/03 komitmen perizinan (02/04)  05/03 feeder dist ready
(07/02) done permit lanjut cek alpro (07/01) Persiapan</v>
      </c>
      <c r="R1491" s="228"/>
      <c r="S1491" s="11"/>
      <c r="T1491" s="73"/>
      <c r="U1491" s="11"/>
      <c r="V1491" s="229" t="str">
        <f>IFERROR(__xludf.DUMMYFUNCTION("""COMPUTED_VALUE"""),"24/Apr/2026")</f>
        <v>24/Apr/2026</v>
      </c>
      <c r="W1491" s="229"/>
      <c r="X1491" s="229" t="str">
        <f>IFERROR(__xludf.DUMMYFUNCTION("""COMPUTED_VALUE"""),"BELUM GOLIVE")</f>
        <v>BELUM GOLIVE</v>
      </c>
      <c r="Y1491" s="229"/>
      <c r="Z1491" s="229" t="str">
        <f>IFERROR(__xludf.DUMMYFUNCTION("""COMPUTED_VALUE"""),"#N/A")</f>
        <v>#N/A</v>
      </c>
      <c r="AA1491" s="229"/>
      <c r="AB1491" s="229"/>
      <c r="AC1491" s="229"/>
      <c r="AD1491" s="232"/>
      <c r="AE1491" s="233"/>
      <c r="AF1491" s="54"/>
      <c r="AG1491" s="54"/>
      <c r="AH1491" s="54">
        <v>46137.0</v>
      </c>
      <c r="AI1491" s="237">
        <f>AH1491-NOW()</f>
        <v>-3.377989931</v>
      </c>
      <c r="AJ1491" s="229" t="str">
        <f>if(AI1491&gt;=0,"In Komitmen","Out Komitmen")</f>
        <v>Out Komitmen</v>
      </c>
      <c r="AK1491" s="229" t="e">
        <v>#N/A</v>
      </c>
      <c r="AW1491" s="234"/>
      <c r="BP1491" s="11"/>
      <c r="BQ1491" s="11"/>
      <c r="BR1491" s="235"/>
      <c r="BV1491" s="158"/>
      <c r="BY1491" s="158"/>
      <c r="CB1491" s="158"/>
    </row>
    <row r="1492" ht="18.0" customHeight="1">
      <c r="A1492" s="222">
        <f>IFERROR(__xludf.DUMMYFUNCTION("""COMPUTED_VALUE"""),2026.0)</f>
        <v>2026</v>
      </c>
      <c r="B1492" s="221">
        <f>IFERROR(__xludf.DUMMYFUNCTION("""COMPUTED_VALUE"""),1.1087421E7)</f>
        <v>11087421</v>
      </c>
      <c r="C1492" s="222" t="str">
        <f>IFERROR(__xludf.DUMMYFUNCTION("""COMPUTED_VALUE"""),"RKP PT3 JPPTSEL RAI-FD TANJUNG HARAPAN DABO 2")</f>
        <v>RKP PT3 JPPTSEL RAI-FD TANJUNG HARAPAN DABO 2</v>
      </c>
      <c r="D1492" s="222" t="str">
        <f>IFERROR(__xludf.DUMMYFUNCTION("""COMPUTED_VALUE"""),"REGIONAL I")</f>
        <v>REGIONAL I</v>
      </c>
      <c r="E1492" s="222" t="str">
        <f>IFERROR(__xludf.DUMMYFUNCTION("""COMPUTED_VALUE"""),"RIKEP")</f>
        <v>RIKEP</v>
      </c>
      <c r="F1492" s="222" t="str">
        <f>IFERROR(__xludf.DUMMYFUNCTION("""COMPUTED_VALUE"""),"DBS")</f>
        <v>DBS</v>
      </c>
      <c r="G1492" s="222" t="str">
        <f>IFERROR(__xludf.DUMMYFUNCTION("""COMPUTED_VALUE"""),"SUMBAGTENG")</f>
        <v>SUMBAGTENG</v>
      </c>
      <c r="H1492" s="222" t="str">
        <f>IFERROR(__xludf.DUMMYFUNCTION("""COMPUTED_VALUE"""),"BATAM")</f>
        <v>BATAM</v>
      </c>
      <c r="I1492" s="222" t="str">
        <f>IFERROR(__xludf.DUMMYFUNCTION("""COMPUTED_VALUE"""),"Batch 2")</f>
        <v>Batch 2</v>
      </c>
      <c r="J1492" s="225">
        <f>IFERROR(__xludf.DUMMYFUNCTION("""COMPUTED_VALUE"""),4.0)</f>
        <v>4</v>
      </c>
      <c r="K1492" s="224">
        <f>IFERROR(__xludf.DUMMYFUNCTION("""COMPUTED_VALUE"""),32.0)</f>
        <v>32</v>
      </c>
      <c r="L1492" s="226">
        <f>IFERROR(__xludf.DUMMYFUNCTION("""COMPUTED_VALUE"""),635147.0)</f>
        <v>635147</v>
      </c>
      <c r="M1492" s="227">
        <f>IFERROR(__xludf.DUMMYFUNCTION("""COMPUTED_VALUE"""),2.0324694E7)</f>
        <v>20324694</v>
      </c>
      <c r="N1492" s="222" t="str">
        <f>IFERROR(__xludf.DUMMYFUNCTION("""COMPUTED_VALUE"""),"SWAKELOLA")</f>
        <v>SWAKELOLA</v>
      </c>
      <c r="O1492" s="222" t="str">
        <f>IFERROR(__xludf.DUMMYFUNCTION("""COMPUTED_VALUE"""),"0. DROP")</f>
        <v>0. DROP</v>
      </c>
      <c r="P1492" s="222" t="str">
        <f>IFERROR(__xludf.DUMMYFUNCTION("""COMPUTED_VALUE"""),"0.2 Tidak Dapat Izin Warga/Kades/Lurah/Developer")</f>
        <v>0.2 Tidak Dapat Izin Warga/Kades/Lurah/Developer</v>
      </c>
      <c r="Q1492" s="222" t="str">
        <f>IFERROR(__xludf.DUMMYFUNCTION("""COMPUTED_VALUE"""),"24.04 izin di tolak RT.
17/04 menunggu PO material, estimasi sampai WH Tanjung pinang, tgl tanggal 20 apr. 13/04 Tiang baru sampai WH TPI, tinggal Kabel ADSS masih menunggu bongkar muat di pelabuhan. 
06/04 PO Kabel sudah sampai di WH Tanjung Pinang, untu"&amp;"k material tiang masih di pelabuhan, 3-4 hari lagi informasi sampai di gudang TPI. 30/03 Req done, menunggu PO material sampai ke WH Tanjung pinang dan di kirim ke Pulau dabo dan Pulau Lingga.10/03 menunggu PO material sampai di pulau tanjung pinang dan p"&amp;"engiriman material ke pulau dabo singkep dan lingga. 05/03 Anwijzing OK, perizinan OK.  proses pembuatan BOQ KML Survey dan eval. 03/03 On Going survey ke pulau dabo singkep dan pulau lingga. 12/02 Lokasi di pulau outer lingga dan dabo singkep. 09/02 wils"&amp;"us masih blm sempat untuk survey di pulau. 22/01 Plan anwijzing mitra di pulau, tanggal 26 Jan 2026")</f>
        <v>24.04 izin di tolak RT.
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492" s="228"/>
      <c r="S1492" s="11"/>
      <c r="T1492" s="11"/>
      <c r="U1492" s="11" t="str">
        <f>IFERROR(__xludf.DUMMYFUNCTION("""COMPUTED_VALUE"""),"W09-303/2026")</f>
        <v>W09-303/2026</v>
      </c>
      <c r="V1492" s="229" t="str">
        <f>IFERROR(__xludf.DUMMYFUNCTION("""COMPUTED_VALUE"""),"DEDY IRAWAN")</f>
        <v>DEDY IRAWAN</v>
      </c>
      <c r="W1492" s="229" t="str">
        <f>IFERROR(__xludf.DUMMYFUNCTION("""COMPUTED_VALUE"""),"LEVITA INDRIYANI")</f>
        <v>LEVITA INDRIYANI</v>
      </c>
      <c r="X1492" s="229" t="str">
        <f>IFERROR(__xludf.DUMMYFUNCTION("""COMPUTED_VALUE"""),"BELUM GOLIVE")</f>
        <v>BELUM GOLIVE</v>
      </c>
      <c r="Y1492" s="229"/>
      <c r="Z1492" s="229" t="str">
        <f>IFERROR(__xludf.DUMMYFUNCTION("""COMPUTED_VALUE"""),"#N/A")</f>
        <v>#N/A</v>
      </c>
      <c r="AA1492" s="229"/>
      <c r="AB1492" s="229"/>
      <c r="AC1492" s="229"/>
      <c r="AD1492" s="232"/>
      <c r="AE1492" s="233"/>
      <c r="AF1492" s="54"/>
      <c r="AG1492" s="54"/>
      <c r="AH1492" s="54"/>
      <c r="AI1492" s="55" t="str">
        <f t="shared" ref="AI1492:AI1495" si="150">IF(OR(R1492="",AE1492=""),"",R1492-AE1492)</f>
        <v/>
      </c>
      <c r="AW1492" s="234"/>
      <c r="BP1492" s="11"/>
      <c r="BQ1492" s="11"/>
      <c r="BR1492" s="235"/>
      <c r="BV1492" s="158"/>
      <c r="BY1492" s="158"/>
      <c r="CB1492" s="158"/>
    </row>
    <row r="1493" ht="18.0" customHeight="1">
      <c r="A1493" s="222">
        <f>IFERROR(__xludf.DUMMYFUNCTION("""COMPUTED_VALUE"""),2026.0)</f>
        <v>2026</v>
      </c>
      <c r="B1493" s="221">
        <f>IFERROR(__xludf.DUMMYFUNCTION("""COMPUTED_VALUE"""),1.1422932E7)</f>
        <v>11422932</v>
      </c>
      <c r="C1493" s="222" t="str">
        <f>IFERROR(__xludf.DUMMYFUNCTION("""COMPUTED_VALUE"""),"RKP PT3 TSEL SLU-FBH CLUSTER JASMINE")</f>
        <v>RKP PT3 TSEL SLU-FBH CLUSTER JASMINE</v>
      </c>
      <c r="D1493" s="222" t="str">
        <f>IFERROR(__xludf.DUMMYFUNCTION("""COMPUTED_VALUE"""),"REGIONAL I")</f>
        <v>REGIONAL I</v>
      </c>
      <c r="E1493" s="222" t="str">
        <f>IFERROR(__xludf.DUMMYFUNCTION("""COMPUTED_VALUE"""),"RIKEP")</f>
        <v>RIKEP</v>
      </c>
      <c r="F1493" s="222" t="str">
        <f>IFERROR(__xludf.DUMMYFUNCTION("""COMPUTED_VALUE"""),"SLU")</f>
        <v>SLU</v>
      </c>
      <c r="G1493" s="222" t="str">
        <f>IFERROR(__xludf.DUMMYFUNCTION("""COMPUTED_VALUE"""),"SUMBAGTENG")</f>
        <v>SUMBAGTENG</v>
      </c>
      <c r="H1493" s="222" t="str">
        <f>IFERROR(__xludf.DUMMYFUNCTION("""COMPUTED_VALUE"""),"BATAM")</f>
        <v>BATAM</v>
      </c>
      <c r="I1493" s="222" t="str">
        <f>IFERROR(__xludf.DUMMYFUNCTION("""COMPUTED_VALUE"""),"Batch 2")</f>
        <v>Batch 2</v>
      </c>
      <c r="J1493" s="225">
        <f>IFERROR(__xludf.DUMMYFUNCTION("""COMPUTED_VALUE"""),4.0)</f>
        <v>4</v>
      </c>
      <c r="K1493" s="224">
        <f>IFERROR(__xludf.DUMMYFUNCTION("""COMPUTED_VALUE"""),32.0)</f>
        <v>32</v>
      </c>
      <c r="L1493" s="226">
        <f>IFERROR(__xludf.DUMMYFUNCTION("""COMPUTED_VALUE"""),1324853.0)</f>
        <v>1324853</v>
      </c>
      <c r="M1493" s="227">
        <f>IFERROR(__xludf.DUMMYFUNCTION("""COMPUTED_VALUE"""),4.2395267E7)</f>
        <v>42395267</v>
      </c>
      <c r="N1493" s="222" t="str">
        <f>IFERROR(__xludf.DUMMYFUNCTION("""COMPUTED_VALUE"""),"PT TRIPOLA PANATA")</f>
        <v>PT TRIPOLA PANATA</v>
      </c>
      <c r="O1493" s="222" t="str">
        <f>IFERROR(__xludf.DUMMYFUNCTION("""COMPUTED_VALUE"""),"0. DROP")</f>
        <v>0. DROP</v>
      </c>
      <c r="P1493" s="222" t="str">
        <f>IFERROR(__xludf.DUMMYFUNCTION("""COMPUTED_VALUE"""),"0.2 Tidak Dapat Izin Warga/Kades/Lurah/Developer")</f>
        <v>0.2 Tidak Dapat Izin Warga/Kades/Lurah/Developer</v>
      </c>
      <c r="Q1493" s="222" t="str">
        <f>IFERROR(__xludf.DUMMYFUNCTION("""COMPUTED_VALUE"""),"21/01 Drop tidak di berikan izin RT RW")</f>
        <v>21/01 Drop tidak di berikan izin RT RW</v>
      </c>
      <c r="R1493" s="228"/>
      <c r="S1493" s="11"/>
      <c r="T1493" s="11"/>
      <c r="U1493" s="11"/>
      <c r="V1493" s="229" t="str">
        <f>IFERROR(__xludf.DUMMYFUNCTION("""COMPUTED_VALUE"""),"MUHAMMAD RIDHO FALFO")</f>
        <v>MUHAMMAD RIDHO FALFO</v>
      </c>
      <c r="W1493" s="229" t="str">
        <f>IFERROR(__xludf.DUMMYFUNCTION("""COMPUTED_VALUE"""),"LEVITA INDRIYANI")</f>
        <v>LEVITA INDRIYANI</v>
      </c>
      <c r="X1493" s="229" t="str">
        <f>IFERROR(__xludf.DUMMYFUNCTION("""COMPUTED_VALUE"""),"BELUM GOLIVE")</f>
        <v>BELUM GOLIVE</v>
      </c>
      <c r="Y1493" s="229"/>
      <c r="Z1493" s="229" t="str">
        <f>IFERROR(__xludf.DUMMYFUNCTION("""COMPUTED_VALUE"""),"#N/A")</f>
        <v>#N/A</v>
      </c>
      <c r="AA1493" s="229"/>
      <c r="AB1493" s="229"/>
      <c r="AC1493" s="229"/>
      <c r="AD1493" s="232"/>
      <c r="AE1493" s="233"/>
      <c r="AF1493" s="54" t="str">
        <f>IFERROR(__xludf.DUMMYFUNCTION("""COMPUTED_VALUE"""),"Draft BA DROP")</f>
        <v>Draft BA DROP</v>
      </c>
      <c r="AG1493" s="54"/>
      <c r="AH1493" s="54"/>
      <c r="AI1493" s="55" t="str">
        <f t="shared" si="150"/>
        <v/>
      </c>
      <c r="AW1493" s="234"/>
      <c r="BP1493" s="11"/>
      <c r="BQ1493" s="11"/>
      <c r="BR1493" s="235"/>
      <c r="BV1493" s="158"/>
      <c r="BY1493" s="158"/>
      <c r="CB1493" s="158"/>
    </row>
    <row r="1494" ht="18.0" hidden="1" customHeight="1">
      <c r="A1494" s="222">
        <f>IFERROR(__xludf.DUMMYFUNCTION("""COMPUTED_VALUE"""),2026.0)</f>
        <v>2026</v>
      </c>
      <c r="B1494" s="221">
        <f>IFERROR(__xludf.DUMMYFUNCTION("""COMPUTED_VALUE"""),1.2003952E7)</f>
        <v>12003952</v>
      </c>
      <c r="C1494" s="222" t="str">
        <f>IFERROR(__xludf.DUMMYFUNCTION("""COMPUTED_VALUE"""),"SMS PT3 PDP FB D03 EMPAT LAWANG_160038")</f>
        <v>SMS PT3 PDP FB D03 EMPAT LAWANG_160038</v>
      </c>
      <c r="D1494" s="222" t="str">
        <f>IFERROR(__xludf.DUMMYFUNCTION("""COMPUTED_VALUE"""),"REGIONAL I")</f>
        <v>REGIONAL I</v>
      </c>
      <c r="E1494" s="222" t="str">
        <f>IFERROR(__xludf.DUMMYFUNCTION("""COMPUTED_VALUE"""),"SUMSEL")</f>
        <v>SUMSEL</v>
      </c>
      <c r="F1494" s="222" t="str">
        <f>IFERROR(__xludf.DUMMYFUNCTION("""COMPUTED_VALUE"""),"PDP")</f>
        <v>PDP</v>
      </c>
      <c r="G1494" s="222" t="str">
        <f>IFERROR(__xludf.DUMMYFUNCTION("""COMPUTED_VALUE"""),"SUMBAGSEL")</f>
        <v>SUMBAGSEL</v>
      </c>
      <c r="H1494" s="222" t="str">
        <f>IFERROR(__xludf.DUMMYFUNCTION("""COMPUTED_VALUE"""),"BENGKULU")</f>
        <v>BENGKULU</v>
      </c>
      <c r="I1494" s="222" t="str">
        <f>IFERROR(__xludf.DUMMYFUNCTION("""COMPUTED_VALUE"""),"Batch 2")</f>
        <v>Batch 2</v>
      </c>
      <c r="J1494" s="225">
        <f>IFERROR(__xludf.DUMMYFUNCTION("""COMPUTED_VALUE"""),3.0)</f>
        <v>3</v>
      </c>
      <c r="K1494" s="224">
        <f>IFERROR(__xludf.DUMMYFUNCTION("""COMPUTED_VALUE"""),24.0)</f>
        <v>24</v>
      </c>
      <c r="L1494" s="226">
        <f>IFERROR(__xludf.DUMMYFUNCTION("""COMPUTED_VALUE"""),634907.0)</f>
        <v>634907</v>
      </c>
      <c r="M1494" s="227">
        <f>IFERROR(__xludf.DUMMYFUNCTION("""COMPUTED_VALUE"""),1.5237755E7)</f>
        <v>15237755</v>
      </c>
      <c r="N1494" s="222" t="str">
        <f>IFERROR(__xludf.DUMMYFUNCTION("""COMPUTED_VALUE"""),"PT DIAN KARYA")</f>
        <v>PT DIAN KARYA</v>
      </c>
      <c r="O1494" s="222" t="str">
        <f>IFERROR(__xludf.DUMMYFUNCTION("""COMPUTED_VALUE"""),"7. GOLIVE")</f>
        <v>7. GOLIVE</v>
      </c>
      <c r="P1494" s="222" t="str">
        <f>IFERROR(__xludf.DUMMYFUNCTION("""COMPUTED_VALUE"""),"7.2 Golive Full / OA / DONE OTB")</f>
        <v>7.2 Golive Full / OA / DONE OTB</v>
      </c>
      <c r="Q1494" s="222" t="str">
        <f>IFERROR(__xludf.DUMMYFUNCTION("""COMPUTED_VALUE"""),"13/03 GOLIVE, 13/03 DONE SUBMIT ABD KE SDI, 12/03 OGP VALINS, 11/03 MENUNGGU ANTRIAN TERMINASI ODP, 10/03 MENUNGGU ANTRIAN TERMINASI ODP, 06/03 DONE PENARIKAN KABEL 360M, 05/03 PROGRESS PENARIKANN KABEL, 03/03 HARI INI MULAI PROGRESS TARIK KABEL, 27/02 ME"&amp;"NUNGGU ANTRIAN PEKERJAAN, 26/02 MENUNGGU ANTRIAN PEKERJAAN, 25/02 CAT TIANG, 24/02 MATERIAL ONSITE  23/02 OGP MATDEL, 22/2 menunggu material TIANG  16/02 OGP MATDEL, (11/02) Done Input Material, 11/2 Done PRPO- Req Material,  (09/02) Proses PR PO, 6/2 sud"&amp;"ah Create PID, input material  04/02 DONE EVAL, ADA PERUBAHAN ODP DRI 3 KE 2 KRENA STUB CORDE FEEDER HABIS, LANJUT PROGRES LAPANGAN,, 04/02 OGP EVAL, 30/01 MENUNGGU ANTRIAN AANWIDJZING, (26/1) tim TIF belum bisa EVAL hasil anwijzing karena lagi diluar kot"&amp;"a , estimasi 29 jan baru kembali ke Palembang(23/1) plan aanwijdzing tgl 27 jan (21/01) menunggu anrian untuk aanwijzing, (14/11)HOLD-  tidak masuk target Optimis 2025 (13/11 penunjukkan mitra raharja, 10/11 penunjukkan mitra raharja 23/10 belum di lakuka"&amp;"n oleh mitra ke lokasi
15/10 plan aanwiznig tgl 17/10
(08/10) menunggu jadwal aanwijizng
(01/10) menunggu jadwal aanwijizng
(19/09) pejadwalan aanwijzing
14/01 sudah penunjukan mitra oleh procurement")</f>
        <v>13/03 GOLIVE, 13/03 DONE SUBMIT ABD KE SDI, 12/03 OGP VALINS, 11/03 MENUNGGU ANTRIAN TERMINASI ODP, 10/03 MENUNGGU ANTRIAN TERMINASI ODP, 06/03 DONE PENARIKAN KABEL 360M, 05/03 PROGRESS PENARIKANN KABEL, 03/03 HARI INI MULAI PROGRESS TARIK KABEL, 27/02 MENUNGGU ANTRIAN PEKERJAAN, 26/02 MENUNGGU ANTRIAN PEKERJAAN, 25/02 CAT TIANG, 24/02 MATERIAL ONSITE  23/02 OGP MATDEL, 22/2 menunggu material TIANG  16/02 OGP MATDEL, (11/02) Done Input Material, 11/2 Done PRPO- Req Material,  (09/02) Proses PR PO, 6/2 sudah Create PID, input material  04/02 DONE EVAL, ADA PERUBAHAN ODP DRI 3 KE 2 KRENA STUB CORDE FEEDER HABIS, LANJUT PROGRES LAPANGAN,, 04/02 OGP EVAL, 30/01 MENUNGGU ANTRIAN AANWIDJZING, (26/1) tim TIF belum bisa EVAL hasil anwijzing karena lagi diluar kota , estimasi 29 jan baru kembali ke Palembang(23/1) plan aanwijdzing tgl 27 jan (21/01) menunggu anrian untuk aanwijzing, (14/11)HOLD-  tidak masuk target Optimis 2025 (13/11 penunjukkan mitra raharja, 10/11 penunjukkan mitra raharja 23/10 belum di lakukan oleh mitra ke lokasi
15/10 plan aanwiznig tgl 17/10
(08/10) menunggu jadwal aanwijizng
(01/10) menunggu jadwal aanwijizng
(19/09) pejadwalan aanwijzing
14/01 sudah penunjukan mitra oleh procurement</v>
      </c>
      <c r="R1494" s="228">
        <f>IFERROR(__xludf.DUMMYFUNCTION("""COMPUTED_VALUE"""),46112.0)</f>
        <v>46112</v>
      </c>
      <c r="S1494" s="11" t="str">
        <f>IFERROR(__xludf.DUMMYFUNCTION("""COMPUTED_VALUE"""),"MAR")</f>
        <v>MAR</v>
      </c>
      <c r="T1494" s="11"/>
      <c r="U1494" s="11"/>
      <c r="V1494" s="229" t="str">
        <f>IFERROR(__xludf.DUMMYFUNCTION("""COMPUTED_VALUE"""),"PUTRA")</f>
        <v>PUTRA</v>
      </c>
      <c r="W1494" s="229"/>
      <c r="X1494" s="229" t="str">
        <f>IFERROR(__xludf.DUMMYFUNCTION("""COMPUTED_VALUE"""),"GOLIVE")</f>
        <v>GOLIVE</v>
      </c>
      <c r="Y1494" s="229" t="str">
        <f>IFERROR(__xludf.DUMMYFUNCTION("""COMPUTED_VALUE"""),"DONE")</f>
        <v>DONE</v>
      </c>
      <c r="Z1494" s="229" t="str">
        <f>IFERROR(__xludf.DUMMYFUNCTION("""COMPUTED_VALUE"""),"#N/A")</f>
        <v>#N/A</v>
      </c>
      <c r="AA1494" s="229">
        <f>IFERROR(__xludf.DUMMYFUNCTION("""COMPUTED_VALUE"""),2.0)</f>
        <v>2</v>
      </c>
      <c r="AB1494" s="229"/>
      <c r="AC1494" s="229" t="str">
        <f>IFERROR(__xludf.DUMMYFUNCTION("""COMPUTED_VALUE"""),"8942358#8942363")</f>
        <v>8942358#8942363</v>
      </c>
      <c r="AD1494" s="232">
        <f>IFERROR(__xludf.DUMMYFUNCTION("""COMPUTED_VALUE"""),16.0)</f>
        <v>16</v>
      </c>
      <c r="AE1494" s="233">
        <f>IFERROR(__xludf.DUMMYFUNCTION("""COMPUTED_VALUE"""),46093.0)</f>
        <v>46093</v>
      </c>
      <c r="AF1494" s="54"/>
      <c r="AG1494" s="54"/>
      <c r="AH1494" s="54">
        <v>46112.0</v>
      </c>
      <c r="AI1494" s="55">
        <f t="shared" si="150"/>
        <v>19</v>
      </c>
      <c r="AW1494" s="234"/>
      <c r="BP1494" s="11"/>
      <c r="BQ1494" s="11"/>
      <c r="BR1494" s="235"/>
      <c r="BV1494" s="158"/>
      <c r="BY1494" s="158"/>
      <c r="CB1494" s="158"/>
    </row>
    <row r="1495" ht="18.0" hidden="1" customHeight="1">
      <c r="A1495" s="222">
        <f>IFERROR(__xludf.DUMMYFUNCTION("""COMPUTED_VALUE"""),2026.0)</f>
        <v>2026</v>
      </c>
      <c r="B1495" s="221">
        <f>IFERROR(__xludf.DUMMYFUNCTION("""COMPUTED_VALUE"""),1.1206668E7)</f>
        <v>11206668</v>
      </c>
      <c r="C1495" s="222" t="str">
        <f>IFERROR(__xludf.DUMMYFUNCTION("""COMPUTED_VALUE"""),"MDN PT3 P7I12 PRT-FB GG.MULIA")</f>
        <v>MDN PT3 P7I12 PRT-FB GG.MULIA</v>
      </c>
      <c r="D1495" s="222" t="str">
        <f>IFERROR(__xludf.DUMMYFUNCTION("""COMPUTED_VALUE"""),"REGIONAL I")</f>
        <v>REGIONAL I</v>
      </c>
      <c r="E1495" s="222" t="str">
        <f>IFERROR(__xludf.DUMMYFUNCTION("""COMPUTED_VALUE"""),"MEDAN")</f>
        <v>MEDAN</v>
      </c>
      <c r="F1495" s="222" t="str">
        <f>IFERROR(__xludf.DUMMYFUNCTION("""COMPUTED_VALUE"""),"PRT")</f>
        <v>PRT</v>
      </c>
      <c r="G1495" s="222" t="str">
        <f>IFERROR(__xludf.DUMMYFUNCTION("""COMPUTED_VALUE"""),"SUMBAGUT")</f>
        <v>SUMBAGUT</v>
      </c>
      <c r="H1495" s="222" t="str">
        <f>IFERROR(__xludf.DUMMYFUNCTION("""COMPUTED_VALUE"""),"MEDAN")</f>
        <v>MEDAN</v>
      </c>
      <c r="I1495" s="222" t="str">
        <f>IFERROR(__xludf.DUMMYFUNCTION("""COMPUTED_VALUE"""),"Batch 2")</f>
        <v>Batch 2</v>
      </c>
      <c r="J1495" s="225">
        <f>IFERROR(__xludf.DUMMYFUNCTION("""COMPUTED_VALUE"""),3.0)</f>
        <v>3</v>
      </c>
      <c r="K1495" s="224">
        <f>IFERROR(__xludf.DUMMYFUNCTION("""COMPUTED_VALUE"""),24.0)</f>
        <v>24</v>
      </c>
      <c r="L1495" s="226">
        <f>IFERROR(__xludf.DUMMYFUNCTION("""COMPUTED_VALUE"""),711708.0)</f>
        <v>711708</v>
      </c>
      <c r="M1495" s="227">
        <f>IFERROR(__xludf.DUMMYFUNCTION("""COMPUTED_VALUE"""),1.7080976E7)</f>
        <v>17080976</v>
      </c>
      <c r="N1495" s="222" t="str">
        <f>IFERROR(__xludf.DUMMYFUNCTION("""COMPUTED_VALUE"""),"PT BENWA  MITRA PRATAMA")</f>
        <v>PT BENWA  MITRA PRATAMA</v>
      </c>
      <c r="O1495" s="222" t="str">
        <f>IFERROR(__xludf.DUMMYFUNCTION("""COMPUTED_VALUE"""),"0. DROP")</f>
        <v>0. DROP</v>
      </c>
      <c r="P1495" s="222" t="str">
        <f>IFERROR(__xludf.DUMMYFUNCTION("""COMPUTED_VALUE"""),"0.3 Feeder Full")</f>
        <v>0.3 Feeder Full</v>
      </c>
      <c r="Q1495" s="222" t="str">
        <f>IFERROR(__xludf.DUMMYFUNCTION("""COMPUTED_VALUE"""),"(29/01) Feeder Habis")</f>
        <v>(29/01) Feeder Habis</v>
      </c>
      <c r="R1495" s="228"/>
      <c r="S1495" s="11"/>
      <c r="T1495" s="11"/>
      <c r="U1495" s="11"/>
      <c r="V1495" s="229"/>
      <c r="W1495" s="229"/>
      <c r="X1495" s="229" t="str">
        <f>IFERROR(__xludf.DUMMYFUNCTION("""COMPUTED_VALUE"""),"BELUM GOLIVE")</f>
        <v>BELUM GOLIVE</v>
      </c>
      <c r="Y1495" s="229"/>
      <c r="Z1495" s="229" t="str">
        <f>IFERROR(__xludf.DUMMYFUNCTION("""COMPUTED_VALUE"""),"#N/A")</f>
        <v>#N/A</v>
      </c>
      <c r="AA1495" s="229"/>
      <c r="AB1495" s="229"/>
      <c r="AC1495" s="229"/>
      <c r="AD1495" s="232"/>
      <c r="AE1495" s="233"/>
      <c r="AF1495" s="54"/>
      <c r="AG1495" s="54"/>
      <c r="AH1495" s="54"/>
      <c r="AI1495" s="55" t="str">
        <f t="shared" si="150"/>
        <v/>
      </c>
      <c r="AW1495" s="234"/>
      <c r="BP1495" s="11"/>
      <c r="BQ1495" s="11"/>
      <c r="BR1495" s="235"/>
      <c r="BV1495" s="158"/>
      <c r="BY1495" s="158"/>
      <c r="CB1495" s="158"/>
    </row>
    <row r="1496" ht="18.0" hidden="1" customHeight="1">
      <c r="A1496" s="222">
        <f>IFERROR(__xludf.DUMMYFUNCTION("""COMPUTED_VALUE"""),2026.0)</f>
        <v>2026</v>
      </c>
      <c r="B1496" s="221">
        <f>IFERROR(__xludf.DUMMYFUNCTION("""COMPUTED_VALUE"""),1.1237168E7)</f>
        <v>11237168</v>
      </c>
      <c r="C1496" s="222" t="str">
        <f>IFERROR(__xludf.DUMMYFUNCTION("""COMPUTED_VALUE"""),"MDN PT3 CTD-FCV JL.MENCIRIM MEDAN KRIO")</f>
        <v>MDN PT3 CTD-FCV JL.MENCIRIM MEDAN KRIO</v>
      </c>
      <c r="D1496" s="222" t="str">
        <f>IFERROR(__xludf.DUMMYFUNCTION("""COMPUTED_VALUE"""),"REGIONAL I")</f>
        <v>REGIONAL I</v>
      </c>
      <c r="E1496" s="222" t="str">
        <f>IFERROR(__xludf.DUMMYFUNCTION("""COMPUTED_VALUE"""),"MEDAN")</f>
        <v>MEDAN</v>
      </c>
      <c r="F1496" s="222" t="str">
        <f>IFERROR(__xludf.DUMMYFUNCTION("""COMPUTED_VALUE"""),"CTD")</f>
        <v>CTD</v>
      </c>
      <c r="G1496" s="222" t="str">
        <f>IFERROR(__xludf.DUMMYFUNCTION("""COMPUTED_VALUE"""),"SUMBAGUT")</f>
        <v>SUMBAGUT</v>
      </c>
      <c r="H1496" s="222" t="str">
        <f>IFERROR(__xludf.DUMMYFUNCTION("""COMPUTED_VALUE"""),"MEDAN")</f>
        <v>MEDAN</v>
      </c>
      <c r="I1496" s="222" t="str">
        <f>IFERROR(__xludf.DUMMYFUNCTION("""COMPUTED_VALUE"""),"Batch 2")</f>
        <v>Batch 2</v>
      </c>
      <c r="J1496" s="225">
        <f>IFERROR(__xludf.DUMMYFUNCTION("""COMPUTED_VALUE"""),5.0)</f>
        <v>5</v>
      </c>
      <c r="K1496" s="224">
        <f>IFERROR(__xludf.DUMMYFUNCTION("""COMPUTED_VALUE"""),40.0)</f>
        <v>40</v>
      </c>
      <c r="L1496" s="226">
        <f>IFERROR(__xludf.DUMMYFUNCTION("""COMPUTED_VALUE"""),710123.0)</f>
        <v>710123</v>
      </c>
      <c r="M1496" s="227">
        <f>IFERROR(__xludf.DUMMYFUNCTION("""COMPUTED_VALUE"""),2.8404906E7)</f>
        <v>28404906</v>
      </c>
      <c r="N1496" s="222" t="str">
        <f>IFERROR(__xludf.DUMMYFUNCTION("""COMPUTED_VALUE"""),"PT MILFHA MUTIARA PRIMA")</f>
        <v>PT MILFHA MUTIARA PRIMA</v>
      </c>
      <c r="O1496" s="222" t="str">
        <f>IFERROR(__xludf.DUMMYFUNCTION("""COMPUTED_VALUE"""),"0. DROP")</f>
        <v>0. DROP</v>
      </c>
      <c r="P1496" s="222" t="str">
        <f>IFERROR(__xludf.DUMMYFUNCTION("""COMPUTED_VALUE"""),"0.2 Tidak Dapat Izin Warga/Kades/Lurah/Developer")</f>
        <v>0.2 Tidak Dapat Izin Warga/Kades/Lurah/Developer</v>
      </c>
      <c r="Q1496" s="222" t="str">
        <f>IFERROR(__xludf.DUMMYFUNCTION("""COMPUTED_VALUE"""),"03/02 tidak dapat izin 02/02 Aanwidzing ok, lanjut perizinan kepling")</f>
        <v>03/02 tidak dapat izin 02/02 Aanwidzing ok, lanjut perizinan kepling</v>
      </c>
      <c r="R1496" s="228"/>
      <c r="S1496" s="11"/>
      <c r="T1496" s="11"/>
      <c r="U1496" s="11"/>
      <c r="V1496" s="229"/>
      <c r="W1496" s="229"/>
      <c r="X1496" s="229" t="str">
        <f>IFERROR(__xludf.DUMMYFUNCTION("""COMPUTED_VALUE"""),"BELUM GOLIVE")</f>
        <v>BELUM GOLIVE</v>
      </c>
      <c r="Y1496" s="229"/>
      <c r="Z1496" s="229" t="str">
        <f>IFERROR(__xludf.DUMMYFUNCTION("""COMPUTED_VALUE"""),"#N/A")</f>
        <v>#N/A</v>
      </c>
      <c r="AA1496" s="229"/>
      <c r="AB1496" s="229"/>
      <c r="AC1496" s="229"/>
      <c r="AD1496" s="232"/>
      <c r="AE1496" s="233"/>
      <c r="AF1496" s="54" t="str">
        <f>IFERROR(__xludf.DUMMYFUNCTION("""COMPUTED_VALUE"""),"Draft BA DROP")</f>
        <v>Draft BA DROP</v>
      </c>
      <c r="AG1496" s="54"/>
      <c r="AH1496" s="54">
        <v>46126.0</v>
      </c>
      <c r="AI1496" s="237">
        <f>AH1496-NOW()</f>
        <v>-14.37798993</v>
      </c>
      <c r="AJ1496" s="229" t="str">
        <f>if(AI1496&gt;=0,"in Komitmen","Out komitmen")</f>
        <v>Out komitmen</v>
      </c>
      <c r="AK1496" s="229" t="s">
        <v>199</v>
      </c>
      <c r="AW1496" s="234"/>
      <c r="BP1496" s="11"/>
      <c r="BQ1496" s="11"/>
      <c r="BR1496" s="235"/>
      <c r="BV1496" s="158"/>
      <c r="BY1496" s="158"/>
      <c r="CB1496" s="158"/>
    </row>
    <row r="1497" ht="18.0" customHeight="1">
      <c r="A1497" s="222">
        <f>IFERROR(__xludf.DUMMYFUNCTION("""COMPUTED_VALUE"""),2026.0)</f>
        <v>2026</v>
      </c>
      <c r="B1497" s="221">
        <f>IFERROR(__xludf.DUMMYFUNCTION("""COMPUTED_VALUE"""),1.099483E7)</f>
        <v>10994830</v>
      </c>
      <c r="C1497" s="222" t="str">
        <f>IFERROR(__xludf.DUMMYFUNCTION("""COMPUTED_VALUE"""),"RDR JPP PT3 Jl. Masjid Tlk. Makmur")</f>
        <v>RDR JPP PT3 Jl. Masjid Tlk. Makmur</v>
      </c>
      <c r="D1497" s="222" t="str">
        <f>IFERROR(__xludf.DUMMYFUNCTION("""COMPUTED_VALUE"""),"REGIONAL I")</f>
        <v>REGIONAL I</v>
      </c>
      <c r="E1497" s="222" t="str">
        <f>IFERROR(__xludf.DUMMYFUNCTION("""COMPUTED_VALUE"""),"RIDAR")</f>
        <v>RIDAR</v>
      </c>
      <c r="F1497" s="222" t="str">
        <f>IFERROR(__xludf.DUMMYFUNCTION("""COMPUTED_VALUE"""),"DUM")</f>
        <v>DUM</v>
      </c>
      <c r="G1497" s="222" t="str">
        <f>IFERROR(__xludf.DUMMYFUNCTION("""COMPUTED_VALUE"""),"SUMBAGTENG")</f>
        <v>SUMBAGTENG</v>
      </c>
      <c r="H1497" s="222" t="str">
        <f>IFERROR(__xludf.DUMMYFUNCTION("""COMPUTED_VALUE"""),"DUMAI")</f>
        <v>DUMAI</v>
      </c>
      <c r="I1497" s="222" t="str">
        <f>IFERROR(__xludf.DUMMYFUNCTION("""COMPUTED_VALUE"""),"Batch 2")</f>
        <v>Batch 2</v>
      </c>
      <c r="J1497" s="225">
        <f>IFERROR(__xludf.DUMMYFUNCTION("""COMPUTED_VALUE"""),8.0)</f>
        <v>8</v>
      </c>
      <c r="K1497" s="224">
        <f>IFERROR(__xludf.DUMMYFUNCTION("""COMPUTED_VALUE"""),64.0)</f>
        <v>64</v>
      </c>
      <c r="L1497" s="226">
        <f>IFERROR(__xludf.DUMMYFUNCTION("""COMPUTED_VALUE"""),634548.0)</f>
        <v>634548</v>
      </c>
      <c r="M1497" s="227">
        <f>IFERROR(__xludf.DUMMYFUNCTION("""COMPUTED_VALUE"""),4.0611044E7)</f>
        <v>40611044</v>
      </c>
      <c r="N1497" s="222" t="str">
        <f>IFERROR(__xludf.DUMMYFUNCTION("""COMPUTED_VALUE"""),"PT TIGA AKSES MANDIRI")</f>
        <v>PT TIGA AKSES MANDIRI</v>
      </c>
      <c r="O1497" s="222" t="str">
        <f>IFERROR(__xludf.DUMMYFUNCTION("""COMPUTED_VALUE"""),"7. GOLIVE")</f>
        <v>7. GOLIVE</v>
      </c>
      <c r="P1497" s="222" t="str">
        <f>IFERROR(__xludf.DUMMYFUNCTION("""COMPUTED_VALUE"""),"7.2 Golive Full / OA / DONE OTB")</f>
        <v>7.2 Golive Full / OA / DONE OTB</v>
      </c>
      <c r="Q1497" s="222" t="str">
        <f>IFERROR(__xludf.DUMMYFUNCTION("""COMPUTED_VALUE"""),"13/04 Proses Valins 08/04 Penarikan kabel 06/04 Penanaman tiang 30/03 Prepare pengambilan material 20/01 Drop kendala feeder (07/01) Persiapan")</f>
        <v>13/04 Proses Valins 08/04 Penarikan kabel 06/04 Penanaman tiang 30/03 Prepare pengambilan material 20/01 Drop kendala feeder (07/01) Persiapan</v>
      </c>
      <c r="R1497" s="228">
        <f>IFERROR(__xludf.DUMMYFUNCTION("""COMPUTED_VALUE"""),46126.0)</f>
        <v>46126</v>
      </c>
      <c r="S1497" s="11"/>
      <c r="T1497" s="73"/>
      <c r="U1497" s="11"/>
      <c r="V1497" s="229" t="str">
        <f>IFERROR(__xludf.DUMMYFUNCTION("""COMPUTED_VALUE"""),"PIKI NOFRI SAPUTRA")</f>
        <v>PIKI NOFRI SAPUTRA</v>
      </c>
      <c r="W1497" s="229" t="str">
        <f>IFERROR(__xludf.DUMMYFUNCTION("""COMPUTED_VALUE"""),"ANZALA SAKINAH")</f>
        <v>ANZALA SAKINAH</v>
      </c>
      <c r="X1497" s="229" t="str">
        <f>IFERROR(__xludf.DUMMYFUNCTION("""COMPUTED_VALUE"""),"GOLIVE")</f>
        <v>GOLIVE</v>
      </c>
      <c r="Y1497" s="229" t="str">
        <f>IFERROR(__xludf.DUMMYFUNCTION("""COMPUTED_VALUE"""),"DONE")</f>
        <v>DONE</v>
      </c>
      <c r="Z1497" s="229" t="str">
        <f>IFERROR(__xludf.DUMMYFUNCTION("""COMPUTED_VALUE"""),"#N/A")</f>
        <v>#N/A</v>
      </c>
      <c r="AA1497" s="229">
        <f>IFERROR(__xludf.DUMMYFUNCTION("""COMPUTED_VALUE"""),8.0)</f>
        <v>8</v>
      </c>
      <c r="AB1497" s="229"/>
      <c r="AC1497" s="229" t="str">
        <f>IFERROR(__xludf.DUMMYFUNCTION("""COMPUTED_VALUE"""),"9270742#9270747")</f>
        <v>9270742#9270747</v>
      </c>
      <c r="AD1497" s="232">
        <f>IFERROR(__xludf.DUMMYFUNCTION("""COMPUTED_VALUE"""),64.0)</f>
        <v>64</v>
      </c>
      <c r="AE1497" s="233">
        <f>IFERROR(__xludf.DUMMYFUNCTION("""COMPUTED_VALUE"""),46126.0)</f>
        <v>46126</v>
      </c>
      <c r="AF1497" s="54"/>
      <c r="AG1497" s="54"/>
      <c r="AH1497" s="54">
        <v>46128.0</v>
      </c>
      <c r="AI1497" s="55">
        <f>IF(OR(AH1497="",AE1497=""),"",AH1497-AE1497)</f>
        <v>2</v>
      </c>
      <c r="AJ1497" s="229" t="str">
        <f>if(AI1497&gt;=0,"Gl in Komitmen","Gl out komitmen")</f>
        <v>Gl in Komitmen</v>
      </c>
      <c r="AK1497" s="231" t="s">
        <v>199</v>
      </c>
      <c r="AW1497" s="234"/>
      <c r="BP1497" s="11"/>
      <c r="BQ1497" s="11"/>
      <c r="BR1497" s="235"/>
      <c r="BV1497" s="158"/>
      <c r="BY1497" s="158"/>
      <c r="CB1497" s="158"/>
    </row>
    <row r="1498" ht="18.0" hidden="1" customHeight="1">
      <c r="A1498" s="222">
        <f>IFERROR(__xludf.DUMMYFUNCTION("""COMPUTED_VALUE"""),2026.0)</f>
        <v>2026</v>
      </c>
      <c r="B1498" s="221">
        <f>IFERROR(__xludf.DUMMYFUNCTION("""COMPUTED_VALUE"""),1.2438823E7)</f>
        <v>12438823</v>
      </c>
      <c r="C1498" s="222" t="str">
        <f>IFERROR(__xludf.DUMMYFUNCTION("""COMPUTED_VALUE"""),"MDN PT3 BJI-FA SUMATERA UTARA_15984_new")</f>
        <v>MDN PT3 BJI-FA SUMATERA UTARA_15984_new</v>
      </c>
      <c r="D1498" s="222" t="str">
        <f>IFERROR(__xludf.DUMMYFUNCTION("""COMPUTED_VALUE"""),"REGIONAL I")</f>
        <v>REGIONAL I</v>
      </c>
      <c r="E1498" s="222" t="str">
        <f>IFERROR(__xludf.DUMMYFUNCTION("""COMPUTED_VALUE"""),"MEDAN")</f>
        <v>MEDAN</v>
      </c>
      <c r="F1498" s="222" t="str">
        <f>IFERROR(__xludf.DUMMYFUNCTION("""COMPUTED_VALUE"""),"BJI")</f>
        <v>BJI</v>
      </c>
      <c r="G1498" s="222" t="str">
        <f>IFERROR(__xludf.DUMMYFUNCTION("""COMPUTED_VALUE"""),"SUMBAGUT")</f>
        <v>SUMBAGUT</v>
      </c>
      <c r="H1498" s="222" t="str">
        <f>IFERROR(__xludf.DUMMYFUNCTION("""COMPUTED_VALUE"""),"BINJAI")</f>
        <v>BINJAI</v>
      </c>
      <c r="I1498" s="222" t="str">
        <f>IFERROR(__xludf.DUMMYFUNCTION("""COMPUTED_VALUE"""),"Batch 2")</f>
        <v>Batch 2</v>
      </c>
      <c r="J1498" s="225">
        <f>IFERROR(__xludf.DUMMYFUNCTION("""COMPUTED_VALUE"""),3.0)</f>
        <v>3</v>
      </c>
      <c r="K1498" s="224">
        <f>IFERROR(__xludf.DUMMYFUNCTION("""COMPUTED_VALUE"""),24.0)</f>
        <v>24</v>
      </c>
      <c r="L1498" s="226">
        <f>IFERROR(__xludf.DUMMYFUNCTION("""COMPUTED_VALUE"""),633364.0)</f>
        <v>633364</v>
      </c>
      <c r="M1498" s="227">
        <f>IFERROR(__xludf.DUMMYFUNCTION("""COMPUTED_VALUE"""),1.5200713E7)</f>
        <v>15200713</v>
      </c>
      <c r="N1498" s="222" t="str">
        <f>IFERROR(__xludf.DUMMYFUNCTION("""COMPUTED_VALUE"""),"PT KENCANA RAYA INDONESIA")</f>
        <v>PT KENCANA RAYA INDONESIA</v>
      </c>
      <c r="O1498" s="222" t="str">
        <f>IFERROR(__xludf.DUMMYFUNCTION("""COMPUTED_VALUE"""),"8. UJI TERIMA")</f>
        <v>8. UJI TERIMA</v>
      </c>
      <c r="P1498" s="222" t="str">
        <f>IFERROR(__xludf.DUMMYFUNCTION("""COMPUTED_VALUE"""),"8.1 Proses UT")</f>
        <v>8.1 Proses UT</v>
      </c>
      <c r="Q1498" s="222" t="str">
        <f>IFERROR(__xludf.DUMMYFUNCTION("""COMPUTED_VALUE"""),"25/02 instalasi done
24/02 penarikan KU done
23/02 penarikan KU 
20/02 pengambilan material
14/02) feeder distribusi ready (07/01) Persiapan")</f>
        <v>25/02 instalasi done
24/02 penarikan KU done
23/02 penarikan KU 
20/02 pengambilan material
14/02) feeder distribusi ready (07/01) Persiapan</v>
      </c>
      <c r="R1498" s="228"/>
      <c r="S1498" s="11"/>
      <c r="T1498" s="11"/>
      <c r="U1498" s="11" t="str">
        <f>IFERROR(__xludf.DUMMYFUNCTION("""COMPUTED_VALUE"""),"FALSE")</f>
        <v>FALSE</v>
      </c>
      <c r="V1498" s="229"/>
      <c r="W1498" s="229"/>
      <c r="X1498" s="229" t="str">
        <f>IFERROR(__xludf.DUMMYFUNCTION("""COMPUTED_VALUE"""),"GOLIVE")</f>
        <v>GOLIVE</v>
      </c>
      <c r="Y1498" s="229" t="str">
        <f>IFERROR(__xludf.DUMMYFUNCTION("""COMPUTED_VALUE"""),"DONE")</f>
        <v>DONE</v>
      </c>
      <c r="Z1498" s="229" t="str">
        <f>IFERROR(__xludf.DUMMYFUNCTION("""COMPUTED_VALUE"""),"#N/A")</f>
        <v>#N/A</v>
      </c>
      <c r="AA1498" s="229">
        <f>IFERROR(__xludf.DUMMYFUNCTION("""COMPUTED_VALUE"""),3.0)</f>
        <v>3</v>
      </c>
      <c r="AB1498" s="229"/>
      <c r="AC1498" s="229" t="str">
        <f>IFERROR(__xludf.DUMMYFUNCTION("""COMPUTED_VALUE"""),"9152924#9152929")</f>
        <v>9152924#9152929</v>
      </c>
      <c r="AD1498" s="232">
        <f>IFERROR(__xludf.DUMMYFUNCTION("""COMPUTED_VALUE"""),24.0)</f>
        <v>24</v>
      </c>
      <c r="AE1498" s="233">
        <f>IFERROR(__xludf.DUMMYFUNCTION("""COMPUTED_VALUE"""),46079.0)</f>
        <v>46079</v>
      </c>
      <c r="AF1498" s="54"/>
      <c r="AG1498" s="54"/>
      <c r="AH1498" s="54"/>
      <c r="AI1498" s="55" t="str">
        <f t="shared" ref="AI1498:AI1503" si="151">IF(OR(R1498="",AE1498=""),"",R1498-AE1498)</f>
        <v/>
      </c>
      <c r="AW1498" s="234"/>
      <c r="BP1498" s="11"/>
      <c r="BQ1498" s="11"/>
      <c r="BR1498" s="235"/>
      <c r="BV1498" s="158"/>
      <c r="BY1498" s="158"/>
      <c r="CB1498" s="158"/>
    </row>
    <row r="1499" ht="18.0" customHeight="1">
      <c r="A1499" s="222">
        <f>IFERROR(__xludf.DUMMYFUNCTION("""COMPUTED_VALUE"""),2026.0)</f>
        <v>2026</v>
      </c>
      <c r="B1499" s="221">
        <f>IFERROR(__xludf.DUMMYFUNCTION("""COMPUTED_VALUE"""),1.2260093E7)</f>
        <v>12260093</v>
      </c>
      <c r="C1499" s="222" t="str">
        <f>IFERROR(__xludf.DUMMYFUNCTION("""COMPUTED_VALUE"""),"RDR JPP PT3 250_196_2866")</f>
        <v>RDR JPP PT3 250_196_2866</v>
      </c>
      <c r="D1499" s="222" t="str">
        <f>IFERROR(__xludf.DUMMYFUNCTION("""COMPUTED_VALUE"""),"REGIONAL I")</f>
        <v>REGIONAL I</v>
      </c>
      <c r="E1499" s="222" t="str">
        <f>IFERROR(__xludf.DUMMYFUNCTION("""COMPUTED_VALUE"""),"RIDAR")</f>
        <v>RIDAR</v>
      </c>
      <c r="F1499" s="222" t="str">
        <f>IFERROR(__xludf.DUMMYFUNCTION("""COMPUTED_VALUE"""),"ARK")</f>
        <v>ARK</v>
      </c>
      <c r="G1499" s="222" t="str">
        <f>IFERROR(__xludf.DUMMYFUNCTION("""COMPUTED_VALUE"""),"SUMBAGTENG")</f>
        <v>SUMBAGTENG</v>
      </c>
      <c r="H1499" s="222" t="str">
        <f>IFERROR(__xludf.DUMMYFUNCTION("""COMPUTED_VALUE"""),"PEKANBARU")</f>
        <v>PEKANBARU</v>
      </c>
      <c r="I1499" s="222" t="str">
        <f>IFERROR(__xludf.DUMMYFUNCTION("""COMPUTED_VALUE"""),"Batch 2")</f>
        <v>Batch 2</v>
      </c>
      <c r="J1499" s="225">
        <f>IFERROR(__xludf.DUMMYFUNCTION("""COMPUTED_VALUE"""),7.0)</f>
        <v>7</v>
      </c>
      <c r="K1499" s="224">
        <f>IFERROR(__xludf.DUMMYFUNCTION("""COMPUTED_VALUE"""),56.0)</f>
        <v>56</v>
      </c>
      <c r="L1499" s="226">
        <f>IFERROR(__xludf.DUMMYFUNCTION("""COMPUTED_VALUE"""),633207.0)</f>
        <v>633207</v>
      </c>
      <c r="M1499" s="227">
        <f>IFERROR(__xludf.DUMMYFUNCTION("""COMPUTED_VALUE"""),3.5459558E7)</f>
        <v>35459558</v>
      </c>
      <c r="N1499" s="222" t="str">
        <f>IFERROR(__xludf.DUMMYFUNCTION("""COMPUTED_VALUE"""),"PT SAMUDERA PUTRA KENCANA")</f>
        <v>PT SAMUDERA PUTRA KENCANA</v>
      </c>
      <c r="O1499" s="222" t="str">
        <f>IFERROR(__xludf.DUMMYFUNCTION("""COMPUTED_VALUE"""),"2. DONE AANWIJZING")</f>
        <v>2. DONE AANWIJZING</v>
      </c>
      <c r="P1499" s="222" t="str">
        <f>IFERROR(__xludf.DUMMYFUNCTION("""COMPUTED_VALUE"""),"2.10 Kendala - Feeder Rusak")</f>
        <v>2.10 Kendala - Feeder Rusak</v>
      </c>
      <c r="Q1499" s="222" t="str">
        <f>IFERROR(__xludf.DUMMYFUNCTION("""COMPUTED_VALUE"""),"20/04 Pengambilan ulang hasil ukur OTDR 13/04 Pengecekan ulang feeder untuk kebutuhan repair 20/01 Kendala feeder rusak (07/01) Persiapan")</f>
        <v>20/04 Pengambilan ulang hasil ukur OTDR 13/04 Pengecekan ulang feeder untuk kebutuhan repair 20/01 Kendala feeder rusak (07/01) Persiapan</v>
      </c>
      <c r="R1499" s="228"/>
      <c r="S1499" s="11"/>
      <c r="T1499" s="11"/>
      <c r="U1499" s="11"/>
      <c r="V1499" s="229" t="str">
        <f>IFERROR(__xludf.DUMMYFUNCTION("""COMPUTED_VALUE"""),"TEGUH IMAM PERDANA")</f>
        <v>TEGUH IMAM PERDANA</v>
      </c>
      <c r="W1499" s="229" t="str">
        <f>IFERROR(__xludf.DUMMYFUNCTION("""COMPUTED_VALUE"""),"DESLITA RAHMADANI")</f>
        <v>DESLITA RAHMADANI</v>
      </c>
      <c r="X1499" s="229" t="str">
        <f>IFERROR(__xludf.DUMMYFUNCTION("""COMPUTED_VALUE"""),"BELUM GOLIVE")</f>
        <v>BELUM GOLIVE</v>
      </c>
      <c r="Y1499" s="229"/>
      <c r="Z1499" s="229" t="str">
        <f>IFERROR(__xludf.DUMMYFUNCTION("""COMPUTED_VALUE"""),"#N/A")</f>
        <v>#N/A</v>
      </c>
      <c r="AA1499" s="229"/>
      <c r="AB1499" s="229"/>
      <c r="AC1499" s="229"/>
      <c r="AD1499" s="232"/>
      <c r="AE1499" s="233"/>
      <c r="AF1499" s="54"/>
      <c r="AG1499" s="54"/>
      <c r="AH1499" s="54"/>
      <c r="AI1499" s="55" t="str">
        <f t="shared" si="151"/>
        <v/>
      </c>
      <c r="AW1499" s="234"/>
      <c r="BP1499" s="11"/>
      <c r="BQ1499" s="11"/>
      <c r="BR1499" s="235"/>
      <c r="BV1499" s="158"/>
      <c r="BY1499" s="158"/>
      <c r="CB1499" s="158"/>
    </row>
    <row r="1500" ht="18.0" hidden="1" customHeight="1">
      <c r="A1500" s="222">
        <f>IFERROR(__xludf.DUMMYFUNCTION("""COMPUTED_VALUE"""),2026.0)</f>
        <v>2026</v>
      </c>
      <c r="B1500" s="221">
        <f>IFERROR(__xludf.DUMMYFUNCTION("""COMPUTED_VALUE"""),1.1214383E7)</f>
        <v>11214383</v>
      </c>
      <c r="C1500" s="222" t="str">
        <f>IFERROR(__xludf.DUMMYFUNCTION("""COMPUTED_VALUE"""),"MDN PT3 CTD-FAJ ADDRES CEMPAKA MADANI_")</f>
        <v>MDN PT3 CTD-FAJ ADDRES CEMPAKA MADANI_</v>
      </c>
      <c r="D1500" s="222" t="str">
        <f>IFERROR(__xludf.DUMMYFUNCTION("""COMPUTED_VALUE"""),"REGIONAL I")</f>
        <v>REGIONAL I</v>
      </c>
      <c r="E1500" s="222" t="str">
        <f>IFERROR(__xludf.DUMMYFUNCTION("""COMPUTED_VALUE"""),"MEDAN")</f>
        <v>MEDAN</v>
      </c>
      <c r="F1500" s="222" t="str">
        <f>IFERROR(__xludf.DUMMYFUNCTION("""COMPUTED_VALUE"""),"CTD")</f>
        <v>CTD</v>
      </c>
      <c r="G1500" s="222" t="str">
        <f>IFERROR(__xludf.DUMMYFUNCTION("""COMPUTED_VALUE"""),"SUMBAGUT")</f>
        <v>SUMBAGUT</v>
      </c>
      <c r="H1500" s="222" t="str">
        <f>IFERROR(__xludf.DUMMYFUNCTION("""COMPUTED_VALUE"""),"MEDAN")</f>
        <v>MEDAN</v>
      </c>
      <c r="I1500" s="222" t="str">
        <f>IFERROR(__xludf.DUMMYFUNCTION("""COMPUTED_VALUE"""),"Batch 2")</f>
        <v>Batch 2</v>
      </c>
      <c r="J1500" s="225">
        <f>IFERROR(__xludf.DUMMYFUNCTION("""COMPUTED_VALUE"""),6.0)</f>
        <v>6</v>
      </c>
      <c r="K1500" s="224">
        <f>IFERROR(__xludf.DUMMYFUNCTION("""COMPUTED_VALUE"""),48.0)</f>
        <v>48</v>
      </c>
      <c r="L1500" s="226">
        <f>IFERROR(__xludf.DUMMYFUNCTION("""COMPUTED_VALUE"""),632821.0)</f>
        <v>632821</v>
      </c>
      <c r="M1500" s="227">
        <f>IFERROR(__xludf.DUMMYFUNCTION("""COMPUTED_VALUE"""),3.0375362E7)</f>
        <v>30375362</v>
      </c>
      <c r="N1500" s="222" t="str">
        <f>IFERROR(__xludf.DUMMYFUNCTION("""COMPUTED_VALUE"""),"PT BANGUN PRIMA SEMESTA")</f>
        <v>PT BANGUN PRIMA SEMESTA</v>
      </c>
      <c r="O1500" s="222" t="str">
        <f>IFERROR(__xludf.DUMMYFUNCTION("""COMPUTED_VALUE"""),"0. DROP")</f>
        <v>0. DROP</v>
      </c>
      <c r="P1500" s="222" t="str">
        <f>IFERROR(__xludf.DUMMYFUNCTION("""COMPUTED_VALUE"""),"0.2 Tidak Dapat Izin Warga/Kades/Lurah/Developer")</f>
        <v>0.2 Tidak Dapat Izin Warga/Kades/Lurah/Developer</v>
      </c>
      <c r="Q1500" s="222" t="str">
        <f>IFERROR(__xludf.DUMMYFUNCTION("""COMPUTED_VALUE"""),"Tidak Ada Space Tanam Tiang (07/01) Persiapan")</f>
        <v>Tidak Ada Space Tanam Tiang (07/01) Persiapan</v>
      </c>
      <c r="R1500" s="228"/>
      <c r="S1500" s="11"/>
      <c r="T1500" s="11"/>
      <c r="U1500" s="11"/>
      <c r="V1500" s="229"/>
      <c r="W1500" s="229"/>
      <c r="X1500" s="229" t="str">
        <f>IFERROR(__xludf.DUMMYFUNCTION("""COMPUTED_VALUE"""),"BELUM GOLIVE")</f>
        <v>BELUM GOLIVE</v>
      </c>
      <c r="Y1500" s="229"/>
      <c r="Z1500" s="229" t="str">
        <f>IFERROR(__xludf.DUMMYFUNCTION("""COMPUTED_VALUE"""),"#N/A")</f>
        <v>#N/A</v>
      </c>
      <c r="AA1500" s="229"/>
      <c r="AB1500" s="229"/>
      <c r="AC1500" s="229"/>
      <c r="AD1500" s="232"/>
      <c r="AE1500" s="233"/>
      <c r="AF1500" s="54" t="str">
        <f>IFERROR(__xludf.DUMMYFUNCTION("""COMPUTED_VALUE"""),"Draft BA DROP")</f>
        <v>Draft BA DROP</v>
      </c>
      <c r="AG1500" s="54"/>
      <c r="AH1500" s="54"/>
      <c r="AI1500" s="55" t="str">
        <f t="shared" si="151"/>
        <v/>
      </c>
      <c r="AW1500" s="234"/>
      <c r="BP1500" s="11"/>
      <c r="BQ1500" s="11"/>
      <c r="BR1500" s="235"/>
      <c r="BV1500" s="158"/>
      <c r="BY1500" s="158"/>
      <c r="CB1500" s="158"/>
    </row>
    <row r="1501" ht="18.0" hidden="1" customHeight="1">
      <c r="A1501" s="222">
        <f>IFERROR(__xludf.DUMMYFUNCTION("""COMPUTED_VALUE"""),2026.0)</f>
        <v>2026</v>
      </c>
      <c r="B1501" s="221">
        <f>IFERROR(__xludf.DUMMYFUNCTION("""COMPUTED_VALUE"""),1.1516188E7)</f>
        <v>11516188</v>
      </c>
      <c r="C1501" s="222" t="str">
        <f>IFERROR(__xludf.DUMMYFUNCTION("""COMPUTED_VALUE"""),"ACH PT3 BPD-FA BR.D06 PASAR BPD")</f>
        <v>ACH PT3 BPD-FA BR.D06 PASAR BPD</v>
      </c>
      <c r="D1501" s="222" t="str">
        <f>IFERROR(__xludf.DUMMYFUNCTION("""COMPUTED_VALUE"""),"REGIONAL I")</f>
        <v>REGIONAL I</v>
      </c>
      <c r="E1501" s="222" t="str">
        <f>IFERROR(__xludf.DUMMYFUNCTION("""COMPUTED_VALUE"""),"ACEH")</f>
        <v>ACEH</v>
      </c>
      <c r="F1501" s="222" t="str">
        <f>IFERROR(__xludf.DUMMYFUNCTION("""COMPUTED_VALUE"""),"BPD")</f>
        <v>BPD</v>
      </c>
      <c r="G1501" s="222" t="str">
        <f>IFERROR(__xludf.DUMMYFUNCTION("""COMPUTED_VALUE"""),"SUMBAGUT")</f>
        <v>SUMBAGUT</v>
      </c>
      <c r="H1501" s="222" t="str">
        <f>IFERROR(__xludf.DUMMYFUNCTION("""COMPUTED_VALUE"""),"BANDA ACEH")</f>
        <v>BANDA ACEH</v>
      </c>
      <c r="I1501" s="222" t="str">
        <f>IFERROR(__xludf.DUMMYFUNCTION("""COMPUTED_VALUE"""),"Batch 2")</f>
        <v>Batch 2</v>
      </c>
      <c r="J1501" s="225">
        <f>IFERROR(__xludf.DUMMYFUNCTION("""COMPUTED_VALUE"""),2.0)</f>
        <v>2</v>
      </c>
      <c r="K1501" s="224">
        <f>IFERROR(__xludf.DUMMYFUNCTION("""COMPUTED_VALUE"""),16.0)</f>
        <v>16</v>
      </c>
      <c r="L1501" s="226">
        <f>IFERROR(__xludf.DUMMYFUNCTION("""COMPUTED_VALUE"""),630952.0)</f>
        <v>630952</v>
      </c>
      <c r="M1501" s="227">
        <f>IFERROR(__xludf.DUMMYFUNCTION("""COMPUTED_VALUE"""),1.0095228E7)</f>
        <v>10095228</v>
      </c>
      <c r="N1501" s="222" t="str">
        <f>IFERROR(__xludf.DUMMYFUNCTION("""COMPUTED_VALUE"""),"PT NIAGA NUSANTARA DIVA")</f>
        <v>PT NIAGA NUSANTARA DIVA</v>
      </c>
      <c r="O1501" s="222" t="str">
        <f>IFERROR(__xludf.DUMMYFUNCTION("""COMPUTED_VALUE"""),"7. GOLIVE")</f>
        <v>7. GOLIVE</v>
      </c>
      <c r="P1501" s="222" t="str">
        <f>IFERROR(__xludf.DUMMYFUNCTION("""COMPUTED_VALUE"""),"7.2 Golive Full / OA / DONE OTB")</f>
        <v>7.2 Golive Full / OA / DONE OTB</v>
      </c>
      <c r="Q1501" s="222" t="str">
        <f>IFERROR(__xludf.DUMMYFUNCTION("""COMPUTED_VALUE"""),"(07/01) Persiapan")</f>
        <v>(07/01) Persiapan</v>
      </c>
      <c r="R1501" s="228">
        <f>IFERROR(__xludf.DUMMYFUNCTION("""COMPUTED_VALUE"""),46030.0)</f>
        <v>46030</v>
      </c>
      <c r="S1501" s="11"/>
      <c r="T1501" s="11"/>
      <c r="U1501" s="11" t="str">
        <f>IFERROR(__xludf.DUMMYFUNCTION("""COMPUTED_VALUE"""),"W04-937/2025")</f>
        <v>W04-937/2025</v>
      </c>
      <c r="V1501" s="229"/>
      <c r="W1501" s="229"/>
      <c r="X1501" s="229" t="str">
        <f>IFERROR(__xludf.DUMMYFUNCTION("""COMPUTED_VALUE"""),"GOLIVE")</f>
        <v>GOLIVE</v>
      </c>
      <c r="Y1501" s="229" t="str">
        <f>IFERROR(__xludf.DUMMYFUNCTION("""COMPUTED_VALUE"""),"DONE")</f>
        <v>DONE</v>
      </c>
      <c r="Z1501" s="229" t="str">
        <f>IFERROR(__xludf.DUMMYFUNCTION("""COMPUTED_VALUE"""),"#N/A")</f>
        <v>#N/A</v>
      </c>
      <c r="AA1501" s="229">
        <f>IFERROR(__xludf.DUMMYFUNCTION("""COMPUTED_VALUE"""),2.0)</f>
        <v>2</v>
      </c>
      <c r="AB1501" s="229"/>
      <c r="AC1501" s="229" t="str">
        <f>IFERROR(__xludf.DUMMYFUNCTION("""COMPUTED_VALUE"""),"8914250#8914255")</f>
        <v>8914250#8914255</v>
      </c>
      <c r="AD1501" s="232">
        <f>IFERROR(__xludf.DUMMYFUNCTION("""COMPUTED_VALUE"""),16.0)</f>
        <v>16</v>
      </c>
      <c r="AE1501" s="233">
        <f>IFERROR(__xludf.DUMMYFUNCTION("""COMPUTED_VALUE"""),46030.0)</f>
        <v>46030</v>
      </c>
      <c r="AF1501" s="54"/>
      <c r="AG1501" s="54"/>
      <c r="AH1501" s="54">
        <v>46030.0</v>
      </c>
      <c r="AI1501" s="55">
        <f t="shared" si="151"/>
        <v>0</v>
      </c>
      <c r="AW1501" s="234"/>
      <c r="BP1501" s="11"/>
      <c r="BQ1501" s="11"/>
      <c r="BR1501" s="235"/>
      <c r="BV1501" s="158"/>
      <c r="BY1501" s="158"/>
      <c r="CB1501" s="158"/>
    </row>
    <row r="1502" ht="18.0" hidden="1" customHeight="1">
      <c r="A1502" s="222">
        <f>IFERROR(__xludf.DUMMYFUNCTION("""COMPUTED_VALUE"""),2026.0)</f>
        <v>2026</v>
      </c>
      <c r="B1502" s="221">
        <f>IFERROR(__xludf.DUMMYFUNCTION("""COMPUTED_VALUE"""),1.1264401E7)</f>
        <v>11264401</v>
      </c>
      <c r="C1502" s="222" t="str">
        <f>IFERROR(__xludf.DUMMYFUNCTION("""COMPUTED_VALUE"""),"ACH PT3 SGI-FD BR D02 GAJAH AYEE")</f>
        <v>ACH PT3 SGI-FD BR D02 GAJAH AYEE</v>
      </c>
      <c r="D1502" s="222" t="str">
        <f>IFERROR(__xludf.DUMMYFUNCTION("""COMPUTED_VALUE"""),"REGIONAL I")</f>
        <v>REGIONAL I</v>
      </c>
      <c r="E1502" s="222" t="str">
        <f>IFERROR(__xludf.DUMMYFUNCTION("""COMPUTED_VALUE"""),"ACEH")</f>
        <v>ACEH</v>
      </c>
      <c r="F1502" s="222" t="str">
        <f>IFERROR(__xludf.DUMMYFUNCTION("""COMPUTED_VALUE"""),"SGI")</f>
        <v>SGI</v>
      </c>
      <c r="G1502" s="222" t="str">
        <f>IFERROR(__xludf.DUMMYFUNCTION("""COMPUTED_VALUE"""),"SUMBAGUT")</f>
        <v>SUMBAGUT</v>
      </c>
      <c r="H1502" s="222" t="str">
        <f>IFERROR(__xludf.DUMMYFUNCTION("""COMPUTED_VALUE"""),"BANDA ACEH")</f>
        <v>BANDA ACEH</v>
      </c>
      <c r="I1502" s="222" t="str">
        <f>IFERROR(__xludf.DUMMYFUNCTION("""COMPUTED_VALUE"""),"Batch 2")</f>
        <v>Batch 2</v>
      </c>
      <c r="J1502" s="225">
        <f>IFERROR(__xludf.DUMMYFUNCTION("""COMPUTED_VALUE"""),13.0)</f>
        <v>13</v>
      </c>
      <c r="K1502" s="224">
        <f>IFERROR(__xludf.DUMMYFUNCTION("""COMPUTED_VALUE"""),104.0)</f>
        <v>104</v>
      </c>
      <c r="L1502" s="226">
        <f>IFERROR(__xludf.DUMMYFUNCTION("""COMPUTED_VALUE"""),630203.0)</f>
        <v>630203</v>
      </c>
      <c r="M1502" s="227">
        <f>IFERROR(__xludf.DUMMYFUNCTION("""COMPUTED_VALUE"""),6.5541045E7)</f>
        <v>65541045</v>
      </c>
      <c r="N1502" s="222" t="str">
        <f>IFERROR(__xludf.DUMMYFUNCTION("""COMPUTED_VALUE"""),"PT TRIPOLA PANATA")</f>
        <v>PT TRIPOLA PANATA</v>
      </c>
      <c r="O1502" s="222" t="str">
        <f>IFERROR(__xludf.DUMMYFUNCTION("""COMPUTED_VALUE"""),"2. DONE AANWIJZING")</f>
        <v>2. DONE AANWIJZING</v>
      </c>
      <c r="P1502" s="222" t="str">
        <f>IFERROR(__xludf.DUMMYFUNCTION("""COMPUTED_VALUE"""),"2.9 Kendala - Distribusi Penuh / Rusak")</f>
        <v>2.9 Kendala - Distribusi Penuh / Rusak</v>
      </c>
      <c r="Q1502" s="222" t="str">
        <f>IFERROR(__xludf.DUMMYFUNCTION("""COMPUTED_VALUE"""),"(11/02) Core Distribusi tidak tembus (08/01) Kendala feeder KJI-FL FULL , proses aanwijziing, Proses mapping mitra  (07/01) Persiapan")</f>
        <v>(11/02) Core Distribusi tidak tembus (08/01) Kendala feeder KJI-FL FULL , proses aanwijziing, Proses mapping mitra  (07/01) Persiapan</v>
      </c>
      <c r="R1502" s="228"/>
      <c r="S1502" s="11"/>
      <c r="T1502" s="11"/>
      <c r="U1502" s="11"/>
      <c r="V1502" s="229"/>
      <c r="W1502" s="229"/>
      <c r="X1502" s="229" t="str">
        <f>IFERROR(__xludf.DUMMYFUNCTION("""COMPUTED_VALUE"""),"BELUM GOLIVE")</f>
        <v>BELUM GOLIVE</v>
      </c>
      <c r="Y1502" s="229"/>
      <c r="Z1502" s="229" t="str">
        <f>IFERROR(__xludf.DUMMYFUNCTION("""COMPUTED_VALUE"""),"#N/A")</f>
        <v>#N/A</v>
      </c>
      <c r="AA1502" s="229"/>
      <c r="AB1502" s="229"/>
      <c r="AC1502" s="229"/>
      <c r="AD1502" s="232"/>
      <c r="AE1502" s="233"/>
      <c r="AF1502" s="54"/>
      <c r="AG1502" s="54"/>
      <c r="AH1502" s="54"/>
      <c r="AI1502" s="55" t="str">
        <f t="shared" si="151"/>
        <v/>
      </c>
      <c r="AW1502" s="234"/>
      <c r="BP1502" s="11"/>
      <c r="BQ1502" s="11"/>
      <c r="BR1502" s="235"/>
      <c r="BV1502" s="158"/>
      <c r="BY1502" s="158"/>
      <c r="CB1502" s="158"/>
    </row>
    <row r="1503" ht="18.0" customHeight="1">
      <c r="A1503" s="222">
        <f>IFERROR(__xludf.DUMMYFUNCTION("""COMPUTED_VALUE"""),2026.0)</f>
        <v>2026</v>
      </c>
      <c r="B1503" s="221">
        <f>IFERROR(__xludf.DUMMYFUNCTION("""COMPUTED_VALUE"""),1.1245688E7)</f>
        <v>11245688</v>
      </c>
      <c r="C1503" s="222" t="str">
        <f>IFERROR(__xludf.DUMMYFUNCTION("""COMPUTED_VALUE"""),"SMB P2I1 D Thama View Kuranji")</f>
        <v>SMB P2I1 D Thama View Kuranji</v>
      </c>
      <c r="D1503" s="222" t="str">
        <f>IFERROR(__xludf.DUMMYFUNCTION("""COMPUTED_VALUE"""),"REGIONAL I")</f>
        <v>REGIONAL I</v>
      </c>
      <c r="E1503" s="222" t="str">
        <f>IFERROR(__xludf.DUMMYFUNCTION("""COMPUTED_VALUE"""),"SUMBAR")</f>
        <v>SUMBAR</v>
      </c>
      <c r="F1503" s="222" t="str">
        <f>IFERROR(__xludf.DUMMYFUNCTION("""COMPUTED_VALUE"""),"KJI")</f>
        <v>KJI</v>
      </c>
      <c r="G1503" s="222" t="str">
        <f>IFERROR(__xludf.DUMMYFUNCTION("""COMPUTED_VALUE"""),"SUMBAGTENG")</f>
        <v>SUMBAGTENG</v>
      </c>
      <c r="H1503" s="222" t="str">
        <f>IFERROR(__xludf.DUMMYFUNCTION("""COMPUTED_VALUE"""),"PADANG")</f>
        <v>PADANG</v>
      </c>
      <c r="I1503" s="222" t="str">
        <f>IFERROR(__xludf.DUMMYFUNCTION("""COMPUTED_VALUE"""),"Batch 2")</f>
        <v>Batch 2</v>
      </c>
      <c r="J1503" s="225">
        <f>IFERROR(__xludf.DUMMYFUNCTION("""COMPUTED_VALUE"""),7.0)</f>
        <v>7</v>
      </c>
      <c r="K1503" s="224">
        <f>IFERROR(__xludf.DUMMYFUNCTION("""COMPUTED_VALUE"""),56.0)</f>
        <v>56</v>
      </c>
      <c r="L1503" s="226">
        <f>IFERROR(__xludf.DUMMYFUNCTION("""COMPUTED_VALUE"""),629361.0)</f>
        <v>629361</v>
      </c>
      <c r="M1503" s="227">
        <f>IFERROR(__xludf.DUMMYFUNCTION("""COMPUTED_VALUE"""),3.5244173E7)</f>
        <v>35244173</v>
      </c>
      <c r="N1503" s="222" t="str">
        <f>IFERROR(__xludf.DUMMYFUNCTION("""COMPUTED_VALUE"""),"PT TRI PENAMAS")</f>
        <v>PT TRI PENAMAS</v>
      </c>
      <c r="O1503" s="222" t="str">
        <f>IFERROR(__xludf.DUMMYFUNCTION("""COMPUTED_VALUE"""),"4. MATDEL")</f>
        <v>4. MATDEL</v>
      </c>
      <c r="P1503" s="222" t="str">
        <f>IFERROR(__xludf.DUMMYFUNCTION("""COMPUTED_VALUE"""),"4.4 Proses Pengiriman Pabribak ke WH")</f>
        <v>4.4 Proses Pengiriman Pabribak ke WH</v>
      </c>
      <c r="Q1503" s="222" t="str">
        <f>IFERROR(__xludf.DUMMYFUNCTION("""COMPUTED_VALUE"""),"(27/04) menunggu PO kabel 24 ADSS (20/04) sudah aanwijziing, proses eval  (10/04) Proses aanwijziing , LOP HOLD FEEDER FULL ACC GO (26/01) Kendala feeder KJI-FL FULL ")</f>
        <v>(27/04) menunggu PO kabel 24 ADSS (20/04) sudah aanwijziing, proses eval  (10/04) Proses aanwijziing , LOP HOLD FEEDER FULL ACC GO (26/01) Kendala feeder KJI-FL FULL </v>
      </c>
      <c r="R1503" s="228"/>
      <c r="S1503" s="11"/>
      <c r="T1503" s="11"/>
      <c r="U1503" s="11"/>
      <c r="V1503" s="229" t="str">
        <f>IFERROR(__xludf.DUMMYFUNCTION("""COMPUTED_VALUE"""),"FABIO RAHMAN")</f>
        <v>FABIO RAHMAN</v>
      </c>
      <c r="W1503" s="229" t="str">
        <f>IFERROR(__xludf.DUMMYFUNCTION("""COMPUTED_VALUE"""),"MELKO NARWADI")</f>
        <v>MELKO NARWADI</v>
      </c>
      <c r="X1503" s="229" t="str">
        <f>IFERROR(__xludf.DUMMYFUNCTION("""COMPUTED_VALUE"""),"BELUM GOLIVE")</f>
        <v>BELUM GOLIVE</v>
      </c>
      <c r="Y1503" s="229"/>
      <c r="Z1503" s="229" t="str">
        <f>IFERROR(__xludf.DUMMYFUNCTION("""COMPUTED_VALUE"""),"#N/A")</f>
        <v>#N/A</v>
      </c>
      <c r="AA1503" s="229"/>
      <c r="AB1503" s="229"/>
      <c r="AC1503" s="229"/>
      <c r="AD1503" s="232"/>
      <c r="AE1503" s="233"/>
      <c r="AF1503" s="54"/>
      <c r="AG1503" s="54"/>
      <c r="AH1503" s="54">
        <v>46121.0</v>
      </c>
      <c r="AI1503" s="55" t="str">
        <f t="shared" si="151"/>
        <v/>
      </c>
      <c r="AJ1503" s="229" t="str">
        <f t="shared" ref="AJ1503:AJ1505" si="152">if(AI1503&gt;=0,"Gl in Komitmen","Gl out komitmen")</f>
        <v>Gl in Komitmen</v>
      </c>
      <c r="AW1503" s="234"/>
      <c r="BP1503" s="11"/>
      <c r="BQ1503" s="11"/>
      <c r="BR1503" s="235"/>
      <c r="BV1503" s="158"/>
      <c r="BY1503" s="158"/>
      <c r="CB1503" s="158"/>
    </row>
    <row r="1504" ht="18.0" customHeight="1">
      <c r="A1504" s="222">
        <f>IFERROR(__xludf.DUMMYFUNCTION("""COMPUTED_VALUE"""),2026.0)</f>
        <v>2026</v>
      </c>
      <c r="B1504" s="221">
        <f>IFERROR(__xludf.DUMMYFUNCTION("""COMPUTED_VALUE"""),1.124896E7)</f>
        <v>11248960</v>
      </c>
      <c r="C1504" s="222" t="str">
        <f>IFERROR(__xludf.DUMMYFUNCTION("""COMPUTED_VALUE"""),"SMB P2I1 AOi424121403071012716f430")</f>
        <v>SMB P2I1 AOi424121403071012716f430</v>
      </c>
      <c r="D1504" s="222" t="str">
        <f>IFERROR(__xludf.DUMMYFUNCTION("""COMPUTED_VALUE"""),"REGIONAL I")</f>
        <v>REGIONAL I</v>
      </c>
      <c r="E1504" s="222" t="str">
        <f>IFERROR(__xludf.DUMMYFUNCTION("""COMPUTED_VALUE"""),"SUMBAR")</f>
        <v>SUMBAR</v>
      </c>
      <c r="F1504" s="222" t="str">
        <f>IFERROR(__xludf.DUMMYFUNCTION("""COMPUTED_VALUE"""),"SIE")</f>
        <v>SIE</v>
      </c>
      <c r="G1504" s="222" t="str">
        <f>IFERROR(__xludf.DUMMYFUNCTION("""COMPUTED_VALUE"""),"SUMBAGTENG")</f>
        <v>SUMBAGTENG</v>
      </c>
      <c r="H1504" s="222" t="str">
        <f>IFERROR(__xludf.DUMMYFUNCTION("""COMPUTED_VALUE"""),"PADANG")</f>
        <v>PADANG</v>
      </c>
      <c r="I1504" s="222" t="str">
        <f>IFERROR(__xludf.DUMMYFUNCTION("""COMPUTED_VALUE"""),"Batch 2")</f>
        <v>Batch 2</v>
      </c>
      <c r="J1504" s="225">
        <f>IFERROR(__xludf.DUMMYFUNCTION("""COMPUTED_VALUE"""),1.0)</f>
        <v>1</v>
      </c>
      <c r="K1504" s="224">
        <f>IFERROR(__xludf.DUMMYFUNCTION("""COMPUTED_VALUE"""),8.0)</f>
        <v>8</v>
      </c>
      <c r="L1504" s="226">
        <f>IFERROR(__xludf.DUMMYFUNCTION("""COMPUTED_VALUE"""),627057.0)</f>
        <v>627057</v>
      </c>
      <c r="M1504" s="227">
        <f>IFERROR(__xludf.DUMMYFUNCTION("""COMPUTED_VALUE"""),5016449.0)</f>
        <v>5016449</v>
      </c>
      <c r="N1504" s="222" t="str">
        <f>IFERROR(__xludf.DUMMYFUNCTION("""COMPUTED_VALUE"""),"PT TRI PENAMAS")</f>
        <v>PT TRI PENAMAS</v>
      </c>
      <c r="O1504" s="222" t="str">
        <f>IFERROR(__xludf.DUMMYFUNCTION("""COMPUTED_VALUE"""),"7. GOLIVE")</f>
        <v>7. GOLIVE</v>
      </c>
      <c r="P1504" s="222" t="str">
        <f>IFERROR(__xludf.DUMMYFUNCTION("""COMPUTED_VALUE"""),"7.2 Golive Full / OA / DONE OTB")</f>
        <v>7.2 Golive Full / OA / DONE OTB</v>
      </c>
      <c r="Q1504" s="222" t="str">
        <f>IFERROR(__xludf.DUMMYFUNCTION("""COMPUTED_VALUE"""),"(06/04) terminasi ODP (02/04) terminasi ODP (30/03) terminasi ODP (27/03) Progres Tanam Tiang (16/03) proses matdel KE SITE (12/03) Proses create PID  (27/01)kendala dist 7 SIE-FB full")</f>
        <v>(06/04) terminasi ODP (02/04) terminasi ODP (30/03) terminasi ODP (27/03) Progres Tanam Tiang (16/03) proses matdel KE SITE (12/03) Proses create PID  (27/01)kendala dist 7 SIE-FB full</v>
      </c>
      <c r="R1504" s="228">
        <f>IFERROR(__xludf.DUMMYFUNCTION("""COMPUTED_VALUE"""),46121.0)</f>
        <v>46121</v>
      </c>
      <c r="S1504" s="11"/>
      <c r="T1504" s="73"/>
      <c r="U1504" s="11" t="str">
        <f>IFERROR(__xludf.DUMMYFUNCTION("""COMPUTED_VALUE"""),"TIF-5979/2026  26KT03R158-0076")</f>
        <v>TIF-5979/2026  26KT03R158-0076</v>
      </c>
      <c r="V1504" s="229" t="str">
        <f>IFERROR(__xludf.DUMMYFUNCTION("""COMPUTED_VALUE"""),"FABIO RAHMAN")</f>
        <v>FABIO RAHMAN</v>
      </c>
      <c r="W1504" s="229" t="str">
        <f>IFERROR(__xludf.DUMMYFUNCTION("""COMPUTED_VALUE"""),"MELKO NARWADI")</f>
        <v>MELKO NARWADI</v>
      </c>
      <c r="X1504" s="229" t="str">
        <f>IFERROR(__xludf.DUMMYFUNCTION("""COMPUTED_VALUE"""),"GOLIVE")</f>
        <v>GOLIVE</v>
      </c>
      <c r="Y1504" s="229" t="str">
        <f>IFERROR(__xludf.DUMMYFUNCTION("""COMPUTED_VALUE"""),"DONE")</f>
        <v>DONE</v>
      </c>
      <c r="Z1504" s="229" t="str">
        <f>IFERROR(__xludf.DUMMYFUNCTION("""COMPUTED_VALUE"""),"#N/A")</f>
        <v>#N/A</v>
      </c>
      <c r="AA1504" s="229">
        <f>IFERROR(__xludf.DUMMYFUNCTION("""COMPUTED_VALUE"""),2.0)</f>
        <v>2</v>
      </c>
      <c r="AB1504" s="229"/>
      <c r="AC1504" s="229" t="str">
        <f>IFERROR(__xludf.DUMMYFUNCTION("""COMPUTED_VALUE"""),"9251992#9251997")</f>
        <v>9251992#9251997</v>
      </c>
      <c r="AD1504" s="232">
        <f>IFERROR(__xludf.DUMMYFUNCTION("""COMPUTED_VALUE"""),16.0)</f>
        <v>16</v>
      </c>
      <c r="AE1504" s="233">
        <f>IFERROR(__xludf.DUMMYFUNCTION("""COMPUTED_VALUE"""),46121.0)</f>
        <v>46121</v>
      </c>
      <c r="AF1504" s="54"/>
      <c r="AG1504" s="54"/>
      <c r="AH1504" s="54">
        <v>46122.0</v>
      </c>
      <c r="AI1504" s="55">
        <f t="shared" ref="AI1504:AI1505" si="153">IF(OR(AH1504="",AE1504=""),"",AH1504-AE1504)</f>
        <v>1</v>
      </c>
      <c r="AJ1504" s="229" t="str">
        <f t="shared" si="152"/>
        <v>Gl in Komitmen</v>
      </c>
      <c r="AK1504" s="231" t="s">
        <v>199</v>
      </c>
      <c r="AW1504" s="234"/>
      <c r="BP1504" s="11"/>
      <c r="BQ1504" s="11"/>
      <c r="BR1504" s="235"/>
      <c r="BV1504" s="158"/>
      <c r="BY1504" s="158"/>
      <c r="CB1504" s="158"/>
    </row>
    <row r="1505" ht="18.0" customHeight="1">
      <c r="A1505" s="222">
        <f>IFERROR(__xludf.DUMMYFUNCTION("""COMPUTED_VALUE"""),2026.0)</f>
        <v>2026</v>
      </c>
      <c r="B1505" s="221">
        <f>IFERROR(__xludf.DUMMYFUNCTION("""COMPUTED_VALUE"""),1.149077E7)</f>
        <v>11490770</v>
      </c>
      <c r="C1505" s="222" t="str">
        <f>IFERROR(__xludf.DUMMYFUNCTION("""COMPUTED_VALUE"""),"SMB AOi42410301255495417ddc10 EHAT C")</f>
        <v>SMB AOi42410301255495417ddc10 EHAT C</v>
      </c>
      <c r="D1505" s="222" t="str">
        <f>IFERROR(__xludf.DUMMYFUNCTION("""COMPUTED_VALUE"""),"REGIONAL I")</f>
        <v>REGIONAL I</v>
      </c>
      <c r="E1505" s="222" t="str">
        <f>IFERROR(__xludf.DUMMYFUNCTION("""COMPUTED_VALUE"""),"SUMBAR")</f>
        <v>SUMBAR</v>
      </c>
      <c r="F1505" s="222" t="str">
        <f>IFERROR(__xludf.DUMMYFUNCTION("""COMPUTED_VALUE"""),"SWL")</f>
        <v>SWL</v>
      </c>
      <c r="G1505" s="222" t="str">
        <f>IFERROR(__xludf.DUMMYFUNCTION("""COMPUTED_VALUE"""),"SUMBAGTENG")</f>
        <v>SUMBAGTENG</v>
      </c>
      <c r="H1505" s="222" t="str">
        <f>IFERROR(__xludf.DUMMYFUNCTION("""COMPUTED_VALUE"""),"PADANG")</f>
        <v>PADANG</v>
      </c>
      <c r="I1505" s="222" t="str">
        <f>IFERROR(__xludf.DUMMYFUNCTION("""COMPUTED_VALUE"""),"Batch 2")</f>
        <v>Batch 2</v>
      </c>
      <c r="J1505" s="225">
        <f>IFERROR(__xludf.DUMMYFUNCTION("""COMPUTED_VALUE"""),2.0)</f>
        <v>2</v>
      </c>
      <c r="K1505" s="224">
        <f>IFERROR(__xludf.DUMMYFUNCTION("""COMPUTED_VALUE"""),16.0)</f>
        <v>16</v>
      </c>
      <c r="L1505" s="226">
        <f>IFERROR(__xludf.DUMMYFUNCTION("""COMPUTED_VALUE"""),626903.0)</f>
        <v>626903</v>
      </c>
      <c r="M1505" s="227">
        <f>IFERROR(__xludf.DUMMYFUNCTION("""COMPUTED_VALUE"""),1.0030436E7)</f>
        <v>10030436</v>
      </c>
      <c r="N1505" s="222" t="str">
        <f>IFERROR(__xludf.DUMMYFUNCTION("""COMPUTED_VALUE"""),"PT TRI PENAMAS")</f>
        <v>PT TRI PENAMAS</v>
      </c>
      <c r="O1505" s="222" t="str">
        <f>IFERROR(__xludf.DUMMYFUNCTION("""COMPUTED_VALUE"""),"7. GOLIVE")</f>
        <v>7. GOLIVE</v>
      </c>
      <c r="P1505" s="222" t="str">
        <f>IFERROR(__xludf.DUMMYFUNCTION("""COMPUTED_VALUE"""),"7.2 Golive Full / OA / DONE OTB")</f>
        <v>7.2 Golive Full / OA / DONE OTB</v>
      </c>
      <c r="Q1505" s="222" t="str">
        <f>IFERROR(__xludf.DUMMYFUNCTION("""COMPUTED_VALUE"""),"(06/04) terminasi ODP (02/04) Matdel ke site  (12/03) proses pengukuran tipus feeder SWL-FC (27/01)kendala feeder SWL-FC Tidak ada yg tembus (07/01) Persiapan")</f>
        <v>(06/04) terminasi ODP (02/04) Matdel ke site  (12/03) proses pengukuran tipus feeder SWL-FC (27/01)kendala feeder SWL-FC Tidak ada yg tembus (07/01) Persiapan</v>
      </c>
      <c r="R1505" s="228">
        <f>IFERROR(__xludf.DUMMYFUNCTION("""COMPUTED_VALUE"""),46122.0)</f>
        <v>46122</v>
      </c>
      <c r="S1505" s="11"/>
      <c r="T1505" s="73"/>
      <c r="U1505" s="11" t="str">
        <f>IFERROR(__xludf.DUMMYFUNCTION("""COMPUTED_VALUE"""),"TIF-6831/2026  26KT03R158-0083 ")</f>
        <v>TIF-6831/2026  26KT03R158-0083 </v>
      </c>
      <c r="V1505" s="229" t="str">
        <f>IFERROR(__xludf.DUMMYFUNCTION("""COMPUTED_VALUE"""),"FABIO RAHMAN")</f>
        <v>FABIO RAHMAN</v>
      </c>
      <c r="W1505" s="229"/>
      <c r="X1505" s="229" t="str">
        <f>IFERROR(__xludf.DUMMYFUNCTION("""COMPUTED_VALUE"""),"GOLIVE")</f>
        <v>GOLIVE</v>
      </c>
      <c r="Y1505" s="229" t="str">
        <f>IFERROR(__xludf.DUMMYFUNCTION("""COMPUTED_VALUE"""),"DONE")</f>
        <v>DONE</v>
      </c>
      <c r="Z1505" s="229" t="str">
        <f>IFERROR(__xludf.DUMMYFUNCTION("""COMPUTED_VALUE"""),"#N/A")</f>
        <v>#N/A</v>
      </c>
      <c r="AA1505" s="229">
        <f>IFERROR(__xludf.DUMMYFUNCTION("""COMPUTED_VALUE"""),4.0)</f>
        <v>4</v>
      </c>
      <c r="AB1505" s="229"/>
      <c r="AC1505" s="229" t="str">
        <f>IFERROR(__xludf.DUMMYFUNCTION("""COMPUTED_VALUE"""),"9258535#9258540")</f>
        <v>9258535#9258540</v>
      </c>
      <c r="AD1505" s="232">
        <f>IFERROR(__xludf.DUMMYFUNCTION("""COMPUTED_VALUE"""),32.0)</f>
        <v>32</v>
      </c>
      <c r="AE1505" s="233">
        <f>IFERROR(__xludf.DUMMYFUNCTION("""COMPUTED_VALUE"""),46122.0)</f>
        <v>46122</v>
      </c>
      <c r="AF1505" s="54"/>
      <c r="AG1505" s="54"/>
      <c r="AH1505" s="54">
        <v>46122.0</v>
      </c>
      <c r="AI1505" s="55">
        <f t="shared" si="153"/>
        <v>0</v>
      </c>
      <c r="AJ1505" s="229" t="str">
        <f t="shared" si="152"/>
        <v>Gl in Komitmen</v>
      </c>
      <c r="AK1505" s="231" t="s">
        <v>199</v>
      </c>
      <c r="AW1505" s="234"/>
      <c r="BP1505" s="11"/>
      <c r="BQ1505" s="11"/>
      <c r="BR1505" s="235"/>
      <c r="BV1505" s="158"/>
      <c r="BY1505" s="158"/>
      <c r="CB1505" s="158"/>
    </row>
    <row r="1506" ht="18.0" hidden="1" customHeight="1">
      <c r="A1506" s="222">
        <f>IFERROR(__xludf.DUMMYFUNCTION("""COMPUTED_VALUE"""),2026.0)</f>
        <v>2026</v>
      </c>
      <c r="B1506" s="221">
        <f>IFERROR(__xludf.DUMMYFUNCTION("""COMPUTED_VALUE"""),1.1187884E7)</f>
        <v>11187884</v>
      </c>
      <c r="C1506" s="222" t="str">
        <f>IFERROR(__xludf.DUMMYFUNCTION("""COMPUTED_VALUE"""),"MDN PT3 P7I10 TMU-FK GG.ANGREK")</f>
        <v>MDN PT3 P7I10 TMU-FK GG.ANGREK</v>
      </c>
      <c r="D1506" s="222" t="str">
        <f>IFERROR(__xludf.DUMMYFUNCTION("""COMPUTED_VALUE"""),"REGIONAL I")</f>
        <v>REGIONAL I</v>
      </c>
      <c r="E1506" s="222" t="str">
        <f>IFERROR(__xludf.DUMMYFUNCTION("""COMPUTED_VALUE"""),"MEDAN")</f>
        <v>MEDAN</v>
      </c>
      <c r="F1506" s="222" t="str">
        <f>IFERROR(__xludf.DUMMYFUNCTION("""COMPUTED_VALUE"""),"TMU")</f>
        <v>TMU</v>
      </c>
      <c r="G1506" s="222" t="str">
        <f>IFERROR(__xludf.DUMMYFUNCTION("""COMPUTED_VALUE"""),"SUMBAGUT")</f>
        <v>SUMBAGUT</v>
      </c>
      <c r="H1506" s="222" t="str">
        <f>IFERROR(__xludf.DUMMYFUNCTION("""COMPUTED_VALUE"""),"MEDAN")</f>
        <v>MEDAN</v>
      </c>
      <c r="I1506" s="222" t="str">
        <f>IFERROR(__xludf.DUMMYFUNCTION("""COMPUTED_VALUE"""),"Batch 2")</f>
        <v>Batch 2</v>
      </c>
      <c r="J1506" s="225">
        <f>IFERROR(__xludf.DUMMYFUNCTION("""COMPUTED_VALUE"""),3.0)</f>
        <v>3</v>
      </c>
      <c r="K1506" s="224">
        <f>IFERROR(__xludf.DUMMYFUNCTION("""COMPUTED_VALUE"""),24.0)</f>
        <v>24</v>
      </c>
      <c r="L1506" s="226">
        <f>IFERROR(__xludf.DUMMYFUNCTION("""COMPUTED_VALUE"""),875129.0)</f>
        <v>875129</v>
      </c>
      <c r="M1506" s="227">
        <f>IFERROR(__xludf.DUMMYFUNCTION("""COMPUTED_VALUE"""),2.1003076E7)</f>
        <v>21003076</v>
      </c>
      <c r="N1506" s="222" t="str">
        <f>IFERROR(__xludf.DUMMYFUNCTION("""COMPUTED_VALUE"""),"SWAKELOLA")</f>
        <v>SWAKELOLA</v>
      </c>
      <c r="O1506" s="222" t="str">
        <f>IFERROR(__xludf.DUMMYFUNCTION("""COMPUTED_VALUE"""),"2. DONE AANWIJZING")</f>
        <v>2. DONE AANWIJZING</v>
      </c>
      <c r="P1506" s="222" t="str">
        <f>IFERROR(__xludf.DUMMYFUNCTION("""COMPUTED_VALUE"""),"2.10 Kendala - Feeder Rusak")</f>
        <v>2.10 Kendala - Feeder Rusak</v>
      </c>
      <c r="Q1506" s="222" t="str">
        <f>IFERROR(__xludf.DUMMYFUNCTION("""COMPUTED_VALUE"""),"21/04 pengecekan tipus / butuh qe
(07/01) Persiapan")</f>
        <v>21/04 pengecekan tipus / butuh qe
(07/01) Persiapan</v>
      </c>
      <c r="R1506" s="228"/>
      <c r="S1506" s="11"/>
      <c r="T1506" s="11"/>
      <c r="U1506" s="11"/>
      <c r="V1506" s="229"/>
      <c r="W1506" s="229"/>
      <c r="X1506" s="229" t="str">
        <f>IFERROR(__xludf.DUMMYFUNCTION("""COMPUTED_VALUE"""),"BELUM GOLIVE")</f>
        <v>BELUM GOLIVE</v>
      </c>
      <c r="Y1506" s="229"/>
      <c r="Z1506" s="229" t="str">
        <f>IFERROR(__xludf.DUMMYFUNCTION("""COMPUTED_VALUE"""),"#N/A")</f>
        <v>#N/A</v>
      </c>
      <c r="AA1506" s="229"/>
      <c r="AB1506" s="229"/>
      <c r="AC1506" s="229"/>
      <c r="AD1506" s="232"/>
      <c r="AE1506" s="233"/>
      <c r="AF1506" s="54"/>
      <c r="AG1506" s="54"/>
      <c r="AH1506" s="54"/>
      <c r="AI1506" s="55" t="str">
        <f t="shared" ref="AI1506:AI1552" si="154">IF(OR(R1506="",AE1506=""),"",R1506-AE1506)</f>
        <v/>
      </c>
      <c r="AW1506" s="234"/>
      <c r="BP1506" s="11"/>
      <c r="BQ1506" s="11"/>
      <c r="BR1506" s="235"/>
      <c r="BV1506" s="158"/>
      <c r="BY1506" s="158"/>
      <c r="CB1506" s="158"/>
    </row>
    <row r="1507" ht="18.0" hidden="1" customHeight="1">
      <c r="A1507" s="222">
        <f>IFERROR(__xludf.DUMMYFUNCTION("""COMPUTED_VALUE"""),2026.0)</f>
        <v>2026</v>
      </c>
      <c r="B1507" s="221">
        <f>IFERROR(__xludf.DUMMYFUNCTION("""COMPUTED_VALUE"""),1.1389038E7)</f>
        <v>11389038</v>
      </c>
      <c r="C1507" s="222" t="str">
        <f>IFERROR(__xludf.DUMMYFUNCTION("""COMPUTED_VALUE"""),"ACH PT3 BPD-FA BR.D06 MEUDANG ARA 2")</f>
        <v>ACH PT3 BPD-FA BR.D06 MEUDANG ARA 2</v>
      </c>
      <c r="D1507" s="222" t="str">
        <f>IFERROR(__xludf.DUMMYFUNCTION("""COMPUTED_VALUE"""),"REGIONAL I")</f>
        <v>REGIONAL I</v>
      </c>
      <c r="E1507" s="222" t="str">
        <f>IFERROR(__xludf.DUMMYFUNCTION("""COMPUTED_VALUE"""),"ACEH")</f>
        <v>ACEH</v>
      </c>
      <c r="F1507" s="222" t="str">
        <f>IFERROR(__xludf.DUMMYFUNCTION("""COMPUTED_VALUE"""),"BPD")</f>
        <v>BPD</v>
      </c>
      <c r="G1507" s="222" t="str">
        <f>IFERROR(__xludf.DUMMYFUNCTION("""COMPUTED_VALUE"""),"SUMBAGUT")</f>
        <v>SUMBAGUT</v>
      </c>
      <c r="H1507" s="222" t="str">
        <f>IFERROR(__xludf.DUMMYFUNCTION("""COMPUTED_VALUE"""),"BANDA ACEH")</f>
        <v>BANDA ACEH</v>
      </c>
      <c r="I1507" s="222" t="str">
        <f>IFERROR(__xludf.DUMMYFUNCTION("""COMPUTED_VALUE"""),"Batch 2")</f>
        <v>Batch 2</v>
      </c>
      <c r="J1507" s="225">
        <f>IFERROR(__xludf.DUMMYFUNCTION("""COMPUTED_VALUE"""),4.0)</f>
        <v>4</v>
      </c>
      <c r="K1507" s="224">
        <f>IFERROR(__xludf.DUMMYFUNCTION("""COMPUTED_VALUE"""),32.0)</f>
        <v>32</v>
      </c>
      <c r="L1507" s="226">
        <f>IFERROR(__xludf.DUMMYFUNCTION("""COMPUTED_VALUE"""),626384.0)</f>
        <v>626384</v>
      </c>
      <c r="M1507" s="227">
        <f>IFERROR(__xludf.DUMMYFUNCTION("""COMPUTED_VALUE"""),2.0044273E7)</f>
        <v>20044273</v>
      </c>
      <c r="N1507" s="222" t="str">
        <f>IFERROR(__xludf.DUMMYFUNCTION("""COMPUTED_VALUE"""),"PT NIAGA NUSANTARA DIVA")</f>
        <v>PT NIAGA NUSANTARA DIVA</v>
      </c>
      <c r="O1507" s="222" t="str">
        <f>IFERROR(__xludf.DUMMYFUNCTION("""COMPUTED_VALUE"""),"7. GOLIVE")</f>
        <v>7. GOLIVE</v>
      </c>
      <c r="P1507" s="222" t="str">
        <f>IFERROR(__xludf.DUMMYFUNCTION("""COMPUTED_VALUE"""),"7.2 Golive Full / OA / DONE OTB")</f>
        <v>7.2 Golive Full / OA / DONE OTB</v>
      </c>
      <c r="Q1507" s="222" t="str">
        <f>IFERROR(__xludf.DUMMYFUNCTION("""COMPUTED_VALUE"""),"(07/01) Persiapan")</f>
        <v>(07/01) Persiapan</v>
      </c>
      <c r="R1507" s="228">
        <f>IFERROR(__xludf.DUMMYFUNCTION("""COMPUTED_VALUE"""),46030.0)</f>
        <v>46030</v>
      </c>
      <c r="S1507" s="11"/>
      <c r="T1507" s="11"/>
      <c r="U1507" s="11" t="str">
        <f>IFERROR(__xludf.DUMMYFUNCTION("""COMPUTED_VALUE"""),"W04-916/2025")</f>
        <v>W04-916/2025</v>
      </c>
      <c r="V1507" s="229"/>
      <c r="W1507" s="229"/>
      <c r="X1507" s="229" t="str">
        <f>IFERROR(__xludf.DUMMYFUNCTION("""COMPUTED_VALUE"""),"GOLIVE")</f>
        <v>GOLIVE</v>
      </c>
      <c r="Y1507" s="229" t="str">
        <f>IFERROR(__xludf.DUMMYFUNCTION("""COMPUTED_VALUE"""),"DONE")</f>
        <v>DONE</v>
      </c>
      <c r="Z1507" s="229" t="str">
        <f>IFERROR(__xludf.DUMMYFUNCTION("""COMPUTED_VALUE"""),"#N/A")</f>
        <v>#N/A</v>
      </c>
      <c r="AA1507" s="229">
        <f>IFERROR(__xludf.DUMMYFUNCTION("""COMPUTED_VALUE"""),4.0)</f>
        <v>4</v>
      </c>
      <c r="AB1507" s="229"/>
      <c r="AC1507" s="229" t="str">
        <f>IFERROR(__xludf.DUMMYFUNCTION("""COMPUTED_VALUE"""),"8928752#8928757")</f>
        <v>8928752#8928757</v>
      </c>
      <c r="AD1507" s="232">
        <f>IFERROR(__xludf.DUMMYFUNCTION("""COMPUTED_VALUE"""),32.0)</f>
        <v>32</v>
      </c>
      <c r="AE1507" s="233">
        <f>IFERROR(__xludf.DUMMYFUNCTION("""COMPUTED_VALUE"""),46030.0)</f>
        <v>46030</v>
      </c>
      <c r="AF1507" s="54"/>
      <c r="AG1507" s="54"/>
      <c r="AH1507" s="54">
        <v>46030.0</v>
      </c>
      <c r="AI1507" s="55">
        <f t="shared" si="154"/>
        <v>0</v>
      </c>
      <c r="AW1507" s="234"/>
      <c r="BP1507" s="11"/>
      <c r="BQ1507" s="11"/>
      <c r="BR1507" s="235"/>
      <c r="BV1507" s="158"/>
      <c r="BY1507" s="158"/>
      <c r="CB1507" s="158"/>
    </row>
    <row r="1508" ht="18.0" hidden="1" customHeight="1">
      <c r="A1508" s="222">
        <f>IFERROR(__xludf.DUMMYFUNCTION("""COMPUTED_VALUE"""),2026.0)</f>
        <v>2026</v>
      </c>
      <c r="B1508" s="221">
        <f>IFERROR(__xludf.DUMMYFUNCTION("""COMPUTED_VALUE"""),1.1911427E7)</f>
        <v>11911427</v>
      </c>
      <c r="C1508" s="222" t="str">
        <f>IFERROR(__xludf.DUMMYFUNCTION("""COMPUTED_VALUE"""),"MDN PT3 CTD-FCX DELI SERDANG_125472")</f>
        <v>MDN PT3 CTD-FCX DELI SERDANG_125472</v>
      </c>
      <c r="D1508" s="222" t="str">
        <f>IFERROR(__xludf.DUMMYFUNCTION("""COMPUTED_VALUE"""),"REGIONAL I")</f>
        <v>REGIONAL I</v>
      </c>
      <c r="E1508" s="222" t="str">
        <f>IFERROR(__xludf.DUMMYFUNCTION("""COMPUTED_VALUE"""),"MEDAN")</f>
        <v>MEDAN</v>
      </c>
      <c r="F1508" s="222" t="str">
        <f>IFERROR(__xludf.DUMMYFUNCTION("""COMPUTED_VALUE"""),"CTD")</f>
        <v>CTD</v>
      </c>
      <c r="G1508" s="222" t="str">
        <f>IFERROR(__xludf.DUMMYFUNCTION("""COMPUTED_VALUE"""),"SUMBAGUT")</f>
        <v>SUMBAGUT</v>
      </c>
      <c r="H1508" s="222" t="str">
        <f>IFERROR(__xludf.DUMMYFUNCTION("""COMPUTED_VALUE"""),"MEDAN")</f>
        <v>MEDAN</v>
      </c>
      <c r="I1508" s="222" t="str">
        <f>IFERROR(__xludf.DUMMYFUNCTION("""COMPUTED_VALUE"""),"Batch 2")</f>
        <v>Batch 2</v>
      </c>
      <c r="J1508" s="225">
        <f>IFERROR(__xludf.DUMMYFUNCTION("""COMPUTED_VALUE"""),3.0)</f>
        <v>3</v>
      </c>
      <c r="K1508" s="224">
        <f>IFERROR(__xludf.DUMMYFUNCTION("""COMPUTED_VALUE"""),24.0)</f>
        <v>24</v>
      </c>
      <c r="L1508" s="226">
        <f>IFERROR(__xludf.DUMMYFUNCTION("""COMPUTED_VALUE"""),625656.0)</f>
        <v>625656</v>
      </c>
      <c r="M1508" s="227">
        <f>IFERROR(__xludf.DUMMYFUNCTION("""COMPUTED_VALUE"""),1.5015732E7)</f>
        <v>15015732</v>
      </c>
      <c r="N1508" s="222" t="str">
        <f>IFERROR(__xludf.DUMMYFUNCTION("""COMPUTED_VALUE"""),"PT M JUSUF AND SONS")</f>
        <v>PT M JUSUF AND SONS</v>
      </c>
      <c r="O1508" s="222" t="str">
        <f>IFERROR(__xludf.DUMMYFUNCTION("""COMPUTED_VALUE"""),"0. DROP")</f>
        <v>0. DROP</v>
      </c>
      <c r="P1508" s="222" t="str">
        <f>IFERROR(__xludf.DUMMYFUNCTION("""COMPUTED_VALUE"""),"0.3 Feeder Full")</f>
        <v>0.3 Feeder Full</v>
      </c>
      <c r="Q1508" s="222" t="str">
        <f>IFERROR(__xludf.DUMMYFUNCTION("""COMPUTED_VALUE"""),"30/01 Feeder Habis
(07/01) Persiapan")</f>
        <v>30/01 Feeder Habis
(07/01) Persiapan</v>
      </c>
      <c r="R1508" s="228"/>
      <c r="S1508" s="11"/>
      <c r="T1508" s="11"/>
      <c r="U1508" s="11"/>
      <c r="V1508" s="229"/>
      <c r="W1508" s="229"/>
      <c r="X1508" s="229" t="str">
        <f>IFERROR(__xludf.DUMMYFUNCTION("""COMPUTED_VALUE"""),"BELUM GOLIVE")</f>
        <v>BELUM GOLIVE</v>
      </c>
      <c r="Y1508" s="229"/>
      <c r="Z1508" s="229" t="str">
        <f>IFERROR(__xludf.DUMMYFUNCTION("""COMPUTED_VALUE"""),"#N/A")</f>
        <v>#N/A</v>
      </c>
      <c r="AA1508" s="229"/>
      <c r="AB1508" s="229"/>
      <c r="AC1508" s="229"/>
      <c r="AD1508" s="232"/>
      <c r="AE1508" s="233"/>
      <c r="AF1508" s="54"/>
      <c r="AG1508" s="54"/>
      <c r="AH1508" s="54"/>
      <c r="AI1508" s="55" t="str">
        <f t="shared" si="154"/>
        <v/>
      </c>
      <c r="AW1508" s="234"/>
      <c r="BP1508" s="11"/>
      <c r="BQ1508" s="11"/>
      <c r="BR1508" s="235"/>
      <c r="BV1508" s="158"/>
      <c r="BY1508" s="158"/>
      <c r="CB1508" s="158"/>
    </row>
    <row r="1509" ht="18.0" hidden="1" customHeight="1">
      <c r="A1509" s="222">
        <f>IFERROR(__xludf.DUMMYFUNCTION("""COMPUTED_VALUE"""),2026.0)</f>
        <v>2026</v>
      </c>
      <c r="B1509" s="221">
        <f>IFERROR(__xludf.DUMMYFUNCTION("""COMPUTED_VALUE"""),1.1389045E7)</f>
        <v>11389045</v>
      </c>
      <c r="C1509" s="222" t="str">
        <f>IFERROR(__xludf.DUMMYFUNCTION("""COMPUTED_VALUE"""),"ACH PT3 BPD-FB BR.D03 KEDAI PAYA")</f>
        <v>ACH PT3 BPD-FB BR.D03 KEDAI PAYA</v>
      </c>
      <c r="D1509" s="222" t="str">
        <f>IFERROR(__xludf.DUMMYFUNCTION("""COMPUTED_VALUE"""),"REGIONAL I")</f>
        <v>REGIONAL I</v>
      </c>
      <c r="E1509" s="222" t="str">
        <f>IFERROR(__xludf.DUMMYFUNCTION("""COMPUTED_VALUE"""),"ACEH")</f>
        <v>ACEH</v>
      </c>
      <c r="F1509" s="222" t="str">
        <f>IFERROR(__xludf.DUMMYFUNCTION("""COMPUTED_VALUE"""),"BPD")</f>
        <v>BPD</v>
      </c>
      <c r="G1509" s="222" t="str">
        <f>IFERROR(__xludf.DUMMYFUNCTION("""COMPUTED_VALUE"""),"SUMBAGUT")</f>
        <v>SUMBAGUT</v>
      </c>
      <c r="H1509" s="222" t="str">
        <f>IFERROR(__xludf.DUMMYFUNCTION("""COMPUTED_VALUE"""),"BANDA ACEH")</f>
        <v>BANDA ACEH</v>
      </c>
      <c r="I1509" s="222" t="str">
        <f>IFERROR(__xludf.DUMMYFUNCTION("""COMPUTED_VALUE"""),"Batch 2")</f>
        <v>Batch 2</v>
      </c>
      <c r="J1509" s="225">
        <f>IFERROR(__xludf.DUMMYFUNCTION("""COMPUTED_VALUE"""),2.0)</f>
        <v>2</v>
      </c>
      <c r="K1509" s="224">
        <f>IFERROR(__xludf.DUMMYFUNCTION("""COMPUTED_VALUE"""),16.0)</f>
        <v>16</v>
      </c>
      <c r="L1509" s="226">
        <f>IFERROR(__xludf.DUMMYFUNCTION("""COMPUTED_VALUE"""),625637.0)</f>
        <v>625637</v>
      </c>
      <c r="M1509" s="227">
        <f>IFERROR(__xludf.DUMMYFUNCTION("""COMPUTED_VALUE"""),1.0010179E7)</f>
        <v>10010179</v>
      </c>
      <c r="N1509" s="222" t="str">
        <f>IFERROR(__xludf.DUMMYFUNCTION("""COMPUTED_VALUE"""),"PT NIAGA NUSANTARA DIVA")</f>
        <v>PT NIAGA NUSANTARA DIVA</v>
      </c>
      <c r="O1509" s="222" t="str">
        <f>IFERROR(__xludf.DUMMYFUNCTION("""COMPUTED_VALUE"""),"7. GOLIVE")</f>
        <v>7. GOLIVE</v>
      </c>
      <c r="P1509" s="222" t="str">
        <f>IFERROR(__xludf.DUMMYFUNCTION("""COMPUTED_VALUE"""),"7.2 Golive Full / OA / DONE OTB")</f>
        <v>7.2 Golive Full / OA / DONE OTB</v>
      </c>
      <c r="Q1509" s="222" t="str">
        <f>IFERROR(__xludf.DUMMYFUNCTION("""COMPUTED_VALUE"""),"(03/02) GoLive (29/01)selesai fisik")</f>
        <v>(03/02) GoLive (29/01)selesai fisik</v>
      </c>
      <c r="R1509" s="228">
        <f>IFERROR(__xludf.DUMMYFUNCTION("""COMPUTED_VALUE"""),46056.0)</f>
        <v>46056</v>
      </c>
      <c r="S1509" s="11"/>
      <c r="T1509" s="11"/>
      <c r="U1509" s="11" t="str">
        <f>IFERROR(__xludf.DUMMYFUNCTION("""COMPUTED_VALUE"""),"W04-935/2025")</f>
        <v>W04-935/2025</v>
      </c>
      <c r="V1509" s="229"/>
      <c r="W1509" s="229"/>
      <c r="X1509" s="229" t="str">
        <f>IFERROR(__xludf.DUMMYFUNCTION("""COMPUTED_VALUE"""),"GOLIVE")</f>
        <v>GOLIVE</v>
      </c>
      <c r="Y1509" s="229" t="str">
        <f>IFERROR(__xludf.DUMMYFUNCTION("""COMPUTED_VALUE"""),"DONE")</f>
        <v>DONE</v>
      </c>
      <c r="Z1509" s="229" t="str">
        <f>IFERROR(__xludf.DUMMYFUNCTION("""COMPUTED_VALUE"""),"#N/A")</f>
        <v>#N/A</v>
      </c>
      <c r="AA1509" s="229">
        <f>IFERROR(__xludf.DUMMYFUNCTION("""COMPUTED_VALUE"""),2.0)</f>
        <v>2</v>
      </c>
      <c r="AB1509" s="229"/>
      <c r="AC1509" s="229" t="str">
        <f>IFERROR(__xludf.DUMMYFUNCTION("""COMPUTED_VALUE"""),"9050210#9050215")</f>
        <v>9050210#9050215</v>
      </c>
      <c r="AD1509" s="232">
        <f>IFERROR(__xludf.DUMMYFUNCTION("""COMPUTED_VALUE"""),16.0)</f>
        <v>16</v>
      </c>
      <c r="AE1509" s="233">
        <f>IFERROR(__xludf.DUMMYFUNCTION("""COMPUTED_VALUE"""),46056.0)</f>
        <v>46056</v>
      </c>
      <c r="AF1509" s="54"/>
      <c r="AG1509" s="54"/>
      <c r="AH1509" s="54">
        <v>46056.0</v>
      </c>
      <c r="AI1509" s="55">
        <f t="shared" si="154"/>
        <v>0</v>
      </c>
      <c r="AW1509" s="234"/>
      <c r="BP1509" s="11"/>
      <c r="BQ1509" s="11"/>
      <c r="BR1509" s="235"/>
      <c r="BV1509" s="158"/>
      <c r="BY1509" s="158"/>
      <c r="CB1509" s="158"/>
    </row>
    <row r="1510" ht="18.0" hidden="1" customHeight="1">
      <c r="A1510" s="222">
        <f>IFERROR(__xludf.DUMMYFUNCTION("""COMPUTED_VALUE"""),2026.0)</f>
        <v>2026</v>
      </c>
      <c r="B1510" s="221">
        <f>IFERROR(__xludf.DUMMYFUNCTION("""COMPUTED_VALUE"""),1.1194188E7)</f>
        <v>11194188</v>
      </c>
      <c r="C1510" s="222" t="str">
        <f>IFERROR(__xludf.DUMMYFUNCTION("""COMPUTED_VALUE"""),"MDN PT3 P7I9 TJR-FF KOMP GODANG GOLDEN")</f>
        <v>MDN PT3 P7I9 TJR-FF KOMP GODANG GOLDEN</v>
      </c>
      <c r="D1510" s="222" t="str">
        <f>IFERROR(__xludf.DUMMYFUNCTION("""COMPUTED_VALUE"""),"REGIONAL I")</f>
        <v>REGIONAL I</v>
      </c>
      <c r="E1510" s="222" t="str">
        <f>IFERROR(__xludf.DUMMYFUNCTION("""COMPUTED_VALUE"""),"MEDAN")</f>
        <v>MEDAN</v>
      </c>
      <c r="F1510" s="222" t="str">
        <f>IFERROR(__xludf.DUMMYFUNCTION("""COMPUTED_VALUE"""),"TJR")</f>
        <v>TJR</v>
      </c>
      <c r="G1510" s="222" t="str">
        <f>IFERROR(__xludf.DUMMYFUNCTION("""COMPUTED_VALUE"""),"SUMBAGUT")</f>
        <v>SUMBAGUT</v>
      </c>
      <c r="H1510" s="222" t="str">
        <f>IFERROR(__xludf.DUMMYFUNCTION("""COMPUTED_VALUE"""),"MEDAN")</f>
        <v>MEDAN</v>
      </c>
      <c r="I1510" s="222" t="str">
        <f>IFERROR(__xludf.DUMMYFUNCTION("""COMPUTED_VALUE"""),"Batch 2")</f>
        <v>Batch 2</v>
      </c>
      <c r="J1510" s="225">
        <f>IFERROR(__xludf.DUMMYFUNCTION("""COMPUTED_VALUE"""),2.0)</f>
        <v>2</v>
      </c>
      <c r="K1510" s="224">
        <f>IFERROR(__xludf.DUMMYFUNCTION("""COMPUTED_VALUE"""),16.0)</f>
        <v>16</v>
      </c>
      <c r="L1510" s="226">
        <f>IFERROR(__xludf.DUMMYFUNCTION("""COMPUTED_VALUE"""),849376.0)</f>
        <v>849376</v>
      </c>
      <c r="M1510" s="227">
        <f>IFERROR(__xludf.DUMMYFUNCTION("""COMPUTED_VALUE"""),1.3590007E7)</f>
        <v>13590007</v>
      </c>
      <c r="N1510" s="222" t="str">
        <f>IFERROR(__xludf.DUMMYFUNCTION("""COMPUTED_VALUE"""),"PT TEKNOLOGI KARYA MANDIRI")</f>
        <v>PT TEKNOLOGI KARYA MANDIRI</v>
      </c>
      <c r="O1510" s="222" t="str">
        <f>IFERROR(__xludf.DUMMYFUNCTION("""COMPUTED_VALUE"""),"0. DROP")</f>
        <v>0. DROP</v>
      </c>
      <c r="P1510" s="222" t="str">
        <f>IFERROR(__xludf.DUMMYFUNCTION("""COMPUTED_VALUE"""),"0.2 Tidak Dapat Izin Warga/Kades/Lurah/Developer")</f>
        <v>0.2 Tidak Dapat Izin Warga/Kades/Lurah/Developer</v>
      </c>
      <c r="Q1510" s="222" t="str">
        <f>IFERROR(__xludf.DUMMYFUNCTION("""COMPUTED_VALUE"""),"10/02 tidak di beri izin devloper
(07/01) Persiapan")</f>
        <v>10/02 tidak di beri izin devloper
(07/01) Persiapan</v>
      </c>
      <c r="R1510" s="228"/>
      <c r="S1510" s="11"/>
      <c r="T1510" s="11"/>
      <c r="U1510" s="11"/>
      <c r="V1510" s="229"/>
      <c r="W1510" s="229"/>
      <c r="X1510" s="229" t="str">
        <f>IFERROR(__xludf.DUMMYFUNCTION("""COMPUTED_VALUE"""),"BELUM GOLIVE")</f>
        <v>BELUM GOLIVE</v>
      </c>
      <c r="Y1510" s="229"/>
      <c r="Z1510" s="229" t="str">
        <f>IFERROR(__xludf.DUMMYFUNCTION("""COMPUTED_VALUE"""),"#N/A")</f>
        <v>#N/A</v>
      </c>
      <c r="AA1510" s="229"/>
      <c r="AB1510" s="229"/>
      <c r="AC1510" s="229"/>
      <c r="AD1510" s="232"/>
      <c r="AE1510" s="233"/>
      <c r="AF1510" s="54" t="str">
        <f>IFERROR(__xludf.DUMMYFUNCTION("""COMPUTED_VALUE"""),"Draft BA DROP")</f>
        <v>Draft BA DROP</v>
      </c>
      <c r="AG1510" s="54"/>
      <c r="AH1510" s="54"/>
      <c r="AI1510" s="55" t="str">
        <f t="shared" si="154"/>
        <v/>
      </c>
      <c r="AW1510" s="234"/>
      <c r="BP1510" s="11"/>
      <c r="BQ1510" s="11"/>
      <c r="BR1510" s="235"/>
      <c r="BV1510" s="158"/>
      <c r="BY1510" s="158"/>
      <c r="CB1510" s="158"/>
    </row>
    <row r="1511" ht="18.0" hidden="1" customHeight="1">
      <c r="A1511" s="222">
        <f>IFERROR(__xludf.DUMMYFUNCTION("""COMPUTED_VALUE"""),2026.0)</f>
        <v>2026</v>
      </c>
      <c r="B1511" s="221">
        <f>IFERROR(__xludf.DUMMYFUNCTION("""COMPUTED_VALUE"""),1.2436655E7)</f>
        <v>12436655</v>
      </c>
      <c r="C1511" s="222" t="str">
        <f>IFERROR(__xludf.DUMMYFUNCTION("""COMPUTED_VALUE"""),"MDN PT3 STB -FA 250_1663_1545")</f>
        <v>MDN PT3 STB -FA 250_1663_1545</v>
      </c>
      <c r="D1511" s="222" t="str">
        <f>IFERROR(__xludf.DUMMYFUNCTION("""COMPUTED_VALUE"""),"REGIONAL I")</f>
        <v>REGIONAL I</v>
      </c>
      <c r="E1511" s="222" t="str">
        <f>IFERROR(__xludf.DUMMYFUNCTION("""COMPUTED_VALUE"""),"MEDAN")</f>
        <v>MEDAN</v>
      </c>
      <c r="F1511" s="222" t="str">
        <f>IFERROR(__xludf.DUMMYFUNCTION("""COMPUTED_VALUE"""),"STB")</f>
        <v>STB</v>
      </c>
      <c r="G1511" s="222" t="str">
        <f>IFERROR(__xludf.DUMMYFUNCTION("""COMPUTED_VALUE"""),"SUMBAGUT")</f>
        <v>SUMBAGUT</v>
      </c>
      <c r="H1511" s="222" t="str">
        <f>IFERROR(__xludf.DUMMYFUNCTION("""COMPUTED_VALUE"""),"BINJAI")</f>
        <v>BINJAI</v>
      </c>
      <c r="I1511" s="222" t="str">
        <f>IFERROR(__xludf.DUMMYFUNCTION("""COMPUTED_VALUE"""),"Batch 2")</f>
        <v>Batch 2</v>
      </c>
      <c r="J1511" s="225">
        <f>IFERROR(__xludf.DUMMYFUNCTION("""COMPUTED_VALUE"""),2.0)</f>
        <v>2</v>
      </c>
      <c r="K1511" s="224">
        <f>IFERROR(__xludf.DUMMYFUNCTION("""COMPUTED_VALUE"""),16.0)</f>
        <v>16</v>
      </c>
      <c r="L1511" s="226">
        <f>IFERROR(__xludf.DUMMYFUNCTION("""COMPUTED_VALUE"""),622888.0)</f>
        <v>622888</v>
      </c>
      <c r="M1511" s="227">
        <f>IFERROR(__xludf.DUMMYFUNCTION("""COMPUTED_VALUE"""),9966202.0)</f>
        <v>9966202</v>
      </c>
      <c r="N1511" s="222" t="str">
        <f>IFERROR(__xludf.DUMMYFUNCTION("""COMPUTED_VALUE"""),"PT FIBERHOME TECHNOLOGIES INDONESIA")</f>
        <v>PT FIBERHOME TECHNOLOGIES INDONESIA</v>
      </c>
      <c r="O1511" s="222" t="str">
        <f>IFERROR(__xludf.DUMMYFUNCTION("""COMPUTED_VALUE"""),"5. INSTALASI")</f>
        <v>5. INSTALASI</v>
      </c>
      <c r="P1511" s="222" t="str">
        <f>IFERROR(__xludf.DUMMYFUNCTION("""COMPUTED_VALUE"""),"5.4 Proses Penanaman Tiang")</f>
        <v>5.4 Proses Penanaman Tiang</v>
      </c>
      <c r="Q1511" s="222" t="str">
        <f>IFERROR(__xludf.DUMMYFUNCTION("""COMPUTED_VALUE"""),"(20/04) Distribusi full sdh redesain , CPP tinggi need confirm ED
07/04 redesgn, cpp tinggi, koordinasi SDI ke ED
27/02 proses penanaman tiang dan penarikan KU
19/02 input material
18/02 feeder dist ready
(07/01) Persiapan")</f>
        <v>(20/04) Distribusi full sdh redesain , CPP tinggi need confirm ED
07/04 redesgn, cpp tinggi, koordinasi SDI ke ED
27/02 proses penanaman tiang dan penarikan KU
19/02 input material
18/02 feeder dist ready
(07/01) Persiapan</v>
      </c>
      <c r="R1511" s="228"/>
      <c r="S1511" s="11" t="str">
        <f>IFERROR(__xludf.DUMMYFUNCTION("""COMPUTED_VALUE"""),"-")</f>
        <v>-</v>
      </c>
      <c r="T1511" s="73"/>
      <c r="U1511" s="11"/>
      <c r="V1511" s="229"/>
      <c r="W1511" s="229" t="str">
        <f>IFERROR(__xludf.DUMMYFUNCTION("""COMPUTED_VALUE"""),"#N/A")</f>
        <v>#N/A</v>
      </c>
      <c r="X1511" s="229" t="str">
        <f>IFERROR(__xludf.DUMMYFUNCTION("""COMPUTED_VALUE"""),"BELUM GOLIVE")</f>
        <v>BELUM GOLIVE</v>
      </c>
      <c r="Y1511" s="229"/>
      <c r="Z1511" s="229" t="str">
        <f>IFERROR(__xludf.DUMMYFUNCTION("""COMPUTED_VALUE"""),"#N/A")</f>
        <v>#N/A</v>
      </c>
      <c r="AA1511" s="229"/>
      <c r="AB1511" s="229"/>
      <c r="AC1511" s="229"/>
      <c r="AD1511" s="232"/>
      <c r="AE1511" s="233"/>
      <c r="AF1511" s="54"/>
      <c r="AG1511" s="54"/>
      <c r="AH1511" s="54">
        <v>46132.0</v>
      </c>
      <c r="AI1511" s="55" t="str">
        <f t="shared" si="154"/>
        <v/>
      </c>
      <c r="AW1511" s="234"/>
      <c r="BP1511" s="11"/>
      <c r="BQ1511" s="11"/>
      <c r="BR1511" s="235"/>
      <c r="BV1511" s="158"/>
      <c r="BY1511" s="158"/>
      <c r="CB1511" s="158"/>
    </row>
    <row r="1512" ht="18.0" customHeight="1">
      <c r="A1512" s="222">
        <f>IFERROR(__xludf.DUMMYFUNCTION("""COMPUTED_VALUE"""),2026.0)</f>
        <v>2026</v>
      </c>
      <c r="B1512" s="221">
        <f>IFERROR(__xludf.DUMMYFUNCTION("""COMPUTED_VALUE"""),1.1315186E7)</f>
        <v>11315186</v>
      </c>
      <c r="C1512" s="222" t="str">
        <f>IFERROR(__xludf.DUMMYFUNCTION("""COMPUTED_VALUE"""),"RKP PT3 TSEL SLU-FCY RENGGALI ASOKA")</f>
        <v>RKP PT3 TSEL SLU-FCY RENGGALI ASOKA</v>
      </c>
      <c r="D1512" s="222" t="str">
        <f>IFERROR(__xludf.DUMMYFUNCTION("""COMPUTED_VALUE"""),"REGIONAL I")</f>
        <v>REGIONAL I</v>
      </c>
      <c r="E1512" s="222" t="str">
        <f>IFERROR(__xludf.DUMMYFUNCTION("""COMPUTED_VALUE"""),"RIKEP")</f>
        <v>RIKEP</v>
      </c>
      <c r="F1512" s="222" t="str">
        <f>IFERROR(__xludf.DUMMYFUNCTION("""COMPUTED_VALUE"""),"SLU")</f>
        <v>SLU</v>
      </c>
      <c r="G1512" s="222" t="str">
        <f>IFERROR(__xludf.DUMMYFUNCTION("""COMPUTED_VALUE"""),"SUMBAGTENG")</f>
        <v>SUMBAGTENG</v>
      </c>
      <c r="H1512" s="222" t="str">
        <f>IFERROR(__xludf.DUMMYFUNCTION("""COMPUTED_VALUE"""),"BATAM")</f>
        <v>BATAM</v>
      </c>
      <c r="I1512" s="222" t="str">
        <f>IFERROR(__xludf.DUMMYFUNCTION("""COMPUTED_VALUE"""),"Batch 2")</f>
        <v>Batch 2</v>
      </c>
      <c r="J1512" s="225">
        <f>IFERROR(__xludf.DUMMYFUNCTION("""COMPUTED_VALUE"""),2.0)</f>
        <v>2</v>
      </c>
      <c r="K1512" s="224">
        <f>IFERROR(__xludf.DUMMYFUNCTION("""COMPUTED_VALUE"""),16.0)</f>
        <v>16</v>
      </c>
      <c r="L1512" s="226">
        <f>IFERROR(__xludf.DUMMYFUNCTION("""COMPUTED_VALUE"""),622791.0)</f>
        <v>622791</v>
      </c>
      <c r="M1512" s="227">
        <f>IFERROR(__xludf.DUMMYFUNCTION("""COMPUTED_VALUE"""),9964654.0)</f>
        <v>9964654</v>
      </c>
      <c r="N1512" s="222" t="str">
        <f>IFERROR(__xludf.DUMMYFUNCTION("""COMPUTED_VALUE"""),"PT TRIPOLA PANATA")</f>
        <v>PT TRIPOLA PANATA</v>
      </c>
      <c r="O1512" s="222" t="str">
        <f>IFERROR(__xludf.DUMMYFUNCTION("""COMPUTED_VALUE"""),"0. DROP")</f>
        <v>0. DROP</v>
      </c>
      <c r="P1512" s="222" t="str">
        <f>IFERROR(__xludf.DUMMYFUNCTION("""COMPUTED_VALUE"""),"0.2 Tidak Dapat Izin Warga/Kades/Lurah/Developer")</f>
        <v>0.2 Tidak Dapat Izin Warga/Kades/Lurah/Developer</v>
      </c>
      <c r="Q1512" s="222" t="str">
        <f>IFERROR(__xludf.DUMMYFUNCTION("""COMPUTED_VALUE"""),"21/01 izin tidak di acc dveloper karena sudah kerja sama dengan provider lain")</f>
        <v>21/01 izin tidak di acc dveloper karena sudah kerja sama dengan provider lain</v>
      </c>
      <c r="R1512" s="228"/>
      <c r="S1512" s="11"/>
      <c r="T1512" s="11"/>
      <c r="U1512" s="11"/>
      <c r="V1512" s="229" t="str">
        <f>IFERROR(__xludf.DUMMYFUNCTION("""COMPUTED_VALUE"""),"MUHAMMAD RIDHO FALFO")</f>
        <v>MUHAMMAD RIDHO FALFO</v>
      </c>
      <c r="W1512" s="229" t="str">
        <f>IFERROR(__xludf.DUMMYFUNCTION("""COMPUTED_VALUE"""),"LEVITA INDRIYANI")</f>
        <v>LEVITA INDRIYANI</v>
      </c>
      <c r="X1512" s="229" t="str">
        <f>IFERROR(__xludf.DUMMYFUNCTION("""COMPUTED_VALUE"""),"BELUM GOLIVE")</f>
        <v>BELUM GOLIVE</v>
      </c>
      <c r="Y1512" s="229"/>
      <c r="Z1512" s="229" t="str">
        <f>IFERROR(__xludf.DUMMYFUNCTION("""COMPUTED_VALUE"""),"#N/A")</f>
        <v>#N/A</v>
      </c>
      <c r="AA1512" s="229"/>
      <c r="AB1512" s="229"/>
      <c r="AC1512" s="229"/>
      <c r="AD1512" s="232"/>
      <c r="AE1512" s="233"/>
      <c r="AF1512" s="54" t="str">
        <f>IFERROR(__xludf.DUMMYFUNCTION("""COMPUTED_VALUE"""),"Draft BA DROP")</f>
        <v>Draft BA DROP</v>
      </c>
      <c r="AG1512" s="54"/>
      <c r="AH1512" s="54"/>
      <c r="AI1512" s="55" t="str">
        <f t="shared" si="154"/>
        <v/>
      </c>
      <c r="AW1512" s="234"/>
      <c r="BP1512" s="11"/>
      <c r="BQ1512" s="11"/>
      <c r="BR1512" s="235"/>
      <c r="BV1512" s="158"/>
      <c r="BY1512" s="158"/>
      <c r="CB1512" s="158"/>
    </row>
    <row r="1513" ht="18.0" hidden="1" customHeight="1">
      <c r="A1513" s="222">
        <f>IFERROR(__xludf.DUMMYFUNCTION("""COMPUTED_VALUE"""),2026.0)</f>
        <v>2026</v>
      </c>
      <c r="B1513" s="221">
        <f>IFERROR(__xludf.DUMMYFUNCTION("""COMPUTED_VALUE"""),1.1197088E7)</f>
        <v>11197088</v>
      </c>
      <c r="C1513" s="222" t="str">
        <f>IFERROR(__xludf.DUMMYFUNCTION("""COMPUTED_VALUE"""),"MDN PT3 P7I7 DLT-FA GRIYA DELI INDAH")</f>
        <v>MDN PT3 P7I7 DLT-FA GRIYA DELI INDAH</v>
      </c>
      <c r="D1513" s="222" t="str">
        <f>IFERROR(__xludf.DUMMYFUNCTION("""COMPUTED_VALUE"""),"REGIONAL I")</f>
        <v>REGIONAL I</v>
      </c>
      <c r="E1513" s="222" t="str">
        <f>IFERROR(__xludf.DUMMYFUNCTION("""COMPUTED_VALUE"""),"MEDAN")</f>
        <v>MEDAN</v>
      </c>
      <c r="F1513" s="222" t="str">
        <f>IFERROR(__xludf.DUMMYFUNCTION("""COMPUTED_VALUE"""),"DLT")</f>
        <v>DLT</v>
      </c>
      <c r="G1513" s="222" t="str">
        <f>IFERROR(__xludf.DUMMYFUNCTION("""COMPUTED_VALUE"""),"SUMBAGUT")</f>
        <v>SUMBAGUT</v>
      </c>
      <c r="H1513" s="222" t="str">
        <f>IFERROR(__xludf.DUMMYFUNCTION("""COMPUTED_VALUE"""),"MEDAN")</f>
        <v>MEDAN</v>
      </c>
      <c r="I1513" s="222" t="str">
        <f>IFERROR(__xludf.DUMMYFUNCTION("""COMPUTED_VALUE"""),"Batch 2")</f>
        <v>Batch 2</v>
      </c>
      <c r="J1513" s="225">
        <f>IFERROR(__xludf.DUMMYFUNCTION("""COMPUTED_VALUE"""),2.0)</f>
        <v>2</v>
      </c>
      <c r="K1513" s="224">
        <f>IFERROR(__xludf.DUMMYFUNCTION("""COMPUTED_VALUE"""),16.0)</f>
        <v>16</v>
      </c>
      <c r="L1513" s="226">
        <f>IFERROR(__xludf.DUMMYFUNCTION("""COMPUTED_VALUE"""),902552.0)</f>
        <v>902552</v>
      </c>
      <c r="M1513" s="227">
        <f>IFERROR(__xludf.DUMMYFUNCTION("""COMPUTED_VALUE"""),1.444083E7)</f>
        <v>14440830</v>
      </c>
      <c r="N1513" s="222" t="str">
        <f>IFERROR(__xludf.DUMMYFUNCTION("""COMPUTED_VALUE"""),"PT SALTTEK DUMPANG JAYA")</f>
        <v>PT SALTTEK DUMPANG JAYA</v>
      </c>
      <c r="O1513" s="222" t="str">
        <f>IFERROR(__xludf.DUMMYFUNCTION("""COMPUTED_VALUE"""),"0. DROP")</f>
        <v>0. DROP</v>
      </c>
      <c r="P1513" s="222" t="str">
        <f>IFERROR(__xludf.DUMMYFUNCTION("""COMPUTED_VALUE"""),"0.3 Feeder Full")</f>
        <v>0.3 Feeder Full</v>
      </c>
      <c r="Q1513" s="222" t="str">
        <f>IFERROR(__xludf.DUMMYFUNCTION("""COMPUTED_VALUE"""),"11/11 Feeder Penuh , Perlu Redesign
(24/09) Perizinan Warga dan Kades / Lurah
(23/09) Perizinan Warga dan Kades / Lurah
15/09 proses aanwijzing")</f>
        <v>11/11 Feeder Penuh , Perlu Redesign
(24/09) Perizinan Warga dan Kades / Lurah
(23/09) Perizinan Warga dan Kades / Lurah
15/09 proses aanwijzing</v>
      </c>
      <c r="R1513" s="228"/>
      <c r="S1513" s="11"/>
      <c r="T1513" s="11"/>
      <c r="U1513" s="11"/>
      <c r="V1513" s="229"/>
      <c r="W1513" s="229"/>
      <c r="X1513" s="229" t="str">
        <f>IFERROR(__xludf.DUMMYFUNCTION("""COMPUTED_VALUE"""),"BELUM GOLIVE")</f>
        <v>BELUM GOLIVE</v>
      </c>
      <c r="Y1513" s="229"/>
      <c r="Z1513" s="229" t="str">
        <f>IFERROR(__xludf.DUMMYFUNCTION("""COMPUTED_VALUE"""),"#N/A")</f>
        <v>#N/A</v>
      </c>
      <c r="AA1513" s="229"/>
      <c r="AB1513" s="229"/>
      <c r="AC1513" s="229"/>
      <c r="AD1513" s="232"/>
      <c r="AE1513" s="233"/>
      <c r="AF1513" s="54"/>
      <c r="AG1513" s="54"/>
      <c r="AH1513" s="54"/>
      <c r="AI1513" s="55" t="str">
        <f t="shared" si="154"/>
        <v/>
      </c>
      <c r="AW1513" s="234"/>
      <c r="BP1513" s="11"/>
      <c r="BQ1513" s="11"/>
      <c r="BR1513" s="235"/>
      <c r="BV1513" s="158"/>
      <c r="BY1513" s="158"/>
      <c r="CB1513" s="158"/>
    </row>
    <row r="1514" ht="18.0" customHeight="1">
      <c r="A1514" s="222">
        <f>IFERROR(__xludf.DUMMYFUNCTION("""COMPUTED_VALUE"""),2026.0)</f>
        <v>2026</v>
      </c>
      <c r="B1514" s="221">
        <f>IFERROR(__xludf.DUMMYFUNCTION("""COMPUTED_VALUE"""),1.0742728E7)</f>
        <v>10742728</v>
      </c>
      <c r="C1514" s="222" t="str">
        <f>IFERROR(__xludf.DUMMYFUNCTION("""COMPUTED_VALUE"""),"SMB P7I1 MGM Semanggi Residence")</f>
        <v>SMB P7I1 MGM Semanggi Residence</v>
      </c>
      <c r="D1514" s="222" t="str">
        <f>IFERROR(__xludf.DUMMYFUNCTION("""COMPUTED_VALUE"""),"REGIONAL I")</f>
        <v>REGIONAL I</v>
      </c>
      <c r="E1514" s="222" t="str">
        <f>IFERROR(__xludf.DUMMYFUNCTION("""COMPUTED_VALUE"""),"SUMBAR")</f>
        <v>SUMBAR</v>
      </c>
      <c r="F1514" s="222" t="str">
        <f>IFERROR(__xludf.DUMMYFUNCTION("""COMPUTED_VALUE"""),"BDT")</f>
        <v>BDT</v>
      </c>
      <c r="G1514" s="222" t="str">
        <f>IFERROR(__xludf.DUMMYFUNCTION("""COMPUTED_VALUE"""),"SUMBAGTENG")</f>
        <v>SUMBAGTENG</v>
      </c>
      <c r="H1514" s="222" t="str">
        <f>IFERROR(__xludf.DUMMYFUNCTION("""COMPUTED_VALUE"""),"PADANG")</f>
        <v>PADANG</v>
      </c>
      <c r="I1514" s="222" t="str">
        <f>IFERROR(__xludf.DUMMYFUNCTION("""COMPUTED_VALUE"""),"Batch 2")</f>
        <v>Batch 2</v>
      </c>
      <c r="J1514" s="225">
        <f>IFERROR(__xludf.DUMMYFUNCTION("""COMPUTED_VALUE"""),13.0)</f>
        <v>13</v>
      </c>
      <c r="K1514" s="224">
        <f>IFERROR(__xludf.DUMMYFUNCTION("""COMPUTED_VALUE"""),104.0)</f>
        <v>104</v>
      </c>
      <c r="L1514" s="226">
        <f>IFERROR(__xludf.DUMMYFUNCTION("""COMPUTED_VALUE"""),622230.0)</f>
        <v>622230</v>
      </c>
      <c r="M1514" s="227">
        <f>IFERROR(__xludf.DUMMYFUNCTION("""COMPUTED_VALUE"""),6.4711867E7)</f>
        <v>64711867</v>
      </c>
      <c r="N1514" s="222" t="str">
        <f>IFERROR(__xludf.DUMMYFUNCTION("""COMPUTED_VALUE"""),"PT TRI PENAMAS")</f>
        <v>PT TRI PENAMAS</v>
      </c>
      <c r="O1514" s="222" t="str">
        <f>IFERROR(__xludf.DUMMYFUNCTION("""COMPUTED_VALUE"""),"0. DROP")</f>
        <v>0. DROP</v>
      </c>
      <c r="P1514" s="222" t="str">
        <f>IFERROR(__xludf.DUMMYFUNCTION("""COMPUTED_VALUE"""),"0.1 Double Order")</f>
        <v>0.1 Double Order</v>
      </c>
      <c r="Q1514" s="222" t="str">
        <f>IFERROR(__xludf.DUMMYFUNCTION("""COMPUTED_VALUE"""),"(27/01) Menunggu perumahan selesai untuk posisi tanam tiang (07/01) Persiapan")</f>
        <v>(27/01) Menunggu perumahan selesai untuk posisi tanam tiang (07/01) Persiapan</v>
      </c>
      <c r="R1514" s="228"/>
      <c r="S1514" s="11"/>
      <c r="T1514" s="11"/>
      <c r="U1514" s="11"/>
      <c r="V1514" s="229"/>
      <c r="W1514" s="229"/>
      <c r="X1514" s="229" t="str">
        <f>IFERROR(__xludf.DUMMYFUNCTION("""COMPUTED_VALUE"""),"BELUM GOLIVE")</f>
        <v>BELUM GOLIVE</v>
      </c>
      <c r="Y1514" s="229"/>
      <c r="Z1514" s="229" t="str">
        <f>IFERROR(__xludf.DUMMYFUNCTION("""COMPUTED_VALUE"""),"#N/A")</f>
        <v>#N/A</v>
      </c>
      <c r="AA1514" s="229"/>
      <c r="AB1514" s="229"/>
      <c r="AC1514" s="229"/>
      <c r="AD1514" s="232"/>
      <c r="AE1514" s="233"/>
      <c r="AF1514" s="54" t="str">
        <f>IFERROR(__xludf.DUMMYFUNCTION("""COMPUTED_VALUE"""),"Draft BA DROP")</f>
        <v>Draft BA DROP</v>
      </c>
      <c r="AG1514" s="54"/>
      <c r="AH1514" s="54"/>
      <c r="AI1514" s="55" t="str">
        <f t="shared" si="154"/>
        <v/>
      </c>
      <c r="AW1514" s="234"/>
      <c r="BP1514" s="11"/>
      <c r="BQ1514" s="11"/>
      <c r="BR1514" s="235"/>
      <c r="BV1514" s="158"/>
      <c r="BY1514" s="158"/>
      <c r="CB1514" s="158"/>
    </row>
    <row r="1515" ht="18.0" customHeight="1">
      <c r="A1515" s="222">
        <f>IFERROR(__xludf.DUMMYFUNCTION("""COMPUTED_VALUE"""),2026.0)</f>
        <v>2026</v>
      </c>
      <c r="B1515" s="221">
        <f>IFERROR(__xludf.DUMMYFUNCTION("""COMPUTED_VALUE"""),1.1363562E7)</f>
        <v>11363562</v>
      </c>
      <c r="C1515" s="222" t="str">
        <f>IFERROR(__xludf.DUMMYFUNCTION("""COMPUTED_VALUE"""),"SMB P2I2 Teluk Bayur 1")</f>
        <v>SMB P2I2 Teluk Bayur 1</v>
      </c>
      <c r="D1515" s="222" t="str">
        <f>IFERROR(__xludf.DUMMYFUNCTION("""COMPUTED_VALUE"""),"REGIONAL I")</f>
        <v>REGIONAL I</v>
      </c>
      <c r="E1515" s="222" t="str">
        <f>IFERROR(__xludf.DUMMYFUNCTION("""COMPUTED_VALUE"""),"SUMBAR")</f>
        <v>SUMBAR</v>
      </c>
      <c r="F1515" s="222" t="str">
        <f>IFERROR(__xludf.DUMMYFUNCTION("""COMPUTED_VALUE"""),"TLB")</f>
        <v>TLB</v>
      </c>
      <c r="G1515" s="222" t="str">
        <f>IFERROR(__xludf.DUMMYFUNCTION("""COMPUTED_VALUE"""),"SUMBAGTENG")</f>
        <v>SUMBAGTENG</v>
      </c>
      <c r="H1515" s="222" t="str">
        <f>IFERROR(__xludf.DUMMYFUNCTION("""COMPUTED_VALUE"""),"PADANG")</f>
        <v>PADANG</v>
      </c>
      <c r="I1515" s="222" t="str">
        <f>IFERROR(__xludf.DUMMYFUNCTION("""COMPUTED_VALUE"""),"Batch 2")</f>
        <v>Batch 2</v>
      </c>
      <c r="J1515" s="225">
        <f>IFERROR(__xludf.DUMMYFUNCTION("""COMPUTED_VALUE"""),6.0)</f>
        <v>6</v>
      </c>
      <c r="K1515" s="224">
        <f>IFERROR(__xludf.DUMMYFUNCTION("""COMPUTED_VALUE"""),48.0)</f>
        <v>48</v>
      </c>
      <c r="L1515" s="226">
        <f>IFERROR(__xludf.DUMMYFUNCTION("""COMPUTED_VALUE"""),621885.0)</f>
        <v>621885</v>
      </c>
      <c r="M1515" s="227">
        <f>IFERROR(__xludf.DUMMYFUNCTION("""COMPUTED_VALUE"""),2.9850463E7)</f>
        <v>29850463</v>
      </c>
      <c r="N1515" s="222" t="str">
        <f>IFERROR(__xludf.DUMMYFUNCTION("""COMPUTED_VALUE"""),"PT ACERO CETHA METALINDO")</f>
        <v>PT ACERO CETHA METALINDO</v>
      </c>
      <c r="O1515" s="222" t="str">
        <f>IFERROR(__xludf.DUMMYFUNCTION("""COMPUTED_VALUE"""),"0. DROP")</f>
        <v>0. DROP</v>
      </c>
      <c r="P1515" s="222" t="str">
        <f>IFERROR(__xludf.DUMMYFUNCTION("""COMPUTED_VALUE"""),"0.3 Feeder Full")</f>
        <v>0.3 Feeder Full</v>
      </c>
      <c r="Q1515" s="222" t="str">
        <f>IFERROR(__xludf.DUMMYFUNCTION("""COMPUTED_VALUE"""),"(02/03) Kendala feeder TLB-FA FULL")</f>
        <v>(02/03) Kendala feeder TLB-FA FULL</v>
      </c>
      <c r="R1515" s="228"/>
      <c r="S1515" s="11"/>
      <c r="T1515" s="11"/>
      <c r="U1515" s="11"/>
      <c r="V1515" s="229"/>
      <c r="W1515" s="229"/>
      <c r="X1515" s="229" t="str">
        <f>IFERROR(__xludf.DUMMYFUNCTION("""COMPUTED_VALUE"""),"BELUM GOLIVE")</f>
        <v>BELUM GOLIVE</v>
      </c>
      <c r="Y1515" s="229"/>
      <c r="Z1515" s="229" t="str">
        <f>IFERROR(__xludf.DUMMYFUNCTION("""COMPUTED_VALUE"""),"#N/A")</f>
        <v>#N/A</v>
      </c>
      <c r="AA1515" s="229"/>
      <c r="AB1515" s="229"/>
      <c r="AC1515" s="229"/>
      <c r="AD1515" s="232"/>
      <c r="AE1515" s="233"/>
      <c r="AF1515" s="54" t="str">
        <f>IFERROR(__xludf.DUMMYFUNCTION("""COMPUTED_VALUE"""),"Draft BA DROP")</f>
        <v>Draft BA DROP</v>
      </c>
      <c r="AG1515" s="54"/>
      <c r="AH1515" s="54"/>
      <c r="AI1515" s="55" t="str">
        <f t="shared" si="154"/>
        <v/>
      </c>
      <c r="AW1515" s="234"/>
      <c r="BP1515" s="11"/>
      <c r="BQ1515" s="11"/>
      <c r="BR1515" s="235"/>
      <c r="BV1515" s="158"/>
      <c r="BY1515" s="158"/>
      <c r="CB1515" s="158"/>
    </row>
    <row r="1516" ht="18.0" hidden="1" customHeight="1">
      <c r="A1516" s="222">
        <f>IFERROR(__xludf.DUMMYFUNCTION("""COMPUTED_VALUE"""),2026.0)</f>
        <v>2026</v>
      </c>
      <c r="B1516" s="221">
        <f>IFERROR(__xludf.DUMMYFUNCTION("""COMPUTED_VALUE"""),1.2386016E7)</f>
        <v>12386016</v>
      </c>
      <c r="C1516" s="222" t="str">
        <f>IFERROR(__xludf.DUMMYFUNCTION("""COMPUTED_VALUE"""),"MDN PT3 DLT-FAD 250_1542_1673")</f>
        <v>MDN PT3 DLT-FAD 250_1542_1673</v>
      </c>
      <c r="D1516" s="222" t="str">
        <f>IFERROR(__xludf.DUMMYFUNCTION("""COMPUTED_VALUE"""),"REGIONAL I")</f>
        <v>REGIONAL I</v>
      </c>
      <c r="E1516" s="222" t="str">
        <f>IFERROR(__xludf.DUMMYFUNCTION("""COMPUTED_VALUE"""),"MEDAN")</f>
        <v>MEDAN</v>
      </c>
      <c r="F1516" s="222" t="str">
        <f>IFERROR(__xludf.DUMMYFUNCTION("""COMPUTED_VALUE"""),"DLT")</f>
        <v>DLT</v>
      </c>
      <c r="G1516" s="222" t="str">
        <f>IFERROR(__xludf.DUMMYFUNCTION("""COMPUTED_VALUE"""),"SUMBAGUT")</f>
        <v>SUMBAGUT</v>
      </c>
      <c r="H1516" s="222" t="str">
        <f>IFERROR(__xludf.DUMMYFUNCTION("""COMPUTED_VALUE"""),"MEDAN")</f>
        <v>MEDAN</v>
      </c>
      <c r="I1516" s="222" t="str">
        <f>IFERROR(__xludf.DUMMYFUNCTION("""COMPUTED_VALUE"""),"Batch 2")</f>
        <v>Batch 2</v>
      </c>
      <c r="J1516" s="225">
        <f>IFERROR(__xludf.DUMMYFUNCTION("""COMPUTED_VALUE"""),3.0)</f>
        <v>3</v>
      </c>
      <c r="K1516" s="224">
        <f>IFERROR(__xludf.DUMMYFUNCTION("""COMPUTED_VALUE"""),24.0)</f>
        <v>24</v>
      </c>
      <c r="L1516" s="226">
        <f>IFERROR(__xludf.DUMMYFUNCTION("""COMPUTED_VALUE"""),621495.0)</f>
        <v>621495</v>
      </c>
      <c r="M1516" s="227">
        <f>IFERROR(__xludf.DUMMYFUNCTION("""COMPUTED_VALUE"""),1.4915871E7)</f>
        <v>14915871</v>
      </c>
      <c r="N1516" s="222" t="str">
        <f>IFERROR(__xludf.DUMMYFUNCTION("""COMPUTED_VALUE"""),"PT SALTTEK DUMPANG JAYA")</f>
        <v>PT SALTTEK DUMPANG JAYA</v>
      </c>
      <c r="O1516" s="222" t="str">
        <f>IFERROR(__xludf.DUMMYFUNCTION("""COMPUTED_VALUE"""),"0. DROP")</f>
        <v>0. DROP</v>
      </c>
      <c r="P1516" s="222" t="str">
        <f>IFERROR(__xludf.DUMMYFUNCTION("""COMPUTED_VALUE"""),"0.3 Feeder Full")</f>
        <v>0.3 Feeder Full</v>
      </c>
      <c r="Q1516" s="222" t="str">
        <f>IFERROR(__xludf.DUMMYFUNCTION("""COMPUTED_VALUE"""),"08/03 Feeder Penuh 05/02 Feeder Redti (07/01) Persiapan")</f>
        <v>08/03 Feeder Penuh 05/02 Feeder Redti (07/01) Persiapan</v>
      </c>
      <c r="R1516" s="228"/>
      <c r="S1516" s="11"/>
      <c r="T1516" s="11"/>
      <c r="U1516" s="11"/>
      <c r="V1516" s="229"/>
      <c r="W1516" s="229"/>
      <c r="X1516" s="229" t="str">
        <f>IFERROR(__xludf.DUMMYFUNCTION("""COMPUTED_VALUE"""),"BELUM GOLIVE")</f>
        <v>BELUM GOLIVE</v>
      </c>
      <c r="Y1516" s="229"/>
      <c r="Z1516" s="229" t="str">
        <f>IFERROR(__xludf.DUMMYFUNCTION("""COMPUTED_VALUE"""),"#N/A")</f>
        <v>#N/A</v>
      </c>
      <c r="AA1516" s="229"/>
      <c r="AB1516" s="229"/>
      <c r="AC1516" s="229"/>
      <c r="AD1516" s="232"/>
      <c r="AE1516" s="233"/>
      <c r="AF1516" s="54"/>
      <c r="AG1516" s="54"/>
      <c r="AH1516" s="54"/>
      <c r="AI1516" s="55" t="str">
        <f t="shared" si="154"/>
        <v/>
      </c>
      <c r="AW1516" s="234"/>
      <c r="BP1516" s="11"/>
      <c r="BQ1516" s="11"/>
      <c r="BR1516" s="235"/>
      <c r="BV1516" s="158"/>
      <c r="BY1516" s="158"/>
      <c r="CB1516" s="158"/>
    </row>
    <row r="1517" ht="18.0" customHeight="1">
      <c r="A1517" s="222">
        <f>IFERROR(__xludf.DUMMYFUNCTION("""COMPUTED_VALUE"""),2026.0)</f>
        <v>2026</v>
      </c>
      <c r="B1517" s="221">
        <f>IFERROR(__xludf.DUMMYFUNCTION("""COMPUTED_VALUE"""),1.1128982E7)</f>
        <v>11128982</v>
      </c>
      <c r="C1517" s="222" t="str">
        <f>IFERROR(__xludf.DUMMYFUNCTION("""COMPUTED_VALUE"""),"RKP PT3 JPP SGT-FC MASJID AL-IMAN")</f>
        <v>RKP PT3 JPP SGT-FC MASJID AL-IMAN</v>
      </c>
      <c r="D1517" s="222" t="str">
        <f>IFERROR(__xludf.DUMMYFUNCTION("""COMPUTED_VALUE"""),"REGIONAL I")</f>
        <v>REGIONAL I</v>
      </c>
      <c r="E1517" s="222" t="str">
        <f>IFERROR(__xludf.DUMMYFUNCTION("""COMPUTED_VALUE"""),"RIKEP")</f>
        <v>RIKEP</v>
      </c>
      <c r="F1517" s="222" t="str">
        <f>IFERROR(__xludf.DUMMYFUNCTION("""COMPUTED_VALUE"""),"SGT")</f>
        <v>SGT</v>
      </c>
      <c r="G1517" s="222" t="str">
        <f>IFERROR(__xludf.DUMMYFUNCTION("""COMPUTED_VALUE"""),"SUMBAGTENG")</f>
        <v>SUMBAGTENG</v>
      </c>
      <c r="H1517" s="222" t="str">
        <f>IFERROR(__xludf.DUMMYFUNCTION("""COMPUTED_VALUE"""),"BATAM")</f>
        <v>BATAM</v>
      </c>
      <c r="I1517" s="222" t="str">
        <f>IFERROR(__xludf.DUMMYFUNCTION("""COMPUTED_VALUE"""),"Batch 2")</f>
        <v>Batch 2</v>
      </c>
      <c r="J1517" s="225">
        <f>IFERROR(__xludf.DUMMYFUNCTION("""COMPUTED_VALUE"""),4.0)</f>
        <v>4</v>
      </c>
      <c r="K1517" s="224">
        <f>IFERROR(__xludf.DUMMYFUNCTION("""COMPUTED_VALUE"""),32.0)</f>
        <v>32</v>
      </c>
      <c r="L1517" s="226">
        <f>IFERROR(__xludf.DUMMYFUNCTION("""COMPUTED_VALUE"""),620306.0)</f>
        <v>620306</v>
      </c>
      <c r="M1517" s="227">
        <f>IFERROR(__xludf.DUMMYFUNCTION("""COMPUTED_VALUE"""),1.984977E7)</f>
        <v>19849770</v>
      </c>
      <c r="N1517" s="222" t="str">
        <f>IFERROR(__xludf.DUMMYFUNCTION("""COMPUTED_VALUE"""),"SWAKELOLA")</f>
        <v>SWAKELOLA</v>
      </c>
      <c r="O1517" s="222" t="str">
        <f>IFERROR(__xludf.DUMMYFUNCTION("""COMPUTED_VALUE"""),"0. DROP")</f>
        <v>0. DROP</v>
      </c>
      <c r="P1517" s="222" t="str">
        <f>IFERROR(__xludf.DUMMYFUNCTION("""COMPUTED_VALUE"""),"0.3 Feeder Full")</f>
        <v>0.3 Feeder Full</v>
      </c>
      <c r="Q1517" s="222" t="str">
        <f>IFERROR(__xludf.DUMMYFUNCTION("""COMPUTED_VALUE"""),"04/03 Hold karena SGT-FC feeder full, butuh PT4 narik dari mini OLT namun pihak RSUP meminta legal dari telkom, sudah di infokan ke AOM namun blm ada kejelasan dari pihak RSUP pulau burung, case sudah dari 2024.")</f>
        <v>04/03 Hold karena SGT-FC feeder full, butuh PT4 narik dari mini OLT namun pihak RSUP meminta legal dari telkom, sudah di infokan ke AOM namun blm ada kejelasan dari pihak RSUP pulau burung, case sudah dari 2024.</v>
      </c>
      <c r="R1517" s="228"/>
      <c r="S1517" s="11"/>
      <c r="T1517" s="11"/>
      <c r="U1517" s="11"/>
      <c r="V1517" s="229" t="str">
        <f>IFERROR(__xludf.DUMMYFUNCTION("""COMPUTED_VALUE"""),"MOHAMMAD FAUZY")</f>
        <v>MOHAMMAD FAUZY</v>
      </c>
      <c r="W1517" s="229" t="str">
        <f>IFERROR(__xludf.DUMMYFUNCTION("""COMPUTED_VALUE"""),"LEVITA INDRIYANI")</f>
        <v>LEVITA INDRIYANI</v>
      </c>
      <c r="X1517" s="229" t="str">
        <f>IFERROR(__xludf.DUMMYFUNCTION("""COMPUTED_VALUE"""),"BELUM GOLIVE")</f>
        <v>BELUM GOLIVE</v>
      </c>
      <c r="Y1517" s="229"/>
      <c r="Z1517" s="229" t="str">
        <f>IFERROR(__xludf.DUMMYFUNCTION("""COMPUTED_VALUE"""),"#N/A")</f>
        <v>#N/A</v>
      </c>
      <c r="AA1517" s="229"/>
      <c r="AB1517" s="229"/>
      <c r="AC1517" s="229"/>
      <c r="AD1517" s="232"/>
      <c r="AE1517" s="233"/>
      <c r="AF1517" s="54"/>
      <c r="AG1517" s="54"/>
      <c r="AH1517" s="54"/>
      <c r="AI1517" s="55" t="str">
        <f t="shared" si="154"/>
        <v/>
      </c>
      <c r="AW1517" s="234"/>
      <c r="BP1517" s="11"/>
      <c r="BQ1517" s="11"/>
      <c r="BR1517" s="235"/>
      <c r="BV1517" s="158"/>
      <c r="BY1517" s="158"/>
      <c r="CB1517" s="158"/>
    </row>
    <row r="1518" ht="18.0" hidden="1" customHeight="1">
      <c r="A1518" s="222">
        <f>IFERROR(__xludf.DUMMYFUNCTION("""COMPUTED_VALUE"""),2026.0)</f>
        <v>2026</v>
      </c>
      <c r="B1518" s="221">
        <f>IFERROR(__xludf.DUMMYFUNCTION("""COMPUTED_VALUE"""),1.1125335E7)</f>
        <v>11125335</v>
      </c>
      <c r="C1518" s="222" t="str">
        <f>IFERROR(__xludf.DUMMYFUNCTION("""COMPUTED_VALUE"""),"MDN PT3 P7I6 SKI-FAT SCATER ELANG UJUNG")</f>
        <v>MDN PT3 P7I6 SKI-FAT SCATER ELANG UJUNG</v>
      </c>
      <c r="D1518" s="222" t="str">
        <f>IFERROR(__xludf.DUMMYFUNCTION("""COMPUTED_VALUE"""),"REGIONAL I")</f>
        <v>REGIONAL I</v>
      </c>
      <c r="E1518" s="222" t="str">
        <f>IFERROR(__xludf.DUMMYFUNCTION("""COMPUTED_VALUE"""),"MEDAN")</f>
        <v>MEDAN</v>
      </c>
      <c r="F1518" s="222" t="str">
        <f>IFERROR(__xludf.DUMMYFUNCTION("""COMPUTED_VALUE"""),"SKI")</f>
        <v>SKI</v>
      </c>
      <c r="G1518" s="222" t="str">
        <f>IFERROR(__xludf.DUMMYFUNCTION("""COMPUTED_VALUE"""),"SUMBAGUT")</f>
        <v>SUMBAGUT</v>
      </c>
      <c r="H1518" s="222" t="str">
        <f>IFERROR(__xludf.DUMMYFUNCTION("""COMPUTED_VALUE"""),"MEDAN")</f>
        <v>MEDAN</v>
      </c>
      <c r="I1518" s="222" t="str">
        <f>IFERROR(__xludf.DUMMYFUNCTION("""COMPUTED_VALUE"""),"Batch 2")</f>
        <v>Batch 2</v>
      </c>
      <c r="J1518" s="225">
        <f>IFERROR(__xludf.DUMMYFUNCTION("""COMPUTED_VALUE"""),4.0)</f>
        <v>4</v>
      </c>
      <c r="K1518" s="224">
        <f>IFERROR(__xludf.DUMMYFUNCTION("""COMPUTED_VALUE"""),32.0)</f>
        <v>32</v>
      </c>
      <c r="L1518" s="226">
        <f>IFERROR(__xludf.DUMMYFUNCTION("""COMPUTED_VALUE"""),1328696.0)</f>
        <v>1328696</v>
      </c>
      <c r="M1518" s="227">
        <f>IFERROR(__xludf.DUMMYFUNCTION("""COMPUTED_VALUE"""),4.2518247E7)</f>
        <v>42518247</v>
      </c>
      <c r="N1518" s="222" t="str">
        <f>IFERROR(__xludf.DUMMYFUNCTION("""COMPUTED_VALUE"""),"PT UPENTEL INTERNASIONAL")</f>
        <v>PT UPENTEL INTERNASIONAL</v>
      </c>
      <c r="O1518" s="222" t="str">
        <f>IFERROR(__xludf.DUMMYFUNCTION("""COMPUTED_VALUE"""),"0. DROP")</f>
        <v>0. DROP</v>
      </c>
      <c r="P1518" s="222" t="str">
        <f>IFERROR(__xludf.DUMMYFUNCTION("""COMPUTED_VALUE"""),"0.4 CPP Tinggi Acc ED TIF")</f>
        <v>0.4 CPP Tinggi Acc ED TIF</v>
      </c>
      <c r="Q1518" s="222" t="str">
        <f>IFERROR(__xludf.DUMMYFUNCTION("""COMPUTED_VALUE"""),"13/02 Menunggu LoP MDN PT4 SKI-FAT JL.PELIKAN 14 12/02 Feeder Tidak Tembus")</f>
        <v>13/02 Menunggu LoP MDN PT4 SKI-FAT JL.PELIKAN 14 12/02 Feeder Tidak Tembus</v>
      </c>
      <c r="R1518" s="228"/>
      <c r="S1518" s="11"/>
      <c r="T1518" s="11"/>
      <c r="U1518" s="11"/>
      <c r="V1518" s="229"/>
      <c r="W1518" s="229"/>
      <c r="X1518" s="229" t="str">
        <f>IFERROR(__xludf.DUMMYFUNCTION("""COMPUTED_VALUE"""),"BELUM GOLIVE")</f>
        <v>BELUM GOLIVE</v>
      </c>
      <c r="Y1518" s="229"/>
      <c r="Z1518" s="229" t="str">
        <f>IFERROR(__xludf.DUMMYFUNCTION("""COMPUTED_VALUE"""),"#N/A")</f>
        <v>#N/A</v>
      </c>
      <c r="AA1518" s="229"/>
      <c r="AB1518" s="229"/>
      <c r="AC1518" s="229"/>
      <c r="AD1518" s="232"/>
      <c r="AE1518" s="233"/>
      <c r="AF1518" s="54" t="str">
        <f>IFERROR(__xludf.DUMMYFUNCTION("""COMPUTED_VALUE"""),"Draft BA DROP")</f>
        <v>Draft BA DROP</v>
      </c>
      <c r="AG1518" s="54"/>
      <c r="AH1518" s="54"/>
      <c r="AI1518" s="55" t="str">
        <f t="shared" si="154"/>
        <v/>
      </c>
      <c r="AW1518" s="234"/>
      <c r="BP1518" s="11"/>
      <c r="BQ1518" s="11"/>
      <c r="BR1518" s="235"/>
      <c r="BV1518" s="158"/>
      <c r="BY1518" s="158"/>
      <c r="CB1518" s="158"/>
    </row>
    <row r="1519" ht="18.0" hidden="1" customHeight="1">
      <c r="A1519" s="222">
        <f>IFERROR(__xludf.DUMMYFUNCTION("""COMPUTED_VALUE"""),2026.0)</f>
        <v>2026</v>
      </c>
      <c r="B1519" s="221">
        <f>IFERROR(__xludf.DUMMYFUNCTION("""COMPUTED_VALUE"""),1.1265902E7)</f>
        <v>11265902</v>
      </c>
      <c r="C1519" s="222" t="str">
        <f>IFERROR(__xludf.DUMMYFUNCTION("""COMPUTED_VALUE"""),"MDN PT3 PDB-FAF PERUM GRIYA PERMATA 2")</f>
        <v>MDN PT3 PDB-FAF PERUM GRIYA PERMATA 2</v>
      </c>
      <c r="D1519" s="222" t="str">
        <f>IFERROR(__xludf.DUMMYFUNCTION("""COMPUTED_VALUE"""),"REGIONAL I")</f>
        <v>REGIONAL I</v>
      </c>
      <c r="E1519" s="222" t="str">
        <f>IFERROR(__xludf.DUMMYFUNCTION("""COMPUTED_VALUE"""),"MEDAN")</f>
        <v>MEDAN</v>
      </c>
      <c r="F1519" s="222" t="str">
        <f>IFERROR(__xludf.DUMMYFUNCTION("""COMPUTED_VALUE"""),"PDB")</f>
        <v>PDB</v>
      </c>
      <c r="G1519" s="222" t="str">
        <f>IFERROR(__xludf.DUMMYFUNCTION("""COMPUTED_VALUE"""),"SUMBAGUT")</f>
        <v>SUMBAGUT</v>
      </c>
      <c r="H1519" s="222" t="str">
        <f>IFERROR(__xludf.DUMMYFUNCTION("""COMPUTED_VALUE"""),"MEDAN")</f>
        <v>MEDAN</v>
      </c>
      <c r="I1519" s="222" t="str">
        <f>IFERROR(__xludf.DUMMYFUNCTION("""COMPUTED_VALUE"""),"Batch 2")</f>
        <v>Batch 2</v>
      </c>
      <c r="J1519" s="225">
        <f>IFERROR(__xludf.DUMMYFUNCTION("""COMPUTED_VALUE"""),12.0)</f>
        <v>12</v>
      </c>
      <c r="K1519" s="224">
        <f>IFERROR(__xludf.DUMMYFUNCTION("""COMPUTED_VALUE"""),96.0)</f>
        <v>96</v>
      </c>
      <c r="L1519" s="226">
        <f>IFERROR(__xludf.DUMMYFUNCTION("""COMPUTED_VALUE"""),796736.0)</f>
        <v>796736</v>
      </c>
      <c r="M1519" s="227">
        <f>IFERROR(__xludf.DUMMYFUNCTION("""COMPUTED_VALUE"""),7.6486588E7)</f>
        <v>76486588</v>
      </c>
      <c r="N1519" s="222" t="str">
        <f>IFERROR(__xludf.DUMMYFUNCTION("""COMPUTED_VALUE"""),"PT FAJAR MITRA KRIDA ABADI")</f>
        <v>PT FAJAR MITRA KRIDA ABADI</v>
      </c>
      <c r="O1519" s="222" t="str">
        <f>IFERROR(__xludf.DUMMYFUNCTION("""COMPUTED_VALUE"""),"2. DONE AANWIJZING")</f>
        <v>2. DONE AANWIJZING</v>
      </c>
      <c r="P1519" s="222" t="str">
        <f>IFERROR(__xludf.DUMMYFUNCTION("""COMPUTED_VALUE"""),"2.10 Kendala - Feeder Rusak")</f>
        <v>2.10 Kendala - Feeder Rusak</v>
      </c>
      <c r="Q1519" s="222" t="str">
        <f>IFERROR(__xludf.DUMMYFUNCTION("""COMPUTED_VALUE"""),"01/11 Feeder Loss
(24/09) Perizinan Warga dan Kades / Lurah
(23/09) Perizinan Warga dan Kades / Lurah
15/09 proses aanwijzing")</f>
        <v>01/11 Feeder Loss
(24/09) Perizinan Warga dan Kades / Lurah
(23/09) Perizinan Warga dan Kades / Lurah
15/09 proses aanwijzing</v>
      </c>
      <c r="R1519" s="228"/>
      <c r="S1519" s="11"/>
      <c r="T1519" s="11"/>
      <c r="U1519" s="11"/>
      <c r="V1519" s="229"/>
      <c r="W1519" s="229"/>
      <c r="X1519" s="229" t="str">
        <f>IFERROR(__xludf.DUMMYFUNCTION("""COMPUTED_VALUE"""),"BELUM GOLIVE")</f>
        <v>BELUM GOLIVE</v>
      </c>
      <c r="Y1519" s="229"/>
      <c r="Z1519" s="229" t="str">
        <f>IFERROR(__xludf.DUMMYFUNCTION("""COMPUTED_VALUE"""),"#N/A")</f>
        <v>#N/A</v>
      </c>
      <c r="AA1519" s="229"/>
      <c r="AB1519" s="229"/>
      <c r="AC1519" s="229"/>
      <c r="AD1519" s="232"/>
      <c r="AE1519" s="233"/>
      <c r="AF1519" s="54"/>
      <c r="AG1519" s="54"/>
      <c r="AH1519" s="54"/>
      <c r="AI1519" s="55" t="str">
        <f t="shared" si="154"/>
        <v/>
      </c>
      <c r="AW1519" s="234"/>
      <c r="BP1519" s="11"/>
      <c r="BQ1519" s="11"/>
      <c r="BR1519" s="235"/>
      <c r="BV1519" s="158"/>
      <c r="BY1519" s="158"/>
      <c r="CB1519" s="158"/>
    </row>
    <row r="1520" ht="18.0" customHeight="1">
      <c r="A1520" s="222">
        <f>IFERROR(__xludf.DUMMYFUNCTION("""COMPUTED_VALUE"""),2026.0)</f>
        <v>2026</v>
      </c>
      <c r="B1520" s="221">
        <f>IFERROR(__xludf.DUMMYFUNCTION("""COMPUTED_VALUE"""),1.1024948E7)</f>
        <v>11024948</v>
      </c>
      <c r="C1520" s="222" t="str">
        <f>IFERROR(__xludf.DUMMYFUNCTION("""COMPUTED_VALUE"""),"RDR JPP PT3 BOTANICA SPRING HILL")</f>
        <v>RDR JPP PT3 BOTANICA SPRING HILL</v>
      </c>
      <c r="D1520" s="222" t="str">
        <f>IFERROR(__xludf.DUMMYFUNCTION("""COMPUTED_VALUE"""),"REGIONAL I")</f>
        <v>REGIONAL I</v>
      </c>
      <c r="E1520" s="222" t="str">
        <f>IFERROR(__xludf.DUMMYFUNCTION("""COMPUTED_VALUE"""),"RIDAR")</f>
        <v>RIDAR</v>
      </c>
      <c r="F1520" s="222" t="str">
        <f>IFERROR(__xludf.DUMMYFUNCTION("""COMPUTED_VALUE"""),"RBI")</f>
        <v>RBI</v>
      </c>
      <c r="G1520" s="222" t="str">
        <f>IFERROR(__xludf.DUMMYFUNCTION("""COMPUTED_VALUE"""),"SUMBAGTENG")</f>
        <v>SUMBAGTENG</v>
      </c>
      <c r="H1520" s="222" t="str">
        <f>IFERROR(__xludf.DUMMYFUNCTION("""COMPUTED_VALUE"""),"PEKANBARU")</f>
        <v>PEKANBARU</v>
      </c>
      <c r="I1520" s="222" t="str">
        <f>IFERROR(__xludf.DUMMYFUNCTION("""COMPUTED_VALUE"""),"Batch 2")</f>
        <v>Batch 2</v>
      </c>
      <c r="J1520" s="225">
        <f>IFERROR(__xludf.DUMMYFUNCTION("""COMPUTED_VALUE"""),10.0)</f>
        <v>10</v>
      </c>
      <c r="K1520" s="224">
        <f>IFERROR(__xludf.DUMMYFUNCTION("""COMPUTED_VALUE"""),80.0)</f>
        <v>80</v>
      </c>
      <c r="L1520" s="226">
        <f>IFERROR(__xludf.DUMMYFUNCTION("""COMPUTED_VALUE"""),619108.0)</f>
        <v>619108</v>
      </c>
      <c r="M1520" s="227">
        <f>IFERROR(__xludf.DUMMYFUNCTION("""COMPUTED_VALUE"""),4.9528605E7)</f>
        <v>49528605</v>
      </c>
      <c r="N1520" s="222" t="str">
        <f>IFERROR(__xludf.DUMMYFUNCTION("""COMPUTED_VALUE"""),"PT TIGA AKSES MANDIRI")</f>
        <v>PT TIGA AKSES MANDIRI</v>
      </c>
      <c r="O1520" s="222" t="str">
        <f>IFERROR(__xludf.DUMMYFUNCTION("""COMPUTED_VALUE"""),"0. DROP")</f>
        <v>0. DROP</v>
      </c>
      <c r="P1520" s="222" t="str">
        <f>IFERROR(__xludf.DUMMYFUNCTION("""COMPUTED_VALUE"""),"0.2 Tidak Dapat Izin Warga/Kades/Lurah/Developer")</f>
        <v>0.2 Tidak Dapat Izin Warga/Kades/Lurah/Developer</v>
      </c>
      <c r="Q1520" s="222" t="str">
        <f>IFERROR(__xludf.DUMMYFUNCTION("""COMPUTED_VALUE"""),"08/04  Drop menunggu developer (07/01) Persiapan")</f>
        <v>08/04  Drop menunggu developer (07/01) Persiapan</v>
      </c>
      <c r="R1520" s="228"/>
      <c r="S1520" s="11"/>
      <c r="T1520" s="11"/>
      <c r="U1520" s="11"/>
      <c r="V1520" s="229" t="str">
        <f>IFERROR(__xludf.DUMMYFUNCTION("""COMPUTED_VALUE"""),"ONDI EKA SAPUTRA")</f>
        <v>ONDI EKA SAPUTRA</v>
      </c>
      <c r="W1520" s="229" t="str">
        <f>IFERROR(__xludf.DUMMYFUNCTION("""COMPUTED_VALUE"""),"DESLITA RAHMADANI")</f>
        <v>DESLITA RAHMADANI</v>
      </c>
      <c r="X1520" s="229" t="str">
        <f>IFERROR(__xludf.DUMMYFUNCTION("""COMPUTED_VALUE"""),"BELUM GOLIVE")</f>
        <v>BELUM GOLIVE</v>
      </c>
      <c r="Y1520" s="229"/>
      <c r="Z1520" s="229" t="str">
        <f>IFERROR(__xludf.DUMMYFUNCTION("""COMPUTED_VALUE"""),"#N/A")</f>
        <v>#N/A</v>
      </c>
      <c r="AA1520" s="229"/>
      <c r="AB1520" s="229"/>
      <c r="AC1520" s="229"/>
      <c r="AD1520" s="232"/>
      <c r="AE1520" s="233"/>
      <c r="AF1520" s="54"/>
      <c r="AG1520" s="54"/>
      <c r="AH1520" s="54"/>
      <c r="AI1520" s="55" t="str">
        <f t="shared" si="154"/>
        <v/>
      </c>
      <c r="AW1520" s="234"/>
      <c r="BP1520" s="11"/>
      <c r="BQ1520" s="11"/>
      <c r="BR1520" s="235"/>
      <c r="BV1520" s="158"/>
      <c r="BY1520" s="158"/>
      <c r="CB1520" s="158"/>
    </row>
    <row r="1521" ht="18.0" hidden="1" customHeight="1">
      <c r="A1521" s="222">
        <f>IFERROR(__xludf.DUMMYFUNCTION("""COMPUTED_VALUE"""),2026.0)</f>
        <v>2026</v>
      </c>
      <c r="B1521" s="221">
        <f>IFERROR(__xludf.DUMMYFUNCTION("""COMPUTED_VALUE"""),1.1318232E7)</f>
        <v>11318232</v>
      </c>
      <c r="C1521" s="222" t="str">
        <f>IFERROR(__xludf.DUMMYFUNCTION("""COMPUTED_VALUE"""),"MDN PT3 P7I13 TTG-FL SEDAP MALAM HOUSE")</f>
        <v>MDN PT3 P7I13 TTG-FL SEDAP MALAM HOUSE</v>
      </c>
      <c r="D1521" s="222" t="str">
        <f>IFERROR(__xludf.DUMMYFUNCTION("""COMPUTED_VALUE"""),"REGIONAL I")</f>
        <v>REGIONAL I</v>
      </c>
      <c r="E1521" s="222" t="str">
        <f>IFERROR(__xludf.DUMMYFUNCTION("""COMPUTED_VALUE"""),"MEDAN")</f>
        <v>MEDAN</v>
      </c>
      <c r="F1521" s="222" t="str">
        <f>IFERROR(__xludf.DUMMYFUNCTION("""COMPUTED_VALUE"""),"TTG")</f>
        <v>TTG</v>
      </c>
      <c r="G1521" s="222" t="str">
        <f>IFERROR(__xludf.DUMMYFUNCTION("""COMPUTED_VALUE"""),"SUMBAGUT")</f>
        <v>SUMBAGUT</v>
      </c>
      <c r="H1521" s="222" t="str">
        <f>IFERROR(__xludf.DUMMYFUNCTION("""COMPUTED_VALUE"""),"MEDAN")</f>
        <v>MEDAN</v>
      </c>
      <c r="I1521" s="222" t="str">
        <f>IFERROR(__xludf.DUMMYFUNCTION("""COMPUTED_VALUE"""),"Batch 2")</f>
        <v>Batch 2</v>
      </c>
      <c r="J1521" s="225">
        <f>IFERROR(__xludf.DUMMYFUNCTION("""COMPUTED_VALUE"""),5.0)</f>
        <v>5</v>
      </c>
      <c r="K1521" s="224">
        <f>IFERROR(__xludf.DUMMYFUNCTION("""COMPUTED_VALUE"""),40.0)</f>
        <v>40</v>
      </c>
      <c r="L1521" s="226">
        <f>IFERROR(__xludf.DUMMYFUNCTION("""COMPUTED_VALUE"""),615645.0)</f>
        <v>615645</v>
      </c>
      <c r="M1521" s="227">
        <f>IFERROR(__xludf.DUMMYFUNCTION("""COMPUTED_VALUE"""),2.4625772E7)</f>
        <v>24625772</v>
      </c>
      <c r="N1521" s="222" t="str">
        <f>IFERROR(__xludf.DUMMYFUNCTION("""COMPUTED_VALUE"""),"SWAKELOLA")</f>
        <v>SWAKELOLA</v>
      </c>
      <c r="O1521" s="222" t="str">
        <f>IFERROR(__xludf.DUMMYFUNCTION("""COMPUTED_VALUE"""),"4. MATDEL")</f>
        <v>4. MATDEL</v>
      </c>
      <c r="P1521" s="222" t="str">
        <f>IFERROR(__xludf.DUMMYFUNCTION("""COMPUTED_VALUE"""),"4.3 Proses Kirim Mateial Kelokasi")</f>
        <v>4.3 Proses Kirim Mateial Kelokasi</v>
      </c>
      <c r="Q1521" s="222" t="str">
        <f>IFERROR(__xludf.DUMMYFUNCTION("""COMPUTED_VALUE"""),"20/04 konfirm comcase kades Hari ini, optimis GO
28/03 menunggu req material 27/02 menunggu eval 12/02 Aanwidzing OK, Perlu perizinan TB")</f>
        <v>20/04 konfirm comcase kades Hari ini, optimis GO
28/03 menunggu req material 27/02 menunggu eval 12/02 Aanwidzing OK, Perlu perizinan TB</v>
      </c>
      <c r="R1521" s="228">
        <f>IFERROR(__xludf.DUMMYFUNCTION("""COMPUTED_VALUE"""),46142.0)</f>
        <v>46142</v>
      </c>
      <c r="S1521" s="11"/>
      <c r="T1521" s="73"/>
      <c r="U1521" s="11"/>
      <c r="V1521" s="229" t="str">
        <f>IFERROR(__xludf.DUMMYFUNCTION("""COMPUTED_VALUE"""),"10/Apr/2026")</f>
        <v>10/Apr/2026</v>
      </c>
      <c r="W1521" s="229"/>
      <c r="X1521" s="229" t="str">
        <f>IFERROR(__xludf.DUMMYFUNCTION("""COMPUTED_VALUE"""),"BELUM GOLIVE")</f>
        <v>BELUM GOLIVE</v>
      </c>
      <c r="Y1521" s="229"/>
      <c r="Z1521" s="229" t="str">
        <f>IFERROR(__xludf.DUMMYFUNCTION("""COMPUTED_VALUE"""),"#N/A")</f>
        <v>#N/A</v>
      </c>
      <c r="AA1521" s="229"/>
      <c r="AB1521" s="229"/>
      <c r="AC1521" s="229"/>
      <c r="AD1521" s="232"/>
      <c r="AE1521" s="233"/>
      <c r="AF1521" s="54"/>
      <c r="AG1521" s="54"/>
      <c r="AH1521" s="54"/>
      <c r="AI1521" s="55" t="str">
        <f t="shared" si="154"/>
        <v/>
      </c>
      <c r="AW1521" s="234"/>
      <c r="BP1521" s="11"/>
      <c r="BQ1521" s="11"/>
      <c r="BR1521" s="235"/>
      <c r="BV1521" s="158"/>
      <c r="BY1521" s="158"/>
      <c r="CB1521" s="158"/>
    </row>
    <row r="1522" ht="18.0" hidden="1" customHeight="1">
      <c r="A1522" s="222">
        <f>IFERROR(__xludf.DUMMYFUNCTION("""COMPUTED_VALUE"""),2026.0)</f>
        <v>2026</v>
      </c>
      <c r="B1522" s="221">
        <f>IFERROR(__xludf.DUMMYFUNCTION("""COMPUTED_VALUE"""),1.0782071E7)</f>
        <v>10782071</v>
      </c>
      <c r="C1522" s="222" t="str">
        <f>IFERROR(__xludf.DUMMYFUNCTION("""COMPUTED_VALUE"""),"ACH PT3 DAR-FAE ANEUK LAOT RESIDENCE")</f>
        <v>ACH PT3 DAR-FAE ANEUK LAOT RESIDENCE</v>
      </c>
      <c r="D1522" s="222" t="str">
        <f>IFERROR(__xludf.DUMMYFUNCTION("""COMPUTED_VALUE"""),"REGIONAL I")</f>
        <v>REGIONAL I</v>
      </c>
      <c r="E1522" s="222" t="str">
        <f>IFERROR(__xludf.DUMMYFUNCTION("""COMPUTED_VALUE"""),"ACEH")</f>
        <v>ACEH</v>
      </c>
      <c r="F1522" s="222" t="str">
        <f>IFERROR(__xludf.DUMMYFUNCTION("""COMPUTED_VALUE"""),"DAR")</f>
        <v>DAR</v>
      </c>
      <c r="G1522" s="222" t="str">
        <f>IFERROR(__xludf.DUMMYFUNCTION("""COMPUTED_VALUE"""),"SUMBAGUT")</f>
        <v>SUMBAGUT</v>
      </c>
      <c r="H1522" s="222" t="str">
        <f>IFERROR(__xludf.DUMMYFUNCTION("""COMPUTED_VALUE"""),"BANDA ACEH")</f>
        <v>BANDA ACEH</v>
      </c>
      <c r="I1522" s="222" t="str">
        <f>IFERROR(__xludf.DUMMYFUNCTION("""COMPUTED_VALUE"""),"Batch 2")</f>
        <v>Batch 2</v>
      </c>
      <c r="J1522" s="225">
        <f>IFERROR(__xludf.DUMMYFUNCTION("""COMPUTED_VALUE"""),7.0)</f>
        <v>7</v>
      </c>
      <c r="K1522" s="224">
        <f>IFERROR(__xludf.DUMMYFUNCTION("""COMPUTED_VALUE"""),56.0)</f>
        <v>56</v>
      </c>
      <c r="L1522" s="226">
        <f>IFERROR(__xludf.DUMMYFUNCTION("""COMPUTED_VALUE"""),619095.0)</f>
        <v>619095</v>
      </c>
      <c r="M1522" s="227">
        <f>IFERROR(__xludf.DUMMYFUNCTION("""COMPUTED_VALUE"""),3.4669266E7)</f>
        <v>34669266</v>
      </c>
      <c r="N1522" s="222" t="str">
        <f>IFERROR(__xludf.DUMMYFUNCTION("""COMPUTED_VALUE"""),"PT NIAGA NUSANTARA DIVA")</f>
        <v>PT NIAGA NUSANTARA DIVA</v>
      </c>
      <c r="O1522" s="222" t="str">
        <f>IFERROR(__xludf.DUMMYFUNCTION("""COMPUTED_VALUE"""),"7. GOLIVE")</f>
        <v>7. GOLIVE</v>
      </c>
      <c r="P1522" s="222" t="str">
        <f>IFERROR(__xludf.DUMMYFUNCTION("""COMPUTED_VALUE"""),"7.2 Golive Full / OA / DONE OTB")</f>
        <v>7.2 Golive Full / OA / DONE OTB</v>
      </c>
      <c r="Q1522" s="222" t="str">
        <f>IFERROR(__xludf.DUMMYFUNCTION("""COMPUTED_VALUE"""),"(27/02) Persiapan Valin (24/02) Terminasi (19/02) Penarikan Kabel (15/02) Tanam Tiang (09/02) PO Material (29/01) menunggu aproval prelim (08/01) kendala feeder penuh.  FEEDER LBY-FM BUTUH REPAIR ATAU TAMBAH FEEDER (07/01) Persiapan")</f>
        <v>(27/02) Persiapan Valin (24/02) Terminasi (19/02) Penarikan Kabel (15/02) Tanam Tiang (09/02) PO Material (29/01) menunggu aproval prelim (08/01) kendala feeder penuh.  FEEDER LBY-FM BUTUH REPAIR ATAU TAMBAH FEEDER (07/01) Persiapan</v>
      </c>
      <c r="R1522" s="228">
        <f>IFERROR(__xludf.DUMMYFUNCTION("""COMPUTED_VALUE"""),46083.0)</f>
        <v>46083</v>
      </c>
      <c r="S1522" s="11" t="str">
        <f>IFERROR(__xludf.DUMMYFUNCTION("""COMPUTED_VALUE"""),"MAR")</f>
        <v>MAR</v>
      </c>
      <c r="T1522" s="11"/>
      <c r="U1522" s="11" t="str">
        <f>IFERROR(__xludf.DUMMYFUNCTION("""COMPUTED_VALUE"""),"W04-1042/2025")</f>
        <v>W04-1042/2025</v>
      </c>
      <c r="V1522" s="229"/>
      <c r="W1522" s="229"/>
      <c r="X1522" s="229" t="str">
        <f>IFERROR(__xludf.DUMMYFUNCTION("""COMPUTED_VALUE"""),"GOLIVE")</f>
        <v>GOLIVE</v>
      </c>
      <c r="Y1522" s="229" t="str">
        <f>IFERROR(__xludf.DUMMYFUNCTION("""COMPUTED_VALUE"""),"DONE")</f>
        <v>DONE</v>
      </c>
      <c r="Z1522" s="229" t="str">
        <f>IFERROR(__xludf.DUMMYFUNCTION("""COMPUTED_VALUE"""),"#N/A")</f>
        <v>#N/A</v>
      </c>
      <c r="AA1522" s="229">
        <f>IFERROR(__xludf.DUMMYFUNCTION("""COMPUTED_VALUE"""),7.0)</f>
        <v>7</v>
      </c>
      <c r="AB1522" s="229"/>
      <c r="AC1522" s="229" t="str">
        <f>IFERROR(__xludf.DUMMYFUNCTION("""COMPUTED_VALUE"""),"9134009#9134014")</f>
        <v>9134009#9134014</v>
      </c>
      <c r="AD1522" s="232">
        <f>IFERROR(__xludf.DUMMYFUNCTION("""COMPUTED_VALUE"""),56.0)</f>
        <v>56</v>
      </c>
      <c r="AE1522" s="233">
        <f>IFERROR(__xludf.DUMMYFUNCTION("""COMPUTED_VALUE"""),46083.0)</f>
        <v>46083</v>
      </c>
      <c r="AF1522" s="54"/>
      <c r="AG1522" s="54"/>
      <c r="AH1522" s="54">
        <v>46083.0</v>
      </c>
      <c r="AI1522" s="55">
        <f t="shared" si="154"/>
        <v>0</v>
      </c>
      <c r="AW1522" s="234"/>
      <c r="BP1522" s="11"/>
      <c r="BQ1522" s="11"/>
      <c r="BR1522" s="235"/>
      <c r="BV1522" s="158"/>
      <c r="BY1522" s="158"/>
      <c r="CB1522" s="158"/>
    </row>
    <row r="1523" ht="18.0" customHeight="1">
      <c r="A1523" s="222">
        <f>IFERROR(__xludf.DUMMYFUNCTION("""COMPUTED_VALUE"""),2026.0)</f>
        <v>2026</v>
      </c>
      <c r="B1523" s="221">
        <f>IFERROR(__xludf.DUMMYFUNCTION("""COMPUTED_VALUE"""),1.1384207E7)</f>
        <v>11384207</v>
      </c>
      <c r="C1523" s="222" t="str">
        <f>IFERROR(__xludf.DUMMYFUNCTION("""COMPUTED_VALUE"""),"SMB MD KOTA PADANG_13648")</f>
        <v>SMB MD KOTA PADANG_13648</v>
      </c>
      <c r="D1523" s="222" t="str">
        <f>IFERROR(__xludf.DUMMYFUNCTION("""COMPUTED_VALUE"""),"REGIONAL I")</f>
        <v>REGIONAL I</v>
      </c>
      <c r="E1523" s="222" t="str">
        <f>IFERROR(__xludf.DUMMYFUNCTION("""COMPUTED_VALUE"""),"SUMBAR")</f>
        <v>SUMBAR</v>
      </c>
      <c r="F1523" s="222" t="str">
        <f>IFERROR(__xludf.DUMMYFUNCTION("""COMPUTED_VALUE"""),"LBY")</f>
        <v>LBY</v>
      </c>
      <c r="G1523" s="222" t="str">
        <f>IFERROR(__xludf.DUMMYFUNCTION("""COMPUTED_VALUE"""),"SUMBAGTENG")</f>
        <v>SUMBAGTENG</v>
      </c>
      <c r="H1523" s="222" t="str">
        <f>IFERROR(__xludf.DUMMYFUNCTION("""COMPUTED_VALUE"""),"PADANG")</f>
        <v>PADANG</v>
      </c>
      <c r="I1523" s="222" t="str">
        <f>IFERROR(__xludf.DUMMYFUNCTION("""COMPUTED_VALUE"""),"Batch 2")</f>
        <v>Batch 2</v>
      </c>
      <c r="J1523" s="225">
        <f>IFERROR(__xludf.DUMMYFUNCTION("""COMPUTED_VALUE"""),3.0)</f>
        <v>3</v>
      </c>
      <c r="K1523" s="224">
        <f>IFERROR(__xludf.DUMMYFUNCTION("""COMPUTED_VALUE"""),24.0)</f>
        <v>24</v>
      </c>
      <c r="L1523" s="226">
        <f>IFERROR(__xludf.DUMMYFUNCTION("""COMPUTED_VALUE"""),618995.0)</f>
        <v>618995</v>
      </c>
      <c r="M1523" s="227">
        <f>IFERROR(__xludf.DUMMYFUNCTION("""COMPUTED_VALUE"""),1.4855864E7)</f>
        <v>14855864</v>
      </c>
      <c r="N1523" s="222" t="str">
        <f>IFERROR(__xludf.DUMMYFUNCTION("""COMPUTED_VALUE"""),"PT SANGKURIANG CIPTA JAYA TEKNINDO")</f>
        <v>PT SANGKURIANG CIPTA JAYA TEKNINDO</v>
      </c>
      <c r="O1523" s="222" t="str">
        <f>IFERROR(__xludf.DUMMYFUNCTION("""COMPUTED_VALUE"""),"0. DROP")</f>
        <v>0. DROP</v>
      </c>
      <c r="P1523" s="222" t="str">
        <f>IFERROR(__xludf.DUMMYFUNCTION("""COMPUTED_VALUE"""),"0.3 Feeder Full")</f>
        <v>0.3 Feeder Full</v>
      </c>
      <c r="Q1523" s="222" t="str">
        <f>IFERROR(__xludf.DUMMYFUNCTION("""COMPUTED_VALUE"""),"(26/01) kendala feeder ppj-fh full")</f>
        <v>(26/01) kendala feeder ppj-fh full</v>
      </c>
      <c r="R1523" s="228"/>
      <c r="S1523" s="11"/>
      <c r="T1523" s="11"/>
      <c r="U1523" s="11"/>
      <c r="V1523" s="229"/>
      <c r="W1523" s="229"/>
      <c r="X1523" s="229" t="str">
        <f>IFERROR(__xludf.DUMMYFUNCTION("""COMPUTED_VALUE"""),"BELUM GOLIVE")</f>
        <v>BELUM GOLIVE</v>
      </c>
      <c r="Y1523" s="229"/>
      <c r="Z1523" s="229" t="str">
        <f>IFERROR(__xludf.DUMMYFUNCTION("""COMPUTED_VALUE"""),"#N/A")</f>
        <v>#N/A</v>
      </c>
      <c r="AA1523" s="229"/>
      <c r="AB1523" s="229"/>
      <c r="AC1523" s="229"/>
      <c r="AD1523" s="232"/>
      <c r="AE1523" s="233"/>
      <c r="AF1523" s="54" t="str">
        <f>IFERROR(__xludf.DUMMYFUNCTION("""COMPUTED_VALUE"""),"Draft BA DROP")</f>
        <v>Draft BA DROP</v>
      </c>
      <c r="AG1523" s="54"/>
      <c r="AH1523" s="54"/>
      <c r="AI1523" s="55" t="str">
        <f t="shared" si="154"/>
        <v/>
      </c>
      <c r="AW1523" s="234"/>
      <c r="BP1523" s="11"/>
      <c r="BQ1523" s="11"/>
      <c r="BR1523" s="235"/>
      <c r="BV1523" s="158"/>
      <c r="BY1523" s="158"/>
      <c r="CB1523" s="158"/>
    </row>
    <row r="1524" ht="18.0" customHeight="1">
      <c r="A1524" s="222">
        <f>IFERROR(__xludf.DUMMYFUNCTION("""COMPUTED_VALUE"""),2026.0)</f>
        <v>2026</v>
      </c>
      <c r="B1524" s="221">
        <f>IFERROR(__xludf.DUMMYFUNCTION("""COMPUTED_VALUE"""),1.1157426E7)</f>
        <v>11157426</v>
      </c>
      <c r="C1524" s="222" t="str">
        <f>IFERROR(__xludf.DUMMYFUNCTION("""COMPUTED_VALUE"""),"SMB P1I1 MD SCATTER EKOR LUBUK PPJ")</f>
        <v>SMB P1I1 MD SCATTER EKOR LUBUK PPJ</v>
      </c>
      <c r="D1524" s="222" t="str">
        <f>IFERROR(__xludf.DUMMYFUNCTION("""COMPUTED_VALUE"""),"REGIONAL I")</f>
        <v>REGIONAL I</v>
      </c>
      <c r="E1524" s="222" t="str">
        <f>IFERROR(__xludf.DUMMYFUNCTION("""COMPUTED_VALUE"""),"SUMBAR")</f>
        <v>SUMBAR</v>
      </c>
      <c r="F1524" s="222" t="str">
        <f>IFERROR(__xludf.DUMMYFUNCTION("""COMPUTED_VALUE"""),"PPJ")</f>
        <v>PPJ</v>
      </c>
      <c r="G1524" s="222" t="str">
        <f>IFERROR(__xludf.DUMMYFUNCTION("""COMPUTED_VALUE"""),"SUMBAGTENG")</f>
        <v>SUMBAGTENG</v>
      </c>
      <c r="H1524" s="222" t="str">
        <f>IFERROR(__xludf.DUMMYFUNCTION("""COMPUTED_VALUE"""),"BUKIT TINGGI")</f>
        <v>BUKIT TINGGI</v>
      </c>
      <c r="I1524" s="222" t="str">
        <f>IFERROR(__xludf.DUMMYFUNCTION("""COMPUTED_VALUE"""),"Batch 2")</f>
        <v>Batch 2</v>
      </c>
      <c r="J1524" s="225">
        <f>IFERROR(__xludf.DUMMYFUNCTION("""COMPUTED_VALUE"""),2.0)</f>
        <v>2</v>
      </c>
      <c r="K1524" s="224">
        <f>IFERROR(__xludf.DUMMYFUNCTION("""COMPUTED_VALUE"""),16.0)</f>
        <v>16</v>
      </c>
      <c r="L1524" s="226">
        <f>IFERROR(__xludf.DUMMYFUNCTION("""COMPUTED_VALUE"""),618987.0)</f>
        <v>618987</v>
      </c>
      <c r="M1524" s="227">
        <f>IFERROR(__xludf.DUMMYFUNCTION("""COMPUTED_VALUE"""),9903791.0)</f>
        <v>9903791</v>
      </c>
      <c r="N1524" s="222" t="str">
        <f>IFERROR(__xludf.DUMMYFUNCTION("""COMPUTED_VALUE"""),"PT RATRI PRIMA MANDIRI")</f>
        <v>PT RATRI PRIMA MANDIRI</v>
      </c>
      <c r="O1524" s="222" t="str">
        <f>IFERROR(__xludf.DUMMYFUNCTION("""COMPUTED_VALUE"""),"0. DROP")</f>
        <v>0. DROP</v>
      </c>
      <c r="P1524" s="222" t="str">
        <f>IFERROR(__xludf.DUMMYFUNCTION("""COMPUTED_VALUE"""),"0.3 Feeder Full")</f>
        <v>0.3 Feeder Full</v>
      </c>
      <c r="Q1524" s="222" t="str">
        <f>IFERROR(__xludf.DUMMYFUNCTION("""COMPUTED_VALUE"""),"(26/01) kendala feeder ppj-fh full")</f>
        <v>(26/01) kendala feeder ppj-fh full</v>
      </c>
      <c r="R1524" s="228"/>
      <c r="S1524" s="11"/>
      <c r="T1524" s="11"/>
      <c r="U1524" s="11"/>
      <c r="V1524" s="229"/>
      <c r="W1524" s="229"/>
      <c r="X1524" s="229" t="str">
        <f>IFERROR(__xludf.DUMMYFUNCTION("""COMPUTED_VALUE"""),"BELUM GOLIVE")</f>
        <v>BELUM GOLIVE</v>
      </c>
      <c r="Y1524" s="229"/>
      <c r="Z1524" s="229" t="str">
        <f>IFERROR(__xludf.DUMMYFUNCTION("""COMPUTED_VALUE"""),"#N/A")</f>
        <v>#N/A</v>
      </c>
      <c r="AA1524" s="229"/>
      <c r="AB1524" s="229"/>
      <c r="AC1524" s="229"/>
      <c r="AD1524" s="232"/>
      <c r="AE1524" s="233"/>
      <c r="AF1524" s="54" t="str">
        <f>IFERROR(__xludf.DUMMYFUNCTION("""COMPUTED_VALUE"""),"Draft BA DROP")</f>
        <v>Draft BA DROP</v>
      </c>
      <c r="AG1524" s="54"/>
      <c r="AH1524" s="54"/>
      <c r="AI1524" s="55" t="str">
        <f t="shared" si="154"/>
        <v/>
      </c>
      <c r="AW1524" s="234"/>
      <c r="BP1524" s="11"/>
      <c r="BQ1524" s="11"/>
      <c r="BR1524" s="235"/>
      <c r="BV1524" s="158"/>
      <c r="BY1524" s="158"/>
      <c r="CB1524" s="158"/>
    </row>
    <row r="1525" ht="18.0" customHeight="1">
      <c r="A1525" s="222">
        <f>IFERROR(__xludf.DUMMYFUNCTION("""COMPUTED_VALUE"""),2026.0)</f>
        <v>2026</v>
      </c>
      <c r="B1525" s="221">
        <f>IFERROR(__xludf.DUMMYFUNCTION("""COMPUTED_VALUE"""),1.2365165E7)</f>
        <v>12365165</v>
      </c>
      <c r="C1525" s="222" t="str">
        <f>IFERROR(__xludf.DUMMYFUNCTION("""COMPUTED_VALUE"""),"SMB-PT3-ODC-PUK-FB-PDG PAR_11384")</f>
        <v>SMB-PT3-ODC-PUK-FB-PDG PAR_11384</v>
      </c>
      <c r="D1525" s="222" t="str">
        <f>IFERROR(__xludf.DUMMYFUNCTION("""COMPUTED_VALUE"""),"REGIONAL I")</f>
        <v>REGIONAL I</v>
      </c>
      <c r="E1525" s="222" t="str">
        <f>IFERROR(__xludf.DUMMYFUNCTION("""COMPUTED_VALUE"""),"SUMBAR")</f>
        <v>SUMBAR</v>
      </c>
      <c r="F1525" s="222" t="str">
        <f>IFERROR(__xludf.DUMMYFUNCTION("""COMPUTED_VALUE"""),"PUK")</f>
        <v>PUK</v>
      </c>
      <c r="G1525" s="222" t="str">
        <f>IFERROR(__xludf.DUMMYFUNCTION("""COMPUTED_VALUE"""),"SUMBAGTENG")</f>
        <v>SUMBAGTENG</v>
      </c>
      <c r="H1525" s="222" t="str">
        <f>IFERROR(__xludf.DUMMYFUNCTION("""COMPUTED_VALUE"""),"BUKIT TINGGI")</f>
        <v>BUKIT TINGGI</v>
      </c>
      <c r="I1525" s="222" t="str">
        <f>IFERROR(__xludf.DUMMYFUNCTION("""COMPUTED_VALUE"""),"Batch 2")</f>
        <v>Batch 2</v>
      </c>
      <c r="J1525" s="225">
        <f>IFERROR(__xludf.DUMMYFUNCTION("""COMPUTED_VALUE"""),2.0)</f>
        <v>2</v>
      </c>
      <c r="K1525" s="224">
        <f>IFERROR(__xludf.DUMMYFUNCTION("""COMPUTED_VALUE"""),16.0)</f>
        <v>16</v>
      </c>
      <c r="L1525" s="226">
        <f>IFERROR(__xludf.DUMMYFUNCTION("""COMPUTED_VALUE"""),618541.0)</f>
        <v>618541</v>
      </c>
      <c r="M1525" s="227">
        <f>IFERROR(__xludf.DUMMYFUNCTION("""COMPUTED_VALUE"""),9896644.0)</f>
        <v>9896644</v>
      </c>
      <c r="N1525" s="222" t="str">
        <f>IFERROR(__xludf.DUMMYFUNCTION("""COMPUTED_VALUE"""),"PT PUTRI JAYA AKSES")</f>
        <v>PT PUTRI JAYA AKSES</v>
      </c>
      <c r="O1525" s="222" t="str">
        <f>IFERROR(__xludf.DUMMYFUNCTION("""COMPUTED_VALUE"""),"0. DROP")</f>
        <v>0. DROP</v>
      </c>
      <c r="P1525" s="222" t="str">
        <f>IFERROR(__xludf.DUMMYFUNCTION("""COMPUTED_VALUE"""),"0.5 DROP TSEL - Acc ED TIF")</f>
        <v>0.5 DROP TSEL - Acc ED TIF</v>
      </c>
      <c r="Q1525" s="222" t="str">
        <f>IFERROR(__xludf.DUMMYFUNCTION("""COMPUTED_VALUE"""),"(05/03) PROSES CREATE PID  (02/03) proses aanwijziing (26/01) DROP, permintaan tsel (tidak potensial) ")</f>
        <v>(05/03) PROSES CREATE PID  (02/03) proses aanwijziing (26/01) DROP, permintaan tsel (tidak potensial) </v>
      </c>
      <c r="R1525" s="228"/>
      <c r="S1525" s="11"/>
      <c r="T1525" s="11"/>
      <c r="U1525" s="11" t="str">
        <f>IFERROR(__xludf.DUMMYFUNCTION("""COMPUTED_VALUE"""),"TIF-5479/2026  26KT03R107-0014")</f>
        <v>TIF-5479/2026  26KT03R107-0014</v>
      </c>
      <c r="V1525" s="229" t="str">
        <f>IFERROR(__xludf.DUMMYFUNCTION("""COMPUTED_VALUE"""),"JANUAR RIZAL")</f>
        <v>JANUAR RIZAL</v>
      </c>
      <c r="W1525" s="229" t="str">
        <f>IFERROR(__xludf.DUMMYFUNCTION("""COMPUTED_VALUE"""),"MELKO NARWADI")</f>
        <v>MELKO NARWADI</v>
      </c>
      <c r="X1525" s="229" t="str">
        <f>IFERROR(__xludf.DUMMYFUNCTION("""COMPUTED_VALUE"""),"BELUM GOLIVE")</f>
        <v>BELUM GOLIVE</v>
      </c>
      <c r="Y1525" s="229"/>
      <c r="Z1525" s="229" t="str">
        <f>IFERROR(__xludf.DUMMYFUNCTION("""COMPUTED_VALUE"""),"#N/A")</f>
        <v>#N/A</v>
      </c>
      <c r="AA1525" s="229"/>
      <c r="AB1525" s="229"/>
      <c r="AC1525" s="229"/>
      <c r="AD1525" s="232"/>
      <c r="AE1525" s="233"/>
      <c r="AF1525" s="54"/>
      <c r="AG1525" s="54"/>
      <c r="AH1525" s="54"/>
      <c r="AI1525" s="55" t="str">
        <f t="shared" si="154"/>
        <v/>
      </c>
      <c r="AW1525" s="234"/>
      <c r="BP1525" s="11"/>
      <c r="BQ1525" s="11"/>
      <c r="BR1525" s="235"/>
      <c r="BV1525" s="158"/>
      <c r="BY1525" s="158"/>
      <c r="CB1525" s="158"/>
    </row>
    <row r="1526" ht="18.0" hidden="1" customHeight="1">
      <c r="A1526" s="222">
        <f>IFERROR(__xludf.DUMMYFUNCTION("""COMPUTED_VALUE"""),2026.0)</f>
        <v>2026</v>
      </c>
      <c r="B1526" s="221">
        <f>IFERROR(__xludf.DUMMYFUNCTION("""COMPUTED_VALUE"""),1.1268305E7)</f>
        <v>11268305</v>
      </c>
      <c r="C1526" s="222" t="str">
        <f>IFERROR(__xludf.DUMMYFUNCTION("""COMPUTED_VALUE"""),"MDN PT3 PUB-FF KOTA MEDAN_10627")</f>
        <v>MDN PT3 PUB-FF KOTA MEDAN_10627</v>
      </c>
      <c r="D1526" s="222" t="str">
        <f>IFERROR(__xludf.DUMMYFUNCTION("""COMPUTED_VALUE"""),"REGIONAL I")</f>
        <v>REGIONAL I</v>
      </c>
      <c r="E1526" s="222" t="str">
        <f>IFERROR(__xludf.DUMMYFUNCTION("""COMPUTED_VALUE"""),"MEDAN")</f>
        <v>MEDAN</v>
      </c>
      <c r="F1526" s="222" t="str">
        <f>IFERROR(__xludf.DUMMYFUNCTION("""COMPUTED_VALUE"""),"PUB")</f>
        <v>PUB</v>
      </c>
      <c r="G1526" s="222" t="str">
        <f>IFERROR(__xludf.DUMMYFUNCTION("""COMPUTED_VALUE"""),"SUMBAGUT")</f>
        <v>SUMBAGUT</v>
      </c>
      <c r="H1526" s="222" t="str">
        <f>IFERROR(__xludf.DUMMYFUNCTION("""COMPUTED_VALUE"""),"MEDAN")</f>
        <v>MEDAN</v>
      </c>
      <c r="I1526" s="222" t="str">
        <f>IFERROR(__xludf.DUMMYFUNCTION("""COMPUTED_VALUE"""),"Batch 2")</f>
        <v>Batch 2</v>
      </c>
      <c r="J1526" s="225">
        <f>IFERROR(__xludf.DUMMYFUNCTION("""COMPUTED_VALUE"""),7.0)</f>
        <v>7</v>
      </c>
      <c r="K1526" s="224">
        <f>IFERROR(__xludf.DUMMYFUNCTION("""COMPUTED_VALUE"""),56.0)</f>
        <v>56</v>
      </c>
      <c r="L1526" s="226">
        <f>IFERROR(__xludf.DUMMYFUNCTION("""COMPUTED_VALUE"""),618496.0)</f>
        <v>618496</v>
      </c>
      <c r="M1526" s="227">
        <f>IFERROR(__xludf.DUMMYFUNCTION("""COMPUTED_VALUE"""),3.4635734E7)</f>
        <v>34635734</v>
      </c>
      <c r="N1526" s="222" t="str">
        <f>IFERROR(__xludf.DUMMYFUNCTION("""COMPUTED_VALUE"""),"PT M JUSUF AND SONS")</f>
        <v>PT M JUSUF AND SONS</v>
      </c>
      <c r="O1526" s="222" t="str">
        <f>IFERROR(__xludf.DUMMYFUNCTION("""COMPUTED_VALUE"""),"2. DONE AANWIJZING")</f>
        <v>2. DONE AANWIJZING</v>
      </c>
      <c r="P1526" s="222" t="str">
        <f>IFERROR(__xludf.DUMMYFUNCTION("""COMPUTED_VALUE"""),"2.10 Kendala - Feeder Rusak")</f>
        <v>2.10 Kendala - Feeder Rusak</v>
      </c>
      <c r="Q1526" s="222" t="str">
        <f>IFERROR(__xludf.DUMMYFUNCTION("""COMPUTED_VALUE"""),"08/03 Feeder Redti 10/04 feeder habis
09/04 order ke mitra mjs
08/04 create pelimpahan")</f>
        <v>08/03 Feeder Redti 10/04 feeder habis
09/04 order ke mitra mjs
08/04 create pelimpahan</v>
      </c>
      <c r="R1526" s="228"/>
      <c r="S1526" s="11"/>
      <c r="T1526" s="11"/>
      <c r="U1526" s="11"/>
      <c r="V1526" s="229"/>
      <c r="W1526" s="229"/>
      <c r="X1526" s="229" t="str">
        <f>IFERROR(__xludf.DUMMYFUNCTION("""COMPUTED_VALUE"""),"BELUM GOLIVE")</f>
        <v>BELUM GOLIVE</v>
      </c>
      <c r="Y1526" s="229"/>
      <c r="Z1526" s="229" t="str">
        <f>IFERROR(__xludf.DUMMYFUNCTION("""COMPUTED_VALUE"""),"#N/A")</f>
        <v>#N/A</v>
      </c>
      <c r="AA1526" s="229"/>
      <c r="AB1526" s="229"/>
      <c r="AC1526" s="229"/>
      <c r="AD1526" s="232"/>
      <c r="AE1526" s="233"/>
      <c r="AF1526" s="54"/>
      <c r="AG1526" s="54"/>
      <c r="AH1526" s="54"/>
      <c r="AI1526" s="55" t="str">
        <f t="shared" si="154"/>
        <v/>
      </c>
      <c r="AW1526" s="234"/>
      <c r="BP1526" s="11"/>
      <c r="BQ1526" s="11"/>
      <c r="BR1526" s="235"/>
      <c r="BV1526" s="158"/>
      <c r="BY1526" s="158"/>
      <c r="CB1526" s="158"/>
    </row>
    <row r="1527" ht="18.0" hidden="1" customHeight="1">
      <c r="A1527" s="222">
        <f>IFERROR(__xludf.DUMMYFUNCTION("""COMPUTED_VALUE"""),2026.0)</f>
        <v>2026</v>
      </c>
      <c r="B1527" s="221">
        <f>IFERROR(__xludf.DUMMYFUNCTION("""COMPUTED_VALUE"""),1.2268055E7)</f>
        <v>12268055</v>
      </c>
      <c r="C1527" s="222" t="str">
        <f>IFERROR(__xludf.DUMMYFUNCTION("""COMPUTED_VALUE"""),"SMU PT3 RAP-FBB CLUST LABUHANBATU_11475")</f>
        <v>SMU PT3 RAP-FBB CLUST LABUHANBATU_11475</v>
      </c>
      <c r="D1527" s="222" t="str">
        <f>IFERROR(__xludf.DUMMYFUNCTION("""COMPUTED_VALUE"""),"REGIONAL I")</f>
        <v>REGIONAL I</v>
      </c>
      <c r="E1527" s="222" t="str">
        <f>IFERROR(__xludf.DUMMYFUNCTION("""COMPUTED_VALUE"""),"SUMUT")</f>
        <v>SUMUT</v>
      </c>
      <c r="F1527" s="222" t="str">
        <f>IFERROR(__xludf.DUMMYFUNCTION("""COMPUTED_VALUE"""),"RAP")</f>
        <v>RAP</v>
      </c>
      <c r="G1527" s="222" t="str">
        <f>IFERROR(__xludf.DUMMYFUNCTION("""COMPUTED_VALUE"""),"SUMBAGUT")</f>
        <v>SUMBAGUT</v>
      </c>
      <c r="H1527" s="222" t="str">
        <f>IFERROR(__xludf.DUMMYFUNCTION("""COMPUTED_VALUE"""),"RANTAU PRAPAT")</f>
        <v>RANTAU PRAPAT</v>
      </c>
      <c r="I1527" s="222" t="str">
        <f>IFERROR(__xludf.DUMMYFUNCTION("""COMPUTED_VALUE"""),"Batch 2")</f>
        <v>Batch 2</v>
      </c>
      <c r="J1527" s="225">
        <f>IFERROR(__xludf.DUMMYFUNCTION("""COMPUTED_VALUE"""),29.0)</f>
        <v>29</v>
      </c>
      <c r="K1527" s="224">
        <f>IFERROR(__xludf.DUMMYFUNCTION("""COMPUTED_VALUE"""),232.0)</f>
        <v>232</v>
      </c>
      <c r="L1527" s="226">
        <f>IFERROR(__xludf.DUMMYFUNCTION("""COMPUTED_VALUE"""),617335.0)</f>
        <v>617335</v>
      </c>
      <c r="M1527" s="227">
        <f>IFERROR(__xludf.DUMMYFUNCTION("""COMPUTED_VALUE"""),1.43221533E8)</f>
        <v>143221533</v>
      </c>
      <c r="N1527" s="222" t="str">
        <f>IFERROR(__xludf.DUMMYFUNCTION("""COMPUTED_VALUE"""),"PT UPAYA TEKNIK")</f>
        <v>PT UPAYA TEKNIK</v>
      </c>
      <c r="O1527" s="222" t="str">
        <f>IFERROR(__xludf.DUMMYFUNCTION("""COMPUTED_VALUE"""),"0. DROP")</f>
        <v>0. DROP</v>
      </c>
      <c r="P1527" s="222" t="str">
        <f>IFERROR(__xludf.DUMMYFUNCTION("""COMPUTED_VALUE"""),"0.2 Tidak Dapat Izin Warga/Kades/Lurah/Developer")</f>
        <v>0.2 Tidak Dapat Izin Warga/Kades/Lurah/Developer</v>
      </c>
      <c r="Q1527" s="222" t="str">
        <f>IFERROR(__xludf.DUMMYFUNCTION("""COMPUTED_VALUE"""),"21/04 tidak dapat izin deploper, confirm tsel drop 20/4 menunggu konfir team tsel terkait peralihan rute kendala pihak perumah minta 15 juta, 16/4 menunggu konfir team tsel terkait peralihan rute kendala pihak perumah minta 15 juta, 15/4 menunggu konfir t"&amp;"eam tsel terkait peralihan rute kendala pihak perumah minta 15 juta, 14/4 menunggu konfir team tsel terkait peralihan rute kendala pihak perumah minta 15 juta, 13/4 menunggu konfir team tsel terkait peralihan rute kendala pihak perumah minta 15 juta, 9/4 "&amp;"menunggu konfir team tsel terkait peralihan rute kendala pihak perumah minta 15 juta, 8/4 menunggu konfir team tsel terkait peralihan rute kendala pihak perumah minta 15 juta, 6/4 menunggu konfir team tsel terkait peralihan rute kendala pihak perumah mint"&amp;"a 15 juta, 
5/4 menunggu tim turun ke lokasi terkait plan alih rute, 1/4 menunggu tim turun ke lokasi terkait plan alih rute, 31/3 menunggu tim turun ke lokasi terkait plan alih rute, 30/3 kendala pihak perumahan dano permai meminta kompensasi 15 jt, plan"&amp;" alih rute selasa 31 maret,27/3 kendala pihak perumahan dano permai meminta kompensasi 15 jt, plan alih rute senin 30 maret, 26/3 plan  fu  terkait izin dev perumahan dano permai  setelah lebaran selesai, 22/3 plan  fu  terkait izin dev perumahan dano per"&amp;"mai  setelah lebaran selesai, 18/3 plan besok fu  terkait izin dev perumahan dano permai  setelah lebaran selesai, 21 batang, 9 odp, 16/3 plan besok fu kembali terkait izin dev perumahan dano permai 21 batang, 9 odp,16/3 plan besok fu kembali terkait izin"&amp;" dev perumahan dano permai 21 batang, 9 odp, 13/3 plan fu kembali terkait ijin desa, 11/3 plan fu kembali terkait ijin desa, 10/3 menunggu info kelanjutan lop dikarnakan lop utama drop dikarnakana cpp tinggi, 6/3 menunggu info kelanjutan lop dikarnakan lo"&amp;"p utama drop dikarnakana cpp tinggi, 5/3 plan hari ini mengurus perizinan ke desa paralel boq kml survey,  4/3 plan hari ini mengurus perizinan ke desa paralel boq kml survey, 3/3 plan hari ini mengurus perizinan ke desa paralel boq kml survey, 2/3 plan h"&amp;"ari ini mengurus perizinan ke desa pararel req material, 27/2 req pengantar izin desa paralel req matrial,  25/2 req pengantar izin desa paralel req matrial,  24/2 req pengantar izin desa paralel req matrial, 22/2 plan cek cpp, 20/2 plan submit boq kml 21"&amp;" feb,19/2 menunggu boq kml survey , 18/2 menunggu boq kml survey , 16/2 menunggu boq kml survey 13/2 menunggu boq kml survey est submit paling lambat minggu 15 feb, 12/2 menunggu boq kml survey, 11/2 menunggu boq kml survey, 10/2 menunggu boq kml survey, "&amp;" 9/2 menunggu boq kml survey, 6/2 team hari ini menuju lokasi untuk survey est paling lambat 8 feb, 5/2 menunggu boq kml survey, 3/2 menunggu boq kml survey, 2/2 menunggu boq kml survey, 1/2 menunggu boq kml survey, 30/1 menunggu boq kml survey,  28/1 men"&amp;"unggu boq kml survey, 27/1 menunggu  boq kml survey paralel hasil cek otdr, 26/1 menunggu  boq kml survey,23/1 menunggu boq kml survey.22/1 menunggu boq kml survey ( menunggu odc dari project lain), 21/1 menunggu boq kml survey, 20/1 menunggu boq kml surv"&amp;"ey, 19/1 plan survey 20/1, 15/1 plan survey 20/1, 14/1 plan survey 19/1 s/d 21/1, 13/1 menunggu info kelanjutan dari mitra, (08/01) Proses aanwijziing (07/01) Persiapan")</f>
        <v>21/04 tidak dapat izin deploper, confirm tsel drop 20/4 menunggu konfir team tsel terkait peralihan rute kendala pihak perumah minta 15 juta, 16/4 menunggu konfir team tsel terkait peralihan rute kendala pihak perumah minta 15 juta, 15/4 menunggu konfir team tsel terkait peralihan rute kendala pihak perumah minta 15 juta, 14/4 menunggu konfir team tsel terkait peralihan rute kendala pihak perumah minta 15 juta, 13/4 menunggu konfir team tsel terkait peralihan rute kendala pihak perumah minta 15 juta, 9/4 menunggu konfir team tsel terkait peralihan rute kendala pihak perumah minta 15 juta, 8/4 menunggu konfir team tsel terkait peralihan rute kendala pihak perumah minta 15 juta, 6/4 menunggu konfir team tsel terkait peralihan rute kendala pihak perumah minta 15 juta, 
5/4 menunggu tim turun ke lokasi terkait plan alih rute, 1/4 menunggu tim turun ke lokasi terkait plan alih rute, 31/3 menunggu tim turun ke lokasi terkait plan alih rute, 30/3 kendala pihak perumahan dano permai meminta kompensasi 15 jt, plan alih rute selasa 31 maret,27/3 kendala pihak perumahan dano permai meminta kompensasi 15 jt, plan alih rute senin 30 maret, 26/3 plan  fu  terkait izin dev perumahan dano permai  setelah lebaran selesai, 22/3 plan  fu  terkait izin dev perumahan dano permai  setelah lebaran selesai, 18/3 plan besok fu  terkait izin dev perumahan dano permai  setelah lebaran selesai, 21 batang, 9 odp, 16/3 plan besok fu kembali terkait izin dev perumahan dano permai 21 batang, 9 odp,16/3 plan besok fu kembali terkait izin dev perumahan dano permai 21 batang, 9 odp, 13/3 plan fu kembali terkait ijin desa, 11/3 plan fu kembali terkait ijin desa, 10/3 menunggu info kelanjutan lop dikarnakan lop utama drop dikarnakana cpp tinggi, 6/3 menunggu info kelanjutan lop dikarnakan lop utama drop dikarnakana cpp tinggi, 5/3 plan hari ini mengurus perizinan ke desa paralel boq kml survey,  4/3 plan hari ini mengurus perizinan ke desa paralel boq kml survey, 3/3 plan hari ini mengurus perizinan ke desa paralel boq kml survey, 2/3 plan hari ini mengurus perizinan ke desa pararel req material, 27/2 req pengantar izin desa paralel req matrial,  25/2 req pengantar izin desa paralel req matrial,  24/2 req pengantar izin desa paralel req matrial, 22/2 plan cek cpp, 20/2 plan submit boq kml 21 feb,19/2 menunggu boq kml survey , 18/2 menunggu boq kml survey , 16/2 menunggu boq kml survey 13/2 menunggu boq kml survey est submit paling lambat minggu 15 feb, 12/2 menunggu boq kml survey, 11/2 menunggu boq kml survey, 10/2 menunggu boq kml survey,  9/2 menunggu boq kml survey, 6/2 team hari ini menuju lokasi untuk survey est paling lambat 8 feb, 5/2 menunggu boq kml survey, 3/2 menunggu boq kml survey, 2/2 menunggu boq kml survey, 1/2 menunggu boq kml survey, 30/1 menunggu boq kml survey,  28/1 menunggu boq kml survey, 27/1 menunggu  boq kml survey paralel hasil cek otdr, 26/1 menunggu  boq kml survey,23/1 menunggu boq kml survey.22/1 menunggu boq kml survey ( menunggu odc dari project lain), 21/1 menunggu boq kml survey, 20/1 menunggu boq kml survey, 19/1 plan survey 20/1, 15/1 plan survey 20/1, 14/1 plan survey 19/1 s/d 21/1, 13/1 menunggu info kelanjutan dari mitra, (08/01) Proses aanwijziing (07/01) Persiapan</v>
      </c>
      <c r="R1527" s="228"/>
      <c r="S1527" s="11"/>
      <c r="T1527" s="11"/>
      <c r="U1527" s="11" t="str">
        <f>IFERROR(__xludf.DUMMYFUNCTION("""COMPUTED_VALUE"""),"W03-1698/2025")</f>
        <v>W03-1698/2025</v>
      </c>
      <c r="V1527" s="229"/>
      <c r="W1527" s="229"/>
      <c r="X1527" s="229" t="str">
        <f>IFERROR(__xludf.DUMMYFUNCTION("""COMPUTED_VALUE"""),"BELUM GOLIVE")</f>
        <v>BELUM GOLIVE</v>
      </c>
      <c r="Y1527" s="229"/>
      <c r="Z1527" s="229" t="str">
        <f>IFERROR(__xludf.DUMMYFUNCTION("""COMPUTED_VALUE"""),"#N/A")</f>
        <v>#N/A</v>
      </c>
      <c r="AA1527" s="229"/>
      <c r="AB1527" s="229"/>
      <c r="AC1527" s="229"/>
      <c r="AD1527" s="232"/>
      <c r="AE1527" s="233"/>
      <c r="AF1527" s="54"/>
      <c r="AG1527" s="54"/>
      <c r="AH1527" s="54"/>
      <c r="AI1527" s="55" t="str">
        <f t="shared" si="154"/>
        <v/>
      </c>
      <c r="AW1527" s="234"/>
      <c r="BP1527" s="11"/>
      <c r="BQ1527" s="11"/>
      <c r="BR1527" s="235"/>
      <c r="BV1527" s="158"/>
      <c r="BY1527" s="158"/>
      <c r="CB1527" s="158"/>
    </row>
    <row r="1528" ht="18.0" customHeight="1">
      <c r="A1528" s="222">
        <f>IFERROR(__xludf.DUMMYFUNCTION("""COMPUTED_VALUE"""),2026.0)</f>
        <v>2026</v>
      </c>
      <c r="B1528" s="221">
        <f>IFERROR(__xludf.DUMMYFUNCTION("""COMPUTED_VALUE"""),1.2496347E7)</f>
        <v>12496347</v>
      </c>
      <c r="C1528" s="222" t="str">
        <f>IFERROR(__xludf.DUMMYFUNCTION("""COMPUTED_VALUE"""),"SMB PT3-BSO-FF AGAM_159844_H2_2025")</f>
        <v>SMB PT3-BSO-FF AGAM_159844_H2_2025</v>
      </c>
      <c r="D1528" s="222" t="str">
        <f>IFERROR(__xludf.DUMMYFUNCTION("""COMPUTED_VALUE"""),"REGIONAL I")</f>
        <v>REGIONAL I</v>
      </c>
      <c r="E1528" s="222" t="str">
        <f>IFERROR(__xludf.DUMMYFUNCTION("""COMPUTED_VALUE"""),"SUMBAR")</f>
        <v>SUMBAR</v>
      </c>
      <c r="F1528" s="222" t="str">
        <f>IFERROR(__xludf.DUMMYFUNCTION("""COMPUTED_VALUE"""),"BSO")</f>
        <v>BSO</v>
      </c>
      <c r="G1528" s="222" t="str">
        <f>IFERROR(__xludf.DUMMYFUNCTION("""COMPUTED_VALUE"""),"SUMBAGTENG")</f>
        <v>SUMBAGTENG</v>
      </c>
      <c r="H1528" s="222" t="str">
        <f>IFERROR(__xludf.DUMMYFUNCTION("""COMPUTED_VALUE"""),"BUKIT TINGGI")</f>
        <v>BUKIT TINGGI</v>
      </c>
      <c r="I1528" s="222" t="str">
        <f>IFERROR(__xludf.DUMMYFUNCTION("""COMPUTED_VALUE"""),"Batch 2")</f>
        <v>Batch 2</v>
      </c>
      <c r="J1528" s="225">
        <f>IFERROR(__xludf.DUMMYFUNCTION("""COMPUTED_VALUE"""),2.0)</f>
        <v>2</v>
      </c>
      <c r="K1528" s="224">
        <f>IFERROR(__xludf.DUMMYFUNCTION("""COMPUTED_VALUE"""),16.0)</f>
        <v>16</v>
      </c>
      <c r="L1528" s="226">
        <f>IFERROR(__xludf.DUMMYFUNCTION("""COMPUTED_VALUE"""),616964.0)</f>
        <v>616964</v>
      </c>
      <c r="M1528" s="227">
        <f>IFERROR(__xludf.DUMMYFUNCTION("""COMPUTED_VALUE"""),9871409.0)</f>
        <v>9871409</v>
      </c>
      <c r="N1528" s="222" t="str">
        <f>IFERROR(__xludf.DUMMYFUNCTION("""COMPUTED_VALUE"""),"PT GARINDO TECHNO MANDIRI")</f>
        <v>PT GARINDO TECHNO MANDIRI</v>
      </c>
      <c r="O1528" s="222" t="str">
        <f>IFERROR(__xludf.DUMMYFUNCTION("""COMPUTED_VALUE"""),"0. DROP")</f>
        <v>0. DROP</v>
      </c>
      <c r="P1528" s="222" t="str">
        <f>IFERROR(__xludf.DUMMYFUNCTION("""COMPUTED_VALUE"""),"0.5 DROP TSEL - Acc ED TIF")</f>
        <v>0.5 DROP TSEL - Acc ED TIF</v>
      </c>
      <c r="Q1528"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1528" s="228"/>
      <c r="S1528" s="11"/>
      <c r="T1528" s="11"/>
      <c r="U1528" s="11" t="str">
        <f>IFERROR(__xludf.DUMMYFUNCTION("""COMPUTED_VALUE"""),"TIF-5949/2026  26KT03R107-0031")</f>
        <v>TIF-5949/2026  26KT03R107-0031</v>
      </c>
      <c r="V1528" s="229" t="str">
        <f>IFERROR(__xludf.DUMMYFUNCTION("""COMPUTED_VALUE"""),"DELPA YANDA")</f>
        <v>DELPA YANDA</v>
      </c>
      <c r="W1528" s="229" t="str">
        <f>IFERROR(__xludf.DUMMYFUNCTION("""COMPUTED_VALUE"""),"MELKO NARWADI")</f>
        <v>MELKO NARWADI</v>
      </c>
      <c r="X1528" s="229" t="str">
        <f>IFERROR(__xludf.DUMMYFUNCTION("""COMPUTED_VALUE"""),"BELUM GOLIVE")</f>
        <v>BELUM GOLIVE</v>
      </c>
      <c r="Y1528" s="229"/>
      <c r="Z1528" s="229" t="str">
        <f>IFERROR(__xludf.DUMMYFUNCTION("""COMPUTED_VALUE"""),"#N/A")</f>
        <v>#N/A</v>
      </c>
      <c r="AA1528" s="229"/>
      <c r="AB1528" s="229"/>
      <c r="AC1528" s="229"/>
      <c r="AD1528" s="232"/>
      <c r="AE1528" s="233"/>
      <c r="AF1528" s="54"/>
      <c r="AG1528" s="54"/>
      <c r="AH1528" s="54"/>
      <c r="AI1528" s="55" t="str">
        <f t="shared" si="154"/>
        <v/>
      </c>
      <c r="AW1528" s="234"/>
      <c r="BP1528" s="11"/>
      <c r="BQ1528" s="11"/>
      <c r="BR1528" s="235"/>
      <c r="BV1528" s="158"/>
      <c r="BY1528" s="158"/>
      <c r="CB1528" s="158"/>
    </row>
    <row r="1529" ht="18.0" hidden="1" customHeight="1">
      <c r="A1529" s="222">
        <f>IFERROR(__xludf.DUMMYFUNCTION("""COMPUTED_VALUE"""),2026.0)</f>
        <v>2026</v>
      </c>
      <c r="B1529" s="221">
        <f>IFERROR(__xludf.DUMMYFUNCTION("""COMPUTED_VALUE"""),1.1187861E7)</f>
        <v>11187861</v>
      </c>
      <c r="C1529" s="222" t="str">
        <f>IFERROR(__xludf.DUMMYFUNCTION("""COMPUTED_VALUE"""),"MDN PT3 P7I11 PDB-FS JL.FLAMBOYAN XI")</f>
        <v>MDN PT3 P7I11 PDB-FS JL.FLAMBOYAN XI</v>
      </c>
      <c r="D1529" s="222" t="str">
        <f>IFERROR(__xludf.DUMMYFUNCTION("""COMPUTED_VALUE"""),"REGIONAL I")</f>
        <v>REGIONAL I</v>
      </c>
      <c r="E1529" s="222" t="str">
        <f>IFERROR(__xludf.DUMMYFUNCTION("""COMPUTED_VALUE"""),"MEDAN")</f>
        <v>MEDAN</v>
      </c>
      <c r="F1529" s="222" t="str">
        <f>IFERROR(__xludf.DUMMYFUNCTION("""COMPUTED_VALUE"""),"PDB")</f>
        <v>PDB</v>
      </c>
      <c r="G1529" s="222" t="str">
        <f>IFERROR(__xludf.DUMMYFUNCTION("""COMPUTED_VALUE"""),"SUMBAGUT")</f>
        <v>SUMBAGUT</v>
      </c>
      <c r="H1529" s="222" t="str">
        <f>IFERROR(__xludf.DUMMYFUNCTION("""COMPUTED_VALUE"""),"MEDAN")</f>
        <v>MEDAN</v>
      </c>
      <c r="I1529" s="222" t="str">
        <f>IFERROR(__xludf.DUMMYFUNCTION("""COMPUTED_VALUE"""),"Batch 2")</f>
        <v>Batch 2</v>
      </c>
      <c r="J1529" s="225">
        <f>IFERROR(__xludf.DUMMYFUNCTION("""COMPUTED_VALUE"""),18.0)</f>
        <v>18</v>
      </c>
      <c r="K1529" s="224">
        <f>IFERROR(__xludf.DUMMYFUNCTION("""COMPUTED_VALUE"""),144.0)</f>
        <v>144</v>
      </c>
      <c r="L1529" s="226">
        <f>IFERROR(__xludf.DUMMYFUNCTION("""COMPUTED_VALUE"""),616178.0)</f>
        <v>616178</v>
      </c>
      <c r="M1529" s="227">
        <f>IFERROR(__xludf.DUMMYFUNCTION("""COMPUTED_VALUE"""),8.8729557E7)</f>
        <v>88729557</v>
      </c>
      <c r="N1529" s="222" t="str">
        <f>IFERROR(__xludf.DUMMYFUNCTION("""COMPUTED_VALUE"""),"PT CAHAYA PERMATA MANDIRI")</f>
        <v>PT CAHAYA PERMATA MANDIRI</v>
      </c>
      <c r="O1529" s="222" t="str">
        <f>IFERROR(__xludf.DUMMYFUNCTION("""COMPUTED_VALUE"""),"0. DROP")</f>
        <v>0. DROP</v>
      </c>
      <c r="P1529" s="222" t="str">
        <f>IFERROR(__xludf.DUMMYFUNCTION("""COMPUTED_VALUE"""),"0.1 Double Order")</f>
        <v>0.1 Double Order</v>
      </c>
      <c r="Q1529" s="222" t="str">
        <f>IFERROR(__xludf.DUMMYFUNCTION("""COMPUTED_VALUE"""),"28/01 GOLIVE")</f>
        <v>28/01 GOLIVE</v>
      </c>
      <c r="R1529" s="228"/>
      <c r="S1529" s="11"/>
      <c r="T1529" s="11"/>
      <c r="U1529" s="11"/>
      <c r="V1529" s="229"/>
      <c r="W1529" s="229"/>
      <c r="X1529" s="229" t="str">
        <f>IFERROR(__xludf.DUMMYFUNCTION("""COMPUTED_VALUE"""),"BELUM GOLIVE")</f>
        <v>BELUM GOLIVE</v>
      </c>
      <c r="Y1529" s="229"/>
      <c r="Z1529" s="229" t="str">
        <f>IFERROR(__xludf.DUMMYFUNCTION("""COMPUTED_VALUE"""),"#N/A")</f>
        <v>#N/A</v>
      </c>
      <c r="AA1529" s="229"/>
      <c r="AB1529" s="229"/>
      <c r="AC1529" s="229"/>
      <c r="AD1529" s="232"/>
      <c r="AE1529" s="233"/>
      <c r="AF1529" s="54" t="str">
        <f>IFERROR(__xludf.DUMMYFUNCTION("""COMPUTED_VALUE"""),"Draft BA DROP")</f>
        <v>Draft BA DROP</v>
      </c>
      <c r="AG1529" s="54"/>
      <c r="AH1529" s="54"/>
      <c r="AI1529" s="55" t="str">
        <f t="shared" si="154"/>
        <v/>
      </c>
      <c r="AW1529" s="234"/>
      <c r="BP1529" s="11"/>
      <c r="BQ1529" s="11"/>
      <c r="BR1529" s="235"/>
      <c r="BV1529" s="158"/>
      <c r="BY1529" s="158"/>
      <c r="CB1529" s="158"/>
    </row>
    <row r="1530" ht="18.0" customHeight="1">
      <c r="A1530" s="222">
        <f>IFERROR(__xludf.DUMMYFUNCTION("""COMPUTED_VALUE"""),2026.0)</f>
        <v>2026</v>
      </c>
      <c r="B1530" s="221">
        <f>IFERROR(__xludf.DUMMYFUNCTION("""COMPUTED_VALUE"""),1.2528417E7)</f>
        <v>12528417</v>
      </c>
      <c r="C1530" s="222" t="str">
        <f>IFERROR(__xludf.DUMMYFUNCTION("""COMPUTED_VALUE"""),"RKP TSEL PT3 SLU-FEA 250_458_4014")</f>
        <v>RKP TSEL PT3 SLU-FEA 250_458_4014</v>
      </c>
      <c r="D1530" s="222" t="str">
        <f>IFERROR(__xludf.DUMMYFUNCTION("""COMPUTED_VALUE"""),"REGIONAL I")</f>
        <v>REGIONAL I</v>
      </c>
      <c r="E1530" s="222" t="str">
        <f>IFERROR(__xludf.DUMMYFUNCTION("""COMPUTED_VALUE"""),"RIKEP")</f>
        <v>RIKEP</v>
      </c>
      <c r="F1530" s="222" t="str">
        <f>IFERROR(__xludf.DUMMYFUNCTION("""COMPUTED_VALUE"""),"SLU")</f>
        <v>SLU</v>
      </c>
      <c r="G1530" s="222" t="str">
        <f>IFERROR(__xludf.DUMMYFUNCTION("""COMPUTED_VALUE"""),"SUMBAGTENG")</f>
        <v>SUMBAGTENG</v>
      </c>
      <c r="H1530" s="222" t="str">
        <f>IFERROR(__xludf.DUMMYFUNCTION("""COMPUTED_VALUE"""),"BATAM")</f>
        <v>BATAM</v>
      </c>
      <c r="I1530" s="222" t="str">
        <f>IFERROR(__xludf.DUMMYFUNCTION("""COMPUTED_VALUE"""),"Batch 2")</f>
        <v>Batch 2</v>
      </c>
      <c r="J1530" s="225">
        <f>IFERROR(__xludf.DUMMYFUNCTION("""COMPUTED_VALUE"""),3.0)</f>
        <v>3</v>
      </c>
      <c r="K1530" s="224">
        <f>IFERROR(__xludf.DUMMYFUNCTION("""COMPUTED_VALUE"""),24.0)</f>
        <v>24</v>
      </c>
      <c r="L1530" s="226">
        <f>IFERROR(__xludf.DUMMYFUNCTION("""COMPUTED_VALUE"""),615429.0)</f>
        <v>615429</v>
      </c>
      <c r="M1530" s="227">
        <f>IFERROR(__xludf.DUMMYFUNCTION("""COMPUTED_VALUE"""),1.4770274E7)</f>
        <v>14770274</v>
      </c>
      <c r="N1530" s="222" t="str">
        <f>IFERROR(__xludf.DUMMYFUNCTION("""COMPUTED_VALUE"""),"PT MITRA HOSINDO SEJAHTERA")</f>
        <v>PT MITRA HOSINDO SEJAHTERA</v>
      </c>
      <c r="O1530" s="222" t="str">
        <f>IFERROR(__xludf.DUMMYFUNCTION("""COMPUTED_VALUE"""),"0. DROP")</f>
        <v>0. DROP</v>
      </c>
      <c r="P1530" s="222" t="str">
        <f>IFERROR(__xludf.DUMMYFUNCTION("""COMPUTED_VALUE"""),"0.2 Tidak Dapat Izin Warga/Kades/Lurah/Developer")</f>
        <v>0.2 Tidak Dapat Izin Warga/Kades/Lurah/Developer</v>
      </c>
      <c r="Q1530" s="222" t="str">
        <f>IFERROR(__xludf.DUMMYFUNCTION("""COMPUTED_VALUE"""),"16/02 izin di tolak oleh pihak perumahan. 13/02 Peralihan mitra ke MHS. 28/01 butuh izin cutting dari arah ODC perumahan sebelah gardenia, plan perizinan tanggal 30 Jan.  28/01 Mitra tripola belum ada PIC untuk anwijzing. 21/03 plan survey minggu ini 25 J"&amp;"an")</f>
        <v>16/02 izin di tolak oleh pihak perumahan. 13/02 Peralihan mitra ke MHS. 28/01 butuh izin cutting dari arah ODC perumahan sebelah gardenia, plan perizinan tanggal 30 Jan.  28/01 Mitra tripola belum ada PIC untuk anwijzing. 21/03 plan survey minggu ini 25 Jan</v>
      </c>
      <c r="R1530" s="228"/>
      <c r="S1530" s="11"/>
      <c r="T1530" s="11"/>
      <c r="U1530" s="11"/>
      <c r="V1530" s="229" t="str">
        <f>IFERROR(__xludf.DUMMYFUNCTION("""COMPUTED_VALUE"""),"MUHAMMAD RIDHO FALFO")</f>
        <v>MUHAMMAD RIDHO FALFO</v>
      </c>
      <c r="W1530" s="229" t="str">
        <f>IFERROR(__xludf.DUMMYFUNCTION("""COMPUTED_VALUE"""),"LEVITA INDRIYANI")</f>
        <v>LEVITA INDRIYANI</v>
      </c>
      <c r="X1530" s="229" t="str">
        <f>IFERROR(__xludf.DUMMYFUNCTION("""COMPUTED_VALUE"""),"BELUM GOLIVE")</f>
        <v>BELUM GOLIVE</v>
      </c>
      <c r="Y1530" s="229"/>
      <c r="Z1530" s="229" t="str">
        <f>IFERROR(__xludf.DUMMYFUNCTION("""COMPUTED_VALUE"""),"#N/A")</f>
        <v>#N/A</v>
      </c>
      <c r="AA1530" s="229"/>
      <c r="AB1530" s="229"/>
      <c r="AC1530" s="229"/>
      <c r="AD1530" s="232"/>
      <c r="AE1530" s="233"/>
      <c r="AF1530" s="54" t="str">
        <f>IFERROR(__xludf.DUMMYFUNCTION("""COMPUTED_VALUE"""),"Draft BA DROP")</f>
        <v>Draft BA DROP</v>
      </c>
      <c r="AG1530" s="54"/>
      <c r="AH1530" s="54"/>
      <c r="AI1530" s="55" t="str">
        <f t="shared" si="154"/>
        <v/>
      </c>
      <c r="AW1530" s="234"/>
      <c r="BP1530" s="11"/>
      <c r="BQ1530" s="11"/>
      <c r="BR1530" s="235"/>
      <c r="BV1530" s="158"/>
      <c r="BY1530" s="158"/>
      <c r="CB1530" s="158"/>
    </row>
    <row r="1531" ht="18.0" hidden="1" customHeight="1">
      <c r="A1531" s="222">
        <f>IFERROR(__xludf.DUMMYFUNCTION("""COMPUTED_VALUE"""),2026.0)</f>
        <v>2026</v>
      </c>
      <c r="B1531" s="221">
        <f>IFERROR(__xludf.DUMMYFUNCTION("""COMPUTED_VALUE"""),1.1165066E7)</f>
        <v>11165066</v>
      </c>
      <c r="C1531" s="222" t="str">
        <f>IFERROR(__xludf.DUMMYFUNCTION("""COMPUTED_VALUE"""),"MDN PT3 P7I5 TMU-FQ GRAHA PENGABDIAN")</f>
        <v>MDN PT3 P7I5 TMU-FQ GRAHA PENGABDIAN</v>
      </c>
      <c r="D1531" s="222" t="str">
        <f>IFERROR(__xludf.DUMMYFUNCTION("""COMPUTED_VALUE"""),"REGIONAL I")</f>
        <v>REGIONAL I</v>
      </c>
      <c r="E1531" s="222" t="str">
        <f>IFERROR(__xludf.DUMMYFUNCTION("""COMPUTED_VALUE"""),"MEDAN")</f>
        <v>MEDAN</v>
      </c>
      <c r="F1531" s="222" t="str">
        <f>IFERROR(__xludf.DUMMYFUNCTION("""COMPUTED_VALUE"""),"TMU")</f>
        <v>TMU</v>
      </c>
      <c r="G1531" s="222" t="str">
        <f>IFERROR(__xludf.DUMMYFUNCTION("""COMPUTED_VALUE"""),"SUMBAGUT")</f>
        <v>SUMBAGUT</v>
      </c>
      <c r="H1531" s="222" t="str">
        <f>IFERROR(__xludf.DUMMYFUNCTION("""COMPUTED_VALUE"""),"MEDAN")</f>
        <v>MEDAN</v>
      </c>
      <c r="I1531" s="222" t="str">
        <f>IFERROR(__xludf.DUMMYFUNCTION("""COMPUTED_VALUE"""),"Batch 2")</f>
        <v>Batch 2</v>
      </c>
      <c r="J1531" s="225">
        <f>IFERROR(__xludf.DUMMYFUNCTION("""COMPUTED_VALUE"""),2.0)</f>
        <v>2</v>
      </c>
      <c r="K1531" s="224">
        <f>IFERROR(__xludf.DUMMYFUNCTION("""COMPUTED_VALUE"""),16.0)</f>
        <v>16</v>
      </c>
      <c r="L1531" s="226">
        <f>IFERROR(__xludf.DUMMYFUNCTION("""COMPUTED_VALUE"""),887192.0)</f>
        <v>887192</v>
      </c>
      <c r="M1531" s="227">
        <f>IFERROR(__xludf.DUMMYFUNCTION("""COMPUTED_VALUE"""),1.419507E7)</f>
        <v>14195070</v>
      </c>
      <c r="N1531" s="222" t="str">
        <f>IFERROR(__xludf.DUMMYFUNCTION("""COMPUTED_VALUE"""),"PT DUL JAYA TAMA")</f>
        <v>PT DUL JAYA TAMA</v>
      </c>
      <c r="O1531" s="222" t="str">
        <f>IFERROR(__xludf.DUMMYFUNCTION("""COMPUTED_VALUE"""),"0. DROP")</f>
        <v>0. DROP</v>
      </c>
      <c r="P1531" s="222" t="str">
        <f>IFERROR(__xludf.DUMMYFUNCTION("""COMPUTED_VALUE"""),"0.3 Feeder Full")</f>
        <v>0.3 Feeder Full</v>
      </c>
      <c r="Q1531" s="222" t="str">
        <f>IFERROR(__xludf.DUMMYFUNCTION("""COMPUTED_VALUE"""),"08/03 Feeder Penuh 12/02 DS Tidak Tembus 29/01 Done Order, lnjut Aanwidzing")</f>
        <v>08/03 Feeder Penuh 12/02 DS Tidak Tembus 29/01 Done Order, lnjut Aanwidzing</v>
      </c>
      <c r="R1531" s="228"/>
      <c r="S1531" s="11"/>
      <c r="T1531" s="11"/>
      <c r="U1531" s="11"/>
      <c r="V1531" s="229"/>
      <c r="W1531" s="229"/>
      <c r="X1531" s="229" t="str">
        <f>IFERROR(__xludf.DUMMYFUNCTION("""COMPUTED_VALUE"""),"BELUM GOLIVE")</f>
        <v>BELUM GOLIVE</v>
      </c>
      <c r="Y1531" s="229"/>
      <c r="Z1531" s="229" t="str">
        <f>IFERROR(__xludf.DUMMYFUNCTION("""COMPUTED_VALUE"""),"#N/A")</f>
        <v>#N/A</v>
      </c>
      <c r="AA1531" s="229"/>
      <c r="AB1531" s="229"/>
      <c r="AC1531" s="229"/>
      <c r="AD1531" s="232"/>
      <c r="AE1531" s="233"/>
      <c r="AF1531" s="54"/>
      <c r="AG1531" s="54"/>
      <c r="AH1531" s="54"/>
      <c r="AI1531" s="55" t="str">
        <f t="shared" si="154"/>
        <v/>
      </c>
      <c r="AW1531" s="234"/>
      <c r="BP1531" s="11"/>
      <c r="BQ1531" s="11"/>
      <c r="BR1531" s="235"/>
      <c r="BV1531" s="158"/>
      <c r="BY1531" s="158"/>
      <c r="CB1531" s="158"/>
    </row>
    <row r="1532" ht="18.0" customHeight="1">
      <c r="A1532" s="222">
        <f>IFERROR(__xludf.DUMMYFUNCTION("""COMPUTED_VALUE"""),2026.0)</f>
        <v>2026</v>
      </c>
      <c r="B1532" s="221">
        <f>IFERROR(__xludf.DUMMYFUNCTION("""COMPUTED_VALUE"""),1.0945436E7)</f>
        <v>10945436</v>
      </c>
      <c r="C1532" s="222" t="str">
        <f>IFERROR(__xludf.DUMMYFUNCTION("""COMPUTED_VALUE"""),"SMB P7I1 Tarok Randah, Pelangai - Pelangai")</f>
        <v>SMB P7I1 Tarok Randah, Pelangai - Pelangai</v>
      </c>
      <c r="D1532" s="222" t="str">
        <f>IFERROR(__xludf.DUMMYFUNCTION("""COMPUTED_VALUE"""),"REGIONAL I")</f>
        <v>REGIONAL I</v>
      </c>
      <c r="E1532" s="222" t="str">
        <f>IFERROR(__xludf.DUMMYFUNCTION("""COMPUTED_VALUE"""),"SUMBAR")</f>
        <v>SUMBAR</v>
      </c>
      <c r="F1532" s="222" t="str">
        <f>IFERROR(__xludf.DUMMYFUNCTION("""COMPUTED_VALUE"""),"BLS")</f>
        <v>BLS</v>
      </c>
      <c r="G1532" s="222" t="str">
        <f>IFERROR(__xludf.DUMMYFUNCTION("""COMPUTED_VALUE"""),"SUMBAGTENG")</f>
        <v>SUMBAGTENG</v>
      </c>
      <c r="H1532" s="222" t="str">
        <f>IFERROR(__xludf.DUMMYFUNCTION("""COMPUTED_VALUE"""),"PADANG")</f>
        <v>PADANG</v>
      </c>
      <c r="I1532" s="222" t="str">
        <f>IFERROR(__xludf.DUMMYFUNCTION("""COMPUTED_VALUE"""),"Batch 2")</f>
        <v>Batch 2</v>
      </c>
      <c r="J1532" s="225">
        <f>IFERROR(__xludf.DUMMYFUNCTION("""COMPUTED_VALUE"""),6.0)</f>
        <v>6</v>
      </c>
      <c r="K1532" s="224">
        <f>IFERROR(__xludf.DUMMYFUNCTION("""COMPUTED_VALUE"""),48.0)</f>
        <v>48</v>
      </c>
      <c r="L1532" s="226">
        <f>IFERROR(__xludf.DUMMYFUNCTION("""COMPUTED_VALUE"""),614405.0)</f>
        <v>614405</v>
      </c>
      <c r="M1532" s="227">
        <f>IFERROR(__xludf.DUMMYFUNCTION("""COMPUTED_VALUE"""),2.9491427E7)</f>
        <v>29491427</v>
      </c>
      <c r="N1532" s="222" t="str">
        <f>IFERROR(__xludf.DUMMYFUNCTION("""COMPUTED_VALUE"""),"PT ACERO CETHA METALINDO")</f>
        <v>PT ACERO CETHA METALINDO</v>
      </c>
      <c r="O1532" s="222" t="str">
        <f>IFERROR(__xludf.DUMMYFUNCTION("""COMPUTED_VALUE"""),"0. DROP")</f>
        <v>0. DROP</v>
      </c>
      <c r="P1532" s="222" t="str">
        <f>IFERROR(__xludf.DUMMYFUNCTION("""COMPUTED_VALUE"""),"0.5 DROP TSEL - Acc ED TIF")</f>
        <v>0.5 DROP TSEL - Acc ED TIF</v>
      </c>
      <c r="Q1532" s="222" t="str">
        <f>IFERROR(__xludf.DUMMYFUNCTION("""COMPUTED_VALUE"""),"(05/03) Doubel order MD PELANGAI,KOTO Vlll PELANGAI,TAROK RANDAH,PELANGAI  07/03 (02/03) proses aanwijziing (26/01) DROP, permintaan tsel (tidak potensial) ")</f>
        <v>(05/03) Doubel order MD PELANGAI,KOTO Vlll PELANGAI,TAROK RANDAH,PELANGAI  07/03 (02/03) proses aanwijziing (26/01) DROP, permintaan tsel (tidak potensial) </v>
      </c>
      <c r="R1532" s="228"/>
      <c r="S1532" s="11"/>
      <c r="T1532" s="11"/>
      <c r="U1532" s="11"/>
      <c r="V1532" s="229" t="str">
        <f>IFERROR(__xludf.DUMMYFUNCTION("""COMPUTED_VALUE"""),"PRAMADIO SEPWILMAN")</f>
        <v>PRAMADIO SEPWILMAN</v>
      </c>
      <c r="W1532" s="229" t="str">
        <f>IFERROR(__xludf.DUMMYFUNCTION("""COMPUTED_VALUE"""),"MELKO NARWADI")</f>
        <v>MELKO NARWADI</v>
      </c>
      <c r="X1532" s="229" t="str">
        <f>IFERROR(__xludf.DUMMYFUNCTION("""COMPUTED_VALUE"""),"BELUM GOLIVE")</f>
        <v>BELUM GOLIVE</v>
      </c>
      <c r="Y1532" s="229"/>
      <c r="Z1532" s="229" t="str">
        <f>IFERROR(__xludf.DUMMYFUNCTION("""COMPUTED_VALUE"""),"#N/A")</f>
        <v>#N/A</v>
      </c>
      <c r="AA1532" s="229"/>
      <c r="AB1532" s="229"/>
      <c r="AC1532" s="229"/>
      <c r="AD1532" s="232"/>
      <c r="AE1532" s="233"/>
      <c r="AF1532" s="54"/>
      <c r="AG1532" s="54"/>
      <c r="AH1532" s="54"/>
      <c r="AI1532" s="55" t="str">
        <f t="shared" si="154"/>
        <v/>
      </c>
      <c r="AW1532" s="234"/>
      <c r="BP1532" s="11"/>
      <c r="BQ1532" s="11"/>
      <c r="BR1532" s="235"/>
      <c r="BV1532" s="158"/>
      <c r="BY1532" s="158"/>
      <c r="CB1532" s="158"/>
    </row>
    <row r="1533" ht="18.0" customHeight="1">
      <c r="A1533" s="222">
        <f>IFERROR(__xludf.DUMMYFUNCTION("""COMPUTED_VALUE"""),2026.0)</f>
        <v>2026</v>
      </c>
      <c r="B1533" s="221">
        <f>IFERROR(__xludf.DUMMYFUNCTION("""COMPUTED_VALUE"""),1.1163138E7)</f>
        <v>11163138</v>
      </c>
      <c r="C1533" s="222" t="str">
        <f>IFERROR(__xludf.DUMMYFUNCTION("""COMPUTED_VALUE"""),"SMB MD PDG 8771 new")</f>
        <v>SMB MD PDG 8771 new</v>
      </c>
      <c r="D1533" s="222" t="str">
        <f>IFERROR(__xludf.DUMMYFUNCTION("""COMPUTED_VALUE"""),"REGIONAL I")</f>
        <v>REGIONAL I</v>
      </c>
      <c r="E1533" s="222" t="str">
        <f>IFERROR(__xludf.DUMMYFUNCTION("""COMPUTED_VALUE"""),"SUMBAR")</f>
        <v>SUMBAR</v>
      </c>
      <c r="F1533" s="222" t="str">
        <f>IFERROR(__xludf.DUMMYFUNCTION("""COMPUTED_VALUE"""),"LBY")</f>
        <v>LBY</v>
      </c>
      <c r="G1533" s="222" t="str">
        <f>IFERROR(__xludf.DUMMYFUNCTION("""COMPUTED_VALUE"""),"SUMBAGTENG")</f>
        <v>SUMBAGTENG</v>
      </c>
      <c r="H1533" s="222" t="str">
        <f>IFERROR(__xludf.DUMMYFUNCTION("""COMPUTED_VALUE"""),"PADANG")</f>
        <v>PADANG</v>
      </c>
      <c r="I1533" s="222" t="str">
        <f>IFERROR(__xludf.DUMMYFUNCTION("""COMPUTED_VALUE"""),"Batch 2")</f>
        <v>Batch 2</v>
      </c>
      <c r="J1533" s="225">
        <f>IFERROR(__xludf.DUMMYFUNCTION("""COMPUTED_VALUE"""),1.0)</f>
        <v>1</v>
      </c>
      <c r="K1533" s="224">
        <f>IFERROR(__xludf.DUMMYFUNCTION("""COMPUTED_VALUE"""),8.0)</f>
        <v>8</v>
      </c>
      <c r="L1533" s="226">
        <f>IFERROR(__xludf.DUMMYFUNCTION("""COMPUTED_VALUE"""),613358.0)</f>
        <v>613358</v>
      </c>
      <c r="M1533" s="227">
        <f>IFERROR(__xludf.DUMMYFUNCTION("""COMPUTED_VALUE"""),4906862.0)</f>
        <v>4906862</v>
      </c>
      <c r="N1533" s="222" t="str">
        <f>IFERROR(__xludf.DUMMYFUNCTION("""COMPUTED_VALUE"""),"PT TRI LESMA INDONESIA")</f>
        <v>PT TRI LESMA INDONESIA</v>
      </c>
      <c r="O1533" s="222" t="str">
        <f>IFERROR(__xludf.DUMMYFUNCTION("""COMPUTED_VALUE"""),"8. UJI TERIMA")</f>
        <v>8. UJI TERIMA</v>
      </c>
      <c r="P1533" s="222" t="str">
        <f>IFERROR(__xludf.DUMMYFUNCTION("""COMPUTED_VALUE"""),"8.1 Proses UT")</f>
        <v>8.1 Proses UT</v>
      </c>
      <c r="Q1533" s="222" t="str">
        <f>IFERROR(__xludf.DUMMYFUNCTION("""COMPUTED_VALUE"""),"(07/01) Persiapan")</f>
        <v>(07/01) Persiapan</v>
      </c>
      <c r="R1533" s="228"/>
      <c r="S1533" s="11"/>
      <c r="T1533" s="11"/>
      <c r="U1533" s="11" t="str">
        <f>IFERROR(__xludf.DUMMYFUNCTION("""COMPUTED_VALUE"""),"W10-132/2025 25KT03R158-0036")</f>
        <v>W10-132/2025 25KT03R158-0036</v>
      </c>
      <c r="V1533" s="229" t="str">
        <f>IFERROR(__xludf.DUMMYFUNCTION("""COMPUTED_VALUE"""),"ALDI EFENDI")</f>
        <v>ALDI EFENDI</v>
      </c>
      <c r="W1533" s="229" t="str">
        <f>IFERROR(__xludf.DUMMYFUNCTION("""COMPUTED_VALUE"""),"MELKO NARWADI")</f>
        <v>MELKO NARWADI</v>
      </c>
      <c r="X1533" s="229" t="str">
        <f>IFERROR(__xludf.DUMMYFUNCTION("""COMPUTED_VALUE"""),"GOLIVE")</f>
        <v>GOLIVE</v>
      </c>
      <c r="Y1533" s="229" t="str">
        <f>IFERROR(__xludf.DUMMYFUNCTION("""COMPUTED_VALUE"""),"DONE")</f>
        <v>DONE</v>
      </c>
      <c r="Z1533" s="229" t="str">
        <f>IFERROR(__xludf.DUMMYFUNCTION("""COMPUTED_VALUE"""),"#N/A")</f>
        <v>#N/A</v>
      </c>
      <c r="AA1533" s="229">
        <f>IFERROR(__xludf.DUMMYFUNCTION("""COMPUTED_VALUE"""),1.0)</f>
        <v>1</v>
      </c>
      <c r="AB1533" s="229"/>
      <c r="AC1533" s="229" t="str">
        <f>IFERROR(__xludf.DUMMYFUNCTION("""COMPUTED_VALUE"""),"8970374#8970379")</f>
        <v>8970374#8970379</v>
      </c>
      <c r="AD1533" s="232">
        <f>IFERROR(__xludf.DUMMYFUNCTION("""COMPUTED_VALUE"""),8.0)</f>
        <v>8</v>
      </c>
      <c r="AE1533" s="233">
        <f>IFERROR(__xludf.DUMMYFUNCTION("""COMPUTED_VALUE"""),46037.0)</f>
        <v>46037</v>
      </c>
      <c r="AF1533" s="54"/>
      <c r="AG1533" s="54"/>
      <c r="AH1533" s="54"/>
      <c r="AI1533" s="55" t="str">
        <f t="shared" si="154"/>
        <v/>
      </c>
      <c r="AW1533" s="234"/>
      <c r="BP1533" s="11"/>
      <c r="BQ1533" s="11"/>
      <c r="BR1533" s="235"/>
      <c r="BV1533" s="158"/>
      <c r="BY1533" s="158"/>
      <c r="CB1533" s="158"/>
    </row>
    <row r="1534" ht="18.0" hidden="1" customHeight="1">
      <c r="A1534" s="222">
        <f>IFERROR(__xludf.DUMMYFUNCTION("""COMPUTED_VALUE"""),2026.0)</f>
        <v>2026</v>
      </c>
      <c r="B1534" s="221">
        <f>IFERROR(__xludf.DUMMYFUNCTION("""COMPUTED_VALUE"""),1.122007E7)</f>
        <v>11220070</v>
      </c>
      <c r="C1534" s="222" t="str">
        <f>IFERROR(__xludf.DUMMYFUNCTION("""COMPUTED_VALUE"""),"MDN PT3 P7I6 TJR-FK GG.SATRIA")</f>
        <v>MDN PT3 P7I6 TJR-FK GG.SATRIA</v>
      </c>
      <c r="D1534" s="222" t="str">
        <f>IFERROR(__xludf.DUMMYFUNCTION("""COMPUTED_VALUE"""),"REGIONAL I")</f>
        <v>REGIONAL I</v>
      </c>
      <c r="E1534" s="222" t="str">
        <f>IFERROR(__xludf.DUMMYFUNCTION("""COMPUTED_VALUE"""),"MEDAN")</f>
        <v>MEDAN</v>
      </c>
      <c r="F1534" s="222" t="str">
        <f>IFERROR(__xludf.DUMMYFUNCTION("""COMPUTED_VALUE"""),"TJR")</f>
        <v>TJR</v>
      </c>
      <c r="G1534" s="222" t="str">
        <f>IFERROR(__xludf.DUMMYFUNCTION("""COMPUTED_VALUE"""),"SUMBAGUT")</f>
        <v>SUMBAGUT</v>
      </c>
      <c r="H1534" s="222" t="str">
        <f>IFERROR(__xludf.DUMMYFUNCTION("""COMPUTED_VALUE"""),"MEDAN")</f>
        <v>MEDAN</v>
      </c>
      <c r="I1534" s="222" t="str">
        <f>IFERROR(__xludf.DUMMYFUNCTION("""COMPUTED_VALUE"""),"Batch 2")</f>
        <v>Batch 2</v>
      </c>
      <c r="J1534" s="225">
        <f>IFERROR(__xludf.DUMMYFUNCTION("""COMPUTED_VALUE"""),2.0)</f>
        <v>2</v>
      </c>
      <c r="K1534" s="224">
        <f>IFERROR(__xludf.DUMMYFUNCTION("""COMPUTED_VALUE"""),16.0)</f>
        <v>16</v>
      </c>
      <c r="L1534" s="226">
        <f>IFERROR(__xludf.DUMMYFUNCTION("""COMPUTED_VALUE"""),818287.0)</f>
        <v>818287</v>
      </c>
      <c r="M1534" s="227">
        <f>IFERROR(__xludf.DUMMYFUNCTION("""COMPUTED_VALUE"""),1.3092588E7)</f>
        <v>13092588</v>
      </c>
      <c r="N1534" s="222" t="str">
        <f>IFERROR(__xludf.DUMMYFUNCTION("""COMPUTED_VALUE"""),"PT MEDCOM SOLUTION")</f>
        <v>PT MEDCOM SOLUTION</v>
      </c>
      <c r="O1534" s="222" t="str">
        <f>IFERROR(__xludf.DUMMYFUNCTION("""COMPUTED_VALUE"""),"2. DONE AANWIJZING")</f>
        <v>2. DONE AANWIJZING</v>
      </c>
      <c r="P1534" s="222" t="str">
        <f>IFERROR(__xludf.DUMMYFUNCTION("""COMPUTED_VALUE"""),"2.9 Kendala - Distribusi Penuh / Rusak")</f>
        <v>2.9 Kendala - Distribusi Penuh / Rusak</v>
      </c>
      <c r="Q1534" s="222" t="str">
        <f>IFERROR(__xludf.DUMMYFUNCTION("""COMPUTED_VALUE"""),"21/04 menunggu hasil redisgn
04/04 D06 tdk tembus
(07/01) Persiapan")</f>
        <v>21/04 menunggu hasil redisgn
04/04 D06 tdk tembus
(07/01) Persiapan</v>
      </c>
      <c r="R1534" s="228"/>
      <c r="S1534" s="11"/>
      <c r="T1534" s="11"/>
      <c r="U1534" s="11"/>
      <c r="V1534" s="229"/>
      <c r="W1534" s="229"/>
      <c r="X1534" s="229" t="str">
        <f>IFERROR(__xludf.DUMMYFUNCTION("""COMPUTED_VALUE"""),"BELUM GOLIVE")</f>
        <v>BELUM GOLIVE</v>
      </c>
      <c r="Y1534" s="229"/>
      <c r="Z1534" s="229" t="str">
        <f>IFERROR(__xludf.DUMMYFUNCTION("""COMPUTED_VALUE"""),"#N/A")</f>
        <v>#N/A</v>
      </c>
      <c r="AA1534" s="229"/>
      <c r="AB1534" s="229"/>
      <c r="AC1534" s="229"/>
      <c r="AD1534" s="232"/>
      <c r="AE1534" s="233"/>
      <c r="AF1534" s="54"/>
      <c r="AG1534" s="54"/>
      <c r="AH1534" s="54"/>
      <c r="AI1534" s="55" t="str">
        <f t="shared" si="154"/>
        <v/>
      </c>
      <c r="AW1534" s="234"/>
      <c r="BP1534" s="11"/>
      <c r="BQ1534" s="11"/>
      <c r="BR1534" s="235"/>
      <c r="BV1534" s="158"/>
      <c r="BY1534" s="158"/>
      <c r="CB1534" s="158"/>
    </row>
    <row r="1535" ht="18.0" hidden="1" customHeight="1">
      <c r="A1535" s="222">
        <f>IFERROR(__xludf.DUMMYFUNCTION("""COMPUTED_VALUE"""),2026.0)</f>
        <v>2026</v>
      </c>
      <c r="B1535" s="221">
        <f>IFERROR(__xludf.DUMMYFUNCTION("""COMPUTED_VALUE"""),1.210891E7)</f>
        <v>12108910</v>
      </c>
      <c r="C1535" s="222" t="str">
        <f>IFERROR(__xludf.DUMMYFUNCTION("""COMPUTED_VALUE"""),"MDN PT3 SPM-FBZ JL.BEND IV UJUNG_MD25")</f>
        <v>MDN PT3 SPM-FBZ JL.BEND IV UJUNG_MD25</v>
      </c>
      <c r="D1535" s="222" t="str">
        <f>IFERROR(__xludf.DUMMYFUNCTION("""COMPUTED_VALUE"""),"REGIONAL I")</f>
        <v>REGIONAL I</v>
      </c>
      <c r="E1535" s="222" t="str">
        <f>IFERROR(__xludf.DUMMYFUNCTION("""COMPUTED_VALUE"""),"MEDAN")</f>
        <v>MEDAN</v>
      </c>
      <c r="F1535" s="222" t="str">
        <f>IFERROR(__xludf.DUMMYFUNCTION("""COMPUTED_VALUE"""),"SPM")</f>
        <v>SPM</v>
      </c>
      <c r="G1535" s="222" t="str">
        <f>IFERROR(__xludf.DUMMYFUNCTION("""COMPUTED_VALUE"""),"SUMBAGUT")</f>
        <v>SUMBAGUT</v>
      </c>
      <c r="H1535" s="222" t="str">
        <f>IFERROR(__xludf.DUMMYFUNCTION("""COMPUTED_VALUE"""),"MEDAN")</f>
        <v>MEDAN</v>
      </c>
      <c r="I1535" s="222" t="str">
        <f>IFERROR(__xludf.DUMMYFUNCTION("""COMPUTED_VALUE"""),"Batch 2")</f>
        <v>Batch 2</v>
      </c>
      <c r="J1535" s="225">
        <f>IFERROR(__xludf.DUMMYFUNCTION("""COMPUTED_VALUE"""),2.0)</f>
        <v>2</v>
      </c>
      <c r="K1535" s="224">
        <f>IFERROR(__xludf.DUMMYFUNCTION("""COMPUTED_VALUE"""),16.0)</f>
        <v>16</v>
      </c>
      <c r="L1535" s="226">
        <f>IFERROR(__xludf.DUMMYFUNCTION("""COMPUTED_VALUE"""),1333127.0)</f>
        <v>1333127</v>
      </c>
      <c r="M1535" s="227">
        <f>IFERROR(__xludf.DUMMYFUNCTION("""COMPUTED_VALUE"""),2.1330024E7)</f>
        <v>21330024</v>
      </c>
      <c r="N1535" s="222" t="str">
        <f>IFERROR(__xludf.DUMMYFUNCTION("""COMPUTED_VALUE"""),"PT WALET SOLUSINDO")</f>
        <v>PT WALET SOLUSINDO</v>
      </c>
      <c r="O1535" s="222" t="str">
        <f>IFERROR(__xludf.DUMMYFUNCTION("""COMPUTED_VALUE"""),"0. DROP")</f>
        <v>0. DROP</v>
      </c>
      <c r="P1535" s="222" t="str">
        <f>IFERROR(__xludf.DUMMYFUNCTION("""COMPUTED_VALUE"""),"0.4 CPP Tinggi Acc ED TIF")</f>
        <v>0.4 CPP Tinggi Acc ED TIF</v>
      </c>
      <c r="Q1535" s="222" t="str">
        <f>IFERROR(__xludf.DUMMYFUNCTION("""COMPUTED_VALUE"""),"07/02 Feeder Habis, sisa kaki splitter FE sisa 2")</f>
        <v>07/02 Feeder Habis, sisa kaki splitter FE sisa 2</v>
      </c>
      <c r="R1535" s="228"/>
      <c r="S1535" s="11"/>
      <c r="T1535" s="11"/>
      <c r="U1535" s="11"/>
      <c r="V1535" s="229"/>
      <c r="W1535" s="229"/>
      <c r="X1535" s="229" t="str">
        <f>IFERROR(__xludf.DUMMYFUNCTION("""COMPUTED_VALUE"""),"BELUM GOLIVE")</f>
        <v>BELUM GOLIVE</v>
      </c>
      <c r="Y1535" s="229"/>
      <c r="Z1535" s="229" t="str">
        <f>IFERROR(__xludf.DUMMYFUNCTION("""COMPUTED_VALUE"""),"#N/A")</f>
        <v>#N/A</v>
      </c>
      <c r="AA1535" s="229"/>
      <c r="AB1535" s="229"/>
      <c r="AC1535" s="229"/>
      <c r="AD1535" s="232"/>
      <c r="AE1535" s="233"/>
      <c r="AF1535" s="54" t="str">
        <f>IFERROR(__xludf.DUMMYFUNCTION("""COMPUTED_VALUE"""),"Draft BA DROP")</f>
        <v>Draft BA DROP</v>
      </c>
      <c r="AG1535" s="54"/>
      <c r="AH1535" s="54"/>
      <c r="AI1535" s="55" t="str">
        <f t="shared" si="154"/>
        <v/>
      </c>
      <c r="AW1535" s="234"/>
      <c r="BP1535" s="11"/>
      <c r="BQ1535" s="11"/>
      <c r="BR1535" s="235"/>
      <c r="BV1535" s="158"/>
      <c r="BY1535" s="158"/>
      <c r="CB1535" s="158"/>
    </row>
    <row r="1536" ht="18.0" hidden="1" customHeight="1">
      <c r="A1536" s="222">
        <f>IFERROR(__xludf.DUMMYFUNCTION("""COMPUTED_VALUE"""),2026.0)</f>
        <v>2026</v>
      </c>
      <c r="B1536" s="221">
        <f>IFERROR(__xludf.DUMMYFUNCTION("""COMPUTED_VALUE"""),1.1535697E7)</f>
        <v>11535697</v>
      </c>
      <c r="C1536" s="222" t="str">
        <f>IFERROR(__xludf.DUMMYFUNCTION("""COMPUTED_VALUE"""),"MDN PT3 TTG-FJ JL.SENTOSA")</f>
        <v>MDN PT3 TTG-FJ JL.SENTOSA</v>
      </c>
      <c r="D1536" s="222" t="str">
        <f>IFERROR(__xludf.DUMMYFUNCTION("""COMPUTED_VALUE"""),"REGIONAL I")</f>
        <v>REGIONAL I</v>
      </c>
      <c r="E1536" s="222" t="str">
        <f>IFERROR(__xludf.DUMMYFUNCTION("""COMPUTED_VALUE"""),"MEDAN")</f>
        <v>MEDAN</v>
      </c>
      <c r="F1536" s="222" t="str">
        <f>IFERROR(__xludf.DUMMYFUNCTION("""COMPUTED_VALUE"""),"TTG")</f>
        <v>TTG</v>
      </c>
      <c r="G1536" s="222" t="str">
        <f>IFERROR(__xludf.DUMMYFUNCTION("""COMPUTED_VALUE"""),"SUMBAGUT")</f>
        <v>SUMBAGUT</v>
      </c>
      <c r="H1536" s="222" t="str">
        <f>IFERROR(__xludf.DUMMYFUNCTION("""COMPUTED_VALUE"""),"MEDAN")</f>
        <v>MEDAN</v>
      </c>
      <c r="I1536" s="222" t="str">
        <f>IFERROR(__xludf.DUMMYFUNCTION("""COMPUTED_VALUE"""),"Batch 2")</f>
        <v>Batch 2</v>
      </c>
      <c r="J1536" s="225">
        <f>IFERROR(__xludf.DUMMYFUNCTION("""COMPUTED_VALUE"""),2.0)</f>
        <v>2</v>
      </c>
      <c r="K1536" s="224">
        <f>IFERROR(__xludf.DUMMYFUNCTION("""COMPUTED_VALUE"""),16.0)</f>
        <v>16</v>
      </c>
      <c r="L1536" s="226">
        <f>IFERROR(__xludf.DUMMYFUNCTION("""COMPUTED_VALUE"""),613043.0)</f>
        <v>613043</v>
      </c>
      <c r="M1536" s="227">
        <f>IFERROR(__xludf.DUMMYFUNCTION("""COMPUTED_VALUE"""),9808682.0)</f>
        <v>9808682</v>
      </c>
      <c r="N1536" s="222" t="str">
        <f>IFERROR(__xludf.DUMMYFUNCTION("""COMPUTED_VALUE"""),"SWAKELOLA")</f>
        <v>SWAKELOLA</v>
      </c>
      <c r="O1536" s="222" t="str">
        <f>IFERROR(__xludf.DUMMYFUNCTION("""COMPUTED_VALUE"""),"1. AANWIJZING")</f>
        <v>1. AANWIJZING</v>
      </c>
      <c r="P1536" s="222" t="str">
        <f>IFERROR(__xludf.DUMMYFUNCTION("""COMPUTED_VALUE"""),"1.6 Ongoing Aanwidjzing")</f>
        <v>1.6 Ongoing Aanwidjzing</v>
      </c>
      <c r="Q1536" s="222" t="str">
        <f>IFERROR(__xludf.DUMMYFUNCTION("""COMPUTED_VALUE"""),"20/04 kunjungan ulang pengecekan feeder alih mitra ke swakelola 13/02 Pengecekan ulang Feeder MDN PT4 P7I3 TTG-FJ KOMP HAWILA RESIDENCE 3 16/10 Feeder Habis
(24/09) Perizinan Warga dan Kades / Lurah
(23/09) Perizinan Warga dan Kades / Lurah
15/09 proses a"&amp;"anwijzing")</f>
        <v>20/04 kunjungan ulang pengecekan feeder alih mitra ke swakelola 13/02 Pengecekan ulang Feeder MDN PT4 P7I3 TTG-FJ KOMP HAWILA RESIDENCE 3 16/10 Feeder Habis
(24/09) Perizinan Warga dan Kades / Lurah
(23/09) Perizinan Warga dan Kades / Lurah
15/09 proses aanwijzing</v>
      </c>
      <c r="R1536" s="228"/>
      <c r="S1536" s="11"/>
      <c r="T1536" s="11"/>
      <c r="U1536" s="11"/>
      <c r="V1536" s="229"/>
      <c r="W1536" s="229"/>
      <c r="X1536" s="229" t="str">
        <f>IFERROR(__xludf.DUMMYFUNCTION("""COMPUTED_VALUE"""),"BELUM GOLIVE")</f>
        <v>BELUM GOLIVE</v>
      </c>
      <c r="Y1536" s="229"/>
      <c r="Z1536" s="229" t="str">
        <f>IFERROR(__xludf.DUMMYFUNCTION("""COMPUTED_VALUE"""),"#N/A")</f>
        <v>#N/A</v>
      </c>
      <c r="AA1536" s="229"/>
      <c r="AB1536" s="229"/>
      <c r="AC1536" s="229"/>
      <c r="AD1536" s="232"/>
      <c r="AE1536" s="233"/>
      <c r="AF1536" s="54"/>
      <c r="AG1536" s="54"/>
      <c r="AH1536" s="54"/>
      <c r="AI1536" s="55" t="str">
        <f t="shared" si="154"/>
        <v/>
      </c>
      <c r="AW1536" s="234"/>
      <c r="BP1536" s="11"/>
      <c r="BQ1536" s="11"/>
      <c r="BR1536" s="235"/>
      <c r="BV1536" s="158"/>
      <c r="BY1536" s="158"/>
      <c r="CB1536" s="158"/>
    </row>
    <row r="1537" ht="18.0" customHeight="1">
      <c r="A1537" s="222">
        <f>IFERROR(__xludf.DUMMYFUNCTION("""COMPUTED_VALUE"""),2026.0)</f>
        <v>2026</v>
      </c>
      <c r="B1537" s="221">
        <f>IFERROR(__xludf.DUMMYFUNCTION("""COMPUTED_VALUE"""),1.138377E7)</f>
        <v>11383770</v>
      </c>
      <c r="C1537" s="222" t="str">
        <f>IFERROR(__xludf.DUMMYFUNCTION("""COMPUTED_VALUE"""),"SMB MD KOTA PADANG_8589")</f>
        <v>SMB MD KOTA PADANG_8589</v>
      </c>
      <c r="D1537" s="222" t="str">
        <f>IFERROR(__xludf.DUMMYFUNCTION("""COMPUTED_VALUE"""),"REGIONAL I")</f>
        <v>REGIONAL I</v>
      </c>
      <c r="E1537" s="222" t="str">
        <f>IFERROR(__xludf.DUMMYFUNCTION("""COMPUTED_VALUE"""),"SUMBAR")</f>
        <v>SUMBAR</v>
      </c>
      <c r="F1537" s="222" t="str">
        <f>IFERROR(__xludf.DUMMYFUNCTION("""COMPUTED_VALUE"""),"KJI")</f>
        <v>KJI</v>
      </c>
      <c r="G1537" s="222" t="str">
        <f>IFERROR(__xludf.DUMMYFUNCTION("""COMPUTED_VALUE"""),"SUMBAGTENG")</f>
        <v>SUMBAGTENG</v>
      </c>
      <c r="H1537" s="222" t="str">
        <f>IFERROR(__xludf.DUMMYFUNCTION("""COMPUTED_VALUE"""),"PADANG")</f>
        <v>PADANG</v>
      </c>
      <c r="I1537" s="222" t="str">
        <f>IFERROR(__xludf.DUMMYFUNCTION("""COMPUTED_VALUE"""),"Batch 2")</f>
        <v>Batch 2</v>
      </c>
      <c r="J1537" s="225">
        <f>IFERROR(__xludf.DUMMYFUNCTION("""COMPUTED_VALUE"""),4.0)</f>
        <v>4</v>
      </c>
      <c r="K1537" s="224">
        <f>IFERROR(__xludf.DUMMYFUNCTION("""COMPUTED_VALUE"""),32.0)</f>
        <v>32</v>
      </c>
      <c r="L1537" s="226">
        <f>IFERROR(__xludf.DUMMYFUNCTION("""COMPUTED_VALUE"""),611336.0)</f>
        <v>611336</v>
      </c>
      <c r="M1537" s="227">
        <f>IFERROR(__xludf.DUMMYFUNCTION("""COMPUTED_VALUE"""),1.9562743E7)</f>
        <v>19562743</v>
      </c>
      <c r="N1537" s="222" t="str">
        <f>IFERROR(__xludf.DUMMYFUNCTION("""COMPUTED_VALUE"""),"PT TRI PENAMAS")</f>
        <v>PT TRI PENAMAS</v>
      </c>
      <c r="O1537" s="222" t="str">
        <f>IFERROR(__xludf.DUMMYFUNCTION("""COMPUTED_VALUE"""),"0. DROP")</f>
        <v>0. DROP</v>
      </c>
      <c r="P1537" s="222" t="str">
        <f>IFERROR(__xludf.DUMMYFUNCTION("""COMPUTED_VALUE"""),"0.2 Tidak Dapat Izin Warga/Kades/Lurah/Developer")</f>
        <v>0.2 Tidak Dapat Izin Warga/Kades/Lurah/Developer</v>
      </c>
      <c r="Q1537" s="222" t="str">
        <f>IFERROR(__xludf.DUMMYFUNCTION("""COMPUTED_VALUE"""),"(27/01) kendala izin tanam tiang, tanah kaum / adat")</f>
        <v>(27/01) kendala izin tanam tiang, tanah kaum / adat</v>
      </c>
      <c r="R1537" s="228"/>
      <c r="S1537" s="11"/>
      <c r="T1537" s="11"/>
      <c r="U1537" s="11"/>
      <c r="V1537" s="229"/>
      <c r="W1537" s="229"/>
      <c r="X1537" s="229" t="str">
        <f>IFERROR(__xludf.DUMMYFUNCTION("""COMPUTED_VALUE"""),"BELUM GOLIVE")</f>
        <v>BELUM GOLIVE</v>
      </c>
      <c r="Y1537" s="229"/>
      <c r="Z1537" s="229" t="str">
        <f>IFERROR(__xludf.DUMMYFUNCTION("""COMPUTED_VALUE"""),"#N/A")</f>
        <v>#N/A</v>
      </c>
      <c r="AA1537" s="229"/>
      <c r="AB1537" s="229"/>
      <c r="AC1537" s="229"/>
      <c r="AD1537" s="232"/>
      <c r="AE1537" s="233"/>
      <c r="AF1537" s="54" t="str">
        <f>IFERROR(__xludf.DUMMYFUNCTION("""COMPUTED_VALUE"""),"Draft BA DROP")</f>
        <v>Draft BA DROP</v>
      </c>
      <c r="AG1537" s="54"/>
      <c r="AH1537" s="54"/>
      <c r="AI1537" s="55" t="str">
        <f t="shared" si="154"/>
        <v/>
      </c>
      <c r="AW1537" s="234"/>
      <c r="BP1537" s="11"/>
      <c r="BQ1537" s="11"/>
      <c r="BR1537" s="235"/>
      <c r="BV1537" s="158"/>
      <c r="BY1537" s="158"/>
      <c r="CB1537" s="158"/>
    </row>
    <row r="1538" ht="18.0" hidden="1" customHeight="1">
      <c r="A1538" s="222">
        <f>IFERROR(__xludf.DUMMYFUNCTION("""COMPUTED_VALUE"""),2026.0)</f>
        <v>2026</v>
      </c>
      <c r="B1538" s="221">
        <f>IFERROR(__xludf.DUMMYFUNCTION("""COMPUTED_VALUE"""),1.1137465E7)</f>
        <v>11137465</v>
      </c>
      <c r="C1538" s="222" t="str">
        <f>IFERROR(__xludf.DUMMYFUNCTION("""COMPUTED_VALUE"""),"PT3 P7I7 SKI-FAE JL.TEGAL SARI MANDALAII")</f>
        <v>PT3 P7I7 SKI-FAE JL.TEGAL SARI MANDALAII</v>
      </c>
      <c r="D1538" s="222" t="str">
        <f>IFERROR(__xludf.DUMMYFUNCTION("""COMPUTED_VALUE"""),"REGIONAL I")</f>
        <v>REGIONAL I</v>
      </c>
      <c r="E1538" s="222" t="str">
        <f>IFERROR(__xludf.DUMMYFUNCTION("""COMPUTED_VALUE"""),"MEDAN")</f>
        <v>MEDAN</v>
      </c>
      <c r="F1538" s="222" t="str">
        <f>IFERROR(__xludf.DUMMYFUNCTION("""COMPUTED_VALUE"""),"SKI")</f>
        <v>SKI</v>
      </c>
      <c r="G1538" s="222" t="str">
        <f>IFERROR(__xludf.DUMMYFUNCTION("""COMPUTED_VALUE"""),"SUMBAGUT")</f>
        <v>SUMBAGUT</v>
      </c>
      <c r="H1538" s="222" t="str">
        <f>IFERROR(__xludf.DUMMYFUNCTION("""COMPUTED_VALUE"""),"MEDAN")</f>
        <v>MEDAN</v>
      </c>
      <c r="I1538" s="222" t="str">
        <f>IFERROR(__xludf.DUMMYFUNCTION("""COMPUTED_VALUE"""),"Batch 2")</f>
        <v>Batch 2</v>
      </c>
      <c r="J1538" s="225">
        <f>IFERROR(__xludf.DUMMYFUNCTION("""COMPUTED_VALUE"""),3.0)</f>
        <v>3</v>
      </c>
      <c r="K1538" s="224">
        <f>IFERROR(__xludf.DUMMYFUNCTION("""COMPUTED_VALUE"""),24.0)</f>
        <v>24</v>
      </c>
      <c r="L1538" s="226">
        <f>IFERROR(__xludf.DUMMYFUNCTION("""COMPUTED_VALUE"""),610367.0)</f>
        <v>610367</v>
      </c>
      <c r="M1538" s="227">
        <f>IFERROR(__xludf.DUMMYFUNCTION("""COMPUTED_VALUE"""),1.4648795E7)</f>
        <v>14648795</v>
      </c>
      <c r="N1538" s="222" t="str">
        <f>IFERROR(__xludf.DUMMYFUNCTION("""COMPUTED_VALUE"""),"PT MEDCOM SOLUTION")</f>
        <v>PT MEDCOM SOLUTION</v>
      </c>
      <c r="O1538" s="222" t="str">
        <f>IFERROR(__xludf.DUMMYFUNCTION("""COMPUTED_VALUE"""),"0. DROP")</f>
        <v>0. DROP</v>
      </c>
      <c r="P1538" s="222" t="str">
        <f>IFERROR(__xludf.DUMMYFUNCTION("""COMPUTED_VALUE"""),"0.4 CPP Tinggi Acc ED TIF")</f>
        <v>0.4 CPP Tinggi Acc ED TIF</v>
      </c>
      <c r="Q1538" s="222" t="str">
        <f>IFERROR(__xludf.DUMMYFUNCTION("""COMPUTED_VALUE"""),"21/04 DROP. KARNA CPP 7JT DAN TIDAK ADA LOP DEVIDENSI
08/03 Feeder Redti 16/10 Feeder Habis
16/10 Mapping Mitra")</f>
        <v>21/04 DROP. KARNA CPP 7JT DAN TIDAK ADA LOP DEVIDENSI
08/03 Feeder Redti 16/10 Feeder Habis
16/10 Mapping Mitra</v>
      </c>
      <c r="R1538" s="228"/>
      <c r="S1538" s="11"/>
      <c r="T1538" s="11"/>
      <c r="U1538" s="11"/>
      <c r="V1538" s="229"/>
      <c r="W1538" s="229"/>
      <c r="X1538" s="229" t="str">
        <f>IFERROR(__xludf.DUMMYFUNCTION("""COMPUTED_VALUE"""),"BELUM GOLIVE")</f>
        <v>BELUM GOLIVE</v>
      </c>
      <c r="Y1538" s="229"/>
      <c r="Z1538" s="229" t="str">
        <f>IFERROR(__xludf.DUMMYFUNCTION("""COMPUTED_VALUE"""),"#N/A")</f>
        <v>#N/A</v>
      </c>
      <c r="AA1538" s="229"/>
      <c r="AB1538" s="229"/>
      <c r="AC1538" s="229"/>
      <c r="AD1538" s="232"/>
      <c r="AE1538" s="233"/>
      <c r="AF1538" s="54"/>
      <c r="AG1538" s="54"/>
      <c r="AH1538" s="54"/>
      <c r="AI1538" s="55" t="str">
        <f t="shared" si="154"/>
        <v/>
      </c>
      <c r="AW1538" s="234"/>
      <c r="BP1538" s="11"/>
      <c r="BQ1538" s="11"/>
      <c r="BR1538" s="235"/>
      <c r="BV1538" s="158"/>
      <c r="BY1538" s="158"/>
      <c r="CB1538" s="158"/>
    </row>
    <row r="1539" ht="18.0" customHeight="1">
      <c r="A1539" s="222">
        <f>IFERROR(__xludf.DUMMYFUNCTION("""COMPUTED_VALUE"""),2026.0)</f>
        <v>2026</v>
      </c>
      <c r="B1539" s="221">
        <f>IFERROR(__xludf.DUMMYFUNCTION("""COMPUTED_VALUE"""),1.133809E7)</f>
        <v>11338090</v>
      </c>
      <c r="C1539" s="222" t="str">
        <f>IFERROR(__xludf.DUMMYFUNCTION("""COMPUTED_VALUE"""),"SMB P2I1 Per.Talago Green Asri LB Tahap2")</f>
        <v>SMB P2I1 Per.Talago Green Asri LB Tahap2</v>
      </c>
      <c r="D1539" s="222" t="str">
        <f>IFERROR(__xludf.DUMMYFUNCTION("""COMPUTED_VALUE"""),"REGIONAL I")</f>
        <v>REGIONAL I</v>
      </c>
      <c r="E1539" s="222" t="str">
        <f>IFERROR(__xludf.DUMMYFUNCTION("""COMPUTED_VALUE"""),"SUMBAR")</f>
        <v>SUMBAR</v>
      </c>
      <c r="F1539" s="222" t="str">
        <f>IFERROR(__xludf.DUMMYFUNCTION("""COMPUTED_VALUE"""),"LBB")</f>
        <v>LBB</v>
      </c>
      <c r="G1539" s="222" t="str">
        <f>IFERROR(__xludf.DUMMYFUNCTION("""COMPUTED_VALUE"""),"SUMBAGTENG")</f>
        <v>SUMBAGTENG</v>
      </c>
      <c r="H1539" s="222" t="str">
        <f>IFERROR(__xludf.DUMMYFUNCTION("""COMPUTED_VALUE"""),"BUKIT TINGGI")</f>
        <v>BUKIT TINGGI</v>
      </c>
      <c r="I1539" s="222" t="str">
        <f>IFERROR(__xludf.DUMMYFUNCTION("""COMPUTED_VALUE"""),"Batch 2")</f>
        <v>Batch 2</v>
      </c>
      <c r="J1539" s="225">
        <f>IFERROR(__xludf.DUMMYFUNCTION("""COMPUTED_VALUE"""),4.0)</f>
        <v>4</v>
      </c>
      <c r="K1539" s="224">
        <f>IFERROR(__xludf.DUMMYFUNCTION("""COMPUTED_VALUE"""),32.0)</f>
        <v>32</v>
      </c>
      <c r="L1539" s="226">
        <f>IFERROR(__xludf.DUMMYFUNCTION("""COMPUTED_VALUE"""),609839.0)</f>
        <v>609839</v>
      </c>
      <c r="M1539" s="227">
        <f>IFERROR(__xludf.DUMMYFUNCTION("""COMPUTED_VALUE"""),1.951483E7)</f>
        <v>19514830</v>
      </c>
      <c r="N1539" s="222" t="str">
        <f>IFERROR(__xludf.DUMMYFUNCTION("""COMPUTED_VALUE"""),"PT TIGA AKSES MANDIRI")</f>
        <v>PT TIGA AKSES MANDIRI</v>
      </c>
      <c r="O1539" s="222" t="str">
        <f>IFERROR(__xludf.DUMMYFUNCTION("""COMPUTED_VALUE"""),"8. UJI TERIMA")</f>
        <v>8. UJI TERIMA</v>
      </c>
      <c r="P1539" s="222" t="str">
        <f>IFERROR(__xludf.DUMMYFUNCTION("""COMPUTED_VALUE"""),"8.1 Proses UT")</f>
        <v>8.1 Proses UT</v>
      </c>
      <c r="Q1539" s="222" t="str">
        <f>IFERROR(__xludf.DUMMYFUNCTION("""COMPUTED_VALUE"""),"(07/01) Persiapan")</f>
        <v>(07/01) Persiapan</v>
      </c>
      <c r="R1539" s="228"/>
      <c r="S1539" s="11"/>
      <c r="T1539" s="11"/>
      <c r="U1539" s="11" t="str">
        <f>IFERROR(__xludf.DUMMYFUNCTION("""COMPUTED_VALUE"""),"W10-1802/2025 25KT03R158-0569")</f>
        <v>W10-1802/2025 25KT03R158-0569</v>
      </c>
      <c r="V1539" s="229" t="str">
        <f>IFERROR(__xludf.DUMMYFUNCTION("""COMPUTED_VALUE"""),"JANUAR RIZAL")</f>
        <v>JANUAR RIZAL</v>
      </c>
      <c r="W1539" s="229" t="str">
        <f>IFERROR(__xludf.DUMMYFUNCTION("""COMPUTED_VALUE"""),"MELKO NARWADI")</f>
        <v>MELKO NARWADI</v>
      </c>
      <c r="X1539" s="229" t="str">
        <f>IFERROR(__xludf.DUMMYFUNCTION("""COMPUTED_VALUE"""),"GOLIVE")</f>
        <v>GOLIVE</v>
      </c>
      <c r="Y1539" s="229" t="str">
        <f>IFERROR(__xludf.DUMMYFUNCTION("""COMPUTED_VALUE"""),"DONE")</f>
        <v>DONE</v>
      </c>
      <c r="Z1539" s="229" t="str">
        <f>IFERROR(__xludf.DUMMYFUNCTION("""COMPUTED_VALUE"""),"#N/A")</f>
        <v>#N/A</v>
      </c>
      <c r="AA1539" s="229">
        <f>IFERROR(__xludf.DUMMYFUNCTION("""COMPUTED_VALUE"""),4.0)</f>
        <v>4</v>
      </c>
      <c r="AB1539" s="229"/>
      <c r="AC1539" s="229" t="str">
        <f>IFERROR(__xludf.DUMMYFUNCTION("""COMPUTED_VALUE"""),"8936811#8936816")</f>
        <v>8936811#8936816</v>
      </c>
      <c r="AD1539" s="232">
        <f>IFERROR(__xludf.DUMMYFUNCTION("""COMPUTED_VALUE"""),32.0)</f>
        <v>32</v>
      </c>
      <c r="AE1539" s="233">
        <f>IFERROR(__xludf.DUMMYFUNCTION("""COMPUTED_VALUE"""),46031.0)</f>
        <v>46031</v>
      </c>
      <c r="AF1539" s="54"/>
      <c r="AG1539" s="54"/>
      <c r="AH1539" s="54"/>
      <c r="AI1539" s="55" t="str">
        <f t="shared" si="154"/>
        <v/>
      </c>
      <c r="AW1539" s="234"/>
      <c r="BP1539" s="11"/>
      <c r="BQ1539" s="11"/>
      <c r="BR1539" s="235"/>
      <c r="BV1539" s="158"/>
      <c r="BY1539" s="158"/>
      <c r="CB1539" s="158"/>
    </row>
    <row r="1540" ht="18.0" hidden="1" customHeight="1">
      <c r="A1540" s="222">
        <f>IFERROR(__xludf.DUMMYFUNCTION("""COMPUTED_VALUE"""),2026.0)</f>
        <v>2026</v>
      </c>
      <c r="B1540" s="221">
        <f>IFERROR(__xludf.DUMMYFUNCTION("""COMPUTED_VALUE"""),1.1535891E7)</f>
        <v>11535891</v>
      </c>
      <c r="C1540" s="222" t="str">
        <f>IFERROR(__xludf.DUMMYFUNCTION("""COMPUTED_VALUE"""),"MDN PT3 LBP-FJ JL.DSN SETIA BUDI")</f>
        <v>MDN PT3 LBP-FJ JL.DSN SETIA BUDI</v>
      </c>
      <c r="D1540" s="222" t="str">
        <f>IFERROR(__xludf.DUMMYFUNCTION("""COMPUTED_VALUE"""),"REGIONAL I")</f>
        <v>REGIONAL I</v>
      </c>
      <c r="E1540" s="222" t="str">
        <f>IFERROR(__xludf.DUMMYFUNCTION("""COMPUTED_VALUE"""),"MEDAN")</f>
        <v>MEDAN</v>
      </c>
      <c r="F1540" s="222" t="str">
        <f>IFERROR(__xludf.DUMMYFUNCTION("""COMPUTED_VALUE"""),"LBP")</f>
        <v>LBP</v>
      </c>
      <c r="G1540" s="222" t="str">
        <f>IFERROR(__xludf.DUMMYFUNCTION("""COMPUTED_VALUE"""),"SUMBAGUT")</f>
        <v>SUMBAGUT</v>
      </c>
      <c r="H1540" s="222" t="str">
        <f>IFERROR(__xludf.DUMMYFUNCTION("""COMPUTED_VALUE"""),"MEDAN")</f>
        <v>MEDAN</v>
      </c>
      <c r="I1540" s="222" t="str">
        <f>IFERROR(__xludf.DUMMYFUNCTION("""COMPUTED_VALUE"""),"Batch 2")</f>
        <v>Batch 2</v>
      </c>
      <c r="J1540" s="225">
        <f>IFERROR(__xludf.DUMMYFUNCTION("""COMPUTED_VALUE"""),2.0)</f>
        <v>2</v>
      </c>
      <c r="K1540" s="224">
        <f>IFERROR(__xludf.DUMMYFUNCTION("""COMPUTED_VALUE"""),16.0)</f>
        <v>16</v>
      </c>
      <c r="L1540" s="226">
        <f>IFERROR(__xludf.DUMMYFUNCTION("""COMPUTED_VALUE"""),821008.0)</f>
        <v>821008</v>
      </c>
      <c r="M1540" s="227">
        <f>IFERROR(__xludf.DUMMYFUNCTION("""COMPUTED_VALUE"""),1.3136121E7)</f>
        <v>13136121</v>
      </c>
      <c r="N1540" s="222" t="str">
        <f>IFERROR(__xludf.DUMMYFUNCTION("""COMPUTED_VALUE"""),"SWAKELOLA")</f>
        <v>SWAKELOLA</v>
      </c>
      <c r="O1540" s="222" t="str">
        <f>IFERROR(__xludf.DUMMYFUNCTION("""COMPUTED_VALUE"""),"3. PERIZINAN")</f>
        <v>3. PERIZINAN</v>
      </c>
      <c r="P1540" s="222" t="str">
        <f>IFERROR(__xludf.DUMMYFUNCTION("""COMPUTED_VALUE"""),"3.9 Izin Kades / Lurah / RTRW")</f>
        <v>3.9 Izin Kades / Lurah / RTRW</v>
      </c>
      <c r="Q1540" s="222" t="str">
        <f>IFERROR(__xludf.DUMMYFUNCTION("""COMPUTED_VALUE"""),"20/04 OGP perizinan
10/04 take over ke swakelola dari mitra bsa
(07/01) Persiapan")</f>
        <v>20/04 OGP perizinan
10/04 take over ke swakelola dari mitra bsa
(07/01) Persiapan</v>
      </c>
      <c r="R1540" s="228"/>
      <c r="S1540" s="11"/>
      <c r="T1540" s="73"/>
      <c r="U1540" s="11"/>
      <c r="V1540" s="229" t="str">
        <f>IFERROR(__xludf.DUMMYFUNCTION("""COMPUTED_VALUE"""),"28/Apr/2026")</f>
        <v>28/Apr/2026</v>
      </c>
      <c r="W1540" s="229"/>
      <c r="X1540" s="229" t="str">
        <f>IFERROR(__xludf.DUMMYFUNCTION("""COMPUTED_VALUE"""),"BELUM GOLIVE")</f>
        <v>BELUM GOLIVE</v>
      </c>
      <c r="Y1540" s="229"/>
      <c r="Z1540" s="229" t="str">
        <f>IFERROR(__xludf.DUMMYFUNCTION("""COMPUTED_VALUE"""),"#N/A")</f>
        <v>#N/A</v>
      </c>
      <c r="AA1540" s="229"/>
      <c r="AB1540" s="229"/>
      <c r="AC1540" s="229"/>
      <c r="AD1540" s="232"/>
      <c r="AE1540" s="233"/>
      <c r="AF1540" s="54"/>
      <c r="AG1540" s="54"/>
      <c r="AH1540" s="54"/>
      <c r="AI1540" s="55" t="str">
        <f t="shared" si="154"/>
        <v/>
      </c>
      <c r="AW1540" s="234"/>
      <c r="BP1540" s="11"/>
      <c r="BQ1540" s="11"/>
      <c r="BR1540" s="235"/>
      <c r="BV1540" s="158"/>
      <c r="BY1540" s="158"/>
      <c r="CB1540" s="158"/>
    </row>
    <row r="1541" ht="18.0" hidden="1" customHeight="1">
      <c r="A1541" s="222">
        <f>IFERROR(__xludf.DUMMYFUNCTION("""COMPUTED_VALUE"""),2026.0)</f>
        <v>2026</v>
      </c>
      <c r="B1541" s="221">
        <f>IFERROR(__xludf.DUMMYFUNCTION("""COMPUTED_VALUE"""),1.1189292E7)</f>
        <v>11189292</v>
      </c>
      <c r="C1541" s="222" t="str">
        <f>IFERROR(__xludf.DUMMYFUNCTION("""COMPUTED_VALUE"""),"MDN PT3 TMU-FU JL.SEDERHANA GG.CEMPAKA")</f>
        <v>MDN PT3 TMU-FU JL.SEDERHANA GG.CEMPAKA</v>
      </c>
      <c r="D1541" s="222" t="str">
        <f>IFERROR(__xludf.DUMMYFUNCTION("""COMPUTED_VALUE"""),"REGIONAL I")</f>
        <v>REGIONAL I</v>
      </c>
      <c r="E1541" s="222" t="str">
        <f>IFERROR(__xludf.DUMMYFUNCTION("""COMPUTED_VALUE"""),"MEDAN")</f>
        <v>MEDAN</v>
      </c>
      <c r="F1541" s="222" t="str">
        <f>IFERROR(__xludf.DUMMYFUNCTION("""COMPUTED_VALUE"""),"TMU")</f>
        <v>TMU</v>
      </c>
      <c r="G1541" s="222" t="str">
        <f>IFERROR(__xludf.DUMMYFUNCTION("""COMPUTED_VALUE"""),"SUMBAGUT")</f>
        <v>SUMBAGUT</v>
      </c>
      <c r="H1541" s="222" t="str">
        <f>IFERROR(__xludf.DUMMYFUNCTION("""COMPUTED_VALUE"""),"MEDAN")</f>
        <v>MEDAN</v>
      </c>
      <c r="I1541" s="222" t="str">
        <f>IFERROR(__xludf.DUMMYFUNCTION("""COMPUTED_VALUE"""),"Batch 2")</f>
        <v>Batch 2</v>
      </c>
      <c r="J1541" s="225">
        <f>IFERROR(__xludf.DUMMYFUNCTION("""COMPUTED_VALUE"""),3.0)</f>
        <v>3</v>
      </c>
      <c r="K1541" s="224">
        <f>IFERROR(__xludf.DUMMYFUNCTION("""COMPUTED_VALUE"""),24.0)</f>
        <v>24</v>
      </c>
      <c r="L1541" s="226">
        <f>IFERROR(__xludf.DUMMYFUNCTION("""COMPUTED_VALUE"""),720389.0)</f>
        <v>720389</v>
      </c>
      <c r="M1541" s="227">
        <f>IFERROR(__xludf.DUMMYFUNCTION("""COMPUTED_VALUE"""),1.7289333E7)</f>
        <v>17289333</v>
      </c>
      <c r="N1541" s="222" t="str">
        <f>IFERROR(__xludf.DUMMYFUNCTION("""COMPUTED_VALUE"""),"PT ARTHA MANDIRI BERSAMA")</f>
        <v>PT ARTHA MANDIRI BERSAMA</v>
      </c>
      <c r="O1541" s="222" t="str">
        <f>IFERROR(__xludf.DUMMYFUNCTION("""COMPUTED_VALUE"""),"2. DONE AANWIJZING")</f>
        <v>2. DONE AANWIJZING</v>
      </c>
      <c r="P1541" s="222" t="str">
        <f>IFERROR(__xludf.DUMMYFUNCTION("""COMPUTED_VALUE"""),"2.10 Kendala - Feeder Rusak")</f>
        <v>2.10 Kendala - Feeder Rusak</v>
      </c>
      <c r="Q1541" s="222" t="str">
        <f>IFERROR(__xludf.DUMMYFUNCTION("""COMPUTED_VALUE"""),"21/04 pengecekan tipus / butuh qe
01/11 Feeder Loss
(24/09) Perizinan Warga dan Kades / Lurah
(23/09) Perizinan Warga dan Kades / Lurah
15/09 proses aanwijzing")</f>
        <v>21/04 pengecekan tipus / butuh qe
01/11 Feeder Loss
(24/09) Perizinan Warga dan Kades / Lurah
(23/09) Perizinan Warga dan Kades / Lurah
15/09 proses aanwijzing</v>
      </c>
      <c r="R1541" s="228"/>
      <c r="S1541" s="11"/>
      <c r="T1541" s="11"/>
      <c r="U1541" s="11"/>
      <c r="V1541" s="229"/>
      <c r="W1541" s="229"/>
      <c r="X1541" s="229" t="str">
        <f>IFERROR(__xludf.DUMMYFUNCTION("""COMPUTED_VALUE"""),"BELUM GOLIVE")</f>
        <v>BELUM GOLIVE</v>
      </c>
      <c r="Y1541" s="229"/>
      <c r="Z1541" s="229" t="str">
        <f>IFERROR(__xludf.DUMMYFUNCTION("""COMPUTED_VALUE"""),"#N/A")</f>
        <v>#N/A</v>
      </c>
      <c r="AA1541" s="229"/>
      <c r="AB1541" s="229"/>
      <c r="AC1541" s="229"/>
      <c r="AD1541" s="232"/>
      <c r="AE1541" s="233"/>
      <c r="AF1541" s="54"/>
      <c r="AG1541" s="54"/>
      <c r="AH1541" s="54"/>
      <c r="AI1541" s="55" t="str">
        <f t="shared" si="154"/>
        <v/>
      </c>
      <c r="AW1541" s="234"/>
      <c r="BP1541" s="11"/>
      <c r="BQ1541" s="11"/>
      <c r="BR1541" s="235"/>
      <c r="BV1541" s="158"/>
      <c r="BY1541" s="158"/>
      <c r="CB1541" s="158"/>
    </row>
    <row r="1542" ht="18.0" hidden="1" customHeight="1">
      <c r="A1542" s="222">
        <f>IFERROR(__xludf.DUMMYFUNCTION("""COMPUTED_VALUE"""),2026.0)</f>
        <v>2026</v>
      </c>
      <c r="B1542" s="221">
        <f>IFERROR(__xludf.DUMMYFUNCTION("""COMPUTED_VALUE"""),1.2133283E7)</f>
        <v>12133283</v>
      </c>
      <c r="C1542" s="222" t="str">
        <f>IFERROR(__xludf.DUMMYFUNCTION("""COMPUTED_VALUE"""),"LPG PT3 JPP GG Musi Panjang PJN")</f>
        <v>LPG PT3 JPP GG Musi Panjang PJN</v>
      </c>
      <c r="D1542" s="222" t="str">
        <f>IFERROR(__xludf.DUMMYFUNCTION("""COMPUTED_VALUE"""),"REGIONAL I")</f>
        <v>REGIONAL I</v>
      </c>
      <c r="E1542" s="222" t="str">
        <f>IFERROR(__xludf.DUMMYFUNCTION("""COMPUTED_VALUE"""),"LAMPUNG")</f>
        <v>LAMPUNG</v>
      </c>
      <c r="F1542" s="222" t="str">
        <f>IFERROR(__xludf.DUMMYFUNCTION("""COMPUTED_VALUE"""),"PJN")</f>
        <v>PJN</v>
      </c>
      <c r="G1542" s="222" t="str">
        <f>IFERROR(__xludf.DUMMYFUNCTION("""COMPUTED_VALUE"""),"SUMBAGSEL")</f>
        <v>SUMBAGSEL</v>
      </c>
      <c r="H1542" s="222" t="str">
        <f>IFERROR(__xludf.DUMMYFUNCTION("""COMPUTED_VALUE"""),"LAMPUNG")</f>
        <v>LAMPUNG</v>
      </c>
      <c r="I1542" s="222" t="str">
        <f>IFERROR(__xludf.DUMMYFUNCTION("""COMPUTED_VALUE"""),"Batch 2")</f>
        <v>Batch 2</v>
      </c>
      <c r="J1542" s="225">
        <f>IFERROR(__xludf.DUMMYFUNCTION("""COMPUTED_VALUE"""),6.0)</f>
        <v>6</v>
      </c>
      <c r="K1542" s="224">
        <f>IFERROR(__xludf.DUMMYFUNCTION("""COMPUTED_VALUE"""),48.0)</f>
        <v>48</v>
      </c>
      <c r="L1542" s="226">
        <f>IFERROR(__xludf.DUMMYFUNCTION("""COMPUTED_VALUE"""),608880.0)</f>
        <v>608880</v>
      </c>
      <c r="M1542" s="227">
        <f>IFERROR(__xludf.DUMMYFUNCTION("""COMPUTED_VALUE"""),2.9226225E7)</f>
        <v>29226225</v>
      </c>
      <c r="N1542" s="222" t="str">
        <f>IFERROR(__xludf.DUMMYFUNCTION("""COMPUTED_VALUE"""),"PT BANGTELINDO")</f>
        <v>PT BANGTELINDO</v>
      </c>
      <c r="O1542" s="222" t="str">
        <f>IFERROR(__xludf.DUMMYFUNCTION("""COMPUTED_VALUE"""),"0. DROP")</f>
        <v>0. DROP</v>
      </c>
      <c r="P1542" s="222" t="str">
        <f>IFERROR(__xludf.DUMMYFUNCTION("""COMPUTED_VALUE"""),"0.3 Feeder Full")</f>
        <v>0.3 Feeder Full</v>
      </c>
      <c r="Q1542" s="222" t="str">
        <f>IFERROR(__xludf.DUMMYFUNCTION("""COMPUTED_VALUE"""),"2/3 odc penuh dan feeder rusak konfir k tift
27/2 proses pengecekan core dan perizinan,,  24/2 masuk  ODC PJN FE, 29/01 Distribusi &amp; feeder sudah tidak bisa di repair perlu pembangunan feeder &amp; ODC baru 
19/1 butuh repair distribusi fedeer atau pembanguna"&amp;"n big odc ")</f>
        <v>2/3 odc penuh dan feeder rusak konfir k tift
27/2 proses pengecekan core dan perizinan,,  24/2 masuk  ODC PJN FE, 29/01 Distribusi &amp; feeder sudah tidak bisa di repair perlu pembangunan feeder &amp; ODC baru 
19/1 butuh repair distribusi fedeer atau pembangunan big odc </v>
      </c>
      <c r="R1542" s="228"/>
      <c r="S1542" s="11"/>
      <c r="T1542" s="11"/>
      <c r="U1542" s="11"/>
      <c r="V1542" s="229"/>
      <c r="W1542" s="229"/>
      <c r="X1542" s="229" t="str">
        <f>IFERROR(__xludf.DUMMYFUNCTION("""COMPUTED_VALUE"""),"BELUM GOLIVE")</f>
        <v>BELUM GOLIVE</v>
      </c>
      <c r="Y1542" s="229"/>
      <c r="Z1542" s="229" t="str">
        <f>IFERROR(__xludf.DUMMYFUNCTION("""COMPUTED_VALUE"""),"#N/A")</f>
        <v>#N/A</v>
      </c>
      <c r="AA1542" s="229"/>
      <c r="AB1542" s="229"/>
      <c r="AC1542" s="229"/>
      <c r="AD1542" s="232"/>
      <c r="AE1542" s="233"/>
      <c r="AF1542" s="54" t="str">
        <f>IFERROR(__xludf.DUMMYFUNCTION("""COMPUTED_VALUE"""),"Draft BA DROP")</f>
        <v>Draft BA DROP</v>
      </c>
      <c r="AG1542" s="54"/>
      <c r="AH1542" s="54"/>
      <c r="AI1542" s="55" t="str">
        <f t="shared" si="154"/>
        <v/>
      </c>
      <c r="AW1542" s="234"/>
      <c r="BP1542" s="11"/>
      <c r="BQ1542" s="11"/>
      <c r="BR1542" s="235"/>
      <c r="BV1542" s="158"/>
      <c r="BY1542" s="158"/>
      <c r="CB1542" s="158"/>
    </row>
    <row r="1543" ht="18.0" customHeight="1">
      <c r="A1543" s="222">
        <f>IFERROR(__xludf.DUMMYFUNCTION("""COMPUTED_VALUE"""),2026.0)</f>
        <v>2026</v>
      </c>
      <c r="B1543" s="221">
        <f>IFERROR(__xludf.DUMMYFUNCTION("""COMPUTED_VALUE"""),1.110029E7)</f>
        <v>11100290</v>
      </c>
      <c r="C1543" s="222" t="str">
        <f>IFERROR(__xludf.DUMMYFUNCTION("""COMPUTED_VALUE"""),"RKP PT3 JPPTSEL KMS-FBJ PERUM. BUKIT BINTAN_")</f>
        <v>RKP PT3 JPPTSEL KMS-FBJ PERUM. BUKIT BINTAN_</v>
      </c>
      <c r="D1543" s="222" t="str">
        <f>IFERROR(__xludf.DUMMYFUNCTION("""COMPUTED_VALUE"""),"REGIONAL I")</f>
        <v>REGIONAL I</v>
      </c>
      <c r="E1543" s="222" t="str">
        <f>IFERROR(__xludf.DUMMYFUNCTION("""COMPUTED_VALUE"""),"RIKEP")</f>
        <v>RIKEP</v>
      </c>
      <c r="F1543" s="222" t="str">
        <f>IFERROR(__xludf.DUMMYFUNCTION("""COMPUTED_VALUE"""),"KIJ")</f>
        <v>KIJ</v>
      </c>
      <c r="G1543" s="222" t="str">
        <f>IFERROR(__xludf.DUMMYFUNCTION("""COMPUTED_VALUE"""),"SUMBAGTENG")</f>
        <v>SUMBAGTENG</v>
      </c>
      <c r="H1543" s="222" t="str">
        <f>IFERROR(__xludf.DUMMYFUNCTION("""COMPUTED_VALUE"""),"BATAM")</f>
        <v>BATAM</v>
      </c>
      <c r="I1543" s="222" t="str">
        <f>IFERROR(__xludf.DUMMYFUNCTION("""COMPUTED_VALUE"""),"Batch 2")</f>
        <v>Batch 2</v>
      </c>
      <c r="J1543" s="225">
        <f>IFERROR(__xludf.DUMMYFUNCTION("""COMPUTED_VALUE"""),4.0)</f>
        <v>4</v>
      </c>
      <c r="K1543" s="224">
        <f>IFERROR(__xludf.DUMMYFUNCTION("""COMPUTED_VALUE"""),32.0)</f>
        <v>32</v>
      </c>
      <c r="L1543" s="226">
        <f>IFERROR(__xludf.DUMMYFUNCTION("""COMPUTED_VALUE"""),604942.0)</f>
        <v>604942</v>
      </c>
      <c r="M1543" s="227">
        <f>IFERROR(__xludf.DUMMYFUNCTION("""COMPUTED_VALUE"""),1.9358131E7)</f>
        <v>19358131</v>
      </c>
      <c r="N1543" s="222" t="str">
        <f>IFERROR(__xludf.DUMMYFUNCTION("""COMPUTED_VALUE"""),"PT SALTTEK DUMPANG JAYA")</f>
        <v>PT SALTTEK DUMPANG JAYA</v>
      </c>
      <c r="O1543" s="222" t="str">
        <f>IFERROR(__xludf.DUMMYFUNCTION("""COMPUTED_VALUE"""),"0. DROP")</f>
        <v>0. DROP</v>
      </c>
      <c r="P1543" s="222" t="str">
        <f>IFERROR(__xludf.DUMMYFUNCTION("""COMPUTED_VALUE"""),"0.2 Tidak Dapat Izin Warga/Kades/Lurah/Developer")</f>
        <v>0.2 Tidak Dapat Izin Warga/Kades/Lurah/Developer</v>
      </c>
      <c r="Q1543" s="222" t="str">
        <f>IFERROR(__xludf.DUMMYFUNCTION("""COMPUTED_VALUE"""),"28/01 Space tanam tiang tidak ada lagi. 21/01 Proses anwijzing tanggal 22 Jan 2026")</f>
        <v>28/01 Space tanam tiang tidak ada lagi. 21/01 Proses anwijzing tanggal 22 Jan 2026</v>
      </c>
      <c r="R1543" s="228"/>
      <c r="S1543" s="11"/>
      <c r="T1543" s="11"/>
      <c r="U1543" s="11"/>
      <c r="V1543" s="229" t="str">
        <f>IFERROR(__xludf.DUMMYFUNCTION("""COMPUTED_VALUE"""),"DEDY IRAWAN")</f>
        <v>DEDY IRAWAN</v>
      </c>
      <c r="W1543" s="229" t="str">
        <f>IFERROR(__xludf.DUMMYFUNCTION("""COMPUTED_VALUE"""),"LEVITA INDRIYANI")</f>
        <v>LEVITA INDRIYANI</v>
      </c>
      <c r="X1543" s="229" t="str">
        <f>IFERROR(__xludf.DUMMYFUNCTION("""COMPUTED_VALUE"""),"BELUM GOLIVE")</f>
        <v>BELUM GOLIVE</v>
      </c>
      <c r="Y1543" s="229"/>
      <c r="Z1543" s="229" t="str">
        <f>IFERROR(__xludf.DUMMYFUNCTION("""COMPUTED_VALUE"""),"#N/A")</f>
        <v>#N/A</v>
      </c>
      <c r="AA1543" s="229"/>
      <c r="AB1543" s="229"/>
      <c r="AC1543" s="229"/>
      <c r="AD1543" s="232"/>
      <c r="AE1543" s="233"/>
      <c r="AF1543" s="54" t="str">
        <f>IFERROR(__xludf.DUMMYFUNCTION("""COMPUTED_VALUE"""),"Draft BA DROP")</f>
        <v>Draft BA DROP</v>
      </c>
      <c r="AG1543" s="54"/>
      <c r="AH1543" s="54"/>
      <c r="AI1543" s="55" t="str">
        <f t="shared" si="154"/>
        <v/>
      </c>
      <c r="AW1543" s="234"/>
      <c r="BP1543" s="11"/>
      <c r="BQ1543" s="11"/>
      <c r="BR1543" s="235"/>
      <c r="BV1543" s="158"/>
      <c r="BY1543" s="158"/>
      <c r="CB1543" s="158"/>
    </row>
    <row r="1544" ht="18.0" hidden="1" customHeight="1">
      <c r="A1544" s="222">
        <f>IFERROR(__xludf.DUMMYFUNCTION("""COMPUTED_VALUE"""),2026.0)</f>
        <v>2026</v>
      </c>
      <c r="B1544" s="221">
        <f>IFERROR(__xludf.DUMMYFUNCTION("""COMPUTED_VALUE"""),1.1783585E7)</f>
        <v>11783585</v>
      </c>
      <c r="C1544" s="222" t="str">
        <f>IFERROR(__xludf.DUMMYFUNCTION("""COMPUTED_VALUE"""),"LPG PT3 JPP CAHAYA AGUNG RESIDENCE LKP")</f>
        <v>LPG PT3 JPP CAHAYA AGUNG RESIDENCE LKP</v>
      </c>
      <c r="D1544" s="222" t="str">
        <f>IFERROR(__xludf.DUMMYFUNCTION("""COMPUTED_VALUE"""),"REGIONAL I")</f>
        <v>REGIONAL I</v>
      </c>
      <c r="E1544" s="222" t="str">
        <f>IFERROR(__xludf.DUMMYFUNCTION("""COMPUTED_VALUE"""),"LAMPUNG")</f>
        <v>LAMPUNG</v>
      </c>
      <c r="F1544" s="222" t="str">
        <f>IFERROR(__xludf.DUMMYFUNCTION("""COMPUTED_VALUE"""),"LKP")</f>
        <v>LKP</v>
      </c>
      <c r="G1544" s="222" t="str">
        <f>IFERROR(__xludf.DUMMYFUNCTION("""COMPUTED_VALUE"""),"SUMBAGSEL")</f>
        <v>SUMBAGSEL</v>
      </c>
      <c r="H1544" s="222" t="str">
        <f>IFERROR(__xludf.DUMMYFUNCTION("""COMPUTED_VALUE"""),"LAMPUNG")</f>
        <v>LAMPUNG</v>
      </c>
      <c r="I1544" s="222" t="str">
        <f>IFERROR(__xludf.DUMMYFUNCTION("""COMPUTED_VALUE"""),"Batch 2")</f>
        <v>Batch 2</v>
      </c>
      <c r="J1544" s="225">
        <f>IFERROR(__xludf.DUMMYFUNCTION("""COMPUTED_VALUE"""),6.0)</f>
        <v>6</v>
      </c>
      <c r="K1544" s="224">
        <f>IFERROR(__xludf.DUMMYFUNCTION("""COMPUTED_VALUE"""),48.0)</f>
        <v>48</v>
      </c>
      <c r="L1544" s="226">
        <f>IFERROR(__xludf.DUMMYFUNCTION("""COMPUTED_VALUE"""),603014.0)</f>
        <v>603014</v>
      </c>
      <c r="M1544" s="227">
        <f>IFERROR(__xludf.DUMMYFUNCTION("""COMPUTED_VALUE"""),2.8944646E7)</f>
        <v>28944646</v>
      </c>
      <c r="N1544" s="222" t="str">
        <f>IFERROR(__xludf.DUMMYFUNCTION("""COMPUTED_VALUE"""),"SWAKELOLA")</f>
        <v>SWAKELOLA</v>
      </c>
      <c r="O1544" s="222" t="str">
        <f>IFERROR(__xludf.DUMMYFUNCTION("""COMPUTED_VALUE"""),"0. DROP")</f>
        <v>0. DROP</v>
      </c>
      <c r="P1544" s="222" t="str">
        <f>IFERROR(__xludf.DUMMYFUNCTION("""COMPUTED_VALUE"""),"0.2 Tidak Dapat Izin Warga/Kades/Lurah/Developer")</f>
        <v>0.2 Tidak Dapat Izin Warga/Kades/Lurah/Developer</v>
      </c>
      <c r="Q1544" s="222" t="str">
        <f>IFERROR(__xludf.DUMMYFUNCTION("""COMPUTED_VALUE"""),"10/2 tidak dapat izin dari lurah,,
30/1 core distribus tingal 4 port kebutuhan 6port 
19/1 proses pengacekan core dan perizinan")</f>
        <v>10/2 tidak dapat izin dari lurah,,
30/1 core distribus tingal 4 port kebutuhan 6port 
19/1 proses pengacekan core dan perizinan</v>
      </c>
      <c r="R1544" s="228"/>
      <c r="S1544" s="11"/>
      <c r="T1544" s="11"/>
      <c r="U1544" s="11" t="str">
        <f>IFERROR(__xludf.DUMMYFUNCTION("""COMPUTED_VALUE"""),"W02-464/2025")</f>
        <v>W02-464/2025</v>
      </c>
      <c r="V1544" s="229"/>
      <c r="W1544" s="229"/>
      <c r="X1544" s="229" t="str">
        <f>IFERROR(__xludf.DUMMYFUNCTION("""COMPUTED_VALUE"""),"BELUM GOLIVE")</f>
        <v>BELUM GOLIVE</v>
      </c>
      <c r="Y1544" s="229"/>
      <c r="Z1544" s="229" t="str">
        <f>IFERROR(__xludf.DUMMYFUNCTION("""COMPUTED_VALUE"""),"#N/A")</f>
        <v>#N/A</v>
      </c>
      <c r="AA1544" s="229"/>
      <c r="AB1544" s="229"/>
      <c r="AC1544" s="229"/>
      <c r="AD1544" s="232"/>
      <c r="AE1544" s="233"/>
      <c r="AF1544" s="54" t="str">
        <f>IFERROR(__xludf.DUMMYFUNCTION("""COMPUTED_VALUE"""),"Draft BA DROP")</f>
        <v>Draft BA DROP</v>
      </c>
      <c r="AG1544" s="54"/>
      <c r="AH1544" s="54"/>
      <c r="AI1544" s="55" t="str">
        <f t="shared" si="154"/>
        <v/>
      </c>
      <c r="AW1544" s="234"/>
      <c r="BP1544" s="11"/>
      <c r="BQ1544" s="11"/>
      <c r="BR1544" s="235"/>
      <c r="BV1544" s="158"/>
      <c r="BY1544" s="158"/>
      <c r="CB1544" s="158"/>
    </row>
    <row r="1545" ht="18.0" hidden="1" customHeight="1">
      <c r="A1545" s="222">
        <f>IFERROR(__xludf.DUMMYFUNCTION("""COMPUTED_VALUE"""),2026.0)</f>
        <v>2026</v>
      </c>
      <c r="B1545" s="221">
        <f>IFERROR(__xludf.DUMMYFUNCTION("""COMPUTED_VALUE"""),1.2128022E7)</f>
        <v>12128022</v>
      </c>
      <c r="C1545" s="222" t="str">
        <f>IFERROR(__xludf.DUMMYFUNCTION("""COMPUTED_VALUE"""),"LPG PT3 JPP BAITI JANNATI III LKP")</f>
        <v>LPG PT3 JPP BAITI JANNATI III LKP</v>
      </c>
      <c r="D1545" s="222" t="str">
        <f>IFERROR(__xludf.DUMMYFUNCTION("""COMPUTED_VALUE"""),"REGIONAL I")</f>
        <v>REGIONAL I</v>
      </c>
      <c r="E1545" s="222" t="str">
        <f>IFERROR(__xludf.DUMMYFUNCTION("""COMPUTED_VALUE"""),"LAMPUNG")</f>
        <v>LAMPUNG</v>
      </c>
      <c r="F1545" s="222" t="str">
        <f>IFERROR(__xludf.DUMMYFUNCTION("""COMPUTED_VALUE"""),"LKP")</f>
        <v>LKP</v>
      </c>
      <c r="G1545" s="222" t="str">
        <f>IFERROR(__xludf.DUMMYFUNCTION("""COMPUTED_VALUE"""),"SUMBAGSEL")</f>
        <v>SUMBAGSEL</v>
      </c>
      <c r="H1545" s="222" t="str">
        <f>IFERROR(__xludf.DUMMYFUNCTION("""COMPUTED_VALUE"""),"LAMPUNG")</f>
        <v>LAMPUNG</v>
      </c>
      <c r="I1545" s="222" t="str">
        <f>IFERROR(__xludf.DUMMYFUNCTION("""COMPUTED_VALUE"""),"Batch 2")</f>
        <v>Batch 2</v>
      </c>
      <c r="J1545" s="225">
        <f>IFERROR(__xludf.DUMMYFUNCTION("""COMPUTED_VALUE"""),10.0)</f>
        <v>10</v>
      </c>
      <c r="K1545" s="224">
        <f>IFERROR(__xludf.DUMMYFUNCTION("""COMPUTED_VALUE"""),80.0)</f>
        <v>80</v>
      </c>
      <c r="L1545" s="226">
        <f>IFERROR(__xludf.DUMMYFUNCTION("""COMPUTED_VALUE"""),601836.0)</f>
        <v>601836</v>
      </c>
      <c r="M1545" s="227">
        <f>IFERROR(__xludf.DUMMYFUNCTION("""COMPUTED_VALUE"""),4.8146838E7)</f>
        <v>48146838</v>
      </c>
      <c r="N1545" s="222" t="str">
        <f>IFERROR(__xludf.DUMMYFUNCTION("""COMPUTED_VALUE"""),"PT SARANA MITRA PERSADA")</f>
        <v>PT SARANA MITRA PERSADA</v>
      </c>
      <c r="O1545" s="222" t="str">
        <f>IFERROR(__xludf.DUMMYFUNCTION("""COMPUTED_VALUE"""),"0. DROP")</f>
        <v>0. DROP</v>
      </c>
      <c r="P1545" s="222" t="str">
        <f>IFERROR(__xludf.DUMMYFUNCTION("""COMPUTED_VALUE"""),"0.2 Tidak Dapat Izin Warga/Kades/Lurah/Developer")</f>
        <v>0.2 Tidak Dapat Izin Warga/Kades/Lurah/Developer</v>
      </c>
      <c r="Q1545" s="222" t="str">
        <f>IFERROR(__xludf.DUMMYFUNCTION("""COMPUTED_VALUE"""),"15/1 lurah minta surat perkim,diskominfo dan tata kota")</f>
        <v>15/1 lurah minta surat perkim,diskominfo dan tata kota</v>
      </c>
      <c r="R1545" s="228"/>
      <c r="S1545" s="11"/>
      <c r="T1545" s="11"/>
      <c r="U1545" s="11"/>
      <c r="V1545" s="229"/>
      <c r="W1545" s="229"/>
      <c r="X1545" s="229" t="str">
        <f>IFERROR(__xludf.DUMMYFUNCTION("""COMPUTED_VALUE"""),"BELUM GOLIVE")</f>
        <v>BELUM GOLIVE</v>
      </c>
      <c r="Y1545" s="229"/>
      <c r="Z1545" s="229" t="str">
        <f>IFERROR(__xludf.DUMMYFUNCTION("""COMPUTED_VALUE"""),"#N/A")</f>
        <v>#N/A</v>
      </c>
      <c r="AA1545" s="229"/>
      <c r="AB1545" s="229"/>
      <c r="AC1545" s="229"/>
      <c r="AD1545" s="232"/>
      <c r="AE1545" s="233"/>
      <c r="AF1545" s="54" t="str">
        <f>IFERROR(__xludf.DUMMYFUNCTION("""COMPUTED_VALUE"""),"Draft BA DROP")</f>
        <v>Draft BA DROP</v>
      </c>
      <c r="AG1545" s="54"/>
      <c r="AH1545" s="54"/>
      <c r="AI1545" s="55" t="str">
        <f t="shared" si="154"/>
        <v/>
      </c>
      <c r="AW1545" s="234"/>
      <c r="BP1545" s="11"/>
      <c r="BQ1545" s="11"/>
      <c r="BR1545" s="235"/>
      <c r="BV1545" s="158"/>
      <c r="BY1545" s="158"/>
      <c r="CB1545" s="158"/>
    </row>
    <row r="1546" ht="18.0" hidden="1" customHeight="1">
      <c r="A1546" s="222">
        <f>IFERROR(__xludf.DUMMYFUNCTION("""COMPUTED_VALUE"""),2026.0)</f>
        <v>2026</v>
      </c>
      <c r="B1546" s="221">
        <f>IFERROR(__xludf.DUMMYFUNCTION("""COMPUTED_VALUE"""),1.1332918E7)</f>
        <v>11332918</v>
      </c>
      <c r="C1546" s="222" t="str">
        <f>IFERROR(__xludf.DUMMYFUNCTION("""COMPUTED_VALUE"""),"MDN PT3 SPM-FBW PERUM SARI REJO ASRI")</f>
        <v>MDN PT3 SPM-FBW PERUM SARI REJO ASRI</v>
      </c>
      <c r="D1546" s="222" t="str">
        <f>IFERROR(__xludf.DUMMYFUNCTION("""COMPUTED_VALUE"""),"REGIONAL I")</f>
        <v>REGIONAL I</v>
      </c>
      <c r="E1546" s="222" t="str">
        <f>IFERROR(__xludf.DUMMYFUNCTION("""COMPUTED_VALUE"""),"MEDAN")</f>
        <v>MEDAN</v>
      </c>
      <c r="F1546" s="222" t="str">
        <f>IFERROR(__xludf.DUMMYFUNCTION("""COMPUTED_VALUE"""),"SPM")</f>
        <v>SPM</v>
      </c>
      <c r="G1546" s="222" t="str">
        <f>IFERROR(__xludf.DUMMYFUNCTION("""COMPUTED_VALUE"""),"SUMBAGUT")</f>
        <v>SUMBAGUT</v>
      </c>
      <c r="H1546" s="222" t="str">
        <f>IFERROR(__xludf.DUMMYFUNCTION("""COMPUTED_VALUE"""),"MEDAN")</f>
        <v>MEDAN</v>
      </c>
      <c r="I1546" s="222" t="str">
        <f>IFERROR(__xludf.DUMMYFUNCTION("""COMPUTED_VALUE"""),"Batch 2")</f>
        <v>Batch 2</v>
      </c>
      <c r="J1546" s="225">
        <f>IFERROR(__xludf.DUMMYFUNCTION("""COMPUTED_VALUE"""),3.0)</f>
        <v>3</v>
      </c>
      <c r="K1546" s="224">
        <f>IFERROR(__xludf.DUMMYFUNCTION("""COMPUTED_VALUE"""),24.0)</f>
        <v>24</v>
      </c>
      <c r="L1546" s="226">
        <f>IFERROR(__xludf.DUMMYFUNCTION("""COMPUTED_VALUE"""),774454.0)</f>
        <v>774454</v>
      </c>
      <c r="M1546" s="227">
        <f>IFERROR(__xludf.DUMMYFUNCTION("""COMPUTED_VALUE"""),1.8586883E7)</f>
        <v>18586883</v>
      </c>
      <c r="N1546" s="222" t="str">
        <f>IFERROR(__xludf.DUMMYFUNCTION("""COMPUTED_VALUE"""),"PT WALET SOLUSINDO")</f>
        <v>PT WALET SOLUSINDO</v>
      </c>
      <c r="O1546" s="222" t="str">
        <f>IFERROR(__xludf.DUMMYFUNCTION("""COMPUTED_VALUE"""),"7. GOLIVE")</f>
        <v>7. GOLIVE</v>
      </c>
      <c r="P1546" s="222" t="str">
        <f>IFERROR(__xludf.DUMMYFUNCTION("""COMPUTED_VALUE"""),"7.2 Golive Full / OA / DONE OTB")</f>
        <v>7.2 Golive Full / OA / DONE OTB</v>
      </c>
      <c r="Q1546" s="222" t="str">
        <f>IFERROR(__xludf.DUMMYFUNCTION("""COMPUTED_VALUE"""),"17/03 valins 16/03 cor tiang, terminasi odp 15/03 penarikan KU 10/03 pengurusan izin ke paguyuban (11/03) 05/03 redesign NEW DS 27/02 redesign approve 18/02 peralihan DC 05/02 Done Order, Lnjut Aanwidzing")</f>
        <v>17/03 valins 16/03 cor tiang, terminasi odp 15/03 penarikan KU 10/03 pengurusan izin ke paguyuban (11/03) 05/03 redesign NEW DS 27/02 redesign approve 18/02 peralihan DC 05/02 Done Order, Lnjut Aanwidzing</v>
      </c>
      <c r="R1546" s="228">
        <f>IFERROR(__xludf.DUMMYFUNCTION("""COMPUTED_VALUE"""),46108.0)</f>
        <v>46108</v>
      </c>
      <c r="S1546" s="11" t="str">
        <f>IFERROR(__xludf.DUMMYFUNCTION("""COMPUTED_VALUE"""),"MAR")</f>
        <v>MAR</v>
      </c>
      <c r="T1546" s="11"/>
      <c r="U1546" s="11"/>
      <c r="V1546" s="229"/>
      <c r="W1546" s="229"/>
      <c r="X1546" s="229" t="str">
        <f>IFERROR(__xludf.DUMMYFUNCTION("""COMPUTED_VALUE"""),"GOLIVE")</f>
        <v>GOLIVE</v>
      </c>
      <c r="Y1546" s="229" t="str">
        <f>IFERROR(__xludf.DUMMYFUNCTION("""COMPUTED_VALUE"""),"DONE")</f>
        <v>DONE</v>
      </c>
      <c r="Z1546" s="229" t="str">
        <f>IFERROR(__xludf.DUMMYFUNCTION("""COMPUTED_VALUE"""),"#N/A")</f>
        <v>#N/A</v>
      </c>
      <c r="AA1546" s="229">
        <f>IFERROR(__xludf.DUMMYFUNCTION("""COMPUTED_VALUE"""),3.0)</f>
        <v>3</v>
      </c>
      <c r="AB1546" s="229"/>
      <c r="AC1546" s="229" t="str">
        <f>IFERROR(__xludf.DUMMYFUNCTION("""COMPUTED_VALUE"""),"9218376#9218381")</f>
        <v>9218376#9218381</v>
      </c>
      <c r="AD1546" s="232">
        <f>IFERROR(__xludf.DUMMYFUNCTION("""COMPUTED_VALUE"""),24.0)</f>
        <v>24</v>
      </c>
      <c r="AE1546" s="233">
        <f>IFERROR(__xludf.DUMMYFUNCTION("""COMPUTED_VALUE"""),46100.0)</f>
        <v>46100</v>
      </c>
      <c r="AF1546" s="54"/>
      <c r="AG1546" s="54"/>
      <c r="AH1546" s="54">
        <v>46108.0</v>
      </c>
      <c r="AI1546" s="55">
        <f t="shared" si="154"/>
        <v>8</v>
      </c>
      <c r="AW1546" s="234"/>
      <c r="BP1546" s="11"/>
      <c r="BQ1546" s="11"/>
      <c r="BR1546" s="235"/>
      <c r="BV1546" s="158"/>
      <c r="BY1546" s="158"/>
      <c r="CB1546" s="158"/>
    </row>
    <row r="1547" ht="18.0" hidden="1" customHeight="1">
      <c r="A1547" s="222">
        <f>IFERROR(__xludf.DUMMYFUNCTION("""COMPUTED_VALUE"""),2026.0)</f>
        <v>2026</v>
      </c>
      <c r="B1547" s="221">
        <f>IFERROR(__xludf.DUMMYFUNCTION("""COMPUTED_VALUE"""),1.153591E7)</f>
        <v>11535910</v>
      </c>
      <c r="C1547" s="222" t="str">
        <f>IFERROR(__xludf.DUMMYFUNCTION("""COMPUTED_VALUE"""),"MDN PT3 DLT-FC GG.REZEKI")</f>
        <v>MDN PT3 DLT-FC GG.REZEKI</v>
      </c>
      <c r="D1547" s="222" t="str">
        <f>IFERROR(__xludf.DUMMYFUNCTION("""COMPUTED_VALUE"""),"REGIONAL I")</f>
        <v>REGIONAL I</v>
      </c>
      <c r="E1547" s="222" t="str">
        <f>IFERROR(__xludf.DUMMYFUNCTION("""COMPUTED_VALUE"""),"MEDAN")</f>
        <v>MEDAN</v>
      </c>
      <c r="F1547" s="222" t="str">
        <f>IFERROR(__xludf.DUMMYFUNCTION("""COMPUTED_VALUE"""),"DLT")</f>
        <v>DLT</v>
      </c>
      <c r="G1547" s="222" t="str">
        <f>IFERROR(__xludf.DUMMYFUNCTION("""COMPUTED_VALUE"""),"SUMBAGUT")</f>
        <v>SUMBAGUT</v>
      </c>
      <c r="H1547" s="222" t="str">
        <f>IFERROR(__xludf.DUMMYFUNCTION("""COMPUTED_VALUE"""),"MEDAN")</f>
        <v>MEDAN</v>
      </c>
      <c r="I1547" s="222" t="str">
        <f>IFERROR(__xludf.DUMMYFUNCTION("""COMPUTED_VALUE"""),"Batch 2")</f>
        <v>Batch 2</v>
      </c>
      <c r="J1547" s="225">
        <f>IFERROR(__xludf.DUMMYFUNCTION("""COMPUTED_VALUE"""),2.0)</f>
        <v>2</v>
      </c>
      <c r="K1547" s="224">
        <f>IFERROR(__xludf.DUMMYFUNCTION("""COMPUTED_VALUE"""),16.0)</f>
        <v>16</v>
      </c>
      <c r="L1547" s="226">
        <f>IFERROR(__xludf.DUMMYFUNCTION("""COMPUTED_VALUE"""),772056.0)</f>
        <v>772056</v>
      </c>
      <c r="M1547" s="227">
        <f>IFERROR(__xludf.DUMMYFUNCTION("""COMPUTED_VALUE"""),1.2352883E7)</f>
        <v>12352883</v>
      </c>
      <c r="N1547" s="222" t="str">
        <f>IFERROR(__xludf.DUMMYFUNCTION("""COMPUTED_VALUE"""),"PT SALTTEK DUMPANG JAYA")</f>
        <v>PT SALTTEK DUMPANG JAYA</v>
      </c>
      <c r="O1547" s="222" t="str">
        <f>IFERROR(__xludf.DUMMYFUNCTION("""COMPUTED_VALUE"""),"2. DONE AANWIJZING")</f>
        <v>2. DONE AANWIJZING</v>
      </c>
      <c r="P1547" s="222" t="str">
        <f>IFERROR(__xludf.DUMMYFUNCTION("""COMPUTED_VALUE"""),"2.10 Kendala - Feeder Rusak")</f>
        <v>2.10 Kendala - Feeder Rusak</v>
      </c>
      <c r="Q1547" s="222" t="str">
        <f>IFERROR(__xludf.DUMMYFUNCTION("""COMPUTED_VALUE"""),"05/02 Feeder Redti, Plan repair by mitra (07/01) Persiapan")</f>
        <v>05/02 Feeder Redti, Plan repair by mitra (07/01) Persiapan</v>
      </c>
      <c r="R1547" s="228"/>
      <c r="S1547" s="11"/>
      <c r="T1547" s="11"/>
      <c r="U1547" s="11"/>
      <c r="V1547" s="229"/>
      <c r="W1547" s="229"/>
      <c r="X1547" s="229" t="str">
        <f>IFERROR(__xludf.DUMMYFUNCTION("""COMPUTED_VALUE"""),"BELUM GOLIVE")</f>
        <v>BELUM GOLIVE</v>
      </c>
      <c r="Y1547" s="229"/>
      <c r="Z1547" s="229" t="str">
        <f>IFERROR(__xludf.DUMMYFUNCTION("""COMPUTED_VALUE"""),"#N/A")</f>
        <v>#N/A</v>
      </c>
      <c r="AA1547" s="229"/>
      <c r="AB1547" s="229"/>
      <c r="AC1547" s="229"/>
      <c r="AD1547" s="232"/>
      <c r="AE1547" s="233"/>
      <c r="AF1547" s="54"/>
      <c r="AG1547" s="54"/>
      <c r="AH1547" s="54"/>
      <c r="AI1547" s="55" t="str">
        <f t="shared" si="154"/>
        <v/>
      </c>
      <c r="AW1547" s="234"/>
      <c r="BP1547" s="11"/>
      <c r="BQ1547" s="11"/>
      <c r="BR1547" s="235"/>
      <c r="BV1547" s="158"/>
      <c r="BY1547" s="158"/>
      <c r="CB1547" s="158"/>
    </row>
    <row r="1548" ht="18.0" hidden="1" customHeight="1">
      <c r="A1548" s="222">
        <f>IFERROR(__xludf.DUMMYFUNCTION("""COMPUTED_VALUE"""),2026.0)</f>
        <v>2026</v>
      </c>
      <c r="B1548" s="221">
        <f>IFERROR(__xludf.DUMMYFUNCTION("""COMPUTED_VALUE"""),1.1394233E7)</f>
        <v>11394233</v>
      </c>
      <c r="C1548" s="222" t="str">
        <f>IFERROR(__xludf.DUMMYFUNCTION("""COMPUTED_VALUE"""),"MDN PT3 BJI-FFD SUMATERA UTARA_9351_new")</f>
        <v>MDN PT3 BJI-FFD SUMATERA UTARA_9351_new</v>
      </c>
      <c r="D1548" s="222" t="str">
        <f>IFERROR(__xludf.DUMMYFUNCTION("""COMPUTED_VALUE"""),"REGIONAL I")</f>
        <v>REGIONAL I</v>
      </c>
      <c r="E1548" s="222" t="str">
        <f>IFERROR(__xludf.DUMMYFUNCTION("""COMPUTED_VALUE"""),"MEDAN")</f>
        <v>MEDAN</v>
      </c>
      <c r="F1548" s="222" t="str">
        <f>IFERROR(__xludf.DUMMYFUNCTION("""COMPUTED_VALUE"""),"BJI")</f>
        <v>BJI</v>
      </c>
      <c r="G1548" s="222" t="str">
        <f>IFERROR(__xludf.DUMMYFUNCTION("""COMPUTED_VALUE"""),"SUMBAGUT")</f>
        <v>SUMBAGUT</v>
      </c>
      <c r="H1548" s="222" t="str">
        <f>IFERROR(__xludf.DUMMYFUNCTION("""COMPUTED_VALUE"""),"BINJAI")</f>
        <v>BINJAI</v>
      </c>
      <c r="I1548" s="222" t="str">
        <f>IFERROR(__xludf.DUMMYFUNCTION("""COMPUTED_VALUE"""),"Batch 2")</f>
        <v>Batch 2</v>
      </c>
      <c r="J1548" s="225">
        <f>IFERROR(__xludf.DUMMYFUNCTION("""COMPUTED_VALUE"""),1.0)</f>
        <v>1</v>
      </c>
      <c r="K1548" s="224">
        <f>IFERROR(__xludf.DUMMYFUNCTION("""COMPUTED_VALUE"""),8.0)</f>
        <v>8</v>
      </c>
      <c r="L1548" s="226">
        <f>IFERROR(__xludf.DUMMYFUNCTION("""COMPUTED_VALUE"""),789536.0)</f>
        <v>789536</v>
      </c>
      <c r="M1548" s="227">
        <f>IFERROR(__xludf.DUMMYFUNCTION("""COMPUTED_VALUE"""),6316284.0)</f>
        <v>6316284</v>
      </c>
      <c r="N1548" s="222" t="str">
        <f>IFERROR(__xludf.DUMMYFUNCTION("""COMPUTED_VALUE"""),"PT FIBERHOME TECHNOLOGIES INDONESIA")</f>
        <v>PT FIBERHOME TECHNOLOGIES INDONESIA</v>
      </c>
      <c r="O1548" s="222" t="str">
        <f>IFERROR(__xludf.DUMMYFUNCTION("""COMPUTED_VALUE"""),"5. INSTALASI")</f>
        <v>5. INSTALASI</v>
      </c>
      <c r="P1548" s="222" t="str">
        <f>IFERROR(__xludf.DUMMYFUNCTION("""COMPUTED_VALUE"""),"5.6 Proses Penarikan Kabel")</f>
        <v>5.6 Proses Penarikan Kabel</v>
      </c>
      <c r="Q1548" s="222" t="str">
        <f>IFERROR(__xludf.DUMMYFUNCTION("""COMPUTED_VALUE"""),"23/04 penarikan KU 
20/04 tim tiba di medan, lanjut progress instalasi
10/04 request material
20/09 Feeder Redaman Tinggi
19/09 Kades belum bisa dijumpai
18/09 Perizinan kades
15/09 proses aanwijzing")</f>
        <v>23/04 penarikan KU 
20/04 tim tiba di medan, lanjut progress instalasi
10/04 request material
20/09 Feeder Redaman Tinggi
19/09 Kades belum bisa dijumpai
18/09 Perizinan kades
15/09 proses aanwijzing</v>
      </c>
      <c r="R1548" s="228">
        <f>IFERROR(__xludf.DUMMYFUNCTION("""COMPUTED_VALUE"""),46142.0)</f>
        <v>46142</v>
      </c>
      <c r="S1548" s="11"/>
      <c r="T1548" s="11"/>
      <c r="U1548" s="11"/>
      <c r="V1548" s="229"/>
      <c r="W1548" s="229"/>
      <c r="X1548" s="229" t="str">
        <f>IFERROR(__xludf.DUMMYFUNCTION("""COMPUTED_VALUE"""),"BELUM GOLIVE")</f>
        <v>BELUM GOLIVE</v>
      </c>
      <c r="Y1548" s="229"/>
      <c r="Z1548" s="229" t="str">
        <f>IFERROR(__xludf.DUMMYFUNCTION("""COMPUTED_VALUE"""),"#N/A")</f>
        <v>#N/A</v>
      </c>
      <c r="AA1548" s="229"/>
      <c r="AB1548" s="229"/>
      <c r="AC1548" s="229"/>
      <c r="AD1548" s="232"/>
      <c r="AE1548" s="233"/>
      <c r="AF1548" s="54"/>
      <c r="AG1548" s="54"/>
      <c r="AH1548" s="54"/>
      <c r="AI1548" s="55" t="str">
        <f t="shared" si="154"/>
        <v/>
      </c>
      <c r="AW1548" s="234"/>
      <c r="BP1548" s="11"/>
      <c r="BQ1548" s="11"/>
      <c r="BR1548" s="235"/>
      <c r="BV1548" s="158"/>
      <c r="BY1548" s="158"/>
      <c r="CB1548" s="158"/>
    </row>
    <row r="1549" ht="18.0" hidden="1" customHeight="1">
      <c r="A1549" s="222">
        <f>IFERROR(__xludf.DUMMYFUNCTION("""COMPUTED_VALUE"""),2026.0)</f>
        <v>2026</v>
      </c>
      <c r="B1549" s="221">
        <f>IFERROR(__xludf.DUMMYFUNCTION("""COMPUTED_VALUE"""),1.2472299E7)</f>
        <v>12472299</v>
      </c>
      <c r="C1549" s="222" t="str">
        <f>IFERROR(__xludf.DUMMYFUNCTION("""COMPUTED_VALUE"""),"MDN PT3 TTG-FJ JL.BESI 250_1547_1620")</f>
        <v>MDN PT3 TTG-FJ JL.BESI 250_1547_1620</v>
      </c>
      <c r="D1549" s="222" t="str">
        <f>IFERROR(__xludf.DUMMYFUNCTION("""COMPUTED_VALUE"""),"REGIONAL I")</f>
        <v>REGIONAL I</v>
      </c>
      <c r="E1549" s="222" t="str">
        <f>IFERROR(__xludf.DUMMYFUNCTION("""COMPUTED_VALUE"""),"MEDAN")</f>
        <v>MEDAN</v>
      </c>
      <c r="F1549" s="222" t="str">
        <f>IFERROR(__xludf.DUMMYFUNCTION("""COMPUTED_VALUE"""),"TTG")</f>
        <v>TTG</v>
      </c>
      <c r="G1549" s="222" t="str">
        <f>IFERROR(__xludf.DUMMYFUNCTION("""COMPUTED_VALUE"""),"SUMBAGUT")</f>
        <v>SUMBAGUT</v>
      </c>
      <c r="H1549" s="222" t="str">
        <f>IFERROR(__xludf.DUMMYFUNCTION("""COMPUTED_VALUE"""),"MEDAN")</f>
        <v>MEDAN</v>
      </c>
      <c r="I1549" s="222" t="str">
        <f>IFERROR(__xludf.DUMMYFUNCTION("""COMPUTED_VALUE"""),"Batch 2")</f>
        <v>Batch 2</v>
      </c>
      <c r="J1549" s="225">
        <f>IFERROR(__xludf.DUMMYFUNCTION("""COMPUTED_VALUE"""),11.0)</f>
        <v>11</v>
      </c>
      <c r="K1549" s="224">
        <f>IFERROR(__xludf.DUMMYFUNCTION("""COMPUTED_VALUE"""),88.0)</f>
        <v>88</v>
      </c>
      <c r="L1549" s="226">
        <f>IFERROR(__xludf.DUMMYFUNCTION("""COMPUTED_VALUE"""),594577.0)</f>
        <v>594577</v>
      </c>
      <c r="M1549" s="227">
        <f>IFERROR(__xludf.DUMMYFUNCTION("""COMPUTED_VALUE"""),5.2322723E7)</f>
        <v>52322723</v>
      </c>
      <c r="N1549" s="222" t="str">
        <f>IFERROR(__xludf.DUMMYFUNCTION("""COMPUTED_VALUE"""),"SWAKELOLA")</f>
        <v>SWAKELOLA</v>
      </c>
      <c r="O1549" s="222" t="str">
        <f>IFERROR(__xludf.DUMMYFUNCTION("""COMPUTED_VALUE"""),"1. AANWIJZING")</f>
        <v>1. AANWIJZING</v>
      </c>
      <c r="P1549" s="222" t="str">
        <f>IFERROR(__xludf.DUMMYFUNCTION("""COMPUTED_VALUE"""),"1.6 Ongoing Aanwidjzing")</f>
        <v>1.6 Ongoing Aanwidjzing</v>
      </c>
      <c r="Q1549" s="222" t="str">
        <f>IFERROR(__xludf.DUMMYFUNCTION("""COMPUTED_VALUE"""),"20/04 kunjungan ulang pengecekan feeder alih mitra ke swakelola 13/02 Pengecekan ulang Feeder MDN PT4 P7I3 TTG-FJ KOMP HAWILA RESIDENCE 3 02/02 Feeder Tidak Tembus")</f>
        <v>20/04 kunjungan ulang pengecekan feeder alih mitra ke swakelola 13/02 Pengecekan ulang Feeder MDN PT4 P7I3 TTG-FJ KOMP HAWILA RESIDENCE 3 02/02 Feeder Tidak Tembus</v>
      </c>
      <c r="R1549" s="228"/>
      <c r="S1549" s="11"/>
      <c r="T1549" s="11"/>
      <c r="U1549" s="11"/>
      <c r="V1549" s="229"/>
      <c r="W1549" s="229"/>
      <c r="X1549" s="229" t="str">
        <f>IFERROR(__xludf.DUMMYFUNCTION("""COMPUTED_VALUE"""),"BELUM GOLIVE")</f>
        <v>BELUM GOLIVE</v>
      </c>
      <c r="Y1549" s="229"/>
      <c r="Z1549" s="229" t="str">
        <f>IFERROR(__xludf.DUMMYFUNCTION("""COMPUTED_VALUE"""),"#N/A")</f>
        <v>#N/A</v>
      </c>
      <c r="AA1549" s="229"/>
      <c r="AB1549" s="229"/>
      <c r="AC1549" s="229"/>
      <c r="AD1549" s="232"/>
      <c r="AE1549" s="233"/>
      <c r="AF1549" s="54"/>
      <c r="AG1549" s="54"/>
      <c r="AH1549" s="54"/>
      <c r="AI1549" s="55" t="str">
        <f t="shared" si="154"/>
        <v/>
      </c>
      <c r="AW1549" s="234"/>
      <c r="BP1549" s="11"/>
      <c r="BQ1549" s="11"/>
      <c r="BR1549" s="235"/>
      <c r="BV1549" s="158"/>
      <c r="BY1549" s="158"/>
      <c r="CB1549" s="158"/>
    </row>
    <row r="1550" ht="18.0" hidden="1" customHeight="1">
      <c r="A1550" s="222">
        <f>IFERROR(__xludf.DUMMYFUNCTION("""COMPUTED_VALUE"""),2026.0)</f>
        <v>2026</v>
      </c>
      <c r="B1550" s="221">
        <f>IFERROR(__xludf.DUMMYFUNCTION("""COMPUTED_VALUE"""),1.1189288E7)</f>
        <v>11189288</v>
      </c>
      <c r="C1550" s="222" t="str">
        <f>IFERROR(__xludf.DUMMYFUNCTION("""COMPUTED_VALUE"""),"MDN PT3 TMU-FU JL.MAKMUR GG.DAHLIA")</f>
        <v>MDN PT3 TMU-FU JL.MAKMUR GG.DAHLIA</v>
      </c>
      <c r="D1550" s="222" t="str">
        <f>IFERROR(__xludf.DUMMYFUNCTION("""COMPUTED_VALUE"""),"REGIONAL I")</f>
        <v>REGIONAL I</v>
      </c>
      <c r="E1550" s="222" t="str">
        <f>IFERROR(__xludf.DUMMYFUNCTION("""COMPUTED_VALUE"""),"MEDAN")</f>
        <v>MEDAN</v>
      </c>
      <c r="F1550" s="222" t="str">
        <f>IFERROR(__xludf.DUMMYFUNCTION("""COMPUTED_VALUE"""),"TMU")</f>
        <v>TMU</v>
      </c>
      <c r="G1550" s="222" t="str">
        <f>IFERROR(__xludf.DUMMYFUNCTION("""COMPUTED_VALUE"""),"SUMBAGUT")</f>
        <v>SUMBAGUT</v>
      </c>
      <c r="H1550" s="222" t="str">
        <f>IFERROR(__xludf.DUMMYFUNCTION("""COMPUTED_VALUE"""),"MEDAN")</f>
        <v>MEDAN</v>
      </c>
      <c r="I1550" s="222" t="str">
        <f>IFERROR(__xludf.DUMMYFUNCTION("""COMPUTED_VALUE"""),"Batch 2")</f>
        <v>Batch 2</v>
      </c>
      <c r="J1550" s="225">
        <f>IFERROR(__xludf.DUMMYFUNCTION("""COMPUTED_VALUE"""),2.0)</f>
        <v>2</v>
      </c>
      <c r="K1550" s="224">
        <f>IFERROR(__xludf.DUMMYFUNCTION("""COMPUTED_VALUE"""),16.0)</f>
        <v>16</v>
      </c>
      <c r="L1550" s="226">
        <f>IFERROR(__xludf.DUMMYFUNCTION("""COMPUTED_VALUE"""),799252.0)</f>
        <v>799252</v>
      </c>
      <c r="M1550" s="227">
        <f>IFERROR(__xludf.DUMMYFUNCTION("""COMPUTED_VALUE"""),1.2788017E7)</f>
        <v>12788017</v>
      </c>
      <c r="N1550" s="222" t="str">
        <f>IFERROR(__xludf.DUMMYFUNCTION("""COMPUTED_VALUE"""),"PT DUL JAYA TAMA")</f>
        <v>PT DUL JAYA TAMA</v>
      </c>
      <c r="O1550" s="222" t="str">
        <f>IFERROR(__xludf.DUMMYFUNCTION("""COMPUTED_VALUE"""),"2. DONE AANWIJZING")</f>
        <v>2. DONE AANWIJZING</v>
      </c>
      <c r="P1550" s="222" t="str">
        <f>IFERROR(__xludf.DUMMYFUNCTION("""COMPUTED_VALUE"""),"2.10 Kendala - Feeder Rusak")</f>
        <v>2.10 Kendala - Feeder Rusak</v>
      </c>
      <c r="Q1550" s="222" t="str">
        <f>IFERROR(__xludf.DUMMYFUNCTION("""COMPUTED_VALUE"""),"21/04 pengecekan tipus / butuh qe
16/04 take over ke mitra DJT
(07/01) Persiapan
")</f>
        <v>21/04 pengecekan tipus / butuh qe
16/04 take over ke mitra DJT
(07/01) Persiapan
</v>
      </c>
      <c r="R1550" s="228"/>
      <c r="S1550" s="11"/>
      <c r="T1550" s="11"/>
      <c r="U1550" s="11"/>
      <c r="V1550" s="229"/>
      <c r="W1550" s="229"/>
      <c r="X1550" s="229" t="str">
        <f>IFERROR(__xludf.DUMMYFUNCTION("""COMPUTED_VALUE"""),"BELUM GOLIVE")</f>
        <v>BELUM GOLIVE</v>
      </c>
      <c r="Y1550" s="229"/>
      <c r="Z1550" s="229" t="str">
        <f>IFERROR(__xludf.DUMMYFUNCTION("""COMPUTED_VALUE"""),"#N/A")</f>
        <v>#N/A</v>
      </c>
      <c r="AA1550" s="229"/>
      <c r="AB1550" s="229"/>
      <c r="AC1550" s="229"/>
      <c r="AD1550" s="232"/>
      <c r="AE1550" s="233"/>
      <c r="AF1550" s="54"/>
      <c r="AG1550" s="54"/>
      <c r="AH1550" s="54"/>
      <c r="AI1550" s="55" t="str">
        <f t="shared" si="154"/>
        <v/>
      </c>
      <c r="AW1550" s="234"/>
      <c r="BP1550" s="11"/>
      <c r="BQ1550" s="11"/>
      <c r="BR1550" s="235"/>
      <c r="BV1550" s="158"/>
      <c r="BY1550" s="158"/>
      <c r="CB1550" s="158"/>
    </row>
    <row r="1551" ht="18.0" hidden="1" customHeight="1">
      <c r="A1551" s="222">
        <f>IFERROR(__xludf.DUMMYFUNCTION("""COMPUTED_VALUE"""),2026.0)</f>
        <v>2026</v>
      </c>
      <c r="B1551" s="221">
        <f>IFERROR(__xludf.DUMMYFUNCTION("""COMPUTED_VALUE"""),1.1589777E7)</f>
        <v>11589777</v>
      </c>
      <c r="C1551" s="222" t="str">
        <f>IFERROR(__xludf.DUMMYFUNCTION("""COMPUTED_VALUE"""),"SMS P3I1 PT3 MPA FV D01 PUAN RESIDENCE")</f>
        <v>SMS P3I1 PT3 MPA FV D01 PUAN RESIDENCE</v>
      </c>
      <c r="D1551" s="222" t="str">
        <f>IFERROR(__xludf.DUMMYFUNCTION("""COMPUTED_VALUE"""),"REGIONAL I")</f>
        <v>REGIONAL I</v>
      </c>
      <c r="E1551" s="222" t="str">
        <f>IFERROR(__xludf.DUMMYFUNCTION("""COMPUTED_VALUE"""),"SUMSEL")</f>
        <v>SUMSEL</v>
      </c>
      <c r="F1551" s="222" t="str">
        <f>IFERROR(__xludf.DUMMYFUNCTION("""COMPUTED_VALUE"""),"MPA")</f>
        <v>MPA</v>
      </c>
      <c r="G1551" s="222" t="str">
        <f>IFERROR(__xludf.DUMMYFUNCTION("""COMPUTED_VALUE"""),"SUMBAGSEL")</f>
        <v>SUMBAGSEL</v>
      </c>
      <c r="H1551" s="222" t="str">
        <f>IFERROR(__xludf.DUMMYFUNCTION("""COMPUTED_VALUE"""),"PALEMBANG")</f>
        <v>PALEMBANG</v>
      </c>
      <c r="I1551" s="222" t="str">
        <f>IFERROR(__xludf.DUMMYFUNCTION("""COMPUTED_VALUE"""),"Batch 2")</f>
        <v>Batch 2</v>
      </c>
      <c r="J1551" s="225">
        <f>IFERROR(__xludf.DUMMYFUNCTION("""COMPUTED_VALUE"""),2.0)</f>
        <v>2</v>
      </c>
      <c r="K1551" s="224">
        <f>IFERROR(__xludf.DUMMYFUNCTION("""COMPUTED_VALUE"""),16.0)</f>
        <v>16</v>
      </c>
      <c r="L1551" s="226">
        <f>IFERROR(__xludf.DUMMYFUNCTION("""COMPUTED_VALUE"""),591424.0)</f>
        <v>591424</v>
      </c>
      <c r="M1551" s="227">
        <f>IFERROR(__xludf.DUMMYFUNCTION("""COMPUTED_VALUE"""),9462783.0)</f>
        <v>9462783</v>
      </c>
      <c r="N1551" s="222" t="str">
        <f>IFERROR(__xludf.DUMMYFUNCTION("""COMPUTED_VALUE"""),"PT GARINDO TECHNO MANDIRI")</f>
        <v>PT GARINDO TECHNO MANDIRI</v>
      </c>
      <c r="O1551" s="222" t="str">
        <f>IFERROR(__xludf.DUMMYFUNCTION("""COMPUTED_VALUE"""),"7. GOLIVE")</f>
        <v>7. GOLIVE</v>
      </c>
      <c r="P1551" s="222" t="str">
        <f>IFERROR(__xludf.DUMMYFUNCTION("""COMPUTED_VALUE"""),"7.2 Golive Full / OA / DONE OTB")</f>
        <v>7.2 Golive Full / OA / DONE OTB</v>
      </c>
      <c r="Q1551" s="222" t="str">
        <f>IFERROR(__xludf.DUMMYFUNCTION("""COMPUTED_VALUE"""),"10/03 GOLIVE, 09/03 MENUNGGU GOLIVE, 07/03 DONE SUBMIT ABD KE SDI, 07/03 PROGRESS JOINT ODP, 06/03 MENUNGGU ANTRIAN PEKERJAAN, 04/03 MATERIAL ONSITE, 03/03 MATDEL, 02/03 HARI INI AMBIL TIANG, 27/02 DONE RFC,OGP AMBIL MATERIAL EST TGL 02/03, 26/02 MENUNGGU"&amp;" RFC UTK PENGAMBILAN MATERIAL, 25/02 MASIH MENUNGGU TIANG, 24/02 LANJUT PROGRESS SDH ADA RFC DAN MENUNGGU TIANG, 23/02 BELUM INPUT MATERIAL TIANG KRNA TIANG HABIS, 22/2 menunggu material TIANG  20/02 DONE INPUT MATERIAL, 18/02 BELUM BISA INPUT MATERIAL - "&amp;"MSH MENUNGGU PA, 11/2 menunggu PRPO  10/02 MASIH PROGRESS DRM,  4/2 Sudah evall, lanjut  Deploy 30/01 DONE AANWIDJZING TH 2025 - MENUNGGU HASIL EVAL, (26/1) tim TIF belum bisa EVAL hasil anwijzing karena lagi diluar kota , estimasi 29 jan baru kembali ke "&amp;"Palembang(25/01 )DONE AANWIDJZING TH 2025, (21/01) menunggu antrian untuk aanwizjing lapangan, (15/1) SUDAH AANWIDJZING, MENUNGGU HASIL EVAL PALIM LAMBAT TANGGAL 23 JAN  (15/1) ORDER DITERIMA MITRA 14/1, BELUM  AANWIJDZING (16/12) HOLD, 08/12 masih materi"&amp;"al delivery  (24/11) TARIK DAN TANAM TIANG SELESAI , SISA INSTAL ODP (18/11) done eval, lanjut matdel, 14/11 on progress eval, 13/11 MENUNGGU EVAL TIF -TA, (08/11) SUDAH ANWIJZING , TUNGGU EVAL TIF -TA )5/11 menunggu jadwal aanwidzjing  23/10 penunjukan m"&amp;"itra")</f>
        <v>10/03 GOLIVE, 09/03 MENUNGGU GOLIVE, 07/03 DONE SUBMIT ABD KE SDI, 07/03 PROGRESS JOINT ODP, 06/03 MENUNGGU ANTRIAN PEKERJAAN, 04/03 MATERIAL ONSITE, 03/03 MATDEL, 02/03 HARI INI AMBIL TIANG, 27/02 DONE RFC,OGP AMBIL MATERIAL EST TGL 02/03, 26/02 MENUNGGU RFC UTK PENGAMBILAN MATERIAL, 25/02 MASIH MENUNGGU TIANG, 24/02 LANJUT PROGRESS SDH ADA RFC DAN MENUNGGU TIANG, 23/02 BELUM INPUT MATERIAL TIANG KRNA TIANG HABIS, 22/2 menunggu material TIANG  20/02 DONE INPUT MATERIAL, 18/02 BELUM BISA INPUT MATERIAL - MSH MENUNGGU PA, 11/2 menunggu PRPO  10/02 MASIH PROGRESS DRM,  4/2 Sudah evall, lanjut  Deploy 30/01 DONE AANWIDJZING TH 2025 - MENUNGGU HASIL EVAL, (26/1) tim TIF belum bisa EVAL hasil anwijzing karena lagi diluar kota , estimasi 29 jan baru kembali ke Palembang(25/01 )DONE AANWIDJZING TH 2025, (21/01) menunggu antrian untuk aanwizjing lapangan, (15/1) SUDAH AANWIDJZING, MENUNGGU HASIL EVAL PALIM LAMBAT TANGGAL 23 JAN  (15/1) ORDER DITERIMA MITRA 14/1, BELUM  AANWIJDZING (16/12) HOLD, 08/12 masih material delivery  (24/11) TARIK DAN TANAM TIANG SELESAI , SISA INSTAL ODP (18/11) done eval, lanjut matdel, 14/11 on progress eval, 13/11 MENUNGGU EVAL TIF -TA, (08/11) SUDAH ANWIJZING , TUNGGU EVAL TIF -TA )5/11 menunggu jadwal aanwidzjing  23/10 penunjukan mitra</v>
      </c>
      <c r="R1551" s="228">
        <f>IFERROR(__xludf.DUMMYFUNCTION("""COMPUTED_VALUE"""),46097.0)</f>
        <v>46097</v>
      </c>
      <c r="S1551" s="11" t="str">
        <f>IFERROR(__xludf.DUMMYFUNCTION("""COMPUTED_VALUE"""),"MAR")</f>
        <v>MAR</v>
      </c>
      <c r="T1551" s="11"/>
      <c r="U1551" s="11"/>
      <c r="V1551" s="229" t="str">
        <f>IFERROR(__xludf.DUMMYFUNCTION("""COMPUTED_VALUE"""),"TANTOWI")</f>
        <v>TANTOWI</v>
      </c>
      <c r="W1551" s="229"/>
      <c r="X1551" s="229" t="str">
        <f>IFERROR(__xludf.DUMMYFUNCTION("""COMPUTED_VALUE"""),"GOLIVE")</f>
        <v>GOLIVE</v>
      </c>
      <c r="Y1551" s="229" t="str">
        <f>IFERROR(__xludf.DUMMYFUNCTION("""COMPUTED_VALUE"""),"DONE")</f>
        <v>DONE</v>
      </c>
      <c r="Z1551" s="229" t="str">
        <f>IFERROR(__xludf.DUMMYFUNCTION("""COMPUTED_VALUE"""),"#N/A")</f>
        <v>#N/A</v>
      </c>
      <c r="AA1551" s="229">
        <f>IFERROR(__xludf.DUMMYFUNCTION("""COMPUTED_VALUE"""),2.0)</f>
        <v>2</v>
      </c>
      <c r="AB1551" s="229"/>
      <c r="AC1551" s="229" t="str">
        <f>IFERROR(__xludf.DUMMYFUNCTION("""COMPUTED_VALUE"""),"9186955#9186960")</f>
        <v>9186955#9186960</v>
      </c>
      <c r="AD1551" s="232">
        <f>IFERROR(__xludf.DUMMYFUNCTION("""COMPUTED_VALUE"""),16.0)</f>
        <v>16</v>
      </c>
      <c r="AE1551" s="233">
        <f>IFERROR(__xludf.DUMMYFUNCTION("""COMPUTED_VALUE"""),46089.0)</f>
        <v>46089</v>
      </c>
      <c r="AF1551" s="54"/>
      <c r="AG1551" s="54"/>
      <c r="AH1551" s="54">
        <v>46097.0</v>
      </c>
      <c r="AI1551" s="55">
        <f t="shared" si="154"/>
        <v>8</v>
      </c>
      <c r="AW1551" s="234"/>
      <c r="BP1551" s="11"/>
      <c r="BQ1551" s="11"/>
      <c r="BR1551" s="235"/>
      <c r="BV1551" s="158"/>
      <c r="BY1551" s="158"/>
      <c r="CB1551" s="158"/>
    </row>
    <row r="1552" ht="18.0" hidden="1" customHeight="1">
      <c r="A1552" s="222">
        <f>IFERROR(__xludf.DUMMYFUNCTION("""COMPUTED_VALUE"""),2026.0)</f>
        <v>2026</v>
      </c>
      <c r="B1552" s="221">
        <f>IFERROR(__xludf.DUMMYFUNCTION("""COMPUTED_VALUE"""),1.1197162E7)</f>
        <v>11197162</v>
      </c>
      <c r="C1552" s="222" t="str">
        <f>IFERROR(__xludf.DUMMYFUNCTION("""COMPUTED_VALUE"""),"MDN PT3 P7I7 TMU-FAC GG.PARDAMEAN 14")</f>
        <v>MDN PT3 P7I7 TMU-FAC GG.PARDAMEAN 14</v>
      </c>
      <c r="D1552" s="222" t="str">
        <f>IFERROR(__xludf.DUMMYFUNCTION("""COMPUTED_VALUE"""),"REGIONAL I")</f>
        <v>REGIONAL I</v>
      </c>
      <c r="E1552" s="222" t="str">
        <f>IFERROR(__xludf.DUMMYFUNCTION("""COMPUTED_VALUE"""),"MEDAN")</f>
        <v>MEDAN</v>
      </c>
      <c r="F1552" s="222" t="str">
        <f>IFERROR(__xludf.DUMMYFUNCTION("""COMPUTED_VALUE"""),"TMU")</f>
        <v>TMU</v>
      </c>
      <c r="G1552" s="222" t="str">
        <f>IFERROR(__xludf.DUMMYFUNCTION("""COMPUTED_VALUE"""),"SUMBAGUT")</f>
        <v>SUMBAGUT</v>
      </c>
      <c r="H1552" s="222" t="str">
        <f>IFERROR(__xludf.DUMMYFUNCTION("""COMPUTED_VALUE"""),"MEDAN")</f>
        <v>MEDAN</v>
      </c>
      <c r="I1552" s="222" t="str">
        <f>IFERROR(__xludf.DUMMYFUNCTION("""COMPUTED_VALUE"""),"Batch 2")</f>
        <v>Batch 2</v>
      </c>
      <c r="J1552" s="225">
        <f>IFERROR(__xludf.DUMMYFUNCTION("""COMPUTED_VALUE"""),2.0)</f>
        <v>2</v>
      </c>
      <c r="K1552" s="224">
        <f>IFERROR(__xludf.DUMMYFUNCTION("""COMPUTED_VALUE"""),16.0)</f>
        <v>16</v>
      </c>
      <c r="L1552" s="226">
        <f>IFERROR(__xludf.DUMMYFUNCTION("""COMPUTED_VALUE"""),799519.0)</f>
        <v>799519</v>
      </c>
      <c r="M1552" s="227">
        <f>IFERROR(__xludf.DUMMYFUNCTION("""COMPUTED_VALUE"""),1.2792294E7)</f>
        <v>12792294</v>
      </c>
      <c r="N1552" s="222" t="str">
        <f>IFERROR(__xludf.DUMMYFUNCTION("""COMPUTED_VALUE"""),"PT DUL JAYA TAMA")</f>
        <v>PT DUL JAYA TAMA</v>
      </c>
      <c r="O1552" s="222" t="str">
        <f>IFERROR(__xludf.DUMMYFUNCTION("""COMPUTED_VALUE"""),"0. DROP")</f>
        <v>0. DROP</v>
      </c>
      <c r="P1552" s="222" t="str">
        <f>IFERROR(__xludf.DUMMYFUNCTION("""COMPUTED_VALUE"""),"0.3 Feeder Full")</f>
        <v>0.3 Feeder Full</v>
      </c>
      <c r="Q1552" s="222" t="str">
        <f>IFERROR(__xludf.DUMMYFUNCTION("""COMPUTED_VALUE"""),"08/03 Feeder Penuh 29/01 Done Order, lnjut Aanwidzing")</f>
        <v>08/03 Feeder Penuh 29/01 Done Order, lnjut Aanwidzing</v>
      </c>
      <c r="R1552" s="228"/>
      <c r="S1552" s="11"/>
      <c r="T1552" s="11"/>
      <c r="U1552" s="11"/>
      <c r="V1552" s="229"/>
      <c r="W1552" s="229"/>
      <c r="X1552" s="229" t="str">
        <f>IFERROR(__xludf.DUMMYFUNCTION("""COMPUTED_VALUE"""),"BELUM GOLIVE")</f>
        <v>BELUM GOLIVE</v>
      </c>
      <c r="Y1552" s="229"/>
      <c r="Z1552" s="229" t="str">
        <f>IFERROR(__xludf.DUMMYFUNCTION("""COMPUTED_VALUE"""),"#N/A")</f>
        <v>#N/A</v>
      </c>
      <c r="AA1552" s="229"/>
      <c r="AB1552" s="229"/>
      <c r="AC1552" s="229"/>
      <c r="AD1552" s="232"/>
      <c r="AE1552" s="233"/>
      <c r="AF1552" s="54"/>
      <c r="AG1552" s="54"/>
      <c r="AH1552" s="54"/>
      <c r="AI1552" s="55" t="str">
        <f t="shared" si="154"/>
        <v/>
      </c>
      <c r="AW1552" s="234"/>
      <c r="BP1552" s="11"/>
      <c r="BQ1552" s="11"/>
      <c r="BR1552" s="235"/>
      <c r="BV1552" s="158"/>
      <c r="BY1552" s="158"/>
      <c r="CB1552" s="158"/>
    </row>
    <row r="1553" ht="18.0" customHeight="1">
      <c r="A1553" s="222">
        <f>IFERROR(__xludf.DUMMYFUNCTION("""COMPUTED_VALUE"""),2026.0)</f>
        <v>2026</v>
      </c>
      <c r="B1553" s="221">
        <f>IFERROR(__xludf.DUMMYFUNCTION("""COMPUTED_VALUE"""),1.1346027E7)</f>
        <v>11346027</v>
      </c>
      <c r="C1553" s="222" t="str">
        <f>IFERROR(__xludf.DUMMYFUNCTION("""COMPUTED_VALUE"""),"RDR PPN PT4 P2I2 DESA SUKA MAJU 1")</f>
        <v>RDR PPN PT4 P2I2 DESA SUKA MAJU 1</v>
      </c>
      <c r="D1553" s="222" t="str">
        <f>IFERROR(__xludf.DUMMYFUNCTION("""COMPUTED_VALUE"""),"REGIONAL I")</f>
        <v>REGIONAL I</v>
      </c>
      <c r="E1553" s="222" t="str">
        <f>IFERROR(__xludf.DUMMYFUNCTION("""COMPUTED_VALUE"""),"RIDAR")</f>
        <v>RIDAR</v>
      </c>
      <c r="F1553" s="222" t="str">
        <f>IFERROR(__xludf.DUMMYFUNCTION("""COMPUTED_VALUE"""),"PPN")</f>
        <v>PPN</v>
      </c>
      <c r="G1553" s="222" t="str">
        <f>IFERROR(__xludf.DUMMYFUNCTION("""COMPUTED_VALUE"""),"SUMBAGTENG")</f>
        <v>SUMBAGTENG</v>
      </c>
      <c r="H1553" s="222" t="str">
        <f>IFERROR(__xludf.DUMMYFUNCTION("""COMPUTED_VALUE"""),"DUMAI")</f>
        <v>DUMAI</v>
      </c>
      <c r="I1553" s="222" t="str">
        <f>IFERROR(__xludf.DUMMYFUNCTION("""COMPUTED_VALUE"""),"Batch 2")</f>
        <v>Batch 2</v>
      </c>
      <c r="J1553" s="225">
        <f>IFERROR(__xludf.DUMMYFUNCTION("""COMPUTED_VALUE"""),49.0)</f>
        <v>49</v>
      </c>
      <c r="K1553" s="224">
        <f>IFERROR(__xludf.DUMMYFUNCTION("""COMPUTED_VALUE"""),384.0)</f>
        <v>384</v>
      </c>
      <c r="L1553" s="226">
        <f>IFERROR(__xludf.DUMMYFUNCTION("""COMPUTED_VALUE"""),1338615.0)</f>
        <v>1338615</v>
      </c>
      <c r="M1553" s="227">
        <f>IFERROR(__xludf.DUMMYFUNCTION("""COMPUTED_VALUE"""),5.14027932E8)</f>
        <v>514027932</v>
      </c>
      <c r="N1553" s="222" t="str">
        <f>IFERROR(__xludf.DUMMYFUNCTION("""COMPUTED_VALUE"""),"PT LIBER PERSADA MANDIRI")</f>
        <v>PT LIBER PERSADA MANDIRI</v>
      </c>
      <c r="O1553" s="222" t="str">
        <f>IFERROR(__xludf.DUMMYFUNCTION("""COMPUTED_VALUE"""),"7. GOLIVE")</f>
        <v>7. GOLIVE</v>
      </c>
      <c r="P1553" s="222" t="str">
        <f>IFERROR(__xludf.DUMMYFUNCTION("""COMPUTED_VALUE"""),"7.2 Golive Full / OA / DONE OTB")</f>
        <v>7.2 Golive Full / OA / DONE OTB</v>
      </c>
      <c r="Q1553" s="222" t="str">
        <f>IFERROR(__xludf.DUMMYFUNCTION("""COMPUTED_VALUE"""),"(07/01) Persiapan")</f>
        <v>(07/01) Persiapan</v>
      </c>
      <c r="R1553" s="228"/>
      <c r="S1553" s="11"/>
      <c r="T1553" s="11"/>
      <c r="U1553" s="11" t="str">
        <f>IFERROR(__xludf.DUMMYFUNCTION("""COMPUTED_VALUE"""),"W08-738/2025")</f>
        <v>W08-738/2025</v>
      </c>
      <c r="V1553" s="229" t="str">
        <f>IFERROR(__xludf.DUMMYFUNCTION("""COMPUTED_VALUE"""),"ONDI EKA SAPUTRA")</f>
        <v>ONDI EKA SAPUTRA</v>
      </c>
      <c r="W1553" s="229" t="str">
        <f>IFERROR(__xludf.DUMMYFUNCTION("""COMPUTED_VALUE"""),"DESLITA RAHMADANI")</f>
        <v>DESLITA RAHMADANI</v>
      </c>
      <c r="X1553" s="229" t="str">
        <f>IFERROR(__xludf.DUMMYFUNCTION("""COMPUTED_VALUE"""),"GOLIVE")</f>
        <v>GOLIVE</v>
      </c>
      <c r="Y1553" s="229" t="str">
        <f>IFERROR(__xludf.DUMMYFUNCTION("""COMPUTED_VALUE"""),"DONE")</f>
        <v>DONE</v>
      </c>
      <c r="Z1553" s="229" t="str">
        <f>IFERROR(__xludf.DUMMYFUNCTION("""COMPUTED_VALUE"""),"5. Done Integrasi")</f>
        <v>5. Done Integrasi</v>
      </c>
      <c r="AA1553" s="229">
        <f>IFERROR(__xludf.DUMMYFUNCTION("""COMPUTED_VALUE"""),48.0)</f>
        <v>48</v>
      </c>
      <c r="AB1553" s="229"/>
      <c r="AC1553" s="229" t="str">
        <f>IFERROR(__xludf.DUMMYFUNCTION("""COMPUTED_VALUE"""),"8907716#8907721")</f>
        <v>8907716#8907721</v>
      </c>
      <c r="AD1553" s="232">
        <f>IFERROR(__xludf.DUMMYFUNCTION("""COMPUTED_VALUE"""),384.0)</f>
        <v>384</v>
      </c>
      <c r="AE1553" s="233">
        <f>IFERROR(__xludf.DUMMYFUNCTION("""COMPUTED_VALUE"""),46030.0)</f>
        <v>46030</v>
      </c>
      <c r="AF1553" s="54"/>
      <c r="AG1553" s="54"/>
      <c r="AH1553" s="54"/>
      <c r="AI1553" s="55" t="str">
        <f>IF(OR(AH1553="",AE1553=""),"",AH1553-AE1553)</f>
        <v/>
      </c>
      <c r="AW1553" s="234"/>
      <c r="BP1553" s="11"/>
      <c r="BQ1553" s="11"/>
      <c r="BR1553" s="235"/>
      <c r="BV1553" s="158"/>
      <c r="BY1553" s="158"/>
      <c r="CB1553" s="158"/>
    </row>
    <row r="1554" ht="18.0" hidden="1" customHeight="1">
      <c r="A1554" s="222">
        <f>IFERROR(__xludf.DUMMYFUNCTION("""COMPUTED_VALUE"""),2026.0)</f>
        <v>2026</v>
      </c>
      <c r="B1554" s="221">
        <f>IFERROR(__xludf.DUMMYFUNCTION("""COMPUTED_VALUE"""),1.1197148E7)</f>
        <v>11197148</v>
      </c>
      <c r="C1554" s="222" t="str">
        <f>IFERROR(__xludf.DUMMYFUNCTION("""COMPUTED_VALUE"""),"MDN PT3 TJR-FK JL.LIMAU MANIS GG.IKHLAS")</f>
        <v>MDN PT3 TJR-FK JL.LIMAU MANIS GG.IKHLAS</v>
      </c>
      <c r="D1554" s="222" t="str">
        <f>IFERROR(__xludf.DUMMYFUNCTION("""COMPUTED_VALUE"""),"REGIONAL I")</f>
        <v>REGIONAL I</v>
      </c>
      <c r="E1554" s="222" t="str">
        <f>IFERROR(__xludf.DUMMYFUNCTION("""COMPUTED_VALUE"""),"MEDAN")</f>
        <v>MEDAN</v>
      </c>
      <c r="F1554" s="222" t="str">
        <f>IFERROR(__xludf.DUMMYFUNCTION("""COMPUTED_VALUE"""),"TJR")</f>
        <v>TJR</v>
      </c>
      <c r="G1554" s="222" t="str">
        <f>IFERROR(__xludf.DUMMYFUNCTION("""COMPUTED_VALUE"""),"SUMBAGUT")</f>
        <v>SUMBAGUT</v>
      </c>
      <c r="H1554" s="222" t="str">
        <f>IFERROR(__xludf.DUMMYFUNCTION("""COMPUTED_VALUE"""),"MEDAN")</f>
        <v>MEDAN</v>
      </c>
      <c r="I1554" s="222" t="str">
        <f>IFERROR(__xludf.DUMMYFUNCTION("""COMPUTED_VALUE"""),"Batch 2")</f>
        <v>Batch 2</v>
      </c>
      <c r="J1554" s="225">
        <f>IFERROR(__xludf.DUMMYFUNCTION("""COMPUTED_VALUE"""),4.0)</f>
        <v>4</v>
      </c>
      <c r="K1554" s="224">
        <f>IFERROR(__xludf.DUMMYFUNCTION("""COMPUTED_VALUE"""),32.0)</f>
        <v>32</v>
      </c>
      <c r="L1554" s="226">
        <f>IFERROR(__xludf.DUMMYFUNCTION("""COMPUTED_VALUE"""),804970.0)</f>
        <v>804970</v>
      </c>
      <c r="M1554" s="227">
        <f>IFERROR(__xludf.DUMMYFUNCTION("""COMPUTED_VALUE"""),2.5759011E7)</f>
        <v>25759011</v>
      </c>
      <c r="N1554" s="222" t="str">
        <f>IFERROR(__xludf.DUMMYFUNCTION("""COMPUTED_VALUE"""),"PT MEDCOM SOLUTION")</f>
        <v>PT MEDCOM SOLUTION</v>
      </c>
      <c r="O1554" s="222" t="str">
        <f>IFERROR(__xludf.DUMMYFUNCTION("""COMPUTED_VALUE"""),"0. DROP")</f>
        <v>0. DROP</v>
      </c>
      <c r="P1554" s="222" t="str">
        <f>IFERROR(__xludf.DUMMYFUNCTION("""COMPUTED_VALUE"""),"0.2 Tidak Dapat Izin Warga/Kades/Lurah/Developer")</f>
        <v>0.2 Tidak Dapat Izin Warga/Kades/Lurah/Developer</v>
      </c>
      <c r="Q1554" s="222" t="str">
        <f>IFERROR(__xludf.DUMMYFUNCTION("""COMPUTED_VALUE"""),"03/03 tidak dapat izin warga space tanam tiang
(07/01) Persiapan")</f>
        <v>03/03 tidak dapat izin warga space tanam tiang
(07/01) Persiapan</v>
      </c>
      <c r="R1554" s="228"/>
      <c r="S1554" s="11"/>
      <c r="T1554" s="11"/>
      <c r="U1554" s="11"/>
      <c r="V1554" s="229"/>
      <c r="W1554" s="229"/>
      <c r="X1554" s="229" t="str">
        <f>IFERROR(__xludf.DUMMYFUNCTION("""COMPUTED_VALUE"""),"BELUM GOLIVE")</f>
        <v>BELUM GOLIVE</v>
      </c>
      <c r="Y1554" s="229"/>
      <c r="Z1554" s="229" t="str">
        <f>IFERROR(__xludf.DUMMYFUNCTION("""COMPUTED_VALUE"""),"#N/A")</f>
        <v>#N/A</v>
      </c>
      <c r="AA1554" s="229"/>
      <c r="AB1554" s="229"/>
      <c r="AC1554" s="229"/>
      <c r="AD1554" s="232"/>
      <c r="AE1554" s="233"/>
      <c r="AF1554" s="54"/>
      <c r="AG1554" s="54"/>
      <c r="AH1554" s="54"/>
      <c r="AI1554" s="55" t="str">
        <f t="shared" ref="AI1554:AI1571" si="155">IF(OR(R1554="",AE1554=""),"",R1554-AE1554)</f>
        <v/>
      </c>
      <c r="AW1554" s="234"/>
      <c r="BP1554" s="11"/>
      <c r="BQ1554" s="11"/>
      <c r="BR1554" s="235"/>
      <c r="BV1554" s="158"/>
      <c r="BY1554" s="158"/>
      <c r="CB1554" s="158"/>
    </row>
    <row r="1555" ht="18.0" hidden="1" customHeight="1">
      <c r="A1555" s="222">
        <f>IFERROR(__xludf.DUMMYFUNCTION("""COMPUTED_VALUE"""),2026.0)</f>
        <v>2026</v>
      </c>
      <c r="B1555" s="221">
        <f>IFERROR(__xludf.DUMMYFUNCTION("""COMPUTED_VALUE"""),1.1163187E7)</f>
        <v>11163187</v>
      </c>
      <c r="C1555" s="222" t="str">
        <f>IFERROR(__xludf.DUMMYFUNCTION("""COMPUTED_VALUE"""),"MDN PT3 P7I4 CTD-FAP JL.TAHI BONAR")</f>
        <v>MDN PT3 P7I4 CTD-FAP JL.TAHI BONAR</v>
      </c>
      <c r="D1555" s="222" t="str">
        <f>IFERROR(__xludf.DUMMYFUNCTION("""COMPUTED_VALUE"""),"REGIONAL I")</f>
        <v>REGIONAL I</v>
      </c>
      <c r="E1555" s="222" t="str">
        <f>IFERROR(__xludf.DUMMYFUNCTION("""COMPUTED_VALUE"""),"MEDAN")</f>
        <v>MEDAN</v>
      </c>
      <c r="F1555" s="222" t="str">
        <f>IFERROR(__xludf.DUMMYFUNCTION("""COMPUTED_VALUE"""),"CTD")</f>
        <v>CTD</v>
      </c>
      <c r="G1555" s="222" t="str">
        <f>IFERROR(__xludf.DUMMYFUNCTION("""COMPUTED_VALUE"""),"SUMBAGUT")</f>
        <v>SUMBAGUT</v>
      </c>
      <c r="H1555" s="222" t="str">
        <f>IFERROR(__xludf.DUMMYFUNCTION("""COMPUTED_VALUE"""),"MEDAN")</f>
        <v>MEDAN</v>
      </c>
      <c r="I1555" s="222" t="str">
        <f>IFERROR(__xludf.DUMMYFUNCTION("""COMPUTED_VALUE"""),"Batch 2")</f>
        <v>Batch 2</v>
      </c>
      <c r="J1555" s="225">
        <f>IFERROR(__xludf.DUMMYFUNCTION("""COMPUTED_VALUE"""),2.0)</f>
        <v>2</v>
      </c>
      <c r="K1555" s="224">
        <f>IFERROR(__xludf.DUMMYFUNCTION("""COMPUTED_VALUE"""),16.0)</f>
        <v>16</v>
      </c>
      <c r="L1555" s="226">
        <f>IFERROR(__xludf.DUMMYFUNCTION("""COMPUTED_VALUE"""),654315.0)</f>
        <v>654315</v>
      </c>
      <c r="M1555" s="227">
        <f>IFERROR(__xludf.DUMMYFUNCTION("""COMPUTED_VALUE"""),1.0469039E7)</f>
        <v>10469039</v>
      </c>
      <c r="N1555" s="222" t="str">
        <f>IFERROR(__xludf.DUMMYFUNCTION("""COMPUTED_VALUE"""),"PT TRIPOLA PANATA")</f>
        <v>PT TRIPOLA PANATA</v>
      </c>
      <c r="O1555" s="222" t="str">
        <f>IFERROR(__xludf.DUMMYFUNCTION("""COMPUTED_VALUE"""),"0. DROP")</f>
        <v>0. DROP</v>
      </c>
      <c r="P1555" s="222" t="str">
        <f>IFERROR(__xludf.DUMMYFUNCTION("""COMPUTED_VALUE"""),"0.2 Tidak Dapat Izin Warga/Kades/Lurah/Developer")</f>
        <v>0.2 Tidak Dapat Izin Warga/Kades/Lurah/Developer</v>
      </c>
      <c r="Q1555" s="222" t="str">
        <f>IFERROR(__xludf.DUMMYFUNCTION("""COMPUTED_VALUE"""),"Tidak ada space tanam tiang (Ditolak Warga)")</f>
        <v>Tidak ada space tanam tiang (Ditolak Warga)</v>
      </c>
      <c r="R1555" s="228"/>
      <c r="S1555" s="11"/>
      <c r="T1555" s="11"/>
      <c r="U1555" s="11"/>
      <c r="V1555" s="229"/>
      <c r="W1555" s="229"/>
      <c r="X1555" s="229" t="str">
        <f>IFERROR(__xludf.DUMMYFUNCTION("""COMPUTED_VALUE"""),"BELUM GOLIVE")</f>
        <v>BELUM GOLIVE</v>
      </c>
      <c r="Y1555" s="229"/>
      <c r="Z1555" s="229" t="str">
        <f>IFERROR(__xludf.DUMMYFUNCTION("""COMPUTED_VALUE"""),"#N/A")</f>
        <v>#N/A</v>
      </c>
      <c r="AA1555" s="229"/>
      <c r="AB1555" s="229"/>
      <c r="AC1555" s="229"/>
      <c r="AD1555" s="232"/>
      <c r="AE1555" s="233"/>
      <c r="AF1555" s="54" t="str">
        <f>IFERROR(__xludf.DUMMYFUNCTION("""COMPUTED_VALUE"""),"Draft BA DROP")</f>
        <v>Draft BA DROP</v>
      </c>
      <c r="AG1555" s="54"/>
      <c r="AH1555" s="54"/>
      <c r="AI1555" s="55" t="str">
        <f t="shared" si="155"/>
        <v/>
      </c>
      <c r="AW1555" s="234"/>
      <c r="BP1555" s="11"/>
      <c r="BQ1555" s="11"/>
      <c r="BR1555" s="235"/>
      <c r="BV1555" s="158"/>
      <c r="BY1555" s="158"/>
      <c r="CB1555" s="158"/>
    </row>
    <row r="1556" ht="18.0" hidden="1" customHeight="1">
      <c r="A1556" s="222">
        <f>IFERROR(__xludf.DUMMYFUNCTION("""COMPUTED_VALUE"""),2026.0)</f>
        <v>2026</v>
      </c>
      <c r="B1556" s="221">
        <f>IFERROR(__xludf.DUMMYFUNCTION("""COMPUTED_VALUE"""),1.2481415E7)</f>
        <v>12481415</v>
      </c>
      <c r="C1556" s="222" t="str">
        <f>IFERROR(__xludf.DUMMYFUNCTION("""COMPUTED_VALUE"""),"MDN PT3 TTG-FF 250_1555_1623")</f>
        <v>MDN PT3 TTG-FF 250_1555_1623</v>
      </c>
      <c r="D1556" s="222" t="str">
        <f>IFERROR(__xludf.DUMMYFUNCTION("""COMPUTED_VALUE"""),"REGIONAL I")</f>
        <v>REGIONAL I</v>
      </c>
      <c r="E1556" s="222" t="str">
        <f>IFERROR(__xludf.DUMMYFUNCTION("""COMPUTED_VALUE"""),"MEDAN")</f>
        <v>MEDAN</v>
      </c>
      <c r="F1556" s="222" t="str">
        <f>IFERROR(__xludf.DUMMYFUNCTION("""COMPUTED_VALUE"""),"TTG")</f>
        <v>TTG</v>
      </c>
      <c r="G1556" s="222" t="str">
        <f>IFERROR(__xludf.DUMMYFUNCTION("""COMPUTED_VALUE"""),"SUMBAGUT")</f>
        <v>SUMBAGUT</v>
      </c>
      <c r="H1556" s="222" t="str">
        <f>IFERROR(__xludf.DUMMYFUNCTION("""COMPUTED_VALUE"""),"MEDAN")</f>
        <v>MEDAN</v>
      </c>
      <c r="I1556" s="222" t="str">
        <f>IFERROR(__xludf.DUMMYFUNCTION("""COMPUTED_VALUE"""),"Batch 2")</f>
        <v>Batch 2</v>
      </c>
      <c r="J1556" s="225">
        <f>IFERROR(__xludf.DUMMYFUNCTION("""COMPUTED_VALUE"""),6.0)</f>
        <v>6</v>
      </c>
      <c r="K1556" s="224">
        <f>IFERROR(__xludf.DUMMYFUNCTION("""COMPUTED_VALUE"""),48.0)</f>
        <v>48</v>
      </c>
      <c r="L1556" s="226">
        <f>IFERROR(__xludf.DUMMYFUNCTION("""COMPUTED_VALUE"""),590545.0)</f>
        <v>590545</v>
      </c>
      <c r="M1556" s="227">
        <f>IFERROR(__xludf.DUMMYFUNCTION("""COMPUTED_VALUE"""),2.8346116E7)</f>
        <v>28346116</v>
      </c>
      <c r="N1556" s="222" t="str">
        <f>IFERROR(__xludf.DUMMYFUNCTION("""COMPUTED_VALUE"""),"SWAKELOLA")</f>
        <v>SWAKELOLA</v>
      </c>
      <c r="O1556" s="222" t="str">
        <f>IFERROR(__xludf.DUMMYFUNCTION("""COMPUTED_VALUE"""),"7. GOLIVE")</f>
        <v>7. GOLIVE</v>
      </c>
      <c r="P1556" s="222" t="str">
        <f>IFERROR(__xludf.DUMMYFUNCTION("""COMPUTED_VALUE"""),"7.2 Golive Full / OA / DONE OTB")</f>
        <v>7.2 Golive Full / OA / DONE OTB</v>
      </c>
      <c r="Q1556" s="222" t="str">
        <f>IFERROR(__xludf.DUMMYFUNCTION("""COMPUTED_VALUE"""),"01/04 menunggu evident odp 06/03 Penarikan KU 11/02 Aanwidzing OK, lanjut perizinan")</f>
        <v>01/04 menunggu evident odp 06/03 Penarikan KU 11/02 Aanwidzing OK, lanjut perizinan</v>
      </c>
      <c r="R1556" s="228">
        <f>IFERROR(__xludf.DUMMYFUNCTION("""COMPUTED_VALUE"""),46114.0)</f>
        <v>46114</v>
      </c>
      <c r="S1556" s="11"/>
      <c r="T1556" s="73"/>
      <c r="U1556" s="11"/>
      <c r="V1556" s="229"/>
      <c r="W1556" s="229" t="str">
        <f>IFERROR(__xludf.DUMMYFUNCTION("""COMPUTED_VALUE"""),"#N/A")</f>
        <v>#N/A</v>
      </c>
      <c r="X1556" s="229" t="str">
        <f>IFERROR(__xludf.DUMMYFUNCTION("""COMPUTED_VALUE"""),"GOLIVE")</f>
        <v>GOLIVE</v>
      </c>
      <c r="Y1556" s="229" t="str">
        <f>IFERROR(__xludf.DUMMYFUNCTION("""COMPUTED_VALUE"""),"DONE")</f>
        <v>DONE</v>
      </c>
      <c r="Z1556" s="229" t="str">
        <f>IFERROR(__xludf.DUMMYFUNCTION("""COMPUTED_VALUE"""),"#N/A")</f>
        <v>#N/A</v>
      </c>
      <c r="AA1556" s="229">
        <f>IFERROR(__xludf.DUMMYFUNCTION("""COMPUTED_VALUE"""),6.0)</f>
        <v>6</v>
      </c>
      <c r="AB1556" s="229"/>
      <c r="AC1556" s="229" t="str">
        <f>IFERROR(__xludf.DUMMYFUNCTION("""COMPUTED_VALUE"""),"9236891#9236896")</f>
        <v>9236891#9236896</v>
      </c>
      <c r="AD1556" s="232">
        <f>IFERROR(__xludf.DUMMYFUNCTION("""COMPUTED_VALUE"""),48.0)</f>
        <v>48</v>
      </c>
      <c r="AE1556" s="233">
        <f>IFERROR(__xludf.DUMMYFUNCTION("""COMPUTED_VALUE"""),46114.0)</f>
        <v>46114</v>
      </c>
      <c r="AF1556" s="54"/>
      <c r="AG1556" s="54"/>
      <c r="AH1556" s="54">
        <v>46114.0</v>
      </c>
      <c r="AI1556" s="55">
        <f t="shared" si="155"/>
        <v>0</v>
      </c>
      <c r="AW1556" s="234"/>
      <c r="BP1556" s="11"/>
      <c r="BQ1556" s="11"/>
      <c r="BR1556" s="235"/>
      <c r="BV1556" s="158"/>
      <c r="BY1556" s="158"/>
      <c r="CB1556" s="158"/>
    </row>
    <row r="1557" ht="18.0" customHeight="1">
      <c r="A1557" s="222">
        <f>IFERROR(__xludf.DUMMYFUNCTION("""COMPUTED_VALUE"""),2026.0)</f>
        <v>2026</v>
      </c>
      <c r="B1557" s="221">
        <f>IFERROR(__xludf.DUMMYFUNCTION("""COMPUTED_VALUE"""),1.0971717E7)</f>
        <v>10971717</v>
      </c>
      <c r="C1557" s="222" t="str">
        <f>IFERROR(__xludf.DUMMYFUNCTION("""COMPUTED_VALUE"""),"SMB P7I2 MYIR-10514316680001 INSURIADI")</f>
        <v>SMB P7I2 MYIR-10514316680001 INSURIADI</v>
      </c>
      <c r="D1557" s="222" t="str">
        <f>IFERROR(__xludf.DUMMYFUNCTION("""COMPUTED_VALUE"""),"REGIONAL I")</f>
        <v>REGIONAL I</v>
      </c>
      <c r="E1557" s="222" t="str">
        <f>IFERROR(__xludf.DUMMYFUNCTION("""COMPUTED_VALUE"""),"SUMBAR")</f>
        <v>SUMBAR</v>
      </c>
      <c r="F1557" s="222" t="str">
        <f>IFERROR(__xludf.DUMMYFUNCTION("""COMPUTED_VALUE"""),"BDT")</f>
        <v>BDT</v>
      </c>
      <c r="G1557" s="222" t="str">
        <f>IFERROR(__xludf.DUMMYFUNCTION("""COMPUTED_VALUE"""),"SUMBAGTENG")</f>
        <v>SUMBAGTENG</v>
      </c>
      <c r="H1557" s="222" t="str">
        <f>IFERROR(__xludf.DUMMYFUNCTION("""COMPUTED_VALUE"""),"PADANG")</f>
        <v>PADANG</v>
      </c>
      <c r="I1557" s="222" t="str">
        <f>IFERROR(__xludf.DUMMYFUNCTION("""COMPUTED_VALUE"""),"Batch 2")</f>
        <v>Batch 2</v>
      </c>
      <c r="J1557" s="225">
        <f>IFERROR(__xludf.DUMMYFUNCTION("""COMPUTED_VALUE"""),1.0)</f>
        <v>1</v>
      </c>
      <c r="K1557" s="224">
        <f>IFERROR(__xludf.DUMMYFUNCTION("""COMPUTED_VALUE"""),8.0)</f>
        <v>8</v>
      </c>
      <c r="L1557" s="226">
        <f>IFERROR(__xludf.DUMMYFUNCTION("""COMPUTED_VALUE"""),589555.0)</f>
        <v>589555</v>
      </c>
      <c r="M1557" s="227">
        <f>IFERROR(__xludf.DUMMYFUNCTION("""COMPUTED_VALUE"""),4716434.0)</f>
        <v>4716434</v>
      </c>
      <c r="N1557" s="222" t="str">
        <f>IFERROR(__xludf.DUMMYFUNCTION("""COMPUTED_VALUE"""),"PT TRI PENAMAS")</f>
        <v>PT TRI PENAMAS</v>
      </c>
      <c r="O1557" s="222" t="str">
        <f>IFERROR(__xludf.DUMMYFUNCTION("""COMPUTED_VALUE"""),"0. DROP")</f>
        <v>0. DROP</v>
      </c>
      <c r="P1557" s="222" t="str">
        <f>IFERROR(__xludf.DUMMYFUNCTION("""COMPUTED_VALUE"""),"0.3 Feeder Full")</f>
        <v>0.3 Feeder Full</v>
      </c>
      <c r="Q1557" s="222" t="str">
        <f>IFERROR(__xludf.DUMMYFUNCTION("""COMPUTED_VALUE"""),"26/01 : kendala feeder BDT-FB full ")</f>
        <v>26/01 : kendala feeder BDT-FB full </v>
      </c>
      <c r="R1557" s="228"/>
      <c r="S1557" s="11"/>
      <c r="T1557" s="11"/>
      <c r="U1557" s="11"/>
      <c r="V1557" s="229"/>
      <c r="W1557" s="229"/>
      <c r="X1557" s="229" t="str">
        <f>IFERROR(__xludf.DUMMYFUNCTION("""COMPUTED_VALUE"""),"BELUM GOLIVE")</f>
        <v>BELUM GOLIVE</v>
      </c>
      <c r="Y1557" s="229"/>
      <c r="Z1557" s="229" t="str">
        <f>IFERROR(__xludf.DUMMYFUNCTION("""COMPUTED_VALUE"""),"#N/A")</f>
        <v>#N/A</v>
      </c>
      <c r="AA1557" s="229"/>
      <c r="AB1557" s="229"/>
      <c r="AC1557" s="229"/>
      <c r="AD1557" s="232"/>
      <c r="AE1557" s="233"/>
      <c r="AF1557" s="54" t="str">
        <f>IFERROR(__xludf.DUMMYFUNCTION("""COMPUTED_VALUE"""),"Draft BA DROP")</f>
        <v>Draft BA DROP</v>
      </c>
      <c r="AG1557" s="54"/>
      <c r="AH1557" s="54"/>
      <c r="AI1557" s="55" t="str">
        <f t="shared" si="155"/>
        <v/>
      </c>
      <c r="AW1557" s="234"/>
      <c r="BP1557" s="11"/>
      <c r="BQ1557" s="11"/>
      <c r="BR1557" s="235"/>
      <c r="BV1557" s="158"/>
      <c r="BY1557" s="158"/>
      <c r="CB1557" s="158"/>
    </row>
    <row r="1558" ht="18.0" customHeight="1">
      <c r="A1558" s="222">
        <f>IFERROR(__xludf.DUMMYFUNCTION("""COMPUTED_VALUE"""),2026.0)</f>
        <v>2026</v>
      </c>
      <c r="B1558" s="221">
        <f>IFERROR(__xludf.DUMMYFUNCTION("""COMPUTED_VALUE"""),1.1379636E7)</f>
        <v>11379636</v>
      </c>
      <c r="C1558" s="222" t="str">
        <f>IFERROR(__xludf.DUMMYFUNCTION("""COMPUTED_VALUE"""),"SMB P2I2 MD KOTA SOLOK_9591")</f>
        <v>SMB P2I2 MD KOTA SOLOK_9591</v>
      </c>
      <c r="D1558" s="222" t="str">
        <f>IFERROR(__xludf.DUMMYFUNCTION("""COMPUTED_VALUE"""),"REGIONAL I")</f>
        <v>REGIONAL I</v>
      </c>
      <c r="E1558" s="222" t="str">
        <f>IFERROR(__xludf.DUMMYFUNCTION("""COMPUTED_VALUE"""),"SUMBAR")</f>
        <v>SUMBAR</v>
      </c>
      <c r="F1558" s="222" t="str">
        <f>IFERROR(__xludf.DUMMYFUNCTION("""COMPUTED_VALUE"""),"SLK")</f>
        <v>SLK</v>
      </c>
      <c r="G1558" s="222" t="str">
        <f>IFERROR(__xludf.DUMMYFUNCTION("""COMPUTED_VALUE"""),"SUMBAGTENG")</f>
        <v>SUMBAGTENG</v>
      </c>
      <c r="H1558" s="222" t="str">
        <f>IFERROR(__xludf.DUMMYFUNCTION("""COMPUTED_VALUE"""),"PADANG")</f>
        <v>PADANG</v>
      </c>
      <c r="I1558" s="222" t="str">
        <f>IFERROR(__xludf.DUMMYFUNCTION("""COMPUTED_VALUE"""),"Batch 2")</f>
        <v>Batch 2</v>
      </c>
      <c r="J1558" s="225">
        <f>IFERROR(__xludf.DUMMYFUNCTION("""COMPUTED_VALUE"""),4.0)</f>
        <v>4</v>
      </c>
      <c r="K1558" s="224">
        <f>IFERROR(__xludf.DUMMYFUNCTION("""COMPUTED_VALUE"""),32.0)</f>
        <v>32</v>
      </c>
      <c r="L1558" s="226">
        <f>IFERROR(__xludf.DUMMYFUNCTION("""COMPUTED_VALUE"""),588347.0)</f>
        <v>588347</v>
      </c>
      <c r="M1558" s="227">
        <f>IFERROR(__xludf.DUMMYFUNCTION("""COMPUTED_VALUE"""),1.8827101E7)</f>
        <v>18827101</v>
      </c>
      <c r="N1558" s="222" t="str">
        <f>IFERROR(__xludf.DUMMYFUNCTION("""COMPUTED_VALUE"""),"PT TRI PENAMAS")</f>
        <v>PT TRI PENAMAS</v>
      </c>
      <c r="O1558" s="222" t="str">
        <f>IFERROR(__xludf.DUMMYFUNCTION("""COMPUTED_VALUE"""),"0. DROP")</f>
        <v>0. DROP</v>
      </c>
      <c r="P1558" s="222" t="str">
        <f>IFERROR(__xludf.DUMMYFUNCTION("""COMPUTED_VALUE"""),"0.3 Feeder Full")</f>
        <v>0.3 Feeder Full</v>
      </c>
      <c r="Q1558" s="222" t="str">
        <f>IFERROR(__xludf.DUMMYFUNCTION("""COMPUTED_VALUE"""),"(07/01) kendala feeder penuh.  BUTUH NEW FEEDER SLK-FE")</f>
        <v>(07/01) kendala feeder penuh.  BUTUH NEW FEEDER SLK-FE</v>
      </c>
      <c r="R1558" s="228"/>
      <c r="S1558" s="11"/>
      <c r="T1558" s="11"/>
      <c r="U1558" s="11"/>
      <c r="V1558" s="229"/>
      <c r="W1558" s="229"/>
      <c r="X1558" s="229" t="str">
        <f>IFERROR(__xludf.DUMMYFUNCTION("""COMPUTED_VALUE"""),"BELUM GOLIVE")</f>
        <v>BELUM GOLIVE</v>
      </c>
      <c r="Y1558" s="229"/>
      <c r="Z1558" s="229" t="str">
        <f>IFERROR(__xludf.DUMMYFUNCTION("""COMPUTED_VALUE"""),"#N/A")</f>
        <v>#N/A</v>
      </c>
      <c r="AA1558" s="229"/>
      <c r="AB1558" s="229"/>
      <c r="AC1558" s="229"/>
      <c r="AD1558" s="232"/>
      <c r="AE1558" s="233"/>
      <c r="AF1558" s="54" t="str">
        <f>IFERROR(__xludf.DUMMYFUNCTION("""COMPUTED_VALUE"""),"Draft BA DROP")</f>
        <v>Draft BA DROP</v>
      </c>
      <c r="AG1558" s="54"/>
      <c r="AH1558" s="54"/>
      <c r="AI1558" s="55" t="str">
        <f t="shared" si="155"/>
        <v/>
      </c>
      <c r="AW1558" s="234"/>
      <c r="BP1558" s="11"/>
      <c r="BQ1558" s="11"/>
      <c r="BR1558" s="235"/>
      <c r="BV1558" s="158"/>
      <c r="BY1558" s="158"/>
      <c r="CB1558" s="158"/>
    </row>
    <row r="1559" ht="18.0" hidden="1" customHeight="1">
      <c r="A1559" s="222">
        <f>IFERROR(__xludf.DUMMYFUNCTION("""COMPUTED_VALUE"""),2026.0)</f>
        <v>2026</v>
      </c>
      <c r="B1559" s="221">
        <f>IFERROR(__xludf.DUMMYFUNCTION("""COMPUTED_VALUE"""),1.1511616E7)</f>
        <v>11511616</v>
      </c>
      <c r="C1559" s="222" t="str">
        <f>IFERROR(__xludf.DUMMYFUNCTION("""COMPUTED_VALUE"""),"ACH PT3 BPD-FB BR.D05 MEUNASAH")</f>
        <v>ACH PT3 BPD-FB BR.D05 MEUNASAH</v>
      </c>
      <c r="D1559" s="222" t="str">
        <f>IFERROR(__xludf.DUMMYFUNCTION("""COMPUTED_VALUE"""),"REGIONAL I")</f>
        <v>REGIONAL I</v>
      </c>
      <c r="E1559" s="222" t="str">
        <f>IFERROR(__xludf.DUMMYFUNCTION("""COMPUTED_VALUE"""),"ACEH")</f>
        <v>ACEH</v>
      </c>
      <c r="F1559" s="222" t="str">
        <f>IFERROR(__xludf.DUMMYFUNCTION("""COMPUTED_VALUE"""),"BPD")</f>
        <v>BPD</v>
      </c>
      <c r="G1559" s="222" t="str">
        <f>IFERROR(__xludf.DUMMYFUNCTION("""COMPUTED_VALUE"""),"SUMBAGUT")</f>
        <v>SUMBAGUT</v>
      </c>
      <c r="H1559" s="222" t="str">
        <f>IFERROR(__xludf.DUMMYFUNCTION("""COMPUTED_VALUE"""),"BANDA ACEH")</f>
        <v>BANDA ACEH</v>
      </c>
      <c r="I1559" s="222" t="str">
        <f>IFERROR(__xludf.DUMMYFUNCTION("""COMPUTED_VALUE"""),"Batch 2")</f>
        <v>Batch 2</v>
      </c>
      <c r="J1559" s="225">
        <f>IFERROR(__xludf.DUMMYFUNCTION("""COMPUTED_VALUE"""),3.0)</f>
        <v>3</v>
      </c>
      <c r="K1559" s="224">
        <f>IFERROR(__xludf.DUMMYFUNCTION("""COMPUTED_VALUE"""),24.0)</f>
        <v>24</v>
      </c>
      <c r="L1559" s="226">
        <f>IFERROR(__xludf.DUMMYFUNCTION("""COMPUTED_VALUE"""),586084.0)</f>
        <v>586084</v>
      </c>
      <c r="M1559" s="227">
        <f>IFERROR(__xludf.DUMMYFUNCTION("""COMPUTED_VALUE"""),1.4066004E7)</f>
        <v>14066004</v>
      </c>
      <c r="N1559" s="222" t="str">
        <f>IFERROR(__xludf.DUMMYFUNCTION("""COMPUTED_VALUE"""),"PT NIAGA NUSANTARA DIVA")</f>
        <v>PT NIAGA NUSANTARA DIVA</v>
      </c>
      <c r="O1559" s="222" t="str">
        <f>IFERROR(__xludf.DUMMYFUNCTION("""COMPUTED_VALUE"""),"7. GOLIVE")</f>
        <v>7. GOLIVE</v>
      </c>
      <c r="P1559" s="222" t="str">
        <f>IFERROR(__xludf.DUMMYFUNCTION("""COMPUTED_VALUE"""),"7.2 Golive Full / OA / DONE OTB")</f>
        <v>7.2 Golive Full / OA / DONE OTB</v>
      </c>
      <c r="Q1559" s="222" t="str">
        <f>IFERROR(__xludf.DUMMYFUNCTION("""COMPUTED_VALUE"""),"(29/01) (29/01)selesai fisik (08/01) HOLD, BUTUH QE FEEDER TLB-FF(07/01) Persiapan")</f>
        <v>(29/01) (29/01)selesai fisik (08/01) HOLD, BUTUH QE FEEDER TLB-FF(07/01) Persiapan</v>
      </c>
      <c r="R1559" s="228">
        <f>IFERROR(__xludf.DUMMYFUNCTION("""COMPUTED_VALUE"""),46056.0)</f>
        <v>46056</v>
      </c>
      <c r="S1559" s="11"/>
      <c r="T1559" s="11"/>
      <c r="U1559" s="11" t="str">
        <f>IFERROR(__xludf.DUMMYFUNCTION("""COMPUTED_VALUE"""),"W04-936/2025")</f>
        <v>W04-936/2025</v>
      </c>
      <c r="V1559" s="229"/>
      <c r="W1559" s="229"/>
      <c r="X1559" s="229" t="str">
        <f>IFERROR(__xludf.DUMMYFUNCTION("""COMPUTED_VALUE"""),"GOLIVE")</f>
        <v>GOLIVE</v>
      </c>
      <c r="Y1559" s="229" t="str">
        <f>IFERROR(__xludf.DUMMYFUNCTION("""COMPUTED_VALUE"""),"DONE")</f>
        <v>DONE</v>
      </c>
      <c r="Z1559" s="229" t="str">
        <f>IFERROR(__xludf.DUMMYFUNCTION("""COMPUTED_VALUE"""),"#N/A")</f>
        <v>#N/A</v>
      </c>
      <c r="AA1559" s="229">
        <f>IFERROR(__xludf.DUMMYFUNCTION("""COMPUTED_VALUE"""),3.0)</f>
        <v>3</v>
      </c>
      <c r="AB1559" s="229"/>
      <c r="AC1559" s="229" t="str">
        <f>IFERROR(__xludf.DUMMYFUNCTION("""COMPUTED_VALUE"""),"9050210#9050215")</f>
        <v>9050210#9050215</v>
      </c>
      <c r="AD1559" s="232">
        <f>IFERROR(__xludf.DUMMYFUNCTION("""COMPUTED_VALUE"""),24.0)</f>
        <v>24</v>
      </c>
      <c r="AE1559" s="233">
        <f>IFERROR(__xludf.DUMMYFUNCTION("""COMPUTED_VALUE"""),46056.0)</f>
        <v>46056</v>
      </c>
      <c r="AF1559" s="54"/>
      <c r="AG1559" s="54"/>
      <c r="AH1559" s="54">
        <v>46056.0</v>
      </c>
      <c r="AI1559" s="55">
        <f t="shared" si="155"/>
        <v>0</v>
      </c>
      <c r="AW1559" s="234"/>
      <c r="BP1559" s="11"/>
      <c r="BQ1559" s="11"/>
      <c r="BR1559" s="235"/>
      <c r="BV1559" s="158"/>
      <c r="BY1559" s="158"/>
      <c r="CB1559" s="158"/>
    </row>
    <row r="1560" ht="18.0" customHeight="1">
      <c r="A1560" s="222">
        <f>IFERROR(__xludf.DUMMYFUNCTION("""COMPUTED_VALUE"""),2026.0)</f>
        <v>2026</v>
      </c>
      <c r="B1560" s="221">
        <f>IFERROR(__xludf.DUMMYFUNCTION("""COMPUTED_VALUE"""),1.1521983E7)</f>
        <v>11521983</v>
      </c>
      <c r="C1560" s="222" t="str">
        <f>IFERROR(__xludf.DUMMYFUNCTION("""COMPUTED_VALUE"""),"SMB P3I1 Perumahan Green Farensa 10")</f>
        <v>SMB P3I1 Perumahan Green Farensa 10</v>
      </c>
      <c r="D1560" s="222" t="str">
        <f>IFERROR(__xludf.DUMMYFUNCTION("""COMPUTED_VALUE"""),"REGIONAL I")</f>
        <v>REGIONAL I</v>
      </c>
      <c r="E1560" s="222" t="str">
        <f>IFERROR(__xludf.DUMMYFUNCTION("""COMPUTED_VALUE"""),"SUMBAR")</f>
        <v>SUMBAR</v>
      </c>
      <c r="F1560" s="222" t="str">
        <f>IFERROR(__xludf.DUMMYFUNCTION("""COMPUTED_VALUE"""),"TLB")</f>
        <v>TLB</v>
      </c>
      <c r="G1560" s="222" t="str">
        <f>IFERROR(__xludf.DUMMYFUNCTION("""COMPUTED_VALUE"""),"SUMBAGTENG")</f>
        <v>SUMBAGTENG</v>
      </c>
      <c r="H1560" s="222" t="str">
        <f>IFERROR(__xludf.DUMMYFUNCTION("""COMPUTED_VALUE"""),"PADANG")</f>
        <v>PADANG</v>
      </c>
      <c r="I1560" s="222" t="str">
        <f>IFERROR(__xludf.DUMMYFUNCTION("""COMPUTED_VALUE"""),"Batch 2")</f>
        <v>Batch 2</v>
      </c>
      <c r="J1560" s="225">
        <f>IFERROR(__xludf.DUMMYFUNCTION("""COMPUTED_VALUE"""),6.0)</f>
        <v>6</v>
      </c>
      <c r="K1560" s="224">
        <f>IFERROR(__xludf.DUMMYFUNCTION("""COMPUTED_VALUE"""),48.0)</f>
        <v>48</v>
      </c>
      <c r="L1560" s="226">
        <f>IFERROR(__xludf.DUMMYFUNCTION("""COMPUTED_VALUE"""),585704.0)</f>
        <v>585704</v>
      </c>
      <c r="M1560" s="227">
        <f>IFERROR(__xludf.DUMMYFUNCTION("""COMPUTED_VALUE"""),2.8113764E7)</f>
        <v>28113764</v>
      </c>
      <c r="N1560" s="222" t="str">
        <f>IFERROR(__xludf.DUMMYFUNCTION("""COMPUTED_VALUE"""),"PT UPAYA TEKNIK")</f>
        <v>PT UPAYA TEKNIK</v>
      </c>
      <c r="O1560" s="222" t="str">
        <f>IFERROR(__xludf.DUMMYFUNCTION("""COMPUTED_VALUE"""),"2. DONE AANWIJZING")</f>
        <v>2. DONE AANWIJZING</v>
      </c>
      <c r="P1560" s="222" t="str">
        <f>IFERROR(__xludf.DUMMYFUNCTION("""COMPUTED_VALUE"""),"2.10 Kendala - Feeder Rusak")</f>
        <v>2.10 Kendala - Feeder Rusak</v>
      </c>
      <c r="Q1560" s="222" t="str">
        <f>IFERROR(__xludf.DUMMYFUNCTION("""COMPUTED_VALUE"""),"(20/04Proses identifikasi QE feeder  (12/03) proses pengukuran tipus feeder TLB-FF (27/01) BUTUH QE FEEDER TLB-FF (07/01) Persiapan")</f>
        <v>(20/04Proses identifikasi QE feeder  (12/03) proses pengukuran tipus feeder TLB-FF (27/01) BUTUH QE FEEDER TLB-FF (07/01) Persiapan</v>
      </c>
      <c r="R1560" s="228"/>
      <c r="S1560" s="11"/>
      <c r="T1560" s="11"/>
      <c r="U1560" s="11"/>
      <c r="V1560" s="229"/>
      <c r="W1560" s="229"/>
      <c r="X1560" s="229" t="str">
        <f>IFERROR(__xludf.DUMMYFUNCTION("""COMPUTED_VALUE"""),"BELUM GOLIVE")</f>
        <v>BELUM GOLIVE</v>
      </c>
      <c r="Y1560" s="229"/>
      <c r="Z1560" s="229" t="str">
        <f>IFERROR(__xludf.DUMMYFUNCTION("""COMPUTED_VALUE"""),"#N/A")</f>
        <v>#N/A</v>
      </c>
      <c r="AA1560" s="229"/>
      <c r="AB1560" s="229"/>
      <c r="AC1560" s="229"/>
      <c r="AD1560" s="232"/>
      <c r="AE1560" s="233"/>
      <c r="AF1560" s="54"/>
      <c r="AG1560" s="54"/>
      <c r="AH1560" s="54"/>
      <c r="AI1560" s="55" t="str">
        <f t="shared" si="155"/>
        <v/>
      </c>
      <c r="AW1560" s="234"/>
      <c r="BP1560" s="11"/>
      <c r="BQ1560" s="11"/>
      <c r="BR1560" s="235"/>
      <c r="BV1560" s="158"/>
      <c r="BY1560" s="158"/>
      <c r="CB1560" s="158"/>
    </row>
    <row r="1561" ht="18.0" customHeight="1">
      <c r="A1561" s="222">
        <f>IFERROR(__xludf.DUMMYFUNCTION("""COMPUTED_VALUE"""),2026.0)</f>
        <v>2026</v>
      </c>
      <c r="B1561" s="221">
        <f>IFERROR(__xludf.DUMMYFUNCTION("""COMPUTED_VALUE"""),1.1393458E7)</f>
        <v>11393458</v>
      </c>
      <c r="C1561" s="222" t="str">
        <f>IFERROR(__xludf.DUMMYFUNCTION("""COMPUTED_VALUE"""),"SMB MD KOTA PADANG_14747")</f>
        <v>SMB MD KOTA PADANG_14747</v>
      </c>
      <c r="D1561" s="222" t="str">
        <f>IFERROR(__xludf.DUMMYFUNCTION("""COMPUTED_VALUE"""),"REGIONAL I")</f>
        <v>REGIONAL I</v>
      </c>
      <c r="E1561" s="222" t="str">
        <f>IFERROR(__xludf.DUMMYFUNCTION("""COMPUTED_VALUE"""),"SUMBAR")</f>
        <v>SUMBAR</v>
      </c>
      <c r="F1561" s="222" t="str">
        <f>IFERROR(__xludf.DUMMYFUNCTION("""COMPUTED_VALUE"""),"KJI")</f>
        <v>KJI</v>
      </c>
      <c r="G1561" s="222" t="str">
        <f>IFERROR(__xludf.DUMMYFUNCTION("""COMPUTED_VALUE"""),"SUMBAGTENG")</f>
        <v>SUMBAGTENG</v>
      </c>
      <c r="H1561" s="222" t="str">
        <f>IFERROR(__xludf.DUMMYFUNCTION("""COMPUTED_VALUE"""),"PADANG")</f>
        <v>PADANG</v>
      </c>
      <c r="I1561" s="222" t="str">
        <f>IFERROR(__xludf.DUMMYFUNCTION("""COMPUTED_VALUE"""),"Batch 2")</f>
        <v>Batch 2</v>
      </c>
      <c r="J1561" s="225">
        <f>IFERROR(__xludf.DUMMYFUNCTION("""COMPUTED_VALUE"""),1.0)</f>
        <v>1</v>
      </c>
      <c r="K1561" s="224">
        <f>IFERROR(__xludf.DUMMYFUNCTION("""COMPUTED_VALUE"""),8.0)</f>
        <v>8</v>
      </c>
      <c r="L1561" s="226">
        <f>IFERROR(__xludf.DUMMYFUNCTION("""COMPUTED_VALUE"""),584593.0)</f>
        <v>584593</v>
      </c>
      <c r="M1561" s="227">
        <f>IFERROR(__xludf.DUMMYFUNCTION("""COMPUTED_VALUE"""),4676742.0)</f>
        <v>4676742</v>
      </c>
      <c r="N1561" s="222" t="str">
        <f>IFERROR(__xludf.DUMMYFUNCTION("""COMPUTED_VALUE"""),"PT TRI PENAMAS")</f>
        <v>PT TRI PENAMAS</v>
      </c>
      <c r="O1561" s="222" t="str">
        <f>IFERROR(__xludf.DUMMYFUNCTION("""COMPUTED_VALUE"""),"8. UJI TERIMA")</f>
        <v>8. UJI TERIMA</v>
      </c>
      <c r="P1561" s="222" t="str">
        <f>IFERROR(__xludf.DUMMYFUNCTION("""COMPUTED_VALUE"""),"8.1 Proses UT")</f>
        <v>8.1 Proses UT</v>
      </c>
      <c r="Q1561" s="222" t="str">
        <f>IFERROR(__xludf.DUMMYFUNCTION("""COMPUTED_VALUE"""),"(04/02) Proses pergantian kabel 12 ke 24 (29/01) Proses UT HI 29/01/2025 28/01 : valins 26/01 : penarikan KU (21/01) Menunggu PID  (07/01) Persiapan")</f>
        <v>(04/02) Proses pergantian kabel 12 ke 24 (29/01) Proses UT HI 29/01/2025 28/01 : valins 26/01 : penarikan KU (21/01) Menunggu PID  (07/01) Persiapan</v>
      </c>
      <c r="R1561" s="228">
        <f>IFERROR(__xludf.DUMMYFUNCTION("""COMPUTED_VALUE"""),46080.0)</f>
        <v>46080</v>
      </c>
      <c r="S1561" s="11"/>
      <c r="T1561" s="11"/>
      <c r="U1561" s="11" t="str">
        <f>IFERROR(__xludf.DUMMYFUNCTION("""COMPUTED_VALUE"""),"TIF-1823/2026 26KT03R158-0003")</f>
        <v>TIF-1823/2026 26KT03R158-0003</v>
      </c>
      <c r="V1561" s="229" t="str">
        <f>IFERROR(__xludf.DUMMYFUNCTION("""COMPUTED_VALUE"""),"FABIO RAHMAN")</f>
        <v>FABIO RAHMAN</v>
      </c>
      <c r="W1561" s="229" t="str">
        <f>IFERROR(__xludf.DUMMYFUNCTION("""COMPUTED_VALUE"""),"MELKO NARWADI")</f>
        <v>MELKO NARWADI</v>
      </c>
      <c r="X1561" s="229" t="str">
        <f>IFERROR(__xludf.DUMMYFUNCTION("""COMPUTED_VALUE"""),"GOLIVE")</f>
        <v>GOLIVE</v>
      </c>
      <c r="Y1561" s="229" t="str">
        <f>IFERROR(__xludf.DUMMYFUNCTION("""COMPUTED_VALUE"""),"DONE")</f>
        <v>DONE</v>
      </c>
      <c r="Z1561" s="229" t="str">
        <f>IFERROR(__xludf.DUMMYFUNCTION("""COMPUTED_VALUE"""),"#N/A")</f>
        <v>#N/A</v>
      </c>
      <c r="AA1561" s="229">
        <f>IFERROR(__xludf.DUMMYFUNCTION("""COMPUTED_VALUE"""),2.0)</f>
        <v>2</v>
      </c>
      <c r="AB1561" s="229"/>
      <c r="AC1561" s="229" t="str">
        <f>IFERROR(__xludf.DUMMYFUNCTION("""COMPUTED_VALUE"""),"9046403#9046408")</f>
        <v>9046403#9046408</v>
      </c>
      <c r="AD1561" s="232">
        <f>IFERROR(__xludf.DUMMYFUNCTION("""COMPUTED_VALUE"""),16.0)</f>
        <v>16</v>
      </c>
      <c r="AE1561" s="233">
        <f>IFERROR(__xludf.DUMMYFUNCTION("""COMPUTED_VALUE"""),46062.0)</f>
        <v>46062</v>
      </c>
      <c r="AF1561" s="54"/>
      <c r="AG1561" s="54"/>
      <c r="AH1561" s="54">
        <v>46080.0</v>
      </c>
      <c r="AI1561" s="55">
        <f t="shared" si="155"/>
        <v>18</v>
      </c>
      <c r="AW1561" s="234"/>
      <c r="BP1561" s="11"/>
      <c r="BQ1561" s="11"/>
      <c r="BR1561" s="235"/>
      <c r="BV1561" s="158"/>
      <c r="BY1561" s="158"/>
      <c r="CB1561" s="158"/>
    </row>
    <row r="1562" ht="18.0" hidden="1" customHeight="1">
      <c r="A1562" s="222">
        <f>IFERROR(__xludf.DUMMYFUNCTION("""COMPUTED_VALUE"""),2026.0)</f>
        <v>2026</v>
      </c>
      <c r="B1562" s="221">
        <f>IFERROR(__xludf.DUMMYFUNCTION("""COMPUTED_VALUE"""),1.1587733E7)</f>
        <v>11587733</v>
      </c>
      <c r="C1562" s="222" t="str">
        <f>IFERROR(__xludf.DUMMYFUNCTION("""COMPUTED_VALUE"""),"ACH DAR PT3 DAR-FAW ALUE DRAGON 4")</f>
        <v>ACH DAR PT3 DAR-FAW ALUE DRAGON 4</v>
      </c>
      <c r="D1562" s="222" t="str">
        <f>IFERROR(__xludf.DUMMYFUNCTION("""COMPUTED_VALUE"""),"REGIONAL I")</f>
        <v>REGIONAL I</v>
      </c>
      <c r="E1562" s="222" t="str">
        <f>IFERROR(__xludf.DUMMYFUNCTION("""COMPUTED_VALUE"""),"ACEH")</f>
        <v>ACEH</v>
      </c>
      <c r="F1562" s="222" t="str">
        <f>IFERROR(__xludf.DUMMYFUNCTION("""COMPUTED_VALUE"""),"DAR")</f>
        <v>DAR</v>
      </c>
      <c r="G1562" s="222" t="str">
        <f>IFERROR(__xludf.DUMMYFUNCTION("""COMPUTED_VALUE"""),"SUMBAGUT")</f>
        <v>SUMBAGUT</v>
      </c>
      <c r="H1562" s="222" t="str">
        <f>IFERROR(__xludf.DUMMYFUNCTION("""COMPUTED_VALUE"""),"BANDA ACEH")</f>
        <v>BANDA ACEH</v>
      </c>
      <c r="I1562" s="222" t="str">
        <f>IFERROR(__xludf.DUMMYFUNCTION("""COMPUTED_VALUE"""),"Batch 2")</f>
        <v>Batch 2</v>
      </c>
      <c r="J1562" s="225">
        <f>IFERROR(__xludf.DUMMYFUNCTION("""COMPUTED_VALUE"""),3.0)</f>
        <v>3</v>
      </c>
      <c r="K1562" s="224">
        <f>IFERROR(__xludf.DUMMYFUNCTION("""COMPUTED_VALUE"""),32.0)</f>
        <v>32</v>
      </c>
      <c r="L1562" s="226">
        <f>IFERROR(__xludf.DUMMYFUNCTION("""COMPUTED_VALUE"""),584473.0)</f>
        <v>584473</v>
      </c>
      <c r="M1562" s="227">
        <f>IFERROR(__xludf.DUMMYFUNCTION("""COMPUTED_VALUE"""),1.8703126E7)</f>
        <v>18703126</v>
      </c>
      <c r="N1562" s="222" t="str">
        <f>IFERROR(__xludf.DUMMYFUNCTION("""COMPUTED_VALUE"""),"PT NIAGA NUSANTARA DIVA")</f>
        <v>PT NIAGA NUSANTARA DIVA</v>
      </c>
      <c r="O1562" s="222" t="str">
        <f>IFERROR(__xludf.DUMMYFUNCTION("""COMPUTED_VALUE"""),"2. DONE AANWIJZING")</f>
        <v>2. DONE AANWIJZING</v>
      </c>
      <c r="P1562" s="222" t="str">
        <f>IFERROR(__xludf.DUMMYFUNCTION("""COMPUTED_VALUE"""),"2.10 Kendala - Feeder Rusak")</f>
        <v>2.10 Kendala - Feeder Rusak</v>
      </c>
      <c r="Q1562" s="222" t="str">
        <f>IFERROR(__xludf.DUMMYFUNCTION("""COMPUTED_VALUE"""),"(03/03) Need Re-Design untuk Repair (29/01) Perlu review solusi QE Feeder rusak dengan TIF  (22/01) Feeder Habis (07/01) Persiapan")</f>
        <v>(03/03) Need Re-Design untuk Repair (29/01) Perlu review solusi QE Feeder rusak dengan TIF  (22/01) Feeder Habis (07/01) Persiapan</v>
      </c>
      <c r="R1562" s="228"/>
      <c r="S1562" s="11"/>
      <c r="T1562" s="11"/>
      <c r="U1562" s="11"/>
      <c r="V1562" s="229"/>
      <c r="W1562" s="229"/>
      <c r="X1562" s="229" t="str">
        <f>IFERROR(__xludf.DUMMYFUNCTION("""COMPUTED_VALUE"""),"BELUM GOLIVE")</f>
        <v>BELUM GOLIVE</v>
      </c>
      <c r="Y1562" s="229"/>
      <c r="Z1562" s="229" t="str">
        <f>IFERROR(__xludf.DUMMYFUNCTION("""COMPUTED_VALUE"""),"#N/A")</f>
        <v>#N/A</v>
      </c>
      <c r="AA1562" s="229"/>
      <c r="AB1562" s="229"/>
      <c r="AC1562" s="229"/>
      <c r="AD1562" s="232"/>
      <c r="AE1562" s="233"/>
      <c r="AF1562" s="54"/>
      <c r="AG1562" s="54"/>
      <c r="AH1562" s="54"/>
      <c r="AI1562" s="55" t="str">
        <f t="shared" si="155"/>
        <v/>
      </c>
      <c r="AW1562" s="234"/>
      <c r="BP1562" s="11"/>
      <c r="BQ1562" s="11"/>
      <c r="BR1562" s="235"/>
      <c r="BV1562" s="158"/>
      <c r="BY1562" s="158"/>
      <c r="CB1562" s="158"/>
    </row>
    <row r="1563" ht="18.0" hidden="1" customHeight="1">
      <c r="A1563" s="222">
        <f>IFERROR(__xludf.DUMMYFUNCTION("""COMPUTED_VALUE"""),2026.0)</f>
        <v>2026</v>
      </c>
      <c r="B1563" s="221">
        <f>IFERROR(__xludf.DUMMYFUNCTION("""COMPUTED_VALUE"""),1.1532893E7)</f>
        <v>11532893</v>
      </c>
      <c r="C1563" s="222" t="str">
        <f>IFERROR(__xludf.DUMMYFUNCTION("""COMPUTED_VALUE"""),"MDN PT3 SPM FAS JL.PENDIDIKAN")</f>
        <v>MDN PT3 SPM FAS JL.PENDIDIKAN</v>
      </c>
      <c r="D1563" s="222" t="str">
        <f>IFERROR(__xludf.DUMMYFUNCTION("""COMPUTED_VALUE"""),"REGIONAL I")</f>
        <v>REGIONAL I</v>
      </c>
      <c r="E1563" s="222" t="str">
        <f>IFERROR(__xludf.DUMMYFUNCTION("""COMPUTED_VALUE"""),"MEDAN")</f>
        <v>MEDAN</v>
      </c>
      <c r="F1563" s="222" t="str">
        <f>IFERROR(__xludf.DUMMYFUNCTION("""COMPUTED_VALUE"""),"SPM")</f>
        <v>SPM</v>
      </c>
      <c r="G1563" s="222" t="str">
        <f>IFERROR(__xludf.DUMMYFUNCTION("""COMPUTED_VALUE"""),"SUMBAGUT")</f>
        <v>SUMBAGUT</v>
      </c>
      <c r="H1563" s="222" t="str">
        <f>IFERROR(__xludf.DUMMYFUNCTION("""COMPUTED_VALUE"""),"MEDAN")</f>
        <v>MEDAN</v>
      </c>
      <c r="I1563" s="222" t="str">
        <f>IFERROR(__xludf.DUMMYFUNCTION("""COMPUTED_VALUE"""),"Batch 2")</f>
        <v>Batch 2</v>
      </c>
      <c r="J1563" s="225">
        <f>IFERROR(__xludf.DUMMYFUNCTION("""COMPUTED_VALUE"""),8.0)</f>
        <v>8</v>
      </c>
      <c r="K1563" s="224">
        <f>IFERROR(__xludf.DUMMYFUNCTION("""COMPUTED_VALUE"""),64.0)</f>
        <v>64</v>
      </c>
      <c r="L1563" s="226">
        <f>IFERROR(__xludf.DUMMYFUNCTION("""COMPUTED_VALUE"""),771844.0)</f>
        <v>771844</v>
      </c>
      <c r="M1563" s="227">
        <f>IFERROR(__xludf.DUMMYFUNCTION("""COMPUTED_VALUE"""),4.9397954E7)</f>
        <v>49397954</v>
      </c>
      <c r="N1563" s="222" t="str">
        <f>IFERROR(__xludf.DUMMYFUNCTION("""COMPUTED_VALUE"""),"SWAKELOLA")</f>
        <v>SWAKELOLA</v>
      </c>
      <c r="O1563" s="222" t="str">
        <f>IFERROR(__xludf.DUMMYFUNCTION("""COMPUTED_VALUE"""),"2. DONE AANWIJZING")</f>
        <v>2. DONE AANWIJZING</v>
      </c>
      <c r="P1563" s="222" t="str">
        <f>IFERROR(__xludf.DUMMYFUNCTION("""COMPUTED_VALUE"""),"2.10 Kendala - Feeder Rusak")</f>
        <v>2.10 Kendala - Feeder Rusak</v>
      </c>
      <c r="Q1563" s="222" t="str">
        <f>IFERROR(__xludf.DUMMYFUNCTION("""COMPUTED_VALUE"""),"(12/01) penunjukkan mitra, (07/01) Persiapan")</f>
        <v>(12/01) penunjukkan mitra, (07/01) Persiapan</v>
      </c>
      <c r="R1563" s="228"/>
      <c r="S1563" s="11"/>
      <c r="T1563" s="11"/>
      <c r="U1563" s="11"/>
      <c r="V1563" s="229"/>
      <c r="W1563" s="229"/>
      <c r="X1563" s="229" t="str">
        <f>IFERROR(__xludf.DUMMYFUNCTION("""COMPUTED_VALUE"""),"BELUM GOLIVE")</f>
        <v>BELUM GOLIVE</v>
      </c>
      <c r="Y1563" s="229"/>
      <c r="Z1563" s="229" t="str">
        <f>IFERROR(__xludf.DUMMYFUNCTION("""COMPUTED_VALUE"""),"#N/A")</f>
        <v>#N/A</v>
      </c>
      <c r="AA1563" s="229"/>
      <c r="AB1563" s="229"/>
      <c r="AC1563" s="229"/>
      <c r="AD1563" s="232"/>
      <c r="AE1563" s="233"/>
      <c r="AF1563" s="54"/>
      <c r="AG1563" s="54"/>
      <c r="AH1563" s="54"/>
      <c r="AI1563" s="55" t="str">
        <f t="shared" si="155"/>
        <v/>
      </c>
      <c r="AW1563" s="234"/>
      <c r="BP1563" s="11"/>
      <c r="BQ1563" s="11"/>
      <c r="BR1563" s="235"/>
      <c r="BV1563" s="158"/>
      <c r="BY1563" s="158"/>
      <c r="CB1563" s="158"/>
    </row>
    <row r="1564" ht="18.0" hidden="1" customHeight="1">
      <c r="A1564" s="222">
        <f>IFERROR(__xludf.DUMMYFUNCTION("""COMPUTED_VALUE"""),2026.0)</f>
        <v>2026</v>
      </c>
      <c r="B1564" s="221">
        <f>IFERROR(__xludf.DUMMYFUNCTION("""COMPUTED_VALUE"""),1.2438794E7)</f>
        <v>12438794</v>
      </c>
      <c r="C1564" s="222" t="str">
        <f>IFERROR(__xludf.DUMMYFUNCTION("""COMPUTED_VALUE"""),"SMS P4I4 PT3 LHT FAN D03 KEBUR 2")</f>
        <v>SMS P4I4 PT3 LHT FAN D03 KEBUR 2</v>
      </c>
      <c r="D1564" s="222" t="str">
        <f>IFERROR(__xludf.DUMMYFUNCTION("""COMPUTED_VALUE"""),"REGIONAL I")</f>
        <v>REGIONAL I</v>
      </c>
      <c r="E1564" s="222" t="str">
        <f>IFERROR(__xludf.DUMMYFUNCTION("""COMPUTED_VALUE"""),"SUMSEL")</f>
        <v>SUMSEL</v>
      </c>
      <c r="F1564" s="222" t="str">
        <f>IFERROR(__xludf.DUMMYFUNCTION("""COMPUTED_VALUE"""),"LHT")</f>
        <v>LHT</v>
      </c>
      <c r="G1564" s="222" t="str">
        <f>IFERROR(__xludf.DUMMYFUNCTION("""COMPUTED_VALUE"""),"SUMBAGSEL")</f>
        <v>SUMBAGSEL</v>
      </c>
      <c r="H1564" s="222" t="str">
        <f>IFERROR(__xludf.DUMMYFUNCTION("""COMPUTED_VALUE"""),"BENGKULU")</f>
        <v>BENGKULU</v>
      </c>
      <c r="I1564" s="222" t="str">
        <f>IFERROR(__xludf.DUMMYFUNCTION("""COMPUTED_VALUE"""),"Batch 2")</f>
        <v>Batch 2</v>
      </c>
      <c r="J1564" s="225">
        <f>IFERROR(__xludf.DUMMYFUNCTION("""COMPUTED_VALUE"""),4.0)</f>
        <v>4</v>
      </c>
      <c r="K1564" s="224">
        <f>IFERROR(__xludf.DUMMYFUNCTION("""COMPUTED_VALUE"""),32.0)</f>
        <v>32</v>
      </c>
      <c r="L1564" s="226">
        <f>IFERROR(__xludf.DUMMYFUNCTION("""COMPUTED_VALUE"""),583145.0)</f>
        <v>583145</v>
      </c>
      <c r="M1564" s="227">
        <f>IFERROR(__xludf.DUMMYFUNCTION("""COMPUTED_VALUE"""),1.8660623E7)</f>
        <v>18660623</v>
      </c>
      <c r="N1564" s="222" t="str">
        <f>IFERROR(__xludf.DUMMYFUNCTION("""COMPUTED_VALUE"""),"PT GITA PRIMA TAMBA PERKASA")</f>
        <v>PT GITA PRIMA TAMBA PERKASA</v>
      </c>
      <c r="O1564" s="222" t="str">
        <f>IFERROR(__xludf.DUMMYFUNCTION("""COMPUTED_VALUE"""),"2. DONE AANWIJZING")</f>
        <v>2. DONE AANWIJZING</v>
      </c>
      <c r="P1564" s="222" t="str">
        <f>IFERROR(__xludf.DUMMYFUNCTION("""COMPUTED_VALUE"""),"2.5 Proses Create PID")</f>
        <v>2.5 Proses Create PID</v>
      </c>
      <c r="Q1564" s="222" t="str">
        <f>IFERROR(__xludf.DUMMYFUNCTION("""COMPUTED_VALUE"""),"27/04 : Proses PR PO //  09/04 kepala desa belum ada FEEDBACK , plan 10 apr visit ulang  08/04 Proses perizinan kepala desa, belum ada feedback 26/03 proses pergantian mitra dri raharja ke GPTP, 25/03 PROGRESS UPDATE BOQ DAN KML SETELAH AANWIDJZING - MASI"&amp;"H MENUNGGU INFO TSEL MENGENAI PENGURANGAN ODP,  16/03 HASIL AANWIDJZING TDK PERLU IZIN KRNA HANYA TARIK KABEL SAJA (BISA DIKERJAKAN), 12/03 DONE AANWIDJZING, 10/03 PROGRESS AANWIJDZING ULANG, 09/03 DIALIHKAN KE MITRA GPTP, 09/03 DATA UPDATE BLM DI KIRIM M"&amp;"ITRA, 06/03 SDH DI FU TERUS TP BELUM ADA INFO DARI MITRA, 02/03 SDH DI FU TERUS TP BELUM ADA INFO DARI MITRA, 27/02 BELUM EVAL, 23/02 LANJUT EVAL, 22/2  menunggu hasil perhitungan QE dan review TIF  19/02 HASIL AANWIDJZING BISA DIKERJAKAN SESUAI PLAN DAN "&amp;"TIDAK BUTUH IZIN DIKARENAKAN HANYA PENARIKAN KABEL PENDEK, 10/02 DONE AANWIDJZING - MITRA BELUM KIRIM HASIL AANWIDJZING, 04/02 PROSES AANWIDJZING, 30/01 PROSES AANWIDJZING, (23/1) Proses Aanwijdzing - Est 27 Setor ke Pak wijaya  (21/01) menunggu antrian u"&amp;"ntuk aanwizjing, (15/1) ORDER DITERIMA MITRA 14/1, masih menunngu confirm- kepastian 19 jan (14/11)HOLD-  tidak masuk target Optimis 2025 (13/11)  penunjukkan mitra raharja, 10/11 penunjukkan mitra raharja 3/11 mitra raharja ditunjuk sbagai mitra lop ini "&amp;"23/10 belum di lakukan oleh mitra ke lokasi
15/10 plan aanwiznig tgl 17/10
(08/10) menunggu jadwal aanwijizng
(01/10) menunggu jadwal aanwijizng
(19/09) pejadwalan aanwijzing
14/01 sudah penunjukan mitra oleh procurement")</f>
        <v>27/04 : Proses PR PO //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1564" s="228"/>
      <c r="S1564" s="11"/>
      <c r="T1564" s="11"/>
      <c r="U1564" s="11"/>
      <c r="V1564" s="229" t="str">
        <f>IFERROR(__xludf.DUMMYFUNCTION("""COMPUTED_VALUE"""),"PUTRA")</f>
        <v>PUTRA</v>
      </c>
      <c r="W1564" s="229"/>
      <c r="X1564" s="229" t="str">
        <f>IFERROR(__xludf.DUMMYFUNCTION("""COMPUTED_VALUE"""),"BELUM GOLIVE")</f>
        <v>BELUM GOLIVE</v>
      </c>
      <c r="Y1564" s="229"/>
      <c r="Z1564" s="229" t="str">
        <f>IFERROR(__xludf.DUMMYFUNCTION("""COMPUTED_VALUE"""),"#N/A")</f>
        <v>#N/A</v>
      </c>
      <c r="AA1564" s="229"/>
      <c r="AB1564" s="229"/>
      <c r="AC1564" s="229"/>
      <c r="AD1564" s="232"/>
      <c r="AE1564" s="233"/>
      <c r="AF1564" s="54"/>
      <c r="AG1564" s="54"/>
      <c r="AH1564" s="54"/>
      <c r="AI1564" s="55" t="str">
        <f t="shared" si="155"/>
        <v/>
      </c>
      <c r="AW1564" s="234"/>
      <c r="BP1564" s="11"/>
      <c r="BQ1564" s="11"/>
      <c r="BR1564" s="235"/>
      <c r="BV1564" s="158"/>
      <c r="BY1564" s="158"/>
      <c r="CB1564" s="158"/>
    </row>
    <row r="1565" ht="18.0" hidden="1" customHeight="1">
      <c r="A1565" s="222">
        <f>IFERROR(__xludf.DUMMYFUNCTION("""COMPUTED_VALUE"""),2026.0)</f>
        <v>2026</v>
      </c>
      <c r="B1565" s="221">
        <f>IFERROR(__xludf.DUMMYFUNCTION("""COMPUTED_VALUE"""),1.2439119E7)</f>
        <v>12439119</v>
      </c>
      <c r="C1565" s="222" t="str">
        <f>IFERROR(__xludf.DUMMYFUNCTION("""COMPUTED_VALUE"""),"SMS P4I4 PT3 SGB FBC D02 ALFARIZI RSDN 2")</f>
        <v>SMS P4I4 PT3 SGB FBC D02 ALFARIZI RSDN 2</v>
      </c>
      <c r="D1565" s="222" t="str">
        <f>IFERROR(__xludf.DUMMYFUNCTION("""COMPUTED_VALUE"""),"REGIONAL I")</f>
        <v>REGIONAL I</v>
      </c>
      <c r="E1565" s="222" t="str">
        <f>IFERROR(__xludf.DUMMYFUNCTION("""COMPUTED_VALUE"""),"SUMSEL")</f>
        <v>SUMSEL</v>
      </c>
      <c r="F1565" s="222" t="str">
        <f>IFERROR(__xludf.DUMMYFUNCTION("""COMPUTED_VALUE"""),"SGB")</f>
        <v>SGB</v>
      </c>
      <c r="G1565" s="222" t="str">
        <f>IFERROR(__xludf.DUMMYFUNCTION("""COMPUTED_VALUE"""),"SUMBAGSEL")</f>
        <v>SUMBAGSEL</v>
      </c>
      <c r="H1565" s="222" t="str">
        <f>IFERROR(__xludf.DUMMYFUNCTION("""COMPUTED_VALUE"""),"PALEMBANG")</f>
        <v>PALEMBANG</v>
      </c>
      <c r="I1565" s="222" t="str">
        <f>IFERROR(__xludf.DUMMYFUNCTION("""COMPUTED_VALUE"""),"Batch 2")</f>
        <v>Batch 2</v>
      </c>
      <c r="J1565" s="225">
        <f>IFERROR(__xludf.DUMMYFUNCTION("""COMPUTED_VALUE"""),3.0)</f>
        <v>3</v>
      </c>
      <c r="K1565" s="224">
        <f>IFERROR(__xludf.DUMMYFUNCTION("""COMPUTED_VALUE"""),24.0)</f>
        <v>24</v>
      </c>
      <c r="L1565" s="226">
        <f>IFERROR(__xludf.DUMMYFUNCTION("""COMPUTED_VALUE"""),582766.0)</f>
        <v>582766</v>
      </c>
      <c r="M1565" s="227">
        <f>IFERROR(__xludf.DUMMYFUNCTION("""COMPUTED_VALUE"""),1.3986362E7)</f>
        <v>13986362</v>
      </c>
      <c r="N1565" s="222" t="str">
        <f>IFERROR(__xludf.DUMMYFUNCTION("""COMPUTED_VALUE"""),"PT SARANA MITRA PERSADA")</f>
        <v>PT SARANA MITRA PERSADA</v>
      </c>
      <c r="O1565" s="222" t="str">
        <f>IFERROR(__xludf.DUMMYFUNCTION("""COMPUTED_VALUE"""),"0. DROP")</f>
        <v>0. DROP</v>
      </c>
      <c r="P1565" s="222" t="str">
        <f>IFERROR(__xludf.DUMMYFUNCTION("""COMPUTED_VALUE"""),"0.2 Tidak Dapat Izin Warga/Kades/Lurah/Developer")</f>
        <v>0.2 Tidak Dapat Izin Warga/Kades/Lurah/Developer</v>
      </c>
      <c r="Q1565" s="222" t="str">
        <f>IFERROR(__xludf.DUMMYFUNCTION("""COMPUTED_VALUE"""),"06/03 DROP KRNA ORDER MASUK PT2, 24/02 DROP KRNA ORDER MASUK PT2, 22/2 tidak medapatkan izin  06/02 HASIL REVIEW TSEL PROPOSE DROP - TDK ADA IZIN TANAM TIANG, 30/01 DONE EVAL, KONFIRM KE SALES UNTK DI MASUKAN KE PEKERJAAN PT2 30/01 DONE EVAL, KONFIRM KE S"&amp;"ALES UNTK DI MASUKAN KE PEKERJAAN PT2, 26/01 PERIZINAN OK, (21/01) HI aanwjizng ke lokasi, (20/01) DONE AANWIDJZING, (15/1) ORDER DITERIMA 14/1, PLAN AANWIJDZING 19 JAN 26 (14/11)HOLD- tidak masuk target Optimis 2025 (
 14/01 penunjukan mitra oleh procure"&amp;"ment")</f>
        <v>06/03 DROP KRNA ORDER MASUK PT2, 24/02 DROP KRNA ORDER MASUK PT2, 22/2 tidak medapatkan izin  06/02 HASIL REVIEW TSEL PROPOSE DROP - TDK ADA IZIN TANAM TIANG, 30/01 DONE EVAL, KONFIRM KE SALES UNTK DI MASUKAN KE PEKERJAAN PT2 30/01 DONE EVAL, KONFIRM KE SALES UNTK DI MASUKAN KE PEKERJAAN PT2, 26/01 PERIZINAN OK, (21/01) HI aanwjizng ke lokasi, (20/01) DONE AANWIDJZING, (15/1) ORDER DITERIMA 14/1, PLAN AANWIJDZING 19 JAN 26 (14/11)HOLD- tidak masuk target Optimis 2025 (
 14/01 penunjukan mitra oleh procurement</v>
      </c>
      <c r="R1565" s="228"/>
      <c r="S1565" s="11"/>
      <c r="T1565" s="11"/>
      <c r="U1565" s="11"/>
      <c r="V1565" s="229" t="str">
        <f>IFERROR(__xludf.DUMMYFUNCTION("""COMPUTED_VALUE"""),"TANTOWI")</f>
        <v>TANTOWI</v>
      </c>
      <c r="W1565" s="229"/>
      <c r="X1565" s="229" t="str">
        <f>IFERROR(__xludf.DUMMYFUNCTION("""COMPUTED_VALUE"""),"BELUM GOLIVE")</f>
        <v>BELUM GOLIVE</v>
      </c>
      <c r="Y1565" s="229"/>
      <c r="Z1565" s="229" t="str">
        <f>IFERROR(__xludf.DUMMYFUNCTION("""COMPUTED_VALUE"""),"#N/A")</f>
        <v>#N/A</v>
      </c>
      <c r="AA1565" s="229"/>
      <c r="AB1565" s="229"/>
      <c r="AC1565" s="229"/>
      <c r="AD1565" s="232"/>
      <c r="AE1565" s="233"/>
      <c r="AF1565" s="54" t="str">
        <f>IFERROR(__xludf.DUMMYFUNCTION("""COMPUTED_VALUE"""),"Draft BA DROP")</f>
        <v>Draft BA DROP</v>
      </c>
      <c r="AG1565" s="54"/>
      <c r="AH1565" s="54"/>
      <c r="AI1565" s="55" t="str">
        <f t="shared" si="155"/>
        <v/>
      </c>
      <c r="AW1565" s="234"/>
      <c r="BP1565" s="11"/>
      <c r="BQ1565" s="11"/>
      <c r="BR1565" s="235"/>
      <c r="BV1565" s="158"/>
      <c r="BY1565" s="158"/>
      <c r="CB1565" s="158"/>
    </row>
    <row r="1566" ht="18.0" hidden="1" customHeight="1">
      <c r="A1566" s="222">
        <f>IFERROR(__xludf.DUMMYFUNCTION("""COMPUTED_VALUE"""),2026.0)</f>
        <v>2026</v>
      </c>
      <c r="B1566" s="221">
        <f>IFERROR(__xludf.DUMMYFUNCTION("""COMPUTED_VALUE"""),1.2019309E7)</f>
        <v>12019309</v>
      </c>
      <c r="C1566" s="222" t="str">
        <f>IFERROR(__xludf.DUMMYFUNCTION("""COMPUTED_VALUE"""),"SMS P3I4 PT3 TLK FN D03 KARIYA PARK")</f>
        <v>SMS P3I4 PT3 TLK FN D03 KARIYA PARK</v>
      </c>
      <c r="D1566" s="222" t="str">
        <f>IFERROR(__xludf.DUMMYFUNCTION("""COMPUTED_VALUE"""),"REGIONAL I")</f>
        <v>REGIONAL I</v>
      </c>
      <c r="E1566" s="222" t="str">
        <f>IFERROR(__xludf.DUMMYFUNCTION("""COMPUTED_VALUE"""),"SUMSEL")</f>
        <v>SUMSEL</v>
      </c>
      <c r="F1566" s="222" t="str">
        <f>IFERROR(__xludf.DUMMYFUNCTION("""COMPUTED_VALUE"""),"TLK")</f>
        <v>TLK</v>
      </c>
      <c r="G1566" s="222" t="str">
        <f>IFERROR(__xludf.DUMMYFUNCTION("""COMPUTED_VALUE"""),"SUMBAGSEL")</f>
        <v>SUMBAGSEL</v>
      </c>
      <c r="H1566" s="222" t="str">
        <f>IFERROR(__xludf.DUMMYFUNCTION("""COMPUTED_VALUE"""),"PALEMBANG")</f>
        <v>PALEMBANG</v>
      </c>
      <c r="I1566" s="222" t="str">
        <f>IFERROR(__xludf.DUMMYFUNCTION("""COMPUTED_VALUE"""),"Batch 2")</f>
        <v>Batch 2</v>
      </c>
      <c r="J1566" s="225">
        <f>IFERROR(__xludf.DUMMYFUNCTION("""COMPUTED_VALUE"""),3.0)</f>
        <v>3</v>
      </c>
      <c r="K1566" s="224">
        <f>IFERROR(__xludf.DUMMYFUNCTION("""COMPUTED_VALUE"""),24.0)</f>
        <v>24</v>
      </c>
      <c r="L1566" s="226">
        <f>IFERROR(__xludf.DUMMYFUNCTION("""COMPUTED_VALUE"""),581329.0)</f>
        <v>581329</v>
      </c>
      <c r="M1566" s="227">
        <f>IFERROR(__xludf.DUMMYFUNCTION("""COMPUTED_VALUE"""),1.3951885E7)</f>
        <v>13951885</v>
      </c>
      <c r="N1566" s="222" t="str">
        <f>IFERROR(__xludf.DUMMYFUNCTION("""COMPUTED_VALUE"""),"PT ACERO CETHA METALINDO")</f>
        <v>PT ACERO CETHA METALINDO</v>
      </c>
      <c r="O1566" s="222" t="str">
        <f>IFERROR(__xludf.DUMMYFUNCTION("""COMPUTED_VALUE"""),"0. DROP")</f>
        <v>0. DROP</v>
      </c>
      <c r="P1566" s="222" t="str">
        <f>IFERROR(__xludf.DUMMYFUNCTION("""COMPUTED_VALUE"""),"0.3 Feeder Full")</f>
        <v>0.3 Feeder Full</v>
      </c>
      <c r="Q1566" s="222" t="str">
        <f>IFERROR(__xludf.DUMMYFUNCTION("""COMPUTED_VALUE"""),"09/03 STUB CORE HABIS, 27/02 STUB FEEDER HABIS, 23/02 DROP STUB FEEDER HABIS - SDH ADA BA DROP, 06/02 HASIL REVIEW TSEL PROPOSE DROP - FEEDER HABIS, 6/2 Feeder kap 24 Core, terpakai 22 sisa 2 core reti perlu QE. 30/01 PROSES AANWIDJZING, (21/01) HI aanwji"&amp;"zng ke lokasi,  (15/1) ORDER DITERIMA MITRA 14/1, plan Aanwijdzing 19 Jan  (1(14/11)HOLD-  tidak masuk target Optimis 2025 (1/11) Penunjukkan MITRA  oleh Procurement ")</f>
        <v>09/03 STUB CORE HABIS, 27/02 STUB FEEDER HABIS, 23/02 DROP STUB FEEDER HABIS - SDH ADA BA DROP, 06/02 HASIL REVIEW TSEL PROPOSE DROP - FEEDER HABIS, 6/2 Feeder kap 24 Core, terpakai 22 sisa 2 core reti perlu QE. 30/01 PROSES AANWIDJZING, (21/01) HI aanwjizng ke lokasi,  (15/1) ORDER DITERIMA MITRA 14/1, plan Aanwijdzing 19 Jan  (1(14/11)HOLD-  tidak masuk target Optimis 2025 (1/11) Penunjukkan MITRA  oleh Procurement </v>
      </c>
      <c r="R1566" s="228"/>
      <c r="S1566" s="11"/>
      <c r="T1566" s="11"/>
      <c r="U1566" s="11"/>
      <c r="V1566" s="229" t="str">
        <f>IFERROR(__xludf.DUMMYFUNCTION("""COMPUTED_VALUE"""),"TEGAR")</f>
        <v>TEGAR</v>
      </c>
      <c r="W1566" s="229"/>
      <c r="X1566" s="229" t="str">
        <f>IFERROR(__xludf.DUMMYFUNCTION("""COMPUTED_VALUE"""),"BELUM GOLIVE")</f>
        <v>BELUM GOLIVE</v>
      </c>
      <c r="Y1566" s="229"/>
      <c r="Z1566" s="229" t="str">
        <f>IFERROR(__xludf.DUMMYFUNCTION("""COMPUTED_VALUE"""),"#N/A")</f>
        <v>#N/A</v>
      </c>
      <c r="AA1566" s="229"/>
      <c r="AB1566" s="229"/>
      <c r="AC1566" s="229"/>
      <c r="AD1566" s="232"/>
      <c r="AE1566" s="233"/>
      <c r="AF1566" s="54" t="str">
        <f>IFERROR(__xludf.DUMMYFUNCTION("""COMPUTED_VALUE"""),"Draft BA DROP")</f>
        <v>Draft BA DROP</v>
      </c>
      <c r="AG1566" s="54"/>
      <c r="AH1566" s="54"/>
      <c r="AI1566" s="55" t="str">
        <f t="shared" si="155"/>
        <v/>
      </c>
      <c r="AW1566" s="234"/>
      <c r="BP1566" s="11"/>
      <c r="BQ1566" s="11"/>
      <c r="BR1566" s="235"/>
      <c r="BV1566" s="158"/>
      <c r="BY1566" s="158"/>
      <c r="CB1566" s="158"/>
    </row>
    <row r="1567" ht="18.0" customHeight="1">
      <c r="A1567" s="222">
        <f>IFERROR(__xludf.DUMMYFUNCTION("""COMPUTED_VALUE"""),2026.0)</f>
        <v>2026</v>
      </c>
      <c r="B1567" s="221">
        <f>IFERROR(__xludf.DUMMYFUNCTION("""COMPUTED_VALUE"""),1.2242246E7)</f>
        <v>12242246</v>
      </c>
      <c r="C1567" s="222" t="str">
        <f>IFERROR(__xludf.DUMMYFUNCTION("""COMPUTED_VALUE"""),"SMB PT3-SLK-FH 250_-349_2538")</f>
        <v>SMB PT3-SLK-FH 250_-349_2538</v>
      </c>
      <c r="D1567" s="222" t="str">
        <f>IFERROR(__xludf.DUMMYFUNCTION("""COMPUTED_VALUE"""),"REGIONAL I")</f>
        <v>REGIONAL I</v>
      </c>
      <c r="E1567" s="222" t="str">
        <f>IFERROR(__xludf.DUMMYFUNCTION("""COMPUTED_VALUE"""),"SUMBAR")</f>
        <v>SUMBAR</v>
      </c>
      <c r="F1567" s="222" t="str">
        <f>IFERROR(__xludf.DUMMYFUNCTION("""COMPUTED_VALUE"""),"SLK")</f>
        <v>SLK</v>
      </c>
      <c r="G1567" s="222" t="str">
        <f>IFERROR(__xludf.DUMMYFUNCTION("""COMPUTED_VALUE"""),"SUMBAGTENG")</f>
        <v>SUMBAGTENG</v>
      </c>
      <c r="H1567" s="222" t="str">
        <f>IFERROR(__xludf.DUMMYFUNCTION("""COMPUTED_VALUE"""),"PADANG")</f>
        <v>PADANG</v>
      </c>
      <c r="I1567" s="222" t="str">
        <f>IFERROR(__xludf.DUMMYFUNCTION("""COMPUTED_VALUE"""),"Batch 2")</f>
        <v>Batch 2</v>
      </c>
      <c r="J1567" s="225">
        <f>IFERROR(__xludf.DUMMYFUNCTION("""COMPUTED_VALUE"""),3.0)</f>
        <v>3</v>
      </c>
      <c r="K1567" s="224">
        <f>IFERROR(__xludf.DUMMYFUNCTION("""COMPUTED_VALUE"""),24.0)</f>
        <v>24</v>
      </c>
      <c r="L1567" s="226">
        <f>IFERROR(__xludf.DUMMYFUNCTION("""COMPUTED_VALUE"""),579186.0)</f>
        <v>579186</v>
      </c>
      <c r="M1567" s="227">
        <f>IFERROR(__xludf.DUMMYFUNCTION("""COMPUTED_VALUE"""),1.3900443E7)</f>
        <v>13900443</v>
      </c>
      <c r="N1567" s="222" t="str">
        <f>IFERROR(__xludf.DUMMYFUNCTION("""COMPUTED_VALUE"""),"PT TRI PENAMAS")</f>
        <v>PT TRI PENAMAS</v>
      </c>
      <c r="O1567" s="222" t="str">
        <f>IFERROR(__xludf.DUMMYFUNCTION("""COMPUTED_VALUE"""),"0. DROP")</f>
        <v>0. DROP</v>
      </c>
      <c r="P1567" s="222" t="str">
        <f>IFERROR(__xludf.DUMMYFUNCTION("""COMPUTED_VALUE"""),"0.3 Feeder Full")</f>
        <v>0.3 Feeder Full</v>
      </c>
      <c r="Q1567" s="222" t="str">
        <f>IFERROR(__xludf.DUMMYFUNCTION("""COMPUTED_VALUE"""),"(26/01)  Kendala feeder SLK-FE Full ")</f>
        <v>(26/01)  Kendala feeder SLK-FE Full </v>
      </c>
      <c r="R1567" s="228"/>
      <c r="S1567" s="11"/>
      <c r="T1567" s="11"/>
      <c r="U1567" s="11"/>
      <c r="V1567" s="229"/>
      <c r="W1567" s="229"/>
      <c r="X1567" s="229" t="str">
        <f>IFERROR(__xludf.DUMMYFUNCTION("""COMPUTED_VALUE"""),"BELUM GOLIVE")</f>
        <v>BELUM GOLIVE</v>
      </c>
      <c r="Y1567" s="229"/>
      <c r="Z1567" s="229" t="str">
        <f>IFERROR(__xludf.DUMMYFUNCTION("""COMPUTED_VALUE"""),"#N/A")</f>
        <v>#N/A</v>
      </c>
      <c r="AA1567" s="229"/>
      <c r="AB1567" s="229"/>
      <c r="AC1567" s="229"/>
      <c r="AD1567" s="232"/>
      <c r="AE1567" s="233"/>
      <c r="AF1567" s="54" t="str">
        <f>IFERROR(__xludf.DUMMYFUNCTION("""COMPUTED_VALUE"""),"Draft BA DROP")</f>
        <v>Draft BA DROP</v>
      </c>
      <c r="AG1567" s="54"/>
      <c r="AH1567" s="54"/>
      <c r="AI1567" s="55" t="str">
        <f t="shared" si="155"/>
        <v/>
      </c>
      <c r="AW1567" s="234"/>
      <c r="BP1567" s="11"/>
      <c r="BQ1567" s="11"/>
      <c r="BR1567" s="235"/>
      <c r="BV1567" s="158"/>
      <c r="BY1567" s="158"/>
      <c r="CB1567" s="158"/>
    </row>
    <row r="1568" ht="18.0" customHeight="1">
      <c r="A1568" s="222">
        <f>IFERROR(__xludf.DUMMYFUNCTION("""COMPUTED_VALUE"""),2026.0)</f>
        <v>2026</v>
      </c>
      <c r="B1568" s="221">
        <f>IFERROR(__xludf.DUMMYFUNCTION("""COMPUTED_VALUE"""),1.1457811E7)</f>
        <v>11457811</v>
      </c>
      <c r="C1568" s="222" t="str">
        <f>IFERROR(__xludf.DUMMYFUNCTION("""COMPUTED_VALUE"""),"SMB SIJUNJUNG_10949")</f>
        <v>SMB SIJUNJUNG_10949</v>
      </c>
      <c r="D1568" s="222" t="str">
        <f>IFERROR(__xludf.DUMMYFUNCTION("""COMPUTED_VALUE"""),"REGIONAL I")</f>
        <v>REGIONAL I</v>
      </c>
      <c r="E1568" s="222" t="str">
        <f>IFERROR(__xludf.DUMMYFUNCTION("""COMPUTED_VALUE"""),"SUMBAR")</f>
        <v>SUMBAR</v>
      </c>
      <c r="F1568" s="222" t="str">
        <f>IFERROR(__xludf.DUMMYFUNCTION("""COMPUTED_VALUE"""),"SGD")</f>
        <v>SGD</v>
      </c>
      <c r="G1568" s="222" t="str">
        <f>IFERROR(__xludf.DUMMYFUNCTION("""COMPUTED_VALUE"""),"SUMBAGTENG")</f>
        <v>SUMBAGTENG</v>
      </c>
      <c r="H1568" s="222" t="str">
        <f>IFERROR(__xludf.DUMMYFUNCTION("""COMPUTED_VALUE"""),"PADANG")</f>
        <v>PADANG</v>
      </c>
      <c r="I1568" s="222" t="str">
        <f>IFERROR(__xludf.DUMMYFUNCTION("""COMPUTED_VALUE"""),"Batch 2")</f>
        <v>Batch 2</v>
      </c>
      <c r="J1568" s="225">
        <f>IFERROR(__xludf.DUMMYFUNCTION("""COMPUTED_VALUE"""),3.0)</f>
        <v>3</v>
      </c>
      <c r="K1568" s="224">
        <f>IFERROR(__xludf.DUMMYFUNCTION("""COMPUTED_VALUE"""),24.0)</f>
        <v>24</v>
      </c>
      <c r="L1568" s="226">
        <f>IFERROR(__xludf.DUMMYFUNCTION("""COMPUTED_VALUE"""),579075.0)</f>
        <v>579075</v>
      </c>
      <c r="M1568" s="227">
        <f>IFERROR(__xludf.DUMMYFUNCTION("""COMPUTED_VALUE"""),1.3897792E7)</f>
        <v>13897792</v>
      </c>
      <c r="N1568" s="222" t="str">
        <f>IFERROR(__xludf.DUMMYFUNCTION("""COMPUTED_VALUE"""),"PT TIGA AKSES MANDIRI")</f>
        <v>PT TIGA AKSES MANDIRI</v>
      </c>
      <c r="O1568" s="222" t="str">
        <f>IFERROR(__xludf.DUMMYFUNCTION("""COMPUTED_VALUE"""),"2. DONE AANWIJZING")</f>
        <v>2. DONE AANWIJZING</v>
      </c>
      <c r="P1568" s="222" t="str">
        <f>IFERROR(__xludf.DUMMYFUNCTION("""COMPUTED_VALUE"""),"2.10 Kendala - Feeder Rusak")</f>
        <v>2.10 Kendala - Feeder Rusak</v>
      </c>
      <c r="Q1568" s="222" t="str">
        <f>IFERROR(__xludf.DUMMYFUNCTION("""COMPUTED_VALUE"""),"(20/04Proses identifikasi QE feeder  (12/03) proses pengukuran tipus feeder SGD-FL (27/01) BUTUH REPAIR FEEDER SGD-FL (07/01) Persiapan")</f>
        <v>(20/04Proses identifikasi QE feeder  (12/03) proses pengukuran tipus feeder SGD-FL (27/01) BUTUH REPAIR FEEDER SGD-FL (07/01) Persiapan</v>
      </c>
      <c r="R1568" s="228"/>
      <c r="S1568" s="11"/>
      <c r="T1568" s="11"/>
      <c r="U1568" s="11"/>
      <c r="V1568" s="229"/>
      <c r="W1568" s="229"/>
      <c r="X1568" s="229" t="str">
        <f>IFERROR(__xludf.DUMMYFUNCTION("""COMPUTED_VALUE"""),"BELUM GOLIVE")</f>
        <v>BELUM GOLIVE</v>
      </c>
      <c r="Y1568" s="229"/>
      <c r="Z1568" s="229" t="str">
        <f>IFERROR(__xludf.DUMMYFUNCTION("""COMPUTED_VALUE"""),"#N/A")</f>
        <v>#N/A</v>
      </c>
      <c r="AA1568" s="229"/>
      <c r="AB1568" s="229"/>
      <c r="AC1568" s="229"/>
      <c r="AD1568" s="232"/>
      <c r="AE1568" s="233"/>
      <c r="AF1568" s="54"/>
      <c r="AG1568" s="54"/>
      <c r="AH1568" s="54"/>
      <c r="AI1568" s="55" t="str">
        <f t="shared" si="155"/>
        <v/>
      </c>
      <c r="AW1568" s="234"/>
      <c r="BP1568" s="11"/>
      <c r="BQ1568" s="11"/>
      <c r="BR1568" s="235"/>
      <c r="BV1568" s="158"/>
      <c r="BY1568" s="158"/>
      <c r="CB1568" s="158"/>
    </row>
    <row r="1569" ht="18.0" hidden="1" customHeight="1">
      <c r="A1569" s="222">
        <f>IFERROR(__xludf.DUMMYFUNCTION("""COMPUTED_VALUE"""),2026.0)</f>
        <v>2026</v>
      </c>
      <c r="B1569" s="221">
        <f>IFERROR(__xludf.DUMMYFUNCTION("""COMPUTED_VALUE"""),1.1161457E7)</f>
        <v>11161457</v>
      </c>
      <c r="C1569" s="222" t="str">
        <f>IFERROR(__xludf.DUMMYFUNCTION("""COMPUTED_VALUE"""),"MDN PT3 BJI-FGC PERUM H. OMAN RESIDEN")</f>
        <v>MDN PT3 BJI-FGC PERUM H. OMAN RESIDEN</v>
      </c>
      <c r="D1569" s="222" t="str">
        <f>IFERROR(__xludf.DUMMYFUNCTION("""COMPUTED_VALUE"""),"REGIONAL I")</f>
        <v>REGIONAL I</v>
      </c>
      <c r="E1569" s="222" t="str">
        <f>IFERROR(__xludf.DUMMYFUNCTION("""COMPUTED_VALUE"""),"MEDAN")</f>
        <v>MEDAN</v>
      </c>
      <c r="F1569" s="222" t="str">
        <f>IFERROR(__xludf.DUMMYFUNCTION("""COMPUTED_VALUE"""),"BJI")</f>
        <v>BJI</v>
      </c>
      <c r="G1569" s="222" t="str">
        <f>IFERROR(__xludf.DUMMYFUNCTION("""COMPUTED_VALUE"""),"SUMBAGUT")</f>
        <v>SUMBAGUT</v>
      </c>
      <c r="H1569" s="222" t="str">
        <f>IFERROR(__xludf.DUMMYFUNCTION("""COMPUTED_VALUE"""),"BINJAI")</f>
        <v>BINJAI</v>
      </c>
      <c r="I1569" s="222" t="str">
        <f>IFERROR(__xludf.DUMMYFUNCTION("""COMPUTED_VALUE"""),"Batch 2")</f>
        <v>Batch 2</v>
      </c>
      <c r="J1569" s="225">
        <f>IFERROR(__xludf.DUMMYFUNCTION("""COMPUTED_VALUE"""),3.0)</f>
        <v>3</v>
      </c>
      <c r="K1569" s="224">
        <f>IFERROR(__xludf.DUMMYFUNCTION("""COMPUTED_VALUE"""),24.0)</f>
        <v>24</v>
      </c>
      <c r="L1569" s="226">
        <f>IFERROR(__xludf.DUMMYFUNCTION("""COMPUTED_VALUE"""),731756.0)</f>
        <v>731756</v>
      </c>
      <c r="M1569" s="227">
        <f>IFERROR(__xludf.DUMMYFUNCTION("""COMPUTED_VALUE"""),1.756214E7)</f>
        <v>17562140</v>
      </c>
      <c r="N1569" s="222" t="str">
        <f>IFERROR(__xludf.DUMMYFUNCTION("""COMPUTED_VALUE"""),"PT FIBERHOME TECHNOLOGIES INDONESIA")</f>
        <v>PT FIBERHOME TECHNOLOGIES INDONESIA</v>
      </c>
      <c r="O1569" s="222" t="str">
        <f>IFERROR(__xludf.DUMMYFUNCTION("""COMPUTED_VALUE"""),"0. DROP")</f>
        <v>0. DROP</v>
      </c>
      <c r="P1569" s="222" t="str">
        <f>IFERROR(__xludf.DUMMYFUNCTION("""COMPUTED_VALUE"""),"0.3 Feeder Full")</f>
        <v>0.3 Feeder Full</v>
      </c>
      <c r="Q1569" s="222" t="str">
        <f>IFERROR(__xludf.DUMMYFUNCTION("""COMPUTED_VALUE"""),"09/04 feeder penuh
(07/10) Pengecekan Feeder loss
(23/09) Perizinan Warga dan Kades / Lurah
15/09 proses aanwijzing")</f>
        <v>09/04 feeder penuh
(07/10) Pengecekan Feeder loss
(23/09) Perizinan Warga dan Kades / Lurah
15/09 proses aanwijzing</v>
      </c>
      <c r="R1569" s="228"/>
      <c r="S1569" s="11"/>
      <c r="T1569" s="11"/>
      <c r="U1569" s="11"/>
      <c r="V1569" s="229"/>
      <c r="W1569" s="229"/>
      <c r="X1569" s="229" t="str">
        <f>IFERROR(__xludf.DUMMYFUNCTION("""COMPUTED_VALUE"""),"BELUM GOLIVE")</f>
        <v>BELUM GOLIVE</v>
      </c>
      <c r="Y1569" s="229"/>
      <c r="Z1569" s="229" t="str">
        <f>IFERROR(__xludf.DUMMYFUNCTION("""COMPUTED_VALUE"""),"#N/A")</f>
        <v>#N/A</v>
      </c>
      <c r="AA1569" s="229"/>
      <c r="AB1569" s="229"/>
      <c r="AC1569" s="229"/>
      <c r="AD1569" s="232"/>
      <c r="AE1569" s="233"/>
      <c r="AF1569" s="54"/>
      <c r="AG1569" s="54"/>
      <c r="AH1569" s="54"/>
      <c r="AI1569" s="55" t="str">
        <f t="shared" si="155"/>
        <v/>
      </c>
      <c r="AW1569" s="234"/>
      <c r="BP1569" s="11"/>
      <c r="BQ1569" s="11"/>
      <c r="BR1569" s="235"/>
      <c r="BV1569" s="158"/>
      <c r="BY1569" s="158"/>
      <c r="CB1569" s="158"/>
    </row>
    <row r="1570" ht="18.0" hidden="1" customHeight="1">
      <c r="A1570" s="222">
        <f>IFERROR(__xludf.DUMMYFUNCTION("""COMPUTED_VALUE"""),2026.0)</f>
        <v>2026</v>
      </c>
      <c r="B1570" s="221">
        <f>IFERROR(__xludf.DUMMYFUNCTION("""COMPUTED_VALUE"""),1.1093097E7)</f>
        <v>11093097</v>
      </c>
      <c r="C1570" s="222" t="str">
        <f>IFERROR(__xludf.DUMMYFUNCTION("""COMPUTED_VALUE"""),"MDN PT3 P7I5 TJR-FY GG.SETIA JL DALU X")</f>
        <v>MDN PT3 P7I5 TJR-FY GG.SETIA JL DALU X</v>
      </c>
      <c r="D1570" s="222" t="str">
        <f>IFERROR(__xludf.DUMMYFUNCTION("""COMPUTED_VALUE"""),"REGIONAL I")</f>
        <v>REGIONAL I</v>
      </c>
      <c r="E1570" s="222" t="str">
        <f>IFERROR(__xludf.DUMMYFUNCTION("""COMPUTED_VALUE"""),"MEDAN")</f>
        <v>MEDAN</v>
      </c>
      <c r="F1570" s="222" t="str">
        <f>IFERROR(__xludf.DUMMYFUNCTION("""COMPUTED_VALUE"""),"TJR")</f>
        <v>TJR</v>
      </c>
      <c r="G1570" s="222" t="str">
        <f>IFERROR(__xludf.DUMMYFUNCTION("""COMPUTED_VALUE"""),"SUMBAGUT")</f>
        <v>SUMBAGUT</v>
      </c>
      <c r="H1570" s="222" t="str">
        <f>IFERROR(__xludf.DUMMYFUNCTION("""COMPUTED_VALUE"""),"MEDAN")</f>
        <v>MEDAN</v>
      </c>
      <c r="I1570" s="222" t="str">
        <f>IFERROR(__xludf.DUMMYFUNCTION("""COMPUTED_VALUE"""),"Batch 2")</f>
        <v>Batch 2</v>
      </c>
      <c r="J1570" s="225">
        <f>IFERROR(__xludf.DUMMYFUNCTION("""COMPUTED_VALUE"""),3.0)</f>
        <v>3</v>
      </c>
      <c r="K1570" s="224">
        <f>IFERROR(__xludf.DUMMYFUNCTION("""COMPUTED_VALUE"""),24.0)</f>
        <v>24</v>
      </c>
      <c r="L1570" s="226">
        <f>IFERROR(__xludf.DUMMYFUNCTION("""COMPUTED_VALUE"""),577573.0)</f>
        <v>577573</v>
      </c>
      <c r="M1570" s="227">
        <f>IFERROR(__xludf.DUMMYFUNCTION("""COMPUTED_VALUE"""),1.3861737E7)</f>
        <v>13861737</v>
      </c>
      <c r="N1570" s="222" t="str">
        <f>IFERROR(__xludf.DUMMYFUNCTION("""COMPUTED_VALUE"""),"PT UPAYA TEKNIK")</f>
        <v>PT UPAYA TEKNIK</v>
      </c>
      <c r="O1570" s="222" t="str">
        <f>IFERROR(__xludf.DUMMYFUNCTION("""COMPUTED_VALUE"""),"2. DONE AANWIJZING")</f>
        <v>2. DONE AANWIJZING</v>
      </c>
      <c r="P1570" s="222" t="str">
        <f>IFERROR(__xludf.DUMMYFUNCTION("""COMPUTED_VALUE"""),"2.10 Kendala - Feeder Rusak")</f>
        <v>2.10 Kendala - Feeder Rusak</v>
      </c>
      <c r="Q1570" s="222" t="str">
        <f>IFERROR(__xludf.DUMMYFUNCTION("""COMPUTED_VALUE"""),"21/04 pengecekan tipus / butuh qe
06/04 TJR-FY feeder redti
31/03 komitmen aanwidzing (01/04) 01/02 order mitra")</f>
        <v>21/04 pengecekan tipus / butuh qe
06/04 TJR-FY feeder redti
31/03 komitmen aanwidzing (01/04) 01/02 order mitra</v>
      </c>
      <c r="R1570" s="228"/>
      <c r="S1570" s="11"/>
      <c r="T1570" s="11"/>
      <c r="U1570" s="11"/>
      <c r="V1570" s="229"/>
      <c r="W1570" s="229"/>
      <c r="X1570" s="229" t="str">
        <f>IFERROR(__xludf.DUMMYFUNCTION("""COMPUTED_VALUE"""),"BELUM GOLIVE")</f>
        <v>BELUM GOLIVE</v>
      </c>
      <c r="Y1570" s="229"/>
      <c r="Z1570" s="229" t="str">
        <f>IFERROR(__xludf.DUMMYFUNCTION("""COMPUTED_VALUE"""),"#N/A")</f>
        <v>#N/A</v>
      </c>
      <c r="AA1570" s="229"/>
      <c r="AB1570" s="229"/>
      <c r="AC1570" s="229"/>
      <c r="AD1570" s="232"/>
      <c r="AE1570" s="233"/>
      <c r="AF1570" s="54"/>
      <c r="AG1570" s="54"/>
      <c r="AH1570" s="54"/>
      <c r="AI1570" s="55" t="str">
        <f t="shared" si="155"/>
        <v/>
      </c>
      <c r="AW1570" s="234"/>
      <c r="BP1570" s="11"/>
      <c r="BQ1570" s="11"/>
      <c r="BR1570" s="235"/>
      <c r="BV1570" s="158"/>
      <c r="BY1570" s="158"/>
      <c r="CB1570" s="158"/>
    </row>
    <row r="1571" ht="18.0" customHeight="1">
      <c r="A1571" s="222">
        <f>IFERROR(__xludf.DUMMYFUNCTION("""COMPUTED_VALUE"""),2026.0)</f>
        <v>2026</v>
      </c>
      <c r="B1571" s="221">
        <f>IFERROR(__xludf.DUMMYFUNCTION("""COMPUTED_VALUE"""),1.1391135E7)</f>
        <v>11391135</v>
      </c>
      <c r="C1571" s="222" t="str">
        <f>IFERROR(__xludf.DUMMYFUNCTION("""COMPUTED_VALUE"""),"SMB MD KOTA PADANG_13089")</f>
        <v>SMB MD KOTA PADANG_13089</v>
      </c>
      <c r="D1571" s="222" t="str">
        <f>IFERROR(__xludf.DUMMYFUNCTION("""COMPUTED_VALUE"""),"REGIONAL I")</f>
        <v>REGIONAL I</v>
      </c>
      <c r="E1571" s="222" t="str">
        <f>IFERROR(__xludf.DUMMYFUNCTION("""COMPUTED_VALUE"""),"SUMBAR")</f>
        <v>SUMBAR</v>
      </c>
      <c r="F1571" s="222" t="str">
        <f>IFERROR(__xludf.DUMMYFUNCTION("""COMPUTED_VALUE"""),"KJI")</f>
        <v>KJI</v>
      </c>
      <c r="G1571" s="222" t="str">
        <f>IFERROR(__xludf.DUMMYFUNCTION("""COMPUTED_VALUE"""),"SUMBAGTENG")</f>
        <v>SUMBAGTENG</v>
      </c>
      <c r="H1571" s="222" t="str">
        <f>IFERROR(__xludf.DUMMYFUNCTION("""COMPUTED_VALUE"""),"PADANG")</f>
        <v>PADANG</v>
      </c>
      <c r="I1571" s="222" t="str">
        <f>IFERROR(__xludf.DUMMYFUNCTION("""COMPUTED_VALUE"""),"Batch 2")</f>
        <v>Batch 2</v>
      </c>
      <c r="J1571" s="225">
        <f>IFERROR(__xludf.DUMMYFUNCTION("""COMPUTED_VALUE"""),2.0)</f>
        <v>2</v>
      </c>
      <c r="K1571" s="224">
        <f>IFERROR(__xludf.DUMMYFUNCTION("""COMPUTED_VALUE"""),16.0)</f>
        <v>16</v>
      </c>
      <c r="L1571" s="226">
        <f>IFERROR(__xludf.DUMMYFUNCTION("""COMPUTED_VALUE"""),575002.0)</f>
        <v>575002</v>
      </c>
      <c r="M1571" s="227">
        <f>IFERROR(__xludf.DUMMYFUNCTION("""COMPUTED_VALUE"""),9200027.0)</f>
        <v>9200027</v>
      </c>
      <c r="N1571" s="222" t="str">
        <f>IFERROR(__xludf.DUMMYFUNCTION("""COMPUTED_VALUE"""),"PT TRI PENAMAS")</f>
        <v>PT TRI PENAMAS</v>
      </c>
      <c r="O1571" s="222" t="str">
        <f>IFERROR(__xludf.DUMMYFUNCTION("""COMPUTED_VALUE"""),"0. DROP")</f>
        <v>0. DROP</v>
      </c>
      <c r="P1571" s="222" t="str">
        <f>IFERROR(__xludf.DUMMYFUNCTION("""COMPUTED_VALUE"""),"0.3 Feeder Full")</f>
        <v>0.3 Feeder Full</v>
      </c>
      <c r="Q1571" s="222" t="str">
        <f>IFERROR(__xludf.DUMMYFUNCTION("""COMPUTED_VALUE"""),"(26/01) KENDALA FEEDER KJI-FB FULL, BUTUH NEW FEEDER")</f>
        <v>(26/01) KENDALA FEEDER KJI-FB FULL, BUTUH NEW FEEDER</v>
      </c>
      <c r="R1571" s="228"/>
      <c r="S1571" s="11"/>
      <c r="T1571" s="11"/>
      <c r="U1571" s="11"/>
      <c r="V1571" s="229"/>
      <c r="W1571" s="229"/>
      <c r="X1571" s="229" t="str">
        <f>IFERROR(__xludf.DUMMYFUNCTION("""COMPUTED_VALUE"""),"BELUM GOLIVE")</f>
        <v>BELUM GOLIVE</v>
      </c>
      <c r="Y1571" s="229"/>
      <c r="Z1571" s="229" t="str">
        <f>IFERROR(__xludf.DUMMYFUNCTION("""COMPUTED_VALUE"""),"#N/A")</f>
        <v>#N/A</v>
      </c>
      <c r="AA1571" s="229"/>
      <c r="AB1571" s="229"/>
      <c r="AC1571" s="229"/>
      <c r="AD1571" s="232"/>
      <c r="AE1571" s="233"/>
      <c r="AF1571" s="54" t="str">
        <f>IFERROR(__xludf.DUMMYFUNCTION("""COMPUTED_VALUE"""),"Draft BA DROP")</f>
        <v>Draft BA DROP</v>
      </c>
      <c r="AG1571" s="54"/>
      <c r="AH1571" s="54"/>
      <c r="AI1571" s="55" t="str">
        <f t="shared" si="155"/>
        <v/>
      </c>
      <c r="AW1571" s="234"/>
      <c r="BP1571" s="11"/>
      <c r="BQ1571" s="11"/>
      <c r="BR1571" s="235"/>
      <c r="BV1571" s="158"/>
      <c r="BY1571" s="158"/>
      <c r="CB1571" s="158"/>
    </row>
    <row r="1572" ht="18.0" customHeight="1">
      <c r="A1572" s="222">
        <f>IFERROR(__xludf.DUMMYFUNCTION("""COMPUTED_VALUE"""),2026.0)</f>
        <v>2026</v>
      </c>
      <c r="B1572" s="221">
        <f>IFERROR(__xludf.DUMMYFUNCTION("""COMPUTED_VALUE"""),1.2429682E7)</f>
        <v>12429682</v>
      </c>
      <c r="C1572" s="222" t="str">
        <f>IFERROR(__xludf.DUMMYFUNCTION("""COMPUTED_VALUE"""),"RDR JPP PT3 KAMPAR_9178")</f>
        <v>RDR JPP PT3 KAMPAR_9178</v>
      </c>
      <c r="D1572" s="222" t="str">
        <f>IFERROR(__xludf.DUMMYFUNCTION("""COMPUTED_VALUE"""),"REGIONAL I")</f>
        <v>REGIONAL I</v>
      </c>
      <c r="E1572" s="222" t="str">
        <f>IFERROR(__xludf.DUMMYFUNCTION("""COMPUTED_VALUE"""),"RIDAR")</f>
        <v>RIDAR</v>
      </c>
      <c r="F1572" s="222" t="str">
        <f>IFERROR(__xludf.DUMMYFUNCTION("""COMPUTED_VALUE"""),"BKR")</f>
        <v>BKR</v>
      </c>
      <c r="G1572" s="222" t="str">
        <f>IFERROR(__xludf.DUMMYFUNCTION("""COMPUTED_VALUE"""),"SUMBAGTENG")</f>
        <v>SUMBAGTENG</v>
      </c>
      <c r="H1572" s="222" t="str">
        <f>IFERROR(__xludf.DUMMYFUNCTION("""COMPUTED_VALUE"""),"PEKANBARU")</f>
        <v>PEKANBARU</v>
      </c>
      <c r="I1572" s="222" t="str">
        <f>IFERROR(__xludf.DUMMYFUNCTION("""COMPUTED_VALUE"""),"Batch 2")</f>
        <v>Batch 2</v>
      </c>
      <c r="J1572" s="225">
        <f>IFERROR(__xludf.DUMMYFUNCTION("""COMPUTED_VALUE"""),2.0)</f>
        <v>2</v>
      </c>
      <c r="K1572" s="224">
        <f>IFERROR(__xludf.DUMMYFUNCTION("""COMPUTED_VALUE"""),16.0)</f>
        <v>16</v>
      </c>
      <c r="L1572" s="226">
        <f>IFERROR(__xludf.DUMMYFUNCTION("""COMPUTED_VALUE"""),572739.0)</f>
        <v>572739</v>
      </c>
      <c r="M1572" s="227">
        <f>IFERROR(__xludf.DUMMYFUNCTION("""COMPUTED_VALUE"""),9163809.0)</f>
        <v>9163809</v>
      </c>
      <c r="N1572" s="222" t="str">
        <f>IFERROR(__xludf.DUMMYFUNCTION("""COMPUTED_VALUE"""),"PT SAMUDERA PUTRA KENCANA")</f>
        <v>PT SAMUDERA PUTRA KENCANA</v>
      </c>
      <c r="O1572" s="222" t="str">
        <f>IFERROR(__xludf.DUMMYFUNCTION("""COMPUTED_VALUE"""),"7. GOLIVE")</f>
        <v>7. GOLIVE</v>
      </c>
      <c r="P1572" s="222" t="str">
        <f>IFERROR(__xludf.DUMMYFUNCTION("""COMPUTED_VALUE"""),"7.2 Golive Full / OA / DONE OTB")</f>
        <v>7.2 Golive Full / OA / DONE OTB</v>
      </c>
      <c r="Q1572" s="222" t="str">
        <f>IFERROR(__xludf.DUMMYFUNCTION("""COMPUTED_VALUE"""),"(07/01) Persiapan")</f>
        <v>(07/01) Persiapan</v>
      </c>
      <c r="R1572" s="228"/>
      <c r="S1572" s="11"/>
      <c r="T1572" s="11"/>
      <c r="U1572" s="11" t="str">
        <f>IFERROR(__xludf.DUMMYFUNCTION("""COMPUTED_VALUE"""),"W08-2113/2025")</f>
        <v>W08-2113/2025</v>
      </c>
      <c r="V1572" s="229" t="str">
        <f>IFERROR(__xludf.DUMMYFUNCTION("""COMPUTED_VALUE"""),"TEGUH IMAM PERDANA")</f>
        <v>TEGUH IMAM PERDANA</v>
      </c>
      <c r="W1572" s="229" t="str">
        <f>IFERROR(__xludf.DUMMYFUNCTION("""COMPUTED_VALUE"""),"DESLITA RAHMADANI")</f>
        <v>DESLITA RAHMADANI</v>
      </c>
      <c r="X1572" s="229" t="str">
        <f>IFERROR(__xludf.DUMMYFUNCTION("""COMPUTED_VALUE"""),"GOLIVE")</f>
        <v>GOLIVE</v>
      </c>
      <c r="Y1572" s="229" t="str">
        <f>IFERROR(__xludf.DUMMYFUNCTION("""COMPUTED_VALUE"""),"DONE")</f>
        <v>DONE</v>
      </c>
      <c r="Z1572" s="229" t="str">
        <f>IFERROR(__xludf.DUMMYFUNCTION("""COMPUTED_VALUE"""),"#N/A")</f>
        <v>#N/A</v>
      </c>
      <c r="AA1572" s="229">
        <f>IFERROR(__xludf.DUMMYFUNCTION("""COMPUTED_VALUE"""),2.0)</f>
        <v>2</v>
      </c>
      <c r="AB1572" s="229"/>
      <c r="AC1572" s="229" t="str">
        <f>IFERROR(__xludf.DUMMYFUNCTION("""COMPUTED_VALUE"""),"8834728#8834733")</f>
        <v>8834728#8834733</v>
      </c>
      <c r="AD1572" s="232">
        <f>IFERROR(__xludf.DUMMYFUNCTION("""COMPUTED_VALUE"""),16.0)</f>
        <v>16</v>
      </c>
      <c r="AE1572" s="233">
        <f>IFERROR(__xludf.DUMMYFUNCTION("""COMPUTED_VALUE"""),46043.0)</f>
        <v>46043</v>
      </c>
      <c r="AF1572" s="54"/>
      <c r="AG1572" s="54"/>
      <c r="AH1572" s="54"/>
      <c r="AI1572" s="55" t="str">
        <f>IF(OR(AH1572="",AE1572=""),"",AH1572-AE1572)</f>
        <v/>
      </c>
      <c r="AW1572" s="234"/>
      <c r="BP1572" s="11"/>
      <c r="BQ1572" s="11"/>
      <c r="BR1572" s="235"/>
      <c r="BV1572" s="158"/>
      <c r="BY1572" s="158"/>
      <c r="CB1572" s="158"/>
    </row>
    <row r="1573" ht="18.0" hidden="1" customHeight="1">
      <c r="A1573" s="222">
        <f>IFERROR(__xludf.DUMMYFUNCTION("""COMPUTED_VALUE"""),2026.0)</f>
        <v>2026</v>
      </c>
      <c r="B1573" s="221">
        <f>IFERROR(__xludf.DUMMYFUNCTION("""COMPUTED_VALUE"""),1.1271913E7)</f>
        <v>11271913</v>
      </c>
      <c r="C1573" s="222" t="str">
        <f>IFERROR(__xludf.DUMMYFUNCTION("""COMPUTED_VALUE"""),"MDN PT3 P1I1 GLG-FE PERUM NUSA INDAH 3")</f>
        <v>MDN PT3 P1I1 GLG-FE PERUM NUSA INDAH 3</v>
      </c>
      <c r="D1573" s="222" t="str">
        <f>IFERROR(__xludf.DUMMYFUNCTION("""COMPUTED_VALUE"""),"REGIONAL I")</f>
        <v>REGIONAL I</v>
      </c>
      <c r="E1573" s="222" t="str">
        <f>IFERROR(__xludf.DUMMYFUNCTION("""COMPUTED_VALUE"""),"MEDAN")</f>
        <v>MEDAN</v>
      </c>
      <c r="F1573" s="222" t="str">
        <f>IFERROR(__xludf.DUMMYFUNCTION("""COMPUTED_VALUE"""),"GLG")</f>
        <v>GLG</v>
      </c>
      <c r="G1573" s="222" t="str">
        <f>IFERROR(__xludf.DUMMYFUNCTION("""COMPUTED_VALUE"""),"SUMBAGUT")</f>
        <v>SUMBAGUT</v>
      </c>
      <c r="H1573" s="222" t="str">
        <f>IFERROR(__xludf.DUMMYFUNCTION("""COMPUTED_VALUE"""),"MEDAN")</f>
        <v>MEDAN</v>
      </c>
      <c r="I1573" s="222" t="str">
        <f>IFERROR(__xludf.DUMMYFUNCTION("""COMPUTED_VALUE"""),"Batch 2")</f>
        <v>Batch 2</v>
      </c>
      <c r="J1573" s="225">
        <f>IFERROR(__xludf.DUMMYFUNCTION("""COMPUTED_VALUE"""),3.0)</f>
        <v>3</v>
      </c>
      <c r="K1573" s="224">
        <f>IFERROR(__xludf.DUMMYFUNCTION("""COMPUTED_VALUE"""),24.0)</f>
        <v>24</v>
      </c>
      <c r="L1573" s="226">
        <f>IFERROR(__xludf.DUMMYFUNCTION("""COMPUTED_VALUE"""),757624.0)</f>
        <v>757624</v>
      </c>
      <c r="M1573" s="227">
        <f>IFERROR(__xludf.DUMMYFUNCTION("""COMPUTED_VALUE"""),1.8182965E7)</f>
        <v>18182965</v>
      </c>
      <c r="N1573" s="222" t="str">
        <f>IFERROR(__xludf.DUMMYFUNCTION("""COMPUTED_VALUE"""),"PT BONGKAR SEJATI ANDALAN")</f>
        <v>PT BONGKAR SEJATI ANDALAN</v>
      </c>
      <c r="O1573" s="222" t="str">
        <f>IFERROR(__xludf.DUMMYFUNCTION("""COMPUTED_VALUE"""),"8. UJI TERIMA")</f>
        <v>8. UJI TERIMA</v>
      </c>
      <c r="P1573" s="222" t="str">
        <f>IFERROR(__xludf.DUMMYFUNCTION("""COMPUTED_VALUE"""),"8.1 Proses UT")</f>
        <v>8.1 Proses UT</v>
      </c>
      <c r="Q1573" s="222" t="str">
        <f>IFERROR(__xludf.DUMMYFUNCTION("""COMPUTED_VALUE"""),"(07/01) Persiapan")</f>
        <v>(07/01) Persiapan</v>
      </c>
      <c r="R1573" s="228">
        <f>IFERROR(__xludf.DUMMYFUNCTION("""COMPUTED_VALUE"""),46035.0)</f>
        <v>46035</v>
      </c>
      <c r="S1573" s="11"/>
      <c r="T1573" s="11"/>
      <c r="U1573" s="11" t="str">
        <f>IFERROR(__xludf.DUMMYFUNCTION("""COMPUTED_VALUE"""),"FALSE")</f>
        <v>FALSE</v>
      </c>
      <c r="V1573" s="229"/>
      <c r="W1573" s="229"/>
      <c r="X1573" s="229" t="str">
        <f>IFERROR(__xludf.DUMMYFUNCTION("""COMPUTED_VALUE"""),"GOLIVE")</f>
        <v>GOLIVE</v>
      </c>
      <c r="Y1573" s="229" t="str">
        <f>IFERROR(__xludf.DUMMYFUNCTION("""COMPUTED_VALUE"""),"DONE")</f>
        <v>DONE</v>
      </c>
      <c r="Z1573" s="229" t="str">
        <f>IFERROR(__xludf.DUMMYFUNCTION("""COMPUTED_VALUE"""),"#N/A")</f>
        <v>#N/A</v>
      </c>
      <c r="AA1573" s="229">
        <f>IFERROR(__xludf.DUMMYFUNCTION("""COMPUTED_VALUE"""),3.0)</f>
        <v>3</v>
      </c>
      <c r="AB1573" s="229"/>
      <c r="AC1573" s="229" t="str">
        <f>IFERROR(__xludf.DUMMYFUNCTION("""COMPUTED_VALUE"""),"8919172#8919177")</f>
        <v>8919172#8919177</v>
      </c>
      <c r="AD1573" s="232">
        <f>IFERROR(__xludf.DUMMYFUNCTION("""COMPUTED_VALUE"""),24.0)</f>
        <v>24</v>
      </c>
      <c r="AE1573" s="233">
        <f>IFERROR(__xludf.DUMMYFUNCTION("""COMPUTED_VALUE"""),46035.0)</f>
        <v>46035</v>
      </c>
      <c r="AF1573" s="54"/>
      <c r="AG1573" s="54"/>
      <c r="AH1573" s="54">
        <v>46134.0</v>
      </c>
      <c r="AI1573" s="237">
        <f>AH1573-NOW()</f>
        <v>-6.377989931</v>
      </c>
      <c r="AJ1573" s="229" t="str">
        <f>if(AI1573&gt;=0,"Gl in Komitmen","Gl out Komitmen")</f>
        <v>Gl out Komitmen</v>
      </c>
      <c r="AK1573" s="229" t="s">
        <v>199</v>
      </c>
      <c r="AW1573" s="234"/>
      <c r="BP1573" s="11"/>
      <c r="BQ1573" s="11"/>
      <c r="BR1573" s="235"/>
      <c r="BV1573" s="158"/>
      <c r="BY1573" s="158"/>
      <c r="CB1573" s="158"/>
    </row>
    <row r="1574" ht="18.0" customHeight="1">
      <c r="A1574" s="222">
        <f>IFERROR(__xludf.DUMMYFUNCTION("""COMPUTED_VALUE"""),2026.0)</f>
        <v>2026</v>
      </c>
      <c r="B1574" s="221">
        <f>IFERROR(__xludf.DUMMYFUNCTION("""COMPUTED_VALUE"""),1.0904934E7)</f>
        <v>10904934</v>
      </c>
      <c r="C1574" s="222" t="str">
        <f>IFERROR(__xludf.DUMMYFUNCTION("""COMPUTED_VALUE"""),"RDR JPP P4l1 PT3 PERUMAHAN GRIYA BELILAS PERMAI")</f>
        <v>RDR JPP P4l1 PT3 PERUMAHAN GRIYA BELILAS PERMAI</v>
      </c>
      <c r="D1574" s="222" t="str">
        <f>IFERROR(__xludf.DUMMYFUNCTION("""COMPUTED_VALUE"""),"REGIONAL I")</f>
        <v>REGIONAL I</v>
      </c>
      <c r="E1574" s="222" t="str">
        <f>IFERROR(__xludf.DUMMYFUNCTION("""COMPUTED_VALUE"""),"RIDAR")</f>
        <v>RIDAR</v>
      </c>
      <c r="F1574" s="222" t="str">
        <f>IFERROR(__xludf.DUMMYFUNCTION("""COMPUTED_VALUE"""),"RGT")</f>
        <v>RGT</v>
      </c>
      <c r="G1574" s="222" t="str">
        <f>IFERROR(__xludf.DUMMYFUNCTION("""COMPUTED_VALUE"""),"SUMBAGTENG")</f>
        <v>SUMBAGTENG</v>
      </c>
      <c r="H1574" s="222" t="str">
        <f>IFERROR(__xludf.DUMMYFUNCTION("""COMPUTED_VALUE"""),"PEKANBARU")</f>
        <v>PEKANBARU</v>
      </c>
      <c r="I1574" s="222" t="str">
        <f>IFERROR(__xludf.DUMMYFUNCTION("""COMPUTED_VALUE"""),"Batch 2")</f>
        <v>Batch 2</v>
      </c>
      <c r="J1574" s="225">
        <f>IFERROR(__xludf.DUMMYFUNCTION("""COMPUTED_VALUE"""),2.0)</f>
        <v>2</v>
      </c>
      <c r="K1574" s="224">
        <f>IFERROR(__xludf.DUMMYFUNCTION("""COMPUTED_VALUE"""),16.0)</f>
        <v>16</v>
      </c>
      <c r="L1574" s="226">
        <f>IFERROR(__xludf.DUMMYFUNCTION("""COMPUTED_VALUE"""),572605.0)</f>
        <v>572605</v>
      </c>
      <c r="M1574" s="227">
        <f>IFERROR(__xludf.DUMMYFUNCTION("""COMPUTED_VALUE"""),9161667.0)</f>
        <v>9161667</v>
      </c>
      <c r="N1574" s="222" t="str">
        <f>IFERROR(__xludf.DUMMYFUNCTION("""COMPUTED_VALUE"""),"PT SAMUDERA PUTRA KENCANA")</f>
        <v>PT SAMUDERA PUTRA KENCANA</v>
      </c>
      <c r="O1574" s="222" t="str">
        <f>IFERROR(__xludf.DUMMYFUNCTION("""COMPUTED_VALUE"""),"5. INSTALASI")</f>
        <v>5. INSTALASI</v>
      </c>
      <c r="P1574" s="222" t="str">
        <f>IFERROR(__xludf.DUMMYFUNCTION("""COMPUTED_VALUE"""),"5.4 Proses Penanaman Tiang")</f>
        <v>5.4 Proses Penanaman Tiang</v>
      </c>
      <c r="Q1574" s="222" t="str">
        <f>IFERROR(__xludf.DUMMYFUNCTION("""COMPUTED_VALUE"""),"20/04 Penanaman tiang 13/04 Penanaman tiang 06/04 Pengiriman material ke Lokasi 27/03 Pekerjaan mulai progres senin 30 Mar 16/03 Pekerjaan dilanjut setelah RAFI (08/01) DROP (07/01) Persiapan")</f>
        <v>20/04 Penanaman tiang 13/04 Penanaman tiang 06/04 Pengiriman material ke Lokasi 27/03 Pekerjaan mulai progres senin 30 Mar 16/03 Pekerjaan dilanjut setelah RAFI (08/01) DROP (07/01) Persiapan</v>
      </c>
      <c r="R1574" s="228">
        <f>IFERROR(__xludf.DUMMYFUNCTION("""COMPUTED_VALUE"""),46141.0)</f>
        <v>46141</v>
      </c>
      <c r="S1574" s="11" t="str">
        <f>IFERROR(__xludf.DUMMYFUNCTION("""COMPUTED_VALUE"""),"APR")</f>
        <v>APR</v>
      </c>
      <c r="T1574" s="73"/>
      <c r="U1574" s="11"/>
      <c r="V1574" s="229"/>
      <c r="W1574" s="229"/>
      <c r="X1574" s="229" t="str">
        <f>IFERROR(__xludf.DUMMYFUNCTION("""COMPUTED_VALUE"""),"BELUM GOLIVE")</f>
        <v>BELUM GOLIVE</v>
      </c>
      <c r="Y1574" s="229"/>
      <c r="Z1574" s="229" t="str">
        <f>IFERROR(__xludf.DUMMYFUNCTION("""COMPUTED_VALUE"""),"#N/A")</f>
        <v>#N/A</v>
      </c>
      <c r="AA1574" s="229"/>
      <c r="AB1574" s="229"/>
      <c r="AC1574" s="229"/>
      <c r="AD1574" s="232"/>
      <c r="AE1574" s="233"/>
      <c r="AF1574" s="54"/>
      <c r="AG1574" s="54"/>
      <c r="AH1574" s="54">
        <v>46134.0</v>
      </c>
      <c r="AI1574" s="55">
        <f>AH1574-TODAY()</f>
        <v>-6</v>
      </c>
      <c r="AJ1574" s="229" t="str">
        <f>if(AI1574&gt;=0,"In Komitmen","Out Komitmen")</f>
        <v>Out Komitmen</v>
      </c>
      <c r="AK1574" s="231" t="s">
        <v>199</v>
      </c>
      <c r="AW1574" s="234"/>
      <c r="BP1574" s="11"/>
      <c r="BQ1574" s="11"/>
      <c r="BR1574" s="235"/>
      <c r="BV1574" s="158"/>
      <c r="BY1574" s="158"/>
      <c r="CB1574" s="158"/>
    </row>
    <row r="1575" ht="18.0" customHeight="1">
      <c r="A1575" s="222">
        <f>IFERROR(__xludf.DUMMYFUNCTION("""COMPUTED_VALUE"""),2026.0)</f>
        <v>2026</v>
      </c>
      <c r="B1575" s="221">
        <f>IFERROR(__xludf.DUMMYFUNCTION("""COMPUTED_VALUE"""),1.1164172E7)</f>
        <v>11164172</v>
      </c>
      <c r="C1575" s="222" t="str">
        <f>IFERROR(__xludf.DUMMYFUNCTION("""COMPUTED_VALUE"""),"SMB P1I2 Kp Tarandam Jorong Pasia Tiku")</f>
        <v>SMB P1I2 Kp Tarandam Jorong Pasia Tiku</v>
      </c>
      <c r="D1575" s="222" t="str">
        <f>IFERROR(__xludf.DUMMYFUNCTION("""COMPUTED_VALUE"""),"REGIONAL I")</f>
        <v>REGIONAL I</v>
      </c>
      <c r="E1575" s="222" t="str">
        <f>IFERROR(__xludf.DUMMYFUNCTION("""COMPUTED_VALUE"""),"SUMBAR")</f>
        <v>SUMBAR</v>
      </c>
      <c r="F1575" s="222" t="str">
        <f>IFERROR(__xludf.DUMMYFUNCTION("""COMPUTED_VALUE"""),"TKU")</f>
        <v>TKU</v>
      </c>
      <c r="G1575" s="222" t="str">
        <f>IFERROR(__xludf.DUMMYFUNCTION("""COMPUTED_VALUE"""),"SUMBAGTENG")</f>
        <v>SUMBAGTENG</v>
      </c>
      <c r="H1575" s="222" t="str">
        <f>IFERROR(__xludf.DUMMYFUNCTION("""COMPUTED_VALUE"""),"BUKIT TINGGI")</f>
        <v>BUKIT TINGGI</v>
      </c>
      <c r="I1575" s="222" t="str">
        <f>IFERROR(__xludf.DUMMYFUNCTION("""COMPUTED_VALUE"""),"Batch 2")</f>
        <v>Batch 2</v>
      </c>
      <c r="J1575" s="225">
        <f>IFERROR(__xludf.DUMMYFUNCTION("""COMPUTED_VALUE"""),3.0)</f>
        <v>3</v>
      </c>
      <c r="K1575" s="224">
        <f>IFERROR(__xludf.DUMMYFUNCTION("""COMPUTED_VALUE"""),24.0)</f>
        <v>24</v>
      </c>
      <c r="L1575" s="226">
        <f>IFERROR(__xludf.DUMMYFUNCTION("""COMPUTED_VALUE"""),572488.0)</f>
        <v>572488</v>
      </c>
      <c r="M1575" s="227">
        <f>IFERROR(__xludf.DUMMYFUNCTION("""COMPUTED_VALUE"""),1.37397E7)</f>
        <v>13739700</v>
      </c>
      <c r="N1575" s="222" t="str">
        <f>IFERROR(__xludf.DUMMYFUNCTION("""COMPUTED_VALUE"""),"PT TIGA AKSES MANDIRI")</f>
        <v>PT TIGA AKSES MANDIRI</v>
      </c>
      <c r="O1575" s="222" t="str">
        <f>IFERROR(__xludf.DUMMYFUNCTION("""COMPUTED_VALUE"""),"0. DROP")</f>
        <v>0. DROP</v>
      </c>
      <c r="P1575" s="222" t="str">
        <f>IFERROR(__xludf.DUMMYFUNCTION("""COMPUTED_VALUE"""),"0.1 Double Order")</f>
        <v>0.1 Double Order</v>
      </c>
      <c r="Q1575" s="222" t="str">
        <f>IFERROR(__xludf.DUMMYFUNCTION("""COMPUTED_VALUE"""),"(05/03) Doubel dengan LOP STTF tiku  07/03 (26/01) DROP, Feeder habis, done aanwizing th 2025, (07/01) Persiapan")</f>
        <v>(05/03) Doubel dengan LOP STTF tiku  07/03 (26/01) DROP, Feeder habis, done aanwizing th 2025, (07/01) Persiapan</v>
      </c>
      <c r="R1575" s="228"/>
      <c r="S1575" s="11"/>
      <c r="T1575" s="11"/>
      <c r="U1575" s="11"/>
      <c r="V1575" s="229" t="str">
        <f>IFERROR(__xludf.DUMMYFUNCTION("""COMPUTED_VALUE"""),"JANUAR RIZAL")</f>
        <v>JANUAR RIZAL</v>
      </c>
      <c r="W1575" s="229" t="str">
        <f>IFERROR(__xludf.DUMMYFUNCTION("""COMPUTED_VALUE"""),"MELKO NARWADI")</f>
        <v>MELKO NARWADI</v>
      </c>
      <c r="X1575" s="229" t="str">
        <f>IFERROR(__xludf.DUMMYFUNCTION("""COMPUTED_VALUE"""),"BELUM GOLIVE")</f>
        <v>BELUM GOLIVE</v>
      </c>
      <c r="Y1575" s="229"/>
      <c r="Z1575" s="229" t="str">
        <f>IFERROR(__xludf.DUMMYFUNCTION("""COMPUTED_VALUE"""),"#N/A")</f>
        <v>#N/A</v>
      </c>
      <c r="AA1575" s="229"/>
      <c r="AB1575" s="229"/>
      <c r="AC1575" s="229"/>
      <c r="AD1575" s="232"/>
      <c r="AE1575" s="233"/>
      <c r="AF1575" s="54"/>
      <c r="AG1575" s="54"/>
      <c r="AH1575" s="54"/>
      <c r="AI1575" s="55" t="str">
        <f t="shared" ref="AI1575:AI1597" si="156">IF(OR(R1575="",AE1575=""),"",R1575-AE1575)</f>
        <v/>
      </c>
      <c r="AW1575" s="234"/>
      <c r="BP1575" s="11"/>
      <c r="BQ1575" s="11"/>
      <c r="BR1575" s="235"/>
      <c r="BV1575" s="158"/>
      <c r="BY1575" s="158"/>
      <c r="CB1575" s="158"/>
    </row>
    <row r="1576" ht="18.0" hidden="1" customHeight="1">
      <c r="A1576" s="222">
        <f>IFERROR(__xludf.DUMMYFUNCTION("""COMPUTED_VALUE"""),2026.0)</f>
        <v>2026</v>
      </c>
      <c r="B1576" s="221">
        <f>IFERROR(__xludf.DUMMYFUNCTION("""COMPUTED_VALUE"""),1.1483902E7)</f>
        <v>11483902</v>
      </c>
      <c r="C1576" s="222" t="str">
        <f>IFERROR(__xludf.DUMMYFUNCTION("""COMPUTED_VALUE"""),"SMS P3I1 PT3 TAM FD D05 BAMBU KUNING")</f>
        <v>SMS P3I1 PT3 TAM FD D05 BAMBU KUNING</v>
      </c>
      <c r="D1576" s="222" t="str">
        <f>IFERROR(__xludf.DUMMYFUNCTION("""COMPUTED_VALUE"""),"REGIONAL I")</f>
        <v>REGIONAL I</v>
      </c>
      <c r="E1576" s="222" t="str">
        <f>IFERROR(__xludf.DUMMYFUNCTION("""COMPUTED_VALUE"""),"SUMSEL")</f>
        <v>SUMSEL</v>
      </c>
      <c r="F1576" s="222" t="str">
        <f>IFERROR(__xludf.DUMMYFUNCTION("""COMPUTED_VALUE"""),"TAM")</f>
        <v>TAM</v>
      </c>
      <c r="G1576" s="222" t="str">
        <f>IFERROR(__xludf.DUMMYFUNCTION("""COMPUTED_VALUE"""),"SUMBAGSEL")</f>
        <v>SUMBAGSEL</v>
      </c>
      <c r="H1576" s="222" t="str">
        <f>IFERROR(__xludf.DUMMYFUNCTION("""COMPUTED_VALUE"""),"PALEMBANG")</f>
        <v>PALEMBANG</v>
      </c>
      <c r="I1576" s="222" t="str">
        <f>IFERROR(__xludf.DUMMYFUNCTION("""COMPUTED_VALUE"""),"Batch 2")</f>
        <v>Batch 2</v>
      </c>
      <c r="J1576" s="225">
        <f>IFERROR(__xludf.DUMMYFUNCTION("""COMPUTED_VALUE"""),2.0)</f>
        <v>2</v>
      </c>
      <c r="K1576" s="224">
        <f>IFERROR(__xludf.DUMMYFUNCTION("""COMPUTED_VALUE"""),16.0)</f>
        <v>16</v>
      </c>
      <c r="L1576" s="226">
        <f>IFERROR(__xludf.DUMMYFUNCTION("""COMPUTED_VALUE"""),571861.0)</f>
        <v>571861</v>
      </c>
      <c r="M1576" s="227">
        <f>IFERROR(__xludf.DUMMYFUNCTION("""COMPUTED_VALUE"""),9149767.0)</f>
        <v>9149767</v>
      </c>
      <c r="N1576" s="222" t="str">
        <f>IFERROR(__xludf.DUMMYFUNCTION("""COMPUTED_VALUE"""),"PT GARINDO TECHNO MANDIRI")</f>
        <v>PT GARINDO TECHNO MANDIRI</v>
      </c>
      <c r="O1576" s="222" t="str">
        <f>IFERROR(__xludf.DUMMYFUNCTION("""COMPUTED_VALUE"""),"0. DROP")</f>
        <v>0. DROP</v>
      </c>
      <c r="P1576" s="222" t="str">
        <f>IFERROR(__xludf.DUMMYFUNCTION("""COMPUTED_VALUE"""),"0.3 Feeder Full")</f>
        <v>0.3 Feeder Full</v>
      </c>
      <c r="Q1576" s="222" t="str">
        <f>IFERROR(__xludf.DUMMYFUNCTION("""COMPUTED_VALUE"""),"10/03 DROP STUB CORE FEEDER HABIS - SDH ADA BA DROP,  24/02 DROP STUB CORE FEEDER HABIS - SDH ADA BA DROP,  15/01 DROP, stub feeder habis (21/01) Stub core feeder habis (14/11)HOLD- tidak masuk target Optimis 2025 (14/11 on progress eval, (08/11) SUDAH AN"&amp;"WIJZING , FEEDER 24 FULL , IDLE RUSAK . PERLU QE (5/11) menunggu jadwal aanwidzjing 23/10 penunjukan mitra")</f>
        <v>10/03 DROP STUB CORE FEEDER HABIS - SDH ADA BA DROP,  24/02 DROP STUB CORE FEEDER HABIS - SDH ADA BA DROP,  15/01 DROP, stub feeder habis (21/01) Stub core feeder habis (14/11)HOLD- tidak masuk target Optimis 2025 (14/11 on progress eval, (08/11) SUDAH ANWIJZING , FEEDER 24 FULL , IDLE RUSAK . PERLU QE (5/11) menunggu jadwal aanwidzjing 23/10 penunjukan mitra</v>
      </c>
      <c r="R1576" s="228"/>
      <c r="S1576" s="11"/>
      <c r="T1576" s="11"/>
      <c r="U1576" s="11"/>
      <c r="V1576" s="229" t="str">
        <f>IFERROR(__xludf.DUMMYFUNCTION("""COMPUTED_VALUE"""),"ILHAM")</f>
        <v>ILHAM</v>
      </c>
      <c r="W1576" s="229"/>
      <c r="X1576" s="229" t="str">
        <f>IFERROR(__xludf.DUMMYFUNCTION("""COMPUTED_VALUE"""),"BELUM GOLIVE")</f>
        <v>BELUM GOLIVE</v>
      </c>
      <c r="Y1576" s="229"/>
      <c r="Z1576" s="229" t="str">
        <f>IFERROR(__xludf.DUMMYFUNCTION("""COMPUTED_VALUE"""),"#N/A")</f>
        <v>#N/A</v>
      </c>
      <c r="AA1576" s="229"/>
      <c r="AB1576" s="229"/>
      <c r="AC1576" s="229"/>
      <c r="AD1576" s="232"/>
      <c r="AE1576" s="233"/>
      <c r="AF1576" s="54" t="str">
        <f>IFERROR(__xludf.DUMMYFUNCTION("""COMPUTED_VALUE"""),"Draft BA DROP")</f>
        <v>Draft BA DROP</v>
      </c>
      <c r="AG1576" s="54"/>
      <c r="AH1576" s="54"/>
      <c r="AI1576" s="55" t="str">
        <f t="shared" si="156"/>
        <v/>
      </c>
      <c r="AW1576" s="234"/>
      <c r="BP1576" s="11"/>
      <c r="BQ1576" s="11"/>
      <c r="BR1576" s="235"/>
      <c r="BV1576" s="158"/>
      <c r="BY1576" s="158"/>
      <c r="CB1576" s="158"/>
    </row>
    <row r="1577" ht="18.0" customHeight="1">
      <c r="A1577" s="222">
        <f>IFERROR(__xludf.DUMMYFUNCTION("""COMPUTED_VALUE"""),2026.0)</f>
        <v>2026</v>
      </c>
      <c r="B1577" s="221">
        <f>IFERROR(__xludf.DUMMYFUNCTION("""COMPUTED_VALUE"""),1.124181E7)</f>
        <v>11241810</v>
      </c>
      <c r="C1577" s="222" t="str">
        <f>IFERROR(__xludf.DUMMYFUNCTION("""COMPUTED_VALUE"""),"SMB P1I2 Newton Residence")</f>
        <v>SMB P1I2 Newton Residence</v>
      </c>
      <c r="D1577" s="222" t="str">
        <f>IFERROR(__xludf.DUMMYFUNCTION("""COMPUTED_VALUE"""),"REGIONAL I")</f>
        <v>REGIONAL I</v>
      </c>
      <c r="E1577" s="222" t="str">
        <f>IFERROR(__xludf.DUMMYFUNCTION("""COMPUTED_VALUE"""),"SUMBAR")</f>
        <v>SUMBAR</v>
      </c>
      <c r="F1577" s="222" t="str">
        <f>IFERROR(__xludf.DUMMYFUNCTION("""COMPUTED_VALUE"""),"LBY")</f>
        <v>LBY</v>
      </c>
      <c r="G1577" s="222" t="str">
        <f>IFERROR(__xludf.DUMMYFUNCTION("""COMPUTED_VALUE"""),"SUMBAGTENG")</f>
        <v>SUMBAGTENG</v>
      </c>
      <c r="H1577" s="222" t="str">
        <f>IFERROR(__xludf.DUMMYFUNCTION("""COMPUTED_VALUE"""),"PADANG")</f>
        <v>PADANG</v>
      </c>
      <c r="I1577" s="222" t="str">
        <f>IFERROR(__xludf.DUMMYFUNCTION("""COMPUTED_VALUE"""),"Batch 2")</f>
        <v>Batch 2</v>
      </c>
      <c r="J1577" s="225">
        <f>IFERROR(__xludf.DUMMYFUNCTION("""COMPUTED_VALUE"""),4.0)</f>
        <v>4</v>
      </c>
      <c r="K1577" s="224">
        <f>IFERROR(__xludf.DUMMYFUNCTION("""COMPUTED_VALUE"""),32.0)</f>
        <v>32</v>
      </c>
      <c r="L1577" s="226">
        <f>IFERROR(__xludf.DUMMYFUNCTION("""COMPUTED_VALUE"""),571533.0)</f>
        <v>571533</v>
      </c>
      <c r="M1577" s="227">
        <f>IFERROR(__xludf.DUMMYFUNCTION("""COMPUTED_VALUE"""),1.8289044E7)</f>
        <v>18289044</v>
      </c>
      <c r="N1577" s="222" t="str">
        <f>IFERROR(__xludf.DUMMYFUNCTION("""COMPUTED_VALUE"""),"PT TIGA AKSES MANDIRI")</f>
        <v>PT TIGA AKSES MANDIRI</v>
      </c>
      <c r="O1577" s="222" t="str">
        <f>IFERROR(__xludf.DUMMYFUNCTION("""COMPUTED_VALUE"""),"0. DROP")</f>
        <v>0. DROP</v>
      </c>
      <c r="P1577" s="222" t="str">
        <f>IFERROR(__xludf.DUMMYFUNCTION("""COMPUTED_VALUE"""),"0.2 Tidak Dapat Izin Warga/Kades/Lurah/Developer")</f>
        <v>0.2 Tidak Dapat Izin Warga/Kades/Lurah/Developer</v>
      </c>
      <c r="Q1577" s="222" t="str">
        <f>IFERROR(__xludf.DUMMYFUNCTION("""COMPUTED_VALUE"""),"(06/04) tidak dapat izin tanam tiang sama pemilik lahan (30/03) material onsite (16/03) proses PO ke mitra dan menunggu kabel 12 ADSS (05/03) butuh new mini olt  07/03  23/2 hold kendala OLT di status Terakhir  23/01 : Kendala slot mini OLT LBY-FR full, b"&amp;"utuh new mini OLT (08/01) Proses aanwijziing (07/01) Persiapan")</f>
        <v>(06/04) tidak dapat izin tanam tiang sama pemilik lahan (30/03) material onsite (16/03) proses PO ke mitra dan menunggu kabel 12 ADSS (05/03) butuh new mini olt  07/03  23/2 hold kendala OLT di status Terakhir  23/01 : Kendala slot mini OLT LBY-FR full, butuh new mini OLT (08/01) Proses aanwijziing (07/01) Persiapan</v>
      </c>
      <c r="R1577" s="228"/>
      <c r="S1577" s="11"/>
      <c r="T1577" s="11"/>
      <c r="U1577" s="11" t="str">
        <f>IFERROR(__xludf.DUMMYFUNCTION("""COMPUTED_VALUE"""),"TIF-6125/2026  26KT03R158-0081")</f>
        <v>TIF-6125/2026  26KT03R158-0081</v>
      </c>
      <c r="V1577" s="229" t="str">
        <f>IFERROR(__xludf.DUMMYFUNCTION("""COMPUTED_VALUE"""),"JANUAR RIZAL")</f>
        <v>JANUAR RIZAL</v>
      </c>
      <c r="W1577" s="229" t="str">
        <f>IFERROR(__xludf.DUMMYFUNCTION("""COMPUTED_VALUE"""),"MELKO NARWADI")</f>
        <v>MELKO NARWADI</v>
      </c>
      <c r="X1577" s="229" t="str">
        <f>IFERROR(__xludf.DUMMYFUNCTION("""COMPUTED_VALUE"""),"BELUM GOLIVE")</f>
        <v>BELUM GOLIVE</v>
      </c>
      <c r="Y1577" s="229" t="str">
        <f>IFERROR(__xludf.DUMMYFUNCTION("""COMPUTED_VALUE"""),"PORT OLT Penuh")</f>
        <v>PORT OLT Penuh</v>
      </c>
      <c r="Z1577" s="229" t="str">
        <f>IFERROR(__xludf.DUMMYFUNCTION("""COMPUTED_VALUE"""),"#N/A")</f>
        <v>#N/A</v>
      </c>
      <c r="AA1577" s="229"/>
      <c r="AB1577" s="229"/>
      <c r="AC1577" s="229"/>
      <c r="AD1577" s="232"/>
      <c r="AE1577" s="233"/>
      <c r="AF1577" s="54"/>
      <c r="AG1577" s="54"/>
      <c r="AH1577" s="54"/>
      <c r="AI1577" s="55" t="str">
        <f t="shared" si="156"/>
        <v/>
      </c>
      <c r="AW1577" s="234"/>
      <c r="BP1577" s="11"/>
      <c r="BQ1577" s="11"/>
      <c r="BR1577" s="235"/>
      <c r="BV1577" s="158"/>
      <c r="BY1577" s="158"/>
      <c r="CB1577" s="158"/>
    </row>
    <row r="1578" ht="18.0" customHeight="1">
      <c r="A1578" s="222">
        <f>IFERROR(__xludf.DUMMYFUNCTION("""COMPUTED_VALUE"""),2026.0)</f>
        <v>2026</v>
      </c>
      <c r="B1578" s="221">
        <f>IFERROR(__xludf.DUMMYFUNCTION("""COMPUTED_VALUE"""),1.2502202E7)</f>
        <v>12502202</v>
      </c>
      <c r="C1578" s="222" t="str">
        <f>IFERROR(__xludf.DUMMYFUNCTION("""COMPUTED_VALUE"""),"SMB PT3-BSO-FC AGAM_55680_H2_2025")</f>
        <v>SMB PT3-BSO-FC AGAM_55680_H2_2025</v>
      </c>
      <c r="D1578" s="222" t="str">
        <f>IFERROR(__xludf.DUMMYFUNCTION("""COMPUTED_VALUE"""),"REGIONAL I")</f>
        <v>REGIONAL I</v>
      </c>
      <c r="E1578" s="222" t="str">
        <f>IFERROR(__xludf.DUMMYFUNCTION("""COMPUTED_VALUE"""),"SUMBAR")</f>
        <v>SUMBAR</v>
      </c>
      <c r="F1578" s="222" t="str">
        <f>IFERROR(__xludf.DUMMYFUNCTION("""COMPUTED_VALUE"""),"BSO")</f>
        <v>BSO</v>
      </c>
      <c r="G1578" s="222" t="str">
        <f>IFERROR(__xludf.DUMMYFUNCTION("""COMPUTED_VALUE"""),"SUMBAGTENG")</f>
        <v>SUMBAGTENG</v>
      </c>
      <c r="H1578" s="222" t="str">
        <f>IFERROR(__xludf.DUMMYFUNCTION("""COMPUTED_VALUE"""),"BUKIT TINGGI")</f>
        <v>BUKIT TINGGI</v>
      </c>
      <c r="I1578" s="222" t="str">
        <f>IFERROR(__xludf.DUMMYFUNCTION("""COMPUTED_VALUE"""),"Batch 2")</f>
        <v>Batch 2</v>
      </c>
      <c r="J1578" s="225">
        <f>IFERROR(__xludf.DUMMYFUNCTION("""COMPUTED_VALUE"""),8.0)</f>
        <v>8</v>
      </c>
      <c r="K1578" s="224">
        <f>IFERROR(__xludf.DUMMYFUNCTION("""COMPUTED_VALUE"""),64.0)</f>
        <v>64</v>
      </c>
      <c r="L1578" s="226">
        <f>IFERROR(__xludf.DUMMYFUNCTION("""COMPUTED_VALUE"""),571292.0)</f>
        <v>571292</v>
      </c>
      <c r="M1578" s="227">
        <f>IFERROR(__xludf.DUMMYFUNCTION("""COMPUTED_VALUE"""),3.656264E7)</f>
        <v>36562640</v>
      </c>
      <c r="N1578" s="222" t="str">
        <f>IFERROR(__xludf.DUMMYFUNCTION("""COMPUTED_VALUE"""),"PT GARINDO TECHNO MANDIRI")</f>
        <v>PT GARINDO TECHNO MANDIRI</v>
      </c>
      <c r="O1578" s="222" t="str">
        <f>IFERROR(__xludf.DUMMYFUNCTION("""COMPUTED_VALUE"""),"0. DROP")</f>
        <v>0. DROP</v>
      </c>
      <c r="P1578" s="222" t="str">
        <f>IFERROR(__xludf.DUMMYFUNCTION("""COMPUTED_VALUE"""),"0.3 Feeder Full")</f>
        <v>0.3 Feeder Full</v>
      </c>
      <c r="Q1578" s="222" t="str">
        <f>IFERROR(__xludf.DUMMYFUNCTION("""COMPUTED_VALUE"""),"(26/01) kendala feeder penuh.  BUTUH NEW FEEDER SLK-FP (07/01) Persiapan")</f>
        <v>(26/01) kendala feeder penuh.  BUTUH NEW FEEDER SLK-FP (07/01) Persiapan</v>
      </c>
      <c r="R1578" s="228"/>
      <c r="S1578" s="11"/>
      <c r="T1578" s="11"/>
      <c r="U1578" s="11"/>
      <c r="V1578" s="229"/>
      <c r="W1578" s="229"/>
      <c r="X1578" s="229" t="str">
        <f>IFERROR(__xludf.DUMMYFUNCTION("""COMPUTED_VALUE"""),"BELUM GOLIVE")</f>
        <v>BELUM GOLIVE</v>
      </c>
      <c r="Y1578" s="229"/>
      <c r="Z1578" s="229" t="str">
        <f>IFERROR(__xludf.DUMMYFUNCTION("""COMPUTED_VALUE"""),"#N/A")</f>
        <v>#N/A</v>
      </c>
      <c r="AA1578" s="229"/>
      <c r="AB1578" s="229"/>
      <c r="AC1578" s="229"/>
      <c r="AD1578" s="232"/>
      <c r="AE1578" s="233"/>
      <c r="AF1578" s="54" t="str">
        <f>IFERROR(__xludf.DUMMYFUNCTION("""COMPUTED_VALUE"""),"Draft BA DROP")</f>
        <v>Draft BA DROP</v>
      </c>
      <c r="AG1578" s="54"/>
      <c r="AH1578" s="54"/>
      <c r="AI1578" s="55" t="str">
        <f t="shared" si="156"/>
        <v/>
      </c>
      <c r="AW1578" s="234"/>
      <c r="BP1578" s="11"/>
      <c r="BQ1578" s="11"/>
      <c r="BR1578" s="235"/>
      <c r="BV1578" s="158"/>
      <c r="BY1578" s="158"/>
      <c r="CB1578" s="158"/>
    </row>
    <row r="1579" ht="18.0" customHeight="1">
      <c r="A1579" s="222">
        <f>IFERROR(__xludf.DUMMYFUNCTION("""COMPUTED_VALUE"""),2026.0)</f>
        <v>2026</v>
      </c>
      <c r="B1579" s="221">
        <f>IFERROR(__xludf.DUMMYFUNCTION("""COMPUTED_VALUE"""),1.1537079E7)</f>
        <v>11537079</v>
      </c>
      <c r="C1579" s="222" t="str">
        <f>IFERROR(__xludf.DUMMYFUNCTION("""COMPUTED_VALUE"""),"SMB-SLK-MD - REFNO")</f>
        <v>SMB-SLK-MD - REFNO</v>
      </c>
      <c r="D1579" s="222" t="str">
        <f>IFERROR(__xludf.DUMMYFUNCTION("""COMPUTED_VALUE"""),"REGIONAL I")</f>
        <v>REGIONAL I</v>
      </c>
      <c r="E1579" s="222" t="str">
        <f>IFERROR(__xludf.DUMMYFUNCTION("""COMPUTED_VALUE"""),"SUMBAR")</f>
        <v>SUMBAR</v>
      </c>
      <c r="F1579" s="222" t="str">
        <f>IFERROR(__xludf.DUMMYFUNCTION("""COMPUTED_VALUE"""),"SLK")</f>
        <v>SLK</v>
      </c>
      <c r="G1579" s="222" t="str">
        <f>IFERROR(__xludf.DUMMYFUNCTION("""COMPUTED_VALUE"""),"SUMBAGTENG")</f>
        <v>SUMBAGTENG</v>
      </c>
      <c r="H1579" s="222" t="str">
        <f>IFERROR(__xludf.DUMMYFUNCTION("""COMPUTED_VALUE"""),"PADANG")</f>
        <v>PADANG</v>
      </c>
      <c r="I1579" s="222" t="str">
        <f>IFERROR(__xludf.DUMMYFUNCTION("""COMPUTED_VALUE"""),"Batch 2")</f>
        <v>Batch 2</v>
      </c>
      <c r="J1579" s="225">
        <f>IFERROR(__xludf.DUMMYFUNCTION("""COMPUTED_VALUE"""),3.0)</f>
        <v>3</v>
      </c>
      <c r="K1579" s="224">
        <f>IFERROR(__xludf.DUMMYFUNCTION("""COMPUTED_VALUE"""),24.0)</f>
        <v>24</v>
      </c>
      <c r="L1579" s="226">
        <f>IFERROR(__xludf.DUMMYFUNCTION("""COMPUTED_VALUE"""),569487.0)</f>
        <v>569487</v>
      </c>
      <c r="M1579" s="227">
        <f>IFERROR(__xludf.DUMMYFUNCTION("""COMPUTED_VALUE"""),1.3667672E7)</f>
        <v>13667672</v>
      </c>
      <c r="N1579" s="222" t="str">
        <f>IFERROR(__xludf.DUMMYFUNCTION("""COMPUTED_VALUE"""),"PT TRI PENAMAS")</f>
        <v>PT TRI PENAMAS</v>
      </c>
      <c r="O1579" s="222" t="str">
        <f>IFERROR(__xludf.DUMMYFUNCTION("""COMPUTED_VALUE"""),"0. DROP")</f>
        <v>0. DROP</v>
      </c>
      <c r="P1579" s="222" t="str">
        <f>IFERROR(__xludf.DUMMYFUNCTION("""COMPUTED_VALUE"""),"0.3 Feeder Full")</f>
        <v>0.3 Feeder Full</v>
      </c>
      <c r="Q1579" s="222" t="str">
        <f>IFERROR(__xludf.DUMMYFUNCTION("""COMPUTED_VALUE"""),"(08/01) kendala feeder TLB-FA Full,proses aanwijziing (07/01) Persiapan")</f>
        <v>(08/01) kendala feeder TLB-FA Full,proses aanwijziing (07/01) Persiapan</v>
      </c>
      <c r="R1579" s="228"/>
      <c r="S1579" s="11"/>
      <c r="T1579" s="11"/>
      <c r="U1579" s="11"/>
      <c r="V1579" s="229"/>
      <c r="W1579" s="229"/>
      <c r="X1579" s="229" t="str">
        <f>IFERROR(__xludf.DUMMYFUNCTION("""COMPUTED_VALUE"""),"BELUM GOLIVE")</f>
        <v>BELUM GOLIVE</v>
      </c>
      <c r="Y1579" s="229"/>
      <c r="Z1579" s="229" t="str">
        <f>IFERROR(__xludf.DUMMYFUNCTION("""COMPUTED_VALUE"""),"#N/A")</f>
        <v>#N/A</v>
      </c>
      <c r="AA1579" s="229"/>
      <c r="AB1579" s="229"/>
      <c r="AC1579" s="229"/>
      <c r="AD1579" s="232"/>
      <c r="AE1579" s="233"/>
      <c r="AF1579" s="54" t="str">
        <f>IFERROR(__xludf.DUMMYFUNCTION("""COMPUTED_VALUE"""),"Draft BA DROP")</f>
        <v>Draft BA DROP</v>
      </c>
      <c r="AG1579" s="54"/>
      <c r="AH1579" s="54"/>
      <c r="AI1579" s="55" t="str">
        <f t="shared" si="156"/>
        <v/>
      </c>
      <c r="AW1579" s="234"/>
      <c r="BP1579" s="11"/>
      <c r="BQ1579" s="11"/>
      <c r="BR1579" s="235"/>
      <c r="BV1579" s="158"/>
      <c r="BY1579" s="158"/>
      <c r="CB1579" s="158"/>
    </row>
    <row r="1580" ht="18.0" customHeight="1">
      <c r="A1580" s="222">
        <f>IFERROR(__xludf.DUMMYFUNCTION("""COMPUTED_VALUE"""),2026.0)</f>
        <v>2026</v>
      </c>
      <c r="B1580" s="221">
        <f>IFERROR(__xludf.DUMMYFUNCTION("""COMPUTED_VALUE"""),1.1016733E7)</f>
        <v>11016733</v>
      </c>
      <c r="C1580" s="222" t="str">
        <f>IFERROR(__xludf.DUMMYFUNCTION("""COMPUTED_VALUE"""),"SMB P7I13 Tj. Priuk, Teluk Bayur")</f>
        <v>SMB P7I13 Tj. Priuk, Teluk Bayur</v>
      </c>
      <c r="D1580" s="222" t="str">
        <f>IFERROR(__xludf.DUMMYFUNCTION("""COMPUTED_VALUE"""),"REGIONAL I")</f>
        <v>REGIONAL I</v>
      </c>
      <c r="E1580" s="222" t="str">
        <f>IFERROR(__xludf.DUMMYFUNCTION("""COMPUTED_VALUE"""),"SUMBAR")</f>
        <v>SUMBAR</v>
      </c>
      <c r="F1580" s="222" t="str">
        <f>IFERROR(__xludf.DUMMYFUNCTION("""COMPUTED_VALUE"""),"TLB")</f>
        <v>TLB</v>
      </c>
      <c r="G1580" s="222" t="str">
        <f>IFERROR(__xludf.DUMMYFUNCTION("""COMPUTED_VALUE"""),"SUMBAGTENG")</f>
        <v>SUMBAGTENG</v>
      </c>
      <c r="H1580" s="222" t="str">
        <f>IFERROR(__xludf.DUMMYFUNCTION("""COMPUTED_VALUE"""),"PADANG")</f>
        <v>PADANG</v>
      </c>
      <c r="I1580" s="222" t="str">
        <f>IFERROR(__xludf.DUMMYFUNCTION("""COMPUTED_VALUE"""),"Batch 2")</f>
        <v>Batch 2</v>
      </c>
      <c r="J1580" s="225">
        <f>IFERROR(__xludf.DUMMYFUNCTION("""COMPUTED_VALUE"""),4.0)</f>
        <v>4</v>
      </c>
      <c r="K1580" s="224">
        <f>IFERROR(__xludf.DUMMYFUNCTION("""COMPUTED_VALUE"""),32.0)</f>
        <v>32</v>
      </c>
      <c r="L1580" s="226">
        <f>IFERROR(__xludf.DUMMYFUNCTION("""COMPUTED_VALUE"""),569223.0)</f>
        <v>569223</v>
      </c>
      <c r="M1580" s="227">
        <f>IFERROR(__xludf.DUMMYFUNCTION("""COMPUTED_VALUE"""),1.8215111E7)</f>
        <v>18215111</v>
      </c>
      <c r="N1580" s="222" t="str">
        <f>IFERROR(__xludf.DUMMYFUNCTION("""COMPUTED_VALUE"""),"PT ALAM UTAMA MULIA")</f>
        <v>PT ALAM UTAMA MULIA</v>
      </c>
      <c r="O1580" s="222" t="str">
        <f>IFERROR(__xludf.DUMMYFUNCTION("""COMPUTED_VALUE"""),"0. DROP")</f>
        <v>0. DROP</v>
      </c>
      <c r="P1580" s="222" t="str">
        <f>IFERROR(__xludf.DUMMYFUNCTION("""COMPUTED_VALUE"""),"0.3 Feeder Full")</f>
        <v>0.3 Feeder Full</v>
      </c>
      <c r="Q1580" s="222" t="str">
        <f>IFERROR(__xludf.DUMMYFUNCTION("""COMPUTED_VALUE"""),"(26/01) kendala feeder TLB-FA Full")</f>
        <v>(26/01) kendala feeder TLB-FA Full</v>
      </c>
      <c r="R1580" s="228"/>
      <c r="S1580" s="11"/>
      <c r="T1580" s="11"/>
      <c r="U1580" s="11"/>
      <c r="V1580" s="229"/>
      <c r="W1580" s="229"/>
      <c r="X1580" s="229" t="str">
        <f>IFERROR(__xludf.DUMMYFUNCTION("""COMPUTED_VALUE"""),"BELUM GOLIVE")</f>
        <v>BELUM GOLIVE</v>
      </c>
      <c r="Y1580" s="229"/>
      <c r="Z1580" s="229" t="str">
        <f>IFERROR(__xludf.DUMMYFUNCTION("""COMPUTED_VALUE"""),"#N/A")</f>
        <v>#N/A</v>
      </c>
      <c r="AA1580" s="229"/>
      <c r="AB1580" s="229"/>
      <c r="AC1580" s="229"/>
      <c r="AD1580" s="232"/>
      <c r="AE1580" s="233"/>
      <c r="AF1580" s="54" t="str">
        <f>IFERROR(__xludf.DUMMYFUNCTION("""COMPUTED_VALUE"""),"Draft BA DROP")</f>
        <v>Draft BA DROP</v>
      </c>
      <c r="AG1580" s="54"/>
      <c r="AH1580" s="54"/>
      <c r="AI1580" s="55" t="str">
        <f t="shared" si="156"/>
        <v/>
      </c>
      <c r="AW1580" s="234"/>
      <c r="BP1580" s="11"/>
      <c r="BQ1580" s="11"/>
      <c r="BR1580" s="235"/>
      <c r="BV1580" s="158"/>
      <c r="BY1580" s="158"/>
      <c r="CB1580" s="158"/>
    </row>
    <row r="1581" ht="18.0" hidden="1" customHeight="1">
      <c r="A1581" s="222">
        <f>IFERROR(__xludf.DUMMYFUNCTION("""COMPUTED_VALUE"""),2026.0)</f>
        <v>2026</v>
      </c>
      <c r="B1581" s="221">
        <f>IFERROR(__xludf.DUMMYFUNCTION("""COMPUTED_VALUE"""),1.1391322E7)</f>
        <v>11391322</v>
      </c>
      <c r="C1581" s="222" t="str">
        <f>IFERROR(__xludf.DUMMYFUNCTION("""COMPUTED_VALUE"""),"LPG PT3 JPP PRINGSEWU_9579 PRW")</f>
        <v>LPG PT3 JPP PRINGSEWU_9579 PRW</v>
      </c>
      <c r="D1581" s="222" t="str">
        <f>IFERROR(__xludf.DUMMYFUNCTION("""COMPUTED_VALUE"""),"REGIONAL I")</f>
        <v>REGIONAL I</v>
      </c>
      <c r="E1581" s="222" t="str">
        <f>IFERROR(__xludf.DUMMYFUNCTION("""COMPUTED_VALUE"""),"LAMPUNG")</f>
        <v>LAMPUNG</v>
      </c>
      <c r="F1581" s="222" t="str">
        <f>IFERROR(__xludf.DUMMYFUNCTION("""COMPUTED_VALUE"""),"PRW")</f>
        <v>PRW</v>
      </c>
      <c r="G1581" s="222" t="str">
        <f>IFERROR(__xludf.DUMMYFUNCTION("""COMPUTED_VALUE"""),"SUMBAGSEL")</f>
        <v>SUMBAGSEL</v>
      </c>
      <c r="H1581" s="222" t="str">
        <f>IFERROR(__xludf.DUMMYFUNCTION("""COMPUTED_VALUE"""),"LAMPUNG")</f>
        <v>LAMPUNG</v>
      </c>
      <c r="I1581" s="222" t="str">
        <f>IFERROR(__xludf.DUMMYFUNCTION("""COMPUTED_VALUE"""),"Batch 2")</f>
        <v>Batch 2</v>
      </c>
      <c r="J1581" s="225">
        <f>IFERROR(__xludf.DUMMYFUNCTION("""COMPUTED_VALUE"""),4.0)</f>
        <v>4</v>
      </c>
      <c r="K1581" s="224">
        <f>IFERROR(__xludf.DUMMYFUNCTION("""COMPUTED_VALUE"""),32.0)</f>
        <v>32</v>
      </c>
      <c r="L1581" s="226">
        <f>IFERROR(__xludf.DUMMYFUNCTION("""COMPUTED_VALUE"""),568793.0)</f>
        <v>568793</v>
      </c>
      <c r="M1581" s="227">
        <f>IFERROR(__xludf.DUMMYFUNCTION("""COMPUTED_VALUE"""),1.8201345E7)</f>
        <v>18201345</v>
      </c>
      <c r="N1581" s="222" t="str">
        <f>IFERROR(__xludf.DUMMYFUNCTION("""COMPUTED_VALUE"""),"PT TEKNOLOGI KARYA MANDIRI")</f>
        <v>PT TEKNOLOGI KARYA MANDIRI</v>
      </c>
      <c r="O1581" s="222" t="str">
        <f>IFERROR(__xludf.DUMMYFUNCTION("""COMPUTED_VALUE"""),"7. GOLIVE")</f>
        <v>7. GOLIVE</v>
      </c>
      <c r="P1581" s="222" t="str">
        <f>IFERROR(__xludf.DUMMYFUNCTION("""COMPUTED_VALUE"""),"7.2 Golive Full / OA / DONE OTB")</f>
        <v>7.2 Golive Full / OA / DONE OTB</v>
      </c>
      <c r="Q1581" s="222" t="str">
        <f>IFERROR(__xludf.DUMMYFUNCTION("""COMPUTED_VALUE"""),"9/3 proses terminasi dan lanjut abd 
4/3 proses repair kabel feeder exsisting belum tembus")</f>
        <v>9/3 proses terminasi dan lanjut abd 
4/3 proses repair kabel feeder exsisting belum tembus</v>
      </c>
      <c r="R1581" s="228"/>
      <c r="S1581" s="11"/>
      <c r="T1581" s="11" t="str">
        <f>IFERROR(__xludf.DUMMYFUNCTION("""COMPUTED_VALUE"""),"P1")</f>
        <v>P1</v>
      </c>
      <c r="U1581" s="11" t="str">
        <f>IFERROR(__xludf.DUMMYFUNCTION("""COMPUTED_VALUE"""),"W02-522/2025")</f>
        <v>W02-522/2025</v>
      </c>
      <c r="V1581" s="229"/>
      <c r="W1581" s="229"/>
      <c r="X1581" s="229" t="str">
        <f>IFERROR(__xludf.DUMMYFUNCTION("""COMPUTED_VALUE"""),"GOLIVE")</f>
        <v>GOLIVE</v>
      </c>
      <c r="Y1581" s="229" t="str">
        <f>IFERROR(__xludf.DUMMYFUNCTION("""COMPUTED_VALUE"""),"DONE")</f>
        <v>DONE</v>
      </c>
      <c r="Z1581" s="229" t="str">
        <f>IFERROR(__xludf.DUMMYFUNCTION("""COMPUTED_VALUE"""),"#N/A")</f>
        <v>#N/A</v>
      </c>
      <c r="AA1581" s="229">
        <f>IFERROR(__xludf.DUMMYFUNCTION("""COMPUTED_VALUE"""),4.0)</f>
        <v>4</v>
      </c>
      <c r="AB1581" s="229"/>
      <c r="AC1581" s="229" t="str">
        <f>IFERROR(__xludf.DUMMYFUNCTION("""COMPUTED_VALUE"""),"9205304#9205309")</f>
        <v>9205304#9205309</v>
      </c>
      <c r="AD1581" s="232">
        <f>IFERROR(__xludf.DUMMYFUNCTION("""COMPUTED_VALUE"""),32.0)</f>
        <v>32</v>
      </c>
      <c r="AE1581" s="233">
        <f>IFERROR(__xludf.DUMMYFUNCTION("""COMPUTED_VALUE"""),46094.0)</f>
        <v>46094</v>
      </c>
      <c r="AF1581" s="54" t="str">
        <f>IFERROR(__xludf.DUMMYFUNCTION("""COMPUTED_VALUE"""),"Draft BA DROP")</f>
        <v>Draft BA DROP</v>
      </c>
      <c r="AG1581" s="54"/>
      <c r="AH1581" s="54"/>
      <c r="AI1581" s="55" t="str">
        <f t="shared" si="156"/>
        <v/>
      </c>
      <c r="AW1581" s="234"/>
      <c r="BP1581" s="11"/>
      <c r="BQ1581" s="11"/>
      <c r="BR1581" s="235"/>
      <c r="BV1581" s="158"/>
      <c r="BY1581" s="158"/>
      <c r="CB1581" s="158"/>
    </row>
    <row r="1582" ht="18.0" hidden="1" customHeight="1">
      <c r="A1582" s="222">
        <f>IFERROR(__xludf.DUMMYFUNCTION("""COMPUTED_VALUE"""),2026.0)</f>
        <v>2026</v>
      </c>
      <c r="B1582" s="221">
        <f>IFERROR(__xludf.DUMMYFUNCTION("""COMPUTED_VALUE"""),1.1323716E7)</f>
        <v>11323716</v>
      </c>
      <c r="C1582" s="222" t="str">
        <f>IFERROR(__xludf.DUMMYFUNCTION("""COMPUTED_VALUE"""),"MDN PT3 CTD-FCL GG.PERSATUAN 5")</f>
        <v>MDN PT3 CTD-FCL GG.PERSATUAN 5</v>
      </c>
      <c r="D1582" s="222" t="str">
        <f>IFERROR(__xludf.DUMMYFUNCTION("""COMPUTED_VALUE"""),"REGIONAL I")</f>
        <v>REGIONAL I</v>
      </c>
      <c r="E1582" s="222" t="str">
        <f>IFERROR(__xludf.DUMMYFUNCTION("""COMPUTED_VALUE"""),"MEDAN")</f>
        <v>MEDAN</v>
      </c>
      <c r="F1582" s="222" t="str">
        <f>IFERROR(__xludf.DUMMYFUNCTION("""COMPUTED_VALUE"""),"CTD")</f>
        <v>CTD</v>
      </c>
      <c r="G1582" s="222" t="str">
        <f>IFERROR(__xludf.DUMMYFUNCTION("""COMPUTED_VALUE"""),"SUMBAGUT")</f>
        <v>SUMBAGUT</v>
      </c>
      <c r="H1582" s="222" t="str">
        <f>IFERROR(__xludf.DUMMYFUNCTION("""COMPUTED_VALUE"""),"MEDAN")</f>
        <v>MEDAN</v>
      </c>
      <c r="I1582" s="222" t="str">
        <f>IFERROR(__xludf.DUMMYFUNCTION("""COMPUTED_VALUE"""),"Batch 2")</f>
        <v>Batch 2</v>
      </c>
      <c r="J1582" s="225">
        <f>IFERROR(__xludf.DUMMYFUNCTION("""COMPUTED_VALUE"""),3.0)</f>
        <v>3</v>
      </c>
      <c r="K1582" s="224">
        <f>IFERROR(__xludf.DUMMYFUNCTION("""COMPUTED_VALUE"""),24.0)</f>
        <v>24</v>
      </c>
      <c r="L1582" s="226">
        <f>IFERROR(__xludf.DUMMYFUNCTION("""COMPUTED_VALUE"""),568612.0)</f>
        <v>568612</v>
      </c>
      <c r="M1582" s="227">
        <f>IFERROR(__xludf.DUMMYFUNCTION("""COMPUTED_VALUE"""),1.3646673E7)</f>
        <v>13646673</v>
      </c>
      <c r="N1582" s="222" t="str">
        <f>IFERROR(__xludf.DUMMYFUNCTION("""COMPUTED_VALUE"""),"PT TRIPOLA PANATA")</f>
        <v>PT TRIPOLA PANATA</v>
      </c>
      <c r="O1582" s="222" t="str">
        <f>IFERROR(__xludf.DUMMYFUNCTION("""COMPUTED_VALUE"""),"8. UJI TERIMA")</f>
        <v>8. UJI TERIMA</v>
      </c>
      <c r="P1582" s="222" t="str">
        <f>IFERROR(__xludf.DUMMYFUNCTION("""COMPUTED_VALUE"""),"8.1 Proses UT")</f>
        <v>8.1 Proses UT</v>
      </c>
      <c r="Q1582" s="222" t="str">
        <f>IFERROR(__xludf.DUMMYFUNCTION("""COMPUTED_VALUE"""),"(12/01) selesai fisik, kendala butuh big olt baru di sto llg,(07/01) Persiapan")</f>
        <v>(12/01) selesai fisik, kendala butuh big olt baru di sto llg,(07/01) Persiapan</v>
      </c>
      <c r="R1582" s="228">
        <f>IFERROR(__xludf.DUMMYFUNCTION("""COMPUTED_VALUE"""),46034.0)</f>
        <v>46034</v>
      </c>
      <c r="S1582" s="11"/>
      <c r="T1582" s="11"/>
      <c r="U1582" s="11" t="str">
        <f>IFERROR(__xludf.DUMMYFUNCTION("""COMPUTED_VALUE"""),"FALSE")</f>
        <v>FALSE</v>
      </c>
      <c r="V1582" s="229"/>
      <c r="W1582" s="229"/>
      <c r="X1582" s="229" t="str">
        <f>IFERROR(__xludf.DUMMYFUNCTION("""COMPUTED_VALUE"""),"GOLIVE")</f>
        <v>GOLIVE</v>
      </c>
      <c r="Y1582" s="229" t="str">
        <f>IFERROR(__xludf.DUMMYFUNCTION("""COMPUTED_VALUE"""),"DONE")</f>
        <v>DONE</v>
      </c>
      <c r="Z1582" s="229" t="str">
        <f>IFERROR(__xludf.DUMMYFUNCTION("""COMPUTED_VALUE"""),"#N/A")</f>
        <v>#N/A</v>
      </c>
      <c r="AA1582" s="229">
        <f>IFERROR(__xludf.DUMMYFUNCTION("""COMPUTED_VALUE"""),3.0)</f>
        <v>3</v>
      </c>
      <c r="AB1582" s="229"/>
      <c r="AC1582" s="229" t="str">
        <f>IFERROR(__xludf.DUMMYFUNCTION("""COMPUTED_VALUE"""),"8943477#8943482")</f>
        <v>8943477#8943482</v>
      </c>
      <c r="AD1582" s="232">
        <f>IFERROR(__xludf.DUMMYFUNCTION("""COMPUTED_VALUE"""),24.0)</f>
        <v>24</v>
      </c>
      <c r="AE1582" s="233">
        <f>IFERROR(__xludf.DUMMYFUNCTION("""COMPUTED_VALUE"""),46034.0)</f>
        <v>46034</v>
      </c>
      <c r="AF1582" s="54"/>
      <c r="AG1582" s="54"/>
      <c r="AH1582" s="54">
        <v>46034.0</v>
      </c>
      <c r="AI1582" s="55">
        <f t="shared" si="156"/>
        <v>0</v>
      </c>
      <c r="AW1582" s="234"/>
      <c r="BP1582" s="11"/>
      <c r="BQ1582" s="11"/>
      <c r="BR1582" s="235"/>
      <c r="BV1582" s="158"/>
      <c r="BY1582" s="158"/>
      <c r="CB1582" s="158"/>
    </row>
    <row r="1583" ht="18.0" hidden="1" customHeight="1">
      <c r="A1583" s="222">
        <f>IFERROR(__xludf.DUMMYFUNCTION("""COMPUTED_VALUE"""),2026.0)</f>
        <v>2026</v>
      </c>
      <c r="B1583" s="221">
        <f>IFERROR(__xludf.DUMMYFUNCTION("""COMPUTED_VALUE"""),1.1569358E7)</f>
        <v>11569358</v>
      </c>
      <c r="C1583" s="222" t="str">
        <f>IFERROR(__xludf.DUMMYFUNCTION("""COMPUTED_VALUE"""),"SMS P3I1 PT3 LLG FAA D08 LAPAK POROS")</f>
        <v>SMS P3I1 PT3 LLG FAA D08 LAPAK POROS</v>
      </c>
      <c r="D1583" s="222" t="str">
        <f>IFERROR(__xludf.DUMMYFUNCTION("""COMPUTED_VALUE"""),"REGIONAL I")</f>
        <v>REGIONAL I</v>
      </c>
      <c r="E1583" s="222" t="str">
        <f>IFERROR(__xludf.DUMMYFUNCTION("""COMPUTED_VALUE"""),"SUMSEL")</f>
        <v>SUMSEL</v>
      </c>
      <c r="F1583" s="222" t="str">
        <f>IFERROR(__xludf.DUMMYFUNCTION("""COMPUTED_VALUE"""),"LLG")</f>
        <v>LLG</v>
      </c>
      <c r="G1583" s="222" t="str">
        <f>IFERROR(__xludf.DUMMYFUNCTION("""COMPUTED_VALUE"""),"SUMBAGSEL")</f>
        <v>SUMBAGSEL</v>
      </c>
      <c r="H1583" s="222" t="str">
        <f>IFERROR(__xludf.DUMMYFUNCTION("""COMPUTED_VALUE"""),"BENGKULU")</f>
        <v>BENGKULU</v>
      </c>
      <c r="I1583" s="222" t="str">
        <f>IFERROR(__xludf.DUMMYFUNCTION("""COMPUTED_VALUE"""),"Batch 2")</f>
        <v>Batch 2</v>
      </c>
      <c r="J1583" s="225">
        <f>IFERROR(__xludf.DUMMYFUNCTION("""COMPUTED_VALUE"""),2.0)</f>
        <v>2</v>
      </c>
      <c r="K1583" s="224">
        <f>IFERROR(__xludf.DUMMYFUNCTION("""COMPUTED_VALUE"""),16.0)</f>
        <v>16</v>
      </c>
      <c r="L1583" s="226">
        <f>IFERROR(__xludf.DUMMYFUNCTION("""COMPUTED_VALUE"""),568238.0)</f>
        <v>568238</v>
      </c>
      <c r="M1583" s="227">
        <f>IFERROR(__xludf.DUMMYFUNCTION("""COMPUTED_VALUE"""),9091796.0)</f>
        <v>9091796</v>
      </c>
      <c r="N1583" s="222" t="str">
        <f>IFERROR(__xludf.DUMMYFUNCTION("""COMPUTED_VALUE"""),"PT HAN SUNG INDONESIA")</f>
        <v>PT HAN SUNG INDONESIA</v>
      </c>
      <c r="O1583" s="222" t="str">
        <f>IFERROR(__xludf.DUMMYFUNCTION("""COMPUTED_VALUE"""),"8. UJI TERIMA")</f>
        <v>8. UJI TERIMA</v>
      </c>
      <c r="P1583" s="222" t="str">
        <f>IFERROR(__xludf.DUMMYFUNCTION("""COMPUTED_VALUE"""),"8.1 Proses UT")</f>
        <v>8.1 Proses UT</v>
      </c>
      <c r="Q1583" s="222" t="str">
        <f>IFERROR(__xludf.DUMMYFUNCTION("""COMPUTED_VALUE"""),"12/02 DONE VALINS -  DONE SUBMIT KE SDI,, 11/02 DONE TERMINASI ODC,PLAN 12 FEB DATA DI SUMBIT  10/02 PELURUSAN CORE, (6/2) cek kaki ps1.4 idle di odc 05/02 kendala feeder di odc llg faa penuh, sdh 3 tray, (3/2) DATA VALID4 BELUM MASUK KE SDI (31/1) valins"&amp;" di kirim oleh mitra hari ini  (24/1) kendala Big OLT, rak sudah sampai di sto  menunggu instlasi (21/01) selesai fisik, kendala port OLT STO LLG habis, butuh BIG OLT baru, (22/11) sudah input amalia (14/11)PROSES PR PO (11/11) Epal bersama ED (09/11) upd"&amp;"ate kml anwijzing (23/10) penunjukan mitra")</f>
        <v>12/02 DONE VALINS -  DONE SUBMIT KE SDI,, 11/02 DONE TERMINASI ODC,PLAN 12 FEB DATA DI SUMBIT  10/02 PELURUSAN CORE, (6/2) cek kaki ps1.4 idle di odc 05/02 kendala feeder di odc llg faa penuh, sdh 3 tray, (3/2) DATA VALID4 BELUM MASUK KE SDI (31/1) valins di kirim oleh mitra hari ini  (24/1) kendala Big OLT, rak sudah sampai di sto  menunggu instlasi (21/01) selesai fisik, kendala port OLT STO LLG habis, butuh BIG OLT baru, (22/11) sudah input amalia (14/11)PROSES PR PO (11/11) Epal bersama ED (09/11) update kml anwijzing (23/10) penunjukan mitra</v>
      </c>
      <c r="R1583" s="228"/>
      <c r="S1583" s="11"/>
      <c r="T1583" s="11"/>
      <c r="U1583" s="11"/>
      <c r="V1583" s="229" t="str">
        <f>IFERROR(__xludf.DUMMYFUNCTION("""COMPUTED_VALUE"""),"PUTRA")</f>
        <v>PUTRA</v>
      </c>
      <c r="W1583" s="229"/>
      <c r="X1583" s="229" t="str">
        <f>IFERROR(__xludf.DUMMYFUNCTION("""COMPUTED_VALUE"""),"GOLIVE")</f>
        <v>GOLIVE</v>
      </c>
      <c r="Y1583" s="229" t="str">
        <f>IFERROR(__xludf.DUMMYFUNCTION("""COMPUTED_VALUE"""),"DONE")</f>
        <v>DONE</v>
      </c>
      <c r="Z1583" s="229" t="str">
        <f>IFERROR(__xludf.DUMMYFUNCTION("""COMPUTED_VALUE"""),"#N/A")</f>
        <v>#N/A</v>
      </c>
      <c r="AA1583" s="229">
        <f>IFERROR(__xludf.DUMMYFUNCTION("""COMPUTED_VALUE"""),2.0)</f>
        <v>2</v>
      </c>
      <c r="AB1583" s="229"/>
      <c r="AC1583" s="229" t="str">
        <f>IFERROR(__xludf.DUMMYFUNCTION("""COMPUTED_VALUE"""),"8528540#8528551")</f>
        <v>8528540#8528551</v>
      </c>
      <c r="AD1583" s="232">
        <f>IFERROR(__xludf.DUMMYFUNCTION("""COMPUTED_VALUE"""),16.0)</f>
        <v>16</v>
      </c>
      <c r="AE1583" s="233">
        <f>IFERROR(__xludf.DUMMYFUNCTION("""COMPUTED_VALUE"""),46065.0)</f>
        <v>46065</v>
      </c>
      <c r="AF1583" s="54"/>
      <c r="AG1583" s="54"/>
      <c r="AH1583" s="54"/>
      <c r="AI1583" s="55" t="str">
        <f t="shared" si="156"/>
        <v/>
      </c>
      <c r="AW1583" s="234"/>
      <c r="BP1583" s="11"/>
      <c r="BQ1583" s="11"/>
      <c r="BR1583" s="235"/>
      <c r="BV1583" s="158"/>
      <c r="BY1583" s="158"/>
      <c r="CB1583" s="158"/>
    </row>
    <row r="1584" ht="18.0" customHeight="1">
      <c r="A1584" s="222">
        <f>IFERROR(__xludf.DUMMYFUNCTION("""COMPUTED_VALUE"""),2026.0)</f>
        <v>2026</v>
      </c>
      <c r="B1584" s="221">
        <f>IFERROR(__xludf.DUMMYFUNCTION("""COMPUTED_VALUE"""),1.1380409E7)</f>
        <v>11380409</v>
      </c>
      <c r="C1584" s="222" t="str">
        <f>IFERROR(__xludf.DUMMYFUNCTION("""COMPUTED_VALUE"""),"SMB P2I2 MD KOTA PADANG_7943")</f>
        <v>SMB P2I2 MD KOTA PADANG_7943</v>
      </c>
      <c r="D1584" s="222" t="str">
        <f>IFERROR(__xludf.DUMMYFUNCTION("""COMPUTED_VALUE"""),"REGIONAL I")</f>
        <v>REGIONAL I</v>
      </c>
      <c r="E1584" s="222" t="str">
        <f>IFERROR(__xludf.DUMMYFUNCTION("""COMPUTED_VALUE"""),"SUMBAR")</f>
        <v>SUMBAR</v>
      </c>
      <c r="F1584" s="222" t="str">
        <f>IFERROR(__xludf.DUMMYFUNCTION("""COMPUTED_VALUE"""),"LBY")</f>
        <v>LBY</v>
      </c>
      <c r="G1584" s="222" t="str">
        <f>IFERROR(__xludf.DUMMYFUNCTION("""COMPUTED_VALUE"""),"SUMBAGTENG")</f>
        <v>SUMBAGTENG</v>
      </c>
      <c r="H1584" s="222" t="str">
        <f>IFERROR(__xludf.DUMMYFUNCTION("""COMPUTED_VALUE"""),"PADANG")</f>
        <v>PADANG</v>
      </c>
      <c r="I1584" s="222" t="str">
        <f>IFERROR(__xludf.DUMMYFUNCTION("""COMPUTED_VALUE"""),"Batch 2")</f>
        <v>Batch 2</v>
      </c>
      <c r="J1584" s="225">
        <f>IFERROR(__xludf.DUMMYFUNCTION("""COMPUTED_VALUE"""),5.0)</f>
        <v>5</v>
      </c>
      <c r="K1584" s="224">
        <f>IFERROR(__xludf.DUMMYFUNCTION("""COMPUTED_VALUE"""),40.0)</f>
        <v>40</v>
      </c>
      <c r="L1584" s="226">
        <f>IFERROR(__xludf.DUMMYFUNCTION("""COMPUTED_VALUE"""),566391.0)</f>
        <v>566391</v>
      </c>
      <c r="M1584" s="227">
        <f>IFERROR(__xludf.DUMMYFUNCTION("""COMPUTED_VALUE"""),2.2655609E7)</f>
        <v>22655609</v>
      </c>
      <c r="N1584" s="222" t="str">
        <f>IFERROR(__xludf.DUMMYFUNCTION("""COMPUTED_VALUE"""),"PT ACERO CETHA METALINDO")</f>
        <v>PT ACERO CETHA METALINDO</v>
      </c>
      <c r="O1584" s="222" t="str">
        <f>IFERROR(__xludf.DUMMYFUNCTION("""COMPUTED_VALUE"""),"4. MATDEL")</f>
        <v>4. MATDEL</v>
      </c>
      <c r="P1584" s="222" t="str">
        <f>IFERROR(__xludf.DUMMYFUNCTION("""COMPUTED_VALUE"""),"4.4 Proses Pengiriman Pabribak ke WH")</f>
        <v>4.4 Proses Pengiriman Pabribak ke WH</v>
      </c>
      <c r="Q1584" s="222" t="str">
        <f>IFERROR(__xludf.DUMMYFUNCTION("""COMPUTED_VALUE"""),"(27/04) menunggu PO kabel 24 ADSS (20/04) sudah aanwijziing, proses eval  (10/04) Proses aanwijziing , LOP HOLD FEEDER FULL ACC GO (08/01) kendala feeder penuh.  KENDALA FEEDER TRS-FA FULL, BUTUH NEW FEEDER (07/01) Persiapan")</f>
        <v>(27/04) menunggu PO kabel 24 ADSS (20/04) sudah aanwijziing, proses eval  (10/04) Proses aanwijziing , LOP HOLD FEEDER FULL ACC GO (08/01) kendala feeder penuh.  KENDALA FEEDER TRS-FA FULL, BUTUH NEW FEEDER (07/01) Persiapan</v>
      </c>
      <c r="R1584" s="228"/>
      <c r="S1584" s="11"/>
      <c r="T1584" s="11"/>
      <c r="U1584" s="11"/>
      <c r="V1584" s="229" t="str">
        <f>IFERROR(__xludf.DUMMYFUNCTION("""COMPUTED_VALUE"""),"PRAMADIO SEPWILMAN")</f>
        <v>PRAMADIO SEPWILMAN</v>
      </c>
      <c r="W1584" s="229" t="str">
        <f>IFERROR(__xludf.DUMMYFUNCTION("""COMPUTED_VALUE"""),"MELKO NARWADI")</f>
        <v>MELKO NARWADI</v>
      </c>
      <c r="X1584" s="229" t="str">
        <f>IFERROR(__xludf.DUMMYFUNCTION("""COMPUTED_VALUE"""),"BELUM GOLIVE")</f>
        <v>BELUM GOLIVE</v>
      </c>
      <c r="Y1584" s="229"/>
      <c r="Z1584" s="229" t="str">
        <f>IFERROR(__xludf.DUMMYFUNCTION("""COMPUTED_VALUE"""),"#N/A")</f>
        <v>#N/A</v>
      </c>
      <c r="AA1584" s="229"/>
      <c r="AB1584" s="229"/>
      <c r="AC1584" s="229"/>
      <c r="AD1584" s="232"/>
      <c r="AE1584" s="233"/>
      <c r="AF1584" s="54" t="str">
        <f>IFERROR(__xludf.DUMMYFUNCTION("""COMPUTED_VALUE"""),"Draft BA DROP")</f>
        <v>Draft BA DROP</v>
      </c>
      <c r="AG1584" s="54"/>
      <c r="AH1584" s="54"/>
      <c r="AI1584" s="55" t="str">
        <f t="shared" si="156"/>
        <v/>
      </c>
      <c r="AW1584" s="234"/>
      <c r="BP1584" s="11"/>
      <c r="BQ1584" s="11"/>
      <c r="BR1584" s="235"/>
      <c r="BV1584" s="158"/>
      <c r="BY1584" s="158"/>
      <c r="CB1584" s="158"/>
    </row>
    <row r="1585" ht="18.0" customHeight="1">
      <c r="A1585" s="222">
        <f>IFERROR(__xludf.DUMMYFUNCTION("""COMPUTED_VALUE"""),2026.0)</f>
        <v>2026</v>
      </c>
      <c r="B1585" s="221">
        <f>IFERROR(__xludf.DUMMYFUNCTION("""COMPUTED_VALUE"""),1.1378044E7)</f>
        <v>11378044</v>
      </c>
      <c r="C1585" s="222" t="str">
        <f>IFERROR(__xludf.DUMMYFUNCTION("""COMPUTED_VALUE"""),"SMB P2I2 PESISIR SELATAN_14560")</f>
        <v>SMB P2I2 PESISIR SELATAN_14560</v>
      </c>
      <c r="D1585" s="222" t="str">
        <f>IFERROR(__xludf.DUMMYFUNCTION("""COMPUTED_VALUE"""),"REGIONAL I")</f>
        <v>REGIONAL I</v>
      </c>
      <c r="E1585" s="222" t="str">
        <f>IFERROR(__xludf.DUMMYFUNCTION("""COMPUTED_VALUE"""),"SUMBAR")</f>
        <v>SUMBAR</v>
      </c>
      <c r="F1585" s="222" t="str">
        <f>IFERROR(__xludf.DUMMYFUNCTION("""COMPUTED_VALUE"""),"TRS")</f>
        <v>TRS</v>
      </c>
      <c r="G1585" s="222" t="str">
        <f>IFERROR(__xludf.DUMMYFUNCTION("""COMPUTED_VALUE"""),"SUMBAGTENG")</f>
        <v>SUMBAGTENG</v>
      </c>
      <c r="H1585" s="222" t="str">
        <f>IFERROR(__xludf.DUMMYFUNCTION("""COMPUTED_VALUE"""),"PADANG")</f>
        <v>PADANG</v>
      </c>
      <c r="I1585" s="222" t="str">
        <f>IFERROR(__xludf.DUMMYFUNCTION("""COMPUTED_VALUE"""),"Batch 2")</f>
        <v>Batch 2</v>
      </c>
      <c r="J1585" s="225">
        <f>IFERROR(__xludf.DUMMYFUNCTION("""COMPUTED_VALUE"""),4.0)</f>
        <v>4</v>
      </c>
      <c r="K1585" s="224">
        <f>IFERROR(__xludf.DUMMYFUNCTION("""COMPUTED_VALUE"""),32.0)</f>
        <v>32</v>
      </c>
      <c r="L1585" s="226">
        <f>IFERROR(__xludf.DUMMYFUNCTION("""COMPUTED_VALUE"""),566351.0)</f>
        <v>566351</v>
      </c>
      <c r="M1585" s="227">
        <f>IFERROR(__xludf.DUMMYFUNCTION("""COMPUTED_VALUE"""),1.8123223E7)</f>
        <v>18123223</v>
      </c>
      <c r="N1585" s="222" t="str">
        <f>IFERROR(__xludf.DUMMYFUNCTION("""COMPUTED_VALUE"""),"PT ACERO CETHA METALINDO")</f>
        <v>PT ACERO CETHA METALINDO</v>
      </c>
      <c r="O1585" s="222" t="str">
        <f>IFERROR(__xludf.DUMMYFUNCTION("""COMPUTED_VALUE"""),"4. MATDEL")</f>
        <v>4. MATDEL</v>
      </c>
      <c r="P1585" s="222" t="str">
        <f>IFERROR(__xludf.DUMMYFUNCTION("""COMPUTED_VALUE"""),"4.4 Proses Pengiriman Pabribak ke WH")</f>
        <v>4.4 Proses Pengiriman Pabribak ke WH</v>
      </c>
      <c r="Q1585" s="222" t="str">
        <f>IFERROR(__xludf.DUMMYFUNCTION("""COMPUTED_VALUE"""),"(27/04) menunggu PO kabel 24 ADSS (20/04) sudah aanwijziing, proses eval  (10/04) Proses aanwijziing , LOP HOLD FEEDER FULL ACC GO (07/01) KENDALA FEEDER TRS-FA FULL, BUTUH NEW FEEDER")</f>
        <v>(27/04) menunggu PO kabel 24 ADSS (20/04) sudah aanwijziing, proses eval  (10/04) Proses aanwijziing , LOP HOLD FEEDER FULL ACC GO (07/01) KENDALA FEEDER TRS-FA FULL, BUTUH NEW FEEDER</v>
      </c>
      <c r="R1585" s="228"/>
      <c r="S1585" s="11"/>
      <c r="T1585" s="11"/>
      <c r="U1585" s="11"/>
      <c r="V1585" s="229" t="str">
        <f>IFERROR(__xludf.DUMMYFUNCTION("""COMPUTED_VALUE"""),"PRAMADIO SEPWILMAN")</f>
        <v>PRAMADIO SEPWILMAN</v>
      </c>
      <c r="W1585" s="229" t="str">
        <f>IFERROR(__xludf.DUMMYFUNCTION("""COMPUTED_VALUE"""),"MELKO NARWADI")</f>
        <v>MELKO NARWADI</v>
      </c>
      <c r="X1585" s="229" t="str">
        <f>IFERROR(__xludf.DUMMYFUNCTION("""COMPUTED_VALUE"""),"BELUM GOLIVE")</f>
        <v>BELUM GOLIVE</v>
      </c>
      <c r="Y1585" s="229"/>
      <c r="Z1585" s="229" t="str">
        <f>IFERROR(__xludf.DUMMYFUNCTION("""COMPUTED_VALUE"""),"#N/A")</f>
        <v>#N/A</v>
      </c>
      <c r="AA1585" s="229"/>
      <c r="AB1585" s="229"/>
      <c r="AC1585" s="229"/>
      <c r="AD1585" s="232"/>
      <c r="AE1585" s="233"/>
      <c r="AF1585" s="54" t="str">
        <f>IFERROR(__xludf.DUMMYFUNCTION("""COMPUTED_VALUE"""),"Draft BA DROP")</f>
        <v>Draft BA DROP</v>
      </c>
      <c r="AG1585" s="54"/>
      <c r="AH1585" s="54"/>
      <c r="AI1585" s="55" t="str">
        <f t="shared" si="156"/>
        <v/>
      </c>
      <c r="AW1585" s="234"/>
      <c r="BP1585" s="11"/>
      <c r="BQ1585" s="11"/>
      <c r="BR1585" s="235"/>
      <c r="BV1585" s="158"/>
      <c r="BY1585" s="158"/>
      <c r="CB1585" s="158"/>
    </row>
    <row r="1586" ht="18.0" customHeight="1">
      <c r="A1586" s="222">
        <f>IFERROR(__xludf.DUMMYFUNCTION("""COMPUTED_VALUE"""),2026.0)</f>
        <v>2026</v>
      </c>
      <c r="B1586" s="221">
        <f>IFERROR(__xludf.DUMMYFUNCTION("""COMPUTED_VALUE"""),1.1046475E7)</f>
        <v>11046475</v>
      </c>
      <c r="C1586" s="222" t="str">
        <f>IFERROR(__xludf.DUMMYFUNCTION("""COMPUTED_VALUE"""),"RKP PT3 JPPTSEL TUB-FC TELAGA SURYA TAHAP 3")</f>
        <v>RKP PT3 JPPTSEL TUB-FC TELAGA SURYA TAHAP 3</v>
      </c>
      <c r="D1586" s="222" t="str">
        <f>IFERROR(__xludf.DUMMYFUNCTION("""COMPUTED_VALUE"""),"REGIONAL I")</f>
        <v>REGIONAL I</v>
      </c>
      <c r="E1586" s="222" t="str">
        <f>IFERROR(__xludf.DUMMYFUNCTION("""COMPUTED_VALUE"""),"RIKEP")</f>
        <v>RIKEP</v>
      </c>
      <c r="F1586" s="222" t="str">
        <f>IFERROR(__xludf.DUMMYFUNCTION("""COMPUTED_VALUE"""),"TUB")</f>
        <v>TUB</v>
      </c>
      <c r="G1586" s="222" t="str">
        <f>IFERROR(__xludf.DUMMYFUNCTION("""COMPUTED_VALUE"""),"SUMBAGTENG")</f>
        <v>SUMBAGTENG</v>
      </c>
      <c r="H1586" s="222" t="str">
        <f>IFERROR(__xludf.DUMMYFUNCTION("""COMPUTED_VALUE"""),"BATAM")</f>
        <v>BATAM</v>
      </c>
      <c r="I1586" s="222" t="str">
        <f>IFERROR(__xludf.DUMMYFUNCTION("""COMPUTED_VALUE"""),"Batch 2")</f>
        <v>Batch 2</v>
      </c>
      <c r="J1586" s="225">
        <f>IFERROR(__xludf.DUMMYFUNCTION("""COMPUTED_VALUE"""),4.0)</f>
        <v>4</v>
      </c>
      <c r="K1586" s="224">
        <f>IFERROR(__xludf.DUMMYFUNCTION("""COMPUTED_VALUE"""),32.0)</f>
        <v>32</v>
      </c>
      <c r="L1586" s="226">
        <f>IFERROR(__xludf.DUMMYFUNCTION("""COMPUTED_VALUE"""),565254.0)</f>
        <v>565254</v>
      </c>
      <c r="M1586" s="227">
        <f>IFERROR(__xludf.DUMMYFUNCTION("""COMPUTED_VALUE"""),1.8088107E7)</f>
        <v>18088107</v>
      </c>
      <c r="N1586" s="222" t="str">
        <f>IFERROR(__xludf.DUMMYFUNCTION("""COMPUTED_VALUE"""),"PT SALTTEK DUMPANG JAYA")</f>
        <v>PT SALTTEK DUMPANG JAYA</v>
      </c>
      <c r="O1586" s="222" t="str">
        <f>IFERROR(__xludf.DUMMYFUNCTION("""COMPUTED_VALUE"""),"0. DROP")</f>
        <v>0. DROP</v>
      </c>
      <c r="P1586" s="222" t="str">
        <f>IFERROR(__xludf.DUMMYFUNCTION("""COMPUTED_VALUE"""),"0.2 Tidak Dapat Izin Warga/Kades/Lurah/Developer")</f>
        <v>0.2 Tidak Dapat Izin Warga/Kades/Lurah/Developer</v>
      </c>
      <c r="Q1586" s="222" t="str">
        <f>IFERROR(__xludf.DUMMYFUNCTION("""COMPUTED_VALUE"""),"06/02 izin di tolak developer karena blm ada kesepakatan perjanjian kerjasama. 04/02 Untuk developer sdah d konfirmasi terkait izin 
Namun dari pihak developer dulu pernah ada perjanjian dengan telkom terkait kerja sama agar saling menguntungkan kan 
Dan "&amp;"pihak developer ingin perjanjian dulu d konfirmasi ulang.. 
Dan untuk penanam tiang pihak developer meminta agar d tumpangkan saja dengan tiang listrik mreka 
Karna tiang listrik yg ada d lokasi it tiang listrik pribadi punya developer dan bukan pnya pln,"&amp;" sedang di FU kembali oleh TSEL Area.. 29/01 RT meminta 2 lampu panel surya dan wifi gratis. 28/01 Anwijzing OK, proses perizinan, fu kembali tanggal 2 feb. 21/01 Plan anwijzing di minggu depan 27 jan")</f>
        <v>06/02 izin di tolak developer karena blm ada kesepakatan perjanjian kerjasama. 04/02 Untuk developer sdah d konfirmasi terkait izin 
Namun dari pihak developer dulu pernah ada perjanjian dengan telkom terkait kerja sama agar saling menguntungkan kan 
Dan pihak developer ingin perjanjian dulu d konfirmasi ulang.. 
Dan untuk penanam tiang pihak developer meminta agar d tumpangkan saja dengan tiang listrik mreka 
Karna tiang listrik yg ada d lokasi it tiang listrik pribadi punya developer dan bukan pnya pln, sedang di FU kembali oleh TSEL Area.. 29/01 RT meminta 2 lampu panel surya dan wifi gratis. 28/01 Anwijzing OK, proses perizinan, fu kembali tanggal 2 feb. 21/01 Plan anwijzing di minggu depan 27 jan</v>
      </c>
      <c r="R1586" s="228"/>
      <c r="S1586" s="11"/>
      <c r="T1586" s="11"/>
      <c r="U1586" s="11"/>
      <c r="V1586" s="229" t="str">
        <f>IFERROR(__xludf.DUMMYFUNCTION("""COMPUTED_VALUE"""),"DEDY IRAWAN")</f>
        <v>DEDY IRAWAN</v>
      </c>
      <c r="W1586" s="229" t="str">
        <f>IFERROR(__xludf.DUMMYFUNCTION("""COMPUTED_VALUE"""),"LEVITA INDRIYANI")</f>
        <v>LEVITA INDRIYANI</v>
      </c>
      <c r="X1586" s="229" t="str">
        <f>IFERROR(__xludf.DUMMYFUNCTION("""COMPUTED_VALUE"""),"BELUM GOLIVE")</f>
        <v>BELUM GOLIVE</v>
      </c>
      <c r="Y1586" s="229"/>
      <c r="Z1586" s="229" t="str">
        <f>IFERROR(__xludf.DUMMYFUNCTION("""COMPUTED_VALUE"""),"#N/A")</f>
        <v>#N/A</v>
      </c>
      <c r="AA1586" s="229"/>
      <c r="AB1586" s="229"/>
      <c r="AC1586" s="229"/>
      <c r="AD1586" s="232"/>
      <c r="AE1586" s="233"/>
      <c r="AF1586" s="54" t="str">
        <f>IFERROR(__xludf.DUMMYFUNCTION("""COMPUTED_VALUE"""),"Draft BA DROP")</f>
        <v>Draft BA DROP</v>
      </c>
      <c r="AG1586" s="54"/>
      <c r="AH1586" s="54"/>
      <c r="AI1586" s="55" t="str">
        <f t="shared" si="156"/>
        <v/>
      </c>
      <c r="AW1586" s="234"/>
      <c r="BP1586" s="11"/>
      <c r="BQ1586" s="11"/>
      <c r="BR1586" s="235"/>
      <c r="BV1586" s="158"/>
      <c r="BY1586" s="158"/>
      <c r="CB1586" s="158"/>
    </row>
    <row r="1587" ht="18.0" hidden="1" customHeight="1">
      <c r="A1587" s="222">
        <f>IFERROR(__xludf.DUMMYFUNCTION("""COMPUTED_VALUE"""),2026.0)</f>
        <v>2026</v>
      </c>
      <c r="B1587" s="221">
        <f>IFERROR(__xludf.DUMMYFUNCTION("""COMPUTED_VALUE"""),1.1346451E7)</f>
        <v>11346451</v>
      </c>
      <c r="C1587" s="222" t="str">
        <f>IFERROR(__xludf.DUMMYFUNCTION("""COMPUTED_VALUE"""),"ACH PT3 SNA-FE EXP.D02 LANTING")</f>
        <v>ACH PT3 SNA-FE EXP.D02 LANTING</v>
      </c>
      <c r="D1587" s="222" t="str">
        <f>IFERROR(__xludf.DUMMYFUNCTION("""COMPUTED_VALUE"""),"REGIONAL I")</f>
        <v>REGIONAL I</v>
      </c>
      <c r="E1587" s="222" t="str">
        <f>IFERROR(__xludf.DUMMYFUNCTION("""COMPUTED_VALUE"""),"ACEH")</f>
        <v>ACEH</v>
      </c>
      <c r="F1587" s="222" t="str">
        <f>IFERROR(__xludf.DUMMYFUNCTION("""COMPUTED_VALUE"""),"SNA")</f>
        <v>SNA</v>
      </c>
      <c r="G1587" s="222" t="str">
        <f>IFERROR(__xludf.DUMMYFUNCTION("""COMPUTED_VALUE"""),"SUMBAGUT")</f>
        <v>SUMBAGUT</v>
      </c>
      <c r="H1587" s="222" t="str">
        <f>IFERROR(__xludf.DUMMYFUNCTION("""COMPUTED_VALUE"""),"BANDA ACEH")</f>
        <v>BANDA ACEH</v>
      </c>
      <c r="I1587" s="222" t="str">
        <f>IFERROR(__xludf.DUMMYFUNCTION("""COMPUTED_VALUE"""),"Batch 2")</f>
        <v>Batch 2</v>
      </c>
      <c r="J1587" s="225">
        <f>IFERROR(__xludf.DUMMYFUNCTION("""COMPUTED_VALUE"""),13.0)</f>
        <v>13</v>
      </c>
      <c r="K1587" s="224">
        <f>IFERROR(__xludf.DUMMYFUNCTION("""COMPUTED_VALUE"""),104.0)</f>
        <v>104</v>
      </c>
      <c r="L1587" s="226">
        <f>IFERROR(__xludf.DUMMYFUNCTION("""COMPUTED_VALUE"""),564863.0)</f>
        <v>564863</v>
      </c>
      <c r="M1587" s="227">
        <f>IFERROR(__xludf.DUMMYFUNCTION("""COMPUTED_VALUE"""),5.8745651E7)</f>
        <v>58745651</v>
      </c>
      <c r="N1587" s="222" t="str">
        <f>IFERROR(__xludf.DUMMYFUNCTION("""COMPUTED_VALUE"""),"PT MITRA AKSES INSANI")</f>
        <v>PT MITRA AKSES INSANI</v>
      </c>
      <c r="O1587" s="222" t="str">
        <f>IFERROR(__xludf.DUMMYFUNCTION("""COMPUTED_VALUE"""),"4. MATDEL")</f>
        <v>4. MATDEL</v>
      </c>
      <c r="P1587" s="222" t="str">
        <f>IFERROR(__xludf.DUMMYFUNCTION("""COMPUTED_VALUE"""),"4.2 Sudah Request Material (Alista)")</f>
        <v>4.2 Sudah Request Material (Alista)</v>
      </c>
      <c r="Q1587" s="222" t="str">
        <f>IFERROR(__xludf.DUMMYFUNCTION("""COMPUTED_VALUE"""),"(10/03) Menunggu Material Ready (07/01) Persiapan")</f>
        <v>(10/03) Menunggu Material Ready (07/01) Persiapan</v>
      </c>
      <c r="R1587" s="228"/>
      <c r="S1587" s="11"/>
      <c r="T1587" s="73"/>
      <c r="U1587" s="11"/>
      <c r="V1587" s="229"/>
      <c r="W1587" s="229" t="str">
        <f>IFERROR(__xludf.DUMMYFUNCTION("""COMPUTED_VALUE"""),"#N/A")</f>
        <v>#N/A</v>
      </c>
      <c r="X1587" s="229" t="str">
        <f>IFERROR(__xludf.DUMMYFUNCTION("""COMPUTED_VALUE"""),"BELUM GOLIVE")</f>
        <v>BELUM GOLIVE</v>
      </c>
      <c r="Y1587" s="229"/>
      <c r="Z1587" s="229" t="str">
        <f>IFERROR(__xludf.DUMMYFUNCTION("""COMPUTED_VALUE"""),"#N/A")</f>
        <v>#N/A</v>
      </c>
      <c r="AA1587" s="229"/>
      <c r="AB1587" s="229"/>
      <c r="AC1587" s="229"/>
      <c r="AD1587" s="232"/>
      <c r="AE1587" s="233"/>
      <c r="AF1587" s="54"/>
      <c r="AG1587" s="54"/>
      <c r="AH1587" s="54">
        <v>46137.0</v>
      </c>
      <c r="AI1587" s="55" t="str">
        <f t="shared" si="156"/>
        <v/>
      </c>
      <c r="AW1587" s="234"/>
      <c r="BP1587" s="11"/>
      <c r="BQ1587" s="11"/>
      <c r="BR1587" s="235"/>
      <c r="BV1587" s="158"/>
      <c r="BY1587" s="158"/>
      <c r="CB1587" s="158"/>
    </row>
    <row r="1588" ht="18.0" hidden="1" customHeight="1">
      <c r="A1588" s="222">
        <f>IFERROR(__xludf.DUMMYFUNCTION("""COMPUTED_VALUE"""),2026.0)</f>
        <v>2026</v>
      </c>
      <c r="B1588" s="221">
        <f>IFERROR(__xludf.DUMMYFUNCTION("""COMPUTED_VALUE"""),1.2367394E7)</f>
        <v>12367394</v>
      </c>
      <c r="C1588" s="222" t="str">
        <f>IFERROR(__xludf.DUMMYFUNCTION("""COMPUTED_VALUE"""),"MDN PT3 BJI-FNB DELI SERDANG_134065")</f>
        <v>MDN PT3 BJI-FNB DELI SERDANG_134065</v>
      </c>
      <c r="D1588" s="222" t="str">
        <f>IFERROR(__xludf.DUMMYFUNCTION("""COMPUTED_VALUE"""),"REGIONAL I")</f>
        <v>REGIONAL I</v>
      </c>
      <c r="E1588" s="222" t="str">
        <f>IFERROR(__xludf.DUMMYFUNCTION("""COMPUTED_VALUE"""),"MEDAN")</f>
        <v>MEDAN</v>
      </c>
      <c r="F1588" s="222" t="str">
        <f>IFERROR(__xludf.DUMMYFUNCTION("""COMPUTED_VALUE"""),"BJI")</f>
        <v>BJI</v>
      </c>
      <c r="G1588" s="222" t="str">
        <f>IFERROR(__xludf.DUMMYFUNCTION("""COMPUTED_VALUE"""),"SUMBAGUT")</f>
        <v>SUMBAGUT</v>
      </c>
      <c r="H1588" s="222" t="str">
        <f>IFERROR(__xludf.DUMMYFUNCTION("""COMPUTED_VALUE"""),"BINJAI")</f>
        <v>BINJAI</v>
      </c>
      <c r="I1588" s="222" t="str">
        <f>IFERROR(__xludf.DUMMYFUNCTION("""COMPUTED_VALUE"""),"Batch 2")</f>
        <v>Batch 2</v>
      </c>
      <c r="J1588" s="225">
        <f>IFERROR(__xludf.DUMMYFUNCTION("""COMPUTED_VALUE"""),2.0)</f>
        <v>2</v>
      </c>
      <c r="K1588" s="224">
        <f>IFERROR(__xludf.DUMMYFUNCTION("""COMPUTED_VALUE"""),16.0)</f>
        <v>16</v>
      </c>
      <c r="L1588" s="226">
        <f>IFERROR(__xludf.DUMMYFUNCTION("""COMPUTED_VALUE"""),563837.0)</f>
        <v>563837</v>
      </c>
      <c r="M1588" s="227">
        <f>IFERROR(__xludf.DUMMYFUNCTION("""COMPUTED_VALUE"""),9021378.0)</f>
        <v>9021378</v>
      </c>
      <c r="N1588" s="222" t="str">
        <f>IFERROR(__xludf.DUMMYFUNCTION("""COMPUTED_VALUE"""),"PT FIBERHOME TECHNOLOGIES INDONESIA")</f>
        <v>PT FIBERHOME TECHNOLOGIES INDONESIA</v>
      </c>
      <c r="O1588" s="222" t="str">
        <f>IFERROR(__xludf.DUMMYFUNCTION("""COMPUTED_VALUE"""),"3. PERIZINAN")</f>
        <v>3. PERIZINAN</v>
      </c>
      <c r="P1588" s="222" t="str">
        <f>IFERROR(__xludf.DUMMYFUNCTION("""COMPUTED_VALUE"""),"3.9 Izin Kades / Lurah / RTRW")</f>
        <v>3.9 Izin Kades / Lurah / RTRW</v>
      </c>
      <c r="Q1588" s="222" t="str">
        <f>IFERROR(__xludf.DUMMYFUNCTION("""COMPUTED_VALUE"""),"20/04 takeover mitra 09/04 komitmen perizinan ulang 14/04 31/03 komitmen perizinan (02/04)  05/03 feeder dist ready
07/02) done permit lanjut cek alpro (07/01) Persiapan")</f>
        <v>20/04 takeover mitra 09/04 komitmen perizinan ulang 14/04 31/03 komitmen perizinan (02/04)  05/03 feeder dist ready
07/02) done permit lanjut cek alpro (07/01) Persiapan</v>
      </c>
      <c r="R1588" s="228"/>
      <c r="S1588" s="11"/>
      <c r="T1588" s="73"/>
      <c r="U1588" s="11"/>
      <c r="V1588" s="229" t="str">
        <f>IFERROR(__xludf.DUMMYFUNCTION("""COMPUTED_VALUE"""),"27/Apr/2026")</f>
        <v>27/Apr/2026</v>
      </c>
      <c r="W1588" s="229"/>
      <c r="X1588" s="229" t="str">
        <f>IFERROR(__xludf.DUMMYFUNCTION("""COMPUTED_VALUE"""),"BELUM GOLIVE")</f>
        <v>BELUM GOLIVE</v>
      </c>
      <c r="Y1588" s="229"/>
      <c r="Z1588" s="229" t="str">
        <f>IFERROR(__xludf.DUMMYFUNCTION("""COMPUTED_VALUE"""),"#N/A")</f>
        <v>#N/A</v>
      </c>
      <c r="AA1588" s="229"/>
      <c r="AB1588" s="229"/>
      <c r="AC1588" s="229"/>
      <c r="AD1588" s="232"/>
      <c r="AE1588" s="233"/>
      <c r="AF1588" s="54"/>
      <c r="AG1588" s="54"/>
      <c r="AH1588" s="54"/>
      <c r="AI1588" s="55" t="str">
        <f t="shared" si="156"/>
        <v/>
      </c>
      <c r="AW1588" s="234"/>
      <c r="BP1588" s="11"/>
      <c r="BQ1588" s="11"/>
      <c r="BR1588" s="235"/>
      <c r="BV1588" s="158"/>
      <c r="BY1588" s="158"/>
      <c r="CB1588" s="158"/>
    </row>
    <row r="1589" ht="18.0" hidden="1" customHeight="1">
      <c r="A1589" s="222">
        <f>IFERROR(__xludf.DUMMYFUNCTION("""COMPUTED_VALUE"""),2026.0)</f>
        <v>2026</v>
      </c>
      <c r="B1589" s="221">
        <f>IFERROR(__xludf.DUMMYFUNCTION("""COMPUTED_VALUE"""),1.2084803E7)</f>
        <v>12084803</v>
      </c>
      <c r="C1589" s="222" t="str">
        <f>IFERROR(__xludf.DUMMYFUNCTION("""COMPUTED_VALUE"""),"MDN PT3 CTD-FAQ JL.TB SIMATUPANG_MD25")</f>
        <v>MDN PT3 CTD-FAQ JL.TB SIMATUPANG_MD25</v>
      </c>
      <c r="D1589" s="222" t="str">
        <f>IFERROR(__xludf.DUMMYFUNCTION("""COMPUTED_VALUE"""),"REGIONAL I")</f>
        <v>REGIONAL I</v>
      </c>
      <c r="E1589" s="222" t="str">
        <f>IFERROR(__xludf.DUMMYFUNCTION("""COMPUTED_VALUE"""),"MEDAN")</f>
        <v>MEDAN</v>
      </c>
      <c r="F1589" s="222" t="str">
        <f>IFERROR(__xludf.DUMMYFUNCTION("""COMPUTED_VALUE"""),"CTD")</f>
        <v>CTD</v>
      </c>
      <c r="G1589" s="222" t="str">
        <f>IFERROR(__xludf.DUMMYFUNCTION("""COMPUTED_VALUE"""),"SUMBAGUT")</f>
        <v>SUMBAGUT</v>
      </c>
      <c r="H1589" s="222" t="str">
        <f>IFERROR(__xludf.DUMMYFUNCTION("""COMPUTED_VALUE"""),"MEDAN")</f>
        <v>MEDAN</v>
      </c>
      <c r="I1589" s="222" t="str">
        <f>IFERROR(__xludf.DUMMYFUNCTION("""COMPUTED_VALUE"""),"Batch 2")</f>
        <v>Batch 2</v>
      </c>
      <c r="J1589" s="225">
        <f>IFERROR(__xludf.DUMMYFUNCTION("""COMPUTED_VALUE"""),4.0)</f>
        <v>4</v>
      </c>
      <c r="K1589" s="224">
        <f>IFERROR(__xludf.DUMMYFUNCTION("""COMPUTED_VALUE"""),32.0)</f>
        <v>32</v>
      </c>
      <c r="L1589" s="226">
        <f>IFERROR(__xludf.DUMMYFUNCTION("""COMPUTED_VALUE"""),560945.0)</f>
        <v>560945</v>
      </c>
      <c r="M1589" s="227">
        <f>IFERROR(__xludf.DUMMYFUNCTION("""COMPUTED_VALUE"""),1.7950215E7)</f>
        <v>17950215</v>
      </c>
      <c r="N1589" s="222" t="str">
        <f>IFERROR(__xludf.DUMMYFUNCTION("""COMPUTED_VALUE"""),"PT MILFHA MUTIARA PRIMA")</f>
        <v>PT MILFHA MUTIARA PRIMA</v>
      </c>
      <c r="O1589" s="222" t="str">
        <f>IFERROR(__xludf.DUMMYFUNCTION("""COMPUTED_VALUE"""),"7. GOLIVE")</f>
        <v>7. GOLIVE</v>
      </c>
      <c r="P1589" s="222" t="str">
        <f>IFERROR(__xludf.DUMMYFUNCTION("""COMPUTED_VALUE"""),"7.2 Golive Full / OA / DONE OTB")</f>
        <v>7.2 Golive Full / OA / DONE OTB</v>
      </c>
      <c r="Q1589" s="222" t="str">
        <f>IFERROR(__xludf.DUMMYFUNCTION("""COMPUTED_VALUE"""),"06/02 Pengambilan material 02/02 Perizinan ke kepling
(07/01) Persiapan")</f>
        <v>06/02 Pengambilan material 02/02 Perizinan ke kepling
(07/01) Persiapan</v>
      </c>
      <c r="R1589" s="228">
        <f>IFERROR(__xludf.DUMMYFUNCTION("""COMPUTED_VALUE"""),46066.0)</f>
        <v>46066</v>
      </c>
      <c r="S1589" s="11"/>
      <c r="T1589" s="11"/>
      <c r="U1589" s="11" t="str">
        <f>IFERROR(__xludf.DUMMYFUNCTION("""COMPUTED_VALUE"""),"TIF-3130/2026")</f>
        <v>TIF-3130/2026</v>
      </c>
      <c r="V1589" s="229"/>
      <c r="W1589" s="229"/>
      <c r="X1589" s="229" t="str">
        <f>IFERROR(__xludf.DUMMYFUNCTION("""COMPUTED_VALUE"""),"GOLIVE")</f>
        <v>GOLIVE</v>
      </c>
      <c r="Y1589" s="229" t="str">
        <f>IFERROR(__xludf.DUMMYFUNCTION("""COMPUTED_VALUE"""),"DONE")</f>
        <v>DONE</v>
      </c>
      <c r="Z1589" s="229" t="str">
        <f>IFERROR(__xludf.DUMMYFUNCTION("""COMPUTED_VALUE"""),"#N/A")</f>
        <v>#N/A</v>
      </c>
      <c r="AA1589" s="229">
        <f>IFERROR(__xludf.DUMMYFUNCTION("""COMPUTED_VALUE"""),4.0)</f>
        <v>4</v>
      </c>
      <c r="AB1589" s="229"/>
      <c r="AC1589" s="229" t="str">
        <f>IFERROR(__xludf.DUMMYFUNCTION("""COMPUTED_VALUE"""),"9115749#9115754")</f>
        <v>9115749#9115754</v>
      </c>
      <c r="AD1589" s="232">
        <f>IFERROR(__xludf.DUMMYFUNCTION("""COMPUTED_VALUE"""),32.0)</f>
        <v>32</v>
      </c>
      <c r="AE1589" s="233">
        <f>IFERROR(__xludf.DUMMYFUNCTION("""COMPUTED_VALUE"""),46070.0)</f>
        <v>46070</v>
      </c>
      <c r="AF1589" s="54"/>
      <c r="AG1589" s="54"/>
      <c r="AH1589" s="54">
        <v>46066.0</v>
      </c>
      <c r="AI1589" s="55">
        <f t="shared" si="156"/>
        <v>-4</v>
      </c>
      <c r="AW1589" s="234"/>
      <c r="BP1589" s="11"/>
      <c r="BQ1589" s="11"/>
      <c r="BR1589" s="235"/>
      <c r="BV1589" s="158"/>
      <c r="BY1589" s="158"/>
      <c r="CB1589" s="158"/>
    </row>
    <row r="1590" ht="18.0" hidden="1" customHeight="1">
      <c r="A1590" s="222">
        <f>IFERROR(__xludf.DUMMYFUNCTION("""COMPUTED_VALUE"""),2026.0)</f>
        <v>2026</v>
      </c>
      <c r="B1590" s="221">
        <f>IFERROR(__xludf.DUMMYFUNCTION("""COMPUTED_VALUE"""),1.2082267E7)</f>
        <v>12082267</v>
      </c>
      <c r="C1590" s="222" t="str">
        <f>IFERROR(__xludf.DUMMYFUNCTION("""COMPUTED_VALUE"""),"MDN PT3 DLT-FX THE SCANDI_MD25")</f>
        <v>MDN PT3 DLT-FX THE SCANDI_MD25</v>
      </c>
      <c r="D1590" s="222" t="str">
        <f>IFERROR(__xludf.DUMMYFUNCTION("""COMPUTED_VALUE"""),"REGIONAL I")</f>
        <v>REGIONAL I</v>
      </c>
      <c r="E1590" s="222" t="str">
        <f>IFERROR(__xludf.DUMMYFUNCTION("""COMPUTED_VALUE"""),"MEDAN")</f>
        <v>MEDAN</v>
      </c>
      <c r="F1590" s="222" t="str">
        <f>IFERROR(__xludf.DUMMYFUNCTION("""COMPUTED_VALUE"""),"DLT")</f>
        <v>DLT</v>
      </c>
      <c r="G1590" s="222" t="str">
        <f>IFERROR(__xludf.DUMMYFUNCTION("""COMPUTED_VALUE"""),"SUMBAGUT")</f>
        <v>SUMBAGUT</v>
      </c>
      <c r="H1590" s="222" t="str">
        <f>IFERROR(__xludf.DUMMYFUNCTION("""COMPUTED_VALUE"""),"MEDAN")</f>
        <v>MEDAN</v>
      </c>
      <c r="I1590" s="222" t="str">
        <f>IFERROR(__xludf.DUMMYFUNCTION("""COMPUTED_VALUE"""),"Batch 2")</f>
        <v>Batch 2</v>
      </c>
      <c r="J1590" s="225">
        <f>IFERROR(__xludf.DUMMYFUNCTION("""COMPUTED_VALUE"""),7.0)</f>
        <v>7</v>
      </c>
      <c r="K1590" s="224">
        <f>IFERROR(__xludf.DUMMYFUNCTION("""COMPUTED_VALUE"""),56.0)</f>
        <v>56</v>
      </c>
      <c r="L1590" s="226">
        <f>IFERROR(__xludf.DUMMYFUNCTION("""COMPUTED_VALUE"""),560669.0)</f>
        <v>560669</v>
      </c>
      <c r="M1590" s="227">
        <f>IFERROR(__xludf.DUMMYFUNCTION("""COMPUTED_VALUE"""),3.1397456E7)</f>
        <v>31397456</v>
      </c>
      <c r="N1590" s="222" t="str">
        <f>IFERROR(__xludf.DUMMYFUNCTION("""COMPUTED_VALUE"""),"PT UPENTEL INTERNASIONAL")</f>
        <v>PT UPENTEL INTERNASIONAL</v>
      </c>
      <c r="O1590" s="222" t="str">
        <f>IFERROR(__xludf.DUMMYFUNCTION("""COMPUTED_VALUE"""),"7. GOLIVE")</f>
        <v>7. GOLIVE</v>
      </c>
      <c r="P1590" s="222" t="str">
        <f>IFERROR(__xludf.DUMMYFUNCTION("""COMPUTED_VALUE"""),"7.2 Golive Full / OA / DONE OTB")</f>
        <v>7.2 Golive Full / OA / DONE OTB</v>
      </c>
      <c r="Q1590" s="222" t="str">
        <f>IFERROR(__xludf.DUMMYFUNCTION("""COMPUTED_VALUE"""),"21/04 done abd (20/04) ABD target submit hari ini
17/04 valins 15/04 penarikan KU dan tanam tiang 09/04 pengambilan material 10/04 08/04 sudah keluar tiket material 06/04 create PID 31/03 developer minta kompensasi 3jt 11/03 plan pengurusan izin hari ini "&amp;"27/02 done order")</f>
        <v>21/04 done abd (20/04) ABD target submit hari ini
17/04 valins 15/04 penarikan KU dan tanam tiang 09/04 pengambilan material 10/04 08/04 sudah keluar tiket material 06/04 create PID 31/03 developer minta kompensasi 3jt 11/03 plan pengurusan izin hari ini 27/02 done order</v>
      </c>
      <c r="R1590" s="228">
        <f>IFERROR(__xludf.DUMMYFUNCTION("""COMPUTED_VALUE"""),46134.0)</f>
        <v>46134</v>
      </c>
      <c r="S1590" s="11" t="str">
        <f>IFERROR(__xludf.DUMMYFUNCTION("""COMPUTED_VALUE"""),"APR")</f>
        <v>APR</v>
      </c>
      <c r="T1590" s="73"/>
      <c r="U1590" s="11"/>
      <c r="V1590" s="229" t="str">
        <f>IFERROR(__xludf.DUMMYFUNCTION("""COMPUTED_VALUE"""),"21/Apr/2026")</f>
        <v>21/Apr/2026</v>
      </c>
      <c r="W1590" s="229"/>
      <c r="X1590" s="229" t="str">
        <f>IFERROR(__xludf.DUMMYFUNCTION("""COMPUTED_VALUE"""),"GOLIVE")</f>
        <v>GOLIVE</v>
      </c>
      <c r="Y1590" s="229" t="str">
        <f>IFERROR(__xludf.DUMMYFUNCTION("""COMPUTED_VALUE"""),"DONE")</f>
        <v>DONE</v>
      </c>
      <c r="Z1590" s="229" t="str">
        <f>IFERROR(__xludf.DUMMYFUNCTION("""COMPUTED_VALUE"""),"#N/A")</f>
        <v>#N/A</v>
      </c>
      <c r="AA1590" s="229">
        <f>IFERROR(__xludf.DUMMYFUNCTION("""COMPUTED_VALUE"""),7.0)</f>
        <v>7</v>
      </c>
      <c r="AB1590" s="229"/>
      <c r="AC1590" s="229" t="str">
        <f>IFERROR(__xludf.DUMMYFUNCTION("""COMPUTED_VALUE"""),"9297469#9297474")</f>
        <v>9297469#9297474</v>
      </c>
      <c r="AD1590" s="232">
        <f>IFERROR(__xludf.DUMMYFUNCTION("""COMPUTED_VALUE"""),56.0)</f>
        <v>56</v>
      </c>
      <c r="AE1590" s="233">
        <f>IFERROR(__xludf.DUMMYFUNCTION("""COMPUTED_VALUE"""),46134.0)</f>
        <v>46134</v>
      </c>
      <c r="AF1590" s="54"/>
      <c r="AG1590" s="54"/>
      <c r="AH1590" s="54">
        <v>46134.0</v>
      </c>
      <c r="AI1590" s="55">
        <f t="shared" si="156"/>
        <v>0</v>
      </c>
      <c r="AW1590" s="234"/>
      <c r="BP1590" s="11"/>
      <c r="BQ1590" s="11"/>
      <c r="BR1590" s="235"/>
      <c r="BV1590" s="158"/>
      <c r="BY1590" s="158"/>
      <c r="CB1590" s="158"/>
    </row>
    <row r="1591" ht="18.0" customHeight="1">
      <c r="A1591" s="222">
        <f>IFERROR(__xludf.DUMMYFUNCTION("""COMPUTED_VALUE"""),2026.0)</f>
        <v>2026</v>
      </c>
      <c r="B1591" s="221">
        <f>IFERROR(__xludf.DUMMYFUNCTION("""COMPUTED_VALUE"""),1.1380481E7)</f>
        <v>11380481</v>
      </c>
      <c r="C1591" s="222" t="str">
        <f>IFERROR(__xludf.DUMMYFUNCTION("""COMPUTED_VALUE"""),"SMB P2I2 KOTA PADANG_15346")</f>
        <v>SMB P2I2 KOTA PADANG_15346</v>
      </c>
      <c r="D1591" s="222" t="str">
        <f>IFERROR(__xludf.DUMMYFUNCTION("""COMPUTED_VALUE"""),"REGIONAL I")</f>
        <v>REGIONAL I</v>
      </c>
      <c r="E1591" s="222" t="str">
        <f>IFERROR(__xludf.DUMMYFUNCTION("""COMPUTED_VALUE"""),"SUMBAR")</f>
        <v>SUMBAR</v>
      </c>
      <c r="F1591" s="222" t="str">
        <f>IFERROR(__xludf.DUMMYFUNCTION("""COMPUTED_VALUE"""),"BGS")</f>
        <v>BGS</v>
      </c>
      <c r="G1591" s="222" t="str">
        <f>IFERROR(__xludf.DUMMYFUNCTION("""COMPUTED_VALUE"""),"SUMBAGTENG")</f>
        <v>SUMBAGTENG</v>
      </c>
      <c r="H1591" s="222" t="str">
        <f>IFERROR(__xludf.DUMMYFUNCTION("""COMPUTED_VALUE"""),"PADANG")</f>
        <v>PADANG</v>
      </c>
      <c r="I1591" s="222" t="str">
        <f>IFERROR(__xludf.DUMMYFUNCTION("""COMPUTED_VALUE"""),"Batch 2")</f>
        <v>Batch 2</v>
      </c>
      <c r="J1591" s="225">
        <f>IFERROR(__xludf.DUMMYFUNCTION("""COMPUTED_VALUE"""),7.0)</f>
        <v>7</v>
      </c>
      <c r="K1591" s="224">
        <f>IFERROR(__xludf.DUMMYFUNCTION("""COMPUTED_VALUE"""),56.0)</f>
        <v>56</v>
      </c>
      <c r="L1591" s="226">
        <f>IFERROR(__xludf.DUMMYFUNCTION("""COMPUTED_VALUE"""),558156.0)</f>
        <v>558156</v>
      </c>
      <c r="M1591" s="227">
        <f>IFERROR(__xludf.DUMMYFUNCTION("""COMPUTED_VALUE"""),3.1256726E7)</f>
        <v>31256726</v>
      </c>
      <c r="N1591" s="222" t="str">
        <f>IFERROR(__xludf.DUMMYFUNCTION("""COMPUTED_VALUE"""),"PT ACERO CETHA METALINDO")</f>
        <v>PT ACERO CETHA METALINDO</v>
      </c>
      <c r="O1591" s="222" t="str">
        <f>IFERROR(__xludf.DUMMYFUNCTION("""COMPUTED_VALUE"""),"0. DROP")</f>
        <v>0. DROP</v>
      </c>
      <c r="P1591" s="222" t="str">
        <f>IFERROR(__xludf.DUMMYFUNCTION("""COMPUTED_VALUE"""),"0.1 Double Order")</f>
        <v>0.1 Double Order</v>
      </c>
      <c r="Q1591" s="222" t="str">
        <f>IFERROR(__xludf.DUMMYFUNCTION("""COMPUTED_VALUE"""),"(21/01) SMB P2I2 MD KOTA PADANG_10243-15346 sudah gl")</f>
        <v>(21/01) SMB P2I2 MD KOTA PADANG_10243-15346 sudah gl</v>
      </c>
      <c r="R1591" s="228"/>
      <c r="S1591" s="11"/>
      <c r="T1591" s="11"/>
      <c r="U1591" s="11" t="str">
        <f>IFERROR(__xludf.DUMMYFUNCTION("""COMPUTED_VALUE"""),"W10-1427/2025 25KT03R158-0300")</f>
        <v>W10-1427/2025 25KT03R158-0300</v>
      </c>
      <c r="V1591" s="229" t="str">
        <f>IFERROR(__xludf.DUMMYFUNCTION("""COMPUTED_VALUE"""),"ALDI EFENDI")</f>
        <v>ALDI EFENDI</v>
      </c>
      <c r="W1591" s="229" t="str">
        <f>IFERROR(__xludf.DUMMYFUNCTION("""COMPUTED_VALUE"""),"MELKO NARWADI")</f>
        <v>MELKO NARWADI</v>
      </c>
      <c r="X1591" s="229" t="str">
        <f>IFERROR(__xludf.DUMMYFUNCTION("""COMPUTED_VALUE"""),"BELUM GOLIVE")</f>
        <v>BELUM GOLIVE</v>
      </c>
      <c r="Y1591" s="229"/>
      <c r="Z1591" s="229" t="str">
        <f>IFERROR(__xludf.DUMMYFUNCTION("""COMPUTED_VALUE"""),"#N/A")</f>
        <v>#N/A</v>
      </c>
      <c r="AA1591" s="229"/>
      <c r="AB1591" s="229"/>
      <c r="AC1591" s="229"/>
      <c r="AD1591" s="232"/>
      <c r="AE1591" s="233"/>
      <c r="AF1591" s="54" t="str">
        <f>IFERROR(__xludf.DUMMYFUNCTION("""COMPUTED_VALUE"""),"Draft BA DROP")</f>
        <v>Draft BA DROP</v>
      </c>
      <c r="AG1591" s="54"/>
      <c r="AH1591" s="54"/>
      <c r="AI1591" s="55" t="str">
        <f t="shared" si="156"/>
        <v/>
      </c>
      <c r="AW1591" s="234"/>
      <c r="BP1591" s="11"/>
      <c r="BQ1591" s="11"/>
      <c r="BR1591" s="235"/>
      <c r="BV1591" s="158"/>
      <c r="BY1591" s="158"/>
      <c r="CB1591" s="158"/>
    </row>
    <row r="1592" ht="18.0" customHeight="1">
      <c r="A1592" s="222">
        <f>IFERROR(__xludf.DUMMYFUNCTION("""COMPUTED_VALUE"""),2026.0)</f>
        <v>2026</v>
      </c>
      <c r="B1592" s="221">
        <f>IFERROR(__xludf.DUMMYFUNCTION("""COMPUTED_VALUE"""),1.1031555E7)</f>
        <v>11031555</v>
      </c>
      <c r="C1592" s="222" t="str">
        <f>IFERROR(__xludf.DUMMYFUNCTION("""COMPUTED_VALUE"""),"SMB P3I7 MYIR-10513359810001 yusrizal,ilsa")</f>
        <v>SMB P3I7 MYIR-10513359810001 yusrizal,ilsa</v>
      </c>
      <c r="D1592" s="222" t="str">
        <f>IFERROR(__xludf.DUMMYFUNCTION("""COMPUTED_VALUE"""),"REGIONAL I")</f>
        <v>REGIONAL I</v>
      </c>
      <c r="E1592" s="222" t="str">
        <f>IFERROR(__xludf.DUMMYFUNCTION("""COMPUTED_VALUE"""),"SUMBAR")</f>
        <v>SUMBAR</v>
      </c>
      <c r="F1592" s="222" t="str">
        <f>IFERROR(__xludf.DUMMYFUNCTION("""COMPUTED_VALUE"""),"BKT")</f>
        <v>BKT</v>
      </c>
      <c r="G1592" s="222" t="str">
        <f>IFERROR(__xludf.DUMMYFUNCTION("""COMPUTED_VALUE"""),"SUMBAGTENG")</f>
        <v>SUMBAGTENG</v>
      </c>
      <c r="H1592" s="222" t="str">
        <f>IFERROR(__xludf.DUMMYFUNCTION("""COMPUTED_VALUE"""),"BUKIT TINGGI")</f>
        <v>BUKIT TINGGI</v>
      </c>
      <c r="I1592" s="222" t="str">
        <f>IFERROR(__xludf.DUMMYFUNCTION("""COMPUTED_VALUE"""),"Batch 2")</f>
        <v>Batch 2</v>
      </c>
      <c r="J1592" s="225">
        <f>IFERROR(__xludf.DUMMYFUNCTION("""COMPUTED_VALUE"""),1.0)</f>
        <v>1</v>
      </c>
      <c r="K1592" s="224">
        <f>IFERROR(__xludf.DUMMYFUNCTION("""COMPUTED_VALUE"""),8.0)</f>
        <v>8</v>
      </c>
      <c r="L1592" s="226">
        <f>IFERROR(__xludf.DUMMYFUNCTION("""COMPUTED_VALUE"""),557923.0)</f>
        <v>557923</v>
      </c>
      <c r="M1592" s="227">
        <f>IFERROR(__xludf.DUMMYFUNCTION("""COMPUTED_VALUE"""),4463382.0)</f>
        <v>4463382</v>
      </c>
      <c r="N1592" s="222" t="str">
        <f>IFERROR(__xludf.DUMMYFUNCTION("""COMPUTED_VALUE"""),"PT RATRI PRIMA MANDIRI")</f>
        <v>PT RATRI PRIMA MANDIRI</v>
      </c>
      <c r="O1592" s="222" t="str">
        <f>IFERROR(__xludf.DUMMYFUNCTION("""COMPUTED_VALUE"""),"8. UJI TERIMA")</f>
        <v>8. UJI TERIMA</v>
      </c>
      <c r="P1592" s="222" t="str">
        <f>IFERROR(__xludf.DUMMYFUNCTION("""COMPUTED_VALUE"""),"8.1 Proses UT")</f>
        <v>8.1 Proses UT</v>
      </c>
      <c r="Q1592" s="222" t="str">
        <f>IFERROR(__xludf.DUMMYFUNCTION("""COMPUTED_VALUE"""),"(29/01) proses delivery material  (21/01) proses CReate PID (07/01) Persiapan")</f>
        <v>(29/01) proses delivery material  (21/01) proses CReate PID (07/01) Persiapan</v>
      </c>
      <c r="R1592" s="228">
        <f>IFERROR(__xludf.DUMMYFUNCTION("""COMPUTED_VALUE"""),46063.0)</f>
        <v>46063</v>
      </c>
      <c r="S1592" s="11"/>
      <c r="T1592" s="11"/>
      <c r="U1592" s="11" t="str">
        <f>IFERROR(__xludf.DUMMYFUNCTION("""COMPUTED_VALUE"""),"TIF-1907/2026 26KT03R158-0011")</f>
        <v>TIF-1907/2026 26KT03R158-0011</v>
      </c>
      <c r="V1592" s="229" t="str">
        <f>IFERROR(__xludf.DUMMYFUNCTION("""COMPUTED_VALUE"""),"M. ARIF HAMADI")</f>
        <v>M. ARIF HAMADI</v>
      </c>
      <c r="W1592" s="229" t="str">
        <f>IFERROR(__xludf.DUMMYFUNCTION("""COMPUTED_VALUE"""),"MELKO NARWADI")</f>
        <v>MELKO NARWADI</v>
      </c>
      <c r="X1592" s="229" t="str">
        <f>IFERROR(__xludf.DUMMYFUNCTION("""COMPUTED_VALUE"""),"GOLIVE")</f>
        <v>GOLIVE</v>
      </c>
      <c r="Y1592" s="229" t="str">
        <f>IFERROR(__xludf.DUMMYFUNCTION("""COMPUTED_VALUE"""),"DONE")</f>
        <v>DONE</v>
      </c>
      <c r="Z1592" s="229" t="str">
        <f>IFERROR(__xludf.DUMMYFUNCTION("""COMPUTED_VALUE"""),"#N/A")</f>
        <v>#N/A</v>
      </c>
      <c r="AA1592" s="229">
        <f>IFERROR(__xludf.DUMMYFUNCTION("""COMPUTED_VALUE"""),1.0)</f>
        <v>1</v>
      </c>
      <c r="AB1592" s="229"/>
      <c r="AC1592" s="229" t="str">
        <f>IFERROR(__xludf.DUMMYFUNCTION("""COMPUTED_VALUE"""),"9087729#9087734")</f>
        <v>9087729#9087734</v>
      </c>
      <c r="AD1592" s="232">
        <f>IFERROR(__xludf.DUMMYFUNCTION("""COMPUTED_VALUE"""),8.0)</f>
        <v>8</v>
      </c>
      <c r="AE1592" s="233">
        <f>IFERROR(__xludf.DUMMYFUNCTION("""COMPUTED_VALUE"""),46065.0)</f>
        <v>46065</v>
      </c>
      <c r="AF1592" s="54"/>
      <c r="AG1592" s="54"/>
      <c r="AH1592" s="54">
        <v>46063.0</v>
      </c>
      <c r="AI1592" s="55">
        <f t="shared" si="156"/>
        <v>-2</v>
      </c>
      <c r="AW1592" s="234"/>
      <c r="BP1592" s="11"/>
      <c r="BQ1592" s="11"/>
      <c r="BR1592" s="235"/>
      <c r="BV1592" s="158"/>
      <c r="BY1592" s="158"/>
      <c r="CB1592" s="158"/>
    </row>
    <row r="1593" ht="18.0" customHeight="1">
      <c r="A1593" s="222">
        <f>IFERROR(__xludf.DUMMYFUNCTION("""COMPUTED_VALUE"""),2026.0)</f>
        <v>2026</v>
      </c>
      <c r="B1593" s="221">
        <f>IFERROR(__xludf.DUMMYFUNCTION("""COMPUTED_VALUE"""),1.1059011E7)</f>
        <v>11059011</v>
      </c>
      <c r="C1593" s="222" t="str">
        <f>IFERROR(__xludf.DUMMYFUNCTION("""COMPUTED_VALUE"""),"SMB P3I6 PT3 Cluster Panorama Mansion")</f>
        <v>SMB P3I6 PT3 Cluster Panorama Mansion</v>
      </c>
      <c r="D1593" s="222" t="str">
        <f>IFERROR(__xludf.DUMMYFUNCTION("""COMPUTED_VALUE"""),"REGIONAL I")</f>
        <v>REGIONAL I</v>
      </c>
      <c r="E1593" s="222" t="str">
        <f>IFERROR(__xludf.DUMMYFUNCTION("""COMPUTED_VALUE"""),"SUMBAR")</f>
        <v>SUMBAR</v>
      </c>
      <c r="F1593" s="222" t="str">
        <f>IFERROR(__xludf.DUMMYFUNCTION("""COMPUTED_VALUE"""),"BDT")</f>
        <v>BDT</v>
      </c>
      <c r="G1593" s="222" t="str">
        <f>IFERROR(__xludf.DUMMYFUNCTION("""COMPUTED_VALUE"""),"SUMBAGTENG")</f>
        <v>SUMBAGTENG</v>
      </c>
      <c r="H1593" s="222" t="str">
        <f>IFERROR(__xludf.DUMMYFUNCTION("""COMPUTED_VALUE"""),"PADANG")</f>
        <v>PADANG</v>
      </c>
      <c r="I1593" s="222" t="str">
        <f>IFERROR(__xludf.DUMMYFUNCTION("""COMPUTED_VALUE"""),"Batch 2")</f>
        <v>Batch 2</v>
      </c>
      <c r="J1593" s="225">
        <f>IFERROR(__xludf.DUMMYFUNCTION("""COMPUTED_VALUE"""),4.0)</f>
        <v>4</v>
      </c>
      <c r="K1593" s="224">
        <f>IFERROR(__xludf.DUMMYFUNCTION("""COMPUTED_VALUE"""),32.0)</f>
        <v>32</v>
      </c>
      <c r="L1593" s="226">
        <f>IFERROR(__xludf.DUMMYFUNCTION("""COMPUTED_VALUE"""),557719.0)</f>
        <v>557719</v>
      </c>
      <c r="M1593" s="227">
        <f>IFERROR(__xludf.DUMMYFUNCTION("""COMPUTED_VALUE"""),1.7847001E7)</f>
        <v>17847001</v>
      </c>
      <c r="N1593" s="222" t="str">
        <f>IFERROR(__xludf.DUMMYFUNCTION("""COMPUTED_VALUE"""),"PT WIRA MUDA OPTIMA")</f>
        <v>PT WIRA MUDA OPTIMA</v>
      </c>
      <c r="O1593" s="222" t="str">
        <f>IFERROR(__xludf.DUMMYFUNCTION("""COMPUTED_VALUE"""),"0. DROP")</f>
        <v>0. DROP</v>
      </c>
      <c r="P1593" s="222" t="str">
        <f>IFERROR(__xludf.DUMMYFUNCTION("""COMPUTED_VALUE"""),"0.3 Feeder Full")</f>
        <v>0.3 Feeder Full</v>
      </c>
      <c r="Q1593" s="222" t="str">
        <f>IFERROR(__xludf.DUMMYFUNCTION("""COMPUTED_VALUE"""),"(04/02) Kendala feeder BDT-FL Full (27/01) KML di STO Talang, Lokasi perumahan di STO Bandar Buat")</f>
        <v>(04/02) Kendala feeder BDT-FL Full (27/01) KML di STO Talang, Lokasi perumahan di STO Bandar Buat</v>
      </c>
      <c r="R1593" s="228"/>
      <c r="S1593" s="11"/>
      <c r="T1593" s="11"/>
      <c r="U1593" s="11"/>
      <c r="V1593" s="229"/>
      <c r="W1593" s="229"/>
      <c r="X1593" s="229" t="str">
        <f>IFERROR(__xludf.DUMMYFUNCTION("""COMPUTED_VALUE"""),"BELUM GOLIVE")</f>
        <v>BELUM GOLIVE</v>
      </c>
      <c r="Y1593" s="229"/>
      <c r="Z1593" s="229" t="str">
        <f>IFERROR(__xludf.DUMMYFUNCTION("""COMPUTED_VALUE"""),"#N/A")</f>
        <v>#N/A</v>
      </c>
      <c r="AA1593" s="229"/>
      <c r="AB1593" s="229"/>
      <c r="AC1593" s="229"/>
      <c r="AD1593" s="232"/>
      <c r="AE1593" s="233"/>
      <c r="AF1593" s="54" t="str">
        <f>IFERROR(__xludf.DUMMYFUNCTION("""COMPUTED_VALUE"""),"Draft BA DROP")</f>
        <v>Draft BA DROP</v>
      </c>
      <c r="AG1593" s="54"/>
      <c r="AH1593" s="54"/>
      <c r="AI1593" s="55" t="str">
        <f t="shared" si="156"/>
        <v/>
      </c>
      <c r="AW1593" s="234"/>
      <c r="BP1593" s="11"/>
      <c r="BQ1593" s="11"/>
      <c r="BR1593" s="235"/>
      <c r="BV1593" s="158"/>
      <c r="BY1593" s="158"/>
      <c r="CB1593" s="158"/>
    </row>
    <row r="1594" ht="18.0" hidden="1" customHeight="1">
      <c r="A1594" s="222">
        <f>IFERROR(__xludf.DUMMYFUNCTION("""COMPUTED_VALUE"""),2026.0)</f>
        <v>2026</v>
      </c>
      <c r="B1594" s="221">
        <f>IFERROR(__xludf.DUMMYFUNCTION("""COMPUTED_VALUE"""),1.1268513E7)</f>
        <v>11268513</v>
      </c>
      <c r="C1594" s="222" t="str">
        <f>IFERROR(__xludf.DUMMYFUNCTION("""COMPUTED_VALUE"""),"MDN PT3 PUB-FZ KOMP TNI AL BARAKUDA")</f>
        <v>MDN PT3 PUB-FZ KOMP TNI AL BARAKUDA</v>
      </c>
      <c r="D1594" s="222" t="str">
        <f>IFERROR(__xludf.DUMMYFUNCTION("""COMPUTED_VALUE"""),"REGIONAL I")</f>
        <v>REGIONAL I</v>
      </c>
      <c r="E1594" s="222" t="str">
        <f>IFERROR(__xludf.DUMMYFUNCTION("""COMPUTED_VALUE"""),"MEDAN")</f>
        <v>MEDAN</v>
      </c>
      <c r="F1594" s="222" t="str">
        <f>IFERROR(__xludf.DUMMYFUNCTION("""COMPUTED_VALUE"""),"PUB")</f>
        <v>PUB</v>
      </c>
      <c r="G1594" s="222" t="str">
        <f>IFERROR(__xludf.DUMMYFUNCTION("""COMPUTED_VALUE"""),"SUMBAGUT")</f>
        <v>SUMBAGUT</v>
      </c>
      <c r="H1594" s="222" t="str">
        <f>IFERROR(__xludf.DUMMYFUNCTION("""COMPUTED_VALUE"""),"MEDAN")</f>
        <v>MEDAN</v>
      </c>
      <c r="I1594" s="222" t="str">
        <f>IFERROR(__xludf.DUMMYFUNCTION("""COMPUTED_VALUE"""),"Batch 2")</f>
        <v>Batch 2</v>
      </c>
      <c r="J1594" s="225">
        <f>IFERROR(__xludf.DUMMYFUNCTION("""COMPUTED_VALUE"""),8.0)</f>
        <v>8</v>
      </c>
      <c r="K1594" s="224">
        <f>IFERROR(__xludf.DUMMYFUNCTION("""COMPUTED_VALUE"""),64.0)</f>
        <v>64</v>
      </c>
      <c r="L1594" s="226">
        <f>IFERROR(__xludf.DUMMYFUNCTION("""COMPUTED_VALUE"""),556169.0)</f>
        <v>556169</v>
      </c>
      <c r="M1594" s="227">
        <f>IFERROR(__xludf.DUMMYFUNCTION("""COMPUTED_VALUE"""),3.5594807E7)</f>
        <v>35594807</v>
      </c>
      <c r="N1594" s="222" t="str">
        <f>IFERROR(__xludf.DUMMYFUNCTION("""COMPUTED_VALUE"""),"PT BENWA  MITRA PRATAMA")</f>
        <v>PT BENWA  MITRA PRATAMA</v>
      </c>
      <c r="O1594" s="222" t="str">
        <f>IFERROR(__xludf.DUMMYFUNCTION("""COMPUTED_VALUE"""),"0. DROP")</f>
        <v>0. DROP</v>
      </c>
      <c r="P1594" s="222" t="str">
        <f>IFERROR(__xludf.DUMMYFUNCTION("""COMPUTED_VALUE"""),"0.2 Tidak Dapat Izin Warga/Kades/Lurah/Developer")</f>
        <v>0.2 Tidak Dapat Izin Warga/Kades/Lurah/Developer</v>
      </c>
      <c r="Q1594" s="222" t="str">
        <f>IFERROR(__xludf.DUMMYFUNCTION("""COMPUTED_VALUE"""),"13/03 req prelim 20jt/ tahun 12/02 Aanwidzing OK, lanjut perizinan 10/02 Komitmen Aanwidzing 13/02/2026")</f>
        <v>13/03 req prelim 20jt/ tahun 12/02 Aanwidzing OK, lanjut perizinan 10/02 Komitmen Aanwidzing 13/02/2026</v>
      </c>
      <c r="R1594" s="228"/>
      <c r="S1594" s="11"/>
      <c r="T1594" s="11" t="str">
        <f>IFERROR(__xludf.DUMMYFUNCTION("""COMPUTED_VALUE"""),"P1")</f>
        <v>P1</v>
      </c>
      <c r="U1594" s="11"/>
      <c r="V1594" s="229"/>
      <c r="W1594" s="229"/>
      <c r="X1594" s="229" t="str">
        <f>IFERROR(__xludf.DUMMYFUNCTION("""COMPUTED_VALUE"""),"BELUM GOLIVE")</f>
        <v>BELUM GOLIVE</v>
      </c>
      <c r="Y1594" s="229"/>
      <c r="Z1594" s="229" t="str">
        <f>IFERROR(__xludf.DUMMYFUNCTION("""COMPUTED_VALUE"""),"#N/A")</f>
        <v>#N/A</v>
      </c>
      <c r="AA1594" s="229"/>
      <c r="AB1594" s="229"/>
      <c r="AC1594" s="229"/>
      <c r="AD1594" s="232"/>
      <c r="AE1594" s="233"/>
      <c r="AF1594" s="54"/>
      <c r="AG1594" s="54"/>
      <c r="AH1594" s="54"/>
      <c r="AI1594" s="55" t="str">
        <f t="shared" si="156"/>
        <v/>
      </c>
      <c r="AW1594" s="234"/>
      <c r="BP1594" s="11"/>
      <c r="BQ1594" s="11"/>
      <c r="BR1594" s="235"/>
      <c r="BV1594" s="158"/>
      <c r="BY1594" s="158"/>
      <c r="CB1594" s="158"/>
    </row>
    <row r="1595" ht="18.0" hidden="1" customHeight="1">
      <c r="A1595" s="222">
        <f>IFERROR(__xludf.DUMMYFUNCTION("""COMPUTED_VALUE"""),2026.0)</f>
        <v>2026</v>
      </c>
      <c r="B1595" s="221">
        <f>IFERROR(__xludf.DUMMYFUNCTION("""COMPUTED_VALUE"""),1.2053453E7)</f>
        <v>12053453</v>
      </c>
      <c r="C1595" s="222" t="str">
        <f>IFERROR(__xludf.DUMMYFUNCTION("""COMPUTED_VALUE"""),"SMU PT3 PRA-FAF CLUST ASAHAN_99224")</f>
        <v>SMU PT3 PRA-FAF CLUST ASAHAN_99224</v>
      </c>
      <c r="D1595" s="222" t="str">
        <f>IFERROR(__xludf.DUMMYFUNCTION("""COMPUTED_VALUE"""),"REGIONAL I")</f>
        <v>REGIONAL I</v>
      </c>
      <c r="E1595" s="222" t="str">
        <f>IFERROR(__xludf.DUMMYFUNCTION("""COMPUTED_VALUE"""),"SUMUT")</f>
        <v>SUMUT</v>
      </c>
      <c r="F1595" s="222" t="str">
        <f>IFERROR(__xludf.DUMMYFUNCTION("""COMPUTED_VALUE"""),"PRA")</f>
        <v>PRA</v>
      </c>
      <c r="G1595" s="222" t="str">
        <f>IFERROR(__xludf.DUMMYFUNCTION("""COMPUTED_VALUE"""),"SUMBAGUT")</f>
        <v>SUMBAGUT</v>
      </c>
      <c r="H1595" s="222" t="str">
        <f>IFERROR(__xludf.DUMMYFUNCTION("""COMPUTED_VALUE"""),"RANTAU PRAPAT")</f>
        <v>RANTAU PRAPAT</v>
      </c>
      <c r="I1595" s="222" t="str">
        <f>IFERROR(__xludf.DUMMYFUNCTION("""COMPUTED_VALUE"""),"Batch 2")</f>
        <v>Batch 2</v>
      </c>
      <c r="J1595" s="225">
        <f>IFERROR(__xludf.DUMMYFUNCTION("""COMPUTED_VALUE"""),6.0)</f>
        <v>6</v>
      </c>
      <c r="K1595" s="224">
        <f>IFERROR(__xludf.DUMMYFUNCTION("""COMPUTED_VALUE"""),48.0)</f>
        <v>48</v>
      </c>
      <c r="L1595" s="226">
        <f>IFERROR(__xludf.DUMMYFUNCTION("""COMPUTED_VALUE"""),555657.0)</f>
        <v>555657</v>
      </c>
      <c r="M1595" s="227">
        <f>IFERROR(__xludf.DUMMYFUNCTION("""COMPUTED_VALUE"""),2.6671491E7)</f>
        <v>26671491</v>
      </c>
      <c r="N1595" s="222" t="str">
        <f>IFERROR(__xludf.DUMMYFUNCTION("""COMPUTED_VALUE"""),"PT MITRA SETIA INDONESIA")</f>
        <v>PT MITRA SETIA INDONESIA</v>
      </c>
      <c r="O1595" s="222" t="str">
        <f>IFERROR(__xludf.DUMMYFUNCTION("""COMPUTED_VALUE"""),"7. GOLIVE")</f>
        <v>7. GOLIVE</v>
      </c>
      <c r="P1595" s="222" t="str">
        <f>IFERROR(__xludf.DUMMYFUNCTION("""COMPUTED_VALUE"""),"7.1 Golive Parsial")</f>
        <v>7.1 Golive Parsial</v>
      </c>
      <c r="Q1595" s="222" t="str">
        <f>IFERROR(__xludf.DUMMYFUNCTION("""COMPUTED_VALUE"""),"24/4 Golive partial kendala terminasi 3 odp, 23/4 tim baru sampai dilokasi, plan hari ini instal odp, 22/4 plan bsk tim lanjut progres, 21/4 tim belum lanjut untuk progres, 20/4 prepair tim untuk melakukan pekerjaan, 14/4 team turun kelokasi saat pekerjaa"&amp;"n di set faa selesai, 13/4 team turun kelokasi saat pekerjaan di set faa selesai, 9/4 team turun kelokasi saat pekerjaan di set faa selesai, 8/4 team turun kelokasi 8 april seteslah selesai dr kis fbg, 6/4 team turun kelokasi 8 april seteslah selesai dr k"&amp;"is fbg, 5/4 plan progres setlah kis fbg selesa, (estimasi paling lambat hari rabu tgl 1 april kalau tim tidak turun lop di alihkan ke mitra lain), 1/4 plan progres setlah kis fbg selesa, (estimasi paling lambat hari rabu tgl 1 april kalau tim tidak turun "&amp;"lop di alihkan ke mitra lain), 31/3 plan progres setlah kis fbg selesa, (estimasi paling lambat hari rabu tgl 1 april kalau tim tidak turun lop di alihkan ke mitra lain), 30/3 plan progres setlah kis fbg selesa, 27/3 plan progres setlah kis fbg selesai, 2"&amp;"6/3 prepair team untuk lanjut progres instalasi, 22/3 prepair team untuk lanjut progres instalasi, 18/3 plan progres setelah lebaran, 16/3 plan progres setelah lebaran, 13/3 tim partial di lop kis-fbg, 11/3 tim partial di lop kis-fbg, 10/3 tim partial di "&amp;"lop kis-fbg, 6/3 prepair tim untuk pengambilan material ,4/3 prepair tim untuk pengambilan material, 3/3 prepair tim untuk pengambilan material  2/3 proses req matrial mitra , 27/2 menunggu info dari pihak desa, plan du kembali senin 2 maret, 25/2 plan te"&amp;"am besok 26 feb fu pengajuan izin ke desa ,24/2 plan team besok fu pengajuan izin ke desa ,23/2 prepair team untuk fu pengajuan izin ke desa , 20/2 prepair team untuk fu pengajuan izin ke desa 25 feb ,19/2 prepair team untuk pengajuan izin ke desa, 18/2 p"&amp;"repair team untuk pengajuan izin ke desa, 16/2 proses req matrial paralel pengantar izin desa,  13/2 proses req matrial paralel pengantar izin desa , 12/2 proses req matrial paralel pengantar izin desa, 11/2 proses req matrial paralel pengantar izin desa,"&amp;" 10/2 proses req matrial paralel pengantar izin desa, 9/2 proses req matrial paralel pengantar izin desa, 6/2 menunggu boq kml survey, 5/2 menunggu boq kml survey, 3/2 menunggu boq kml survey, 2/2 menunggu boq kml survey, 1/2 menunggu boq kml survey,  30/"&amp;"1 menunggu boq kml survey,   28/1 menunggu boq kml survey,  27/1 menunggu boq kml survey, 26/1 menunggu boq kml survey, 23/1 ogp survey, 22/1 plan survey 23/1 , 21/1 plan survey 22/1, 20/1 plan survey 21/1,19/1 plan survey 20/1,15/1 plan survey tanggal 20"&amp;"/1,  13/01 plan survey tanggal 20/01 (07/01) Persiapan")</f>
        <v>24/4 Golive partial kendala terminasi 3 odp, 23/4 tim baru sampai dilokasi, plan hari ini instal odp, 22/4 plan bsk tim lanjut progres, 21/4 tim belum lanjut untuk progres, 20/4 prepair tim untuk melakukan pekerjaan, 14/4 team turun kelokasi saat pekerjaan di set faa selesai, 13/4 team turun kelokasi saat pekerjaan di set faa selesai, 9/4 team turun kelokasi saat pekerjaan di set faa selesai, 8/4 team turun kelokasi 8 april seteslah selesai dr kis fbg, 6/4 team turun kelokasi 8 april seteslah selesai dr kis fbg, 5/4 plan progres setlah kis fbg selesa, (estimasi paling lambat hari rabu tgl 1 april kalau tim tidak turun lop di alihkan ke mitra lain), 1/4 plan progres setlah kis fbg selesa, (estimasi paling lambat hari rabu tgl 1 april kalau tim tidak turun lop di alihkan ke mitra lain), 31/3 plan progres setlah kis fbg selesa, (estimasi paling lambat hari rabu tgl 1 april kalau tim tidak turun lop di alihkan ke mitra lain), 30/3 plan progres setlah kis fbg selesa, 27/3 plan progres setlah kis fbg selesai, 26/3 prepair team untuk lanjut progres instalasi, 22/3 prepair team untuk lanjut progres instalasi, 18/3 plan progres setelah lebaran, 16/3 plan progres setelah lebaran, 13/3 tim partial di lop kis-fbg, 11/3 tim partial di lop kis-fbg, 10/3 tim partial di lop kis-fbg, 6/3 prepair tim untuk pengambilan material ,4/3 prepair tim untuk pengambilan material, 3/3 prepair tim untuk pengambilan material  2/3 proses req matrial mitra , 27/2 menunggu info dari pihak desa, plan du kembali senin 2 maret, 25/2 plan team besok 26 feb fu pengajuan izin ke desa ,24/2 plan team besok fu pengajuan izin ke desa ,23/2 prepair team untuk fu pengajuan izin ke desa , 20/2 prepair team untuk fu pengajuan izin ke desa 25 feb ,19/2 prepair team untuk pengajuan izin ke desa, 18/2 prepair team untuk pengajuan izin ke desa, 16/2 proses req matrial paralel pengantar izin desa,  13/2 proses req matrial paralel pengantar izin desa , 12/2 proses req matrial paralel pengantar izin desa, 11/2 proses req matrial paralel pengantar izin desa, 10/2 proses req matrial paralel pengantar izin desa, 9/2 proses req matrial paralel pengantar izin desa, 6/2 menunggu boq kml survey, 5/2 menunggu boq kml survey, 3/2 menunggu boq kml survey, 2/2 menunggu boq kml survey, 1/2 menunggu boq kml survey,  30/1 menunggu boq kml survey,   28/1 menunggu boq kml survey,  27/1 menunggu boq kml survey, 26/1 menunggu boq kml survey, 23/1 ogp survey, 22/1 plan survey 23/1 , 21/1 plan survey 22/1, 20/1 plan survey 21/1,19/1 plan survey 20/1,15/1 plan survey tanggal 20/1,  13/01 plan survey tanggal 20/01 (07/01) Persiapan</v>
      </c>
      <c r="R1595" s="228">
        <f>IFERROR(__xludf.DUMMYFUNCTION("""COMPUTED_VALUE"""),46136.0)</f>
        <v>46136</v>
      </c>
      <c r="S1595" s="11" t="str">
        <f>IFERROR(__xludf.DUMMYFUNCTION("""COMPUTED_VALUE"""),"MAR")</f>
        <v>MAR</v>
      </c>
      <c r="T1595" s="73"/>
      <c r="U1595" s="11" t="str">
        <f>IFERROR(__xludf.DUMMYFUNCTION("""COMPUTED_VALUE"""),"TIF-901/2026")</f>
        <v>TIF-901/2026</v>
      </c>
      <c r="V1595" s="229"/>
      <c r="W1595" s="229" t="str">
        <f>IFERROR(__xludf.DUMMYFUNCTION("""COMPUTED_VALUE"""),"#N/A")</f>
        <v>#N/A</v>
      </c>
      <c r="X1595" s="229" t="str">
        <f>IFERROR(__xludf.DUMMYFUNCTION("""COMPUTED_VALUE"""),"GOLIVE")</f>
        <v>GOLIVE</v>
      </c>
      <c r="Y1595" s="229" t="str">
        <f>IFERROR(__xludf.DUMMYFUNCTION("""COMPUTED_VALUE"""),"DONE")</f>
        <v>DONE</v>
      </c>
      <c r="Z1595" s="229" t="str">
        <f>IFERROR(__xludf.DUMMYFUNCTION("""COMPUTED_VALUE"""),"#N/A")</f>
        <v>#N/A</v>
      </c>
      <c r="AA1595" s="229">
        <f>IFERROR(__xludf.DUMMYFUNCTION("""COMPUTED_VALUE"""),7.0)</f>
        <v>7</v>
      </c>
      <c r="AB1595" s="229"/>
      <c r="AC1595" s="229" t="str">
        <f>IFERROR(__xludf.DUMMYFUNCTION("""COMPUTED_VALUE"""),"9307642#9307647")</f>
        <v>9307642#9307647</v>
      </c>
      <c r="AD1595" s="232">
        <f>IFERROR(__xludf.DUMMYFUNCTION("""COMPUTED_VALUE"""),56.0)</f>
        <v>56</v>
      </c>
      <c r="AE1595" s="233">
        <f>IFERROR(__xludf.DUMMYFUNCTION("""COMPUTED_VALUE"""),46136.0)</f>
        <v>46136</v>
      </c>
      <c r="AF1595" s="54"/>
      <c r="AG1595" s="54"/>
      <c r="AH1595" s="54">
        <v>46136.0</v>
      </c>
      <c r="AI1595" s="55">
        <f t="shared" si="156"/>
        <v>0</v>
      </c>
      <c r="AW1595" s="234"/>
      <c r="BP1595" s="11"/>
      <c r="BQ1595" s="11"/>
      <c r="BR1595" s="235"/>
      <c r="BV1595" s="158"/>
      <c r="BY1595" s="158"/>
      <c r="CB1595" s="158"/>
    </row>
    <row r="1596" ht="18.0" hidden="1" customHeight="1">
      <c r="A1596" s="222">
        <f>IFERROR(__xludf.DUMMYFUNCTION("""COMPUTED_VALUE"""),2026.0)</f>
        <v>2026</v>
      </c>
      <c r="B1596" s="221">
        <f>IFERROR(__xludf.DUMMYFUNCTION("""COMPUTED_VALUE"""),1.14992E7)</f>
        <v>11499200</v>
      </c>
      <c r="C1596" s="222" t="str">
        <f>IFERROR(__xludf.DUMMYFUNCTION("""COMPUTED_VALUE"""),"SMS P3I1 PT4 BET FXX BABAT SUPAT")</f>
        <v>SMS P3I1 PT4 BET FXX BABAT SUPAT</v>
      </c>
      <c r="D1596" s="222" t="str">
        <f>IFERROR(__xludf.DUMMYFUNCTION("""COMPUTED_VALUE"""),"REGIONAL I")</f>
        <v>REGIONAL I</v>
      </c>
      <c r="E1596" s="222" t="str">
        <f>IFERROR(__xludf.DUMMYFUNCTION("""COMPUTED_VALUE"""),"SUMSEL")</f>
        <v>SUMSEL</v>
      </c>
      <c r="F1596" s="222" t="str">
        <f>IFERROR(__xludf.DUMMYFUNCTION("""COMPUTED_VALUE"""),"BET")</f>
        <v>BET</v>
      </c>
      <c r="G1596" s="222" t="str">
        <f>IFERROR(__xludf.DUMMYFUNCTION("""COMPUTED_VALUE"""),"SUMBAGSEL")</f>
        <v>SUMBAGSEL</v>
      </c>
      <c r="H1596" s="222" t="str">
        <f>IFERROR(__xludf.DUMMYFUNCTION("""COMPUTED_VALUE"""),"PALEMBANG")</f>
        <v>PALEMBANG</v>
      </c>
      <c r="I1596" s="222" t="str">
        <f>IFERROR(__xludf.DUMMYFUNCTION("""COMPUTED_VALUE"""),"Batch 2")</f>
        <v>Batch 2</v>
      </c>
      <c r="J1596" s="225">
        <f>IFERROR(__xludf.DUMMYFUNCTION("""COMPUTED_VALUE"""),36.0)</f>
        <v>36</v>
      </c>
      <c r="K1596" s="224">
        <f>IFERROR(__xludf.DUMMYFUNCTION("""COMPUTED_VALUE"""),280.0)</f>
        <v>280</v>
      </c>
      <c r="L1596" s="226">
        <f>IFERROR(__xludf.DUMMYFUNCTION("""COMPUTED_VALUE"""),1347882.0)</f>
        <v>1347882</v>
      </c>
      <c r="M1596" s="227">
        <f>IFERROR(__xludf.DUMMYFUNCTION("""COMPUTED_VALUE"""),3.77406876E8)</f>
        <v>377406876</v>
      </c>
      <c r="N1596" s="222" t="str">
        <f>IFERROR(__xludf.DUMMYFUNCTION("""COMPUTED_VALUE"""),"PT MAJU JAYA TEKNOLOGI")</f>
        <v>PT MAJU JAYA TEKNOLOGI</v>
      </c>
      <c r="O1596" s="222" t="str">
        <f>IFERROR(__xludf.DUMMYFUNCTION("""COMPUTED_VALUE"""),"3. PERIZINAN")</f>
        <v>3. PERIZINAN</v>
      </c>
      <c r="P1596" s="222" t="str">
        <f>IFERROR(__xludf.DUMMYFUNCTION("""COMPUTED_VALUE"""),"3.1 Submit permohon ke PU")</f>
        <v>3.1 Submit permohon ke PU</v>
      </c>
      <c r="Q1596" s="222" t="str">
        <f>IFERROR(__xludf.DUMMYFUNCTION("""COMPUTED_VALUE"""),"27/04 MASIH MENUNGGU BERKAS SURAT PU YG DI RILIS TIF, 24/04 berkas surat pu nasional belum rilis dari tif (bang arif HAI), 09/04 KOORDINASI DG PAK ARIF (TIF HAI)TERKAIT PEMBERKASAN PERIZINAN PU,  08/04 KOORDINASI DG PAK ARIF TERKAIT PERIZINAN PU, 06/04 PL"&amp;"AN HARI INI BERTEMU PAK ARIF - KOORDINASI MENGENAI PERIZINAN PU, 01/04 MASIH MELENGKAPI DOKUMEN, 30/03 MASIH MELENGKAPI DOKUMEN, 27/03 BLM ADA INFO TSEL (PAK ARIF) TERKAIT KELANJUTAN PERIZINAN, 25/03 BLM ADA INFO TSEL TERKAIT KELANJUTAN PERIZINAN, 21/03 S"&amp;"DH SUBMIT PERIZINAN KE TSEL TINGGAL MENUNGGU KONFIRMASI KELANJUTANNYA, 17/03 MASIH MENUNGGU KONFIRMASI DARI TSEL, 13/03 MASIH MENUNGGU KONFIRMASI DARI TSEL, 11/03 SUDAH SUBMIT PERIZINAN KE TSEL, 10/03 OGP MELENGKAPI DOKUMEN PERIZINAN, 03/03 HASIL REVIEW T"&amp;"IF LANJUT PERIZINAN PU, 28/2 Riview TIF 2 Mar 26/02 MASIH MENUNGGU PU, 25/02 MASIH MENUNGGU PU, 06/02 HASIL REVIEW TSEL - PERIZINAN PU NASIONAL, 04/02 DONE EVAL, BERUBAH MENJADI PT3, NEW DIST, MASUK RUAS PU NASIONAL, SECARA NILAI BOQ ADA PENURUNAN 34% DAN"&amp;" CPP 1,5 JT,TOTAL ODP PLAN 35 MENJADI 21 (15/01) MINI OLT EXISTING, sisa survey jalur dist 04/02 DONE EVAL, BERUBAH MENJADI PT3, NEW DIST, MASUK RUAS PU NASIONAL, SECARA NILAI BOQ ADA PENURUNAN 34% DAN CPP 1,5 JT,TOTAL ODP PLAN 35 MENJADI 21, 30/01 DONE A"&amp;"ANWIDJZING, 26/1 tim TIF belum bisa EVAL hasil anwijzing karena lagi diluar kota , estimasi 29 jan baru kembali ke Palembang(24/1) plan aawijdizng 28/1 (21/01) menunggu antrian untuk aanwizjing, (20/1) MJT setuju (15/1) ORDER DITERIMA 14/1 ,PLAN AANWIJDZI"&amp;"NG 21 JAN 26 (26/11) ORDER HOLD , FLAGGING ""TIDAK LANJUT DARI PED"" (25/11 MJT setuju, 24/11 penunjukkan mitra MJT, (14/11) MItra MJS blm ambil pekerjaan baru terkait close pekerjaan lama , LOP juga tidak masuk list optimis close 2025 ( 13/11 Masih Penun"&amp;"jukkan MITRA (11/11) Penunjukkan MITRA oleh Procurement 23/10 mitra triputra menolak ambil lop ini, saat ini lagi penunjukan mitra baru 
 15/10 belum ada jadwal aanwizjing
 (08/10) menunggu jadwal aanwizjing
 (01/10) menunggu jadwal aanwizjing
 (19/09) pe"&amp;"njadwalan untuk aanizjing
 14/01 Surat lanjut kerja oleh procurement")</f>
        <v>27/04 MASIH MENUNGGU BERKAS SURAT PU YG DI RILIS TIF, 24/04 berkas surat pu nasional belum rilis dari tif (bang arif HAI), 09/04 KOORDINASI DG PAK ARIF (TIF HAI)TERKAIT PEMBERKASAN PERIZINAN PU,  08/04 KOORDINASI DG PAK ARIF TERKAIT PERIZINAN PU, 06/04 PLAN HARI INI BERTEMU PAK ARIF - KOORDINASI MENGENAI PERIZINAN PU, 01/04 MASIH MELENGKAPI DOKUMEN, 30/03 MASIH MELENGKAPI DOKUMEN, 27/03 BLM ADA INFO TSEL (PAK ARIF) TERKAIT KELANJUTAN PERIZINAN, 25/03 BLM ADA INFO TSEL TERKAIT KELANJUTAN PERIZINAN, 21/03 SDH SUBMIT PERIZINAN KE TSEL TINGGAL MENUNGGU KONFIRMASI KELANJUTANNYA, 17/03 MASIH MENUNGGU KONFIRMASI DARI TSEL, 13/03 MASIH MENUNGGU KONFIRMASI DARI TSEL, 11/03 SUDAH SUBMIT PERIZINAN KE TSEL, 10/03 OGP MELENGKAPI DOKUMEN PERIZINAN, 03/03 HASIL REVIEW TIF LANJUT PERIZINAN PU, 28/2 Riview TIF 2 Mar 26/02 MASIH MENUNGGU PU, 25/02 MASIH MENUNGGU PU, 06/02 HASIL REVIEW TSEL - PERIZINAN PU NASIONAL, 04/02 DONE EVAL, BERUBAH MENJADI PT3, NEW DIST, MASUK RUAS PU NASIONAL, SECARA NILAI BOQ ADA PENURUNAN 34% DAN CPP 1,5 JT,TOTAL ODP PLAN 35 MENJADI 21 (15/01) MINI OLT EXISTING, sisa survey jalur dist 04/02 DONE EVAL, BERUBAH MENJADI PT3, NEW DIST, MASUK RUAS PU NASIONAL, SECARA NILAI BOQ ADA PENURUNAN 34% DAN CPP 1,5 JT,TOTAL ODP PLAN 35 MENJADI 21, 30/01 DONE AANWIDJZING, 26/1 tim TIF belum bisa EVAL hasil anwijzing karena lagi diluar kota , estimasi 29 jan baru kembali ke Palembang(24/1) plan aawijdizng 28/1 (21/01) menunggu antrian untuk aanwizjing, (20/1) MJT setuju (15/1) ORDER DITERIMA 14/1 ,PLAN AANWIJDZING 21 JAN 26 (26/11) ORDER HOLD , FLAGGING "TIDAK LANJUT DARI PED" (25/11 MJT setuju, 24/11 penunjukkan mitra MJT, (14/11) MItra MJS blm ambil pekerjaan baru terkait close pekerjaan lama , LOP juga tidak masuk list optimis close 2025 ( 13/11 Masih Penunjukkan MITRA (11/11) Penunjukkan MITRA oleh Procurement 23/10 mitra triputra menolak ambil lop ini, saat ini lagi penunjukan mitra baru 
 15/10 belum ada jadwal aanwizjing
 (08/10) menunggu jadwal aanwizjing
 (01/10) menunggu jadwal aanwizjing
 (19/09) penjadwalan untuk aanizjing
 14/01 Surat lanjut kerja oleh procurement</v>
      </c>
      <c r="R1596" s="228"/>
      <c r="S1596" s="11"/>
      <c r="T1596" s="11" t="str">
        <f>IFERROR(__xludf.DUMMYFUNCTION("""COMPUTED_VALUE"""),"P1")</f>
        <v>P1</v>
      </c>
      <c r="U1596" s="11"/>
      <c r="V1596" s="229" t="str">
        <f>IFERROR(__xludf.DUMMYFUNCTION("""COMPUTED_VALUE"""),"TEGAR")</f>
        <v>TEGAR</v>
      </c>
      <c r="W1596" s="229"/>
      <c r="X1596" s="229" t="str">
        <f>IFERROR(__xludf.DUMMYFUNCTION("""COMPUTED_VALUE"""),"BELUM GOLIVE")</f>
        <v>BELUM GOLIVE</v>
      </c>
      <c r="Y1596" s="229"/>
      <c r="Z1596" s="229"/>
      <c r="AA1596" s="229"/>
      <c r="AB1596" s="229"/>
      <c r="AC1596" s="229"/>
      <c r="AD1596" s="232"/>
      <c r="AE1596" s="233"/>
      <c r="AF1596" s="54"/>
      <c r="AG1596" s="54"/>
      <c r="AH1596" s="54"/>
      <c r="AI1596" s="55" t="str">
        <f t="shared" si="156"/>
        <v/>
      </c>
      <c r="AW1596" s="234"/>
      <c r="BP1596" s="11"/>
      <c r="BQ1596" s="11"/>
      <c r="BR1596" s="235"/>
      <c r="BV1596" s="158"/>
      <c r="BY1596" s="158"/>
      <c r="CB1596" s="158"/>
    </row>
    <row r="1597" ht="18.0" customHeight="1">
      <c r="A1597" s="222">
        <f>IFERROR(__xludf.DUMMYFUNCTION("""COMPUTED_VALUE"""),2026.0)</f>
        <v>2026</v>
      </c>
      <c r="B1597" s="221">
        <f>IFERROR(__xludf.DUMMYFUNCTION("""COMPUTED_VALUE"""),1.1521956E7)</f>
        <v>11521956</v>
      </c>
      <c r="C1597" s="222" t="str">
        <f>IFERROR(__xludf.DUMMYFUNCTION("""COMPUTED_VALUE"""),"SMB STTF PERUM LANGGAM KINALI 2")</f>
        <v>SMB STTF PERUM LANGGAM KINALI 2</v>
      </c>
      <c r="D1597" s="222" t="str">
        <f>IFERROR(__xludf.DUMMYFUNCTION("""COMPUTED_VALUE"""),"REGIONAL I")</f>
        <v>REGIONAL I</v>
      </c>
      <c r="E1597" s="222" t="str">
        <f>IFERROR(__xludf.DUMMYFUNCTION("""COMPUTED_VALUE"""),"SUMBAR")</f>
        <v>SUMBAR</v>
      </c>
      <c r="F1597" s="222" t="str">
        <f>IFERROR(__xludf.DUMMYFUNCTION("""COMPUTED_VALUE"""),"KNL")</f>
        <v>KNL</v>
      </c>
      <c r="G1597" s="222" t="str">
        <f>IFERROR(__xludf.DUMMYFUNCTION("""COMPUTED_VALUE"""),"SUMBAGTENG")</f>
        <v>SUMBAGTENG</v>
      </c>
      <c r="H1597" s="222" t="str">
        <f>IFERROR(__xludf.DUMMYFUNCTION("""COMPUTED_VALUE"""),"BUKIT TINGGI")</f>
        <v>BUKIT TINGGI</v>
      </c>
      <c r="I1597" s="222" t="str">
        <f>IFERROR(__xludf.DUMMYFUNCTION("""COMPUTED_VALUE"""),"Batch 2")</f>
        <v>Batch 2</v>
      </c>
      <c r="J1597" s="225">
        <f>IFERROR(__xludf.DUMMYFUNCTION("""COMPUTED_VALUE"""),5.0)</f>
        <v>5</v>
      </c>
      <c r="K1597" s="224">
        <f>IFERROR(__xludf.DUMMYFUNCTION("""COMPUTED_VALUE"""),40.0)</f>
        <v>40</v>
      </c>
      <c r="L1597" s="226">
        <f>IFERROR(__xludf.DUMMYFUNCTION("""COMPUTED_VALUE"""),555472.0)</f>
        <v>555472</v>
      </c>
      <c r="M1597" s="227">
        <f>IFERROR(__xludf.DUMMYFUNCTION("""COMPUTED_VALUE"""),2.2218841E7)</f>
        <v>22218841</v>
      </c>
      <c r="N1597" s="222" t="str">
        <f>IFERROR(__xludf.DUMMYFUNCTION("""COMPUTED_VALUE"""),"PT PUTRI JAYA AKSES")</f>
        <v>PT PUTRI JAYA AKSES</v>
      </c>
      <c r="O1597" s="222" t="str">
        <f>IFERROR(__xludf.DUMMYFUNCTION("""COMPUTED_VALUE"""),"2. DONE AANWIJZING")</f>
        <v>2. DONE AANWIJZING</v>
      </c>
      <c r="P1597" s="222" t="str">
        <f>IFERROR(__xludf.DUMMYFUNCTION("""COMPUTED_VALUE"""),"2.9 Kendala - Distribusi Penuh / Rusak")</f>
        <v>2.9 Kendala - Distribusi Penuh / Rusak</v>
      </c>
      <c r="Q1597" s="222" t="str">
        <f>IFERROR(__xludf.DUMMYFUNCTION("""COMPUTED_VALUE"""),"(27/01) kendala distribusi penuh. BUTUH NEW DIST, CORE DIST 2 BNYAK TIPUS DAN TINGGAL 4 CORE")</f>
        <v>(27/01) kendala distribusi penuh. BUTUH NEW DIST, CORE DIST 2 BNYAK TIPUS DAN TINGGAL 4 CORE</v>
      </c>
      <c r="R1597" s="228"/>
      <c r="S1597" s="11"/>
      <c r="T1597" s="11"/>
      <c r="U1597" s="11"/>
      <c r="V1597" s="229"/>
      <c r="W1597" s="229"/>
      <c r="X1597" s="229" t="str">
        <f>IFERROR(__xludf.DUMMYFUNCTION("""COMPUTED_VALUE"""),"BELUM GOLIVE")</f>
        <v>BELUM GOLIVE</v>
      </c>
      <c r="Y1597" s="229"/>
      <c r="Z1597" s="229" t="str">
        <f>IFERROR(__xludf.DUMMYFUNCTION("""COMPUTED_VALUE"""),"#N/A")</f>
        <v>#N/A</v>
      </c>
      <c r="AA1597" s="229"/>
      <c r="AB1597" s="229"/>
      <c r="AC1597" s="229"/>
      <c r="AD1597" s="232"/>
      <c r="AE1597" s="233"/>
      <c r="AF1597" s="54"/>
      <c r="AG1597" s="54"/>
      <c r="AH1597" s="54">
        <v>46119.0</v>
      </c>
      <c r="AI1597" s="55" t="str">
        <f t="shared" si="156"/>
        <v/>
      </c>
      <c r="AJ1597" s="229" t="str">
        <f t="shared" ref="AJ1597:AJ1598" si="157">if(AI1597&gt;=0,"Gl in Komitmen","Gl out komitmen")</f>
        <v>Gl in Komitmen</v>
      </c>
      <c r="AW1597" s="234"/>
      <c r="BP1597" s="11"/>
      <c r="BQ1597" s="11"/>
      <c r="BR1597" s="235"/>
      <c r="BV1597" s="158"/>
      <c r="BY1597" s="158"/>
      <c r="CB1597" s="158"/>
    </row>
    <row r="1598" ht="18.0" customHeight="1">
      <c r="A1598" s="222">
        <f>IFERROR(__xludf.DUMMYFUNCTION("""COMPUTED_VALUE"""),2026.0)</f>
        <v>2026</v>
      </c>
      <c r="B1598" s="221">
        <f>IFERROR(__xludf.DUMMYFUNCTION("""COMPUTED_VALUE"""),1.1202102E7)</f>
        <v>11202102</v>
      </c>
      <c r="C1598" s="222" t="str">
        <f>IFERROR(__xludf.DUMMYFUNCTION("""COMPUTED_VALUE"""),"RKP PT3 TSEL BTC-FCV STARTWORK KALIBAN")</f>
        <v>RKP PT3 TSEL BTC-FCV STARTWORK KALIBAN</v>
      </c>
      <c r="D1598" s="222" t="str">
        <f>IFERROR(__xludf.DUMMYFUNCTION("""COMPUTED_VALUE"""),"REGIONAL I")</f>
        <v>REGIONAL I</v>
      </c>
      <c r="E1598" s="222" t="str">
        <f>IFERROR(__xludf.DUMMYFUNCTION("""COMPUTED_VALUE"""),"RIKEP")</f>
        <v>RIKEP</v>
      </c>
      <c r="F1598" s="222" t="str">
        <f>IFERROR(__xludf.DUMMYFUNCTION("""COMPUTED_VALUE"""),"BTC")</f>
        <v>BTC</v>
      </c>
      <c r="G1598" s="222" t="str">
        <f>IFERROR(__xludf.DUMMYFUNCTION("""COMPUTED_VALUE"""),"SUMBAGTENG")</f>
        <v>SUMBAGTENG</v>
      </c>
      <c r="H1598" s="222" t="str">
        <f>IFERROR(__xludf.DUMMYFUNCTION("""COMPUTED_VALUE"""),"BATAM")</f>
        <v>BATAM</v>
      </c>
      <c r="I1598" s="222" t="str">
        <f>IFERROR(__xludf.DUMMYFUNCTION("""COMPUTED_VALUE"""),"Batch 2")</f>
        <v>Batch 2</v>
      </c>
      <c r="J1598" s="225">
        <f>IFERROR(__xludf.DUMMYFUNCTION("""COMPUTED_VALUE"""),1.0)</f>
        <v>1</v>
      </c>
      <c r="K1598" s="224">
        <f>IFERROR(__xludf.DUMMYFUNCTION("""COMPUTED_VALUE"""),8.0)</f>
        <v>8</v>
      </c>
      <c r="L1598" s="226">
        <f>IFERROR(__xludf.DUMMYFUNCTION("""COMPUTED_VALUE"""),1349297.0)</f>
        <v>1349297</v>
      </c>
      <c r="M1598" s="227">
        <f>IFERROR(__xludf.DUMMYFUNCTION("""COMPUTED_VALUE"""),1.0794372E7)</f>
        <v>10794372</v>
      </c>
      <c r="N1598" s="222" t="str">
        <f>IFERROR(__xludf.DUMMYFUNCTION("""COMPUTED_VALUE"""),"PT MITRA SETIA INDONESIA")</f>
        <v>PT MITRA SETIA INDONESIA</v>
      </c>
      <c r="O1598" s="222" t="str">
        <f>IFERROR(__xludf.DUMMYFUNCTION("""COMPUTED_VALUE"""),"7. GOLIVE")</f>
        <v>7. GOLIVE</v>
      </c>
      <c r="P1598" s="222" t="str">
        <f>IFERROR(__xludf.DUMMYFUNCTION("""COMPUTED_VALUE"""),"7.2 Golive Full / OA / DONE OTB")</f>
        <v>7.2 Golive Full / OA / DONE OTB</v>
      </c>
      <c r="Q1598" s="222" t="str">
        <f>IFERROR(__xludf.DUMMYFUNCTION("""COMPUTED_VALUE"""),"07/04 MEenunggu golive ABD done 
31/03 Plan FI tanggal 02 Apr, Plan GL 03 Apr. 30/03 Proses galian lubang tiang. 27/03 MP mitra cuma ada 1 serial masih mengerjakan LOP lain / tematik lain. 05/03 izin OK, proses req material MP serial. 26/02 Izin OK core O"&amp;"K. 21/02 Peralihan mitra karena mitra tidak ada MP, dari mitra PT ALTONG ke PT MSI. 09/02 LOP blm di survey PT altong. 28/01 Plan survey tgl 29 Jan. 26/01  Mitra PT Altong menolak order alasan MP, peralihan mitra. 21/01 plan fu perizinan tanggal 26 Jan")</f>
        <v>07/04 MEenunggu golive ABD done 
31/03 Plan FI tanggal 02 Apr, Plan GL 03 Apr. 30/03 Proses galian lubang tiang. 27/03 MP mitra cuma ada 1 serial masih mengerjakan LOP lain / tematik lain. 05/03 izin OK, proses req material MP serial. 26/02 Izin OK core OK. 21/02 Peralihan mitra karena mitra tidak ada MP, dari mitra PT ALTONG ke PT MSI. 09/02 LOP blm di survey PT altong. 28/01 Plan survey tgl 29 Jan. 26/01  Mitra PT Altong menolak order alasan MP, peralihan mitra. 21/01 plan fu perizinan tanggal 26 Jan</v>
      </c>
      <c r="R1598" s="228">
        <f>IFERROR(__xludf.DUMMYFUNCTION("""COMPUTED_VALUE"""),46119.0)</f>
        <v>46119</v>
      </c>
      <c r="S1598" s="11" t="str">
        <f>IFERROR(__xludf.DUMMYFUNCTION("""COMPUTED_VALUE"""),"APR")</f>
        <v>APR</v>
      </c>
      <c r="T1598" s="73"/>
      <c r="U1598" s="11" t="str">
        <f>IFERROR(__xludf.DUMMYFUNCTION("""COMPUTED_VALUE"""),"W09-271/2026
")</f>
        <v>W09-271/2026
</v>
      </c>
      <c r="V1598" s="229" t="str">
        <f>IFERROR(__xludf.DUMMYFUNCTION("""COMPUTED_VALUE"""),"GANI PRASTYO")</f>
        <v>GANI PRASTYO</v>
      </c>
      <c r="W1598" s="229" t="str">
        <f>IFERROR(__xludf.DUMMYFUNCTION("""COMPUTED_VALUE"""),"LEVITA INDRIYANI")</f>
        <v>LEVITA INDRIYANI</v>
      </c>
      <c r="X1598" s="229" t="str">
        <f>IFERROR(__xludf.DUMMYFUNCTION("""COMPUTED_VALUE"""),"GOLIVE")</f>
        <v>GOLIVE</v>
      </c>
      <c r="Y1598" s="229" t="str">
        <f>IFERROR(__xludf.DUMMYFUNCTION("""COMPUTED_VALUE"""),"DONE")</f>
        <v>DONE</v>
      </c>
      <c r="Z1598" s="229" t="str">
        <f>IFERROR(__xludf.DUMMYFUNCTION("""COMPUTED_VALUE"""),"#N/A")</f>
        <v>#N/A</v>
      </c>
      <c r="AA1598" s="229">
        <f>IFERROR(__xludf.DUMMYFUNCTION("""COMPUTED_VALUE"""),1.0)</f>
        <v>1</v>
      </c>
      <c r="AB1598" s="229"/>
      <c r="AC1598" s="229" t="str">
        <f>IFERROR(__xludf.DUMMYFUNCTION("""COMPUTED_VALUE"""),"9198145#9198150")</f>
        <v>9198145#9198150</v>
      </c>
      <c r="AD1598" s="232">
        <f>IFERROR(__xludf.DUMMYFUNCTION("""COMPUTED_VALUE"""),8.0)</f>
        <v>8</v>
      </c>
      <c r="AE1598" s="233">
        <f>IFERROR(__xludf.DUMMYFUNCTION("""COMPUTED_VALUE"""),46119.0)</f>
        <v>46119</v>
      </c>
      <c r="AF1598" s="54"/>
      <c r="AG1598" s="54"/>
      <c r="AH1598" s="54">
        <v>46119.0</v>
      </c>
      <c r="AI1598" s="55">
        <f>IF(OR(AH1598="",AE1598=""),"",AH1598-AE1598)</f>
        <v>0</v>
      </c>
      <c r="AJ1598" s="229" t="str">
        <f t="shared" si="157"/>
        <v>Gl in Komitmen</v>
      </c>
      <c r="AK1598" s="231" t="s">
        <v>199</v>
      </c>
      <c r="AW1598" s="234"/>
      <c r="BP1598" s="11"/>
      <c r="BQ1598" s="11"/>
      <c r="BR1598" s="235"/>
      <c r="BV1598" s="158"/>
      <c r="BY1598" s="158"/>
      <c r="CB1598" s="158"/>
    </row>
    <row r="1599" ht="18.0" customHeight="1">
      <c r="A1599" s="222">
        <f>IFERROR(__xludf.DUMMYFUNCTION("""COMPUTED_VALUE"""),2026.0)</f>
        <v>2026</v>
      </c>
      <c r="B1599" s="221">
        <f>IFERROR(__xludf.DUMMYFUNCTION("""COMPUTED_VALUE"""),1.1333595E7)</f>
        <v>11333595</v>
      </c>
      <c r="C1599" s="222" t="str">
        <f>IFERROR(__xludf.DUMMYFUNCTION("""COMPUTED_VALUE"""),"SMB P2I1 Graha Jaya Lubuk Buaya")</f>
        <v>SMB P2I1 Graha Jaya Lubuk Buaya</v>
      </c>
      <c r="D1599" s="222" t="str">
        <f>IFERROR(__xludf.DUMMYFUNCTION("""COMPUTED_VALUE"""),"REGIONAL I")</f>
        <v>REGIONAL I</v>
      </c>
      <c r="E1599" s="222" t="str">
        <f>IFERROR(__xludf.DUMMYFUNCTION("""COMPUTED_VALUE"""),"SUMBAR")</f>
        <v>SUMBAR</v>
      </c>
      <c r="F1599" s="222" t="str">
        <f>IFERROR(__xludf.DUMMYFUNCTION("""COMPUTED_VALUE"""),"LBY")</f>
        <v>LBY</v>
      </c>
      <c r="G1599" s="222" t="str">
        <f>IFERROR(__xludf.DUMMYFUNCTION("""COMPUTED_VALUE"""),"SUMBAGTENG")</f>
        <v>SUMBAGTENG</v>
      </c>
      <c r="H1599" s="222" t="str">
        <f>IFERROR(__xludf.DUMMYFUNCTION("""COMPUTED_VALUE"""),"PADANG")</f>
        <v>PADANG</v>
      </c>
      <c r="I1599" s="222" t="str">
        <f>IFERROR(__xludf.DUMMYFUNCTION("""COMPUTED_VALUE"""),"Batch 2")</f>
        <v>Batch 2</v>
      </c>
      <c r="J1599" s="225">
        <f>IFERROR(__xludf.DUMMYFUNCTION("""COMPUTED_VALUE"""),4.0)</f>
        <v>4</v>
      </c>
      <c r="K1599" s="224">
        <f>IFERROR(__xludf.DUMMYFUNCTION("""COMPUTED_VALUE"""),32.0)</f>
        <v>32</v>
      </c>
      <c r="L1599" s="226">
        <f>IFERROR(__xludf.DUMMYFUNCTION("""COMPUTED_VALUE"""),555190.0)</f>
        <v>555190</v>
      </c>
      <c r="M1599" s="227">
        <f>IFERROR(__xludf.DUMMYFUNCTION("""COMPUTED_VALUE"""),1.7766063E7)</f>
        <v>17766063</v>
      </c>
      <c r="N1599" s="222" t="str">
        <f>IFERROR(__xludf.DUMMYFUNCTION("""COMPUTED_VALUE"""),"PT PUTRI JAYA AKSES")</f>
        <v>PT PUTRI JAYA AKSES</v>
      </c>
      <c r="O1599" s="222" t="str">
        <f>IFERROR(__xludf.DUMMYFUNCTION("""COMPUTED_VALUE"""),"0. DROP")</f>
        <v>0. DROP</v>
      </c>
      <c r="P1599" s="222" t="str">
        <f>IFERROR(__xludf.DUMMYFUNCTION("""COMPUTED_VALUE"""),"0.2 Tidak Dapat Izin Warga/Kades/Lurah/Developer")</f>
        <v>0.2 Tidak Dapat Izin Warga/Kades/Lurah/Developer</v>
      </c>
      <c r="Q1599" s="222" t="str">
        <f>IFERROR(__xludf.DUMMYFUNCTION("""COMPUTED_VALUE"""),"(29/01) Lkendala Tidak dapat izin tanam tiang sama pemilik lahan")</f>
        <v>(29/01) Lkendala Tidak dapat izin tanam tiang sama pemilik lahan</v>
      </c>
      <c r="R1599" s="228"/>
      <c r="S1599" s="11"/>
      <c r="T1599" s="11"/>
      <c r="U1599" s="11"/>
      <c r="V1599" s="229" t="str">
        <f>IFERROR(__xludf.DUMMYFUNCTION("""COMPUTED_VALUE"""),"JANUAR RIZAL")</f>
        <v>JANUAR RIZAL</v>
      </c>
      <c r="W1599" s="229" t="str">
        <f>IFERROR(__xludf.DUMMYFUNCTION("""COMPUTED_VALUE"""),"MELKO NARWADI")</f>
        <v>MELKO NARWADI</v>
      </c>
      <c r="X1599" s="229" t="str">
        <f>IFERROR(__xludf.DUMMYFUNCTION("""COMPUTED_VALUE"""),"BELUM GOLIVE")</f>
        <v>BELUM GOLIVE</v>
      </c>
      <c r="Y1599" s="229"/>
      <c r="Z1599" s="229" t="str">
        <f>IFERROR(__xludf.DUMMYFUNCTION("""COMPUTED_VALUE"""),"#N/A")</f>
        <v>#N/A</v>
      </c>
      <c r="AA1599" s="229"/>
      <c r="AB1599" s="229"/>
      <c r="AC1599" s="229"/>
      <c r="AD1599" s="232"/>
      <c r="AE1599" s="233"/>
      <c r="AF1599" s="54" t="str">
        <f>IFERROR(__xludf.DUMMYFUNCTION("""COMPUTED_VALUE"""),"Draft BA DROP")</f>
        <v>Draft BA DROP</v>
      </c>
      <c r="AG1599" s="54"/>
      <c r="AH1599" s="54"/>
      <c r="AI1599" s="55" t="str">
        <f t="shared" ref="AI1599:AI1601" si="158">IF(OR(R1599="",AE1599=""),"",R1599-AE1599)</f>
        <v/>
      </c>
      <c r="AW1599" s="234"/>
      <c r="BP1599" s="11"/>
      <c r="BQ1599" s="11"/>
      <c r="BR1599" s="235"/>
      <c r="BV1599" s="158"/>
      <c r="BY1599" s="158"/>
      <c r="CB1599" s="158"/>
    </row>
    <row r="1600" ht="18.0" customHeight="1">
      <c r="A1600" s="222">
        <f>IFERROR(__xludf.DUMMYFUNCTION("""COMPUTED_VALUE"""),2026.0)</f>
        <v>2026</v>
      </c>
      <c r="B1600" s="221">
        <f>IFERROR(__xludf.DUMMYFUNCTION("""COMPUTED_VALUE"""),1.2110125E7)</f>
        <v>12110125</v>
      </c>
      <c r="C1600" s="222" t="str">
        <f>IFERROR(__xludf.DUMMYFUNCTION("""COMPUTED_VALUE"""),"SMB PT3-ODC-TRS-FA PESISIR SELATAN_98979")</f>
        <v>SMB PT3-ODC-TRS-FA PESISIR SELATAN_98979</v>
      </c>
      <c r="D1600" s="222" t="str">
        <f>IFERROR(__xludf.DUMMYFUNCTION("""COMPUTED_VALUE"""),"REGIONAL I")</f>
        <v>REGIONAL I</v>
      </c>
      <c r="E1600" s="222" t="str">
        <f>IFERROR(__xludf.DUMMYFUNCTION("""COMPUTED_VALUE"""),"SUMBAR")</f>
        <v>SUMBAR</v>
      </c>
      <c r="F1600" s="222" t="str">
        <f>IFERROR(__xludf.DUMMYFUNCTION("""COMPUTED_VALUE"""),"TRS")</f>
        <v>TRS</v>
      </c>
      <c r="G1600" s="222" t="str">
        <f>IFERROR(__xludf.DUMMYFUNCTION("""COMPUTED_VALUE"""),"SUMBAGTENG")</f>
        <v>SUMBAGTENG</v>
      </c>
      <c r="H1600" s="222" t="str">
        <f>IFERROR(__xludf.DUMMYFUNCTION("""COMPUTED_VALUE"""),"PADANG")</f>
        <v>PADANG</v>
      </c>
      <c r="I1600" s="222" t="str">
        <f>IFERROR(__xludf.DUMMYFUNCTION("""COMPUTED_VALUE"""),"Batch 2")</f>
        <v>Batch 2</v>
      </c>
      <c r="J1600" s="225">
        <f>IFERROR(__xludf.DUMMYFUNCTION("""COMPUTED_VALUE"""),21.0)</f>
        <v>21</v>
      </c>
      <c r="K1600" s="224">
        <f>IFERROR(__xludf.DUMMYFUNCTION("""COMPUTED_VALUE"""),168.0)</f>
        <v>168</v>
      </c>
      <c r="L1600" s="226">
        <f>IFERROR(__xludf.DUMMYFUNCTION("""COMPUTED_VALUE"""),553430.0)</f>
        <v>553430</v>
      </c>
      <c r="M1600" s="227">
        <f>IFERROR(__xludf.DUMMYFUNCTION("""COMPUTED_VALUE"""),9.2976235E7)</f>
        <v>92976235</v>
      </c>
      <c r="N1600" s="222" t="str">
        <f>IFERROR(__xludf.DUMMYFUNCTION("""COMPUTED_VALUE"""),"PT ACERO CETHA METALINDO")</f>
        <v>PT ACERO CETHA METALINDO</v>
      </c>
      <c r="O1600" s="222" t="str">
        <f>IFERROR(__xludf.DUMMYFUNCTION("""COMPUTED_VALUE"""),"4. MATDEL")</f>
        <v>4. MATDEL</v>
      </c>
      <c r="P1600" s="222" t="str">
        <f>IFERROR(__xludf.DUMMYFUNCTION("""COMPUTED_VALUE"""),"4.4 Proses Pengiriman Pabribak ke WH")</f>
        <v>4.4 Proses Pengiriman Pabribak ke WH</v>
      </c>
      <c r="Q1600" s="222" t="str">
        <f>IFERROR(__xludf.DUMMYFUNCTION("""COMPUTED_VALUE"""),"(27/04) menunggu PO kabel 24 ADSS (20/04) sudah aanwijziing, proses eval  (10/04) Proses aanwijziing , LOP HOLD FEEDER FULL ACC GO (26/01) feeder TRS-FA Ful")</f>
        <v>(27/04) menunggu PO kabel 24 ADSS (20/04) sudah aanwijziing, proses eval  (10/04) Proses aanwijziing , LOP HOLD FEEDER FULL ACC GO (26/01) feeder TRS-FA Ful</v>
      </c>
      <c r="R1600" s="228"/>
      <c r="S1600" s="11"/>
      <c r="T1600" s="11"/>
      <c r="U1600" s="11"/>
      <c r="V1600" s="229" t="str">
        <f>IFERROR(__xludf.DUMMYFUNCTION("""COMPUTED_VALUE"""),"PRAMADIO SEPWILMAN")</f>
        <v>PRAMADIO SEPWILMAN</v>
      </c>
      <c r="W1600" s="229" t="str">
        <f>IFERROR(__xludf.DUMMYFUNCTION("""COMPUTED_VALUE"""),"MELKO NARWADI")</f>
        <v>MELKO NARWADI</v>
      </c>
      <c r="X1600" s="229" t="str">
        <f>IFERROR(__xludf.DUMMYFUNCTION("""COMPUTED_VALUE"""),"BELUM GOLIVE")</f>
        <v>BELUM GOLIVE</v>
      </c>
      <c r="Y1600" s="229"/>
      <c r="Z1600" s="229" t="str">
        <f>IFERROR(__xludf.DUMMYFUNCTION("""COMPUTED_VALUE"""),"#N/A")</f>
        <v>#N/A</v>
      </c>
      <c r="AA1600" s="229"/>
      <c r="AB1600" s="229"/>
      <c r="AC1600" s="229"/>
      <c r="AD1600" s="232"/>
      <c r="AE1600" s="233"/>
      <c r="AF1600" s="54" t="str">
        <f>IFERROR(__xludf.DUMMYFUNCTION("""COMPUTED_VALUE"""),"Draft BA DROP")</f>
        <v>Draft BA DROP</v>
      </c>
      <c r="AG1600" s="54"/>
      <c r="AH1600" s="54"/>
      <c r="AI1600" s="55" t="str">
        <f t="shared" si="158"/>
        <v/>
      </c>
      <c r="AW1600" s="234"/>
      <c r="BP1600" s="11"/>
      <c r="BQ1600" s="11"/>
      <c r="BR1600" s="235"/>
      <c r="BV1600" s="158"/>
      <c r="BY1600" s="158"/>
      <c r="CB1600" s="158"/>
    </row>
    <row r="1601" ht="18.0" hidden="1" customHeight="1">
      <c r="A1601" s="222">
        <f>IFERROR(__xludf.DUMMYFUNCTION("""COMPUTED_VALUE"""),2026.0)</f>
        <v>2026</v>
      </c>
      <c r="B1601" s="221">
        <f>IFERROR(__xludf.DUMMYFUNCTION("""COMPUTED_VALUE"""),1.2133362E7)</f>
        <v>12133362</v>
      </c>
      <c r="C1601" s="222" t="str">
        <f>IFERROR(__xludf.DUMMYFUNCTION("""COMPUTED_VALUE"""),"LPG PT3 JPP Selat Gasfar Batch 2 PJN")</f>
        <v>LPG PT3 JPP Selat Gasfar Batch 2 PJN</v>
      </c>
      <c r="D1601" s="222" t="str">
        <f>IFERROR(__xludf.DUMMYFUNCTION("""COMPUTED_VALUE"""),"REGIONAL I")</f>
        <v>REGIONAL I</v>
      </c>
      <c r="E1601" s="222" t="str">
        <f>IFERROR(__xludf.DUMMYFUNCTION("""COMPUTED_VALUE"""),"LAMPUNG")</f>
        <v>LAMPUNG</v>
      </c>
      <c r="F1601" s="222" t="str">
        <f>IFERROR(__xludf.DUMMYFUNCTION("""COMPUTED_VALUE"""),"PJN")</f>
        <v>PJN</v>
      </c>
      <c r="G1601" s="222" t="str">
        <f>IFERROR(__xludf.DUMMYFUNCTION("""COMPUTED_VALUE"""),"SUMBAGSEL")</f>
        <v>SUMBAGSEL</v>
      </c>
      <c r="H1601" s="222" t="str">
        <f>IFERROR(__xludf.DUMMYFUNCTION("""COMPUTED_VALUE"""),"LAMPUNG")</f>
        <v>LAMPUNG</v>
      </c>
      <c r="I1601" s="222" t="str">
        <f>IFERROR(__xludf.DUMMYFUNCTION("""COMPUTED_VALUE"""),"Batch 2")</f>
        <v>Batch 2</v>
      </c>
      <c r="J1601" s="225">
        <f>IFERROR(__xludf.DUMMYFUNCTION("""COMPUTED_VALUE"""),2.0)</f>
        <v>2</v>
      </c>
      <c r="K1601" s="224">
        <f>IFERROR(__xludf.DUMMYFUNCTION("""COMPUTED_VALUE"""),16.0)</f>
        <v>16</v>
      </c>
      <c r="L1601" s="226">
        <f>IFERROR(__xludf.DUMMYFUNCTION("""COMPUTED_VALUE"""),553396.0)</f>
        <v>553396</v>
      </c>
      <c r="M1601" s="227">
        <f>IFERROR(__xludf.DUMMYFUNCTION("""COMPUTED_VALUE"""),8854322.0)</f>
        <v>8854322</v>
      </c>
      <c r="N1601" s="222" t="str">
        <f>IFERROR(__xludf.DUMMYFUNCTION("""COMPUTED_VALUE"""),"PT BANGTELINDO")</f>
        <v>PT BANGTELINDO</v>
      </c>
      <c r="O1601" s="222" t="str">
        <f>IFERROR(__xludf.DUMMYFUNCTION("""COMPUTED_VALUE"""),"0. DROP")</f>
        <v>0. DROP</v>
      </c>
      <c r="P1601" s="222" t="str">
        <f>IFERROR(__xludf.DUMMYFUNCTION("""COMPUTED_VALUE"""),"0.3 Feeder Full")</f>
        <v>0.3 Feeder Full</v>
      </c>
      <c r="Q1601" s="222" t="str">
        <f>IFERROR(__xludf.DUMMYFUNCTION("""COMPUTED_VALUE"""),"2/3 odc penuh dan feeder rusak konfir k tift
27/2 proses pengecekan core dan perizinan,, 24/2 masuk ODC PJN FH, 4/2 Distribusi &amp; feeder sudah tidak bisa di repair perlu pembangunan feeder &amp; ODC baru 
19/1 butuh repair distribusi fedeer atau pembangunan bi"&amp;"g odc ")</f>
        <v>2/3 odc penuh dan feeder rusak konfir k tift
27/2 proses pengecekan core dan perizinan,, 24/2 masuk ODC PJN FH, 4/2 Distribusi &amp; feeder sudah tidak bisa di repair perlu pembangunan feeder &amp; ODC baru 
19/1 butuh repair distribusi fedeer atau pembangunan big odc </v>
      </c>
      <c r="R1601" s="228"/>
      <c r="S1601" s="11"/>
      <c r="T1601" s="11"/>
      <c r="U1601" s="11"/>
      <c r="V1601" s="229"/>
      <c r="W1601" s="229"/>
      <c r="X1601" s="229" t="str">
        <f>IFERROR(__xludf.DUMMYFUNCTION("""COMPUTED_VALUE"""),"BELUM GOLIVE")</f>
        <v>BELUM GOLIVE</v>
      </c>
      <c r="Y1601" s="229"/>
      <c r="Z1601" s="229" t="str">
        <f>IFERROR(__xludf.DUMMYFUNCTION("""COMPUTED_VALUE"""),"#N/A")</f>
        <v>#N/A</v>
      </c>
      <c r="AA1601" s="229"/>
      <c r="AB1601" s="229"/>
      <c r="AC1601" s="229"/>
      <c r="AD1601" s="232"/>
      <c r="AE1601" s="233"/>
      <c r="AF1601" s="54" t="str">
        <f>IFERROR(__xludf.DUMMYFUNCTION("""COMPUTED_VALUE"""),"Draft BA DROP")</f>
        <v>Draft BA DROP</v>
      </c>
      <c r="AG1601" s="54"/>
      <c r="AH1601" s="54"/>
      <c r="AI1601" s="55" t="str">
        <f t="shared" si="158"/>
        <v/>
      </c>
      <c r="AW1601" s="234"/>
      <c r="BP1601" s="11"/>
      <c r="BQ1601" s="11"/>
      <c r="BR1601" s="235"/>
      <c r="BV1601" s="158"/>
      <c r="BY1601" s="158"/>
      <c r="CB1601" s="158"/>
    </row>
    <row r="1602" ht="18.0" customHeight="1">
      <c r="A1602" s="222">
        <f>IFERROR(__xludf.DUMMYFUNCTION("""COMPUTED_VALUE"""),2026.0)</f>
        <v>2026</v>
      </c>
      <c r="B1602" s="221">
        <f>IFERROR(__xludf.DUMMYFUNCTION("""COMPUTED_VALUE"""),1.1508128E7)</f>
        <v>11508128</v>
      </c>
      <c r="C1602" s="222" t="str">
        <f>IFERROR(__xludf.DUMMYFUNCTION("""COMPUTED_VALUE"""),"SMB MD - Febrima Sari Astriva-Zuslian")</f>
        <v>SMB MD - Febrima Sari Astriva-Zuslian</v>
      </c>
      <c r="D1602" s="222" t="str">
        <f>IFERROR(__xludf.DUMMYFUNCTION("""COMPUTED_VALUE"""),"REGIONAL I")</f>
        <v>REGIONAL I</v>
      </c>
      <c r="E1602" s="222" t="str">
        <f>IFERROR(__xludf.DUMMYFUNCTION("""COMPUTED_VALUE"""),"SUMBAR")</f>
        <v>SUMBAR</v>
      </c>
      <c r="F1602" s="222" t="str">
        <f>IFERROR(__xludf.DUMMYFUNCTION("""COMPUTED_VALUE"""),"SUM")</f>
        <v>SUM</v>
      </c>
      <c r="G1602" s="222" t="str">
        <f>IFERROR(__xludf.DUMMYFUNCTION("""COMPUTED_VALUE"""),"SUMBAGTENG")</f>
        <v>SUMBAGTENG</v>
      </c>
      <c r="H1602" s="222" t="str">
        <f>IFERROR(__xludf.DUMMYFUNCTION("""COMPUTED_VALUE"""),"PADANG")</f>
        <v>PADANG</v>
      </c>
      <c r="I1602" s="222" t="str">
        <f>IFERROR(__xludf.DUMMYFUNCTION("""COMPUTED_VALUE"""),"Batch 2")</f>
        <v>Batch 2</v>
      </c>
      <c r="J1602" s="225">
        <f>IFERROR(__xludf.DUMMYFUNCTION("""COMPUTED_VALUE"""),5.0)</f>
        <v>5</v>
      </c>
      <c r="K1602" s="224">
        <f>IFERROR(__xludf.DUMMYFUNCTION("""COMPUTED_VALUE"""),40.0)</f>
        <v>40</v>
      </c>
      <c r="L1602" s="226">
        <f>IFERROR(__xludf.DUMMYFUNCTION("""COMPUTED_VALUE"""),552144.0)</f>
        <v>552144</v>
      </c>
      <c r="M1602" s="227">
        <f>IFERROR(__xludf.DUMMYFUNCTION("""COMPUTED_VALUE"""),2.2085744E7)</f>
        <v>22085744</v>
      </c>
      <c r="N1602" s="222" t="str">
        <f>IFERROR(__xludf.DUMMYFUNCTION("""COMPUTED_VALUE"""),"PT TRI PENAMAS")</f>
        <v>PT TRI PENAMAS</v>
      </c>
      <c r="O1602" s="222" t="str">
        <f>IFERROR(__xludf.DUMMYFUNCTION("""COMPUTED_VALUE"""),"8. UJI TERIMA")</f>
        <v>8. UJI TERIMA</v>
      </c>
      <c r="P1602" s="222" t="str">
        <f>IFERROR(__xludf.DUMMYFUNCTION("""COMPUTED_VALUE"""),"8.1 Proses UT")</f>
        <v>8.1 Proses UT</v>
      </c>
      <c r="Q1602" s="222" t="str">
        <f>IFERROR(__xludf.DUMMYFUNCTION("""COMPUTED_VALUE"""),"(18/02) ABD done ke SDI, Proses UT 18/02 (05/02) proses tanam tiang (29/01) proses delivery material  (21/01) proses CReate PID (07/01) Persiapan")</f>
        <v>(18/02) ABD done ke SDI, Proses UT 18/02 (05/02) proses tanam tiang (29/01) proses delivery material  (21/01) proses CReate PID (07/01) Persiapan</v>
      </c>
      <c r="R1602" s="228">
        <f>IFERROR(__xludf.DUMMYFUNCTION("""COMPUTED_VALUE"""),46064.0)</f>
        <v>46064</v>
      </c>
      <c r="S1602" s="11"/>
      <c r="T1602" s="11"/>
      <c r="U1602" s="11" t="str">
        <f>IFERROR(__xludf.DUMMYFUNCTION("""COMPUTED_VALUE"""),"TIF-2300/2026 26KT03R158-0024")</f>
        <v>TIF-2300/2026 26KT03R158-0024</v>
      </c>
      <c r="V1602" s="229" t="str">
        <f>IFERROR(__xludf.DUMMYFUNCTION("""COMPUTED_VALUE"""),"FABIO RAHMAN")</f>
        <v>FABIO RAHMAN</v>
      </c>
      <c r="W1602" s="229" t="str">
        <f>IFERROR(__xludf.DUMMYFUNCTION("""COMPUTED_VALUE"""),"MELKO NARWADI")</f>
        <v>MELKO NARWADI</v>
      </c>
      <c r="X1602" s="229" t="str">
        <f>IFERROR(__xludf.DUMMYFUNCTION("""COMPUTED_VALUE"""),"GOLIVE")</f>
        <v>GOLIVE</v>
      </c>
      <c r="Y1602" s="229" t="str">
        <f>IFERROR(__xludf.DUMMYFUNCTION("""COMPUTED_VALUE"""),"DONE")</f>
        <v>DONE</v>
      </c>
      <c r="Z1602" s="229" t="str">
        <f>IFERROR(__xludf.DUMMYFUNCTION("""COMPUTED_VALUE"""),"#N/A")</f>
        <v>#N/A</v>
      </c>
      <c r="AA1602" s="229">
        <f>IFERROR(__xludf.DUMMYFUNCTION("""COMPUTED_VALUE"""),6.0)</f>
        <v>6</v>
      </c>
      <c r="AB1602" s="229"/>
      <c r="AC1602" s="229" t="str">
        <f>IFERROR(__xludf.DUMMYFUNCTION("""COMPUTED_VALUE"""),"9116052#9116057")</f>
        <v>9116052#9116057</v>
      </c>
      <c r="AD1602" s="232">
        <f>IFERROR(__xludf.DUMMYFUNCTION("""COMPUTED_VALUE"""),48.0)</f>
        <v>48</v>
      </c>
      <c r="AE1602" s="233">
        <f>IFERROR(__xludf.DUMMYFUNCTION("""COMPUTED_VALUE"""),46071.0)</f>
        <v>46071</v>
      </c>
      <c r="AF1602" s="54"/>
      <c r="AG1602" s="54"/>
      <c r="AH1602" s="54">
        <v>46137.0</v>
      </c>
      <c r="AI1602" s="237">
        <f>AH1602-NOW()</f>
        <v>-3.377989931</v>
      </c>
      <c r="AJ1602" s="229" t="str">
        <f>if(AI1602&gt;=0,"In Komitmen","Out Komitmen")</f>
        <v>Out Komitmen</v>
      </c>
      <c r="AW1602" s="234"/>
      <c r="BP1602" s="11"/>
      <c r="BQ1602" s="11"/>
      <c r="BR1602" s="235"/>
      <c r="BV1602" s="158"/>
      <c r="BY1602" s="158"/>
      <c r="CB1602" s="158"/>
    </row>
    <row r="1603" ht="18.0" customHeight="1">
      <c r="A1603" s="222">
        <f>IFERROR(__xludf.DUMMYFUNCTION("""COMPUTED_VALUE"""),2026.0)</f>
        <v>2026</v>
      </c>
      <c r="B1603" s="221">
        <f>IFERROR(__xludf.DUMMYFUNCTION("""COMPUTED_VALUE"""),1.1902657E7)</f>
        <v>11902657</v>
      </c>
      <c r="C1603" s="222" t="str">
        <f>IFERROR(__xludf.DUMMYFUNCTION("""COMPUTED_VALUE"""),"SMB-PT3-ODC-PYK-FM-107_2539 - 104_2540")</f>
        <v>SMB-PT3-ODC-PYK-FM-107_2539 - 104_2540</v>
      </c>
      <c r="D1603" s="222" t="str">
        <f>IFERROR(__xludf.DUMMYFUNCTION("""COMPUTED_VALUE"""),"REGIONAL I")</f>
        <v>REGIONAL I</v>
      </c>
      <c r="E1603" s="222" t="str">
        <f>IFERROR(__xludf.DUMMYFUNCTION("""COMPUTED_VALUE"""),"SUMBAR")</f>
        <v>SUMBAR</v>
      </c>
      <c r="F1603" s="222" t="str">
        <f>IFERROR(__xludf.DUMMYFUNCTION("""COMPUTED_VALUE"""),"PYK")</f>
        <v>PYK</v>
      </c>
      <c r="G1603" s="222" t="str">
        <f>IFERROR(__xludf.DUMMYFUNCTION("""COMPUTED_VALUE"""),"SUMBAGTENG")</f>
        <v>SUMBAGTENG</v>
      </c>
      <c r="H1603" s="222" t="str">
        <f>IFERROR(__xludf.DUMMYFUNCTION("""COMPUTED_VALUE"""),"BUKIT TINGGI")</f>
        <v>BUKIT TINGGI</v>
      </c>
      <c r="I1603" s="222" t="str">
        <f>IFERROR(__xludf.DUMMYFUNCTION("""COMPUTED_VALUE"""),"Batch 2")</f>
        <v>Batch 2</v>
      </c>
      <c r="J1603" s="225">
        <f>IFERROR(__xludf.DUMMYFUNCTION("""COMPUTED_VALUE"""),6.0)</f>
        <v>6</v>
      </c>
      <c r="K1603" s="224">
        <f>IFERROR(__xludf.DUMMYFUNCTION("""COMPUTED_VALUE"""),48.0)</f>
        <v>48</v>
      </c>
      <c r="L1603" s="226">
        <f>IFERROR(__xludf.DUMMYFUNCTION("""COMPUTED_VALUE"""),550350.0)</f>
        <v>550350</v>
      </c>
      <c r="M1603" s="227">
        <f>IFERROR(__xludf.DUMMYFUNCTION("""COMPUTED_VALUE"""),2.6416781E7)</f>
        <v>26416781</v>
      </c>
      <c r="N1603" s="222" t="str">
        <f>IFERROR(__xludf.DUMMYFUNCTION("""COMPUTED_VALUE"""),"PT RATRI PRIMA MANDIRI")</f>
        <v>PT RATRI PRIMA MANDIRI</v>
      </c>
      <c r="O1603" s="222" t="str">
        <f>IFERROR(__xludf.DUMMYFUNCTION("""COMPUTED_VALUE"""),"7. GOLIVE")</f>
        <v>7. GOLIVE</v>
      </c>
      <c r="P1603" s="222" t="str">
        <f>IFERROR(__xludf.DUMMYFUNCTION("""COMPUTED_VALUE"""),"7.2 Golive Full / OA / DONE OTB")</f>
        <v>7.2 Golive Full / OA / DONE OTB</v>
      </c>
      <c r="Q1603" s="222" t="str">
        <f>IFERROR(__xludf.DUMMYFUNCTION("""COMPUTED_VALUE"""),"((27/04) ABD done ke SDI 20/04) matdel ke LOP  (10/04) Proses aanwijziing , LOP HOLD FEEDER FULL ACC GO (26/01) Kendala feeder PYK-FM full")</f>
        <v>((27/04) ABD done ke SDI 20/04) matdel ke LOP  (10/04) Proses aanwijziing , LOP HOLD FEEDER FULL ACC GO (26/01) Kendala feeder PYK-FM full</v>
      </c>
      <c r="R1603" s="228">
        <f>IFERROR(__xludf.DUMMYFUNCTION("""COMPUTED_VALUE"""),46150.0)</f>
        <v>46150</v>
      </c>
      <c r="S1603" s="11"/>
      <c r="T1603" s="11"/>
      <c r="U1603" s="11"/>
      <c r="V1603" s="229" t="str">
        <f>IFERROR(__xludf.DUMMYFUNCTION("""COMPUTED_VALUE"""),"M. ARIF HAMADI")</f>
        <v>M. ARIF HAMADI</v>
      </c>
      <c r="W1603" s="229" t="str">
        <f>IFERROR(__xludf.DUMMYFUNCTION("""COMPUTED_VALUE"""),"MELKO NARWADI")</f>
        <v>MELKO NARWADI</v>
      </c>
      <c r="X1603" s="229" t="str">
        <f>IFERROR(__xludf.DUMMYFUNCTION("""COMPUTED_VALUE"""),"GOLIVE")</f>
        <v>GOLIVE</v>
      </c>
      <c r="Y1603" s="229" t="str">
        <f>IFERROR(__xludf.DUMMYFUNCTION("""COMPUTED_VALUE"""),"DONE")</f>
        <v>DONE</v>
      </c>
      <c r="Z1603" s="229" t="str">
        <f>IFERROR(__xludf.DUMMYFUNCTION("""COMPUTED_VALUE"""),"#N/A")</f>
        <v>#N/A</v>
      </c>
      <c r="AA1603" s="229">
        <f>IFERROR(__xludf.DUMMYFUNCTION("""COMPUTED_VALUE"""),7.0)</f>
        <v>7</v>
      </c>
      <c r="AB1603" s="229"/>
      <c r="AC1603" s="229" t="str">
        <f>IFERROR(__xludf.DUMMYFUNCTION("""COMPUTED_VALUE"""),"9314846#9314851")</f>
        <v>9314846#9314851</v>
      </c>
      <c r="AD1603" s="232">
        <f>IFERROR(__xludf.DUMMYFUNCTION("""COMPUTED_VALUE"""),56.0)</f>
        <v>56</v>
      </c>
      <c r="AE1603" s="233">
        <f>IFERROR(__xludf.DUMMYFUNCTION("""COMPUTED_VALUE"""),46139.0)</f>
        <v>46139</v>
      </c>
      <c r="AF1603" s="54" t="str">
        <f>IFERROR(__xludf.DUMMYFUNCTION("""COMPUTED_VALUE"""),"Draft BA DROP")</f>
        <v>Draft BA DROP</v>
      </c>
      <c r="AG1603" s="54"/>
      <c r="AH1603" s="54"/>
      <c r="AI1603" s="55">
        <f t="shared" ref="AI1603:AI1615" si="159">IF(OR(R1603="",AE1603=""),"",R1603-AE1603)</f>
        <v>11</v>
      </c>
      <c r="AW1603" s="234"/>
      <c r="BP1603" s="11"/>
      <c r="BQ1603" s="11"/>
      <c r="BR1603" s="235"/>
      <c r="BV1603" s="158"/>
      <c r="BY1603" s="158"/>
      <c r="CB1603" s="158"/>
    </row>
    <row r="1604" ht="18.0" customHeight="1">
      <c r="A1604" s="222">
        <f>IFERROR(__xludf.DUMMYFUNCTION("""COMPUTED_VALUE"""),2026.0)</f>
        <v>2026</v>
      </c>
      <c r="B1604" s="221">
        <f>IFERROR(__xludf.DUMMYFUNCTION("""COMPUTED_VALUE"""),1.1628038E7)</f>
        <v>11628038</v>
      </c>
      <c r="C1604" s="222" t="str">
        <f>IFERROR(__xludf.DUMMYFUNCTION("""COMPUTED_VALUE"""),"SMB SLK PT3-PT4 Ramon Luthvi-RITA")</f>
        <v>SMB SLK PT3-PT4 Ramon Luthvi-RITA</v>
      </c>
      <c r="D1604" s="222" t="str">
        <f>IFERROR(__xludf.DUMMYFUNCTION("""COMPUTED_VALUE"""),"REGIONAL I")</f>
        <v>REGIONAL I</v>
      </c>
      <c r="E1604" s="222" t="str">
        <f>IFERROR(__xludf.DUMMYFUNCTION("""COMPUTED_VALUE"""),"SUMBAR")</f>
        <v>SUMBAR</v>
      </c>
      <c r="F1604" s="222" t="str">
        <f>IFERROR(__xludf.DUMMYFUNCTION("""COMPUTED_VALUE"""),"SLK")</f>
        <v>SLK</v>
      </c>
      <c r="G1604" s="222" t="str">
        <f>IFERROR(__xludf.DUMMYFUNCTION("""COMPUTED_VALUE"""),"SUMBAGTENG")</f>
        <v>SUMBAGTENG</v>
      </c>
      <c r="H1604" s="222" t="str">
        <f>IFERROR(__xludf.DUMMYFUNCTION("""COMPUTED_VALUE"""),"PADANG")</f>
        <v>PADANG</v>
      </c>
      <c r="I1604" s="222" t="str">
        <f>IFERROR(__xludf.DUMMYFUNCTION("""COMPUTED_VALUE"""),"Batch 2")</f>
        <v>Batch 2</v>
      </c>
      <c r="J1604" s="225">
        <f>IFERROR(__xludf.DUMMYFUNCTION("""COMPUTED_VALUE"""),3.0)</f>
        <v>3</v>
      </c>
      <c r="K1604" s="224">
        <f>IFERROR(__xludf.DUMMYFUNCTION("""COMPUTED_VALUE"""),24.0)</f>
        <v>24</v>
      </c>
      <c r="L1604" s="226">
        <f>IFERROR(__xludf.DUMMYFUNCTION("""COMPUTED_VALUE"""),548423.0)</f>
        <v>548423</v>
      </c>
      <c r="M1604" s="227">
        <f>IFERROR(__xludf.DUMMYFUNCTION("""COMPUTED_VALUE"""),1.316215E7)</f>
        <v>13162150</v>
      </c>
      <c r="N1604" s="222" t="str">
        <f>IFERROR(__xludf.DUMMYFUNCTION("""COMPUTED_VALUE"""),"PT TRI PENAMAS")</f>
        <v>PT TRI PENAMAS</v>
      </c>
      <c r="O1604" s="222" t="str">
        <f>IFERROR(__xludf.DUMMYFUNCTION("""COMPUTED_VALUE"""),"0. DROP")</f>
        <v>0. DROP</v>
      </c>
      <c r="P1604" s="222" t="str">
        <f>IFERROR(__xludf.DUMMYFUNCTION("""COMPUTED_VALUE"""),"0.3 Feeder Full")</f>
        <v>0.3 Feeder Full</v>
      </c>
      <c r="Q1604" s="222" t="str">
        <f>IFERROR(__xludf.DUMMYFUNCTION("""COMPUTED_VALUE"""),"(26/01) FEEDER SLK-FK FULL, BUTUH NEW FEEDER")</f>
        <v>(26/01) FEEDER SLK-FK FULL, BUTUH NEW FEEDER</v>
      </c>
      <c r="R1604" s="228"/>
      <c r="S1604" s="11"/>
      <c r="T1604" s="11"/>
      <c r="U1604" s="11"/>
      <c r="V1604" s="229"/>
      <c r="W1604" s="229"/>
      <c r="X1604" s="229" t="str">
        <f>IFERROR(__xludf.DUMMYFUNCTION("""COMPUTED_VALUE"""),"BELUM GOLIVE")</f>
        <v>BELUM GOLIVE</v>
      </c>
      <c r="Y1604" s="229"/>
      <c r="Z1604" s="229" t="str">
        <f>IFERROR(__xludf.DUMMYFUNCTION("""COMPUTED_VALUE"""),"#N/A")</f>
        <v>#N/A</v>
      </c>
      <c r="AA1604" s="229"/>
      <c r="AB1604" s="229"/>
      <c r="AC1604" s="229"/>
      <c r="AD1604" s="232"/>
      <c r="AE1604" s="233"/>
      <c r="AF1604" s="54" t="str">
        <f>IFERROR(__xludf.DUMMYFUNCTION("""COMPUTED_VALUE"""),"Draft BA DROP")</f>
        <v>Draft BA DROP</v>
      </c>
      <c r="AG1604" s="54"/>
      <c r="AH1604" s="54"/>
      <c r="AI1604" s="55" t="str">
        <f t="shared" si="159"/>
        <v/>
      </c>
      <c r="AW1604" s="234"/>
      <c r="BP1604" s="11"/>
      <c r="BQ1604" s="11"/>
      <c r="BR1604" s="235"/>
      <c r="BV1604" s="158"/>
      <c r="BY1604" s="158"/>
      <c r="CB1604" s="158"/>
    </row>
    <row r="1605" ht="18.0" hidden="1" customHeight="1">
      <c r="A1605" s="222">
        <f>IFERROR(__xludf.DUMMYFUNCTION("""COMPUTED_VALUE"""),2026.0)</f>
        <v>2026</v>
      </c>
      <c r="B1605" s="221">
        <f>IFERROR(__xludf.DUMMYFUNCTION("""COMPUTED_VALUE"""),1.2283068E7)</f>
        <v>12283068</v>
      </c>
      <c r="C1605" s="222" t="str">
        <f>IFERROR(__xludf.DUMMYFUNCTION("""COMPUTED_VALUE"""),"SMU PSP-FBD CLUST SIDANGKAL")</f>
        <v>SMU PSP-FBD CLUST SIDANGKAL</v>
      </c>
      <c r="D1605" s="222" t="str">
        <f>IFERROR(__xludf.DUMMYFUNCTION("""COMPUTED_VALUE"""),"REGIONAL I")</f>
        <v>REGIONAL I</v>
      </c>
      <c r="E1605" s="222" t="str">
        <f>IFERROR(__xludf.DUMMYFUNCTION("""COMPUTED_VALUE"""),"SUMUT")</f>
        <v>SUMUT</v>
      </c>
      <c r="F1605" s="222" t="str">
        <f>IFERROR(__xludf.DUMMYFUNCTION("""COMPUTED_VALUE"""),"PSP")</f>
        <v>PSP</v>
      </c>
      <c r="G1605" s="222" t="str">
        <f>IFERROR(__xludf.DUMMYFUNCTION("""COMPUTED_VALUE"""),"SUMBAGUT")</f>
        <v>SUMBAGUT</v>
      </c>
      <c r="H1605" s="222" t="str">
        <f>IFERROR(__xludf.DUMMYFUNCTION("""COMPUTED_VALUE"""),"PADANG SIDEMPUAN")</f>
        <v>PADANG SIDEMPUAN</v>
      </c>
      <c r="I1605" s="222" t="str">
        <f>IFERROR(__xludf.DUMMYFUNCTION("""COMPUTED_VALUE"""),"Batch 2")</f>
        <v>Batch 2</v>
      </c>
      <c r="J1605" s="225">
        <f>IFERROR(__xludf.DUMMYFUNCTION("""COMPUTED_VALUE"""),5.0)</f>
        <v>5</v>
      </c>
      <c r="K1605" s="224">
        <f>IFERROR(__xludf.DUMMYFUNCTION("""COMPUTED_VALUE"""),40.0)</f>
        <v>40</v>
      </c>
      <c r="L1605" s="226">
        <f>IFERROR(__xludf.DUMMYFUNCTION("""COMPUTED_VALUE"""),545376.0)</f>
        <v>545376</v>
      </c>
      <c r="M1605" s="227">
        <f>IFERROR(__xludf.DUMMYFUNCTION("""COMPUTED_VALUE"""),2.181503E7)</f>
        <v>21815030</v>
      </c>
      <c r="N1605" s="222" t="str">
        <f>IFERROR(__xludf.DUMMYFUNCTION("""COMPUTED_VALUE"""),"PT NASRI SEJAHTERA UTAMA")</f>
        <v>PT NASRI SEJAHTERA UTAMA</v>
      </c>
      <c r="O1605" s="222" t="str">
        <f>IFERROR(__xludf.DUMMYFUNCTION("""COMPUTED_VALUE"""),"7. GOLIVE")</f>
        <v>7. GOLIVE</v>
      </c>
      <c r="P1605" s="222" t="str">
        <f>IFERROR(__xludf.DUMMYFUNCTION("""COMPUTED_VALUE"""),"7.2 Golive Full / OA / DONE OTB")</f>
        <v>7.2 Golive Full / OA / DONE OTB</v>
      </c>
      <c r="Q1605" s="222" t="str">
        <f>IFERROR(__xludf.DUMMYFUNCTION("""COMPUTED_VALUE"""),"18/3 validasi sdi 4 odp sisa 1 odp kendala valins, 16/3 proses instal 5 odp sisa 1 , ku 12 (868) selesai, tiang 2 selesai,  12/3 proses penarikan ku 12 (868) , tiang 2 selesai, odp 5 belum progres, 11/3 prepair team untuk pengambilan matrial dr wh ke site"&amp;", 10/3 proses input material di alista, 6/3 menunggu req matrial kebutuhan mitra,  5/3 menunggu revisi boq kml survey kebutuhan qe, 4/3 menunggu revisi boq kml survey kebutuhan qe,  3/3 menunggu revisi boq kml survey kebutuhan qe, 2/3 menunggu revisi boq "&amp;"kml survey kebutuhan qe,  27/2 menunggu revisi boq kml survey kebutuhan qe, 25/2 plan submit boq suvrey dan kebutuhan qe 27 feb,sisa feder 3 core, 2 tidak tembus, 1 redting , kebutuhan 2 port feder,  24/2 sisa feder 3 core, 2 tidak tembus, 1 redting , keb"&amp;"utuhan 2 port feder paralel menunggu boq kml survey incloude kebutuhan qe, 23/2 prepairt team untuk penjadwalan survey kelokasi, 20/2 prepair team untuk suvrey kelokasi, 19/2 Mandor swakelola,  16/2 Mandor swakelola (pengalihan dari tripola),  13/2 Mandor"&amp;" swakelola, 12/2 Mandor swakelola, 11/2 Mandor swakelola, 10/2 Mandor swakelola, 9/2 Mandor swakelola, 6/2 Mandor swakelola, (pengalihan dari tripola), 5/2 Mandor swakelola, 4/2 Mandor swakelola, (pengalihan dari tripola),  3/2 Mandor swakelola, (pengalih"&amp;"an dari tripola), 2/2 Mandor swakelola, (pengalihan dari tripola),  1/2 Mandor swakelola, (pengalihan dari tripola), 30/1 Mandor swakelola, (pengalihan dari tripola), 28/1 penunjukan mitra ( peralihan dari mitra tripola), 27/1 proses penunjukan mitra ( mi"&amp;"tra tripola menolak untuk lanjut), 26/1 menunggu req matrial ,23/1 menunggu req material,  22/1 menunggu boq kml hasil survey, 21/1 menunggu boq kml hasil survey,  20/1 menunggu boq kml hasil survey, 19/1  menunggu info TIF terkait kelanjutan lop( plan re"&amp;"loc odc) proses boq kml hasil survey, 15/1  (hold plan reloc odc) proses boq kml hasil survey,13/01 plan survey hari ini tgl 13/01, (07/01) ABD mancore  (07/01) Persiapan")</f>
        <v>18/3 validasi sdi 4 odp sisa 1 odp kendala valins, 16/3 proses instal 5 odp sisa 1 , ku 12 (868) selesai, tiang 2 selesai,  12/3 proses penarikan ku 12 (868) , tiang 2 selesai, odp 5 belum progres, 11/3 prepair team untuk pengambilan matrial dr wh ke site, 10/3 proses input material di alista, 6/3 menunggu req matrial kebutuhan mitra,  5/3 menunggu revisi boq kml survey kebutuhan qe, 4/3 menunggu revisi boq kml survey kebutuhan qe,  3/3 menunggu revisi boq kml survey kebutuhan qe, 2/3 menunggu revisi boq kml survey kebutuhan qe,  27/2 menunggu revisi boq kml survey kebutuhan qe, 25/2 plan submit boq suvrey dan kebutuhan qe 27 feb,sisa feder 3 core, 2 tidak tembus, 1 redting , kebutuhan 2 port feder,  24/2 sisa feder 3 core, 2 tidak tembus, 1 redting , kebutuhan 2 port feder paralel menunggu boq kml survey incloude kebutuhan qe, 23/2 prepairt team untuk penjadwalan survey kelokasi, 20/2 prepair team untuk suvrey kelokasi, 19/2 Mandor swakelola,  16/2 Mandor swakelola (pengalihan dari tripola),  13/2 Mandor swakelola, 12/2 Mandor swakelola, 11/2 Mandor swakelola, 10/2 Mandor swakelola, 9/2 Mandor swakelola, 6/2 Mandor swakelola, (pengalihan dari tripola), 5/2 Mandor swakelola, 4/2 Mandor swakelola, (pengalihan dari tripola),  3/2 Mandor swakelola, (pengalihan dari tripola), 2/2 Mandor swakelola, (pengalihan dari tripola),  1/2 Mandor swakelola, (pengalihan dari tripola), 30/1 Mandor swakelola, (pengalihan dari tripola), 28/1 penunjukan mitra ( peralihan dari mitra tripola), 27/1 proses penunjukan mitra ( mitra tripola menolak untuk lanjut), 26/1 menunggu req matrial ,23/1 menunggu req material,  22/1 menunggu boq kml hasil survey, 21/1 menunggu boq kml hasil survey,  20/1 menunggu boq kml hasil survey, 19/1  menunggu info TIF terkait kelanjutan lop( plan reloc odc) proses boq kml hasil survey, 15/1  (hold plan reloc odc) proses boq kml hasil survey,13/01 plan survey hari ini tgl 13/01, (07/01) ABD mancore  (07/01) Persiapan</v>
      </c>
      <c r="R1605" s="228">
        <f>IFERROR(__xludf.DUMMYFUNCTION("""COMPUTED_VALUE"""),46100.0)</f>
        <v>46100</v>
      </c>
      <c r="S1605" s="11" t="str">
        <f>IFERROR(__xludf.DUMMYFUNCTION("""COMPUTED_VALUE"""),"MAR")</f>
        <v>MAR</v>
      </c>
      <c r="T1605" s="11"/>
      <c r="U1605" s="11" t="str">
        <f>IFERROR(__xludf.DUMMYFUNCTION("""COMPUTED_VALUE"""),"W03-1754/2025")</f>
        <v>W03-1754/2025</v>
      </c>
      <c r="V1605" s="229"/>
      <c r="W1605" s="229"/>
      <c r="X1605" s="229" t="str">
        <f>IFERROR(__xludf.DUMMYFUNCTION("""COMPUTED_VALUE"""),"GOLIVE")</f>
        <v>GOLIVE</v>
      </c>
      <c r="Y1605" s="229" t="str">
        <f>IFERROR(__xludf.DUMMYFUNCTION("""COMPUTED_VALUE"""),"DONE")</f>
        <v>DONE</v>
      </c>
      <c r="Z1605" s="229" t="str">
        <f>IFERROR(__xludf.DUMMYFUNCTION("""COMPUTED_VALUE"""),"#N/A")</f>
        <v>#N/A</v>
      </c>
      <c r="AA1605" s="229">
        <f>IFERROR(__xludf.DUMMYFUNCTION("""COMPUTED_VALUE"""),4.0)</f>
        <v>4</v>
      </c>
      <c r="AB1605" s="229"/>
      <c r="AC1605" s="229" t="str">
        <f>IFERROR(__xludf.DUMMYFUNCTION("""COMPUTED_VALUE"""),"9218087#9218092")</f>
        <v>9218087#9218092</v>
      </c>
      <c r="AD1605" s="232">
        <f>IFERROR(__xludf.DUMMYFUNCTION("""COMPUTED_VALUE"""),32.0)</f>
        <v>32</v>
      </c>
      <c r="AE1605" s="233">
        <f>IFERROR(__xludf.DUMMYFUNCTION("""COMPUTED_VALUE"""),46099.0)</f>
        <v>46099</v>
      </c>
      <c r="AF1605" s="54"/>
      <c r="AG1605" s="54"/>
      <c r="AH1605" s="54">
        <v>46100.0</v>
      </c>
      <c r="AI1605" s="55">
        <f t="shared" si="159"/>
        <v>1</v>
      </c>
      <c r="AW1605" s="234"/>
      <c r="BP1605" s="11"/>
      <c r="BQ1605" s="11"/>
      <c r="BR1605" s="235"/>
      <c r="BV1605" s="158"/>
      <c r="BY1605" s="158"/>
      <c r="CB1605" s="158"/>
    </row>
    <row r="1606" ht="18.0" customHeight="1">
      <c r="A1606" s="222">
        <f>IFERROR(__xludf.DUMMYFUNCTION("""COMPUTED_VALUE"""),2026.0)</f>
        <v>2026</v>
      </c>
      <c r="B1606" s="221">
        <f>IFERROR(__xludf.DUMMYFUNCTION("""COMPUTED_VALUE"""),1.0742735E7)</f>
        <v>10742735</v>
      </c>
      <c r="C1606" s="222" t="str">
        <f>IFERROR(__xludf.DUMMYFUNCTION("""COMPUTED_VALUE"""),"SMB P7I1 Griya Elok Town House Pitameh")</f>
        <v>SMB P7I1 Griya Elok Town House Pitameh</v>
      </c>
      <c r="D1606" s="222" t="str">
        <f>IFERROR(__xludf.DUMMYFUNCTION("""COMPUTED_VALUE"""),"REGIONAL I")</f>
        <v>REGIONAL I</v>
      </c>
      <c r="E1606" s="222" t="str">
        <f>IFERROR(__xludf.DUMMYFUNCTION("""COMPUTED_VALUE"""),"SUMBAR")</f>
        <v>SUMBAR</v>
      </c>
      <c r="F1606" s="222" t="str">
        <f>IFERROR(__xludf.DUMMYFUNCTION("""COMPUTED_VALUE"""),"BDT")</f>
        <v>BDT</v>
      </c>
      <c r="G1606" s="222" t="str">
        <f>IFERROR(__xludf.DUMMYFUNCTION("""COMPUTED_VALUE"""),"SUMBAGTENG")</f>
        <v>SUMBAGTENG</v>
      </c>
      <c r="H1606" s="222" t="str">
        <f>IFERROR(__xludf.DUMMYFUNCTION("""COMPUTED_VALUE"""),"PADANG")</f>
        <v>PADANG</v>
      </c>
      <c r="I1606" s="222" t="str">
        <f>IFERROR(__xludf.DUMMYFUNCTION("""COMPUTED_VALUE"""),"Batch 2")</f>
        <v>Batch 2</v>
      </c>
      <c r="J1606" s="225">
        <f>IFERROR(__xludf.DUMMYFUNCTION("""COMPUTED_VALUE"""),4.0)</f>
        <v>4</v>
      </c>
      <c r="K1606" s="224">
        <f>IFERROR(__xludf.DUMMYFUNCTION("""COMPUTED_VALUE"""),32.0)</f>
        <v>32</v>
      </c>
      <c r="L1606" s="226">
        <f>IFERROR(__xludf.DUMMYFUNCTION("""COMPUTED_VALUE"""),545205.0)</f>
        <v>545205</v>
      </c>
      <c r="M1606" s="227">
        <f>IFERROR(__xludf.DUMMYFUNCTION("""COMPUTED_VALUE"""),1.744653E7)</f>
        <v>17446530</v>
      </c>
      <c r="N1606" s="222" t="str">
        <f>IFERROR(__xludf.DUMMYFUNCTION("""COMPUTED_VALUE"""),"PT TRI PENAMAS")</f>
        <v>PT TRI PENAMAS</v>
      </c>
      <c r="O1606" s="222" t="str">
        <f>IFERROR(__xludf.DUMMYFUNCTION("""COMPUTED_VALUE"""),"8. UJI TERIMA")</f>
        <v>8. UJI TERIMA</v>
      </c>
      <c r="P1606" s="222" t="str">
        <f>IFERROR(__xludf.DUMMYFUNCTION("""COMPUTED_VALUE"""),"8.1 Proses UT")</f>
        <v>8.1 Proses UT</v>
      </c>
      <c r="Q1606" s="222" t="str">
        <f>IFERROR(__xludf.DUMMYFUNCTION("""COMPUTED_VALUE"""),"(07/01) Persiapan")</f>
        <v>(07/01) Persiapan</v>
      </c>
      <c r="R1606" s="228"/>
      <c r="S1606" s="11"/>
      <c r="T1606" s="11"/>
      <c r="U1606" s="11" t="str">
        <f>IFERROR(__xludf.DUMMYFUNCTION("""COMPUTED_VALUE"""),"W10-1822/2025 25KT03R158-0554")</f>
        <v>W10-1822/2025 25KT03R158-0554</v>
      </c>
      <c r="V1606" s="229" t="str">
        <f>IFERROR(__xludf.DUMMYFUNCTION("""COMPUTED_VALUE"""),"FABIO RAHMAN")</f>
        <v>FABIO RAHMAN</v>
      </c>
      <c r="W1606" s="229" t="str">
        <f>IFERROR(__xludf.DUMMYFUNCTION("""COMPUTED_VALUE"""),"MELKO NARWADI")</f>
        <v>MELKO NARWADI</v>
      </c>
      <c r="X1606" s="229" t="str">
        <f>IFERROR(__xludf.DUMMYFUNCTION("""COMPUTED_VALUE"""),"GOLIVE")</f>
        <v>GOLIVE</v>
      </c>
      <c r="Y1606" s="229" t="str">
        <f>IFERROR(__xludf.DUMMYFUNCTION("""COMPUTED_VALUE"""),"DONE")</f>
        <v>DONE</v>
      </c>
      <c r="Z1606" s="229" t="str">
        <f>IFERROR(__xludf.DUMMYFUNCTION("""COMPUTED_VALUE"""),"#N/A")</f>
        <v>#N/A</v>
      </c>
      <c r="AA1606" s="229">
        <f>IFERROR(__xludf.DUMMYFUNCTION("""COMPUTED_VALUE"""),5.0)</f>
        <v>5</v>
      </c>
      <c r="AB1606" s="229"/>
      <c r="AC1606" s="229" t="str">
        <f>IFERROR(__xludf.DUMMYFUNCTION("""COMPUTED_VALUE"""),"8977782#8977787")</f>
        <v>8977782#8977787</v>
      </c>
      <c r="AD1606" s="232">
        <f>IFERROR(__xludf.DUMMYFUNCTION("""COMPUTED_VALUE"""),40.0)</f>
        <v>40</v>
      </c>
      <c r="AE1606" s="233">
        <f>IFERROR(__xludf.DUMMYFUNCTION("""COMPUTED_VALUE"""),46039.0)</f>
        <v>46039</v>
      </c>
      <c r="AF1606" s="54"/>
      <c r="AG1606" s="54"/>
      <c r="AH1606" s="54"/>
      <c r="AI1606" s="55" t="str">
        <f t="shared" si="159"/>
        <v/>
      </c>
      <c r="AW1606" s="234"/>
      <c r="BP1606" s="11"/>
      <c r="BQ1606" s="11"/>
      <c r="BR1606" s="235"/>
      <c r="BV1606" s="158"/>
      <c r="BY1606" s="158"/>
      <c r="CB1606" s="158"/>
    </row>
    <row r="1607" ht="18.0" customHeight="1">
      <c r="A1607" s="222">
        <f>IFERROR(__xludf.DUMMYFUNCTION("""COMPUTED_VALUE"""),2026.0)</f>
        <v>2026</v>
      </c>
      <c r="B1607" s="221">
        <f>IFERROR(__xludf.DUMMYFUNCTION("""COMPUTED_VALUE"""),1.1911396E7)</f>
        <v>11911396</v>
      </c>
      <c r="C1607" s="222" t="str">
        <f>IFERROR(__xludf.DUMMYFUNCTION("""COMPUTED_VALUE"""),"RKP TSEL PT3 SLU-FC 250_476_3984")</f>
        <v>RKP TSEL PT3 SLU-FC 250_476_3984</v>
      </c>
      <c r="D1607" s="222" t="str">
        <f>IFERROR(__xludf.DUMMYFUNCTION("""COMPUTED_VALUE"""),"REGIONAL I")</f>
        <v>REGIONAL I</v>
      </c>
      <c r="E1607" s="222" t="str">
        <f>IFERROR(__xludf.DUMMYFUNCTION("""COMPUTED_VALUE"""),"RIKEP")</f>
        <v>RIKEP</v>
      </c>
      <c r="F1607" s="222" t="str">
        <f>IFERROR(__xludf.DUMMYFUNCTION("""COMPUTED_VALUE"""),"SLU")</f>
        <v>SLU</v>
      </c>
      <c r="G1607" s="222" t="str">
        <f>IFERROR(__xludf.DUMMYFUNCTION("""COMPUTED_VALUE"""),"SUMBAGTENG")</f>
        <v>SUMBAGTENG</v>
      </c>
      <c r="H1607" s="222" t="str">
        <f>IFERROR(__xludf.DUMMYFUNCTION("""COMPUTED_VALUE"""),"BATAM")</f>
        <v>BATAM</v>
      </c>
      <c r="I1607" s="222" t="str">
        <f>IFERROR(__xludf.DUMMYFUNCTION("""COMPUTED_VALUE"""),"Batch 2")</f>
        <v>Batch 2</v>
      </c>
      <c r="J1607" s="225">
        <f>IFERROR(__xludf.DUMMYFUNCTION("""COMPUTED_VALUE"""),1.0)</f>
        <v>1</v>
      </c>
      <c r="K1607" s="224">
        <f>IFERROR(__xludf.DUMMYFUNCTION("""COMPUTED_VALUE"""),8.0)</f>
        <v>8</v>
      </c>
      <c r="L1607" s="226">
        <f>IFERROR(__xludf.DUMMYFUNCTION("""COMPUTED_VALUE"""),544054.0)</f>
        <v>544054</v>
      </c>
      <c r="M1607" s="227">
        <f>IFERROR(__xludf.DUMMYFUNCTION("""COMPUTED_VALUE"""),4352428.0)</f>
        <v>4352428</v>
      </c>
      <c r="N1607" s="222" t="str">
        <f>IFERROR(__xludf.DUMMYFUNCTION("""COMPUTED_VALUE"""),"PT TRIPOLA PANATA")</f>
        <v>PT TRIPOLA PANATA</v>
      </c>
      <c r="O1607" s="222" t="str">
        <f>IFERROR(__xludf.DUMMYFUNCTION("""COMPUTED_VALUE"""),"2. DONE AANWIJZING")</f>
        <v>2. DONE AANWIJZING</v>
      </c>
      <c r="P1607" s="222" t="str">
        <f>IFERROR(__xludf.DUMMYFUNCTION("""COMPUTED_VALUE"""),"2.10 Kendala - Feeder Rusak")</f>
        <v>2.10 Kendala - Feeder Rusak</v>
      </c>
      <c r="Q1607" s="222" t="str">
        <f>IFERROR(__xludf.DUMMYFUNCTION("""COMPUTED_VALUE"""),"04/03 SLU-FC kendala feeder ex gamas, btuuh eviden OTDR ulang. 13/02 SLU-FC kendala feeder ex gamas. 28/01 Plan survey 29 Jan. 28/01 Mitra tripola belum ada PIC untuk anwijzing. 21/03 plan survey minggu ini 25 Jan")</f>
        <v>04/03 SLU-FC kendala feeder ex gamas, btuuh eviden OTDR ulang. 13/02 SLU-FC kendala feeder ex gamas. 28/01 Plan survey 29 Jan. 28/01 Mitra tripola belum ada PIC untuk anwijzing. 21/03 plan survey minggu ini 25 Jan</v>
      </c>
      <c r="R1607" s="228"/>
      <c r="S1607" s="11"/>
      <c r="T1607" s="11"/>
      <c r="U1607" s="11"/>
      <c r="V1607" s="229" t="str">
        <f>IFERROR(__xludf.DUMMYFUNCTION("""COMPUTED_VALUE"""),"MUHAMMAD RIDHO FALFO")</f>
        <v>MUHAMMAD RIDHO FALFO</v>
      </c>
      <c r="W1607" s="229" t="str">
        <f>IFERROR(__xludf.DUMMYFUNCTION("""COMPUTED_VALUE"""),"LEVITA INDRIYANI")</f>
        <v>LEVITA INDRIYANI</v>
      </c>
      <c r="X1607" s="229" t="str">
        <f>IFERROR(__xludf.DUMMYFUNCTION("""COMPUTED_VALUE"""),"BELUM GOLIVE")</f>
        <v>BELUM GOLIVE</v>
      </c>
      <c r="Y1607" s="229"/>
      <c r="Z1607" s="229" t="str">
        <f>IFERROR(__xludf.DUMMYFUNCTION("""COMPUTED_VALUE"""),"#N/A")</f>
        <v>#N/A</v>
      </c>
      <c r="AA1607" s="229"/>
      <c r="AB1607" s="229"/>
      <c r="AC1607" s="229"/>
      <c r="AD1607" s="232"/>
      <c r="AE1607" s="233"/>
      <c r="AF1607" s="54"/>
      <c r="AG1607" s="54"/>
      <c r="AH1607" s="54"/>
      <c r="AI1607" s="55" t="str">
        <f t="shared" si="159"/>
        <v/>
      </c>
      <c r="AW1607" s="234"/>
      <c r="BP1607" s="11"/>
      <c r="BQ1607" s="11"/>
      <c r="BR1607" s="235"/>
      <c r="BV1607" s="158"/>
      <c r="BY1607" s="158"/>
      <c r="CB1607" s="158"/>
    </row>
    <row r="1608" ht="18.0" customHeight="1">
      <c r="A1608" s="222">
        <f>IFERROR(__xludf.DUMMYFUNCTION("""COMPUTED_VALUE"""),2026.0)</f>
        <v>2026</v>
      </c>
      <c r="B1608" s="221">
        <f>IFERROR(__xludf.DUMMYFUNCTION("""COMPUTED_VALUE"""),1.1379395E7)</f>
        <v>11379395</v>
      </c>
      <c r="C1608" s="222" t="str">
        <f>IFERROR(__xludf.DUMMYFUNCTION("""COMPUTED_VALUE"""),"SMB P2I2 MD KOTA SOLOK_8923")</f>
        <v>SMB P2I2 MD KOTA SOLOK_8923</v>
      </c>
      <c r="D1608" s="222" t="str">
        <f>IFERROR(__xludf.DUMMYFUNCTION("""COMPUTED_VALUE"""),"REGIONAL I")</f>
        <v>REGIONAL I</v>
      </c>
      <c r="E1608" s="222" t="str">
        <f>IFERROR(__xludf.DUMMYFUNCTION("""COMPUTED_VALUE"""),"SUMBAR")</f>
        <v>SUMBAR</v>
      </c>
      <c r="F1608" s="222" t="str">
        <f>IFERROR(__xludf.DUMMYFUNCTION("""COMPUTED_VALUE"""),"SLK")</f>
        <v>SLK</v>
      </c>
      <c r="G1608" s="222" t="str">
        <f>IFERROR(__xludf.DUMMYFUNCTION("""COMPUTED_VALUE"""),"SUMBAGTENG")</f>
        <v>SUMBAGTENG</v>
      </c>
      <c r="H1608" s="222" t="str">
        <f>IFERROR(__xludf.DUMMYFUNCTION("""COMPUTED_VALUE"""),"PADANG")</f>
        <v>PADANG</v>
      </c>
      <c r="I1608" s="222" t="str">
        <f>IFERROR(__xludf.DUMMYFUNCTION("""COMPUTED_VALUE"""),"Batch 2")</f>
        <v>Batch 2</v>
      </c>
      <c r="J1608" s="225">
        <f>IFERROR(__xludf.DUMMYFUNCTION("""COMPUTED_VALUE"""),6.0)</f>
        <v>6</v>
      </c>
      <c r="K1608" s="224">
        <f>IFERROR(__xludf.DUMMYFUNCTION("""COMPUTED_VALUE"""),48.0)</f>
        <v>48</v>
      </c>
      <c r="L1608" s="226">
        <f>IFERROR(__xludf.DUMMYFUNCTION("""COMPUTED_VALUE"""),543714.0)</f>
        <v>543714</v>
      </c>
      <c r="M1608" s="227">
        <f>IFERROR(__xludf.DUMMYFUNCTION("""COMPUTED_VALUE"""),2.6098272E7)</f>
        <v>26098272</v>
      </c>
      <c r="N1608" s="222" t="str">
        <f>IFERROR(__xludf.DUMMYFUNCTION("""COMPUTED_VALUE"""),"PT TRI PENAMAS")</f>
        <v>PT TRI PENAMAS</v>
      </c>
      <c r="O1608" s="222" t="str">
        <f>IFERROR(__xludf.DUMMYFUNCTION("""COMPUTED_VALUE"""),"0. DROP")</f>
        <v>0. DROP</v>
      </c>
      <c r="P1608" s="222" t="str">
        <f>IFERROR(__xludf.DUMMYFUNCTION("""COMPUTED_VALUE"""),"0.3 Feeder Full")</f>
        <v>0.3 Feeder Full</v>
      </c>
      <c r="Q1608" s="222" t="str">
        <f>IFERROR(__xludf.DUMMYFUNCTION("""COMPUTED_VALUE"""),"(26/01) KENDALA FEEDER SLK-FH FULL, BUTUH NEW FEEDER")</f>
        <v>(26/01) KENDALA FEEDER SLK-FH FULL, BUTUH NEW FEEDER</v>
      </c>
      <c r="R1608" s="228"/>
      <c r="S1608" s="11"/>
      <c r="T1608" s="11"/>
      <c r="U1608" s="11"/>
      <c r="V1608" s="229"/>
      <c r="W1608" s="229"/>
      <c r="X1608" s="229" t="str">
        <f>IFERROR(__xludf.DUMMYFUNCTION("""COMPUTED_VALUE"""),"BELUM GOLIVE")</f>
        <v>BELUM GOLIVE</v>
      </c>
      <c r="Y1608" s="229"/>
      <c r="Z1608" s="229" t="str">
        <f>IFERROR(__xludf.DUMMYFUNCTION("""COMPUTED_VALUE"""),"#N/A")</f>
        <v>#N/A</v>
      </c>
      <c r="AA1608" s="229"/>
      <c r="AB1608" s="229"/>
      <c r="AC1608" s="229"/>
      <c r="AD1608" s="232"/>
      <c r="AE1608" s="233"/>
      <c r="AF1608" s="54" t="str">
        <f>IFERROR(__xludf.DUMMYFUNCTION("""COMPUTED_VALUE"""),"Draft BA DROP")</f>
        <v>Draft BA DROP</v>
      </c>
      <c r="AG1608" s="54"/>
      <c r="AH1608" s="54"/>
      <c r="AI1608" s="55" t="str">
        <f t="shared" si="159"/>
        <v/>
      </c>
      <c r="AW1608" s="234"/>
      <c r="BP1608" s="11"/>
      <c r="BQ1608" s="11"/>
      <c r="BR1608" s="235"/>
      <c r="BV1608" s="158"/>
      <c r="BY1608" s="158"/>
      <c r="CB1608" s="158"/>
    </row>
    <row r="1609" ht="18.0" hidden="1" customHeight="1">
      <c r="A1609" s="222">
        <f>IFERROR(__xludf.DUMMYFUNCTION("""COMPUTED_VALUE"""),2026.0)</f>
        <v>2026</v>
      </c>
      <c r="B1609" s="221">
        <f>IFERROR(__xludf.DUMMYFUNCTION("""COMPUTED_VALUE"""),1.1843371E7)</f>
        <v>11843371</v>
      </c>
      <c r="C1609" s="222" t="str">
        <f>IFERROR(__xludf.DUMMYFUNCTION("""COMPUTED_VALUE"""),"MDN PT3 TJR-FK JL.DONDEBARIUM_MD25")</f>
        <v>MDN PT3 TJR-FK JL.DONDEBARIUM_MD25</v>
      </c>
      <c r="D1609" s="222" t="str">
        <f>IFERROR(__xludf.DUMMYFUNCTION("""COMPUTED_VALUE"""),"REGIONAL I")</f>
        <v>REGIONAL I</v>
      </c>
      <c r="E1609" s="222" t="str">
        <f>IFERROR(__xludf.DUMMYFUNCTION("""COMPUTED_VALUE"""),"MEDAN")</f>
        <v>MEDAN</v>
      </c>
      <c r="F1609" s="222" t="str">
        <f>IFERROR(__xludf.DUMMYFUNCTION("""COMPUTED_VALUE"""),"TJR")</f>
        <v>TJR</v>
      </c>
      <c r="G1609" s="222" t="str">
        <f>IFERROR(__xludf.DUMMYFUNCTION("""COMPUTED_VALUE"""),"SUMBAGUT")</f>
        <v>SUMBAGUT</v>
      </c>
      <c r="H1609" s="222" t="str">
        <f>IFERROR(__xludf.DUMMYFUNCTION("""COMPUTED_VALUE"""),"MEDAN")</f>
        <v>MEDAN</v>
      </c>
      <c r="I1609" s="222" t="str">
        <f>IFERROR(__xludf.DUMMYFUNCTION("""COMPUTED_VALUE"""),"Batch 2")</f>
        <v>Batch 2</v>
      </c>
      <c r="J1609" s="225">
        <f>IFERROR(__xludf.DUMMYFUNCTION("""COMPUTED_VALUE"""),2.0)</f>
        <v>2</v>
      </c>
      <c r="K1609" s="224">
        <f>IFERROR(__xludf.DUMMYFUNCTION("""COMPUTED_VALUE"""),16.0)</f>
        <v>16</v>
      </c>
      <c r="L1609" s="226">
        <f>IFERROR(__xludf.DUMMYFUNCTION("""COMPUTED_VALUE"""),695836.0)</f>
        <v>695836</v>
      </c>
      <c r="M1609" s="227">
        <f>IFERROR(__xludf.DUMMYFUNCTION("""COMPUTED_VALUE"""),1.1133368E7)</f>
        <v>11133368</v>
      </c>
      <c r="N1609" s="222" t="str">
        <f>IFERROR(__xludf.DUMMYFUNCTION("""COMPUTED_VALUE"""),"PT MEDCOM SOLUTION")</f>
        <v>PT MEDCOM SOLUTION</v>
      </c>
      <c r="O1609" s="222" t="str">
        <f>IFERROR(__xludf.DUMMYFUNCTION("""COMPUTED_VALUE"""),"0. DROP")</f>
        <v>0. DROP</v>
      </c>
      <c r="P1609" s="222" t="str">
        <f>IFERROR(__xludf.DUMMYFUNCTION("""COMPUTED_VALUE"""),"0.2 Tidak Dapat Izin Warga/Kades/Lurah/Developer")</f>
        <v>0.2 Tidak Dapat Izin Warga/Kades/Lurah/Developer</v>
      </c>
      <c r="Q1609" s="222" t="str">
        <f>IFERROR(__xludf.DUMMYFUNCTION("""COMPUTED_VALUE"""),"03/03 tidak dapat izin warga space tanam tiang
(07/01) Persiapan")</f>
        <v>03/03 tidak dapat izin warga space tanam tiang
(07/01) Persiapan</v>
      </c>
      <c r="R1609" s="228"/>
      <c r="S1609" s="11"/>
      <c r="T1609" s="11"/>
      <c r="U1609" s="11"/>
      <c r="V1609" s="229"/>
      <c r="W1609" s="229"/>
      <c r="X1609" s="229" t="str">
        <f>IFERROR(__xludf.DUMMYFUNCTION("""COMPUTED_VALUE"""),"BELUM GOLIVE")</f>
        <v>BELUM GOLIVE</v>
      </c>
      <c r="Y1609" s="229"/>
      <c r="Z1609" s="229" t="str">
        <f>IFERROR(__xludf.DUMMYFUNCTION("""COMPUTED_VALUE"""),"#N/A")</f>
        <v>#N/A</v>
      </c>
      <c r="AA1609" s="229"/>
      <c r="AB1609" s="229"/>
      <c r="AC1609" s="229"/>
      <c r="AD1609" s="232"/>
      <c r="AE1609" s="233"/>
      <c r="AF1609" s="54"/>
      <c r="AG1609" s="54"/>
      <c r="AH1609" s="54"/>
      <c r="AI1609" s="55" t="str">
        <f t="shared" si="159"/>
        <v/>
      </c>
      <c r="AW1609" s="234"/>
      <c r="BP1609" s="11"/>
      <c r="BQ1609" s="11"/>
      <c r="BR1609" s="235"/>
      <c r="BV1609" s="158"/>
      <c r="BY1609" s="158"/>
      <c r="CB1609" s="158"/>
    </row>
    <row r="1610" ht="18.0" hidden="1" customHeight="1">
      <c r="A1610" s="222">
        <f>IFERROR(__xludf.DUMMYFUNCTION("""COMPUTED_VALUE"""),2026.0)</f>
        <v>2026</v>
      </c>
      <c r="B1610" s="221">
        <f>IFERROR(__xludf.DUMMYFUNCTION("""COMPUTED_VALUE"""),1.1891487E7)</f>
        <v>11891487</v>
      </c>
      <c r="C1610" s="222" t="str">
        <f>IFERROR(__xludf.DUMMYFUNCTION("""COMPUTED_VALUE"""),"MDN PT3 DLT-FF DELI SERDANG_27474_MD25")</f>
        <v>MDN PT3 DLT-FF DELI SERDANG_27474_MD25</v>
      </c>
      <c r="D1610" s="222" t="str">
        <f>IFERROR(__xludf.DUMMYFUNCTION("""COMPUTED_VALUE"""),"REGIONAL I")</f>
        <v>REGIONAL I</v>
      </c>
      <c r="E1610" s="222" t="str">
        <f>IFERROR(__xludf.DUMMYFUNCTION("""COMPUTED_VALUE"""),"MEDAN")</f>
        <v>MEDAN</v>
      </c>
      <c r="F1610" s="222" t="str">
        <f>IFERROR(__xludf.DUMMYFUNCTION("""COMPUTED_VALUE"""),"DLT")</f>
        <v>DLT</v>
      </c>
      <c r="G1610" s="222" t="str">
        <f>IFERROR(__xludf.DUMMYFUNCTION("""COMPUTED_VALUE"""),"SUMBAGUT")</f>
        <v>SUMBAGUT</v>
      </c>
      <c r="H1610" s="222" t="str">
        <f>IFERROR(__xludf.DUMMYFUNCTION("""COMPUTED_VALUE"""),"MEDAN")</f>
        <v>MEDAN</v>
      </c>
      <c r="I1610" s="222" t="str">
        <f>IFERROR(__xludf.DUMMYFUNCTION("""COMPUTED_VALUE"""),"Batch 2")</f>
        <v>Batch 2</v>
      </c>
      <c r="J1610" s="225">
        <f>IFERROR(__xludf.DUMMYFUNCTION("""COMPUTED_VALUE"""),3.0)</f>
        <v>3</v>
      </c>
      <c r="K1610" s="224">
        <f>IFERROR(__xludf.DUMMYFUNCTION("""COMPUTED_VALUE"""),24.0)</f>
        <v>24</v>
      </c>
      <c r="L1610" s="226">
        <f>IFERROR(__xludf.DUMMYFUNCTION("""COMPUTED_VALUE"""),542426.0)</f>
        <v>542426</v>
      </c>
      <c r="M1610" s="227">
        <f>IFERROR(__xludf.DUMMYFUNCTION("""COMPUTED_VALUE"""),1.3018224E7)</f>
        <v>13018224</v>
      </c>
      <c r="N1610" s="222" t="str">
        <f>IFERROR(__xludf.DUMMYFUNCTION("""COMPUTED_VALUE"""),"PT UPENTEL INTERNASIONAL")</f>
        <v>PT UPENTEL INTERNASIONAL</v>
      </c>
      <c r="O1610" s="222" t="str">
        <f>IFERROR(__xludf.DUMMYFUNCTION("""COMPUTED_VALUE"""),"0. DROP")</f>
        <v>0. DROP</v>
      </c>
      <c r="P1610" s="222" t="str">
        <f>IFERROR(__xludf.DUMMYFUNCTION("""COMPUTED_VALUE"""),"0.2 Tidak Dapat Izin Warga/Kades/Lurah/Developer")</f>
        <v>0.2 Tidak Dapat Izin Warga/Kades/Lurah/Developer</v>
      </c>
      <c r="Q1610" s="222" t="str">
        <f>IFERROR(__xludf.DUMMYFUNCTION("""COMPUTED_VALUE"""),"06/04 warga tidak mengizinkan 31/03 revisit terkait perizinan penggunaan lahan ke warga 04/03 Aanwidzing OK, pengurusan izin ke desa 27/02 done order")</f>
        <v>06/04 warga tidak mengizinkan 31/03 revisit terkait perizinan penggunaan lahan ke warga 04/03 Aanwidzing OK, pengurusan izin ke desa 27/02 done order</v>
      </c>
      <c r="R1610" s="228"/>
      <c r="S1610" s="11"/>
      <c r="T1610" s="11"/>
      <c r="U1610" s="11"/>
      <c r="V1610" s="229"/>
      <c r="W1610" s="229"/>
      <c r="X1610" s="229" t="str">
        <f>IFERROR(__xludf.DUMMYFUNCTION("""COMPUTED_VALUE"""),"BELUM GOLIVE")</f>
        <v>BELUM GOLIVE</v>
      </c>
      <c r="Y1610" s="229"/>
      <c r="Z1610" s="229" t="str">
        <f>IFERROR(__xludf.DUMMYFUNCTION("""COMPUTED_VALUE"""),"#N/A")</f>
        <v>#N/A</v>
      </c>
      <c r="AA1610" s="229"/>
      <c r="AB1610" s="229"/>
      <c r="AC1610" s="229"/>
      <c r="AD1610" s="232"/>
      <c r="AE1610" s="233"/>
      <c r="AF1610" s="54"/>
      <c r="AG1610" s="54"/>
      <c r="AH1610" s="54"/>
      <c r="AI1610" s="55" t="str">
        <f t="shared" si="159"/>
        <v/>
      </c>
      <c r="AW1610" s="234"/>
      <c r="BP1610" s="11"/>
      <c r="BQ1610" s="11"/>
      <c r="BR1610" s="235"/>
      <c r="BV1610" s="158"/>
      <c r="BY1610" s="158"/>
      <c r="CB1610" s="158"/>
    </row>
    <row r="1611" ht="18.0" hidden="1" customHeight="1">
      <c r="A1611" s="222">
        <f>IFERROR(__xludf.DUMMYFUNCTION("""COMPUTED_VALUE"""),2026.0)</f>
        <v>2026</v>
      </c>
      <c r="B1611" s="221">
        <f>IFERROR(__xludf.DUMMYFUNCTION("""COMPUTED_VALUE"""),1.213344E7)</f>
        <v>12133440</v>
      </c>
      <c r="C1611" s="222" t="str">
        <f>IFERROR(__xludf.DUMMYFUNCTION("""COMPUTED_VALUE"""),"LPG PT3 JPP BALAI DESA BUNUT SEBRANG TJK")</f>
        <v>LPG PT3 JPP BALAI DESA BUNUT SEBRANG TJK</v>
      </c>
      <c r="D1611" s="222" t="str">
        <f>IFERROR(__xludf.DUMMYFUNCTION("""COMPUTED_VALUE"""),"REGIONAL I")</f>
        <v>REGIONAL I</v>
      </c>
      <c r="E1611" s="222" t="str">
        <f>IFERROR(__xludf.DUMMYFUNCTION("""COMPUTED_VALUE"""),"LAMPUNG")</f>
        <v>LAMPUNG</v>
      </c>
      <c r="F1611" s="222" t="str">
        <f>IFERROR(__xludf.DUMMYFUNCTION("""COMPUTED_VALUE"""),"TJK")</f>
        <v>TJK</v>
      </c>
      <c r="G1611" s="222" t="str">
        <f>IFERROR(__xludf.DUMMYFUNCTION("""COMPUTED_VALUE"""),"SUMBAGSEL")</f>
        <v>SUMBAGSEL</v>
      </c>
      <c r="H1611" s="222" t="str">
        <f>IFERROR(__xludf.DUMMYFUNCTION("""COMPUTED_VALUE"""),"LAMPUNG")</f>
        <v>LAMPUNG</v>
      </c>
      <c r="I1611" s="222" t="str">
        <f>IFERROR(__xludf.DUMMYFUNCTION("""COMPUTED_VALUE"""),"Batch 2")</f>
        <v>Batch 2</v>
      </c>
      <c r="J1611" s="225">
        <f>IFERROR(__xludf.DUMMYFUNCTION("""COMPUTED_VALUE"""),8.0)</f>
        <v>8</v>
      </c>
      <c r="K1611" s="224">
        <f>IFERROR(__xludf.DUMMYFUNCTION("""COMPUTED_VALUE"""),64.0)</f>
        <v>64</v>
      </c>
      <c r="L1611" s="226">
        <f>IFERROR(__xludf.DUMMYFUNCTION("""COMPUTED_VALUE"""),541104.0)</f>
        <v>541104</v>
      </c>
      <c r="M1611" s="227">
        <f>IFERROR(__xludf.DUMMYFUNCTION("""COMPUTED_VALUE"""),3.463063E7)</f>
        <v>34630630</v>
      </c>
      <c r="N1611" s="222" t="str">
        <f>IFERROR(__xludf.DUMMYFUNCTION("""COMPUTED_VALUE"""),"SWAKELOLA")</f>
        <v>SWAKELOLA</v>
      </c>
      <c r="O1611" s="222" t="str">
        <f>IFERROR(__xludf.DUMMYFUNCTION("""COMPUTED_VALUE"""),"0. DROP")</f>
        <v>0. DROP</v>
      </c>
      <c r="P1611" s="222" t="str">
        <f>IFERROR(__xludf.DUMMYFUNCTION("""COMPUTED_VALUE"""),"0.3 Feeder Full")</f>
        <v>0.3 Feeder Full</v>
      </c>
      <c r="Q1611" s="222" t="str">
        <f>IFERROR(__xludf.DUMMYFUNCTION("""COMPUTED_VALUE"""),"4/2 distribusi eksisting habis 
3/2 proses pengacekan core dan perizinan")</f>
        <v>4/2 distribusi eksisting habis 
3/2 proses pengacekan core dan perizinan</v>
      </c>
      <c r="R1611" s="228"/>
      <c r="S1611" s="11"/>
      <c r="T1611" s="11"/>
      <c r="U1611" s="11"/>
      <c r="V1611" s="229"/>
      <c r="W1611" s="229"/>
      <c r="X1611" s="229" t="str">
        <f>IFERROR(__xludf.DUMMYFUNCTION("""COMPUTED_VALUE"""),"BELUM GOLIVE")</f>
        <v>BELUM GOLIVE</v>
      </c>
      <c r="Y1611" s="229"/>
      <c r="Z1611" s="229" t="str">
        <f>IFERROR(__xludf.DUMMYFUNCTION("""COMPUTED_VALUE"""),"#N/A")</f>
        <v>#N/A</v>
      </c>
      <c r="AA1611" s="229"/>
      <c r="AB1611" s="229"/>
      <c r="AC1611" s="229"/>
      <c r="AD1611" s="232"/>
      <c r="AE1611" s="233"/>
      <c r="AF1611" s="54"/>
      <c r="AG1611" s="54"/>
      <c r="AH1611" s="54"/>
      <c r="AI1611" s="55" t="str">
        <f t="shared" si="159"/>
        <v/>
      </c>
      <c r="AW1611" s="234"/>
      <c r="BP1611" s="11"/>
      <c r="BQ1611" s="11"/>
      <c r="BR1611" s="235"/>
      <c r="BV1611" s="158"/>
      <c r="BY1611" s="158"/>
      <c r="CB1611" s="158"/>
    </row>
    <row r="1612" ht="18.0" hidden="1" customHeight="1">
      <c r="A1612" s="222">
        <f>IFERROR(__xludf.DUMMYFUNCTION("""COMPUTED_VALUE"""),2026.0)</f>
        <v>2026</v>
      </c>
      <c r="B1612" s="221">
        <f>IFERROR(__xludf.DUMMYFUNCTION("""COMPUTED_VALUE"""),1.1390945E7)</f>
        <v>11390945</v>
      </c>
      <c r="C1612" s="222" t="str">
        <f>IFERROR(__xludf.DUMMYFUNCTION("""COMPUTED_VALUE"""),"LPG JPP PT3 KOTA BANDAR LAMPUNG_7133 TJK")</f>
        <v>LPG JPP PT3 KOTA BANDAR LAMPUNG_7133 TJK</v>
      </c>
      <c r="D1612" s="222" t="str">
        <f>IFERROR(__xludf.DUMMYFUNCTION("""COMPUTED_VALUE"""),"REGIONAL I")</f>
        <v>REGIONAL I</v>
      </c>
      <c r="E1612" s="222" t="str">
        <f>IFERROR(__xludf.DUMMYFUNCTION("""COMPUTED_VALUE"""),"LAMPUNG")</f>
        <v>LAMPUNG</v>
      </c>
      <c r="F1612" s="222" t="str">
        <f>IFERROR(__xludf.DUMMYFUNCTION("""COMPUTED_VALUE"""),"TJK")</f>
        <v>TJK</v>
      </c>
      <c r="G1612" s="222" t="str">
        <f>IFERROR(__xludf.DUMMYFUNCTION("""COMPUTED_VALUE"""),"SUMBAGSEL")</f>
        <v>SUMBAGSEL</v>
      </c>
      <c r="H1612" s="222" t="str">
        <f>IFERROR(__xludf.DUMMYFUNCTION("""COMPUTED_VALUE"""),"LAMPUNG")</f>
        <v>LAMPUNG</v>
      </c>
      <c r="I1612" s="222" t="str">
        <f>IFERROR(__xludf.DUMMYFUNCTION("""COMPUTED_VALUE"""),"Batch 2")</f>
        <v>Batch 2</v>
      </c>
      <c r="J1612" s="225">
        <f>IFERROR(__xludf.DUMMYFUNCTION("""COMPUTED_VALUE"""),3.0)</f>
        <v>3</v>
      </c>
      <c r="K1612" s="224">
        <f>IFERROR(__xludf.DUMMYFUNCTION("""COMPUTED_VALUE"""),24.0)</f>
        <v>24</v>
      </c>
      <c r="L1612" s="226">
        <f>IFERROR(__xludf.DUMMYFUNCTION("""COMPUTED_VALUE"""),539652.0)</f>
        <v>539652</v>
      </c>
      <c r="M1612" s="227">
        <f>IFERROR(__xludf.DUMMYFUNCTION("""COMPUTED_VALUE"""),1.295164E7)</f>
        <v>12951640</v>
      </c>
      <c r="N1612" s="222" t="str">
        <f>IFERROR(__xludf.DUMMYFUNCTION("""COMPUTED_VALUE"""),"PT CINA COMSERVICE INDONESIA")</f>
        <v>PT CINA COMSERVICE INDONESIA</v>
      </c>
      <c r="O1612" s="222" t="str">
        <f>IFERROR(__xludf.DUMMYFUNCTION("""COMPUTED_VALUE"""),"4. MATDEL")</f>
        <v>4. MATDEL</v>
      </c>
      <c r="P1612" s="222" t="str">
        <f>IFERROR(__xludf.DUMMYFUNCTION("""COMPUTED_VALUE"""),"4.1 Belum Request Material (Alista)")</f>
        <v>4.1 Belum Request Material (Alista)</v>
      </c>
      <c r="Q1612" s="222" t="str">
        <f>IFERROR(__xludf.DUMMYFUNCTION("""COMPUTED_VALUE"""),"24/4 plan matdel 25/4, 22/4 plan matdel  Depedensi Dengan CSF 24/4,, 15/4 proses pengajuan pr/po bisa (ba manual), 13/04 Plan kirim material 14 Apr 09/4  plan matdel dengan BA Manual 8/4 proses perizinan done  06/04 Proses Perizinan done, lanjut PR PO  2/"&amp;"4  progres perizinan dan pengecekan core
31/3  progres perizinan dan pengecekan core")</f>
        <v>24/4 plan matdel 25/4, 22/4 plan matdel  Depedensi Dengan CSF 24/4,, 15/4 proses pengajuan pr/po bisa (ba manual), 13/04 Plan kirim material 14 Apr 09/4  plan matdel dengan BA Manual 8/4 proses perizinan done  06/04 Proses Perizinan done, lanjut PR PO  2/4  progres perizinan dan pengecekan core
31/3  progres perizinan dan pengecekan core</v>
      </c>
      <c r="R1612" s="228"/>
      <c r="S1612" s="11" t="str">
        <f>IFERROR(__xludf.DUMMYFUNCTION("""COMPUTED_VALUE"""),"MEI")</f>
        <v>MEI</v>
      </c>
      <c r="T1612" s="73"/>
      <c r="U1612" s="11"/>
      <c r="V1612" s="229"/>
      <c r="W1612" s="229"/>
      <c r="X1612" s="229" t="str">
        <f>IFERROR(__xludf.DUMMYFUNCTION("""COMPUTED_VALUE"""),"BELUM GOLIVE")</f>
        <v>BELUM GOLIVE</v>
      </c>
      <c r="Y1612" s="229"/>
      <c r="Z1612" s="229" t="str">
        <f>IFERROR(__xludf.DUMMYFUNCTION("""COMPUTED_VALUE"""),"#N/A")</f>
        <v>#N/A</v>
      </c>
      <c r="AA1612" s="229"/>
      <c r="AB1612" s="229"/>
      <c r="AC1612" s="229"/>
      <c r="AD1612" s="232"/>
      <c r="AE1612" s="233"/>
      <c r="AF1612" s="54"/>
      <c r="AG1612" s="54"/>
      <c r="AH1612" s="54">
        <v>46136.0</v>
      </c>
      <c r="AI1612" s="55" t="str">
        <f t="shared" si="159"/>
        <v/>
      </c>
      <c r="AW1612" s="234"/>
      <c r="BP1612" s="11"/>
      <c r="BQ1612" s="11"/>
      <c r="BR1612" s="235"/>
      <c r="BV1612" s="158"/>
      <c r="BY1612" s="158"/>
      <c r="CB1612" s="158"/>
    </row>
    <row r="1613" ht="18.0" hidden="1" customHeight="1">
      <c r="A1613" s="222">
        <f>IFERROR(__xludf.DUMMYFUNCTION("""COMPUTED_VALUE"""),2026.0)</f>
        <v>2026</v>
      </c>
      <c r="B1613" s="221">
        <f>IFERROR(__xludf.DUMMYFUNCTION("""COMPUTED_VALUE"""),1.2438089E7)</f>
        <v>12438089</v>
      </c>
      <c r="C1613" s="222" t="str">
        <f>IFERROR(__xludf.DUMMYFUNCTION("""COMPUTED_VALUE"""),"SMS P4I4 PT3 IDL FD D01 RIZAL RIZKI")</f>
        <v>SMS P4I4 PT3 IDL FD D01 RIZAL RIZKI</v>
      </c>
      <c r="D1613" s="222" t="str">
        <f>IFERROR(__xludf.DUMMYFUNCTION("""COMPUTED_VALUE"""),"REGIONAL I")</f>
        <v>REGIONAL I</v>
      </c>
      <c r="E1613" s="222" t="str">
        <f>IFERROR(__xludf.DUMMYFUNCTION("""COMPUTED_VALUE"""),"SUMSEL")</f>
        <v>SUMSEL</v>
      </c>
      <c r="F1613" s="222" t="str">
        <f>IFERROR(__xludf.DUMMYFUNCTION("""COMPUTED_VALUE"""),"IDL")</f>
        <v>IDL</v>
      </c>
      <c r="G1613" s="222" t="str">
        <f>IFERROR(__xludf.DUMMYFUNCTION("""COMPUTED_VALUE"""),"SUMBAGSEL")</f>
        <v>SUMBAGSEL</v>
      </c>
      <c r="H1613" s="222" t="str">
        <f>IFERROR(__xludf.DUMMYFUNCTION("""COMPUTED_VALUE"""),"PALEMBANG")</f>
        <v>PALEMBANG</v>
      </c>
      <c r="I1613" s="222" t="str">
        <f>IFERROR(__xludf.DUMMYFUNCTION("""COMPUTED_VALUE"""),"Batch 2")</f>
        <v>Batch 2</v>
      </c>
      <c r="J1613" s="225">
        <f>IFERROR(__xludf.DUMMYFUNCTION("""COMPUTED_VALUE"""),2.0)</f>
        <v>2</v>
      </c>
      <c r="K1613" s="224">
        <f>IFERROR(__xludf.DUMMYFUNCTION("""COMPUTED_VALUE"""),16.0)</f>
        <v>16</v>
      </c>
      <c r="L1613" s="226">
        <f>IFERROR(__xludf.DUMMYFUNCTION("""COMPUTED_VALUE"""),538286.0)</f>
        <v>538286</v>
      </c>
      <c r="M1613" s="227">
        <f>IFERROR(__xludf.DUMMYFUNCTION("""COMPUTED_VALUE"""),8612566.0)</f>
        <v>8612566</v>
      </c>
      <c r="N1613" s="222" t="str">
        <f>IFERROR(__xludf.DUMMYFUNCTION("""COMPUTED_VALUE"""),"PT SARANA MITRA PERSADA")</f>
        <v>PT SARANA MITRA PERSADA</v>
      </c>
      <c r="O1613" s="222" t="str">
        <f>IFERROR(__xludf.DUMMYFUNCTION("""COMPUTED_VALUE"""),"0. DROP")</f>
        <v>0. DROP</v>
      </c>
      <c r="P1613" s="222" t="str">
        <f>IFERROR(__xludf.DUMMYFUNCTION("""COMPUTED_VALUE"""),"0.3 Feeder Full")</f>
        <v>0.3 Feeder Full</v>
      </c>
      <c r="Q1613" s="222" t="str">
        <f>IFERROR(__xludf.DUMMYFUNCTION("""COMPUTED_VALUE"""),"24/02 DROP STUB CORE FEEDER HABIS, 06/02 DROP STUN FEEDER HABIS, 30/01 PASTIKAN NILAI QE FEEDER , HOLD 27/01 done aanwizjing, stub core feeder habis, 30/01 HOLD feeder tidak ada di ODC - PASTIKAN NILAI QE FEEDER, 25/01 DROP STUB FEEDER HABIS, (21/01) AANW"&amp;"IDJZING, (15/1) ORDER DITERIMA 14/1, PLAN AANWIJDZING 20 JAN 26 (14/11)HOLD- tidak masuk target Optimis 2025 (
 14/01 penunjukan mitra oleh procurement")</f>
        <v>24/02 DROP STUB CORE FEEDER HABIS, 06/02 DROP STUN FEEDER HABIS, 30/01 PASTIKAN NILAI QE FEEDER , HOLD 27/01 done aanwizjing, stub core feeder habis, 30/01 HOLD feeder tidak ada di ODC - PASTIKAN NILAI QE FEEDER, 25/01 DROP STUB FEEDER HABIS, (21/01) AANWIDJZING, (15/1) ORDER DITERIMA 14/1, PLAN AANWIJDZING 20 JAN 26 (14/11)HOLD- tidak masuk target Optimis 2025 (
 14/01 penunjukan mitra oleh procurement</v>
      </c>
      <c r="R1613" s="228"/>
      <c r="S1613" s="11"/>
      <c r="T1613" s="11"/>
      <c r="U1613" s="11"/>
      <c r="V1613" s="229" t="str">
        <f>IFERROR(__xludf.DUMMYFUNCTION("""COMPUTED_VALUE"""),"RENALDO")</f>
        <v>RENALDO</v>
      </c>
      <c r="W1613" s="229"/>
      <c r="X1613" s="229" t="str">
        <f>IFERROR(__xludf.DUMMYFUNCTION("""COMPUTED_VALUE"""),"BELUM GOLIVE")</f>
        <v>BELUM GOLIVE</v>
      </c>
      <c r="Y1613" s="229"/>
      <c r="Z1613" s="229" t="str">
        <f>IFERROR(__xludf.DUMMYFUNCTION("""COMPUTED_VALUE"""),"#N/A")</f>
        <v>#N/A</v>
      </c>
      <c r="AA1613" s="229"/>
      <c r="AB1613" s="229"/>
      <c r="AC1613" s="229"/>
      <c r="AD1613" s="232"/>
      <c r="AE1613" s="233"/>
      <c r="AF1613" s="54" t="str">
        <f>IFERROR(__xludf.DUMMYFUNCTION("""COMPUTED_VALUE"""),"Draft BA DROP")</f>
        <v>Draft BA DROP</v>
      </c>
      <c r="AG1613" s="54"/>
      <c r="AH1613" s="54"/>
      <c r="AI1613" s="55" t="str">
        <f t="shared" si="159"/>
        <v/>
      </c>
      <c r="AW1613" s="234"/>
      <c r="BP1613" s="11"/>
      <c r="BQ1613" s="11"/>
      <c r="BR1613" s="235"/>
      <c r="BV1613" s="158"/>
      <c r="BY1613" s="158"/>
      <c r="CB1613" s="158"/>
    </row>
    <row r="1614" ht="18.0" hidden="1" customHeight="1">
      <c r="A1614" s="222">
        <f>IFERROR(__xludf.DUMMYFUNCTION("""COMPUTED_VALUE"""),2026.0)</f>
        <v>2026</v>
      </c>
      <c r="B1614" s="221">
        <f>IFERROR(__xludf.DUMMYFUNCTION("""COMPUTED_VALUE"""),1.2219414E7)</f>
        <v>12219414</v>
      </c>
      <c r="C1614" s="222" t="str">
        <f>IFERROR(__xludf.DUMMYFUNCTION("""COMPUTED_VALUE"""),"ACH PT3 LS KGH-FL RUNGKOM")</f>
        <v>ACH PT3 LS KGH-FL RUNGKOM</v>
      </c>
      <c r="D1614" s="222" t="str">
        <f>IFERROR(__xludf.DUMMYFUNCTION("""COMPUTED_VALUE"""),"REGIONAL I")</f>
        <v>REGIONAL I</v>
      </c>
      <c r="E1614" s="222" t="str">
        <f>IFERROR(__xludf.DUMMYFUNCTION("""COMPUTED_VALUE"""),"ACEH")</f>
        <v>ACEH</v>
      </c>
      <c r="F1614" s="222" t="str">
        <f>IFERROR(__xludf.DUMMYFUNCTION("""COMPUTED_VALUE"""),"KGH")</f>
        <v>KGH</v>
      </c>
      <c r="G1614" s="222" t="str">
        <f>IFERROR(__xludf.DUMMYFUNCTION("""COMPUTED_VALUE"""),"SUMBAGUT")</f>
        <v>SUMBAGUT</v>
      </c>
      <c r="H1614" s="222" t="str">
        <f>IFERROR(__xludf.DUMMYFUNCTION("""COMPUTED_VALUE"""),"BINJAI")</f>
        <v>BINJAI</v>
      </c>
      <c r="I1614" s="222" t="str">
        <f>IFERROR(__xludf.DUMMYFUNCTION("""COMPUTED_VALUE"""),"Batch 2")</f>
        <v>Batch 2</v>
      </c>
      <c r="J1614" s="225">
        <f>IFERROR(__xludf.DUMMYFUNCTION("""COMPUTED_VALUE"""),4.0)</f>
        <v>4</v>
      </c>
      <c r="K1614" s="224">
        <f>IFERROR(__xludf.DUMMYFUNCTION("""COMPUTED_VALUE"""),32.0)</f>
        <v>32</v>
      </c>
      <c r="L1614" s="226">
        <f>IFERROR(__xludf.DUMMYFUNCTION("""COMPUTED_VALUE"""),536895.0)</f>
        <v>536895</v>
      </c>
      <c r="M1614" s="227">
        <f>IFERROR(__xludf.DUMMYFUNCTION("""COMPUTED_VALUE"""),1.7180613E7)</f>
        <v>17180613</v>
      </c>
      <c r="N1614" s="222" t="str">
        <f>IFERROR(__xludf.DUMMYFUNCTION("""COMPUTED_VALUE"""),"PT MITRA AKSES INSANI")</f>
        <v>PT MITRA AKSES INSANI</v>
      </c>
      <c r="O1614" s="222" t="str">
        <f>IFERROR(__xludf.DUMMYFUNCTION("""COMPUTED_VALUE"""),"7. GOLIVE")</f>
        <v>7. GOLIVE</v>
      </c>
      <c r="P1614" s="222" t="str">
        <f>IFERROR(__xludf.DUMMYFUNCTION("""COMPUTED_VALUE"""),"7.2 Golive Full / OA / DONE OTB")</f>
        <v>7.2 Golive Full / OA / DONE OTB</v>
      </c>
      <c r="Q1614" s="222" t="str">
        <f>IFERROR(__xludf.DUMMYFUNCTION("""COMPUTED_VALUE"""),"(10/03) Penarikan Kabel (02/03) Penarikan Kabel (23/02) Tanam Tiang (14/02) DelMat (07/01) Persiapan")</f>
        <v>(10/03) Penarikan Kabel (02/03) Penarikan Kabel (23/02) Tanam Tiang (14/02) DelMat (07/01) Persiapan</v>
      </c>
      <c r="R1614" s="228">
        <f>IFERROR(__xludf.DUMMYFUNCTION("""COMPUTED_VALUE"""),46109.0)</f>
        <v>46109</v>
      </c>
      <c r="S1614" s="11" t="str">
        <f>IFERROR(__xludf.DUMMYFUNCTION("""COMPUTED_VALUE"""),"MAR")</f>
        <v>MAR</v>
      </c>
      <c r="T1614" s="11"/>
      <c r="U1614" s="11"/>
      <c r="V1614" s="229"/>
      <c r="W1614" s="229" t="str">
        <f>IFERROR(__xludf.DUMMYFUNCTION("""COMPUTED_VALUE"""),"#N/A")</f>
        <v>#N/A</v>
      </c>
      <c r="X1614" s="229" t="str">
        <f>IFERROR(__xludf.DUMMYFUNCTION("""COMPUTED_VALUE"""),"GOLIVE")</f>
        <v>GOLIVE</v>
      </c>
      <c r="Y1614" s="229" t="str">
        <f>IFERROR(__xludf.DUMMYFUNCTION("""COMPUTED_VALUE"""),"DONE")</f>
        <v>DONE</v>
      </c>
      <c r="Z1614" s="229" t="str">
        <f>IFERROR(__xludf.DUMMYFUNCTION("""COMPUTED_VALUE"""),"#N/A")</f>
        <v>#N/A</v>
      </c>
      <c r="AA1614" s="229">
        <f>IFERROR(__xludf.DUMMYFUNCTION("""COMPUTED_VALUE"""),4.0)</f>
        <v>4</v>
      </c>
      <c r="AB1614" s="229"/>
      <c r="AC1614" s="229" t="str">
        <f>IFERROR(__xludf.DUMMYFUNCTION("""COMPUTED_VALUE"""),"9232532#9232537")</f>
        <v>9232532#9232537</v>
      </c>
      <c r="AD1614" s="232">
        <f>IFERROR(__xludf.DUMMYFUNCTION("""COMPUTED_VALUE"""),32.0)</f>
        <v>32</v>
      </c>
      <c r="AE1614" s="233">
        <f>IFERROR(__xludf.DUMMYFUNCTION("""COMPUTED_VALUE"""),46112.0)</f>
        <v>46112</v>
      </c>
      <c r="AF1614" s="54"/>
      <c r="AG1614" s="54"/>
      <c r="AH1614" s="54">
        <v>46109.0</v>
      </c>
      <c r="AI1614" s="55">
        <f t="shared" si="159"/>
        <v>-3</v>
      </c>
      <c r="AW1614" s="234"/>
      <c r="BP1614" s="11"/>
      <c r="BQ1614" s="11"/>
      <c r="BR1614" s="235"/>
      <c r="BV1614" s="158"/>
      <c r="BY1614" s="158"/>
      <c r="CB1614" s="158"/>
    </row>
    <row r="1615" ht="18.0" hidden="1" customHeight="1">
      <c r="A1615" s="222">
        <f>IFERROR(__xludf.DUMMYFUNCTION("""COMPUTED_VALUE"""),2026.0)</f>
        <v>2026</v>
      </c>
      <c r="B1615" s="221">
        <f>IFERROR(__xludf.DUMMYFUNCTION("""COMPUTED_VALUE"""),1.118762E7)</f>
        <v>11187620</v>
      </c>
      <c r="C1615" s="222" t="str">
        <f>IFERROR(__xludf.DUMMYFUNCTION("""COMPUTED_VALUE"""),"MDN PT3 CTD-FC JL.PAYAH BAKUNG MULYOREJO")</f>
        <v>MDN PT3 CTD-FC JL.PAYAH BAKUNG MULYOREJO</v>
      </c>
      <c r="D1615" s="222" t="str">
        <f>IFERROR(__xludf.DUMMYFUNCTION("""COMPUTED_VALUE"""),"REGIONAL I")</f>
        <v>REGIONAL I</v>
      </c>
      <c r="E1615" s="222" t="str">
        <f>IFERROR(__xludf.DUMMYFUNCTION("""COMPUTED_VALUE"""),"MEDAN")</f>
        <v>MEDAN</v>
      </c>
      <c r="F1615" s="222" t="str">
        <f>IFERROR(__xludf.DUMMYFUNCTION("""COMPUTED_VALUE"""),"CTD")</f>
        <v>CTD</v>
      </c>
      <c r="G1615" s="222" t="str">
        <f>IFERROR(__xludf.DUMMYFUNCTION("""COMPUTED_VALUE"""),"SUMBAGUT")</f>
        <v>SUMBAGUT</v>
      </c>
      <c r="H1615" s="222" t="str">
        <f>IFERROR(__xludf.DUMMYFUNCTION("""COMPUTED_VALUE"""),"MEDAN")</f>
        <v>MEDAN</v>
      </c>
      <c r="I1615" s="222" t="str">
        <f>IFERROR(__xludf.DUMMYFUNCTION("""COMPUTED_VALUE"""),"Batch 2")</f>
        <v>Batch 2</v>
      </c>
      <c r="J1615" s="225">
        <f>IFERROR(__xludf.DUMMYFUNCTION("""COMPUTED_VALUE"""),6.0)</f>
        <v>6</v>
      </c>
      <c r="K1615" s="224">
        <f>IFERROR(__xludf.DUMMYFUNCTION("""COMPUTED_VALUE"""),48.0)</f>
        <v>48</v>
      </c>
      <c r="L1615" s="226">
        <f>IFERROR(__xludf.DUMMYFUNCTION("""COMPUTED_VALUE"""),536746.0)</f>
        <v>536746</v>
      </c>
      <c r="M1615" s="227">
        <f>IFERROR(__xludf.DUMMYFUNCTION("""COMPUTED_VALUE"""),2.5763774E7)</f>
        <v>25763774</v>
      </c>
      <c r="N1615" s="222" t="str">
        <f>IFERROR(__xludf.DUMMYFUNCTION("""COMPUTED_VALUE"""),"SWAKELOLA")</f>
        <v>SWAKELOLA</v>
      </c>
      <c r="O1615" s="222" t="str">
        <f>IFERROR(__xludf.DUMMYFUNCTION("""COMPUTED_VALUE"""),"2. DONE AANWIJZING")</f>
        <v>2. DONE AANWIJZING</v>
      </c>
      <c r="P1615" s="222" t="str">
        <f>IFERROR(__xludf.DUMMYFUNCTION("""COMPUTED_VALUE"""),"2.10 Kendala - Feeder Rusak")</f>
        <v>2.10 Kendala - Feeder Rusak</v>
      </c>
      <c r="Q1615" s="222" t="str">
        <f>IFERROR(__xludf.DUMMYFUNCTION("""COMPUTED_VALUE"""),"22/04 pengecekan tipus butuh QE
16/10 Feeder Redaman Tinggi 
16/10 Mapping Mitra")</f>
        <v>22/04 pengecekan tipus butuh QE
16/10 Feeder Redaman Tinggi 
16/10 Mapping Mitra</v>
      </c>
      <c r="R1615" s="228"/>
      <c r="S1615" s="11"/>
      <c r="T1615" s="11"/>
      <c r="U1615" s="11"/>
      <c r="V1615" s="229"/>
      <c r="W1615" s="229"/>
      <c r="X1615" s="229" t="str">
        <f>IFERROR(__xludf.DUMMYFUNCTION("""COMPUTED_VALUE"""),"BELUM GOLIVE")</f>
        <v>BELUM GOLIVE</v>
      </c>
      <c r="Y1615" s="229"/>
      <c r="Z1615" s="229" t="str">
        <f>IFERROR(__xludf.DUMMYFUNCTION("""COMPUTED_VALUE"""),"#N/A")</f>
        <v>#N/A</v>
      </c>
      <c r="AA1615" s="229"/>
      <c r="AB1615" s="229"/>
      <c r="AC1615" s="229"/>
      <c r="AD1615" s="232"/>
      <c r="AE1615" s="233"/>
      <c r="AF1615" s="54"/>
      <c r="AG1615" s="54"/>
      <c r="AH1615" s="54"/>
      <c r="AI1615" s="55" t="str">
        <f t="shared" si="159"/>
        <v/>
      </c>
      <c r="AW1615" s="234"/>
      <c r="BP1615" s="11"/>
      <c r="BQ1615" s="11"/>
      <c r="BR1615" s="235"/>
      <c r="BV1615" s="158"/>
      <c r="BY1615" s="158"/>
      <c r="CB1615" s="158"/>
    </row>
    <row r="1616" ht="18.0" hidden="1" customHeight="1">
      <c r="A1616" s="222">
        <f>IFERROR(__xludf.DUMMYFUNCTION("""COMPUTED_VALUE"""),2026.0)</f>
        <v>2026</v>
      </c>
      <c r="B1616" s="221">
        <f>IFERROR(__xludf.DUMMYFUNCTION("""COMPUTED_VALUE"""),1.1112381E7)</f>
        <v>11112381</v>
      </c>
      <c r="C1616" s="222" t="str">
        <f>IFERROR(__xludf.DUMMYFUNCTION("""COMPUTED_VALUE"""),"MDN PT3 P7I5 TJR-FAM SCATER GG.BUKIT")</f>
        <v>MDN PT3 P7I5 TJR-FAM SCATER GG.BUKIT</v>
      </c>
      <c r="D1616" s="222" t="str">
        <f>IFERROR(__xludf.DUMMYFUNCTION("""COMPUTED_VALUE"""),"REGIONAL I")</f>
        <v>REGIONAL I</v>
      </c>
      <c r="E1616" s="222" t="str">
        <f>IFERROR(__xludf.DUMMYFUNCTION("""COMPUTED_VALUE"""),"MEDAN")</f>
        <v>MEDAN</v>
      </c>
      <c r="F1616" s="222" t="str">
        <f>IFERROR(__xludf.DUMMYFUNCTION("""COMPUTED_VALUE"""),"TJR")</f>
        <v>TJR</v>
      </c>
      <c r="G1616" s="222" t="str">
        <f>IFERROR(__xludf.DUMMYFUNCTION("""COMPUTED_VALUE"""),"SUMBAGUT")</f>
        <v>SUMBAGUT</v>
      </c>
      <c r="H1616" s="222" t="str">
        <f>IFERROR(__xludf.DUMMYFUNCTION("""COMPUTED_VALUE"""),"MEDAN")</f>
        <v>MEDAN</v>
      </c>
      <c r="I1616" s="222" t="str">
        <f>IFERROR(__xludf.DUMMYFUNCTION("""COMPUTED_VALUE"""),"Batch 2")</f>
        <v>Batch 2</v>
      </c>
      <c r="J1616" s="225">
        <f>IFERROR(__xludf.DUMMYFUNCTION("""COMPUTED_VALUE"""),3.0)</f>
        <v>3</v>
      </c>
      <c r="K1616" s="224">
        <f>IFERROR(__xludf.DUMMYFUNCTION("""COMPUTED_VALUE"""),24.0)</f>
        <v>24</v>
      </c>
      <c r="L1616" s="226">
        <f>IFERROR(__xludf.DUMMYFUNCTION("""COMPUTED_VALUE"""),536035.0)</f>
        <v>536035</v>
      </c>
      <c r="M1616" s="227">
        <f>IFERROR(__xludf.DUMMYFUNCTION("""COMPUTED_VALUE"""),1.286482E7)</f>
        <v>12864820</v>
      </c>
      <c r="N1616" s="222" t="str">
        <f>IFERROR(__xludf.DUMMYFUNCTION("""COMPUTED_VALUE"""),"PT UPAYA TEKNIK")</f>
        <v>PT UPAYA TEKNIK</v>
      </c>
      <c r="O1616" s="222" t="str">
        <f>IFERROR(__xludf.DUMMYFUNCTION("""COMPUTED_VALUE"""),"2. DONE AANWIJZING")</f>
        <v>2. DONE AANWIJZING</v>
      </c>
      <c r="P1616" s="222" t="str">
        <f>IFERROR(__xludf.DUMMYFUNCTION("""COMPUTED_VALUE"""),"2.9 Kendala - Distribusi Penuh / Rusak")</f>
        <v>2.9 Kendala - Distribusi Penuh / Rusak</v>
      </c>
      <c r="Q1616" s="222" t="str">
        <f>IFERROR(__xludf.DUMMYFUNCTION("""COMPUTED_VALUE"""),"21/04 sdh redisgn survey ulang
12/02 D04 tidak tembus/loss
(07/01) Persiapan")</f>
        <v>21/04 sdh redisgn survey ulang
12/02 D04 tidak tembus/loss
(07/01) Persiapan</v>
      </c>
      <c r="R1616" s="228"/>
      <c r="S1616" s="11"/>
      <c r="T1616" s="11"/>
      <c r="U1616" s="11"/>
      <c r="V1616" s="229"/>
      <c r="W1616" s="229"/>
      <c r="X1616" s="229" t="str">
        <f>IFERROR(__xludf.DUMMYFUNCTION("""COMPUTED_VALUE"""),"BELUM GOLIVE")</f>
        <v>BELUM GOLIVE</v>
      </c>
      <c r="Y1616" s="229"/>
      <c r="Z1616" s="229" t="str">
        <f>IFERROR(__xludf.DUMMYFUNCTION("""COMPUTED_VALUE"""),"#N/A")</f>
        <v>#N/A</v>
      </c>
      <c r="AA1616" s="229"/>
      <c r="AB1616" s="229"/>
      <c r="AC1616" s="229"/>
      <c r="AD1616" s="232"/>
      <c r="AE1616" s="233"/>
      <c r="AF1616" s="54"/>
      <c r="AG1616" s="54"/>
      <c r="AH1616" s="54">
        <v>46137.0</v>
      </c>
      <c r="AI1616" s="237">
        <f>AH1616-NOW()</f>
        <v>-3.377989931</v>
      </c>
      <c r="AJ1616" s="229" t="str">
        <f>if(AI1616&gt;=0,"In Komitmen","Out Komitmen")</f>
        <v>Out Komitmen</v>
      </c>
      <c r="AK1616" s="229" t="e">
        <v>#N/A</v>
      </c>
      <c r="AW1616" s="234"/>
      <c r="BP1616" s="11"/>
      <c r="BQ1616" s="11"/>
      <c r="BR1616" s="235"/>
      <c r="BV1616" s="158"/>
      <c r="BY1616" s="158"/>
      <c r="CB1616" s="158"/>
    </row>
    <row r="1617" ht="18.0" customHeight="1">
      <c r="A1617" s="222">
        <f>IFERROR(__xludf.DUMMYFUNCTION("""COMPUTED_VALUE"""),2026.0)</f>
        <v>2026</v>
      </c>
      <c r="B1617" s="221">
        <f>IFERROR(__xludf.DUMMYFUNCTION("""COMPUTED_VALUE"""),1.1281126E7)</f>
        <v>11281126</v>
      </c>
      <c r="C1617" s="222" t="str">
        <f>IFERROR(__xludf.DUMMYFUNCTION("""COMPUTED_VALUE"""),"RKP PT3 TSEL RAI-FJ KOMPI INF RANAI")</f>
        <v>RKP PT3 TSEL RAI-FJ KOMPI INF RANAI</v>
      </c>
      <c r="D1617" s="222" t="str">
        <f>IFERROR(__xludf.DUMMYFUNCTION("""COMPUTED_VALUE"""),"REGIONAL I")</f>
        <v>REGIONAL I</v>
      </c>
      <c r="E1617" s="222" t="str">
        <f>IFERROR(__xludf.DUMMYFUNCTION("""COMPUTED_VALUE"""),"RIKEP")</f>
        <v>RIKEP</v>
      </c>
      <c r="F1617" s="222" t="str">
        <f>IFERROR(__xludf.DUMMYFUNCTION("""COMPUTED_VALUE"""),"RAI")</f>
        <v>RAI</v>
      </c>
      <c r="G1617" s="222" t="str">
        <f>IFERROR(__xludf.DUMMYFUNCTION("""COMPUTED_VALUE"""),"SUMBAGTENG")</f>
        <v>SUMBAGTENG</v>
      </c>
      <c r="H1617" s="222" t="str">
        <f>IFERROR(__xludf.DUMMYFUNCTION("""COMPUTED_VALUE"""),"BATAM")</f>
        <v>BATAM</v>
      </c>
      <c r="I1617" s="222" t="str">
        <f>IFERROR(__xludf.DUMMYFUNCTION("""COMPUTED_VALUE"""),"Batch 2")</f>
        <v>Batch 2</v>
      </c>
      <c r="J1617" s="225">
        <f>IFERROR(__xludf.DUMMYFUNCTION("""COMPUTED_VALUE"""),6.0)</f>
        <v>6</v>
      </c>
      <c r="K1617" s="224">
        <f>IFERROR(__xludf.DUMMYFUNCTION("""COMPUTED_VALUE"""),48.0)</f>
        <v>48</v>
      </c>
      <c r="L1617" s="226">
        <f>IFERROR(__xludf.DUMMYFUNCTION("""COMPUTED_VALUE"""),535678.0)</f>
        <v>535678</v>
      </c>
      <c r="M1617" s="227">
        <f>IFERROR(__xludf.DUMMYFUNCTION("""COMPUTED_VALUE"""),2.5712532E7)</f>
        <v>25712532</v>
      </c>
      <c r="N1617" s="222" t="str">
        <f>IFERROR(__xludf.DUMMYFUNCTION("""COMPUTED_VALUE"""),"SWAKELOLA")</f>
        <v>SWAKELOLA</v>
      </c>
      <c r="O1617" s="222" t="str">
        <f>IFERROR(__xludf.DUMMYFUNCTION("""COMPUTED_VALUE"""),"4. MATDEL")</f>
        <v>4. MATDEL</v>
      </c>
      <c r="P1617" s="222" t="str">
        <f>IFERROR(__xludf.DUMMYFUNCTION("""COMPUTED_VALUE"""),"4.3 Proses Kirim Mateial Kelokasi")</f>
        <v>4.3 Proses Kirim Mateial Kelokasi</v>
      </c>
      <c r="Q1617"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617" s="228"/>
      <c r="S1617" s="11"/>
      <c r="T1617" s="11"/>
      <c r="U1617" s="11" t="str">
        <f>IFERROR(__xludf.DUMMYFUNCTION("""COMPUTED_VALUE"""),"W09-236/2026")</f>
        <v>W09-236/2026</v>
      </c>
      <c r="V1617" s="229" t="str">
        <f>IFERROR(__xludf.DUMMYFUNCTION("""COMPUTED_VALUE"""),"DEDY IRAWAN")</f>
        <v>DEDY IRAWAN</v>
      </c>
      <c r="W1617" s="229" t="str">
        <f>IFERROR(__xludf.DUMMYFUNCTION("""COMPUTED_VALUE"""),"LEVITA INDRIYANI")</f>
        <v>LEVITA INDRIYANI</v>
      </c>
      <c r="X1617" s="229" t="str">
        <f>IFERROR(__xludf.DUMMYFUNCTION("""COMPUTED_VALUE"""),"BELUM GOLIVE")</f>
        <v>BELUM GOLIVE</v>
      </c>
      <c r="Y1617" s="229"/>
      <c r="Z1617" s="229" t="str">
        <f>IFERROR(__xludf.DUMMYFUNCTION("""COMPUTED_VALUE"""),"#N/A")</f>
        <v>#N/A</v>
      </c>
      <c r="AA1617" s="229"/>
      <c r="AB1617" s="229"/>
      <c r="AC1617" s="229"/>
      <c r="AD1617" s="232"/>
      <c r="AE1617" s="233"/>
      <c r="AF1617" s="54"/>
      <c r="AG1617" s="54"/>
      <c r="AH1617" s="54"/>
      <c r="AI1617" s="55" t="str">
        <f t="shared" ref="AI1617:AI1634" si="160">IF(OR(R1617="",AE1617=""),"",R1617-AE1617)</f>
        <v/>
      </c>
      <c r="AW1617" s="234"/>
      <c r="BP1617" s="11"/>
      <c r="BQ1617" s="11"/>
      <c r="BR1617" s="235"/>
      <c r="BV1617" s="158"/>
      <c r="BY1617" s="158"/>
      <c r="CB1617" s="158"/>
    </row>
    <row r="1618" ht="18.0" customHeight="1">
      <c r="A1618" s="222">
        <f>IFERROR(__xludf.DUMMYFUNCTION("""COMPUTED_VALUE"""),2026.0)</f>
        <v>2026</v>
      </c>
      <c r="B1618" s="221">
        <f>IFERROR(__xludf.DUMMYFUNCTION("""COMPUTED_VALUE"""),1.1219901E7)</f>
        <v>11219901</v>
      </c>
      <c r="C1618" s="222" t="str">
        <f>IFERROR(__xludf.DUMMYFUNCTION("""COMPUTED_VALUE"""),"SMB P1I2 AOi42412081103153296a4640")</f>
        <v>SMB P1I2 AOi42412081103153296a4640</v>
      </c>
      <c r="D1618" s="222" t="str">
        <f>IFERROR(__xludf.DUMMYFUNCTION("""COMPUTED_VALUE"""),"REGIONAL I")</f>
        <v>REGIONAL I</v>
      </c>
      <c r="E1618" s="222" t="str">
        <f>IFERROR(__xludf.DUMMYFUNCTION("""COMPUTED_VALUE"""),"SUMBAR")</f>
        <v>SUMBAR</v>
      </c>
      <c r="F1618" s="222" t="str">
        <f>IFERROR(__xludf.DUMMYFUNCTION("""COMPUTED_VALUE"""),"BKT")</f>
        <v>BKT</v>
      </c>
      <c r="G1618" s="222" t="str">
        <f>IFERROR(__xludf.DUMMYFUNCTION("""COMPUTED_VALUE"""),"SUMBAGTENG")</f>
        <v>SUMBAGTENG</v>
      </c>
      <c r="H1618" s="222" t="str">
        <f>IFERROR(__xludf.DUMMYFUNCTION("""COMPUTED_VALUE"""),"BUKIT TINGGI")</f>
        <v>BUKIT TINGGI</v>
      </c>
      <c r="I1618" s="222" t="str">
        <f>IFERROR(__xludf.DUMMYFUNCTION("""COMPUTED_VALUE"""),"Batch 2")</f>
        <v>Batch 2</v>
      </c>
      <c r="J1618" s="225">
        <f>IFERROR(__xludf.DUMMYFUNCTION("""COMPUTED_VALUE"""),2.0)</f>
        <v>2</v>
      </c>
      <c r="K1618" s="224">
        <f>IFERROR(__xludf.DUMMYFUNCTION("""COMPUTED_VALUE"""),16.0)</f>
        <v>16</v>
      </c>
      <c r="L1618" s="226">
        <f>IFERROR(__xludf.DUMMYFUNCTION("""COMPUTED_VALUE"""),535517.0)</f>
        <v>535517</v>
      </c>
      <c r="M1618" s="227">
        <f>IFERROR(__xludf.DUMMYFUNCTION("""COMPUTED_VALUE"""),8568267.0)</f>
        <v>8568267</v>
      </c>
      <c r="N1618" s="222" t="str">
        <f>IFERROR(__xludf.DUMMYFUNCTION("""COMPUTED_VALUE"""),"PT GARINDO TECHNO MANDIRI")</f>
        <v>PT GARINDO TECHNO MANDIRI</v>
      </c>
      <c r="O1618" s="222" t="str">
        <f>IFERROR(__xludf.DUMMYFUNCTION("""COMPUTED_VALUE"""),"0. DROP")</f>
        <v>0. DROP</v>
      </c>
      <c r="P1618" s="222" t="str">
        <f>IFERROR(__xludf.DUMMYFUNCTION("""COMPUTED_VALUE"""),"0.5 DROP TSEL - Acc ED TIF")</f>
        <v>0.5 DROP TSEL - Acc ED TIF</v>
      </c>
      <c r="Q1618" s="222" t="str">
        <f>IFERROR(__xludf.DUMMYFUNCTION("""COMPUTED_VALUE"""),"(09/03) Doubel dengan LOP HEM (05/03) proses aanwijziing plan selesai 07/03 (02/03) proses aanwijziing (26/01) DROP, permintaan tsel (tidak potensial) ")</f>
        <v>(09/03) Doubel dengan LOP HEM (05/03) proses aanwijziing plan selesai 07/03 (02/03) proses aanwijziing (26/01) DROP, permintaan tsel (tidak potensial) </v>
      </c>
      <c r="R1618" s="228"/>
      <c r="S1618" s="11"/>
      <c r="T1618" s="11"/>
      <c r="U1618" s="11"/>
      <c r="V1618" s="229" t="str">
        <f>IFERROR(__xludf.DUMMYFUNCTION("""COMPUTED_VALUE"""),"DELPA YANDA")</f>
        <v>DELPA YANDA</v>
      </c>
      <c r="W1618" s="229" t="str">
        <f>IFERROR(__xludf.DUMMYFUNCTION("""COMPUTED_VALUE"""),"MELKO NARWADI")</f>
        <v>MELKO NARWADI</v>
      </c>
      <c r="X1618" s="229" t="str">
        <f>IFERROR(__xludf.DUMMYFUNCTION("""COMPUTED_VALUE"""),"BELUM GOLIVE")</f>
        <v>BELUM GOLIVE</v>
      </c>
      <c r="Y1618" s="229"/>
      <c r="Z1618" s="229" t="str">
        <f>IFERROR(__xludf.DUMMYFUNCTION("""COMPUTED_VALUE"""),"#N/A")</f>
        <v>#N/A</v>
      </c>
      <c r="AA1618" s="229"/>
      <c r="AB1618" s="229"/>
      <c r="AC1618" s="229"/>
      <c r="AD1618" s="232"/>
      <c r="AE1618" s="233"/>
      <c r="AF1618" s="54"/>
      <c r="AG1618" s="54"/>
      <c r="AH1618" s="54"/>
      <c r="AI1618" s="55" t="str">
        <f t="shared" si="160"/>
        <v/>
      </c>
      <c r="AW1618" s="234"/>
      <c r="BP1618" s="11"/>
      <c r="BQ1618" s="11"/>
      <c r="BR1618" s="235"/>
      <c r="BV1618" s="158"/>
      <c r="BY1618" s="158"/>
      <c r="CB1618" s="158"/>
    </row>
    <row r="1619" ht="18.0" hidden="1" customHeight="1">
      <c r="A1619" s="222">
        <f>IFERROR(__xludf.DUMMYFUNCTION("""COMPUTED_VALUE"""),2026.0)</f>
        <v>2026</v>
      </c>
      <c r="B1619" s="221">
        <f>IFERROR(__xludf.DUMMYFUNCTION("""COMPUTED_VALUE"""),1.1533227E7)</f>
        <v>11533227</v>
      </c>
      <c r="C1619" s="222" t="str">
        <f>IFERROR(__xludf.DUMMYFUNCTION("""COMPUTED_VALUE"""),"MDN PT3 BJI-FNA JL MELATI KWLA BEGUMIT")</f>
        <v>MDN PT3 BJI-FNA JL MELATI KWLA BEGUMIT</v>
      </c>
      <c r="D1619" s="222" t="str">
        <f>IFERROR(__xludf.DUMMYFUNCTION("""COMPUTED_VALUE"""),"REGIONAL I")</f>
        <v>REGIONAL I</v>
      </c>
      <c r="E1619" s="222" t="str">
        <f>IFERROR(__xludf.DUMMYFUNCTION("""COMPUTED_VALUE"""),"MEDAN")</f>
        <v>MEDAN</v>
      </c>
      <c r="F1619" s="222" t="str">
        <f>IFERROR(__xludf.DUMMYFUNCTION("""COMPUTED_VALUE"""),"BJI")</f>
        <v>BJI</v>
      </c>
      <c r="G1619" s="222" t="str">
        <f>IFERROR(__xludf.DUMMYFUNCTION("""COMPUTED_VALUE"""),"SUMBAGUT")</f>
        <v>SUMBAGUT</v>
      </c>
      <c r="H1619" s="222" t="str">
        <f>IFERROR(__xludf.DUMMYFUNCTION("""COMPUTED_VALUE"""),"BINJAI")</f>
        <v>BINJAI</v>
      </c>
      <c r="I1619" s="222" t="str">
        <f>IFERROR(__xludf.DUMMYFUNCTION("""COMPUTED_VALUE"""),"Batch 2")</f>
        <v>Batch 2</v>
      </c>
      <c r="J1619" s="225">
        <f>IFERROR(__xludf.DUMMYFUNCTION("""COMPUTED_VALUE"""),2.0)</f>
        <v>2</v>
      </c>
      <c r="K1619" s="224">
        <f>IFERROR(__xludf.DUMMYFUNCTION("""COMPUTED_VALUE"""),16.0)</f>
        <v>16</v>
      </c>
      <c r="L1619" s="226">
        <f>IFERROR(__xludf.DUMMYFUNCTION("""COMPUTED_VALUE"""),686570.0)</f>
        <v>686570</v>
      </c>
      <c r="M1619" s="227">
        <f>IFERROR(__xludf.DUMMYFUNCTION("""COMPUTED_VALUE"""),1.0985119E7)</f>
        <v>10985119</v>
      </c>
      <c r="N1619" s="222" t="str">
        <f>IFERROR(__xludf.DUMMYFUNCTION("""COMPUTED_VALUE"""),"PT KENCANA RAYA INDONESIA")</f>
        <v>PT KENCANA RAYA INDONESIA</v>
      </c>
      <c r="O1619" s="222" t="str">
        <f>IFERROR(__xludf.DUMMYFUNCTION("""COMPUTED_VALUE"""),"2. DONE AANWIJZING")</f>
        <v>2. DONE AANWIJZING</v>
      </c>
      <c r="P1619" s="222" t="str">
        <f>IFERROR(__xludf.DUMMYFUNCTION("""COMPUTED_VALUE"""),"2.10 Kendala - Feeder Rusak")</f>
        <v>2.10 Kendala - Feeder Rusak</v>
      </c>
      <c r="Q1619" s="222" t="str">
        <f>IFERROR(__xludf.DUMMYFUNCTION("""COMPUTED_VALUE"""),"16/02 feeder redti
08/01) Proses aanwijziing (07/01) Persiapan")</f>
        <v>16/02 feeder redti
08/01) Proses aanwijziing (07/01) Persiapan</v>
      </c>
      <c r="R1619" s="228"/>
      <c r="S1619" s="11"/>
      <c r="T1619" s="11"/>
      <c r="U1619" s="11"/>
      <c r="V1619" s="229"/>
      <c r="W1619" s="229"/>
      <c r="X1619" s="229" t="str">
        <f>IFERROR(__xludf.DUMMYFUNCTION("""COMPUTED_VALUE"""),"BELUM GOLIVE")</f>
        <v>BELUM GOLIVE</v>
      </c>
      <c r="Y1619" s="229"/>
      <c r="Z1619" s="229" t="str">
        <f>IFERROR(__xludf.DUMMYFUNCTION("""COMPUTED_VALUE"""),"#N/A")</f>
        <v>#N/A</v>
      </c>
      <c r="AA1619" s="229"/>
      <c r="AB1619" s="229"/>
      <c r="AC1619" s="229"/>
      <c r="AD1619" s="232"/>
      <c r="AE1619" s="233"/>
      <c r="AF1619" s="54"/>
      <c r="AG1619" s="54"/>
      <c r="AH1619" s="54"/>
      <c r="AI1619" s="55" t="str">
        <f t="shared" si="160"/>
        <v/>
      </c>
      <c r="AW1619" s="234"/>
      <c r="BP1619" s="11"/>
      <c r="BQ1619" s="11"/>
      <c r="BR1619" s="235"/>
      <c r="BV1619" s="158"/>
      <c r="BY1619" s="158"/>
      <c r="CB1619" s="158"/>
    </row>
    <row r="1620" ht="18.0" customHeight="1">
      <c r="A1620" s="222">
        <f>IFERROR(__xludf.DUMMYFUNCTION("""COMPUTED_VALUE"""),2026.0)</f>
        <v>2026</v>
      </c>
      <c r="B1620" s="221">
        <f>IFERROR(__xludf.DUMMYFUNCTION("""COMPUTED_VALUE"""),1.2377668E7)</f>
        <v>12377668</v>
      </c>
      <c r="C1620" s="222" t="str">
        <f>IFERROR(__xludf.DUMMYFUNCTION("""COMPUTED_VALUE"""),"SMB P4I3 Jln. Kp. Pinang Tengkong")</f>
        <v>SMB P4I3 Jln. Kp. Pinang Tengkong</v>
      </c>
      <c r="D1620" s="222" t="str">
        <f>IFERROR(__xludf.DUMMYFUNCTION("""COMPUTED_VALUE"""),"REGIONAL I")</f>
        <v>REGIONAL I</v>
      </c>
      <c r="E1620" s="222" t="str">
        <f>IFERROR(__xludf.DUMMYFUNCTION("""COMPUTED_VALUE"""),"SUMBAR")</f>
        <v>SUMBAR</v>
      </c>
      <c r="F1620" s="222" t="str">
        <f>IFERROR(__xludf.DUMMYFUNCTION("""COMPUTED_VALUE"""),"LBB")</f>
        <v>LBB</v>
      </c>
      <c r="G1620" s="222" t="str">
        <f>IFERROR(__xludf.DUMMYFUNCTION("""COMPUTED_VALUE"""),"SUMBAGTENG")</f>
        <v>SUMBAGTENG</v>
      </c>
      <c r="H1620" s="222" t="str">
        <f>IFERROR(__xludf.DUMMYFUNCTION("""COMPUTED_VALUE"""),"BUKIT TINGGI")</f>
        <v>BUKIT TINGGI</v>
      </c>
      <c r="I1620" s="222" t="str">
        <f>IFERROR(__xludf.DUMMYFUNCTION("""COMPUTED_VALUE"""),"Batch 2")</f>
        <v>Batch 2</v>
      </c>
      <c r="J1620" s="225">
        <f>IFERROR(__xludf.DUMMYFUNCTION("""COMPUTED_VALUE"""),2.0)</f>
        <v>2</v>
      </c>
      <c r="K1620" s="224">
        <f>IFERROR(__xludf.DUMMYFUNCTION("""COMPUTED_VALUE"""),16.0)</f>
        <v>16</v>
      </c>
      <c r="L1620" s="226">
        <f>IFERROR(__xludf.DUMMYFUNCTION("""COMPUTED_VALUE"""),533420.0)</f>
        <v>533420</v>
      </c>
      <c r="M1620" s="227">
        <f>IFERROR(__xludf.DUMMYFUNCTION("""COMPUTED_VALUE"""),8534709.0)</f>
        <v>8534709</v>
      </c>
      <c r="N1620" s="222" t="str">
        <f>IFERROR(__xludf.DUMMYFUNCTION("""COMPUTED_VALUE"""),"PT TIGA AKSES MANDIRI")</f>
        <v>PT TIGA AKSES MANDIRI</v>
      </c>
      <c r="O1620" s="222" t="str">
        <f>IFERROR(__xludf.DUMMYFUNCTION("""COMPUTED_VALUE"""),"0. DROP")</f>
        <v>0. DROP</v>
      </c>
      <c r="P1620" s="222" t="str">
        <f>IFERROR(__xludf.DUMMYFUNCTION("""COMPUTED_VALUE"""),"0.1 Double Order")</f>
        <v>0.1 Double Order</v>
      </c>
      <c r="Q1620" s="222" t="str">
        <f>IFERROR(__xludf.DUMMYFUNCTION("""COMPUTED_VALUE"""),"(26/01) DOubel order dengan 2025, sudah GL (21/01) proses aanwijziing (07/01) Persiapan")</f>
        <v>(26/01) DOubel order dengan 2025, sudah GL (21/01) proses aanwijziing (07/01) Persiapan</v>
      </c>
      <c r="R1620" s="228"/>
      <c r="S1620" s="11"/>
      <c r="T1620" s="11"/>
      <c r="U1620" s="11"/>
      <c r="V1620" s="229" t="str">
        <f>IFERROR(__xludf.DUMMYFUNCTION("""COMPUTED_VALUE"""),"JANUAR RIZAL")</f>
        <v>JANUAR RIZAL</v>
      </c>
      <c r="W1620" s="229" t="str">
        <f>IFERROR(__xludf.DUMMYFUNCTION("""COMPUTED_VALUE"""),"MELKO NARWADI")</f>
        <v>MELKO NARWADI</v>
      </c>
      <c r="X1620" s="229" t="str">
        <f>IFERROR(__xludf.DUMMYFUNCTION("""COMPUTED_VALUE"""),"BELUM GOLIVE")</f>
        <v>BELUM GOLIVE</v>
      </c>
      <c r="Y1620" s="229"/>
      <c r="Z1620" s="229" t="str">
        <f>IFERROR(__xludf.DUMMYFUNCTION("""COMPUTED_VALUE"""),"#N/A")</f>
        <v>#N/A</v>
      </c>
      <c r="AA1620" s="229"/>
      <c r="AB1620" s="229"/>
      <c r="AC1620" s="229"/>
      <c r="AD1620" s="232"/>
      <c r="AE1620" s="233"/>
      <c r="AF1620" s="54" t="str">
        <f>IFERROR(__xludf.DUMMYFUNCTION("""COMPUTED_VALUE"""),"Draft BA DROP")</f>
        <v>Draft BA DROP</v>
      </c>
      <c r="AG1620" s="54"/>
      <c r="AH1620" s="54"/>
      <c r="AI1620" s="55" t="str">
        <f t="shared" si="160"/>
        <v/>
      </c>
      <c r="AW1620" s="234"/>
      <c r="BP1620" s="11"/>
      <c r="BQ1620" s="11"/>
      <c r="BR1620" s="235"/>
      <c r="BV1620" s="158"/>
      <c r="BY1620" s="158"/>
      <c r="CB1620" s="158"/>
    </row>
    <row r="1621" ht="18.0" customHeight="1">
      <c r="A1621" s="222">
        <f>IFERROR(__xludf.DUMMYFUNCTION("""COMPUTED_VALUE"""),2026.0)</f>
        <v>2026</v>
      </c>
      <c r="B1621" s="221">
        <f>IFERROR(__xludf.DUMMYFUNCTION("""COMPUTED_VALUE"""),1.1317853E7)</f>
        <v>11317853</v>
      </c>
      <c r="C1621" s="222" t="str">
        <f>IFERROR(__xludf.DUMMYFUNCTION("""COMPUTED_VALUE"""),"RKP PT3 TSEL SLU-FM PUTRA JAYA B")</f>
        <v>RKP PT3 TSEL SLU-FM PUTRA JAYA B</v>
      </c>
      <c r="D1621" s="222" t="str">
        <f>IFERROR(__xludf.DUMMYFUNCTION("""COMPUTED_VALUE"""),"REGIONAL I")</f>
        <v>REGIONAL I</v>
      </c>
      <c r="E1621" s="222" t="str">
        <f>IFERROR(__xludf.DUMMYFUNCTION("""COMPUTED_VALUE"""),"RIKEP")</f>
        <v>RIKEP</v>
      </c>
      <c r="F1621" s="222" t="str">
        <f>IFERROR(__xludf.DUMMYFUNCTION("""COMPUTED_VALUE"""),"SLU")</f>
        <v>SLU</v>
      </c>
      <c r="G1621" s="222" t="str">
        <f>IFERROR(__xludf.DUMMYFUNCTION("""COMPUTED_VALUE"""),"SUMBAGTENG")</f>
        <v>SUMBAGTENG</v>
      </c>
      <c r="H1621" s="222" t="str">
        <f>IFERROR(__xludf.DUMMYFUNCTION("""COMPUTED_VALUE"""),"BATAM")</f>
        <v>BATAM</v>
      </c>
      <c r="I1621" s="222" t="str">
        <f>IFERROR(__xludf.DUMMYFUNCTION("""COMPUTED_VALUE"""),"Batch 2")</f>
        <v>Batch 2</v>
      </c>
      <c r="J1621" s="225">
        <f>IFERROR(__xludf.DUMMYFUNCTION("""COMPUTED_VALUE"""),5.0)</f>
        <v>5</v>
      </c>
      <c r="K1621" s="224">
        <f>IFERROR(__xludf.DUMMYFUNCTION("""COMPUTED_VALUE"""),40.0)</f>
        <v>40</v>
      </c>
      <c r="L1621" s="226">
        <f>IFERROR(__xludf.DUMMYFUNCTION("""COMPUTED_VALUE"""),533417.0)</f>
        <v>533417</v>
      </c>
      <c r="M1621" s="227">
        <f>IFERROR(__xludf.DUMMYFUNCTION("""COMPUTED_VALUE"""),2.1336666E7)</f>
        <v>21336666</v>
      </c>
      <c r="N1621" s="222" t="str">
        <f>IFERROR(__xludf.DUMMYFUNCTION("""COMPUTED_VALUE"""),"PT TRIPOLA PANATA")</f>
        <v>PT TRIPOLA PANATA</v>
      </c>
      <c r="O1621" s="222" t="str">
        <f>IFERROR(__xludf.DUMMYFUNCTION("""COMPUTED_VALUE"""),"0. DROP")</f>
        <v>0. DROP</v>
      </c>
      <c r="P1621" s="222" t="str">
        <f>IFERROR(__xludf.DUMMYFUNCTION("""COMPUTED_VALUE"""),"0.2 Tidak Dapat Izin Warga/Kades/Lurah/Developer")</f>
        <v>0.2 Tidak Dapat Izin Warga/Kades/Lurah/Developer</v>
      </c>
      <c r="Q1621" s="222" t="str">
        <f>IFERROR(__xludf.DUMMYFUNCTION("""COMPUTED_VALUE"""),"21/01 Izin di tolak'")</f>
        <v>21/01 Izin di tolak'</v>
      </c>
      <c r="R1621" s="228"/>
      <c r="S1621" s="11"/>
      <c r="T1621" s="11"/>
      <c r="U1621" s="11"/>
      <c r="V1621" s="229" t="str">
        <f>IFERROR(__xludf.DUMMYFUNCTION("""COMPUTED_VALUE"""),"MUHAMMAD RIDHO FALFO")</f>
        <v>MUHAMMAD RIDHO FALFO</v>
      </c>
      <c r="W1621" s="229" t="str">
        <f>IFERROR(__xludf.DUMMYFUNCTION("""COMPUTED_VALUE"""),"LEVITA INDRIYANI")</f>
        <v>LEVITA INDRIYANI</v>
      </c>
      <c r="X1621" s="229" t="str">
        <f>IFERROR(__xludf.DUMMYFUNCTION("""COMPUTED_VALUE"""),"BELUM GOLIVE")</f>
        <v>BELUM GOLIVE</v>
      </c>
      <c r="Y1621" s="229"/>
      <c r="Z1621" s="229" t="str">
        <f>IFERROR(__xludf.DUMMYFUNCTION("""COMPUTED_VALUE"""),"#N/A")</f>
        <v>#N/A</v>
      </c>
      <c r="AA1621" s="229"/>
      <c r="AB1621" s="229"/>
      <c r="AC1621" s="229"/>
      <c r="AD1621" s="232"/>
      <c r="AE1621" s="233"/>
      <c r="AF1621" s="54" t="str">
        <f>IFERROR(__xludf.DUMMYFUNCTION("""COMPUTED_VALUE"""),"Draft BA DROP")</f>
        <v>Draft BA DROP</v>
      </c>
      <c r="AG1621" s="54"/>
      <c r="AH1621" s="54"/>
      <c r="AI1621" s="55" t="str">
        <f t="shared" si="160"/>
        <v/>
      </c>
      <c r="AW1621" s="234"/>
      <c r="BP1621" s="11"/>
      <c r="BQ1621" s="11"/>
      <c r="BR1621" s="235"/>
      <c r="BV1621" s="158"/>
      <c r="BY1621" s="158"/>
      <c r="CB1621" s="158"/>
    </row>
    <row r="1622" ht="18.0" hidden="1" customHeight="1">
      <c r="A1622" s="222">
        <f>IFERROR(__xludf.DUMMYFUNCTION("""COMPUTED_VALUE"""),2026.0)</f>
        <v>2026</v>
      </c>
      <c r="B1622" s="221">
        <f>IFERROR(__xludf.DUMMYFUNCTION("""COMPUTED_VALUE"""),1.1066184E7)</f>
        <v>11066184</v>
      </c>
      <c r="C1622" s="222" t="str">
        <f>IFERROR(__xludf.DUMMYFUNCTION("""COMPUTED_VALUE"""),"MDN PT3 BJI-FGC GG.JATI PERMAI 1 LANGKAT")</f>
        <v>MDN PT3 BJI-FGC GG.JATI PERMAI 1 LANGKAT</v>
      </c>
      <c r="D1622" s="222" t="str">
        <f>IFERROR(__xludf.DUMMYFUNCTION("""COMPUTED_VALUE"""),"REGIONAL I")</f>
        <v>REGIONAL I</v>
      </c>
      <c r="E1622" s="222" t="str">
        <f>IFERROR(__xludf.DUMMYFUNCTION("""COMPUTED_VALUE"""),"MEDAN")</f>
        <v>MEDAN</v>
      </c>
      <c r="F1622" s="222" t="str">
        <f>IFERROR(__xludf.DUMMYFUNCTION("""COMPUTED_VALUE"""),"BJI")</f>
        <v>BJI</v>
      </c>
      <c r="G1622" s="222" t="str">
        <f>IFERROR(__xludf.DUMMYFUNCTION("""COMPUTED_VALUE"""),"SUMBAGUT")</f>
        <v>SUMBAGUT</v>
      </c>
      <c r="H1622" s="222" t="str">
        <f>IFERROR(__xludf.DUMMYFUNCTION("""COMPUTED_VALUE"""),"BINJAI")</f>
        <v>BINJAI</v>
      </c>
      <c r="I1622" s="222" t="str">
        <f>IFERROR(__xludf.DUMMYFUNCTION("""COMPUTED_VALUE"""),"Batch 2")</f>
        <v>Batch 2</v>
      </c>
      <c r="J1622" s="225">
        <f>IFERROR(__xludf.DUMMYFUNCTION("""COMPUTED_VALUE"""),2.0)</f>
        <v>2</v>
      </c>
      <c r="K1622" s="224">
        <f>IFERROR(__xludf.DUMMYFUNCTION("""COMPUTED_VALUE"""),16.0)</f>
        <v>16</v>
      </c>
      <c r="L1622" s="226">
        <f>IFERROR(__xludf.DUMMYFUNCTION("""COMPUTED_VALUE"""),529730.0)</f>
        <v>529730</v>
      </c>
      <c r="M1622" s="227">
        <f>IFERROR(__xludf.DUMMYFUNCTION("""COMPUTED_VALUE"""),8475679.0)</f>
        <v>8475679</v>
      </c>
      <c r="N1622" s="222" t="str">
        <f>IFERROR(__xludf.DUMMYFUNCTION("""COMPUTED_VALUE"""),"PT KENCANA RAYA INDONESIA")</f>
        <v>PT KENCANA RAYA INDONESIA</v>
      </c>
      <c r="O1622" s="222" t="str">
        <f>IFERROR(__xludf.DUMMYFUNCTION("""COMPUTED_VALUE"""),"2. DONE AANWIJZING")</f>
        <v>2. DONE AANWIJZING</v>
      </c>
      <c r="P1622" s="222" t="str">
        <f>IFERROR(__xludf.DUMMYFUNCTION("""COMPUTED_VALUE"""),"2.9 Kendala - Distribusi Penuh / Rusak")</f>
        <v>2.9 Kendala - Distribusi Penuh / Rusak</v>
      </c>
      <c r="Q1622" s="222" t="str">
        <f>IFERROR(__xludf.DUMMYFUNCTION("""COMPUTED_VALUE"""),"14/02 feeder tidak tembus 
(07/01) Persiapan")</f>
        <v>14/02 feeder tidak tembus 
(07/01) Persiapan</v>
      </c>
      <c r="R1622" s="228"/>
      <c r="S1622" s="11"/>
      <c r="T1622" s="11"/>
      <c r="U1622" s="11"/>
      <c r="V1622" s="229"/>
      <c r="W1622" s="229"/>
      <c r="X1622" s="229" t="str">
        <f>IFERROR(__xludf.DUMMYFUNCTION("""COMPUTED_VALUE"""),"BELUM GOLIVE")</f>
        <v>BELUM GOLIVE</v>
      </c>
      <c r="Y1622" s="229"/>
      <c r="Z1622" s="229" t="str">
        <f>IFERROR(__xludf.DUMMYFUNCTION("""COMPUTED_VALUE"""),"#N/A")</f>
        <v>#N/A</v>
      </c>
      <c r="AA1622" s="229"/>
      <c r="AB1622" s="229"/>
      <c r="AC1622" s="229"/>
      <c r="AD1622" s="232"/>
      <c r="AE1622" s="233"/>
      <c r="AF1622" s="54"/>
      <c r="AG1622" s="54"/>
      <c r="AH1622" s="54"/>
      <c r="AI1622" s="55" t="str">
        <f t="shared" si="160"/>
        <v/>
      </c>
      <c r="AW1622" s="234"/>
      <c r="BP1622" s="11"/>
      <c r="BQ1622" s="11"/>
      <c r="BR1622" s="235"/>
      <c r="BV1622" s="158"/>
      <c r="BY1622" s="158"/>
      <c r="CB1622" s="158"/>
    </row>
    <row r="1623" ht="18.0" hidden="1" customHeight="1">
      <c r="A1623" s="222">
        <f>IFERROR(__xludf.DUMMYFUNCTION("""COMPUTED_VALUE"""),2026.0)</f>
        <v>2026</v>
      </c>
      <c r="B1623" s="221">
        <f>IFERROR(__xludf.DUMMYFUNCTION("""COMPUTED_VALUE"""),1.1928894E7)</f>
        <v>11928894</v>
      </c>
      <c r="C1623" s="222" t="str">
        <f>IFERROR(__xludf.DUMMYFUNCTION("""COMPUTED_VALUE"""),"SMU TJB-FBD CLUST SEI KEPAYANG TENGAH")</f>
        <v>SMU TJB-FBD CLUST SEI KEPAYANG TENGAH</v>
      </c>
      <c r="D1623" s="222" t="str">
        <f>IFERROR(__xludf.DUMMYFUNCTION("""COMPUTED_VALUE"""),"REGIONAL I")</f>
        <v>REGIONAL I</v>
      </c>
      <c r="E1623" s="222" t="str">
        <f>IFERROR(__xludf.DUMMYFUNCTION("""COMPUTED_VALUE"""),"SUMUT")</f>
        <v>SUMUT</v>
      </c>
      <c r="F1623" s="222" t="str">
        <f>IFERROR(__xludf.DUMMYFUNCTION("""COMPUTED_VALUE"""),"TJB")</f>
        <v>TJB</v>
      </c>
      <c r="G1623" s="222" t="str">
        <f>IFERROR(__xludf.DUMMYFUNCTION("""COMPUTED_VALUE"""),"SUMBAGUT")</f>
        <v>SUMBAGUT</v>
      </c>
      <c r="H1623" s="222" t="str">
        <f>IFERROR(__xludf.DUMMYFUNCTION("""COMPUTED_VALUE"""),"RANTAU PRAPAT")</f>
        <v>RANTAU PRAPAT</v>
      </c>
      <c r="I1623" s="222" t="str">
        <f>IFERROR(__xludf.DUMMYFUNCTION("""COMPUTED_VALUE"""),"Batch 2")</f>
        <v>Batch 2</v>
      </c>
      <c r="J1623" s="225">
        <f>IFERROR(__xludf.DUMMYFUNCTION("""COMPUTED_VALUE"""),16.0)</f>
        <v>16</v>
      </c>
      <c r="K1623" s="224">
        <f>IFERROR(__xludf.DUMMYFUNCTION("""COMPUTED_VALUE"""),128.0)</f>
        <v>128</v>
      </c>
      <c r="L1623" s="226">
        <f>IFERROR(__xludf.DUMMYFUNCTION("""COMPUTED_VALUE"""),1357281.0)</f>
        <v>1357281</v>
      </c>
      <c r="M1623" s="227">
        <f>IFERROR(__xludf.DUMMYFUNCTION("""COMPUTED_VALUE"""),1.7373189E8)</f>
        <v>173731890</v>
      </c>
      <c r="N1623" s="222" t="str">
        <f>IFERROR(__xludf.DUMMYFUNCTION("""COMPUTED_VALUE"""),"PT GARINDO TECHNO MANDIRI")</f>
        <v>PT GARINDO TECHNO MANDIRI</v>
      </c>
      <c r="O1623" s="222" t="str">
        <f>IFERROR(__xludf.DUMMYFUNCTION("""COMPUTED_VALUE"""),"3. PERIZINAN")</f>
        <v>3. PERIZINAN</v>
      </c>
      <c r="P1623" s="222" t="str">
        <f>IFERROR(__xludf.DUMMYFUNCTION("""COMPUTED_VALUE"""),"3.9 Izin Kades / Lurah / RTRW")</f>
        <v>3.9 Izin Kades / Lurah / RTRW</v>
      </c>
      <c r="Q1623" s="222" t="str">
        <f>IFERROR(__xludf.DUMMYFUNCTION("""COMPUTED_VALUE"""),"27/4 plan hari ini fu kembali terkait  perizina ke desa kiri kendala sebelumnya kepala desa berada diluar kota, desa kepayang dan desa sei lenar done perizina prelim 2 jt ,  23/4 desa kepayang dan desa sei lenar done perizina prelim 2 jt sisa proses periz"&amp;"ina ke desa kiri kendala kepala desa berada diluar kota, 22/4 plan fu kembali terkait perizinan (pengalihan dari mitra mai), 21/4 plan fu kembali terkait perizinan (pengalihan dari mitra mai), 20/4 plan fu kembali terkait perizinan (pengalihan dari mitra "&amp;"mai), 16/4 plan fu kembali terkait perizinan (pengalihan dari mitra mai), 15/4 plan fu kembali terkait perizinan (pengalihan dari mitra mai), 14/4 plan fu kembali terkait perizinan (pengalihan dari mitra mai), 13/4 mitra MAI menolak untuk lanjut progres, "&amp;"plan fu kembali terkait perizinan, 9/4 plan fu kembali terkait perizinan, 6/4 hasil fu ke desa hari ini , yg bersangkutan sedang keluar kota, plan besok fu kembali ke desa, 5/4 menunggu update boq survey adanya penambahan biaya prelim, 1/4 menunggu update"&amp;" boq survey adanya penambahan biaya prelim, 31/3 menunggu update boq survey adanya penambahan biaya prelim, 30/3 plan fu terkait perizinan desa besok 31 maret, 27/3 plan fu terkait perizinan ke desa besok 30 maret, 26/3 plan fu terkait perizinan setelah l"&amp;"ebaran, 22/3 plan fu terkait perizinan setelah lebaran,  18/3 plan fu terkait perizinan setelah lebaran,  16/3 plan fu terkait perizinan setelah lebaran, 2/3 kenaikan cpp dari 1,3 menjadi1,4 27/2 kenaikan cpp dari 1,3 menjadi1,4 , 25/2 kenaikan cpp dari 1"&amp;",3 menjadi1,4 20/2 kenaikan cpp dari 1,3 menjadi1,4 ,  24/2 20/2 kenaikan cpp dari 1,3 menjadi1,4 , 23/2 20/2 kenaikan cpp dari 1,3 menjadi1,4 , 20/2 20/2 kenaikan cpp dari 1,3 menjadi1,4 , 19/2 plan cek cpp, 18/2 menunggu revisi boq kml  , 16/2 menunggu "&amp;"revisi boq kml  (vol tiang di kml  tidak sesuai dengan boq),  13/2 menunggu revisi boq kml  (vol tiang di kml  tidak sesuai dengan boq), 12/2 menunggu revisi boq kml  (vol tiang di kml  tidak sesuai dengan boq) 11/2 menunggu revisi boq kml  (vol tiang di "&amp;"kml  tidak sesuai dengan boq), 10/2 menunggu revisi boq kml  (vol tiang di kml  tidak sesuai dengan boq), 9/2 menunggu revisi boq kml  (vol tiang di kml  tidak sesuai dengan boq), 6/2 menunggu redesain di kml, 5/2 pengajuan redesign kendala cpp 1,4,  3/2 "&amp;"pengajuan redesign kendala cpp 1,4, 2/2 menunggu boq kml hasil survey ( blm ada report survey dan hasil otdr), 1/2 menunggu boq kml hasil survey ( blm ada report survey dan hasil otdr), 30/1 menunggu boq kml hasil survey ( blm ada report survey dan hasil "&amp;"otdr),  28/1 menunggu boq kml hasil survey ( blm ada report survey dan hasil otdr),  27/1 menunggu boq kml hasil survey ( blm ada report survey dan hasil otdr),  27/1 menunggu boq kml hasil survey ( blm ada report survey dan hasil otdr), 26/1 menunggu boq"&amp;" kml hasil survey ( blm ada report survey dan hasil otdr), 23/1 menunggu boq kml hasil survey, 22/1 menunggu boq kml hasil survey, 21/1 menunggu boq kml hasil survey, 20/1 plan survey 21/1, 19/1 plan survey 21/1, 15/1 plan survey 21/1, 14/1 prepair tim un"&amp;"tuk penjadwalan survey, 13/01 penunjukan mitra, (08/01) Drop permintaan Tsel, tanam tiang, menunggu PID untuk input material   16/10: menunggu PID untuk input material  09/10 : done survey, proses eval  02/10 : proses aanwijziing (07/01) Persiapan")</f>
        <v>27/4 plan hari ini fu kembali terkait  perizina ke desa kiri kendala sebelumnya kepala desa berada diluar kota, desa kepayang dan desa sei lenar done perizina prelim 2 jt ,  23/4 desa kepayang dan desa sei lenar done perizina prelim 2 jt sisa proses perizina ke desa kiri kendala kepala desa berada diluar kota, 22/4 plan fu kembali terkait perizinan (pengalihan dari mitra mai), 21/4 plan fu kembali terkait perizinan (pengalihan dari mitra mai), 20/4 plan fu kembali terkait perizinan (pengalihan dari mitra mai), 16/4 plan fu kembali terkait perizinan (pengalihan dari mitra mai), 15/4 plan fu kembali terkait perizinan (pengalihan dari mitra mai), 14/4 plan fu kembali terkait perizinan (pengalihan dari mitra mai), 13/4 mitra MAI menolak untuk lanjut progres, plan fu kembali terkait perizinan, 9/4 plan fu kembali terkait perizinan, 6/4 hasil fu ke desa hari ini , yg bersangkutan sedang keluar kota, plan besok fu kembali ke desa, 5/4 menunggu update boq survey adanya penambahan biaya prelim, 1/4 menunggu update boq survey adanya penambahan biaya prelim, 31/3 menunggu update boq survey adanya penambahan biaya prelim, 30/3 plan fu terkait perizinan desa besok 31 maret, 27/3 plan fu terkait perizinan ke desa besok 30 maret, 26/3 plan fu terkait perizinan setelah lebaran, 22/3 plan fu terkait perizinan setelah lebaran,  18/3 plan fu terkait perizinan setelah lebaran,  16/3 plan fu terkait perizinan setelah lebaran, 2/3 kenaikan cpp dari 1,3 menjadi1,4 27/2 kenaikan cpp dari 1,3 menjadi1,4 , 25/2 kenaikan cpp dari 1,3 menjadi1,4 20/2 kenaikan cpp dari 1,3 menjadi1,4 ,  24/2 20/2 kenaikan cpp dari 1,3 menjadi1,4 , 23/2 20/2 kenaikan cpp dari 1,3 menjadi1,4 , 20/2 20/2 kenaikan cpp dari 1,3 menjadi1,4 , 19/2 plan cek cpp, 18/2 menunggu revisi boq kml  , 16/2 menunggu revisi boq kml  (vol tiang di kml  tidak sesuai dengan boq),  13/2 menunggu revisi boq kml  (vol tiang di kml  tidak sesuai dengan boq), 12/2 menunggu revisi boq kml  (vol tiang di kml  tidak sesuai dengan boq) 11/2 menunggu revisi boq kml  (vol tiang di kml  tidak sesuai dengan boq), 10/2 menunggu revisi boq kml  (vol tiang di kml  tidak sesuai dengan boq), 9/2 menunggu revisi boq kml  (vol tiang di kml  tidak sesuai dengan boq), 6/2 menunggu redesain di kml, 5/2 pengajuan redesign kendala cpp 1,4,  3/2 pengajuan redesign kendala cpp 1,4, 2/2 menunggu boq kml hasil survey ( blm ada report survey dan hasil otdr), 1/2 menunggu boq kml hasil survey ( blm ada report survey dan hasil otdr), 30/1 menunggu boq kml hasil survey ( blm ada report survey dan hasil otdr),  28/1 menunggu boq kml hasil survey ( blm ada report survey dan hasil otdr),  27/1 menunggu boq kml hasil survey ( blm ada report survey dan hasil otdr),  27/1 menunggu boq kml hasil survey ( blm ada report survey dan hasil otdr), 26/1 menunggu boq kml hasil survey ( blm ada report survey dan hasil otdr), 23/1 menunggu boq kml hasil survey, 22/1 menunggu boq kml hasil survey, 21/1 menunggu boq kml hasil survey, 20/1 plan survey 21/1, 19/1 plan survey 21/1, 15/1 plan survey 21/1, 14/1 prepair tim untuk penjadwalan survey, 13/01 penunjukan mitra, (08/01) Drop permintaan Tsel, tanam tiang, menunggu PID untuk input material   16/10: menunggu PID untuk input material  09/10 : done survey, proses eval  02/10 : proses aanwijziing (07/01) Persiapan</v>
      </c>
      <c r="R1623" s="228"/>
      <c r="S1623" s="11"/>
      <c r="T1623" s="11"/>
      <c r="U1623" s="11" t="str">
        <f>IFERROR(__xludf.DUMMYFUNCTION("""COMPUTED_VALUE"""),"W03-1731/2025")</f>
        <v>W03-1731/2025</v>
      </c>
      <c r="V1623" s="229"/>
      <c r="W1623" s="229"/>
      <c r="X1623" s="229" t="str">
        <f>IFERROR(__xludf.DUMMYFUNCTION("""COMPUTED_VALUE"""),"BELUM GOLIVE")</f>
        <v>BELUM GOLIVE</v>
      </c>
      <c r="Y1623" s="229"/>
      <c r="Z1623" s="229" t="str">
        <f>IFERROR(__xludf.DUMMYFUNCTION("""COMPUTED_VALUE"""),"#N/A")</f>
        <v>#N/A</v>
      </c>
      <c r="AA1623" s="229"/>
      <c r="AB1623" s="229"/>
      <c r="AC1623" s="229"/>
      <c r="AD1623" s="232"/>
      <c r="AE1623" s="233"/>
      <c r="AF1623" s="54" t="str">
        <f>IFERROR(__xludf.DUMMYFUNCTION("""COMPUTED_VALUE"""),"Draft BA DROP")</f>
        <v>Draft BA DROP</v>
      </c>
      <c r="AG1623" s="54"/>
      <c r="AH1623" s="54"/>
      <c r="AI1623" s="55" t="str">
        <f t="shared" si="160"/>
        <v/>
      </c>
      <c r="AW1623" s="234"/>
      <c r="BP1623" s="11"/>
      <c r="BQ1623" s="11"/>
      <c r="BR1623" s="235"/>
      <c r="BV1623" s="158"/>
      <c r="BY1623" s="158"/>
      <c r="CB1623" s="158"/>
    </row>
    <row r="1624" ht="18.0" customHeight="1">
      <c r="A1624" s="222">
        <f>IFERROR(__xludf.DUMMYFUNCTION("""COMPUTED_VALUE"""),2026.0)</f>
        <v>2026</v>
      </c>
      <c r="B1624" s="221">
        <f>IFERROR(__xludf.DUMMYFUNCTION("""COMPUTED_VALUE"""),1.2114098E7)</f>
        <v>12114098</v>
      </c>
      <c r="C1624" s="222" t="str">
        <f>IFERROR(__xludf.DUMMYFUNCTION("""COMPUTED_VALUE"""),"SMB-PT3-ODC-PDS-FB-SJJ 120675-146896")</f>
        <v>SMB-PT3-ODC-PDS-FB-SJJ 120675-146896</v>
      </c>
      <c r="D1624" s="222" t="str">
        <f>IFERROR(__xludf.DUMMYFUNCTION("""COMPUTED_VALUE"""),"REGIONAL I")</f>
        <v>REGIONAL I</v>
      </c>
      <c r="E1624" s="222" t="str">
        <f>IFERROR(__xludf.DUMMYFUNCTION("""COMPUTED_VALUE"""),"SUMBAR")</f>
        <v>SUMBAR</v>
      </c>
      <c r="F1624" s="222" t="str">
        <f>IFERROR(__xludf.DUMMYFUNCTION("""COMPUTED_VALUE"""),"PDS")</f>
        <v>PDS</v>
      </c>
      <c r="G1624" s="222" t="str">
        <f>IFERROR(__xludf.DUMMYFUNCTION("""COMPUTED_VALUE"""),"SUMBAGTENG")</f>
        <v>SUMBAGTENG</v>
      </c>
      <c r="H1624" s="222" t="str">
        <f>IFERROR(__xludf.DUMMYFUNCTION("""COMPUTED_VALUE"""),"PADANG")</f>
        <v>PADANG</v>
      </c>
      <c r="I1624" s="222" t="str">
        <f>IFERROR(__xludf.DUMMYFUNCTION("""COMPUTED_VALUE"""),"Batch 2")</f>
        <v>Batch 2</v>
      </c>
      <c r="J1624" s="225">
        <f>IFERROR(__xludf.DUMMYFUNCTION("""COMPUTED_VALUE"""),4.0)</f>
        <v>4</v>
      </c>
      <c r="K1624" s="224">
        <f>IFERROR(__xludf.DUMMYFUNCTION("""COMPUTED_VALUE"""),32.0)</f>
        <v>32</v>
      </c>
      <c r="L1624" s="226">
        <f>IFERROR(__xludf.DUMMYFUNCTION("""COMPUTED_VALUE"""),529341.0)</f>
        <v>529341</v>
      </c>
      <c r="M1624" s="227">
        <f>IFERROR(__xludf.DUMMYFUNCTION("""COMPUTED_VALUE"""),1.6938884E7)</f>
        <v>16938884</v>
      </c>
      <c r="N1624" s="222" t="str">
        <f>IFERROR(__xludf.DUMMYFUNCTION("""COMPUTED_VALUE"""),"PT TIGA AKSES MANDIRI")</f>
        <v>PT TIGA AKSES MANDIRI</v>
      </c>
      <c r="O1624" s="222" t="str">
        <f>IFERROR(__xludf.DUMMYFUNCTION("""COMPUTED_VALUE"""),"0. DROP")</f>
        <v>0. DROP</v>
      </c>
      <c r="P1624" s="222" t="str">
        <f>IFERROR(__xludf.DUMMYFUNCTION("""COMPUTED_VALUE"""),"0.5 DROP TSEL - Acc ED TIF")</f>
        <v>0.5 DROP TSEL - Acc ED TIF</v>
      </c>
      <c r="Q1624" s="222" t="str">
        <f>IFERROR(__xludf.DUMMYFUNCTION("""COMPUTED_VALUE"""),"(05/03) TIidak dapat kizin walinagari dan pemilik lahan    (02/03) proses aanwijziing (26/01) DROP, permintaan tsel (tidak potensial) ")</f>
        <v>(05/03) TIidak dapat kizin walinagari dan pemilik lahan    (02/03) proses aanwijziing (26/01) DROP, permintaan tsel (tidak potensial) </v>
      </c>
      <c r="R1624" s="228"/>
      <c r="S1624" s="11"/>
      <c r="T1624" s="11"/>
      <c r="U1624" s="11"/>
      <c r="V1624" s="229" t="str">
        <f>IFERROR(__xludf.DUMMYFUNCTION("""COMPUTED_VALUE"""),"YULIO NOVIKO")</f>
        <v>YULIO NOVIKO</v>
      </c>
      <c r="W1624" s="229" t="str">
        <f>IFERROR(__xludf.DUMMYFUNCTION("""COMPUTED_VALUE"""),"MELKO NARWADI")</f>
        <v>MELKO NARWADI</v>
      </c>
      <c r="X1624" s="229" t="str">
        <f>IFERROR(__xludf.DUMMYFUNCTION("""COMPUTED_VALUE"""),"BELUM GOLIVE")</f>
        <v>BELUM GOLIVE</v>
      </c>
      <c r="Y1624" s="229"/>
      <c r="Z1624" s="229" t="str">
        <f>IFERROR(__xludf.DUMMYFUNCTION("""COMPUTED_VALUE"""),"#N/A")</f>
        <v>#N/A</v>
      </c>
      <c r="AA1624" s="229"/>
      <c r="AB1624" s="229"/>
      <c r="AC1624" s="229"/>
      <c r="AD1624" s="232"/>
      <c r="AE1624" s="233"/>
      <c r="AF1624" s="54"/>
      <c r="AG1624" s="54"/>
      <c r="AH1624" s="54"/>
      <c r="AI1624" s="55" t="str">
        <f t="shared" si="160"/>
        <v/>
      </c>
      <c r="AW1624" s="234"/>
      <c r="BP1624" s="11"/>
      <c r="BQ1624" s="11"/>
      <c r="BR1624" s="235"/>
      <c r="BV1624" s="158"/>
      <c r="BY1624" s="158"/>
      <c r="CB1624" s="158"/>
    </row>
    <row r="1625" ht="18.0" hidden="1" customHeight="1">
      <c r="A1625" s="222">
        <f>IFERROR(__xludf.DUMMYFUNCTION("""COMPUTED_VALUE"""),2026.0)</f>
        <v>2026</v>
      </c>
      <c r="B1625" s="221">
        <f>IFERROR(__xludf.DUMMYFUNCTION("""COMPUTED_VALUE"""),1.1077225E7)</f>
        <v>11077225</v>
      </c>
      <c r="C1625" s="222" t="str">
        <f>IFERROR(__xludf.DUMMYFUNCTION("""COMPUTED_VALUE"""),"MDN PT3 STB-FR JL PASAR GUNUNG.")</f>
        <v>MDN PT3 STB-FR JL PASAR GUNUNG.</v>
      </c>
      <c r="D1625" s="222" t="str">
        <f>IFERROR(__xludf.DUMMYFUNCTION("""COMPUTED_VALUE"""),"REGIONAL I")</f>
        <v>REGIONAL I</v>
      </c>
      <c r="E1625" s="222" t="str">
        <f>IFERROR(__xludf.DUMMYFUNCTION("""COMPUTED_VALUE"""),"MEDAN")</f>
        <v>MEDAN</v>
      </c>
      <c r="F1625" s="222" t="str">
        <f>IFERROR(__xludf.DUMMYFUNCTION("""COMPUTED_VALUE"""),"STB")</f>
        <v>STB</v>
      </c>
      <c r="G1625" s="222" t="str">
        <f>IFERROR(__xludf.DUMMYFUNCTION("""COMPUTED_VALUE"""),"SUMBAGUT")</f>
        <v>SUMBAGUT</v>
      </c>
      <c r="H1625" s="222" t="str">
        <f>IFERROR(__xludf.DUMMYFUNCTION("""COMPUTED_VALUE"""),"BINJAI")</f>
        <v>BINJAI</v>
      </c>
      <c r="I1625" s="222" t="str">
        <f>IFERROR(__xludf.DUMMYFUNCTION("""COMPUTED_VALUE"""),"Batch 2")</f>
        <v>Batch 2</v>
      </c>
      <c r="J1625" s="225">
        <f>IFERROR(__xludf.DUMMYFUNCTION("""COMPUTED_VALUE"""),3.0)</f>
        <v>3</v>
      </c>
      <c r="K1625" s="224">
        <f>IFERROR(__xludf.DUMMYFUNCTION("""COMPUTED_VALUE"""),24.0)</f>
        <v>24</v>
      </c>
      <c r="L1625" s="226">
        <f>IFERROR(__xludf.DUMMYFUNCTION("""COMPUTED_VALUE"""),529185.0)</f>
        <v>529185</v>
      </c>
      <c r="M1625" s="227">
        <f>IFERROR(__xludf.DUMMYFUNCTION("""COMPUTED_VALUE"""),1.2700438E7)</f>
        <v>12700438</v>
      </c>
      <c r="N1625" s="222" t="str">
        <f>IFERROR(__xludf.DUMMYFUNCTION("""COMPUTED_VALUE"""),"PT KENCANA RAYA INDONESIA")</f>
        <v>PT KENCANA RAYA INDONESIA</v>
      </c>
      <c r="O1625" s="222" t="str">
        <f>IFERROR(__xludf.DUMMYFUNCTION("""COMPUTED_VALUE"""),"8. UJI TERIMA")</f>
        <v>8. UJI TERIMA</v>
      </c>
      <c r="P1625" s="222" t="str">
        <f>IFERROR(__xludf.DUMMYFUNCTION("""COMPUTED_VALUE"""),"8.1 Proses UT")</f>
        <v>8.1 Proses UT</v>
      </c>
      <c r="Q1625" s="222" t="str">
        <f>IFERROR(__xludf.DUMMYFUNCTION("""COMPUTED_VALUE"""),"02/03 Submit ABD
22/02 penarikan KU dan pasang acc done 
20/02 pengambilan material
(13/02) feeder ready (07/01) ABD mancore  (07/01) Persiapan")</f>
        <v>02/03 Submit ABD
22/02 penarikan KU dan pasang acc done 
20/02 pengambilan material
(13/02) feeder ready (07/01) ABD mancore  (07/01) Persiapan</v>
      </c>
      <c r="R1625" s="228">
        <f>IFERROR(__xludf.DUMMYFUNCTION("""COMPUTED_VALUE"""),46084.0)</f>
        <v>46084</v>
      </c>
      <c r="S1625" s="11" t="str">
        <f>IFERROR(__xludf.DUMMYFUNCTION("""COMPUTED_VALUE"""),"MAR")</f>
        <v>MAR</v>
      </c>
      <c r="T1625" s="11"/>
      <c r="U1625" s="11" t="str">
        <f>IFERROR(__xludf.DUMMYFUNCTION("""COMPUTED_VALUE"""),"FALSE")</f>
        <v>FALSE</v>
      </c>
      <c r="V1625" s="229"/>
      <c r="W1625" s="229" t="str">
        <f>IFERROR(__xludf.DUMMYFUNCTION("""COMPUTED_VALUE"""),"#N/A")</f>
        <v>#N/A</v>
      </c>
      <c r="X1625" s="229" t="str">
        <f>IFERROR(__xludf.DUMMYFUNCTION("""COMPUTED_VALUE"""),"GOLIVE")</f>
        <v>GOLIVE</v>
      </c>
      <c r="Y1625" s="229" t="str">
        <f>IFERROR(__xludf.DUMMYFUNCTION("""COMPUTED_VALUE"""),"DONE")</f>
        <v>DONE</v>
      </c>
      <c r="Z1625" s="229" t="str">
        <f>IFERROR(__xludf.DUMMYFUNCTION("""COMPUTED_VALUE"""),"#N/A")</f>
        <v>#N/A</v>
      </c>
      <c r="AA1625" s="229">
        <f>IFERROR(__xludf.DUMMYFUNCTION("""COMPUTED_VALUE"""),3.0)</f>
        <v>3</v>
      </c>
      <c r="AB1625" s="229"/>
      <c r="AC1625" s="229" t="str">
        <f>IFERROR(__xludf.DUMMYFUNCTION("""COMPUTED_VALUE"""),"9169892#9169897")</f>
        <v>9169892#9169897</v>
      </c>
      <c r="AD1625" s="232">
        <f>IFERROR(__xludf.DUMMYFUNCTION("""COMPUTED_VALUE"""),24.0)</f>
        <v>24</v>
      </c>
      <c r="AE1625" s="233">
        <f>IFERROR(__xludf.DUMMYFUNCTION("""COMPUTED_VALUE"""),46084.0)</f>
        <v>46084</v>
      </c>
      <c r="AF1625" s="54"/>
      <c r="AG1625" s="54"/>
      <c r="AH1625" s="54">
        <v>46084.0</v>
      </c>
      <c r="AI1625" s="55">
        <f t="shared" si="160"/>
        <v>0</v>
      </c>
      <c r="AW1625" s="234"/>
      <c r="BP1625" s="11"/>
      <c r="BQ1625" s="11"/>
      <c r="BR1625" s="235"/>
      <c r="BV1625" s="158"/>
      <c r="BY1625" s="158"/>
      <c r="CB1625" s="158"/>
    </row>
    <row r="1626" ht="18.0" customHeight="1">
      <c r="A1626" s="222">
        <f>IFERROR(__xludf.DUMMYFUNCTION("""COMPUTED_VALUE"""),2026.0)</f>
        <v>2026</v>
      </c>
      <c r="B1626" s="221">
        <f>IFERROR(__xludf.DUMMYFUNCTION("""COMPUTED_VALUE"""),1.1513549E7)</f>
        <v>11513549</v>
      </c>
      <c r="C1626" s="222" t="str">
        <f>IFERROR(__xludf.DUMMYFUNCTION("""COMPUTED_VALUE"""),"SMB P3I1 Gang Letkol Ahmad Husain")</f>
        <v>SMB P3I1 Gang Letkol Ahmad Husain</v>
      </c>
      <c r="D1626" s="222" t="str">
        <f>IFERROR(__xludf.DUMMYFUNCTION("""COMPUTED_VALUE"""),"REGIONAL I")</f>
        <v>REGIONAL I</v>
      </c>
      <c r="E1626" s="222" t="str">
        <f>IFERROR(__xludf.DUMMYFUNCTION("""COMPUTED_VALUE"""),"SUMBAR")</f>
        <v>SUMBAR</v>
      </c>
      <c r="F1626" s="222" t="str">
        <f>IFERROR(__xludf.DUMMYFUNCTION("""COMPUTED_VALUE"""),"BDT")</f>
        <v>BDT</v>
      </c>
      <c r="G1626" s="222" t="str">
        <f>IFERROR(__xludf.DUMMYFUNCTION("""COMPUTED_VALUE"""),"SUMBAGTENG")</f>
        <v>SUMBAGTENG</v>
      </c>
      <c r="H1626" s="222" t="str">
        <f>IFERROR(__xludf.DUMMYFUNCTION("""COMPUTED_VALUE"""),"PADANG")</f>
        <v>PADANG</v>
      </c>
      <c r="I1626" s="222" t="str">
        <f>IFERROR(__xludf.DUMMYFUNCTION("""COMPUTED_VALUE"""),"Batch 2")</f>
        <v>Batch 2</v>
      </c>
      <c r="J1626" s="225">
        <f>IFERROR(__xludf.DUMMYFUNCTION("""COMPUTED_VALUE"""),3.0)</f>
        <v>3</v>
      </c>
      <c r="K1626" s="224">
        <f>IFERROR(__xludf.DUMMYFUNCTION("""COMPUTED_VALUE"""),24.0)</f>
        <v>24</v>
      </c>
      <c r="L1626" s="226">
        <f>IFERROR(__xludf.DUMMYFUNCTION("""COMPUTED_VALUE"""),523444.0)</f>
        <v>523444</v>
      </c>
      <c r="M1626" s="227">
        <f>IFERROR(__xludf.DUMMYFUNCTION("""COMPUTED_VALUE"""),1.2562643E7)</f>
        <v>12562643</v>
      </c>
      <c r="N1626" s="222" t="str">
        <f>IFERROR(__xludf.DUMMYFUNCTION("""COMPUTED_VALUE"""),"PT TRI PENAMAS")</f>
        <v>PT TRI PENAMAS</v>
      </c>
      <c r="O1626" s="222" t="str">
        <f>IFERROR(__xludf.DUMMYFUNCTION("""COMPUTED_VALUE"""),"8. UJI TERIMA")</f>
        <v>8. UJI TERIMA</v>
      </c>
      <c r="P1626" s="222" t="str">
        <f>IFERROR(__xludf.DUMMYFUNCTION("""COMPUTED_VALUE"""),"8.1 Proses UT")</f>
        <v>8.1 Proses UT</v>
      </c>
      <c r="Q1626" s="222" t="str">
        <f>IFERROR(__xludf.DUMMYFUNCTION("""COMPUTED_VALUE"""),"(07/01) Persiapan")</f>
        <v>(07/01) Persiapan</v>
      </c>
      <c r="R1626" s="228"/>
      <c r="S1626" s="11"/>
      <c r="T1626" s="11"/>
      <c r="U1626" s="11" t="str">
        <f>IFERROR(__xludf.DUMMYFUNCTION("""COMPUTED_VALUE"""),"W10-1823/2025 25KT03R158-0565")</f>
        <v>W10-1823/2025 25KT03R158-0565</v>
      </c>
      <c r="V1626" s="229" t="str">
        <f>IFERROR(__xludf.DUMMYFUNCTION("""COMPUTED_VALUE"""),"FABIO RAHMAN")</f>
        <v>FABIO RAHMAN</v>
      </c>
      <c r="W1626" s="229" t="str">
        <f>IFERROR(__xludf.DUMMYFUNCTION("""COMPUTED_VALUE"""),"MELKO NARWADI")</f>
        <v>MELKO NARWADI</v>
      </c>
      <c r="X1626" s="229" t="str">
        <f>IFERROR(__xludf.DUMMYFUNCTION("""COMPUTED_VALUE"""),"GOLIVE")</f>
        <v>GOLIVE</v>
      </c>
      <c r="Y1626" s="229" t="str">
        <f>IFERROR(__xludf.DUMMYFUNCTION("""COMPUTED_VALUE"""),"DONE")</f>
        <v>DONE</v>
      </c>
      <c r="Z1626" s="229" t="str">
        <f>IFERROR(__xludf.DUMMYFUNCTION("""COMPUTED_VALUE"""),"#N/A")</f>
        <v>#N/A</v>
      </c>
      <c r="AA1626" s="229">
        <f>IFERROR(__xludf.DUMMYFUNCTION("""COMPUTED_VALUE"""),3.0)</f>
        <v>3</v>
      </c>
      <c r="AB1626" s="229"/>
      <c r="AC1626" s="229" t="str">
        <f>IFERROR(__xludf.DUMMYFUNCTION("""COMPUTED_VALUE"""),"8942935#8942940	")</f>
        <v>8942935#8942940	</v>
      </c>
      <c r="AD1626" s="232">
        <f>IFERROR(__xludf.DUMMYFUNCTION("""COMPUTED_VALUE"""),24.0)</f>
        <v>24</v>
      </c>
      <c r="AE1626" s="233">
        <f>IFERROR(__xludf.DUMMYFUNCTION("""COMPUTED_VALUE"""),46034.0)</f>
        <v>46034</v>
      </c>
      <c r="AF1626" s="54"/>
      <c r="AG1626" s="54"/>
      <c r="AH1626" s="54"/>
      <c r="AI1626" s="55" t="str">
        <f t="shared" si="160"/>
        <v/>
      </c>
      <c r="AW1626" s="234"/>
      <c r="BP1626" s="11"/>
      <c r="BQ1626" s="11"/>
      <c r="BR1626" s="235"/>
      <c r="BV1626" s="158"/>
      <c r="BY1626" s="158"/>
      <c r="CB1626" s="158"/>
    </row>
    <row r="1627" ht="18.0" hidden="1" customHeight="1">
      <c r="A1627" s="222">
        <f>IFERROR(__xludf.DUMMYFUNCTION("""COMPUTED_VALUE"""),2026.0)</f>
        <v>2026</v>
      </c>
      <c r="B1627" s="221">
        <f>IFERROR(__xludf.DUMMYFUNCTION("""COMPUTED_VALUE"""),1.2437806E7)</f>
        <v>12437806</v>
      </c>
      <c r="C1627" s="222" t="str">
        <f>IFERROR(__xludf.DUMMYFUNCTION("""COMPUTED_VALUE"""),"SMS P4I4 PT3 PBM FAV D04 BUKIT ARDHA 2")</f>
        <v>SMS P4I4 PT3 PBM FAV D04 BUKIT ARDHA 2</v>
      </c>
      <c r="D1627" s="222" t="str">
        <f>IFERROR(__xludf.DUMMYFUNCTION("""COMPUTED_VALUE"""),"REGIONAL I")</f>
        <v>REGIONAL I</v>
      </c>
      <c r="E1627" s="222" t="str">
        <f>IFERROR(__xludf.DUMMYFUNCTION("""COMPUTED_VALUE"""),"SUMSEL")</f>
        <v>SUMSEL</v>
      </c>
      <c r="F1627" s="222" t="str">
        <f>IFERROR(__xludf.DUMMYFUNCTION("""COMPUTED_VALUE"""),"PBM")</f>
        <v>PBM</v>
      </c>
      <c r="G1627" s="222" t="str">
        <f>IFERROR(__xludf.DUMMYFUNCTION("""COMPUTED_VALUE"""),"SUMBAGSEL")</f>
        <v>SUMBAGSEL</v>
      </c>
      <c r="H1627" s="222" t="str">
        <f>IFERROR(__xludf.DUMMYFUNCTION("""COMPUTED_VALUE"""),"PALEMBANG")</f>
        <v>PALEMBANG</v>
      </c>
      <c r="I1627" s="222" t="str">
        <f>IFERROR(__xludf.DUMMYFUNCTION("""COMPUTED_VALUE"""),"Batch 2")</f>
        <v>Batch 2</v>
      </c>
      <c r="J1627" s="225">
        <f>IFERROR(__xludf.DUMMYFUNCTION("""COMPUTED_VALUE"""),4.0)</f>
        <v>4</v>
      </c>
      <c r="K1627" s="224">
        <f>IFERROR(__xludf.DUMMYFUNCTION("""COMPUTED_VALUE"""),32.0)</f>
        <v>32</v>
      </c>
      <c r="L1627" s="226">
        <f>IFERROR(__xludf.DUMMYFUNCTION("""COMPUTED_VALUE"""),522951.0)</f>
        <v>522951</v>
      </c>
      <c r="M1627" s="227">
        <f>IFERROR(__xludf.DUMMYFUNCTION("""COMPUTED_VALUE"""),1.6734405E7)</f>
        <v>16734405</v>
      </c>
      <c r="N1627" s="222" t="str">
        <f>IFERROR(__xludf.DUMMYFUNCTION("""COMPUTED_VALUE"""),"PT ACERO CETHA METALINDO")</f>
        <v>PT ACERO CETHA METALINDO</v>
      </c>
      <c r="O1627" s="222" t="str">
        <f>IFERROR(__xludf.DUMMYFUNCTION("""COMPUTED_VALUE"""),"7. GOLIVE")</f>
        <v>7. GOLIVE</v>
      </c>
      <c r="P1627" s="222" t="str">
        <f>IFERROR(__xludf.DUMMYFUNCTION("""COMPUTED_VALUE"""),"7.2 Golive Full / OA / DONE OTB")</f>
        <v>7.2 Golive Full / OA / DONE OTB</v>
      </c>
      <c r="Q1627" s="222" t="str">
        <f>IFERROR(__xludf.DUMMYFUNCTION("""COMPUTED_VALUE"""),"10/03 GOLIVE, 09/03 MENUNGGU GOLIVE, 07/03 DONE SUBMIT ABD KE SDI, 06/03 OGP VALINS - KENDALA ONT RUSAK, 05/03 DONE PEMASANGAN 4 ODP, 04/03 OGP PEMASANGAN ODP, 02/03 DONE PENANAMAN 7 TIANG DAN PENARIKAN KABEL 320M, 27/02 PARALEL, MENUNGGU ANTRIAN PEKERJAA"&amp;"N, 26/02 PARALEL, MENUNGGU ANTRIAN PEKERJAAN, 24/02 SUDAH RFC, TINGGAL NUNGGU MITRA AMBIL MATERIAL, 23/02 OGP MATDEL, 22/2 menunggu material TIANG  20/02 DONE INPUT MATERIAL, 17/02 PROSES INPUT MATERIAL - KENDALA OVER BUDGET, 11/2 plan matdel 15 FEB  10/0"&amp;"2 PROSES PERIZINAN, 09/02 MENUNGGU PID UTK INPUT MATERIAL, 03/02 DONE EVAL, LANJUT PROGRES LAPANGAN, BERUBAH CATUAN DRI DIST 4 KE DIST 3 TIDAK ADA PERUBAHAN BOQ DARI PLAN - PROSES PERIZINAN, 30/01 PROSES PERIZINAN - PERUBAHAN DARI DIST 4 KE DIST 3, 23/01 "&amp;"DONE AANWIDJZING - PERIZINAN, (21/01) menunggu antrian aanwizjing, (15/1) ORDER DITERIMA MITRA 14/1, plan Aanwijdzing 19 Jan  (14/11)HOLD-  tidak masuk target Optimis 2025 (14/11 menunggu jadwal aanwidzjing, (11/11) Penunjukkan MITRA  oleh Procurement 
14"&amp;"/01 penunjukan mitra oleh procurement")</f>
        <v>10/03 GOLIVE, 09/03 MENUNGGU GOLIVE, 07/03 DONE SUBMIT ABD KE SDI, 06/03 OGP VALINS - KENDALA ONT RUSAK, 05/03 DONE PEMASANGAN 4 ODP, 04/03 OGP PEMASANGAN ODP, 02/03 DONE PENANAMAN 7 TIANG DAN PENARIKAN KABEL 320M, 27/02 PARALEL, MENUNGGU ANTRIAN PEKERJAAN, 26/02 PARALEL, MENUNGGU ANTRIAN PEKERJAAN, 24/02 SUDAH RFC, TINGGAL NUNGGU MITRA AMBIL MATERIAL, 23/02 OGP MATDEL, 22/2 menunggu material TIANG  20/02 DONE INPUT MATERIAL, 17/02 PROSES INPUT MATERIAL - KENDALA OVER BUDGET, 11/2 plan matdel 15 FEB  10/02 PROSES PERIZINAN, 09/02 MENUNGGU PID UTK INPUT MATERIAL, 03/02 DONE EVAL, LANJUT PROGRES LAPANGAN, BERUBAH CATUAN DRI DIST 4 KE DIST 3 TIDAK ADA PERUBAHAN BOQ DARI PLAN - PROSES PERIZINAN, 30/01 PROSES PERIZINAN - PERUBAHAN DARI DIST 4 KE DIST 3, 23/01 DONE AANWIDJZING - PERIZINAN, (21/01) menunggu antrian aanwizjing, (15/1) ORDER DITERIMA MITRA 14/1, plan Aanwijdzing 19 Jan  (14/11)HOLD-  tidak masuk target Optimis 2025 (14/11 menunggu jadwal aanwidzjing, (11/11) Penunjukkan MITRA  oleh Procurement 
14/01 penunjukan mitra oleh procurement</v>
      </c>
      <c r="R1627" s="228">
        <f>IFERROR(__xludf.DUMMYFUNCTION("""COMPUTED_VALUE"""),46090.0)</f>
        <v>46090</v>
      </c>
      <c r="S1627" s="11" t="str">
        <f>IFERROR(__xludf.DUMMYFUNCTION("""COMPUTED_VALUE"""),"MAR")</f>
        <v>MAR</v>
      </c>
      <c r="T1627" s="11"/>
      <c r="U1627" s="11"/>
      <c r="V1627" s="229" t="str">
        <f>IFERROR(__xludf.DUMMYFUNCTION("""COMPUTED_VALUE"""),"ILHAM")</f>
        <v>ILHAM</v>
      </c>
      <c r="W1627" s="229"/>
      <c r="X1627" s="229" t="str">
        <f>IFERROR(__xludf.DUMMYFUNCTION("""COMPUTED_VALUE"""),"GOLIVE")</f>
        <v>GOLIVE</v>
      </c>
      <c r="Y1627" s="229" t="str">
        <f>IFERROR(__xludf.DUMMYFUNCTION("""COMPUTED_VALUE"""),"DONE")</f>
        <v>DONE</v>
      </c>
      <c r="Z1627" s="229" t="str">
        <f>IFERROR(__xludf.DUMMYFUNCTION("""COMPUTED_VALUE"""),"#N/A")</f>
        <v>#N/A</v>
      </c>
      <c r="AA1627" s="229">
        <f>IFERROR(__xludf.DUMMYFUNCTION("""COMPUTED_VALUE"""),4.0)</f>
        <v>4</v>
      </c>
      <c r="AB1627" s="229"/>
      <c r="AC1627" s="229" t="str">
        <f>IFERROR(__xludf.DUMMYFUNCTION("""COMPUTED_VALUE"""),"8939407#8939412")</f>
        <v>8939407#8939412</v>
      </c>
      <c r="AD1627" s="232">
        <f>IFERROR(__xludf.DUMMYFUNCTION("""COMPUTED_VALUE"""),32.0)</f>
        <v>32</v>
      </c>
      <c r="AE1627" s="233">
        <f>IFERROR(__xludf.DUMMYFUNCTION("""COMPUTED_VALUE"""),46090.0)</f>
        <v>46090</v>
      </c>
      <c r="AF1627" s="54"/>
      <c r="AG1627" s="54"/>
      <c r="AH1627" s="54">
        <v>46090.0</v>
      </c>
      <c r="AI1627" s="55">
        <f t="shared" si="160"/>
        <v>0</v>
      </c>
      <c r="AW1627" s="234"/>
      <c r="BP1627" s="11"/>
      <c r="BQ1627" s="11"/>
      <c r="BR1627" s="235"/>
      <c r="BV1627" s="158"/>
      <c r="BY1627" s="158"/>
      <c r="CB1627" s="158"/>
    </row>
    <row r="1628" ht="18.0" customHeight="1">
      <c r="A1628" s="222">
        <f>IFERROR(__xludf.DUMMYFUNCTION("""COMPUTED_VALUE"""),2026.0)</f>
        <v>2026</v>
      </c>
      <c r="B1628" s="221">
        <f>IFERROR(__xludf.DUMMYFUNCTION("""COMPUTED_VALUE"""),1.0896737E7)</f>
        <v>10896737</v>
      </c>
      <c r="C1628" s="222" t="str">
        <f>IFERROR(__xludf.DUMMYFUNCTION("""COMPUTED_VALUE"""),"RDR JPP P4l1 PT3 PERUMAHAN PURI ANGGREK")</f>
        <v>RDR JPP P4l1 PT3 PERUMAHAN PURI ANGGREK</v>
      </c>
      <c r="D1628" s="222" t="str">
        <f>IFERROR(__xludf.DUMMYFUNCTION("""COMPUTED_VALUE"""),"REGIONAL I")</f>
        <v>REGIONAL I</v>
      </c>
      <c r="E1628" s="222" t="str">
        <f>IFERROR(__xludf.DUMMYFUNCTION("""COMPUTED_VALUE"""),"RIDAR")</f>
        <v>RIDAR</v>
      </c>
      <c r="F1628" s="222" t="str">
        <f>IFERROR(__xludf.DUMMYFUNCTION("""COMPUTED_VALUE"""),"PBB")</f>
        <v>PBB</v>
      </c>
      <c r="G1628" s="222" t="str">
        <f>IFERROR(__xludf.DUMMYFUNCTION("""COMPUTED_VALUE"""),"SUMBAGTENG")</f>
        <v>SUMBAGTENG</v>
      </c>
      <c r="H1628" s="222" t="str">
        <f>IFERROR(__xludf.DUMMYFUNCTION("""COMPUTED_VALUE"""),"PEKANBARU")</f>
        <v>PEKANBARU</v>
      </c>
      <c r="I1628" s="222" t="str">
        <f>IFERROR(__xludf.DUMMYFUNCTION("""COMPUTED_VALUE"""),"Batch 2")</f>
        <v>Batch 2</v>
      </c>
      <c r="J1628" s="225">
        <f>IFERROR(__xludf.DUMMYFUNCTION("""COMPUTED_VALUE"""),3.0)</f>
        <v>3</v>
      </c>
      <c r="K1628" s="224">
        <f>IFERROR(__xludf.DUMMYFUNCTION("""COMPUTED_VALUE"""),24.0)</f>
        <v>24</v>
      </c>
      <c r="L1628" s="226">
        <f>IFERROR(__xludf.DUMMYFUNCTION("""COMPUTED_VALUE"""),522942.0)</f>
        <v>522942</v>
      </c>
      <c r="M1628" s="227">
        <f>IFERROR(__xludf.DUMMYFUNCTION("""COMPUTED_VALUE"""),1.2550605E7)</f>
        <v>12550605</v>
      </c>
      <c r="N1628" s="222" t="str">
        <f>IFERROR(__xludf.DUMMYFUNCTION("""COMPUTED_VALUE"""),"PT UPAYA TEKNIK")</f>
        <v>PT UPAYA TEKNIK</v>
      </c>
      <c r="O1628" s="222" t="str">
        <f>IFERROR(__xludf.DUMMYFUNCTION("""COMPUTED_VALUE"""),"2. DONE AANWIJZING")</f>
        <v>2. DONE AANWIJZING</v>
      </c>
      <c r="P1628" s="222" t="str">
        <f>IFERROR(__xludf.DUMMYFUNCTION("""COMPUTED_VALUE"""),"2.10 Kendala - Feeder Rusak")</f>
        <v>2.10 Kendala - Feeder Rusak</v>
      </c>
      <c r="Q1628" s="222" t="str">
        <f>IFERROR(__xludf.DUMMYFUNCTION("""COMPUTED_VALUE"""),"20/04 Pengambilan ulang hasil ukur OTDR 13/04 Pengambilan ulang OTDR utk kebutuhan QE 20/01 Kendala Feeder Rusak (07/01) Persiapan")</f>
        <v>20/04 Pengambilan ulang hasil ukur OTDR 13/04 Pengambilan ulang OTDR utk kebutuhan QE 20/01 Kendala Feeder Rusak (07/01) Persiapan</v>
      </c>
      <c r="R1628" s="228"/>
      <c r="S1628" s="11"/>
      <c r="T1628" s="11"/>
      <c r="U1628" s="11"/>
      <c r="V1628" s="229"/>
      <c r="W1628" s="229"/>
      <c r="X1628" s="229" t="str">
        <f>IFERROR(__xludf.DUMMYFUNCTION("""COMPUTED_VALUE"""),"BELUM GOLIVE")</f>
        <v>BELUM GOLIVE</v>
      </c>
      <c r="Y1628" s="229"/>
      <c r="Z1628" s="229" t="str">
        <f>IFERROR(__xludf.DUMMYFUNCTION("""COMPUTED_VALUE"""),"#N/A")</f>
        <v>#N/A</v>
      </c>
      <c r="AA1628" s="229"/>
      <c r="AB1628" s="229"/>
      <c r="AC1628" s="229"/>
      <c r="AD1628" s="232"/>
      <c r="AE1628" s="233"/>
      <c r="AF1628" s="54"/>
      <c r="AG1628" s="54"/>
      <c r="AH1628" s="54"/>
      <c r="AI1628" s="55" t="str">
        <f t="shared" si="160"/>
        <v/>
      </c>
      <c r="AW1628" s="234"/>
      <c r="BP1628" s="11"/>
      <c r="BQ1628" s="11"/>
      <c r="BR1628" s="235"/>
      <c r="BV1628" s="158"/>
      <c r="BY1628" s="158"/>
      <c r="CB1628" s="158"/>
    </row>
    <row r="1629" ht="18.0" customHeight="1">
      <c r="A1629" s="222">
        <f>IFERROR(__xludf.DUMMYFUNCTION("""COMPUTED_VALUE"""),2026.0)</f>
        <v>2026</v>
      </c>
      <c r="B1629" s="221">
        <f>IFERROR(__xludf.DUMMYFUNCTION("""COMPUTED_VALUE"""),1.1554204E7)</f>
        <v>11554204</v>
      </c>
      <c r="C1629" s="222" t="str">
        <f>IFERROR(__xludf.DUMMYFUNCTION("""COMPUTED_VALUE"""),"RKP TSEL PT3 SLU-FB CLUSTER LAVENDER")</f>
        <v>RKP TSEL PT3 SLU-FB CLUSTER LAVENDER</v>
      </c>
      <c r="D1629" s="222" t="str">
        <f>IFERROR(__xludf.DUMMYFUNCTION("""COMPUTED_VALUE"""),"REGIONAL I")</f>
        <v>REGIONAL I</v>
      </c>
      <c r="E1629" s="222" t="str">
        <f>IFERROR(__xludf.DUMMYFUNCTION("""COMPUTED_VALUE"""),"RIKEP")</f>
        <v>RIKEP</v>
      </c>
      <c r="F1629" s="222" t="str">
        <f>IFERROR(__xludf.DUMMYFUNCTION("""COMPUTED_VALUE"""),"SLU")</f>
        <v>SLU</v>
      </c>
      <c r="G1629" s="222" t="str">
        <f>IFERROR(__xludf.DUMMYFUNCTION("""COMPUTED_VALUE"""),"SUMBAGTENG")</f>
        <v>SUMBAGTENG</v>
      </c>
      <c r="H1629" s="222" t="str">
        <f>IFERROR(__xludf.DUMMYFUNCTION("""COMPUTED_VALUE"""),"BATAM")</f>
        <v>BATAM</v>
      </c>
      <c r="I1629" s="222" t="str">
        <f>IFERROR(__xludf.DUMMYFUNCTION("""COMPUTED_VALUE"""),"Batch 2")</f>
        <v>Batch 2</v>
      </c>
      <c r="J1629" s="225">
        <f>IFERROR(__xludf.DUMMYFUNCTION("""COMPUTED_VALUE"""),4.0)</f>
        <v>4</v>
      </c>
      <c r="K1629" s="224">
        <f>IFERROR(__xludf.DUMMYFUNCTION("""COMPUTED_VALUE"""),32.0)</f>
        <v>32</v>
      </c>
      <c r="L1629" s="226">
        <f>IFERROR(__xludf.DUMMYFUNCTION("""COMPUTED_VALUE"""),1360295.0)</f>
        <v>1360295</v>
      </c>
      <c r="M1629" s="227">
        <f>IFERROR(__xludf.DUMMYFUNCTION("""COMPUTED_VALUE"""),4.3529411E7)</f>
        <v>43529411</v>
      </c>
      <c r="N1629" s="222" t="str">
        <f>IFERROR(__xludf.DUMMYFUNCTION("""COMPUTED_VALUE"""),"PT TRIPOLA PANATA")</f>
        <v>PT TRIPOLA PANATA</v>
      </c>
      <c r="O1629" s="222" t="str">
        <f>IFERROR(__xludf.DUMMYFUNCTION("""COMPUTED_VALUE"""),"0. DROP")</f>
        <v>0. DROP</v>
      </c>
      <c r="P1629" s="222" t="str">
        <f>IFERROR(__xludf.DUMMYFUNCTION("""COMPUTED_VALUE"""),"0.2 Tidak Dapat Izin Warga/Kades/Lurah/Developer")</f>
        <v>0.2 Tidak Dapat Izin Warga/Kades/Lurah/Developer</v>
      </c>
      <c r="Q1629" s="222" t="str">
        <f>IFERROR(__xludf.DUMMYFUNCTION("""COMPUTED_VALUE"""),"21/01 Izin di tolak'")</f>
        <v>21/01 Izin di tolak'</v>
      </c>
      <c r="R1629" s="228"/>
      <c r="S1629" s="11"/>
      <c r="T1629" s="11"/>
      <c r="U1629" s="11"/>
      <c r="V1629" s="229" t="str">
        <f>IFERROR(__xludf.DUMMYFUNCTION("""COMPUTED_VALUE"""),"MUHAMMAD RIDHO FALFO")</f>
        <v>MUHAMMAD RIDHO FALFO</v>
      </c>
      <c r="W1629" s="229" t="str">
        <f>IFERROR(__xludf.DUMMYFUNCTION("""COMPUTED_VALUE"""),"LEVITA INDRIYANI")</f>
        <v>LEVITA INDRIYANI</v>
      </c>
      <c r="X1629" s="229" t="str">
        <f>IFERROR(__xludf.DUMMYFUNCTION("""COMPUTED_VALUE"""),"BELUM GOLIVE")</f>
        <v>BELUM GOLIVE</v>
      </c>
      <c r="Y1629" s="229"/>
      <c r="Z1629" s="229" t="str">
        <f>IFERROR(__xludf.DUMMYFUNCTION("""COMPUTED_VALUE"""),"#N/A")</f>
        <v>#N/A</v>
      </c>
      <c r="AA1629" s="229"/>
      <c r="AB1629" s="229"/>
      <c r="AC1629" s="229"/>
      <c r="AD1629" s="232"/>
      <c r="AE1629" s="233"/>
      <c r="AF1629" s="54" t="str">
        <f>IFERROR(__xludf.DUMMYFUNCTION("""COMPUTED_VALUE"""),"Draft BA DROP")</f>
        <v>Draft BA DROP</v>
      </c>
      <c r="AG1629" s="54"/>
      <c r="AH1629" s="54"/>
      <c r="AI1629" s="55" t="str">
        <f t="shared" si="160"/>
        <v/>
      </c>
      <c r="AW1629" s="234"/>
      <c r="BP1629" s="11"/>
      <c r="BQ1629" s="11"/>
      <c r="BR1629" s="235"/>
      <c r="BV1629" s="158"/>
      <c r="BY1629" s="158"/>
      <c r="CB1629" s="158"/>
    </row>
    <row r="1630" ht="18.0" hidden="1" customHeight="1">
      <c r="A1630" s="222">
        <f>IFERROR(__xludf.DUMMYFUNCTION("""COMPUTED_VALUE"""),2026.0)</f>
        <v>2026</v>
      </c>
      <c r="B1630" s="221">
        <f>IFERROR(__xludf.DUMMYFUNCTION("""COMPUTED_VALUE"""),1.2438392E7)</f>
        <v>12438392</v>
      </c>
      <c r="C1630" s="222" t="str">
        <f>IFERROR(__xludf.DUMMYFUNCTION("""COMPUTED_VALUE"""),"MDN PT3 STB-FX 250_1695_1572")</f>
        <v>MDN PT3 STB-FX 250_1695_1572</v>
      </c>
      <c r="D1630" s="222" t="str">
        <f>IFERROR(__xludf.DUMMYFUNCTION("""COMPUTED_VALUE"""),"REGIONAL I")</f>
        <v>REGIONAL I</v>
      </c>
      <c r="E1630" s="222" t="str">
        <f>IFERROR(__xludf.DUMMYFUNCTION("""COMPUTED_VALUE"""),"MEDAN")</f>
        <v>MEDAN</v>
      </c>
      <c r="F1630" s="222" t="str">
        <f>IFERROR(__xludf.DUMMYFUNCTION("""COMPUTED_VALUE"""),"STB")</f>
        <v>STB</v>
      </c>
      <c r="G1630" s="222" t="str">
        <f>IFERROR(__xludf.DUMMYFUNCTION("""COMPUTED_VALUE"""),"SUMBAGUT")</f>
        <v>SUMBAGUT</v>
      </c>
      <c r="H1630" s="222" t="str">
        <f>IFERROR(__xludf.DUMMYFUNCTION("""COMPUTED_VALUE"""),"BINJAI")</f>
        <v>BINJAI</v>
      </c>
      <c r="I1630" s="222" t="str">
        <f>IFERROR(__xludf.DUMMYFUNCTION("""COMPUTED_VALUE"""),"Batch 2")</f>
        <v>Batch 2</v>
      </c>
      <c r="J1630" s="225">
        <f>IFERROR(__xludf.DUMMYFUNCTION("""COMPUTED_VALUE"""),3.0)</f>
        <v>3</v>
      </c>
      <c r="K1630" s="224">
        <f>IFERROR(__xludf.DUMMYFUNCTION("""COMPUTED_VALUE"""),24.0)</f>
        <v>24</v>
      </c>
      <c r="L1630" s="226">
        <f>IFERROR(__xludf.DUMMYFUNCTION("""COMPUTED_VALUE"""),521414.0)</f>
        <v>521414</v>
      </c>
      <c r="M1630" s="227">
        <f>IFERROR(__xludf.DUMMYFUNCTION("""COMPUTED_VALUE"""),1.2513919E7)</f>
        <v>12513919</v>
      </c>
      <c r="N1630" s="222" t="str">
        <f>IFERROR(__xludf.DUMMYFUNCTION("""COMPUTED_VALUE"""),"PT FIBERHOME TECHNOLOGIES INDONESIA")</f>
        <v>PT FIBERHOME TECHNOLOGIES INDONESIA</v>
      </c>
      <c r="O1630" s="222" t="str">
        <f>IFERROR(__xludf.DUMMYFUNCTION("""COMPUTED_VALUE"""),"0. DROP")</f>
        <v>0. DROP</v>
      </c>
      <c r="P1630" s="222" t="str">
        <f>IFERROR(__xludf.DUMMYFUNCTION("""COMPUTED_VALUE"""),"0.3 Feeder Full")</f>
        <v>0.3 Feeder Full</v>
      </c>
      <c r="Q1630" s="222" t="str">
        <f>IFERROR(__xludf.DUMMYFUNCTION("""COMPUTED_VALUE"""),"(10/04) Feeder Full
(07/01) Persiapan")</f>
        <v>(10/04) Feeder Full
(07/01) Persiapan</v>
      </c>
      <c r="R1630" s="228"/>
      <c r="S1630" s="11"/>
      <c r="T1630" s="11"/>
      <c r="U1630" s="11"/>
      <c r="V1630" s="229"/>
      <c r="W1630" s="229"/>
      <c r="X1630" s="229" t="str">
        <f>IFERROR(__xludf.DUMMYFUNCTION("""COMPUTED_VALUE"""),"BELUM GOLIVE")</f>
        <v>BELUM GOLIVE</v>
      </c>
      <c r="Y1630" s="229"/>
      <c r="Z1630" s="229" t="str">
        <f>IFERROR(__xludf.DUMMYFUNCTION("""COMPUTED_VALUE"""),"#N/A")</f>
        <v>#N/A</v>
      </c>
      <c r="AA1630" s="229"/>
      <c r="AB1630" s="229"/>
      <c r="AC1630" s="229"/>
      <c r="AD1630" s="232"/>
      <c r="AE1630" s="233"/>
      <c r="AF1630" s="54"/>
      <c r="AG1630" s="54"/>
      <c r="AH1630" s="54"/>
      <c r="AI1630" s="55" t="str">
        <f t="shared" si="160"/>
        <v/>
      </c>
      <c r="AW1630" s="234"/>
      <c r="BP1630" s="11"/>
      <c r="BQ1630" s="11"/>
      <c r="BR1630" s="235"/>
      <c r="BV1630" s="158"/>
      <c r="BY1630" s="158"/>
      <c r="CB1630" s="158"/>
    </row>
    <row r="1631" ht="18.0" hidden="1" customHeight="1">
      <c r="A1631" s="222">
        <f>IFERROR(__xludf.DUMMYFUNCTION("""COMPUTED_VALUE"""),2026.0)</f>
        <v>2026</v>
      </c>
      <c r="B1631" s="221">
        <f>IFERROR(__xludf.DUMMYFUNCTION("""COMPUTED_VALUE"""),1.2166895E7)</f>
        <v>12166895</v>
      </c>
      <c r="C1631" s="222" t="str">
        <f>IFERROR(__xludf.DUMMYFUNCTION("""COMPUTED_VALUE"""),"JBI BATANGHARI_17774_H2_2025")</f>
        <v>JBI BATANGHARI_17774_H2_2025</v>
      </c>
      <c r="D1631" s="222" t="str">
        <f>IFERROR(__xludf.DUMMYFUNCTION("""COMPUTED_VALUE"""),"REGIONAL I")</f>
        <v>REGIONAL I</v>
      </c>
      <c r="E1631" s="222" t="str">
        <f>IFERROR(__xludf.DUMMYFUNCTION("""COMPUTED_VALUE"""),"JAMBI")</f>
        <v>JAMBI</v>
      </c>
      <c r="F1631" s="222" t="str">
        <f>IFERROR(__xludf.DUMMYFUNCTION("""COMPUTED_VALUE"""),"MBN")</f>
        <v>MBN</v>
      </c>
      <c r="G1631" s="222" t="str">
        <f>IFERROR(__xludf.DUMMYFUNCTION("""COMPUTED_VALUE"""),"SUMBAGSEL")</f>
        <v>SUMBAGSEL</v>
      </c>
      <c r="H1631" s="222" t="str">
        <f>IFERROR(__xludf.DUMMYFUNCTION("""COMPUTED_VALUE"""),"JAMBI")</f>
        <v>JAMBI</v>
      </c>
      <c r="I1631" s="222" t="str">
        <f>IFERROR(__xludf.DUMMYFUNCTION("""COMPUTED_VALUE"""),"Batch 2")</f>
        <v>Batch 2</v>
      </c>
      <c r="J1631" s="225">
        <f>IFERROR(__xludf.DUMMYFUNCTION("""COMPUTED_VALUE"""),3.0)</f>
        <v>3</v>
      </c>
      <c r="K1631" s="224">
        <f>IFERROR(__xludf.DUMMYFUNCTION("""COMPUTED_VALUE"""),24.0)</f>
        <v>24</v>
      </c>
      <c r="L1631" s="226">
        <f>IFERROR(__xludf.DUMMYFUNCTION("""COMPUTED_VALUE"""),520031.0)</f>
        <v>520031</v>
      </c>
      <c r="M1631" s="227">
        <f>IFERROR(__xludf.DUMMYFUNCTION("""COMPUTED_VALUE"""),1.2480741E7)</f>
        <v>12480741</v>
      </c>
      <c r="N1631" s="222" t="str">
        <f>IFERROR(__xludf.DUMMYFUNCTION("""COMPUTED_VALUE"""),"PT ALAM UTAMA MULIA")</f>
        <v>PT ALAM UTAMA MULIA</v>
      </c>
      <c r="O1631" s="222" t="str">
        <f>IFERROR(__xludf.DUMMYFUNCTION("""COMPUTED_VALUE"""),"0. DROP")</f>
        <v>0. DROP</v>
      </c>
      <c r="P1631" s="222" t="str">
        <f>IFERROR(__xludf.DUMMYFUNCTION("""COMPUTED_VALUE"""),"0.5 DROP TSEL - Acc ED TIF")</f>
        <v>0.5 DROP TSEL - Acc ED TIF</v>
      </c>
      <c r="Q1631" s="222" t="str">
        <f>IFERROR(__xludf.DUMMYFUNCTION("""COMPUTED_VALUE"""),"09/04 BA Drop Sirkulir - Permintaan Tsel Market tidak OK  (12/1) BA Drop Sirkulir - Permintaan Tsel Market tidak OK  17/11 drop permintaan Tsel 10/11 mapping mitra")</f>
        <v>09/04 BA Drop Sirkulir - Permintaan Tsel Market tidak OK  (12/1) BA Drop Sirkulir - Permintaan Tsel Market tidak OK  17/11 drop permintaan Tsel 10/11 mapping mitra</v>
      </c>
      <c r="R1631" s="228"/>
      <c r="S1631" s="11"/>
      <c r="T1631" s="11"/>
      <c r="U1631" s="11"/>
      <c r="V1631" s="229"/>
      <c r="W1631" s="229"/>
      <c r="X1631" s="229" t="str">
        <f>IFERROR(__xludf.DUMMYFUNCTION("""COMPUTED_VALUE"""),"BELUM GOLIVE")</f>
        <v>BELUM GOLIVE</v>
      </c>
      <c r="Y1631" s="229"/>
      <c r="Z1631" s="229" t="str">
        <f>IFERROR(__xludf.DUMMYFUNCTION("""COMPUTED_VALUE"""),"#N/A")</f>
        <v>#N/A</v>
      </c>
      <c r="AA1631" s="229"/>
      <c r="AB1631" s="229"/>
      <c r="AC1631" s="229"/>
      <c r="AD1631" s="232"/>
      <c r="AE1631" s="233"/>
      <c r="AF1631" s="54"/>
      <c r="AG1631" s="54"/>
      <c r="AH1631" s="54"/>
      <c r="AI1631" s="55" t="str">
        <f t="shared" si="160"/>
        <v/>
      </c>
      <c r="AW1631" s="234"/>
      <c r="BP1631" s="11"/>
      <c r="BQ1631" s="11"/>
      <c r="BR1631" s="235"/>
      <c r="BV1631" s="158"/>
      <c r="BY1631" s="158"/>
      <c r="CB1631" s="158"/>
    </row>
    <row r="1632" ht="18.0" customHeight="1">
      <c r="A1632" s="222">
        <f>IFERROR(__xludf.DUMMYFUNCTION("""COMPUTED_VALUE"""),2026.0)</f>
        <v>2026</v>
      </c>
      <c r="B1632" s="221">
        <f>IFERROR(__xludf.DUMMYFUNCTION("""COMPUTED_VALUE"""),1.15371E7)</f>
        <v>11537100</v>
      </c>
      <c r="C1632" s="222" t="str">
        <f>IFERROR(__xludf.DUMMYFUNCTION("""COMPUTED_VALUE"""),"SMB MD FEBY COLINA-SUPADI")</f>
        <v>SMB MD FEBY COLINA-SUPADI</v>
      </c>
      <c r="D1632" s="222" t="str">
        <f>IFERROR(__xludf.DUMMYFUNCTION("""COMPUTED_VALUE"""),"REGIONAL I")</f>
        <v>REGIONAL I</v>
      </c>
      <c r="E1632" s="222" t="str">
        <f>IFERROR(__xludf.DUMMYFUNCTION("""COMPUTED_VALUE"""),"SUMBAR")</f>
        <v>SUMBAR</v>
      </c>
      <c r="F1632" s="222" t="str">
        <f>IFERROR(__xludf.DUMMYFUNCTION("""COMPUTED_VALUE"""),"SLK")</f>
        <v>SLK</v>
      </c>
      <c r="G1632" s="222" t="str">
        <f>IFERROR(__xludf.DUMMYFUNCTION("""COMPUTED_VALUE"""),"SUMBAGTENG")</f>
        <v>SUMBAGTENG</v>
      </c>
      <c r="H1632" s="222" t="str">
        <f>IFERROR(__xludf.DUMMYFUNCTION("""COMPUTED_VALUE"""),"PADANG")</f>
        <v>PADANG</v>
      </c>
      <c r="I1632" s="222" t="str">
        <f>IFERROR(__xludf.DUMMYFUNCTION("""COMPUTED_VALUE"""),"Batch 2")</f>
        <v>Batch 2</v>
      </c>
      <c r="J1632" s="225">
        <f>IFERROR(__xludf.DUMMYFUNCTION("""COMPUTED_VALUE"""),5.0)</f>
        <v>5</v>
      </c>
      <c r="K1632" s="224">
        <f>IFERROR(__xludf.DUMMYFUNCTION("""COMPUTED_VALUE"""),40.0)</f>
        <v>40</v>
      </c>
      <c r="L1632" s="226">
        <f>IFERROR(__xludf.DUMMYFUNCTION("""COMPUTED_VALUE"""),518853.0)</f>
        <v>518853</v>
      </c>
      <c r="M1632" s="227">
        <f>IFERROR(__xludf.DUMMYFUNCTION("""COMPUTED_VALUE"""),2.0754115E7)</f>
        <v>20754115</v>
      </c>
      <c r="N1632" s="222" t="str">
        <f>IFERROR(__xludf.DUMMYFUNCTION("""COMPUTED_VALUE"""),"PT TRI PENAMAS")</f>
        <v>PT TRI PENAMAS</v>
      </c>
      <c r="O1632" s="222" t="str">
        <f>IFERROR(__xludf.DUMMYFUNCTION("""COMPUTED_VALUE"""),"5. INSTALASI")</f>
        <v>5. INSTALASI</v>
      </c>
      <c r="P1632" s="222" t="str">
        <f>IFERROR(__xludf.DUMMYFUNCTION("""COMPUTED_VALUE"""),"5.9 Proses Pemasangan/Terminasi ODP/OTB")</f>
        <v>5.9 Proses Pemasangan/Terminasi ODP/OTB</v>
      </c>
      <c r="Q1632" s="222" t="str">
        <f>IFERROR(__xludf.DUMMYFUNCTION("""COMPUTED_VALUE"""),"((27/04) terminasi ODP (13/04) LOP masuk ke LOP induk SMB SLK PT3-PT4 SYAFRIZAL-ZAINAR-MSAIFUI (10/04) Proses aanwijziing , LOP HOLD FEEDER FULL ACC GO (09/04) Di gabung ke LOP SMB SLK PT3-PT4 SYAFRIZAL-ZAINAR-MSAIFUI, Untuk ngehjar cpp tambahan feeder (2"&amp;"6/01) KENDALA FEEDER SLK-FG FULL, BUTUH NEW FEEDER")</f>
        <v>((27/04) terminasi ODP (13/04) LOP masuk ke LOP induk SMB SLK PT3-PT4 SYAFRIZAL-ZAINAR-MSAIFUI (10/04) Proses aanwijziing , LOP HOLD FEEDER FULL ACC GO (09/04) Di gabung ke LOP SMB SLK PT3-PT4 SYAFRIZAL-ZAINAR-MSAIFUI, Untuk ngehjar cpp tambahan feeder (26/01) KENDALA FEEDER SLK-FG FULL, BUTUH NEW FEEDER</v>
      </c>
      <c r="R1632" s="228"/>
      <c r="S1632" s="11"/>
      <c r="T1632" s="11"/>
      <c r="U1632" s="11"/>
      <c r="V1632" s="229" t="str">
        <f>IFERROR(__xludf.DUMMYFUNCTION("""COMPUTED_VALUE"""),"FABIO RAHMAN")</f>
        <v>FABIO RAHMAN</v>
      </c>
      <c r="W1632" s="229" t="str">
        <f>IFERROR(__xludf.DUMMYFUNCTION("""COMPUTED_VALUE"""),"MELKO NARWADI")</f>
        <v>MELKO NARWADI</v>
      </c>
      <c r="X1632" s="229" t="str">
        <f>IFERROR(__xludf.DUMMYFUNCTION("""COMPUTED_VALUE"""),"BELUM GOLIVE")</f>
        <v>BELUM GOLIVE</v>
      </c>
      <c r="Y1632" s="229"/>
      <c r="Z1632" s="229" t="str">
        <f>IFERROR(__xludf.DUMMYFUNCTION("""COMPUTED_VALUE"""),"#N/A")</f>
        <v>#N/A</v>
      </c>
      <c r="AA1632" s="229"/>
      <c r="AB1632" s="229"/>
      <c r="AC1632" s="229"/>
      <c r="AD1632" s="232"/>
      <c r="AE1632" s="233"/>
      <c r="AF1632" s="54"/>
      <c r="AG1632" s="54"/>
      <c r="AH1632" s="54"/>
      <c r="AI1632" s="55" t="str">
        <f t="shared" si="160"/>
        <v/>
      </c>
      <c r="AW1632" s="234"/>
      <c r="BP1632" s="11"/>
      <c r="BQ1632" s="11"/>
      <c r="BR1632" s="235"/>
      <c r="BV1632" s="158"/>
      <c r="BY1632" s="158"/>
      <c r="CB1632" s="158"/>
    </row>
    <row r="1633" ht="18.0" hidden="1" customHeight="1">
      <c r="A1633" s="222">
        <f>IFERROR(__xludf.DUMMYFUNCTION("""COMPUTED_VALUE"""),2026.0)</f>
        <v>2026</v>
      </c>
      <c r="B1633" s="221">
        <f>IFERROR(__xludf.DUMMYFUNCTION("""COMPUTED_VALUE"""),1.2108138E7)</f>
        <v>12108138</v>
      </c>
      <c r="C1633" s="222" t="str">
        <f>IFERROR(__xludf.DUMMYFUNCTION("""COMPUTED_VALUE"""),"MDN PT3 PUB-FCH JL.JEMADI_MD25.")</f>
        <v>MDN PT3 PUB-FCH JL.JEMADI_MD25.</v>
      </c>
      <c r="D1633" s="222" t="str">
        <f>IFERROR(__xludf.DUMMYFUNCTION("""COMPUTED_VALUE"""),"REGIONAL I")</f>
        <v>REGIONAL I</v>
      </c>
      <c r="E1633" s="222" t="str">
        <f>IFERROR(__xludf.DUMMYFUNCTION("""COMPUTED_VALUE"""),"MEDAN")</f>
        <v>MEDAN</v>
      </c>
      <c r="F1633" s="222" t="str">
        <f>IFERROR(__xludf.DUMMYFUNCTION("""COMPUTED_VALUE"""),"PUB")</f>
        <v>PUB</v>
      </c>
      <c r="G1633" s="222" t="str">
        <f>IFERROR(__xludf.DUMMYFUNCTION("""COMPUTED_VALUE"""),"SUMBAGUT")</f>
        <v>SUMBAGUT</v>
      </c>
      <c r="H1633" s="222" t="str">
        <f>IFERROR(__xludf.DUMMYFUNCTION("""COMPUTED_VALUE"""),"MEDAN")</f>
        <v>MEDAN</v>
      </c>
      <c r="I1633" s="222" t="str">
        <f>IFERROR(__xludf.DUMMYFUNCTION("""COMPUTED_VALUE"""),"Batch 2")</f>
        <v>Batch 2</v>
      </c>
      <c r="J1633" s="225">
        <f>IFERROR(__xludf.DUMMYFUNCTION("""COMPUTED_VALUE"""),4.0)</f>
        <v>4</v>
      </c>
      <c r="K1633" s="224">
        <f>IFERROR(__xludf.DUMMYFUNCTION("""COMPUTED_VALUE"""),32.0)</f>
        <v>32</v>
      </c>
      <c r="L1633" s="226">
        <f>IFERROR(__xludf.DUMMYFUNCTION("""COMPUTED_VALUE"""),518543.0)</f>
        <v>518543</v>
      </c>
      <c r="M1633" s="227">
        <f>IFERROR(__xludf.DUMMYFUNCTION("""COMPUTED_VALUE"""),1.6593357E7)</f>
        <v>16593357</v>
      </c>
      <c r="N1633" s="222" t="str">
        <f>IFERROR(__xludf.DUMMYFUNCTION("""COMPUTED_VALUE"""),"PT BENWA  MITRA PRATAMA")</f>
        <v>PT BENWA  MITRA PRATAMA</v>
      </c>
      <c r="O1633" s="222" t="str">
        <f>IFERROR(__xludf.DUMMYFUNCTION("""COMPUTED_VALUE"""),"7. GOLIVE")</f>
        <v>7. GOLIVE</v>
      </c>
      <c r="P1633" s="222" t="str">
        <f>IFERROR(__xludf.DUMMYFUNCTION("""COMPUTED_VALUE"""),"7.2 Golive Full / OA / DONE OTB")</f>
        <v>7.2 Golive Full / OA / DONE OTB</v>
      </c>
      <c r="Q1633" s="222" t="str">
        <f>IFERROR(__xludf.DUMMYFUNCTION("""COMPUTED_VALUE"""),"07/03 valins 05/03 install ODP 28/02 penarikan KU 25/02 pengambilan material 18/02 req material 12/02 Aanwidzing OK, lanjut perizinan 10/02 Komitmen Aanwidzing 13/02/2026")</f>
        <v>07/03 valins 05/03 install ODP 28/02 penarikan KU 25/02 pengambilan material 18/02 req material 12/02 Aanwidzing OK, lanjut perizinan 10/02 Komitmen Aanwidzing 13/02/2026</v>
      </c>
      <c r="R1633" s="228">
        <f>IFERROR(__xludf.DUMMYFUNCTION("""COMPUTED_VALUE"""),46090.0)</f>
        <v>46090</v>
      </c>
      <c r="S1633" s="11" t="str">
        <f>IFERROR(__xludf.DUMMYFUNCTION("""COMPUTED_VALUE"""),"MAR")</f>
        <v>MAR</v>
      </c>
      <c r="T1633" s="11"/>
      <c r="U1633" s="11"/>
      <c r="V1633" s="229"/>
      <c r="W1633" s="229"/>
      <c r="X1633" s="229" t="str">
        <f>IFERROR(__xludf.DUMMYFUNCTION("""COMPUTED_VALUE"""),"GOLIVE")</f>
        <v>GOLIVE</v>
      </c>
      <c r="Y1633" s="229" t="str">
        <f>IFERROR(__xludf.DUMMYFUNCTION("""COMPUTED_VALUE"""),"DONE")</f>
        <v>DONE</v>
      </c>
      <c r="Z1633" s="229" t="str">
        <f>IFERROR(__xludf.DUMMYFUNCTION("""COMPUTED_VALUE"""),"#N/A")</f>
        <v>#N/A</v>
      </c>
      <c r="AA1633" s="229">
        <f>IFERROR(__xludf.DUMMYFUNCTION("""COMPUTED_VALUE"""),4.0)</f>
        <v>4</v>
      </c>
      <c r="AB1633" s="229"/>
      <c r="AC1633" s="229" t="str">
        <f>IFERROR(__xludf.DUMMYFUNCTION("""COMPUTED_VALUE"""),"9188898#9188903")</f>
        <v>9188898#9188903</v>
      </c>
      <c r="AD1633" s="232">
        <f>IFERROR(__xludf.DUMMYFUNCTION("""COMPUTED_VALUE"""),32.0)</f>
        <v>32</v>
      </c>
      <c r="AE1633" s="233">
        <f>IFERROR(__xludf.DUMMYFUNCTION("""COMPUTED_VALUE"""),46090.0)</f>
        <v>46090</v>
      </c>
      <c r="AF1633" s="54"/>
      <c r="AG1633" s="54"/>
      <c r="AH1633" s="54">
        <v>46090.0</v>
      </c>
      <c r="AI1633" s="55">
        <f t="shared" si="160"/>
        <v>0</v>
      </c>
      <c r="AW1633" s="234"/>
      <c r="BP1633" s="11"/>
      <c r="BQ1633" s="11"/>
      <c r="BR1633" s="235"/>
      <c r="BV1633" s="158"/>
      <c r="BY1633" s="158"/>
      <c r="CB1633" s="158"/>
    </row>
    <row r="1634" ht="18.0" hidden="1" customHeight="1">
      <c r="A1634" s="222">
        <f>IFERROR(__xludf.DUMMYFUNCTION("""COMPUTED_VALUE"""),2026.0)</f>
        <v>2026</v>
      </c>
      <c r="B1634" s="221">
        <f>IFERROR(__xludf.DUMMYFUNCTION("""COMPUTED_VALUE"""),1.2488718E7)</f>
        <v>12488718</v>
      </c>
      <c r="C1634" s="222" t="str">
        <f>IFERROR(__xludf.DUMMYFUNCTION("""COMPUTED_VALUE"""),"MDN 250_1560_1665")</f>
        <v>MDN 250_1560_1665</v>
      </c>
      <c r="D1634" s="222" t="str">
        <f>IFERROR(__xludf.DUMMYFUNCTION("""COMPUTED_VALUE"""),"REGIONAL I")</f>
        <v>REGIONAL I</v>
      </c>
      <c r="E1634" s="222" t="str">
        <f>IFERROR(__xludf.DUMMYFUNCTION("""COMPUTED_VALUE"""),"MEDAN")</f>
        <v>MEDAN</v>
      </c>
      <c r="F1634" s="222" t="str">
        <f>IFERROR(__xludf.DUMMYFUNCTION("""COMPUTED_VALUE"""),"SPM")</f>
        <v>SPM</v>
      </c>
      <c r="G1634" s="222" t="str">
        <f>IFERROR(__xludf.DUMMYFUNCTION("""COMPUTED_VALUE"""),"SUMBAGUT")</f>
        <v>SUMBAGUT</v>
      </c>
      <c r="H1634" s="222" t="str">
        <f>IFERROR(__xludf.DUMMYFUNCTION("""COMPUTED_VALUE"""),"MEDAN")</f>
        <v>MEDAN</v>
      </c>
      <c r="I1634" s="222" t="str">
        <f>IFERROR(__xludf.DUMMYFUNCTION("""COMPUTED_VALUE"""),"Batch 2")</f>
        <v>Batch 2</v>
      </c>
      <c r="J1634" s="225">
        <f>IFERROR(__xludf.DUMMYFUNCTION("""COMPUTED_VALUE"""),4.0)</f>
        <v>4</v>
      </c>
      <c r="K1634" s="224">
        <f>IFERROR(__xludf.DUMMYFUNCTION("""COMPUTED_VALUE"""),32.0)</f>
        <v>32</v>
      </c>
      <c r="L1634" s="226">
        <f>IFERROR(__xludf.DUMMYFUNCTION("""COMPUTED_VALUE"""),517548.0)</f>
        <v>517548</v>
      </c>
      <c r="M1634" s="227">
        <f>IFERROR(__xludf.DUMMYFUNCTION("""COMPUTED_VALUE"""),1.6561511E7)</f>
        <v>16561511</v>
      </c>
      <c r="N1634" s="222" t="str">
        <f>IFERROR(__xludf.DUMMYFUNCTION("""COMPUTED_VALUE"""),"PT BENWA  MITRA PRATAMA")</f>
        <v>PT BENWA  MITRA PRATAMA</v>
      </c>
      <c r="O1634" s="222" t="str">
        <f>IFERROR(__xludf.DUMMYFUNCTION("""COMPUTED_VALUE"""),"7. GOLIVE")</f>
        <v>7. GOLIVE</v>
      </c>
      <c r="P1634" s="222" t="str">
        <f>IFERROR(__xludf.DUMMYFUNCTION("""COMPUTED_VALUE"""),"7.2 Golive Full / OA / DONE OTB")</f>
        <v>7.2 Golive Full / OA / DONE OTB</v>
      </c>
      <c r="Q1634" s="222" t="str">
        <f>IFERROR(__xludf.DUMMYFUNCTION("""COMPUTED_VALUE"""),"(20/04) OGP Valins
15/04 install ODP 09/04 proses create PID 08/04 proses req material 04/04 pengajuan plan redesign 02/04 alih mitra ke BENWA 31/03 redesign approved lanjut perizinan 10/03 menunggu eval redesign kenaikan &gt; 10%  02/02 redesign new DS")</f>
        <v>(20/04) OGP Valins
15/04 install ODP 09/04 proses create PID 08/04 proses req material 04/04 pengajuan plan redesign 02/04 alih mitra ke BENWA 31/03 redesign approved lanjut perizinan 10/03 menunggu eval redesign kenaikan &gt; 10%  02/02 redesign new DS</v>
      </c>
      <c r="R1634" s="228">
        <f>IFERROR(__xludf.DUMMYFUNCTION("""COMPUTED_VALUE"""),46134.0)</f>
        <v>46134</v>
      </c>
      <c r="S1634" s="11" t="str">
        <f>IFERROR(__xludf.DUMMYFUNCTION("""COMPUTED_VALUE"""),"APR")</f>
        <v>APR</v>
      </c>
      <c r="T1634" s="73"/>
      <c r="U1634" s="11"/>
      <c r="V1634" s="229" t="str">
        <f>IFERROR(__xludf.DUMMYFUNCTION("""COMPUTED_VALUE"""),"29/Apr/2026")</f>
        <v>29/Apr/2026</v>
      </c>
      <c r="W1634" s="229"/>
      <c r="X1634" s="229" t="str">
        <f>IFERROR(__xludf.DUMMYFUNCTION("""COMPUTED_VALUE"""),"GOLIVE")</f>
        <v>GOLIVE</v>
      </c>
      <c r="Y1634" s="229" t="str">
        <f>IFERROR(__xludf.DUMMYFUNCTION("""COMPUTED_VALUE"""),"DONE")</f>
        <v>DONE</v>
      </c>
      <c r="Z1634" s="229" t="str">
        <f>IFERROR(__xludf.DUMMYFUNCTION("""COMPUTED_VALUE"""),"#N/A")</f>
        <v>#N/A</v>
      </c>
      <c r="AA1634" s="229">
        <f>IFERROR(__xludf.DUMMYFUNCTION("""COMPUTED_VALUE"""),4.0)</f>
        <v>4</v>
      </c>
      <c r="AB1634" s="229"/>
      <c r="AC1634" s="229" t="str">
        <f>IFERROR(__xludf.DUMMYFUNCTION("""COMPUTED_VALUE"""),"9299639#9299644")</f>
        <v>9299639#9299644</v>
      </c>
      <c r="AD1634" s="232">
        <f>IFERROR(__xludf.DUMMYFUNCTION("""COMPUTED_VALUE"""),32.0)</f>
        <v>32</v>
      </c>
      <c r="AE1634" s="233">
        <f>IFERROR(__xludf.DUMMYFUNCTION("""COMPUTED_VALUE"""),46134.0)</f>
        <v>46134</v>
      </c>
      <c r="AF1634" s="54"/>
      <c r="AG1634" s="54"/>
      <c r="AH1634" s="54">
        <v>46137.0</v>
      </c>
      <c r="AI1634" s="55">
        <f t="shared" si="160"/>
        <v>0</v>
      </c>
      <c r="AW1634" s="234"/>
      <c r="BP1634" s="11"/>
      <c r="BQ1634" s="11"/>
      <c r="BR1634" s="235"/>
      <c r="BV1634" s="158"/>
      <c r="BY1634" s="158"/>
      <c r="CB1634" s="158"/>
    </row>
    <row r="1635" ht="18.0" hidden="1" customHeight="1">
      <c r="A1635" s="222">
        <f>IFERROR(__xludf.DUMMYFUNCTION("""COMPUTED_VALUE"""),2026.0)</f>
        <v>2026</v>
      </c>
      <c r="B1635" s="221">
        <f>IFERROR(__xludf.DUMMYFUNCTION("""COMPUTED_VALUE"""),1.2486469E7)</f>
        <v>12486469</v>
      </c>
      <c r="C1635" s="222" t="str">
        <f>IFERROR(__xludf.DUMMYFUNCTION("""COMPUTED_VALUE"""),"MDN PT3 TJR-FK 250_1561_1698")</f>
        <v>MDN PT3 TJR-FK 250_1561_1698</v>
      </c>
      <c r="D1635" s="222" t="str">
        <f>IFERROR(__xludf.DUMMYFUNCTION("""COMPUTED_VALUE"""),"REGIONAL I")</f>
        <v>REGIONAL I</v>
      </c>
      <c r="E1635" s="222" t="str">
        <f>IFERROR(__xludf.DUMMYFUNCTION("""COMPUTED_VALUE"""),"MEDAN")</f>
        <v>MEDAN</v>
      </c>
      <c r="F1635" s="222" t="str">
        <f>IFERROR(__xludf.DUMMYFUNCTION("""COMPUTED_VALUE"""),"TJR")</f>
        <v>TJR</v>
      </c>
      <c r="G1635" s="222" t="str">
        <f>IFERROR(__xludf.DUMMYFUNCTION("""COMPUTED_VALUE"""),"SUMBAGUT")</f>
        <v>SUMBAGUT</v>
      </c>
      <c r="H1635" s="222" t="str">
        <f>IFERROR(__xludf.DUMMYFUNCTION("""COMPUTED_VALUE"""),"MEDAN")</f>
        <v>MEDAN</v>
      </c>
      <c r="I1635" s="222" t="str">
        <f>IFERROR(__xludf.DUMMYFUNCTION("""COMPUTED_VALUE"""),"Batch 2")</f>
        <v>Batch 2</v>
      </c>
      <c r="J1635" s="225">
        <f>IFERROR(__xludf.DUMMYFUNCTION("""COMPUTED_VALUE"""),2.0)</f>
        <v>2</v>
      </c>
      <c r="K1635" s="224">
        <f>IFERROR(__xludf.DUMMYFUNCTION("""COMPUTED_VALUE"""),16.0)</f>
        <v>16</v>
      </c>
      <c r="L1635" s="226">
        <f>IFERROR(__xludf.DUMMYFUNCTION("""COMPUTED_VALUE"""),516612.0)</f>
        <v>516612</v>
      </c>
      <c r="M1635" s="227">
        <f>IFERROR(__xludf.DUMMYFUNCTION("""COMPUTED_VALUE"""),8265787.0)</f>
        <v>8265787</v>
      </c>
      <c r="N1635" s="222" t="str">
        <f>IFERROR(__xludf.DUMMYFUNCTION("""COMPUTED_VALUE"""),"PT UPAYA TEKNIK")</f>
        <v>PT UPAYA TEKNIK</v>
      </c>
      <c r="O1635" s="222" t="str">
        <f>IFERROR(__xludf.DUMMYFUNCTION("""COMPUTED_VALUE"""),"2. DONE AANWIJZING")</f>
        <v>2. DONE AANWIJZING</v>
      </c>
      <c r="P1635" s="222" t="str">
        <f>IFERROR(__xludf.DUMMYFUNCTION("""COMPUTED_VALUE"""),"2.9 Kendala - Distribusi Penuh / Rusak")</f>
        <v>2.9 Kendala - Distribusi Penuh / Rusak</v>
      </c>
      <c r="Q1635" s="222" t="str">
        <f>IFERROR(__xludf.DUMMYFUNCTION("""COMPUTED_VALUE"""),"21/04 menunggu hasil redisgn
07/04 setelah pengecekan D06 tidak tembus, moban redisgn ulang new DS
06/04 TIDAK PERLU REDESAIN, HANYA CHANGES DITRIBUSI DARI DS 09 KE DS 06
31/03 pengajuan redesign new DS, D09 tdk tembus (08/01) cpp tinggi, need review AOM/"&amp;"Tsel. BUTUH NEW MINI OLT AMPALU (07/01) Persiapan")</f>
        <v>21/04 menunggu hasil redisgn
07/04 setelah pengecekan D06 tidak tembus, moban redisgn ulang new DS
06/04 TIDAK PERLU REDESAIN, HANYA CHANGES DITRIBUSI DARI DS 09 KE DS 06
31/03 pengajuan redesign new DS, D09 tdk tembus (08/01) cpp tinggi, need review AOM/Tsel. BUTUH NEW MINI OLT AMPALU (07/01) Persiapan</v>
      </c>
      <c r="R1635" s="228"/>
      <c r="S1635" s="11"/>
      <c r="T1635" s="11"/>
      <c r="U1635" s="11"/>
      <c r="V1635" s="229"/>
      <c r="W1635" s="229"/>
      <c r="X1635" s="229" t="str">
        <f>IFERROR(__xludf.DUMMYFUNCTION("""COMPUTED_VALUE"""),"BELUM GOLIVE")</f>
        <v>BELUM GOLIVE</v>
      </c>
      <c r="Y1635" s="229"/>
      <c r="Z1635" s="229" t="str">
        <f>IFERROR(__xludf.DUMMYFUNCTION("""COMPUTED_VALUE"""),"#N/A")</f>
        <v>#N/A</v>
      </c>
      <c r="AA1635" s="229"/>
      <c r="AB1635" s="229"/>
      <c r="AC1635" s="229"/>
      <c r="AD1635" s="232"/>
      <c r="AE1635" s="233"/>
      <c r="AF1635" s="54"/>
      <c r="AG1635" s="54"/>
      <c r="AH1635" s="54">
        <v>46140.0</v>
      </c>
      <c r="AI1635" s="237">
        <f>AH1635-NOW()</f>
        <v>-0.3779899306</v>
      </c>
      <c r="AJ1635" s="229" t="str">
        <f>if(AI1635&gt;=0,"In Komitmen","Out Komitmen")</f>
        <v>Out Komitmen</v>
      </c>
      <c r="AK1635" s="229" t="s">
        <v>199</v>
      </c>
      <c r="AW1635" s="234"/>
      <c r="BP1635" s="11"/>
      <c r="BQ1635" s="11"/>
      <c r="BR1635" s="235"/>
      <c r="BV1635" s="158"/>
      <c r="BY1635" s="158"/>
      <c r="CB1635" s="158"/>
    </row>
    <row r="1636" ht="18.0" customHeight="1">
      <c r="A1636" s="222">
        <f>IFERROR(__xludf.DUMMYFUNCTION("""COMPUTED_VALUE"""),2026.0)</f>
        <v>2026</v>
      </c>
      <c r="B1636" s="221">
        <f>IFERROR(__xludf.DUMMYFUNCTION("""COMPUTED_VALUE"""),1.1448115E7)</f>
        <v>11448115</v>
      </c>
      <c r="C1636" s="222" t="str">
        <f>IFERROR(__xludf.DUMMYFUNCTION("""COMPUTED_VALUE"""),"SMB DHARMASRAYA_10671")</f>
        <v>SMB DHARMASRAYA_10671</v>
      </c>
      <c r="D1636" s="222" t="str">
        <f>IFERROR(__xludf.DUMMYFUNCTION("""COMPUTED_VALUE"""),"REGIONAL I")</f>
        <v>REGIONAL I</v>
      </c>
      <c r="E1636" s="222" t="str">
        <f>IFERROR(__xludf.DUMMYFUNCTION("""COMPUTED_VALUE"""),"SUMBAR")</f>
        <v>SUMBAR</v>
      </c>
      <c r="F1636" s="222" t="str">
        <f>IFERROR(__xludf.DUMMYFUNCTION("""COMPUTED_VALUE"""),"SUN")</f>
        <v>SUN</v>
      </c>
      <c r="G1636" s="222" t="str">
        <f>IFERROR(__xludf.DUMMYFUNCTION("""COMPUTED_VALUE"""),"SUMBAGTENG")</f>
        <v>SUMBAGTENG</v>
      </c>
      <c r="H1636" s="222" t="str">
        <f>IFERROR(__xludf.DUMMYFUNCTION("""COMPUTED_VALUE"""),"PADANG")</f>
        <v>PADANG</v>
      </c>
      <c r="I1636" s="222" t="str">
        <f>IFERROR(__xludf.DUMMYFUNCTION("""COMPUTED_VALUE"""),"Batch 2")</f>
        <v>Batch 2</v>
      </c>
      <c r="J1636" s="225">
        <f>IFERROR(__xludf.DUMMYFUNCTION("""COMPUTED_VALUE"""),4.0)</f>
        <v>4</v>
      </c>
      <c r="K1636" s="224">
        <f>IFERROR(__xludf.DUMMYFUNCTION("""COMPUTED_VALUE"""),32.0)</f>
        <v>32</v>
      </c>
      <c r="L1636" s="226">
        <f>IFERROR(__xludf.DUMMYFUNCTION("""COMPUTED_VALUE"""),516404.0)</f>
        <v>516404</v>
      </c>
      <c r="M1636" s="227">
        <f>IFERROR(__xludf.DUMMYFUNCTION("""COMPUTED_VALUE"""),1.6524899E7)</f>
        <v>16524899</v>
      </c>
      <c r="N1636" s="222" t="str">
        <f>IFERROR(__xludf.DUMMYFUNCTION("""COMPUTED_VALUE"""),"PT TIGA AKSES MANDIRI")</f>
        <v>PT TIGA AKSES MANDIRI</v>
      </c>
      <c r="O1636" s="222" t="str">
        <f>IFERROR(__xludf.DUMMYFUNCTION("""COMPUTED_VALUE"""),"7. GOLIVE")</f>
        <v>7. GOLIVE</v>
      </c>
      <c r="P1636" s="222" t="str">
        <f>IFERROR(__xludf.DUMMYFUNCTION("""COMPUTED_VALUE"""),"7.2 Golive Full / OA / DONE OTB")</f>
        <v>7.2 Golive Full / OA / DONE OTB</v>
      </c>
      <c r="Q1636" s="222" t="str">
        <f>IFERROR(__xludf.DUMMYFUNCTION("""COMPUTED_VALUE"""),"(20/04) abd masuk HI ke SDI (13/04) Tanam tiang    (06/04) tanam tiang (02/04) tanam tiang  (30/03) material onsite (16/03) proses matdel KE SITE (05/03) proses create PID  (27/01)  BUTUH NEW MINI OLT AMPALU (07/01) CPP tinggi")</f>
        <v>(20/04) abd masuk HI ke SDI (13/04) Tanam tiang    (06/04) tanam tiang (02/04) tanam tiang  (30/03) material onsite (16/03) proses matdel KE SITE (05/03) proses create PID  (27/01)  BUTUH NEW MINI OLT AMPALU (07/01) CPP tinggi</v>
      </c>
      <c r="R1636" s="228">
        <f>IFERROR(__xludf.DUMMYFUNCTION("""COMPUTED_VALUE"""),46135.0)</f>
        <v>46135</v>
      </c>
      <c r="S1636" s="11"/>
      <c r="T1636" s="73"/>
      <c r="U1636" s="11" t="str">
        <f>IFERROR(__xludf.DUMMYFUNCTION("""COMPUTED_VALUE"""),"TIF-5469/2026  26KT03R158-0065")</f>
        <v>TIF-5469/2026  26KT03R158-0065</v>
      </c>
      <c r="V1636" s="229" t="str">
        <f>IFERROR(__xludf.DUMMYFUNCTION("""COMPUTED_VALUE"""),"YULIO NOVIKO")</f>
        <v>YULIO NOVIKO</v>
      </c>
      <c r="W1636" s="229" t="str">
        <f>IFERROR(__xludf.DUMMYFUNCTION("""COMPUTED_VALUE"""),"MELKO NARWADI")</f>
        <v>MELKO NARWADI</v>
      </c>
      <c r="X1636" s="229" t="str">
        <f>IFERROR(__xludf.DUMMYFUNCTION("""COMPUTED_VALUE"""),"GOLIVE")</f>
        <v>GOLIVE</v>
      </c>
      <c r="Y1636" s="229" t="str">
        <f>IFERROR(__xludf.DUMMYFUNCTION("""COMPUTED_VALUE"""),"DONE")</f>
        <v>DONE</v>
      </c>
      <c r="Z1636" s="229" t="str">
        <f>IFERROR(__xludf.DUMMYFUNCTION("""COMPUTED_VALUE"""),"#N/A")</f>
        <v>#N/A</v>
      </c>
      <c r="AA1636" s="229">
        <f>IFERROR(__xludf.DUMMYFUNCTION("""COMPUTED_VALUE"""),4.0)</f>
        <v>4</v>
      </c>
      <c r="AB1636" s="229"/>
      <c r="AC1636" s="229" t="str">
        <f>IFERROR(__xludf.DUMMYFUNCTION("""COMPUTED_VALUE"""),"9296854#9296859	")</f>
        <v>9296854#9296859	</v>
      </c>
      <c r="AD1636" s="232">
        <f>IFERROR(__xludf.DUMMYFUNCTION("""COMPUTED_VALUE"""),32.0)</f>
        <v>32</v>
      </c>
      <c r="AE1636" s="233">
        <f>IFERROR(__xludf.DUMMYFUNCTION("""COMPUTED_VALUE"""),46135.0)</f>
        <v>46135</v>
      </c>
      <c r="AF1636" s="54"/>
      <c r="AG1636" s="54"/>
      <c r="AH1636" s="54">
        <v>46140.0</v>
      </c>
      <c r="AI1636" s="55">
        <f>AH1636-AE1636</f>
        <v>5</v>
      </c>
      <c r="AJ1636" s="229" t="str">
        <f>if(AI1636&gt;=0,"Gl in Komitmen","Gl out komitmen")</f>
        <v>Gl in Komitmen</v>
      </c>
      <c r="AK1636" s="231" t="s">
        <v>199</v>
      </c>
      <c r="AW1636" s="234"/>
      <c r="BP1636" s="11"/>
      <c r="BQ1636" s="11"/>
      <c r="BR1636" s="235"/>
      <c r="BV1636" s="158"/>
      <c r="BY1636" s="158"/>
      <c r="CB1636" s="158"/>
    </row>
    <row r="1637" ht="18.0" hidden="1" customHeight="1">
      <c r="A1637" s="222">
        <f>IFERROR(__xludf.DUMMYFUNCTION("""COMPUTED_VALUE"""),2026.0)</f>
        <v>2026</v>
      </c>
      <c r="B1637" s="221">
        <f>IFERROR(__xludf.DUMMYFUNCTION("""COMPUTED_VALUE"""),1.2102915E7)</f>
        <v>12102915</v>
      </c>
      <c r="C1637" s="222" t="str">
        <f>IFERROR(__xludf.DUMMYFUNCTION("""COMPUTED_VALUE"""),"SMU PT3 KIS-FAW CLUST DESA KISARAN NAGA")</f>
        <v>SMU PT3 KIS-FAW CLUST DESA KISARAN NAGA</v>
      </c>
      <c r="D1637" s="222" t="str">
        <f>IFERROR(__xludf.DUMMYFUNCTION("""COMPUTED_VALUE"""),"REGIONAL I")</f>
        <v>REGIONAL I</v>
      </c>
      <c r="E1637" s="222" t="str">
        <f>IFERROR(__xludf.DUMMYFUNCTION("""COMPUTED_VALUE"""),"SUMUT")</f>
        <v>SUMUT</v>
      </c>
      <c r="F1637" s="222" t="str">
        <f>IFERROR(__xludf.DUMMYFUNCTION("""COMPUTED_VALUE"""),"KIS")</f>
        <v>KIS</v>
      </c>
      <c r="G1637" s="222" t="str">
        <f>IFERROR(__xludf.DUMMYFUNCTION("""COMPUTED_VALUE"""),"SUMBAGUT")</f>
        <v>SUMBAGUT</v>
      </c>
      <c r="H1637" s="222" t="str">
        <f>IFERROR(__xludf.DUMMYFUNCTION("""COMPUTED_VALUE"""),"RANTAU PRAPAT")</f>
        <v>RANTAU PRAPAT</v>
      </c>
      <c r="I1637" s="222" t="str">
        <f>IFERROR(__xludf.DUMMYFUNCTION("""COMPUTED_VALUE"""),"Batch 2")</f>
        <v>Batch 2</v>
      </c>
      <c r="J1637" s="225">
        <f>IFERROR(__xludf.DUMMYFUNCTION("""COMPUTED_VALUE"""),28.0)</f>
        <v>28</v>
      </c>
      <c r="K1637" s="224">
        <f>IFERROR(__xludf.DUMMYFUNCTION("""COMPUTED_VALUE"""),224.0)</f>
        <v>224</v>
      </c>
      <c r="L1637" s="226">
        <f>IFERROR(__xludf.DUMMYFUNCTION("""COMPUTED_VALUE"""),514738.0)</f>
        <v>514738</v>
      </c>
      <c r="M1637" s="227">
        <f>IFERROR(__xludf.DUMMYFUNCTION("""COMPUTED_VALUE"""),1.15301206E8)</f>
        <v>115301206</v>
      </c>
      <c r="N1637" s="222" t="str">
        <f>IFERROR(__xludf.DUMMYFUNCTION("""COMPUTED_VALUE"""),"PT UPENTEL INTERNASIONAL")</f>
        <v>PT UPENTEL INTERNASIONAL</v>
      </c>
      <c r="O1637" s="222" t="str">
        <f>IFERROR(__xludf.DUMMYFUNCTION("""COMPUTED_VALUE"""),"7. GOLIVE")</f>
        <v>7. GOLIVE</v>
      </c>
      <c r="P1637" s="222" t="str">
        <f>IFERROR(__xludf.DUMMYFUNCTION("""COMPUTED_VALUE"""),"7.6 Proses Rekon Volume")</f>
        <v>7.6 Proses Rekon Volume</v>
      </c>
      <c r="Q1637" s="222" t="str">
        <f>IFERROR(__xludf.DUMMYFUNCTION("""COMPUTED_VALUE"""),"9/3 Golive, 6/3 proses abd mancore, 5/3 proses terminasi 28 odp sisa 4 odp, penarikam kabel 24 (2020 selesai, ku12 (1230 selesai , 4/3 proses terminasi 28 odp sisa 10 odp, penarikam kabel 24 (2020 selesai, ku12 (1230 selesai , 3/3 proses terminasi 28 odp "&amp;"sisa 10 odp, penarikam kabel 24 (2020 selesai, ku12 (1230 selesai 2/3 plan hari ini lanjut instal odp paralel terminasi 28 odp, penarikam kabel 24 (2020 selesai, ku12 (1230 selesai, 27/2 sisa instal dan terminasi odp 28 blm progres, penarikam kabel 24 (20"&amp;"20 selesai, ku12 (1230 selesai,  25/2 penarikam kabel 24 (2020 selesai, ku12 (1230 belum progres, odp 28 blm progres, 23/2 team proses ambil matrial dari gduang ke site, 20/2 proses input alista, ,19/2 proses req pengantar izin desa, 18/2 plan cek cpp,  1"&amp;"6/2 plan cek cpp,13/2 menunggu info pelurusan boq dengan mitra, 12/2 pengecekan cpp, 11/2 menunggu boq kml survey,  10/2 menunggu boq kml survey, 9/2 menunggu boq kml survey, 6/2 menunggu boq kml survey, 5/2 menunggu boq kml survey, 3/2 menunggu report pa"&amp;"ralel boq kml survey, 2/2 menunggu report paralel boq kml survey, 1/2 menunggu report paralel boq kml survey,  30/1 menunggu report paralel boq kml survey,  28/1 menunggu report paralel boq kml survey,  27/1 menunggu report paralel boq kml survey,  26/1 m"&amp;"enunggu report paralel boq kml survey,  23/1 menunggu report paralel boq kml survey, 22/1 menunggu report paralel boq kml survey, 21/1 menunggu report paralel boq kml survey, 20/1 menunggu report paralel boq kml survey, 18/1 plan survey 19/1, ,15/1 plan s"&amp;"urvey 19/1, 14/1 plan survey est paling lambat 19/1, 13/1 menunggu info kelanjutan dari mitra est besok 14/1, (07/01) Persiapan")</f>
        <v>9/3 Golive, 6/3 proses abd mancore, 5/3 proses terminasi 28 odp sisa 4 odp, penarikam kabel 24 (2020 selesai, ku12 (1230 selesai , 4/3 proses terminasi 28 odp sisa 10 odp, penarikam kabel 24 (2020 selesai, ku12 (1230 selesai , 3/3 proses terminasi 28 odp sisa 10 odp, penarikam kabel 24 (2020 selesai, ku12 (1230 selesai 2/3 plan hari ini lanjut instal odp paralel terminasi 28 odp, penarikam kabel 24 (2020 selesai, ku12 (1230 selesai, 27/2 sisa instal dan terminasi odp 28 blm progres, penarikam kabel 24 (2020 selesai, ku12 (1230 selesai,  25/2 penarikam kabel 24 (2020 selesai, ku12 (1230 belum progres, odp 28 blm progres, 23/2 team proses ambil matrial dari gduang ke site, 20/2 proses input alista, ,19/2 proses req pengantar izin desa, 18/2 plan cek cpp,  16/2 plan cek cpp,13/2 menunggu info pelurusan boq dengan mitra, 12/2 pengecekan cpp, 11/2 menunggu boq kml survey,  10/2 menunggu boq kml survey, 9/2 menunggu boq kml survey, 6/2 menunggu boq kml survey, 5/2 menunggu boq kml survey, 3/2 menunggu report paralel boq kml survey, 2/2 menunggu report paralel boq kml survey, 1/2 menunggu report paralel boq kml survey,  30/1 menunggu report paralel boq kml survey,  28/1 menunggu report paralel boq kml survey,  27/1 menunggu report paralel boq kml survey,  26/1 menunggu report paralel boq kml survey,  23/1 menunggu report paralel boq kml survey, 22/1 menunggu report paralel boq kml survey, 21/1 menunggu report paralel boq kml survey, 20/1 menunggu report paralel boq kml survey, 18/1 plan survey 19/1, ,15/1 plan survey 19/1, 14/1 plan survey est paling lambat 19/1, 13/1 menunggu info kelanjutan dari mitra est besok 14/1, (07/01) Persiapan</v>
      </c>
      <c r="R1637" s="228">
        <f>IFERROR(__xludf.DUMMYFUNCTION("""COMPUTED_VALUE"""),46088.0)</f>
        <v>46088</v>
      </c>
      <c r="S1637" s="11" t="str">
        <f>IFERROR(__xludf.DUMMYFUNCTION("""COMPUTED_VALUE"""),"MAR")</f>
        <v>MAR</v>
      </c>
      <c r="T1637" s="11"/>
      <c r="U1637" s="11" t="str">
        <f>IFERROR(__xludf.DUMMYFUNCTION("""COMPUTED_VALUE"""),"W03-1608/2025")</f>
        <v>W03-1608/2025</v>
      </c>
      <c r="V1637" s="229"/>
      <c r="W1637" s="229"/>
      <c r="X1637" s="229" t="str">
        <f>IFERROR(__xludf.DUMMYFUNCTION("""COMPUTED_VALUE"""),"GOLIVE")</f>
        <v>GOLIVE</v>
      </c>
      <c r="Y1637" s="229" t="str">
        <f>IFERROR(__xludf.DUMMYFUNCTION("""COMPUTED_VALUE"""),"DONE")</f>
        <v>DONE</v>
      </c>
      <c r="Z1637" s="229" t="str">
        <f>IFERROR(__xludf.DUMMYFUNCTION("""COMPUTED_VALUE"""),"#N/A")</f>
        <v>#N/A</v>
      </c>
      <c r="AA1637" s="229">
        <f>IFERROR(__xludf.DUMMYFUNCTION("""COMPUTED_VALUE"""),28.0)</f>
        <v>28</v>
      </c>
      <c r="AB1637" s="229"/>
      <c r="AC1637" s="229" t="str">
        <f>IFERROR(__xludf.DUMMYFUNCTION("""COMPUTED_VALUE"""),"9186096#9186101")</f>
        <v>9186096#9186101</v>
      </c>
      <c r="AD1637" s="232">
        <f>IFERROR(__xludf.DUMMYFUNCTION("""COMPUTED_VALUE"""),224.0)</f>
        <v>224</v>
      </c>
      <c r="AE1637" s="233">
        <f>IFERROR(__xludf.DUMMYFUNCTION("""COMPUTED_VALUE"""),46088.0)</f>
        <v>46088</v>
      </c>
      <c r="AF1637" s="54"/>
      <c r="AG1637" s="54"/>
      <c r="AH1637" s="54">
        <v>46088.0</v>
      </c>
      <c r="AI1637" s="55">
        <f t="shared" ref="AI1637:AI1641" si="161">IF(OR(R1637="",AE1637=""),"",R1637-AE1637)</f>
        <v>0</v>
      </c>
      <c r="AW1637" s="234"/>
      <c r="BP1637" s="11"/>
      <c r="BQ1637" s="11"/>
      <c r="BR1637" s="235"/>
      <c r="BV1637" s="158"/>
      <c r="BY1637" s="158"/>
      <c r="CB1637" s="158"/>
    </row>
    <row r="1638" ht="18.0" hidden="1" customHeight="1">
      <c r="A1638" s="222">
        <f>IFERROR(__xludf.DUMMYFUNCTION("""COMPUTED_VALUE"""),2026.0)</f>
        <v>2026</v>
      </c>
      <c r="B1638" s="221">
        <f>IFERROR(__xludf.DUMMYFUNCTION("""COMPUTED_VALUE"""),1.2437855E7)</f>
        <v>12437855</v>
      </c>
      <c r="C1638" s="222" t="str">
        <f>IFERROR(__xludf.DUMMYFUNCTION("""COMPUTED_VALUE"""),"SMS P4I4 PT3 PBM FAG D05 PER JLN LINGKAR")</f>
        <v>SMS P4I4 PT3 PBM FAG D05 PER JLN LINGKAR</v>
      </c>
      <c r="D1638" s="222" t="str">
        <f>IFERROR(__xludf.DUMMYFUNCTION("""COMPUTED_VALUE"""),"REGIONAL I")</f>
        <v>REGIONAL I</v>
      </c>
      <c r="E1638" s="222" t="str">
        <f>IFERROR(__xludf.DUMMYFUNCTION("""COMPUTED_VALUE"""),"SUMSEL")</f>
        <v>SUMSEL</v>
      </c>
      <c r="F1638" s="222" t="str">
        <f>IFERROR(__xludf.DUMMYFUNCTION("""COMPUTED_VALUE"""),"PBM")</f>
        <v>PBM</v>
      </c>
      <c r="G1638" s="222" t="str">
        <f>IFERROR(__xludf.DUMMYFUNCTION("""COMPUTED_VALUE"""),"SUMBAGSEL")</f>
        <v>SUMBAGSEL</v>
      </c>
      <c r="H1638" s="222" t="str">
        <f>IFERROR(__xludf.DUMMYFUNCTION("""COMPUTED_VALUE"""),"PALEMBANG")</f>
        <v>PALEMBANG</v>
      </c>
      <c r="I1638" s="222" t="str">
        <f>IFERROR(__xludf.DUMMYFUNCTION("""COMPUTED_VALUE"""),"Batch 2")</f>
        <v>Batch 2</v>
      </c>
      <c r="J1638" s="225">
        <f>IFERROR(__xludf.DUMMYFUNCTION("""COMPUTED_VALUE"""),5.0)</f>
        <v>5</v>
      </c>
      <c r="K1638" s="224">
        <f>IFERROR(__xludf.DUMMYFUNCTION("""COMPUTED_VALUE"""),40.0)</f>
        <v>40</v>
      </c>
      <c r="L1638" s="226">
        <f>IFERROR(__xludf.DUMMYFUNCTION("""COMPUTED_VALUE"""),513095.0)</f>
        <v>513095</v>
      </c>
      <c r="M1638" s="227">
        <f>IFERROR(__xludf.DUMMYFUNCTION("""COMPUTED_VALUE"""),2.0523798E7)</f>
        <v>20523798</v>
      </c>
      <c r="N1638" s="222" t="str">
        <f>IFERROR(__xludf.DUMMYFUNCTION("""COMPUTED_VALUE"""),"PT ACERO CETHA METALINDO")</f>
        <v>PT ACERO CETHA METALINDO</v>
      </c>
      <c r="O1638" s="222" t="str">
        <f>IFERROR(__xludf.DUMMYFUNCTION("""COMPUTED_VALUE"""),"7. GOLIVE")</f>
        <v>7. GOLIVE</v>
      </c>
      <c r="P1638" s="222" t="str">
        <f>IFERROR(__xludf.DUMMYFUNCTION("""COMPUTED_VALUE"""),"7.2 Golive Full / OA / DONE OTB")</f>
        <v>7.2 Golive Full / OA / DONE OTB</v>
      </c>
      <c r="Q1638" s="222" t="str">
        <f>IFERROR(__xludf.DUMMYFUNCTION("""COMPUTED_VALUE"""),"24/03 GOLIVE, 21/03 MENUNGGU GOLIVE, 19/03 DONE SUBMIT ABD KE SDI, 17/03 OGP TERMINASI ODP, 16/03 HARI INI PROGRESS PASANG ODP, 13/03 EST TGL 16 MAR MULAI PROGRESS PASANG ODP, 12/03 MENUNGGU ANTRIAN PEKERJAAN, 11/03 OGP PEMASANGAN ODP DAN TERMINASI, 09/03"&amp;" DONE TANAM 5 TIANG DAN PENARIKAN KABEL 610M, 06/03 MATERIAL ONSITE, 05/03 HARI INI AMBIL MATERIAL, 02/03 PARALEL, MENUNGGU ANTRIAN PEKERJAAN, 27/02 DONE RFC, OGP AMBIL MATERIAL, , 26/02 PARALEL, MENUNGGU ANTRIAN PEKERJAAN, 24/02 DONE PR PO, 23/02 MENUNGG"&amp;"U APPROVAL DRM, 22/2 menunggu material TIANG  20/02 DONE INPUT MATERIAL, 18/02 PROGRESS INPUT MATERIAL - KENDALA OVER BUDGET, 11/2 perizinan developer- plan ketemu 11 FEB  10/02 PROSES PERIZINAN, 09/02 OGP TTD NODIN DRM MITRA, 06/02 HASIL REVIEW TSEL LANJ"&amp;"UT DRM, 03/02 DONE EVAL, BUTUH KONFIRM KE SALES KARENA ADA PERUBAHAN DESAIN, DAN BUTUH PERIZINAN DG PIHAK RT SETEMPAT 03/02 DONE EVAL, BUTUH KONFIRM KE SALES KARENA ADA PERUBAHAN DESAIN, DAN BUTUH PERIZINAN DG PIHAK RT SETEMPAT, 30/01 PROSES PERIZINAN - C"&amp;"ATUAN BERUBAH KE DIST 5 KARENA CORE HABIS, 23/01 DONE AANWIDJZING, (21/01) menunggu antrian aanwizjing, (15/1) ORDER DITERIMA MITRA 14/1, plan Aanwijdzing 19 Jan (14/11)HOLD- tidak masuk target Optimis 2025 (14/11 menunggu jadwal aanwidzjing, (11/11) Penu"&amp;"njukkan MITRA oleh Procurement 
 14/01 penunjukan mitra oleh procurement")</f>
        <v>24/03 GOLIVE, 21/03 MENUNGGU GOLIVE, 19/03 DONE SUBMIT ABD KE SDI, 17/03 OGP TERMINASI ODP, 16/03 HARI INI PROGRESS PASANG ODP, 13/03 EST TGL 16 MAR MULAI PROGRESS PASANG ODP, 12/03 MENUNGGU ANTRIAN PEKERJAAN, 11/03 OGP PEMASANGAN ODP DAN TERMINASI, 09/03 DONE TANAM 5 TIANG DAN PENARIKAN KABEL 610M, 06/03 MATERIAL ONSITE, 05/03 HARI INI AMBIL MATERIAL, 02/03 PARALEL, MENUNGGU ANTRIAN PEKERJAAN, 27/02 DONE RFC, OGP AMBIL MATERIAL, , 26/02 PARALEL, MENUNGGU ANTRIAN PEKERJAAN, 24/02 DONE PR PO, 23/02 MENUNGGU APPROVAL DRM, 22/2 menunggu material TIANG  20/02 DONE INPUT MATERIAL, 18/02 PROGRESS INPUT MATERIAL - KENDALA OVER BUDGET, 11/2 perizinan developer- plan ketemu 11 FEB  10/02 PROSES PERIZINAN, 09/02 OGP TTD NODIN DRM MITRA, 06/02 HASIL REVIEW TSEL LANJUT DRM, 03/02 DONE EVAL, BUTUH KONFIRM KE SALES KARENA ADA PERUBAHAN DESAIN, DAN BUTUH PERIZINAN DG PIHAK RT SETEMPAT 03/02 DONE EVAL, BUTUH KONFIRM KE SALES KARENA ADA PERUBAHAN DESAIN, DAN BUTUH PERIZINAN DG PIHAK RT SETEMPAT, 30/01 PROSES PERIZINAN - CATUAN BERUBAH KE DIST 5 KARENA CORE HABIS, 23/01 DONE AANWIDJZING, (21/01) menunggu antrian aanwizjing, (15/1) ORDER DITERIMA MITRA 14/1, plan Aanwijdzing 19 Jan (14/11)HOLD- tidak masuk target Optimis 2025 (14/11 menunggu jadwal aanwidzjing, (11/11) Penunjukkan MITRA oleh Procurement 
 14/01 penunjukan mitra oleh procurement</v>
      </c>
      <c r="R1638" s="228">
        <f>IFERROR(__xludf.DUMMYFUNCTION("""COMPUTED_VALUE"""),46109.0)</f>
        <v>46109</v>
      </c>
      <c r="S1638" s="11" t="str">
        <f>IFERROR(__xludf.DUMMYFUNCTION("""COMPUTED_VALUE"""),"MAR")</f>
        <v>MAR</v>
      </c>
      <c r="T1638" s="11" t="str">
        <f>IFERROR(__xludf.DUMMYFUNCTION("""COMPUTED_VALUE"""),"P1")</f>
        <v>P1</v>
      </c>
      <c r="U1638" s="11"/>
      <c r="V1638" s="229" t="str">
        <f>IFERROR(__xludf.DUMMYFUNCTION("""COMPUTED_VALUE"""),"ILHAM")</f>
        <v>ILHAM</v>
      </c>
      <c r="W1638" s="229"/>
      <c r="X1638" s="229" t="str">
        <f>IFERROR(__xludf.DUMMYFUNCTION("""COMPUTED_VALUE"""),"GOLIVE")</f>
        <v>GOLIVE</v>
      </c>
      <c r="Y1638" s="229" t="str">
        <f>IFERROR(__xludf.DUMMYFUNCTION("""COMPUTED_VALUE"""),"DONE")</f>
        <v>DONE</v>
      </c>
      <c r="Z1638" s="229" t="str">
        <f>IFERROR(__xludf.DUMMYFUNCTION("""COMPUTED_VALUE"""),"#N/A")</f>
        <v>#N/A</v>
      </c>
      <c r="AA1638" s="229">
        <f>IFERROR(__xludf.DUMMYFUNCTION("""COMPUTED_VALUE"""),5.0)</f>
        <v>5</v>
      </c>
      <c r="AB1638" s="229"/>
      <c r="AC1638" s="229" t="str">
        <f>IFERROR(__xludf.DUMMYFUNCTION("""COMPUTED_VALUE"""),"8939549#8939554")</f>
        <v>8939549#8939554</v>
      </c>
      <c r="AD1638" s="232">
        <f>IFERROR(__xludf.DUMMYFUNCTION("""COMPUTED_VALUE"""),40.0)</f>
        <v>40</v>
      </c>
      <c r="AE1638" s="233">
        <f>IFERROR(__xludf.DUMMYFUNCTION("""COMPUTED_VALUE"""),46100.0)</f>
        <v>46100</v>
      </c>
      <c r="AF1638" s="54"/>
      <c r="AG1638" s="54"/>
      <c r="AH1638" s="54">
        <v>46109.0</v>
      </c>
      <c r="AI1638" s="55">
        <f t="shared" si="161"/>
        <v>9</v>
      </c>
      <c r="AW1638" s="234"/>
      <c r="BP1638" s="11"/>
      <c r="BQ1638" s="11"/>
      <c r="BR1638" s="235"/>
      <c r="BV1638" s="158"/>
      <c r="BY1638" s="158"/>
      <c r="CB1638" s="158"/>
    </row>
    <row r="1639" ht="18.0" hidden="1" customHeight="1">
      <c r="A1639" s="222">
        <f>IFERROR(__xludf.DUMMYFUNCTION("""COMPUTED_VALUE"""),2026.0)</f>
        <v>2026</v>
      </c>
      <c r="B1639" s="221">
        <f>IFERROR(__xludf.DUMMYFUNCTION("""COMPUTED_VALUE"""),1.1472359E7)</f>
        <v>11472359</v>
      </c>
      <c r="C1639" s="222" t="str">
        <f>IFERROR(__xludf.DUMMYFUNCTION("""COMPUTED_VALUE"""),"SMS P3I1 PT3 PGA FAF D02 KORAMIL LAMA")</f>
        <v>SMS P3I1 PT3 PGA FAF D02 KORAMIL LAMA</v>
      </c>
      <c r="D1639" s="222" t="str">
        <f>IFERROR(__xludf.DUMMYFUNCTION("""COMPUTED_VALUE"""),"REGIONAL I")</f>
        <v>REGIONAL I</v>
      </c>
      <c r="E1639" s="222" t="str">
        <f>IFERROR(__xludf.DUMMYFUNCTION("""COMPUTED_VALUE"""),"SUMSEL")</f>
        <v>SUMSEL</v>
      </c>
      <c r="F1639" s="222" t="str">
        <f>IFERROR(__xludf.DUMMYFUNCTION("""COMPUTED_VALUE"""),"PGA")</f>
        <v>PGA</v>
      </c>
      <c r="G1639" s="222" t="str">
        <f>IFERROR(__xludf.DUMMYFUNCTION("""COMPUTED_VALUE"""),"SUMBAGSEL")</f>
        <v>SUMBAGSEL</v>
      </c>
      <c r="H1639" s="222" t="str">
        <f>IFERROR(__xludf.DUMMYFUNCTION("""COMPUTED_VALUE"""),"BENGKULU")</f>
        <v>BENGKULU</v>
      </c>
      <c r="I1639" s="222" t="str">
        <f>IFERROR(__xludf.DUMMYFUNCTION("""COMPUTED_VALUE"""),"Batch 2")</f>
        <v>Batch 2</v>
      </c>
      <c r="J1639" s="225">
        <f>IFERROR(__xludf.DUMMYFUNCTION("""COMPUTED_VALUE"""),4.0)</f>
        <v>4</v>
      </c>
      <c r="K1639" s="224">
        <f>IFERROR(__xludf.DUMMYFUNCTION("""COMPUTED_VALUE"""),32.0)</f>
        <v>32</v>
      </c>
      <c r="L1639" s="226">
        <f>IFERROR(__xludf.DUMMYFUNCTION("""COMPUTED_VALUE"""),511592.0)</f>
        <v>511592</v>
      </c>
      <c r="M1639" s="227">
        <f>IFERROR(__xludf.DUMMYFUNCTION("""COMPUTED_VALUE"""),1.6370929E7)</f>
        <v>16370929</v>
      </c>
      <c r="N1639" s="222" t="str">
        <f>IFERROR(__xludf.DUMMYFUNCTION("""COMPUTED_VALUE"""),"PT GITA PRIMA TAMBA PERKASA")</f>
        <v>PT GITA PRIMA TAMBA PERKASA</v>
      </c>
      <c r="O1639" s="222" t="str">
        <f>IFERROR(__xludf.DUMMYFUNCTION("""COMPUTED_VALUE"""),"2. DONE AANWIJZING")</f>
        <v>2. DONE AANWIJZING</v>
      </c>
      <c r="P1639" s="222" t="str">
        <f>IFERROR(__xludf.DUMMYFUNCTION("""COMPUTED_VALUE"""),"2.5 Proses Create PID")</f>
        <v>2.5 Proses Create PID</v>
      </c>
      <c r="Q1639" s="222" t="str">
        <f>IFERROR(__xludf.DUMMYFUNCTION("""COMPUTED_VALUE"""),"27/04 : Proses PR PO // 09/04 kepala desa belum ada FEEDBACK , plan 10 apr visit ulang  08/04 Proses perizinan kepala desa, belum ada feedback 26/03 proses pergantian mitra dri raharja ke GPTP, 25/03 PROGRESS UPDATE BOQ DAN KML SETELAH AANWIDJZING - MASIH"&amp;" MENUNGGU INFO TSEL MENGENAI PENGURANGAN ODP,  16/03 HASIL AANWIDJZING TDK PERLU IZIN KRNA HANYA TARIK KABEL SAJA (BISA DIKERJAKAN), 12/03 DONE AANWIDJZING, 10/03 PROGRESS AANWIJDZING ULANG, 09/03 DIALIHKAN KE MITRA GPTP, 09/03 DATA UPDATE BLM DI KIRIM MI"&amp;"TRA, 06/03 SDH DI FU TERUS TP BELUM ADA INFO DARI MITRA, 02/03 SDH DI FU TERUS TP BELUM ADA INFO DARI MITRA, 27/02 BELUM EVAL, 23/02 LANJUT EVAL, 22/2  menunggu hasil perhitungan QE dan review TIF  19/02 HASIL AANWIDJZING BISA DIKERJAKAN SESUAI PLAN DAN T"&amp;"IDAK BUTUH IZIN DIKARENAKAN HANYA PENARIKAN KABEL PENDEK, 10/02 DONE AANWIDJZING - MITRA BELUM KIRIM HASIL AANWIDJZING, 04/02 PROSES AANWIDJZING, 30/01 PROSES AANWIDJZING, (23/1) Proses Aanwijdzing - Est 27 Setor ke Pak wijaya  (21/01) menunggu antrian un"&amp;"tuk aanwizjing, (15/1) ORDER DITERIMA MITRA 14/1, masih menunngu confirm- kepastian 19 jan (14/11)HOLD-  tidak masuk target Optimis 2025 (13/11)  penunjukkan mitra raharja, 10/11 penunjukkan mitra raharja 3/11 mitra raharja ditunjuk sbagai mitra lop ini 2"&amp;"3/10 belum di lakukan oleh mitra ke lokasi
15/10 plan aanwiznig tgl 17/10
(08/10) menunggu jadwal aanwijizng
(01/10) menunggu jadwal aanwijizng
(19/09) pejadwalan aanwijzing
14/01 sudah penunjukan mitra oleh procurement")</f>
        <v>27/04 : Proses PR PO //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1639" s="228"/>
      <c r="S1639" s="11"/>
      <c r="T1639" s="11"/>
      <c r="U1639" s="11"/>
      <c r="V1639" s="229" t="str">
        <f>IFERROR(__xludf.DUMMYFUNCTION("""COMPUTED_VALUE"""),"PUTRA")</f>
        <v>PUTRA</v>
      </c>
      <c r="W1639" s="229"/>
      <c r="X1639" s="229" t="str">
        <f>IFERROR(__xludf.DUMMYFUNCTION("""COMPUTED_VALUE"""),"BELUM GOLIVE")</f>
        <v>BELUM GOLIVE</v>
      </c>
      <c r="Y1639" s="229"/>
      <c r="Z1639" s="229" t="str">
        <f>IFERROR(__xludf.DUMMYFUNCTION("""COMPUTED_VALUE"""),"#N/A")</f>
        <v>#N/A</v>
      </c>
      <c r="AA1639" s="229"/>
      <c r="AB1639" s="229"/>
      <c r="AC1639" s="229"/>
      <c r="AD1639" s="232"/>
      <c r="AE1639" s="233"/>
      <c r="AF1639" s="54"/>
      <c r="AG1639" s="54"/>
      <c r="AH1639" s="54"/>
      <c r="AI1639" s="55" t="str">
        <f t="shared" si="161"/>
        <v/>
      </c>
      <c r="AW1639" s="234"/>
      <c r="BP1639" s="11"/>
      <c r="BQ1639" s="11"/>
      <c r="BR1639" s="235"/>
      <c r="BV1639" s="158"/>
      <c r="BY1639" s="158"/>
      <c r="CB1639" s="158"/>
    </row>
    <row r="1640" ht="18.0" hidden="1" customHeight="1">
      <c r="A1640" s="222">
        <f>IFERROR(__xludf.DUMMYFUNCTION("""COMPUTED_VALUE"""),2026.0)</f>
        <v>2026</v>
      </c>
      <c r="B1640" s="221">
        <f>IFERROR(__xludf.DUMMYFUNCTION("""COMPUTED_VALUE"""),1.2496135E7)</f>
        <v>12496135</v>
      </c>
      <c r="C1640" s="222" t="str">
        <f>IFERROR(__xludf.DUMMYFUNCTION("""COMPUTED_VALUE"""),"MDN 250_1557_1622")</f>
        <v>MDN 250_1557_1622</v>
      </c>
      <c r="D1640" s="222" t="str">
        <f>IFERROR(__xludf.DUMMYFUNCTION("""COMPUTED_VALUE"""),"REGIONAL I")</f>
        <v>REGIONAL I</v>
      </c>
      <c r="E1640" s="222" t="str">
        <f>IFERROR(__xludf.DUMMYFUNCTION("""COMPUTED_VALUE"""),"MEDAN")</f>
        <v>MEDAN</v>
      </c>
      <c r="F1640" s="222" t="str">
        <f>IFERROR(__xludf.DUMMYFUNCTION("""COMPUTED_VALUE"""),"TTG")</f>
        <v>TTG</v>
      </c>
      <c r="G1640" s="222" t="str">
        <f>IFERROR(__xludf.DUMMYFUNCTION("""COMPUTED_VALUE"""),"SUMBAGUT")</f>
        <v>SUMBAGUT</v>
      </c>
      <c r="H1640" s="222" t="str">
        <f>IFERROR(__xludf.DUMMYFUNCTION("""COMPUTED_VALUE"""),"MEDAN")</f>
        <v>MEDAN</v>
      </c>
      <c r="I1640" s="222" t="str">
        <f>IFERROR(__xludf.DUMMYFUNCTION("""COMPUTED_VALUE"""),"Batch 2")</f>
        <v>Batch 2</v>
      </c>
      <c r="J1640" s="225">
        <f>IFERROR(__xludf.DUMMYFUNCTION("""COMPUTED_VALUE"""),3.0)</f>
        <v>3</v>
      </c>
      <c r="K1640" s="224">
        <f>IFERROR(__xludf.DUMMYFUNCTION("""COMPUTED_VALUE"""),24.0)</f>
        <v>24</v>
      </c>
      <c r="L1640" s="226">
        <f>IFERROR(__xludf.DUMMYFUNCTION("""COMPUTED_VALUE"""),510709.0)</f>
        <v>510709</v>
      </c>
      <c r="M1640" s="227">
        <f>IFERROR(__xludf.DUMMYFUNCTION("""COMPUTED_VALUE"""),1.2256997E7)</f>
        <v>12256997</v>
      </c>
      <c r="N1640" s="222" t="str">
        <f>IFERROR(__xludf.DUMMYFUNCTION("""COMPUTED_VALUE"""),"SWAKELOLA")</f>
        <v>SWAKELOLA</v>
      </c>
      <c r="O1640" s="222" t="str">
        <f>IFERROR(__xludf.DUMMYFUNCTION("""COMPUTED_VALUE"""),"7. GOLIVE")</f>
        <v>7. GOLIVE</v>
      </c>
      <c r="P1640" s="222" t="str">
        <f>IFERROR(__xludf.DUMMYFUNCTION("""COMPUTED_VALUE"""),"7.2 Golive Full / OA / DONE OTB")</f>
        <v>7.2 Golive Full / OA / DONE OTB</v>
      </c>
      <c r="Q1640" s="222" t="str">
        <f>IFERROR(__xludf.DUMMYFUNCTION("""COMPUTED_VALUE"""),"30/03 submit abd 13/03 terminasi ODC 06/03 req material 10/02 done order SWAKELOLA (07/01) Persiapan")</f>
        <v>30/03 submit abd 13/03 terminasi ODC 06/03 req material 10/02 done order SWAKELOLA (07/01) Persiapan</v>
      </c>
      <c r="R1640" s="228">
        <f>IFERROR(__xludf.DUMMYFUNCTION("""COMPUTED_VALUE"""),46110.0)</f>
        <v>46110</v>
      </c>
      <c r="S1640" s="11" t="str">
        <f>IFERROR(__xludf.DUMMYFUNCTION("""COMPUTED_VALUE"""),"MAR")</f>
        <v>MAR</v>
      </c>
      <c r="T1640" s="11"/>
      <c r="U1640" s="11"/>
      <c r="V1640" s="229"/>
      <c r="W1640" s="229"/>
      <c r="X1640" s="229" t="str">
        <f>IFERROR(__xludf.DUMMYFUNCTION("""COMPUTED_VALUE"""),"GOLIVE")</f>
        <v>GOLIVE</v>
      </c>
      <c r="Y1640" s="229" t="str">
        <f>IFERROR(__xludf.DUMMYFUNCTION("""COMPUTED_VALUE"""),"DONE")</f>
        <v>DONE</v>
      </c>
      <c r="Z1640" s="229" t="str">
        <f>IFERROR(__xludf.DUMMYFUNCTION("""COMPUTED_VALUE"""),"#N/A")</f>
        <v>#N/A</v>
      </c>
      <c r="AA1640" s="229">
        <f>IFERROR(__xludf.DUMMYFUNCTION("""COMPUTED_VALUE"""),3.0)</f>
        <v>3</v>
      </c>
      <c r="AB1640" s="229"/>
      <c r="AC1640" s="229" t="str">
        <f>IFERROR(__xludf.DUMMYFUNCTION("""COMPUTED_VALUE"""),"9230875#9230880")</f>
        <v>9230875#9230880</v>
      </c>
      <c r="AD1640" s="232">
        <f>IFERROR(__xludf.DUMMYFUNCTION("""COMPUTED_VALUE"""),24.0)</f>
        <v>24</v>
      </c>
      <c r="AE1640" s="233">
        <f>IFERROR(__xludf.DUMMYFUNCTION("""COMPUTED_VALUE"""),46112.0)</f>
        <v>46112</v>
      </c>
      <c r="AF1640" s="54"/>
      <c r="AG1640" s="54"/>
      <c r="AH1640" s="54">
        <v>46110.0</v>
      </c>
      <c r="AI1640" s="55">
        <f t="shared" si="161"/>
        <v>-2</v>
      </c>
      <c r="AW1640" s="234"/>
      <c r="BP1640" s="11"/>
      <c r="BQ1640" s="11"/>
      <c r="BR1640" s="235"/>
      <c r="BV1640" s="158"/>
      <c r="BY1640" s="158"/>
      <c r="CB1640" s="158"/>
    </row>
    <row r="1641" ht="18.0" hidden="1" customHeight="1">
      <c r="A1641" s="222">
        <f>IFERROR(__xludf.DUMMYFUNCTION("""COMPUTED_VALUE"""),2026.0)</f>
        <v>2026</v>
      </c>
      <c r="B1641" s="221">
        <f>IFERROR(__xludf.DUMMYFUNCTION("""COMPUTED_VALUE"""),1.1346112E7)</f>
        <v>11346112</v>
      </c>
      <c r="C1641" s="222" t="str">
        <f>IFERROR(__xludf.DUMMYFUNCTION("""COMPUTED_VALUE"""),"ACH PT3 MRU-FH BR D04 GAMPONG PULO")</f>
        <v>ACH PT3 MRU-FH BR D04 GAMPONG PULO</v>
      </c>
      <c r="D1641" s="222" t="str">
        <f>IFERROR(__xludf.DUMMYFUNCTION("""COMPUTED_VALUE"""),"REGIONAL I")</f>
        <v>REGIONAL I</v>
      </c>
      <c r="E1641" s="222" t="str">
        <f>IFERROR(__xludf.DUMMYFUNCTION("""COMPUTED_VALUE"""),"ACEH")</f>
        <v>ACEH</v>
      </c>
      <c r="F1641" s="222" t="str">
        <f>IFERROR(__xludf.DUMMYFUNCTION("""COMPUTED_VALUE"""),"MRU")</f>
        <v>MRU</v>
      </c>
      <c r="G1641" s="222" t="str">
        <f>IFERROR(__xludf.DUMMYFUNCTION("""COMPUTED_VALUE"""),"SUMBAGUT")</f>
        <v>SUMBAGUT</v>
      </c>
      <c r="H1641" s="222" t="str">
        <f>IFERROR(__xludf.DUMMYFUNCTION("""COMPUTED_VALUE"""),"BANDA ACEH")</f>
        <v>BANDA ACEH</v>
      </c>
      <c r="I1641" s="222" t="str">
        <f>IFERROR(__xludf.DUMMYFUNCTION("""COMPUTED_VALUE"""),"Batch 2")</f>
        <v>Batch 2</v>
      </c>
      <c r="J1641" s="225">
        <f>IFERROR(__xludf.DUMMYFUNCTION("""COMPUTED_VALUE"""),2.0)</f>
        <v>2</v>
      </c>
      <c r="K1641" s="224">
        <f>IFERROR(__xludf.DUMMYFUNCTION("""COMPUTED_VALUE"""),16.0)</f>
        <v>16</v>
      </c>
      <c r="L1641" s="226">
        <f>IFERROR(__xludf.DUMMYFUNCTION("""COMPUTED_VALUE"""),507286.0)</f>
        <v>507286</v>
      </c>
      <c r="M1641" s="227">
        <f>IFERROR(__xludf.DUMMYFUNCTION("""COMPUTED_VALUE"""),8116562.0)</f>
        <v>8116562</v>
      </c>
      <c r="N1641" s="222" t="str">
        <f>IFERROR(__xludf.DUMMYFUNCTION("""COMPUTED_VALUE"""),"PT JAYA ANINDYA MUSTIKA")</f>
        <v>PT JAYA ANINDYA MUSTIKA</v>
      </c>
      <c r="O1641" s="222" t="str">
        <f>IFERROR(__xludf.DUMMYFUNCTION("""COMPUTED_VALUE"""),"7. GOLIVE")</f>
        <v>7. GOLIVE</v>
      </c>
      <c r="P1641" s="222" t="str">
        <f>IFERROR(__xludf.DUMMYFUNCTION("""COMPUTED_VALUE"""),"7.2 Golive Full / OA / DONE OTB")</f>
        <v>7.2 Golive Full / OA / DONE OTB</v>
      </c>
      <c r="Q1641" s="222" t="str">
        <f>IFERROR(__xludf.DUMMYFUNCTION("""COMPUTED_VALUE"""),"(21/04) Proses Valins (20/04) Plan terminasi 21/04 , target 24/04 selsai 
(13/04) Re-Design, dependensi LOP HEM SPPG Pidie Jaya (10/03) Validasi Core pasca Gamas (03/03)terminasi (11/02) proses penarikan kabel  (29/01) done aanwizing (07/01) Persiapan")</f>
        <v>(21/04) Proses Valins (20/04) Plan terminasi 21/04 , target 24/04 selsai 
(13/04) Re-Design, dependensi LOP HEM SPPG Pidie Jaya (10/03) Validasi Core pasca Gamas (03/03)terminasi (11/02) proses penarikan kabel  (29/01) done aanwizing (07/01) Persiapan</v>
      </c>
      <c r="R1641" s="228">
        <f>IFERROR(__xludf.DUMMYFUNCTION("""COMPUTED_VALUE"""),46133.0)</f>
        <v>46133</v>
      </c>
      <c r="S1641" s="11" t="str">
        <f>IFERROR(__xludf.DUMMYFUNCTION("""COMPUTED_VALUE"""),"APR")</f>
        <v>APR</v>
      </c>
      <c r="T1641" s="73"/>
      <c r="U1641" s="11"/>
      <c r="V1641" s="229"/>
      <c r="W1641" s="229" t="str">
        <f>IFERROR(__xludf.DUMMYFUNCTION("""COMPUTED_VALUE"""),"#N/A")</f>
        <v>#N/A</v>
      </c>
      <c r="X1641" s="229" t="str">
        <f>IFERROR(__xludf.DUMMYFUNCTION("""COMPUTED_VALUE"""),"GOLIVE")</f>
        <v>GOLIVE</v>
      </c>
      <c r="Y1641" s="229" t="str">
        <f>IFERROR(__xludf.DUMMYFUNCTION("""COMPUTED_VALUE"""),"DONE")</f>
        <v>DONE</v>
      </c>
      <c r="Z1641" s="229" t="str">
        <f>IFERROR(__xludf.DUMMYFUNCTION("""COMPUTED_VALUE"""),"#N/A")</f>
        <v>#N/A</v>
      </c>
      <c r="AA1641" s="229">
        <f>IFERROR(__xludf.DUMMYFUNCTION("""COMPUTED_VALUE"""),2.0)</f>
        <v>2</v>
      </c>
      <c r="AB1641" s="229"/>
      <c r="AC1641" s="229" t="str">
        <f>IFERROR(__xludf.DUMMYFUNCTION("""COMPUTED_VALUE"""),"9292126#9292131")</f>
        <v>9292126#9292131</v>
      </c>
      <c r="AD1641" s="232">
        <f>IFERROR(__xludf.DUMMYFUNCTION("""COMPUTED_VALUE"""),16.0)</f>
        <v>16</v>
      </c>
      <c r="AE1641" s="233">
        <f>IFERROR(__xludf.DUMMYFUNCTION("""COMPUTED_VALUE"""),46133.0)</f>
        <v>46133</v>
      </c>
      <c r="AF1641" s="54"/>
      <c r="AG1641" s="54"/>
      <c r="AH1641" s="54">
        <v>46128.0</v>
      </c>
      <c r="AI1641" s="55">
        <f t="shared" si="161"/>
        <v>0</v>
      </c>
      <c r="AW1641" s="234"/>
      <c r="BP1641" s="11"/>
      <c r="BQ1641" s="11"/>
      <c r="BR1641" s="235"/>
      <c r="BV1641" s="158"/>
      <c r="BY1641" s="158"/>
      <c r="CB1641" s="158"/>
    </row>
    <row r="1642" ht="18.0" hidden="1" customHeight="1">
      <c r="A1642" s="222">
        <f>IFERROR(__xludf.DUMMYFUNCTION("""COMPUTED_VALUE"""),2026.0)</f>
        <v>2026</v>
      </c>
      <c r="B1642" s="221">
        <f>IFERROR(__xludf.DUMMYFUNCTION("""COMPUTED_VALUE"""),1.2438135E7)</f>
        <v>12438135</v>
      </c>
      <c r="C1642" s="222" t="str">
        <f>IFERROR(__xludf.DUMMYFUNCTION("""COMPUTED_VALUE"""),"SMS P4I4 PT3 TRA FF D01 SUNGAI PINANG II")</f>
        <v>SMS P4I4 PT3 TRA FF D01 SUNGAI PINANG II</v>
      </c>
      <c r="D1642" s="222" t="str">
        <f>IFERROR(__xludf.DUMMYFUNCTION("""COMPUTED_VALUE"""),"REGIONAL I")</f>
        <v>REGIONAL I</v>
      </c>
      <c r="E1642" s="222" t="str">
        <f>IFERROR(__xludf.DUMMYFUNCTION("""COMPUTED_VALUE"""),"SUMSEL")</f>
        <v>SUMSEL</v>
      </c>
      <c r="F1642" s="222" t="str">
        <f>IFERROR(__xludf.DUMMYFUNCTION("""COMPUTED_VALUE"""),"TRA")</f>
        <v>TRA</v>
      </c>
      <c r="G1642" s="222" t="str">
        <f>IFERROR(__xludf.DUMMYFUNCTION("""COMPUTED_VALUE"""),"SUMBAGSEL")</f>
        <v>SUMBAGSEL</v>
      </c>
      <c r="H1642" s="222" t="str">
        <f>IFERROR(__xludf.DUMMYFUNCTION("""COMPUTED_VALUE"""),"PALEMBANG")</f>
        <v>PALEMBANG</v>
      </c>
      <c r="I1642" s="222" t="str">
        <f>IFERROR(__xludf.DUMMYFUNCTION("""COMPUTED_VALUE"""),"Batch 2")</f>
        <v>Batch 2</v>
      </c>
      <c r="J1642" s="225">
        <f>IFERROR(__xludf.DUMMYFUNCTION("""COMPUTED_VALUE"""),3.0)</f>
        <v>3</v>
      </c>
      <c r="K1642" s="224">
        <f>IFERROR(__xludf.DUMMYFUNCTION("""COMPUTED_VALUE"""),24.0)</f>
        <v>24</v>
      </c>
      <c r="L1642" s="226">
        <f>IFERROR(__xludf.DUMMYFUNCTION("""COMPUTED_VALUE"""),505686.0)</f>
        <v>505686</v>
      </c>
      <c r="M1642" s="227">
        <f>IFERROR(__xludf.DUMMYFUNCTION("""COMPUTED_VALUE"""),1.213645E7)</f>
        <v>12136450</v>
      </c>
      <c r="N1642" s="222" t="str">
        <f>IFERROR(__xludf.DUMMYFUNCTION("""COMPUTED_VALUE"""),"PT SARANA MITRA PERSADA")</f>
        <v>PT SARANA MITRA PERSADA</v>
      </c>
      <c r="O1642" s="222" t="str">
        <f>IFERROR(__xludf.DUMMYFUNCTION("""COMPUTED_VALUE"""),"0. DROP")</f>
        <v>0. DROP</v>
      </c>
      <c r="P1642" s="222" t="str">
        <f>IFERROR(__xludf.DUMMYFUNCTION("""COMPUTED_VALUE"""),"0.1 Double Order")</f>
        <v>0.1 Double Order</v>
      </c>
      <c r="Q1642" s="222" t="str">
        <f>IFERROR(__xludf.DUMMYFUNCTION("""COMPUTED_VALUE"""),"24/02 DROP - SDH DIBANGUN, 11/02 menunggu konfirme sales karena eviden di lokasi sdh ada pembangunan, 11/02 KONFIRM DARI WASPANG - DROP KRNA SDH ADA PEMBANGUNAN, 06/02 hasil review tsel menunggu eviden pembangunan exisiting di lokasi dg waspang ta, 27/01 "&amp;"Done aanwijzing, di lokasi sdh ada pembangunan jaringan telkom 25/01 DROP SUDAH ADA PEMBANGUNAN DAN JALUR NYA SAMA (21/01) AANWIDJZING, (20/1) sudah penunjukan mitra SMP (14/11)HOLD- tidak masuk target Optimis 2025 (")</f>
        <v>24/02 DROP - SDH DIBANGUN, 11/02 menunggu konfirme sales karena eviden di lokasi sdh ada pembangunan, 11/02 KONFIRM DARI WASPANG - DROP KRNA SDH ADA PEMBANGUNAN, 06/02 hasil review tsel menunggu eviden pembangunan exisiting di lokasi dg waspang ta, 27/01 Done aanwijzing, di lokasi sdh ada pembangunan jaringan telkom 25/01 DROP SUDAH ADA PEMBANGUNAN DAN JALUR NYA SAMA (21/01) AANWIDJZING, (20/1) sudah penunjukan mitra SMP (14/11)HOLD- tidak masuk target Optimis 2025 (</v>
      </c>
      <c r="R1642" s="228"/>
      <c r="S1642" s="11"/>
      <c r="T1642" s="11"/>
      <c r="U1642" s="11"/>
      <c r="V1642" s="229" t="str">
        <f>IFERROR(__xludf.DUMMYFUNCTION("""COMPUTED_VALUE"""),"RENALDO")</f>
        <v>RENALDO</v>
      </c>
      <c r="W1642" s="229"/>
      <c r="X1642" s="229" t="str">
        <f>IFERROR(__xludf.DUMMYFUNCTION("""COMPUTED_VALUE"""),"BELUM GOLIVE")</f>
        <v>BELUM GOLIVE</v>
      </c>
      <c r="Y1642" s="229"/>
      <c r="Z1642" s="229" t="str">
        <f>IFERROR(__xludf.DUMMYFUNCTION("""COMPUTED_VALUE"""),"#N/A")</f>
        <v>#N/A</v>
      </c>
      <c r="AA1642" s="229"/>
      <c r="AB1642" s="229"/>
      <c r="AC1642" s="229"/>
      <c r="AD1642" s="232"/>
      <c r="AE1642" s="233"/>
      <c r="AF1642" s="54" t="str">
        <f>IFERROR(__xludf.DUMMYFUNCTION("""COMPUTED_VALUE"""),"Draft BA DROP")</f>
        <v>Draft BA DROP</v>
      </c>
      <c r="AG1642" s="54"/>
      <c r="AH1642" s="54">
        <v>46137.0</v>
      </c>
      <c r="AI1642" s="237">
        <f>AH1642-NOW()</f>
        <v>-3.377989931</v>
      </c>
      <c r="AJ1642" s="229" t="str">
        <f>if(AI1642&gt;=0,"In Komitmen","Out Komitmen")</f>
        <v>Out Komitmen</v>
      </c>
      <c r="AK1642" s="229" t="e">
        <v>#N/A</v>
      </c>
      <c r="AW1642" s="234"/>
      <c r="BP1642" s="11"/>
      <c r="BQ1642" s="11"/>
      <c r="BR1642" s="235"/>
      <c r="BV1642" s="158"/>
      <c r="BY1642" s="158"/>
      <c r="CB1642" s="158"/>
    </row>
    <row r="1643" ht="18.0" customHeight="1">
      <c r="A1643" s="222">
        <f>IFERROR(__xludf.DUMMYFUNCTION("""COMPUTED_VALUE"""),2026.0)</f>
        <v>2026</v>
      </c>
      <c r="B1643" s="221">
        <f>IFERROR(__xludf.DUMMYFUNCTION("""COMPUTED_VALUE"""),1.1364871E7)</f>
        <v>11364871</v>
      </c>
      <c r="C1643" s="222" t="str">
        <f>IFERROR(__xludf.DUMMYFUNCTION("""COMPUTED_VALUE"""),"RKP PT3 TSEL DBS-FW JL. NAVIGASI")</f>
        <v>RKP PT3 TSEL DBS-FW JL. NAVIGASI</v>
      </c>
      <c r="D1643" s="222" t="str">
        <f>IFERROR(__xludf.DUMMYFUNCTION("""COMPUTED_VALUE"""),"REGIONAL I")</f>
        <v>REGIONAL I</v>
      </c>
      <c r="E1643" s="222" t="str">
        <f>IFERROR(__xludf.DUMMYFUNCTION("""COMPUTED_VALUE"""),"RIKEP")</f>
        <v>RIKEP</v>
      </c>
      <c r="F1643" s="222" t="str">
        <f>IFERROR(__xludf.DUMMYFUNCTION("""COMPUTED_VALUE"""),"DBS")</f>
        <v>DBS</v>
      </c>
      <c r="G1643" s="222" t="str">
        <f>IFERROR(__xludf.DUMMYFUNCTION("""COMPUTED_VALUE"""),"SUMBAGTENG")</f>
        <v>SUMBAGTENG</v>
      </c>
      <c r="H1643" s="222" t="str">
        <f>IFERROR(__xludf.DUMMYFUNCTION("""COMPUTED_VALUE"""),"BATAM")</f>
        <v>BATAM</v>
      </c>
      <c r="I1643" s="222" t="str">
        <f>IFERROR(__xludf.DUMMYFUNCTION("""COMPUTED_VALUE"""),"Batch 2")</f>
        <v>Batch 2</v>
      </c>
      <c r="J1643" s="225">
        <f>IFERROR(__xludf.DUMMYFUNCTION("""COMPUTED_VALUE"""),1.0)</f>
        <v>1</v>
      </c>
      <c r="K1643" s="224">
        <f>IFERROR(__xludf.DUMMYFUNCTION("""COMPUTED_VALUE"""),8.0)</f>
        <v>8</v>
      </c>
      <c r="L1643" s="226">
        <f>IFERROR(__xludf.DUMMYFUNCTION("""COMPUTED_VALUE"""),503318.0)</f>
        <v>503318</v>
      </c>
      <c r="M1643" s="227">
        <f>IFERROR(__xludf.DUMMYFUNCTION("""COMPUTED_VALUE"""),4026542.0)</f>
        <v>4026542</v>
      </c>
      <c r="N1643" s="222" t="str">
        <f>IFERROR(__xludf.DUMMYFUNCTION("""COMPUTED_VALUE"""),"SWAKELOLA")</f>
        <v>SWAKELOLA</v>
      </c>
      <c r="O1643" s="222" t="str">
        <f>IFERROR(__xludf.DUMMYFUNCTION("""COMPUTED_VALUE"""),"4. MATDEL")</f>
        <v>4. MATDEL</v>
      </c>
      <c r="P1643" s="222" t="str">
        <f>IFERROR(__xludf.DUMMYFUNCTION("""COMPUTED_VALUE"""),"4.3 Proses Kirim Mateial Kelokasi")</f>
        <v>4.3 Proses Kirim Mateial Kelokasi</v>
      </c>
      <c r="Q1643"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643" s="228"/>
      <c r="S1643" s="11"/>
      <c r="T1643" s="11"/>
      <c r="U1643" s="11" t="str">
        <f>IFERROR(__xludf.DUMMYFUNCTION("""COMPUTED_VALUE"""),"W09-299/2026")</f>
        <v>W09-299/2026</v>
      </c>
      <c r="V1643" s="229" t="str">
        <f>IFERROR(__xludf.DUMMYFUNCTION("""COMPUTED_VALUE"""),"DEDY IRAWAN")</f>
        <v>DEDY IRAWAN</v>
      </c>
      <c r="W1643" s="229" t="str">
        <f>IFERROR(__xludf.DUMMYFUNCTION("""COMPUTED_VALUE"""),"LEVITA INDRIYANI")</f>
        <v>LEVITA INDRIYANI</v>
      </c>
      <c r="X1643" s="229" t="str">
        <f>IFERROR(__xludf.DUMMYFUNCTION("""COMPUTED_VALUE"""),"BELUM GOLIVE")</f>
        <v>BELUM GOLIVE</v>
      </c>
      <c r="Y1643" s="229"/>
      <c r="Z1643" s="229" t="str">
        <f>IFERROR(__xludf.DUMMYFUNCTION("""COMPUTED_VALUE"""),"#N/A")</f>
        <v>#N/A</v>
      </c>
      <c r="AA1643" s="229"/>
      <c r="AB1643" s="229"/>
      <c r="AC1643" s="229"/>
      <c r="AD1643" s="232"/>
      <c r="AE1643" s="233"/>
      <c r="AF1643" s="54"/>
      <c r="AG1643" s="54"/>
      <c r="AH1643" s="54"/>
      <c r="AI1643" s="55" t="str">
        <f t="shared" ref="AI1643:AI1680" si="162">IF(OR(R1643="",AE1643=""),"",R1643-AE1643)</f>
        <v/>
      </c>
      <c r="AW1643" s="234"/>
      <c r="BP1643" s="11"/>
      <c r="BQ1643" s="11"/>
      <c r="BR1643" s="235"/>
      <c r="BV1643" s="158"/>
      <c r="BY1643" s="158"/>
      <c r="CB1643" s="158"/>
    </row>
    <row r="1644" ht="18.0" customHeight="1">
      <c r="A1644" s="222">
        <f>IFERROR(__xludf.DUMMYFUNCTION("""COMPUTED_VALUE"""),2026.0)</f>
        <v>2026</v>
      </c>
      <c r="B1644" s="221">
        <f>IFERROR(__xludf.DUMMYFUNCTION("""COMPUTED_VALUE"""),1.1859384E7)</f>
        <v>11859384</v>
      </c>
      <c r="C1644" s="222" t="str">
        <f>IFERROR(__xludf.DUMMYFUNCTION("""COMPUTED_VALUE"""),"SMB-PT2-ODC-LIN-FB-TANAH DATAR_47039_H2")</f>
        <v>SMB-PT2-ODC-LIN-FB-TANAH DATAR_47039_H2</v>
      </c>
      <c r="D1644" s="222" t="str">
        <f>IFERROR(__xludf.DUMMYFUNCTION("""COMPUTED_VALUE"""),"REGIONAL I")</f>
        <v>REGIONAL I</v>
      </c>
      <c r="E1644" s="222" t="str">
        <f>IFERROR(__xludf.DUMMYFUNCTION("""COMPUTED_VALUE"""),"SUMBAR")</f>
        <v>SUMBAR</v>
      </c>
      <c r="F1644" s="222" t="str">
        <f>IFERROR(__xludf.DUMMYFUNCTION("""COMPUTED_VALUE"""),"LIN")</f>
        <v>LIN</v>
      </c>
      <c r="G1644" s="222" t="str">
        <f>IFERROR(__xludf.DUMMYFUNCTION("""COMPUTED_VALUE"""),"SUMBAGTENG")</f>
        <v>SUMBAGTENG</v>
      </c>
      <c r="H1644" s="222" t="str">
        <f>IFERROR(__xludf.DUMMYFUNCTION("""COMPUTED_VALUE"""),"BUKIT TINGGI")</f>
        <v>BUKIT TINGGI</v>
      </c>
      <c r="I1644" s="222" t="str">
        <f>IFERROR(__xludf.DUMMYFUNCTION("""COMPUTED_VALUE"""),"Batch 2")</f>
        <v>Batch 2</v>
      </c>
      <c r="J1644" s="225">
        <f>IFERROR(__xludf.DUMMYFUNCTION("""COMPUTED_VALUE"""),1.0)</f>
        <v>1</v>
      </c>
      <c r="K1644" s="224">
        <f>IFERROR(__xludf.DUMMYFUNCTION("""COMPUTED_VALUE"""),8.0)</f>
        <v>8</v>
      </c>
      <c r="L1644" s="226">
        <f>IFERROR(__xludf.DUMMYFUNCTION("""COMPUTED_VALUE"""),500382.0)</f>
        <v>500382</v>
      </c>
      <c r="M1644" s="227">
        <f>IFERROR(__xludf.DUMMYFUNCTION("""COMPUTED_VALUE"""),4003053.0)</f>
        <v>4003053</v>
      </c>
      <c r="N1644" s="222" t="str">
        <f>IFERROR(__xludf.DUMMYFUNCTION("""COMPUTED_VALUE"""),"PT RATRI PRIMA MANDIRI")</f>
        <v>PT RATRI PRIMA MANDIRI</v>
      </c>
      <c r="O1644" s="222" t="str">
        <f>IFERROR(__xludf.DUMMYFUNCTION("""COMPUTED_VALUE"""),"2. DONE AANWIJZING")</f>
        <v>2. DONE AANWIJZING</v>
      </c>
      <c r="P1644" s="222" t="str">
        <f>IFERROR(__xludf.DUMMYFUNCTION("""COMPUTED_VALUE"""),"2.9 Kendala - Distribusi Penuh / Rusak")</f>
        <v>2.9 Kendala - Distribusi Penuh / Rusak</v>
      </c>
      <c r="Q1644" s="222" t="str">
        <f>IFERROR(__xludf.DUMMYFUNCTION("""COMPUTED_VALUE"""),"(27/01) Butuh QE DISTRIBUSI 5 (12/01) selesai fisik, pembuatan data golive,,(07/01) Persiapan")</f>
        <v>(27/01) Butuh QE DISTRIBUSI 5 (12/01) selesai fisik, pembuatan data golive,,(07/01) Persiapan</v>
      </c>
      <c r="R1644" s="228"/>
      <c r="S1644" s="11"/>
      <c r="T1644" s="11"/>
      <c r="U1644" s="11"/>
      <c r="V1644" s="229"/>
      <c r="W1644" s="229"/>
      <c r="X1644" s="229" t="str">
        <f>IFERROR(__xludf.DUMMYFUNCTION("""COMPUTED_VALUE"""),"BELUM GOLIVE")</f>
        <v>BELUM GOLIVE</v>
      </c>
      <c r="Y1644" s="229"/>
      <c r="Z1644" s="229" t="str">
        <f>IFERROR(__xludf.DUMMYFUNCTION("""COMPUTED_VALUE"""),"#N/A")</f>
        <v>#N/A</v>
      </c>
      <c r="AA1644" s="229"/>
      <c r="AB1644" s="229"/>
      <c r="AC1644" s="229"/>
      <c r="AD1644" s="232"/>
      <c r="AE1644" s="233"/>
      <c r="AF1644" s="54"/>
      <c r="AG1644" s="54"/>
      <c r="AH1644" s="54"/>
      <c r="AI1644" s="55" t="str">
        <f t="shared" si="162"/>
        <v/>
      </c>
      <c r="AW1644" s="234"/>
      <c r="BP1644" s="11"/>
      <c r="BQ1644" s="11"/>
      <c r="BR1644" s="235"/>
      <c r="BV1644" s="158"/>
      <c r="BY1644" s="158"/>
      <c r="CB1644" s="158"/>
    </row>
    <row r="1645" ht="18.0" hidden="1" customHeight="1">
      <c r="A1645" s="222">
        <f>IFERROR(__xludf.DUMMYFUNCTION("""COMPUTED_VALUE"""),2026.0)</f>
        <v>2026</v>
      </c>
      <c r="B1645" s="221">
        <f>IFERROR(__xludf.DUMMYFUNCTION("""COMPUTED_VALUE"""),1.2308623E7)</f>
        <v>12308623</v>
      </c>
      <c r="C1645" s="222" t="str">
        <f>IFERROR(__xludf.DUMMYFUNCTION("""COMPUTED_VALUE"""),"SMS PT3 SPP FAB D06 JL NANSUKO")</f>
        <v>SMS PT3 SPP FAB D06 JL NANSUKO</v>
      </c>
      <c r="D1645" s="222" t="str">
        <f>IFERROR(__xludf.DUMMYFUNCTION("""COMPUTED_VALUE"""),"REGIONAL I")</f>
        <v>REGIONAL I</v>
      </c>
      <c r="E1645" s="222" t="str">
        <f>IFERROR(__xludf.DUMMYFUNCTION("""COMPUTED_VALUE"""),"SUMSEL")</f>
        <v>SUMSEL</v>
      </c>
      <c r="F1645" s="222" t="str">
        <f>IFERROR(__xludf.DUMMYFUNCTION("""COMPUTED_VALUE"""),"SPP")</f>
        <v>SPP</v>
      </c>
      <c r="G1645" s="222" t="str">
        <f>IFERROR(__xludf.DUMMYFUNCTION("""COMPUTED_VALUE"""),"SUMBAGSEL")</f>
        <v>SUMBAGSEL</v>
      </c>
      <c r="H1645" s="222" t="str">
        <f>IFERROR(__xludf.DUMMYFUNCTION("""COMPUTED_VALUE"""),"BENGKULU")</f>
        <v>BENGKULU</v>
      </c>
      <c r="I1645" s="222" t="str">
        <f>IFERROR(__xludf.DUMMYFUNCTION("""COMPUTED_VALUE"""),"Batch 2")</f>
        <v>Batch 2</v>
      </c>
      <c r="J1645" s="225">
        <f>IFERROR(__xludf.DUMMYFUNCTION("""COMPUTED_VALUE"""),11.0)</f>
        <v>11</v>
      </c>
      <c r="K1645" s="224">
        <f>IFERROR(__xludf.DUMMYFUNCTION("""COMPUTED_VALUE"""),88.0)</f>
        <v>88</v>
      </c>
      <c r="L1645" s="226">
        <f>IFERROR(__xludf.DUMMYFUNCTION("""COMPUTED_VALUE"""),500327.0)</f>
        <v>500327</v>
      </c>
      <c r="M1645" s="227">
        <f>IFERROR(__xludf.DUMMYFUNCTION("""COMPUTED_VALUE"""),4.4028734E7)</f>
        <v>44028734</v>
      </c>
      <c r="N1645" s="222" t="str">
        <f>IFERROR(__xludf.DUMMYFUNCTION("""COMPUTED_VALUE"""),"PT HAN SUNG INDONESIA")</f>
        <v>PT HAN SUNG INDONESIA</v>
      </c>
      <c r="O1645" s="222" t="str">
        <f>IFERROR(__xludf.DUMMYFUNCTION("""COMPUTED_VALUE"""),"7. GOLIVE")</f>
        <v>7. GOLIVE</v>
      </c>
      <c r="P1645" s="222" t="str">
        <f>IFERROR(__xludf.DUMMYFUNCTION("""COMPUTED_VALUE"""),"7.2 Golive Full / OA / DONE OTB")</f>
        <v>7.2 Golive Full / OA / DONE OTB</v>
      </c>
      <c r="Q1645" s="222" t="str">
        <f>IFERROR(__xludf.DUMMYFUNCTION("""COMPUTED_VALUE"""),"06/03 GOLIVE, 04/03 MENUNGGU GOLIVE, 03/03 DONE SUBMIT ABD KE SDI, 02/03 OGP SUBMIT V4, (28/2) PROSES VALINS , ESTIMASI SUBMIT V4 SENIN 2 MAR  (27/02) MENUNGGU JUMPER, 22/2 Menunggu jadwal JUMPER  10/02 MASIH MENUNGGU OLT STO, (31/1) menunggu update dari "&amp;"SDI untuk penambahan MINOL  (24/1) kendala minol (21/01) selesai fisik, data abd belum masuk ke sdi,  (07/01) Persiapan, (22/11) sudah input amalia (19/11)PROSES PR PO, (14/11)PROSES PR PO (09/11) update kml anwijzing (23/10) penunjukan mitra")</f>
        <v>06/03 GOLIVE, 04/03 MENUNGGU GOLIVE, 03/03 DONE SUBMIT ABD KE SDI, 02/03 OGP SUBMIT V4, (28/2) PROSES VALINS , ESTIMASI SUBMIT V4 SENIN 2 MAR  (27/02) MENUNGGU JUMPER, 22/2 Menunggu jadwal JUMPER  10/02 MASIH MENUNGGU OLT STO, (31/1) menunggu update dari SDI untuk penambahan MINOL  (24/1) kendala minol (21/01) selesai fisik, data abd belum masuk ke sdi,  (07/01) Persiapan, (22/11) sudah input amalia (19/11)PROSES PR PO, (14/11)PROSES PR PO (09/11) update kml anwijzing (23/10) penunjukan mitra</v>
      </c>
      <c r="R1645" s="228">
        <f>IFERROR(__xludf.DUMMYFUNCTION("""COMPUTED_VALUE"""),46084.0)</f>
        <v>46084</v>
      </c>
      <c r="S1645" s="11"/>
      <c r="T1645" s="11"/>
      <c r="U1645" s="11"/>
      <c r="V1645" s="229" t="str">
        <f>IFERROR(__xludf.DUMMYFUNCTION("""COMPUTED_VALUE"""),"PUTRA")</f>
        <v>PUTRA</v>
      </c>
      <c r="W1645" s="229"/>
      <c r="X1645" s="229" t="str">
        <f>IFERROR(__xludf.DUMMYFUNCTION("""COMPUTED_VALUE"""),"GOLIVE")</f>
        <v>GOLIVE</v>
      </c>
      <c r="Y1645" s="229" t="str">
        <f>IFERROR(__xludf.DUMMYFUNCTION("""COMPUTED_VALUE"""),"DONE")</f>
        <v>DONE</v>
      </c>
      <c r="Z1645" s="229" t="str">
        <f>IFERROR(__xludf.DUMMYFUNCTION("""COMPUTED_VALUE"""),"#N/A")</f>
        <v>#N/A</v>
      </c>
      <c r="AA1645" s="229">
        <f>IFERROR(__xludf.DUMMYFUNCTION("""COMPUTED_VALUE"""),11.0)</f>
        <v>11</v>
      </c>
      <c r="AB1645" s="229"/>
      <c r="AC1645" s="229" t="str">
        <f>IFERROR(__xludf.DUMMYFUNCTION("""COMPUTED_VALUE"""),"9170291#9170296")</f>
        <v>9170291#9170296</v>
      </c>
      <c r="AD1645" s="232">
        <f>IFERROR(__xludf.DUMMYFUNCTION("""COMPUTED_VALUE"""),88.0)</f>
        <v>88</v>
      </c>
      <c r="AE1645" s="233">
        <f>IFERROR(__xludf.DUMMYFUNCTION("""COMPUTED_VALUE"""),46084.0)</f>
        <v>46084</v>
      </c>
      <c r="AF1645" s="54"/>
      <c r="AG1645" s="54"/>
      <c r="AH1645" s="54">
        <v>46084.0</v>
      </c>
      <c r="AI1645" s="55">
        <f t="shared" si="162"/>
        <v>0</v>
      </c>
      <c r="AW1645" s="234"/>
      <c r="BP1645" s="11"/>
      <c r="BQ1645" s="11"/>
      <c r="BR1645" s="235"/>
      <c r="BV1645" s="158"/>
      <c r="BY1645" s="158"/>
      <c r="CB1645" s="158"/>
    </row>
    <row r="1646" ht="18.0" customHeight="1">
      <c r="A1646" s="222">
        <f>IFERROR(__xludf.DUMMYFUNCTION("""COMPUTED_VALUE"""),2026.0)</f>
        <v>2026</v>
      </c>
      <c r="B1646" s="221">
        <f>IFERROR(__xludf.DUMMYFUNCTION("""COMPUTED_VALUE"""),1.1164602E7)</f>
        <v>11164602</v>
      </c>
      <c r="C1646" s="222" t="str">
        <f>IFERROR(__xludf.DUMMYFUNCTION("""COMPUTED_VALUE"""),"SMB P1I1 Mesjid Istiqomah Koto Br. Sima")</f>
        <v>SMB P1I1 Mesjid Istiqomah Koto Br. Sima</v>
      </c>
      <c r="D1646" s="222" t="str">
        <f>IFERROR(__xludf.DUMMYFUNCTION("""COMPUTED_VALUE"""),"REGIONAL I")</f>
        <v>REGIONAL I</v>
      </c>
      <c r="E1646" s="222" t="str">
        <f>IFERROR(__xludf.DUMMYFUNCTION("""COMPUTED_VALUE"""),"SUMBAR")</f>
        <v>SUMBAR</v>
      </c>
      <c r="F1646" s="222" t="str">
        <f>IFERROR(__xludf.DUMMYFUNCTION("""COMPUTED_VALUE"""),"SIG")</f>
        <v>SIG</v>
      </c>
      <c r="G1646" s="222" t="str">
        <f>IFERROR(__xludf.DUMMYFUNCTION("""COMPUTED_VALUE"""),"SUMBAGTENG")</f>
        <v>SUMBAGTENG</v>
      </c>
      <c r="H1646" s="222" t="str">
        <f>IFERROR(__xludf.DUMMYFUNCTION("""COMPUTED_VALUE"""),"BUKIT TINGGI")</f>
        <v>BUKIT TINGGI</v>
      </c>
      <c r="I1646" s="222" t="str">
        <f>IFERROR(__xludf.DUMMYFUNCTION("""COMPUTED_VALUE"""),"Batch 2")</f>
        <v>Batch 2</v>
      </c>
      <c r="J1646" s="225">
        <f>IFERROR(__xludf.DUMMYFUNCTION("""COMPUTED_VALUE"""),2.0)</f>
        <v>2</v>
      </c>
      <c r="K1646" s="224">
        <f>IFERROR(__xludf.DUMMYFUNCTION("""COMPUTED_VALUE"""),16.0)</f>
        <v>16</v>
      </c>
      <c r="L1646" s="226">
        <f>IFERROR(__xludf.DUMMYFUNCTION("""COMPUTED_VALUE"""),499122.0)</f>
        <v>499122</v>
      </c>
      <c r="M1646" s="227">
        <f>IFERROR(__xludf.DUMMYFUNCTION("""COMPUTED_VALUE"""),7985938.0)</f>
        <v>7985938</v>
      </c>
      <c r="N1646" s="222" t="str">
        <f>IFERROR(__xludf.DUMMYFUNCTION("""COMPUTED_VALUE"""),"PT RATRI PRIMA MANDIRI")</f>
        <v>PT RATRI PRIMA MANDIRI</v>
      </c>
      <c r="O1646" s="222" t="str">
        <f>IFERROR(__xludf.DUMMYFUNCTION("""COMPUTED_VALUE"""),"8. UJI TERIMA")</f>
        <v>8. UJI TERIMA</v>
      </c>
      <c r="P1646" s="222" t="str">
        <f>IFERROR(__xludf.DUMMYFUNCTION("""COMPUTED_VALUE"""),"8.1 Proses UT")</f>
        <v>8.1 Proses UT</v>
      </c>
      <c r="Q1646" s="222" t="str">
        <f>IFERROR(__xludf.DUMMYFUNCTION("""COMPUTED_VALUE"""),"(18/02) terminasi ODP PLAN FI 18/02 (29/01) proses delivery material  (21/01) proses CReate PID (07/01) Persiapan")</f>
        <v>(18/02) terminasi ODP PLAN FI 18/02 (29/01) proses delivery material  (21/01) proses CReate PID (07/01) Persiapan</v>
      </c>
      <c r="R1646" s="228">
        <f>IFERROR(__xludf.DUMMYFUNCTION("""COMPUTED_VALUE"""),46064.0)</f>
        <v>46064</v>
      </c>
      <c r="S1646" s="11"/>
      <c r="T1646" s="11"/>
      <c r="U1646" s="11" t="str">
        <f>IFERROR(__xludf.DUMMYFUNCTION("""COMPUTED_VALUE"""),"TIF-1909/2026 26KT03R158-0013")</f>
        <v>TIF-1909/2026 26KT03R158-0013</v>
      </c>
      <c r="V1646" s="229" t="str">
        <f>IFERROR(__xludf.DUMMYFUNCTION("""COMPUTED_VALUE"""),"M. ARIF HAMADI")</f>
        <v>M. ARIF HAMADI</v>
      </c>
      <c r="W1646" s="229" t="str">
        <f>IFERROR(__xludf.DUMMYFUNCTION("""COMPUTED_VALUE"""),"MELKO NARWADI")</f>
        <v>MELKO NARWADI</v>
      </c>
      <c r="X1646" s="229" t="str">
        <f>IFERROR(__xludf.DUMMYFUNCTION("""COMPUTED_VALUE"""),"GOLIVE")</f>
        <v>GOLIVE</v>
      </c>
      <c r="Y1646" s="229" t="str">
        <f>IFERROR(__xludf.DUMMYFUNCTION("""COMPUTED_VALUE"""),"DONE")</f>
        <v>DONE</v>
      </c>
      <c r="Z1646" s="229" t="str">
        <f>IFERROR(__xludf.DUMMYFUNCTION("""COMPUTED_VALUE"""),"#N/A")</f>
        <v>#N/A</v>
      </c>
      <c r="AA1646" s="229">
        <f>IFERROR(__xludf.DUMMYFUNCTION("""COMPUTED_VALUE"""),1.0)</f>
        <v>1</v>
      </c>
      <c r="AB1646" s="229"/>
      <c r="AC1646" s="229" t="str">
        <f>IFERROR(__xludf.DUMMYFUNCTION("""COMPUTED_VALUE"""),"9137420#9137425")</f>
        <v>9137420#9137425</v>
      </c>
      <c r="AD1646" s="232">
        <f>IFERROR(__xludf.DUMMYFUNCTION("""COMPUTED_VALUE"""),8.0)</f>
        <v>8</v>
      </c>
      <c r="AE1646" s="233">
        <f>IFERROR(__xludf.DUMMYFUNCTION("""COMPUTED_VALUE"""),46076.0)</f>
        <v>46076</v>
      </c>
      <c r="AF1646" s="54"/>
      <c r="AG1646" s="54"/>
      <c r="AH1646" s="54">
        <v>46064.0</v>
      </c>
      <c r="AI1646" s="55">
        <f t="shared" si="162"/>
        <v>-12</v>
      </c>
      <c r="AW1646" s="234"/>
      <c r="BP1646" s="11"/>
      <c r="BQ1646" s="11"/>
      <c r="BR1646" s="235"/>
      <c r="BV1646" s="158"/>
      <c r="BY1646" s="158"/>
      <c r="CB1646" s="158"/>
    </row>
    <row r="1647" ht="18.0" customHeight="1">
      <c r="A1647" s="222">
        <f>IFERROR(__xludf.DUMMYFUNCTION("""COMPUTED_VALUE"""),2026.0)</f>
        <v>2026</v>
      </c>
      <c r="B1647" s="221">
        <f>IFERROR(__xludf.DUMMYFUNCTION("""COMPUTED_VALUE"""),1.1116329E7)</f>
        <v>11116329</v>
      </c>
      <c r="C1647" s="222" t="str">
        <f>IFERROR(__xludf.DUMMYFUNCTION("""COMPUTED_VALUE"""),"SMB P1I1 BELAKANG MM STORE")</f>
        <v>SMB P1I1 BELAKANG MM STORE</v>
      </c>
      <c r="D1647" s="222" t="str">
        <f>IFERROR(__xludf.DUMMYFUNCTION("""COMPUTED_VALUE"""),"REGIONAL I")</f>
        <v>REGIONAL I</v>
      </c>
      <c r="E1647" s="222" t="str">
        <f>IFERROR(__xludf.DUMMYFUNCTION("""COMPUTED_VALUE"""),"SUMBAR")</f>
        <v>SUMBAR</v>
      </c>
      <c r="F1647" s="222" t="str">
        <f>IFERROR(__xludf.DUMMYFUNCTION("""COMPUTED_VALUE"""),"BKT")</f>
        <v>BKT</v>
      </c>
      <c r="G1647" s="222" t="str">
        <f>IFERROR(__xludf.DUMMYFUNCTION("""COMPUTED_VALUE"""),"SUMBAGTENG")</f>
        <v>SUMBAGTENG</v>
      </c>
      <c r="H1647" s="222" t="str">
        <f>IFERROR(__xludf.DUMMYFUNCTION("""COMPUTED_VALUE"""),"BUKIT TINGGI")</f>
        <v>BUKIT TINGGI</v>
      </c>
      <c r="I1647" s="222" t="str">
        <f>IFERROR(__xludf.DUMMYFUNCTION("""COMPUTED_VALUE"""),"Batch 2")</f>
        <v>Batch 2</v>
      </c>
      <c r="J1647" s="225">
        <f>IFERROR(__xludf.DUMMYFUNCTION("""COMPUTED_VALUE"""),2.0)</f>
        <v>2</v>
      </c>
      <c r="K1647" s="224">
        <f>IFERROR(__xludf.DUMMYFUNCTION("""COMPUTED_VALUE"""),16.0)</f>
        <v>16</v>
      </c>
      <c r="L1647" s="226">
        <f>IFERROR(__xludf.DUMMYFUNCTION("""COMPUTED_VALUE"""),496767.0)</f>
        <v>496767</v>
      </c>
      <c r="M1647" s="227">
        <f>IFERROR(__xludf.DUMMYFUNCTION("""COMPUTED_VALUE"""),7948259.0)</f>
        <v>7948259</v>
      </c>
      <c r="N1647" s="222" t="str">
        <f>IFERROR(__xludf.DUMMYFUNCTION("""COMPUTED_VALUE"""),"PT GARINDO TECHNO MANDIRI")</f>
        <v>PT GARINDO TECHNO MANDIRI</v>
      </c>
      <c r="O1647" s="222" t="str">
        <f>IFERROR(__xludf.DUMMYFUNCTION("""COMPUTED_VALUE"""),"0. DROP")</f>
        <v>0. DROP</v>
      </c>
      <c r="P1647" s="222" t="str">
        <f>IFERROR(__xludf.DUMMYFUNCTION("""COMPUTED_VALUE"""),"0.3 Feeder Full")</f>
        <v>0.3 Feeder Full</v>
      </c>
      <c r="Q1647" s="222" t="str">
        <f>IFERROR(__xludf.DUMMYFUNCTION("""COMPUTED_VALUE"""),"(26/01) kendala feeder BKT-FA FULL")</f>
        <v>(26/01) kendala feeder BKT-FA FULL</v>
      </c>
      <c r="R1647" s="228"/>
      <c r="S1647" s="11"/>
      <c r="T1647" s="11"/>
      <c r="U1647" s="11"/>
      <c r="V1647" s="229"/>
      <c r="W1647" s="229"/>
      <c r="X1647" s="229" t="str">
        <f>IFERROR(__xludf.DUMMYFUNCTION("""COMPUTED_VALUE"""),"BELUM GOLIVE")</f>
        <v>BELUM GOLIVE</v>
      </c>
      <c r="Y1647" s="229"/>
      <c r="Z1647" s="229" t="str">
        <f>IFERROR(__xludf.DUMMYFUNCTION("""COMPUTED_VALUE"""),"#N/A")</f>
        <v>#N/A</v>
      </c>
      <c r="AA1647" s="229"/>
      <c r="AB1647" s="229"/>
      <c r="AC1647" s="229"/>
      <c r="AD1647" s="232"/>
      <c r="AE1647" s="233"/>
      <c r="AF1647" s="54" t="str">
        <f>IFERROR(__xludf.DUMMYFUNCTION("""COMPUTED_VALUE"""),"Draft BA DROP")</f>
        <v>Draft BA DROP</v>
      </c>
      <c r="AG1647" s="54"/>
      <c r="AH1647" s="54"/>
      <c r="AI1647" s="55" t="str">
        <f t="shared" si="162"/>
        <v/>
      </c>
      <c r="AW1647" s="234"/>
      <c r="BP1647" s="11"/>
      <c r="BQ1647" s="11"/>
      <c r="BR1647" s="235"/>
      <c r="BV1647" s="158"/>
      <c r="BY1647" s="158"/>
      <c r="CB1647" s="158"/>
    </row>
    <row r="1648" ht="18.0" customHeight="1">
      <c r="A1648" s="222">
        <f>IFERROR(__xludf.DUMMYFUNCTION("""COMPUTED_VALUE"""),2026.0)</f>
        <v>2026</v>
      </c>
      <c r="B1648" s="221">
        <f>IFERROR(__xludf.DUMMYFUNCTION("""COMPUTED_VALUE"""),1.0990554E7)</f>
        <v>10990554</v>
      </c>
      <c r="C1648" s="222" t="str">
        <f>IFERROR(__xludf.DUMMYFUNCTION("""COMPUTED_VALUE"""),"SMB P7I3 Kapalo hilalang")</f>
        <v>SMB P7I3 Kapalo hilalang</v>
      </c>
      <c r="D1648" s="222" t="str">
        <f>IFERROR(__xludf.DUMMYFUNCTION("""COMPUTED_VALUE"""),"REGIONAL I")</f>
        <v>REGIONAL I</v>
      </c>
      <c r="E1648" s="222" t="str">
        <f>IFERROR(__xludf.DUMMYFUNCTION("""COMPUTED_VALUE"""),"SUMBAR")</f>
        <v>SUMBAR</v>
      </c>
      <c r="F1648" s="222" t="str">
        <f>IFERROR(__xludf.DUMMYFUNCTION("""COMPUTED_VALUE"""),"SCC")</f>
        <v>SCC</v>
      </c>
      <c r="G1648" s="222" t="str">
        <f>IFERROR(__xludf.DUMMYFUNCTION("""COMPUTED_VALUE"""),"SUMBAGTENG")</f>
        <v>SUMBAGTENG</v>
      </c>
      <c r="H1648" s="222" t="str">
        <f>IFERROR(__xludf.DUMMYFUNCTION("""COMPUTED_VALUE"""),"BUKIT TINGGI")</f>
        <v>BUKIT TINGGI</v>
      </c>
      <c r="I1648" s="222" t="str">
        <f>IFERROR(__xludf.DUMMYFUNCTION("""COMPUTED_VALUE"""),"Batch 2")</f>
        <v>Batch 2</v>
      </c>
      <c r="J1648" s="225">
        <f>IFERROR(__xludf.DUMMYFUNCTION("""COMPUTED_VALUE"""),3.0)</f>
        <v>3</v>
      </c>
      <c r="K1648" s="224">
        <f>IFERROR(__xludf.DUMMYFUNCTION("""COMPUTED_VALUE"""),24.0)</f>
        <v>24</v>
      </c>
      <c r="L1648" s="226">
        <f>IFERROR(__xludf.DUMMYFUNCTION("""COMPUTED_VALUE"""),496108.0)</f>
        <v>496108</v>
      </c>
      <c r="M1648" s="227">
        <f>IFERROR(__xludf.DUMMYFUNCTION("""COMPUTED_VALUE"""),1.1906587E7)</f>
        <v>11906587</v>
      </c>
      <c r="N1648" s="222" t="str">
        <f>IFERROR(__xludf.DUMMYFUNCTION("""COMPUTED_VALUE"""),"PT PUTRI JAYA AKSES")</f>
        <v>PT PUTRI JAYA AKSES</v>
      </c>
      <c r="O1648" s="222" t="str">
        <f>IFERROR(__xludf.DUMMYFUNCTION("""COMPUTED_VALUE"""),"8. UJI TERIMA")</f>
        <v>8. UJI TERIMA</v>
      </c>
      <c r="P1648" s="222" t="str">
        <f>IFERROR(__xludf.DUMMYFUNCTION("""COMPUTED_VALUE"""),"8.1 Proses UT")</f>
        <v>8.1 Proses UT</v>
      </c>
      <c r="Q1648" s="222" t="str">
        <f>IFERROR(__xludf.DUMMYFUNCTION("""COMPUTED_VALUE"""),"(07/01) Persiapan")</f>
        <v>(07/01) Persiapan</v>
      </c>
      <c r="R1648" s="228"/>
      <c r="S1648" s="11"/>
      <c r="T1648" s="11"/>
      <c r="U1648" s="11" t="str">
        <f>IFERROR(__xludf.DUMMYFUNCTION("""COMPUTED_VALUE"""),"W10-1778/2025 25KT03R158-0537")</f>
        <v>W10-1778/2025 25KT03R158-0537</v>
      </c>
      <c r="V1648" s="229" t="str">
        <f>IFERROR(__xludf.DUMMYFUNCTION("""COMPUTED_VALUE"""),"JANUAR RIZAL")</f>
        <v>JANUAR RIZAL</v>
      </c>
      <c r="W1648" s="229" t="str">
        <f>IFERROR(__xludf.DUMMYFUNCTION("""COMPUTED_VALUE"""),"MELKO NARWADI")</f>
        <v>MELKO NARWADI</v>
      </c>
      <c r="X1648" s="229" t="str">
        <f>IFERROR(__xludf.DUMMYFUNCTION("""COMPUTED_VALUE"""),"GOLIVE")</f>
        <v>GOLIVE</v>
      </c>
      <c r="Y1648" s="229" t="str">
        <f>IFERROR(__xludf.DUMMYFUNCTION("""COMPUTED_VALUE"""),"DONE")</f>
        <v>DONE</v>
      </c>
      <c r="Z1648" s="229" t="str">
        <f>IFERROR(__xludf.DUMMYFUNCTION("""COMPUTED_VALUE"""),"#N/A")</f>
        <v>#N/A</v>
      </c>
      <c r="AA1648" s="229">
        <f>IFERROR(__xludf.DUMMYFUNCTION("""COMPUTED_VALUE"""),4.0)</f>
        <v>4</v>
      </c>
      <c r="AB1648" s="229"/>
      <c r="AC1648" s="229" t="str">
        <f>IFERROR(__xludf.DUMMYFUNCTION("""COMPUTED_VALUE"""),"8936137#8936142")</f>
        <v>8936137#8936142</v>
      </c>
      <c r="AD1648" s="232">
        <f>IFERROR(__xludf.DUMMYFUNCTION("""COMPUTED_VALUE"""),32.0)</f>
        <v>32</v>
      </c>
      <c r="AE1648" s="233">
        <f>IFERROR(__xludf.DUMMYFUNCTION("""COMPUTED_VALUE"""),46030.0)</f>
        <v>46030</v>
      </c>
      <c r="AF1648" s="54"/>
      <c r="AG1648" s="54"/>
      <c r="AH1648" s="54"/>
      <c r="AI1648" s="55" t="str">
        <f t="shared" si="162"/>
        <v/>
      </c>
      <c r="AW1648" s="234"/>
      <c r="BP1648" s="11"/>
      <c r="BQ1648" s="11"/>
      <c r="BR1648" s="235"/>
      <c r="BV1648" s="158"/>
      <c r="BY1648" s="158"/>
      <c r="CB1648" s="158"/>
    </row>
    <row r="1649" ht="18.0" hidden="1" customHeight="1">
      <c r="A1649" s="222">
        <f>IFERROR(__xludf.DUMMYFUNCTION("""COMPUTED_VALUE"""),2026.0)</f>
        <v>2026</v>
      </c>
      <c r="B1649" s="221">
        <f>IFERROR(__xludf.DUMMYFUNCTION("""COMPUTED_VALUE"""),1.1340426E7)</f>
        <v>11340426</v>
      </c>
      <c r="C1649" s="222" t="str">
        <f>IFERROR(__xludf.DUMMYFUNCTION("""COMPUTED_VALUE"""),"SMU KIS-FBC D02 D03 CLUST ASAHAN_1645")</f>
        <v>SMU KIS-FBC D02 D03 CLUST ASAHAN_1645</v>
      </c>
      <c r="D1649" s="222" t="str">
        <f>IFERROR(__xludf.DUMMYFUNCTION("""COMPUTED_VALUE"""),"REGIONAL I")</f>
        <v>REGIONAL I</v>
      </c>
      <c r="E1649" s="222" t="str">
        <f>IFERROR(__xludf.DUMMYFUNCTION("""COMPUTED_VALUE"""),"SUMUT")</f>
        <v>SUMUT</v>
      </c>
      <c r="F1649" s="222" t="str">
        <f>IFERROR(__xludf.DUMMYFUNCTION("""COMPUTED_VALUE"""),"KIS")</f>
        <v>KIS</v>
      </c>
      <c r="G1649" s="222" t="str">
        <f>IFERROR(__xludf.DUMMYFUNCTION("""COMPUTED_VALUE"""),"SUMBAGUT")</f>
        <v>SUMBAGUT</v>
      </c>
      <c r="H1649" s="222" t="str">
        <f>IFERROR(__xludf.DUMMYFUNCTION("""COMPUTED_VALUE"""),"RANTAU PRAPAT")</f>
        <v>RANTAU PRAPAT</v>
      </c>
      <c r="I1649" s="222" t="str">
        <f>IFERROR(__xludf.DUMMYFUNCTION("""COMPUTED_VALUE"""),"Batch 2")</f>
        <v>Batch 2</v>
      </c>
      <c r="J1649" s="225">
        <f>IFERROR(__xludf.DUMMYFUNCTION("""COMPUTED_VALUE"""),6.0)</f>
        <v>6</v>
      </c>
      <c r="K1649" s="224">
        <f>IFERROR(__xludf.DUMMYFUNCTION("""COMPUTED_VALUE"""),48.0)</f>
        <v>48</v>
      </c>
      <c r="L1649" s="226">
        <f>IFERROR(__xludf.DUMMYFUNCTION("""COMPUTED_VALUE"""),495887.0)</f>
        <v>495887</v>
      </c>
      <c r="M1649" s="227">
        <f>IFERROR(__xludf.DUMMYFUNCTION("""COMPUTED_VALUE"""),2.3802542E7)</f>
        <v>23802542</v>
      </c>
      <c r="N1649" s="222" t="str">
        <f>IFERROR(__xludf.DUMMYFUNCTION("""COMPUTED_VALUE"""),"PT GARINDO TECHNO MANDIRI")</f>
        <v>PT GARINDO TECHNO MANDIRI</v>
      </c>
      <c r="O1649" s="222" t="str">
        <f>IFERROR(__xludf.DUMMYFUNCTION("""COMPUTED_VALUE"""),"4. MATDEL")</f>
        <v>4. MATDEL</v>
      </c>
      <c r="P1649" s="222" t="str">
        <f>IFERROR(__xludf.DUMMYFUNCTION("""COMPUTED_VALUE"""),"4.3 Proses Kirim Mateial Kelokasi")</f>
        <v>4.3 Proses Kirim Mateial Kelokasi</v>
      </c>
      <c r="Q1649" s="222" t="str">
        <f>IFERROR(__xludf.DUMMYFUNCTION("""COMPUTED_VALUE"""),"27/4 team serial di lop tamba seribu, 23/4 tim partial di lop kis ff, 22/4 plan bsk lanjut progres, 21/4 prepair tim pengambilan material, 20/4 prepair tim pengambilan material, 16/4 prepair tim untuk pengambilan material, 15/4 prepair tim untuk pengambil"&amp;"an material (pengalihan dari mitra mai), 14/4 prepair tim untuk pengambilan material (pengalihan dari mitra mai), 13/4 mitra MAI menolak untuk lanjut progres, 9/4 mitra MAI menolak untuk lanjut progres, 8/4 mitra MAI menolak untuk lanjut progres, 6/4 plan"&amp;" est progres delivery besok apabila belum kunjung dikerjakan maka lop kita  alihkan kemitra lain, 5/4 menunggu mitra untuk pengambilan material, 1/4 menunggu mitra untuk pengambilan material, 31/3 menunggu mitra untuk pengambilan material, 30/3 menunggu p"&amp;"engambilan material, 27/3 plan pengambilan material senin 30 maret, 26/3 prepair tim untuk pengambilan material, 22/3 menunggu req kebutuhan matrial mitra, 18/3 menunggu req kebutuhan matrial mitra, 16/3 menunggu req kebutuhan matrial mitra, 13/3 ada nya "&amp;"kenaikan  nilai ditas 10 %, 12/3 ada nya kenaikan  nilai ditas 10 %, 11/3 menunggu info balasan surat izin dari pihak desa, 10/3 menunggu info balasan surat izin dari pihak desa, 6/3 menunggu info balasan surat izin dari pihak desa, 5/3 menunggu req matri"&amp;"al,  4/3 menunggu req matrial, 3/3 Hasil Diskusi ED Area- Region dan TA, pekerjaan Lanjut di eksekusi 2/3 kenaikan nilai diatas 10% butuh review ulang , 27/2 kenaikan nilai diatas 10% butuh review ulang, 25/2 menunggu surat balasan izin dari pihak polsek "&amp;"terkait izin tanam tiang,  24/2 menunggu surat balasan izin dari pihak polsek terkait izin tanam tiang, 20/2 req pengantar izin desa, 19/2 proses cek cpp paralel pengurusan izin desa, 18/2 Request material pararel perizinan desa,  16/2 Request material pa"&amp;"rarel perizinan desa, 13/2 Request material pararel perizinan desa, 12/2 Request material pararel perizinan desa, 11/2 Request material pararel perizinan desa, 10/2 Request material pararel perizinan desa, 9/2 menunggu boq kml survey incloude kebutuhan qe"&amp;", 6/2 menunggu boq kml survey incloude kebutuhan qe, 5/2 menunggu boq kml survey incloude kebutuhan qe,  3/2 menunggu boq kml survey incloude kebutuhan qe, 2/2 menunggu boq kml survey incloude kebutuhan qe,  1/2 menunggu boq kml hasil survey ( blm ada rep"&amp;"ort survey dan hasil otdr), 30/1 menunggu boq kml hasil survey ( blm ada report survey dan hasil otdr), 28/1 menunggu boq kml hasil survey ( blm ada report survey dan hasil otdr), 27/1 menunggu boq kml hasil survey ( blm ada report survey dan hasil otdr),"&amp;"  26/1 menunggu boq kml hasil survey ( blm ada report survey dan hasil otdr), 23/1 menunggu boq kml survey,  22/1 menunggu boq kml survey, 21/1 plan survey 22/1 , 20/1 plan survey 21/1, 19/1 plan survey 21/1, 15/1 plan survey 21/1, 14/1 prepair tim untuk "&amp;"penjadwalan survey,  13/01 penunjukan mitra, (12/01) feeder ODC PGA FD Habis, (07/01) Persiapan")</f>
        <v>27/4 team serial di lop tamba seribu, 23/4 tim partial di lop kis ff, 22/4 plan bsk lanjut progres, 21/4 prepair tim pengambilan material, 20/4 prepair tim pengambilan material, 16/4 prepair tim untuk pengambilan material, 15/4 prepair tim untuk pengambilan material (pengalihan dari mitra mai), 14/4 prepair tim untuk pengambilan material (pengalihan dari mitra mai), 13/4 mitra MAI menolak untuk lanjut progres, 9/4 mitra MAI menolak untuk lanjut progres, 8/4 mitra MAI menolak untuk lanjut progres, 6/4 plan est progres delivery besok apabila belum kunjung dikerjakan maka lop kita  alihkan kemitra lain, 5/4 menunggu mitra untuk pengambilan material, 1/4 menunggu mitra untuk pengambilan material, 31/3 menunggu mitra untuk pengambilan material, 30/3 menunggu pengambilan material, 27/3 plan pengambilan material senin 30 maret, 26/3 prepair tim untuk pengambilan material, 22/3 menunggu req kebutuhan matrial mitra, 18/3 menunggu req kebutuhan matrial mitra, 16/3 menunggu req kebutuhan matrial mitra, 13/3 ada nya kenaikan  nilai ditas 10 %, 12/3 ada nya kenaikan  nilai ditas 10 %, 11/3 menunggu info balasan surat izin dari pihak desa, 10/3 menunggu info balasan surat izin dari pihak desa, 6/3 menunggu info balasan surat izin dari pihak desa, 5/3 menunggu req matrial,  4/3 menunggu req matrial, 3/3 Hasil Diskusi ED Area- Region dan TA, pekerjaan Lanjut di eksekusi 2/3 kenaikan nilai diatas 10% butuh review ulang , 27/2 kenaikan nilai diatas 10% butuh review ulang, 25/2 menunggu surat balasan izin dari pihak polsek terkait izin tanam tiang,  24/2 menunggu surat balasan izin dari pihak polsek terkait izin tanam tiang, 20/2 req pengantar izin desa, 19/2 proses cek cpp paralel pengurusan izin desa, 18/2 Request material pararel perizinan desa,  16/2 Request material pararel perizinan desa, 13/2 Request material pararel perizinan desa, 12/2 Request material pararel perizinan desa, 11/2 Request material pararel perizinan desa, 10/2 Request material pararel perizinan desa, 9/2 menunggu boq kml survey incloude kebutuhan qe, 6/2 menunggu boq kml survey incloude kebutuhan qe, 5/2 menunggu boq kml survey incloude kebutuhan qe,  3/2 menunggu boq kml survey incloude kebutuhan qe, 2/2 menunggu boq kml survey incloude kebutuhan qe,  1/2 menunggu boq kml hasil survey ( blm ada report survey dan hasil otdr), 30/1 menunggu boq kml hasil survey ( blm ada report survey dan hasil otdr), 28/1 menunggu boq kml hasil survey ( blm ada report survey dan hasil otdr), 27/1 menunggu boq kml hasil survey ( blm ada report survey dan hasil otdr),  26/1 menunggu boq kml hasil survey ( blm ada report survey dan hasil otdr), 23/1 menunggu boq kml survey,  22/1 menunggu boq kml survey, 21/1 plan survey 22/1 , 20/1 plan survey 21/1, 19/1 plan survey 21/1, 15/1 plan survey 21/1, 14/1 prepair tim untuk penjadwalan survey,  13/01 penunjukan mitra, (12/01) feeder ODC PGA FD Habis, (07/01) Persiapan</v>
      </c>
      <c r="R1649" s="228">
        <f>IFERROR(__xludf.DUMMYFUNCTION("""COMPUTED_VALUE"""),46142.0)</f>
        <v>46142</v>
      </c>
      <c r="S1649" s="11"/>
      <c r="T1649" s="73"/>
      <c r="U1649" s="11" t="str">
        <f>IFERROR(__xludf.DUMMYFUNCTION("""COMPUTED_VALUE"""),"TIF-2857/2026")</f>
        <v>TIF-2857/2026</v>
      </c>
      <c r="V1649" s="229" t="str">
        <f>IFERROR(__xludf.DUMMYFUNCTION("""COMPUTED_VALUE"""),"16/Apr/2026")</f>
        <v>16/Apr/2026</v>
      </c>
      <c r="W1649" s="229"/>
      <c r="X1649" s="229" t="str">
        <f>IFERROR(__xludf.DUMMYFUNCTION("""COMPUTED_VALUE"""),"BELUM GOLIVE")</f>
        <v>BELUM GOLIVE</v>
      </c>
      <c r="Y1649" s="229" t="str">
        <f>IFERROR(__xludf.DUMMYFUNCTION("""COMPUTED_VALUE"""),"QE Feeder")</f>
        <v>QE Feeder</v>
      </c>
      <c r="Z1649" s="229" t="str">
        <f>IFERROR(__xludf.DUMMYFUNCTION("""COMPUTED_VALUE"""),"#N/A")</f>
        <v>#N/A</v>
      </c>
      <c r="AA1649" s="229"/>
      <c r="AB1649" s="229"/>
      <c r="AC1649" s="229"/>
      <c r="AD1649" s="232"/>
      <c r="AE1649" s="233"/>
      <c r="AF1649" s="54"/>
      <c r="AG1649" s="54"/>
      <c r="AH1649" s="54"/>
      <c r="AI1649" s="55" t="str">
        <f t="shared" si="162"/>
        <v/>
      </c>
      <c r="AW1649" s="234"/>
      <c r="BP1649" s="11"/>
      <c r="BQ1649" s="11"/>
      <c r="BR1649" s="235"/>
      <c r="BV1649" s="158"/>
      <c r="BY1649" s="158"/>
      <c r="CB1649" s="158"/>
    </row>
    <row r="1650" ht="18.0" hidden="1" customHeight="1">
      <c r="A1650" s="222">
        <f>IFERROR(__xludf.DUMMYFUNCTION("""COMPUTED_VALUE"""),2026.0)</f>
        <v>2026</v>
      </c>
      <c r="B1650" s="221">
        <f>IFERROR(__xludf.DUMMYFUNCTION("""COMPUTED_VALUE"""),1.1434777E7)</f>
        <v>11434777</v>
      </c>
      <c r="C1650" s="222" t="str">
        <f>IFERROR(__xludf.DUMMYFUNCTION("""COMPUTED_VALUE"""),"SMS PT3 PGA FD D09 PERUMAHAN CIRA")</f>
        <v>SMS PT3 PGA FD D09 PERUMAHAN CIRA</v>
      </c>
      <c r="D1650" s="222" t="str">
        <f>IFERROR(__xludf.DUMMYFUNCTION("""COMPUTED_VALUE"""),"REGIONAL I")</f>
        <v>REGIONAL I</v>
      </c>
      <c r="E1650" s="222" t="str">
        <f>IFERROR(__xludf.DUMMYFUNCTION("""COMPUTED_VALUE"""),"SUMSEL")</f>
        <v>SUMSEL</v>
      </c>
      <c r="F1650" s="222" t="str">
        <f>IFERROR(__xludf.DUMMYFUNCTION("""COMPUTED_VALUE"""),"PGA")</f>
        <v>PGA</v>
      </c>
      <c r="G1650" s="222" t="str">
        <f>IFERROR(__xludf.DUMMYFUNCTION("""COMPUTED_VALUE"""),"SUMBAGSEL")</f>
        <v>SUMBAGSEL</v>
      </c>
      <c r="H1650" s="222" t="str">
        <f>IFERROR(__xludf.DUMMYFUNCTION("""COMPUTED_VALUE"""),"BENGKULU")</f>
        <v>BENGKULU</v>
      </c>
      <c r="I1650" s="222" t="str">
        <f>IFERROR(__xludf.DUMMYFUNCTION("""COMPUTED_VALUE"""),"Batch 2")</f>
        <v>Batch 2</v>
      </c>
      <c r="J1650" s="225">
        <f>IFERROR(__xludf.DUMMYFUNCTION("""COMPUTED_VALUE"""),4.0)</f>
        <v>4</v>
      </c>
      <c r="K1650" s="224">
        <f>IFERROR(__xludf.DUMMYFUNCTION("""COMPUTED_VALUE"""),32.0)</f>
        <v>32</v>
      </c>
      <c r="L1650" s="226">
        <f>IFERROR(__xludf.DUMMYFUNCTION("""COMPUTED_VALUE"""),495121.0)</f>
        <v>495121</v>
      </c>
      <c r="M1650" s="227">
        <f>IFERROR(__xludf.DUMMYFUNCTION("""COMPUTED_VALUE"""),1.5843842E7)</f>
        <v>15843842</v>
      </c>
      <c r="N1650" s="222" t="str">
        <f>IFERROR(__xludf.DUMMYFUNCTION("""COMPUTED_VALUE"""),"PT Raharja Prakarsa Nusantara")</f>
        <v>PT Raharja Prakarsa Nusantara</v>
      </c>
      <c r="O1650" s="222" t="str">
        <f>IFERROR(__xludf.DUMMYFUNCTION("""COMPUTED_VALUE"""),"0. DROP")</f>
        <v>0. DROP</v>
      </c>
      <c r="P1650" s="222" t="str">
        <f>IFERROR(__xludf.DUMMYFUNCTION("""COMPUTED_VALUE"""),"0.2 Tidak Dapat Izin Warga/Kades/Lurah/Developer")</f>
        <v>0.2 Tidak Dapat Izin Warga/Kades/Lurah/Developer</v>
      </c>
      <c r="Q1650" s="222" t="str">
        <f>IFERROR(__xludf.DUMMYFUNCTION("""COMPUTED_VALUE"""),"10/03 tidak mendapatkan izin, 24/2 tidak mendapatkan izin  07/01 DROP kendala feeder habis (21/01) DROP, karena stub core feeder habis, (25/08) untuk feeder ODC PGA FD Habis, proposed drop
 (19/08) untuk feeder ODC PGA FD Habis, proposed drop
 (14/08) men"&amp;"unggu jadwal dari sales untuk aanwizjing
 (31/07) menunggu jadwal dari sales untuk aanwizjing
 (24/07) menunggu jadwal dari sales untuk aanwizjing
 (15/07) menunggu jadwal dari sales untuk aanwizjing
 (07/07) penunjukan mitra")</f>
        <v>10/03 tidak mendapatkan izin, 24/2 tidak mendapatkan izin  07/01 DROP kendala feeder habis (21/01) DROP, karena stub core feeder habis, (25/08) untuk feeder ODC PGA FD Habis, proposed drop
 (19/08) untuk feeder ODC PGA FD Habis, proposed drop
 (14/08) menunggu jadwal dari sales untuk aanwizjing
 (31/07) menunggu jadwal dari sales untuk aanwizjing
 (24/07) menunggu jadwal dari sales untuk aanwizjing
 (15/07) menunggu jadwal dari sales untuk aanwizjing
 (07/07) penunjukan mitra</v>
      </c>
      <c r="R1650" s="228"/>
      <c r="S1650" s="11"/>
      <c r="T1650" s="11"/>
      <c r="U1650" s="11"/>
      <c r="V1650" s="229" t="str">
        <f>IFERROR(__xludf.DUMMYFUNCTION("""COMPUTED_VALUE"""),"ILHAM")</f>
        <v>ILHAM</v>
      </c>
      <c r="W1650" s="229"/>
      <c r="X1650" s="229" t="str">
        <f>IFERROR(__xludf.DUMMYFUNCTION("""COMPUTED_VALUE"""),"BELUM GOLIVE")</f>
        <v>BELUM GOLIVE</v>
      </c>
      <c r="Y1650" s="229"/>
      <c r="Z1650" s="229" t="str">
        <f>IFERROR(__xludf.DUMMYFUNCTION("""COMPUTED_VALUE"""),"#N/A")</f>
        <v>#N/A</v>
      </c>
      <c r="AA1650" s="229"/>
      <c r="AB1650" s="229"/>
      <c r="AC1650" s="229"/>
      <c r="AD1650" s="232"/>
      <c r="AE1650" s="233"/>
      <c r="AF1650" s="54" t="str">
        <f>IFERROR(__xludf.DUMMYFUNCTION("""COMPUTED_VALUE"""),"Draft BA DROP")</f>
        <v>Draft BA DROP</v>
      </c>
      <c r="AG1650" s="54"/>
      <c r="AH1650" s="54"/>
      <c r="AI1650" s="55" t="str">
        <f t="shared" si="162"/>
        <v/>
      </c>
      <c r="AW1650" s="234"/>
      <c r="BP1650" s="11"/>
      <c r="BQ1650" s="11"/>
      <c r="BR1650" s="235"/>
      <c r="BV1650" s="158"/>
      <c r="BY1650" s="158"/>
      <c r="CB1650" s="158"/>
    </row>
    <row r="1651" ht="18.0" hidden="1" customHeight="1">
      <c r="A1651" s="222">
        <f>IFERROR(__xludf.DUMMYFUNCTION("""COMPUTED_VALUE"""),2026.0)</f>
        <v>2026</v>
      </c>
      <c r="B1651" s="221">
        <f>IFERROR(__xludf.DUMMYFUNCTION("""COMPUTED_VALUE"""),1.2386059E7)</f>
        <v>12386059</v>
      </c>
      <c r="C1651" s="222" t="str">
        <f>IFERROR(__xludf.DUMMYFUNCTION("""COMPUTED_VALUE"""),"SMS P4I3 PT3 BKS FBD D03 ORLANDO AVENUE")</f>
        <v>SMS P4I3 PT3 BKS FBD D03 ORLANDO AVENUE</v>
      </c>
      <c r="D1651" s="222" t="str">
        <f>IFERROR(__xludf.DUMMYFUNCTION("""COMPUTED_VALUE"""),"REGIONAL I")</f>
        <v>REGIONAL I</v>
      </c>
      <c r="E1651" s="222" t="str">
        <f>IFERROR(__xludf.DUMMYFUNCTION("""COMPUTED_VALUE"""),"SUMSEL")</f>
        <v>SUMSEL</v>
      </c>
      <c r="F1651" s="222" t="str">
        <f>IFERROR(__xludf.DUMMYFUNCTION("""COMPUTED_VALUE"""),"BKS")</f>
        <v>BKS</v>
      </c>
      <c r="G1651" s="222" t="str">
        <f>IFERROR(__xludf.DUMMYFUNCTION("""COMPUTED_VALUE"""),"SUMBAGSEL")</f>
        <v>SUMBAGSEL</v>
      </c>
      <c r="H1651" s="222" t="str">
        <f>IFERROR(__xludf.DUMMYFUNCTION("""COMPUTED_VALUE"""),"PALEMBANG")</f>
        <v>PALEMBANG</v>
      </c>
      <c r="I1651" s="222" t="str">
        <f>IFERROR(__xludf.DUMMYFUNCTION("""COMPUTED_VALUE"""),"Batch 2")</f>
        <v>Batch 2</v>
      </c>
      <c r="J1651" s="225">
        <f>IFERROR(__xludf.DUMMYFUNCTION("""COMPUTED_VALUE"""),2.0)</f>
        <v>2</v>
      </c>
      <c r="K1651" s="224">
        <f>IFERROR(__xludf.DUMMYFUNCTION("""COMPUTED_VALUE"""),16.0)</f>
        <v>16</v>
      </c>
      <c r="L1651" s="226">
        <f>IFERROR(__xludf.DUMMYFUNCTION("""COMPUTED_VALUE"""),490091.0)</f>
        <v>490091</v>
      </c>
      <c r="M1651" s="227">
        <f>IFERROR(__xludf.DUMMYFUNCTION("""COMPUTED_VALUE"""),7841444.0)</f>
        <v>7841444</v>
      </c>
      <c r="N1651" s="222" t="str">
        <f>IFERROR(__xludf.DUMMYFUNCTION("""COMPUTED_VALUE"""),"PT ACERO CETHA METALINDO")</f>
        <v>PT ACERO CETHA METALINDO</v>
      </c>
      <c r="O1651" s="222" t="str">
        <f>IFERROR(__xludf.DUMMYFUNCTION("""COMPUTED_VALUE"""),"0. DROP")</f>
        <v>0. DROP</v>
      </c>
      <c r="P1651" s="222" t="str">
        <f>IFERROR(__xludf.DUMMYFUNCTION("""COMPUTED_VALUE"""),"0.2 Tidak Dapat Izin Warga/Kades/Lurah/Developer")</f>
        <v>0.2 Tidak Dapat Izin Warga/Kades/Lurah/Developer</v>
      </c>
      <c r="Q1651" s="222" t="str">
        <f>IFERROR(__xludf.DUMMYFUNCTION("""COMPUTED_VALUE"""),"22/2 tidak mendapatkan izin  11/02 DROP, karena ada kenaikan boq sebesar 14% dari plan dan cpp 500 rb, 10/02 BUTUH CEK ULANG STUB CORE FEEDER DI ODC, 06/02 HASIL REVIEW TSEL PERLU CEK ULANG FEEDER - BLM ADA KEPUTUSAN, 03/02 DONE EVAL, CEK ULANG FEEDER DAN"&amp;" HITUNG NILAU QE NYA 04/02 DONE EVAL, CEK ULANG FEEDER DAN HITUNG NILAU QE NYA, 30/01 EVAL, 20/01 AANWIDJZING, (15/1) LOP STO BKS, MITRA GTM MENOLAK KARENA JARAK (14/11)HOLD- tidak masuk target Optimis 2025 (14/11 menunggu jadwal aanwidjzing, (11/11) Penu"&amp;"njukkan MITRA oleh Procurement 
 14/01 penunjukan mitra oleh procurement")</f>
        <v>22/2 tidak mendapatkan izin  11/02 DROP, karena ada kenaikan boq sebesar 14% dari plan dan cpp 500 rb, 10/02 BUTUH CEK ULANG STUB CORE FEEDER DI ODC, 06/02 HASIL REVIEW TSEL PERLU CEK ULANG FEEDER - BLM ADA KEPUTUSAN, 03/02 DONE EVAL, CEK ULANG FEEDER DAN HITUNG NILAU QE NYA 04/02 DONE EVAL, CEK ULANG FEEDER DAN HITUNG NILAU QE NYA, 30/01 EVAL, 20/01 AANWIDJZING, (15/1) LOP STO BKS, MITRA GTM MENOLAK KARENA JARAK (14/11)HOLD- tidak masuk target Optimis 2025 (14/11 menunggu jadwal aanwidjzing, (11/11) Penunjukkan MITRA oleh Procurement 
 14/01 penunjukan mitra oleh procurement</v>
      </c>
      <c r="R1651" s="228"/>
      <c r="S1651" s="11"/>
      <c r="T1651" s="11"/>
      <c r="U1651" s="11"/>
      <c r="V1651" s="229" t="str">
        <f>IFERROR(__xludf.DUMMYFUNCTION("""COMPUTED_VALUE"""),"PRIGUS")</f>
        <v>PRIGUS</v>
      </c>
      <c r="W1651" s="229"/>
      <c r="X1651" s="229" t="str">
        <f>IFERROR(__xludf.DUMMYFUNCTION("""COMPUTED_VALUE"""),"BELUM GOLIVE")</f>
        <v>BELUM GOLIVE</v>
      </c>
      <c r="Y1651" s="229"/>
      <c r="Z1651" s="229" t="str">
        <f>IFERROR(__xludf.DUMMYFUNCTION("""COMPUTED_VALUE"""),"#N/A")</f>
        <v>#N/A</v>
      </c>
      <c r="AA1651" s="229"/>
      <c r="AB1651" s="229"/>
      <c r="AC1651" s="229"/>
      <c r="AD1651" s="232"/>
      <c r="AE1651" s="233"/>
      <c r="AF1651" s="54" t="str">
        <f>IFERROR(__xludf.DUMMYFUNCTION("""COMPUTED_VALUE"""),"Draft BA DROP")</f>
        <v>Draft BA DROP</v>
      </c>
      <c r="AG1651" s="54"/>
      <c r="AH1651" s="54"/>
      <c r="AI1651" s="55" t="str">
        <f t="shared" si="162"/>
        <v/>
      </c>
      <c r="AW1651" s="234"/>
      <c r="BP1651" s="11"/>
      <c r="BQ1651" s="11"/>
      <c r="BR1651" s="235"/>
      <c r="BV1651" s="158"/>
      <c r="BY1651" s="158"/>
      <c r="CB1651" s="158"/>
    </row>
    <row r="1652" ht="18.0" hidden="1" customHeight="1">
      <c r="A1652" s="222">
        <f>IFERROR(__xludf.DUMMYFUNCTION("""COMPUTED_VALUE"""),2026.0)</f>
        <v>2026</v>
      </c>
      <c r="B1652" s="221">
        <f>IFERROR(__xludf.DUMMYFUNCTION("""COMPUTED_VALUE"""),1.2438798E7)</f>
        <v>12438798</v>
      </c>
      <c r="C1652" s="222" t="str">
        <f>IFERROR(__xludf.DUMMYFUNCTION("""COMPUTED_VALUE"""),"SMS P4I4 PT3 LHT FAM D03 MUARA MAUNG 2")</f>
        <v>SMS P4I4 PT3 LHT FAM D03 MUARA MAUNG 2</v>
      </c>
      <c r="D1652" s="222" t="str">
        <f>IFERROR(__xludf.DUMMYFUNCTION("""COMPUTED_VALUE"""),"REGIONAL I")</f>
        <v>REGIONAL I</v>
      </c>
      <c r="E1652" s="222" t="str">
        <f>IFERROR(__xludf.DUMMYFUNCTION("""COMPUTED_VALUE"""),"SUMSEL")</f>
        <v>SUMSEL</v>
      </c>
      <c r="F1652" s="222" t="str">
        <f>IFERROR(__xludf.DUMMYFUNCTION("""COMPUTED_VALUE"""),"LHT")</f>
        <v>LHT</v>
      </c>
      <c r="G1652" s="222" t="str">
        <f>IFERROR(__xludf.DUMMYFUNCTION("""COMPUTED_VALUE"""),"SUMBAGSEL")</f>
        <v>SUMBAGSEL</v>
      </c>
      <c r="H1652" s="222" t="str">
        <f>IFERROR(__xludf.DUMMYFUNCTION("""COMPUTED_VALUE"""),"BENGKULU")</f>
        <v>BENGKULU</v>
      </c>
      <c r="I1652" s="222" t="str">
        <f>IFERROR(__xludf.DUMMYFUNCTION("""COMPUTED_VALUE"""),"Batch 2")</f>
        <v>Batch 2</v>
      </c>
      <c r="J1652" s="225">
        <f>IFERROR(__xludf.DUMMYFUNCTION("""COMPUTED_VALUE"""),5.0)</f>
        <v>5</v>
      </c>
      <c r="K1652" s="224">
        <f>IFERROR(__xludf.DUMMYFUNCTION("""COMPUTED_VALUE"""),40.0)</f>
        <v>40</v>
      </c>
      <c r="L1652" s="226">
        <f>IFERROR(__xludf.DUMMYFUNCTION("""COMPUTED_VALUE"""),488410.0)</f>
        <v>488410</v>
      </c>
      <c r="M1652" s="227">
        <f>IFERROR(__xludf.DUMMYFUNCTION("""COMPUTED_VALUE"""),1.9536372E7)</f>
        <v>19536372</v>
      </c>
      <c r="N1652" s="222" t="str">
        <f>IFERROR(__xludf.DUMMYFUNCTION("""COMPUTED_VALUE"""),"PT GITA PRIMA TAMBA PERKASA")</f>
        <v>PT GITA PRIMA TAMBA PERKASA</v>
      </c>
      <c r="O1652" s="222" t="str">
        <f>IFERROR(__xludf.DUMMYFUNCTION("""COMPUTED_VALUE"""),"2. DONE AANWIJZING")</f>
        <v>2. DONE AANWIJZING</v>
      </c>
      <c r="P1652" s="222" t="str">
        <f>IFERROR(__xludf.DUMMYFUNCTION("""COMPUTED_VALUE"""),"2.5 Proses Create PID")</f>
        <v>2.5 Proses Create PID</v>
      </c>
      <c r="Q1652" s="222" t="str">
        <f>IFERROR(__xludf.DUMMYFUNCTION("""COMPUTED_VALUE"""),"27/04: Proses PR PO // 09/04 sdh lanjut progres , proses drm ke mitra, 08/04 Done Aanwidzing Menunggu evaluasi 31/03 PERGANTIAN MITRA DARI HANSUNG KE GPTP, 25/03 masih mencari core UPlink - belum ada info, 09/03 masih mencari core UPlink - belum ada info,"&amp;" 08/03 KOORDINASI DG MITRA TERKAIT LOP INI YG MASUK KE BENGKULU, 03/03 masih mencari core UPlink - belum ada info, 27/02masih mencari core UPlink, 24/02masih mencari core UPlink 22/2 masih mencari core UPlink 06/02 HASIL REVIEW TSEL BLM ADA KEPUTUSAN, 15/"&amp;"01 done aanwizjing 2025, mau berkoordinasi dg tif untuk lanjut tidak nya lokasi ini 31/1 update dikirim mitra 2 FEB, tim OGP cek ke lokasi 29/01 Mini OLT Not Ready perlu dipastikan ketersediaan uplink untuk request mini OLT, (24/1) menungggu kepastian cor"&amp;"e untuk UPlink , plan 26 Jan (21/01) done aanwizjing, menunggu kelanjutan dri TIF untuk lanjut pekerjaan ini, karena CSF dan masuk ke ruas pu nasional(12/01) menunggu kelanjutan dri TIF untuk lanjut pekerjaan ini, karena CSF dan masuk ke ruas pu nasional,"&amp;" (07/01) Persiapan (06/01)order JPP batch-2 2026 (04/11 hold (butuh mini olt) 5/10 aanwizjing done, pembuatan data update lapangan
 08/10 menunggu jadwal aanwizjing
 (01/10) menunggu jadwal aanwijzing
 14/01 sudah penunjukan mitra oleh procurement\")</f>
        <v>27/04: Proses PR PO // 09/04 sdh lanjut progres , proses drm ke mitra, 08/04 Done Aanwidzing Menunggu evaluasi 31/03 PERGANTIAN MITRA DARI HANSUNG KE GPTP, 25/03 masih mencari core UPlink - belum ada info, 09/03 masih mencari core UPlink - belum ada info, 08/03 KOORDINASI DG MITRA TERKAIT LOP INI YG MASUK KE BENGKULU, 03/03 masih mencari core UPlink - belum ada info, 27/02masih mencari core UPlink, 24/02masih mencari core UPlink 22/2 masih mencari core UPlink 06/02 HASIL REVIEW TSEL BLM ADA KEPUTUSAN, 15/01 done aanwizjing 2025, mau berkoordinasi dg tif untuk lanjut tidak nya lokasi ini 31/1 update dikirim mitra 2 FEB, tim OGP cek ke lokasi 29/01 Mini OLT Not Ready perlu dipastikan ketersediaan uplink untuk request mini OLT, (24/1) menungggu kepastian core untuk UPlink , plan 26 Jan (21/01) done aanwizjing, menunggu kelanjutan dri TIF untuk lanjut pekerjaan ini, karena CSF dan masuk ke ruas pu nasional(12/01) menunggu kelanjutan dri TIF untuk lanjut pekerjaan ini, karena CSF dan masuk ke ruas pu nasional, (07/01) Persiapan (06/01)order JPP batch-2 2026 (04/11 hold (butuh mini olt) 5/10 aanwizjing done, pembuatan data update lapangan
 08/10 menunggu jadwal aanwizjing
 (01/10) menunggu jadwal aanwijzing
 14/01 sudah penunjukan mitra oleh procurement\</v>
      </c>
      <c r="R1652" s="228"/>
      <c r="S1652" s="11"/>
      <c r="T1652" s="11"/>
      <c r="U1652" s="11"/>
      <c r="V1652" s="229" t="str">
        <f>IFERROR(__xludf.DUMMYFUNCTION("""COMPUTED_VALUE"""),"PUTRA")</f>
        <v>PUTRA</v>
      </c>
      <c r="W1652" s="229"/>
      <c r="X1652" s="229" t="str">
        <f>IFERROR(__xludf.DUMMYFUNCTION("""COMPUTED_VALUE"""),"BELUM GOLIVE")</f>
        <v>BELUM GOLIVE</v>
      </c>
      <c r="Y1652" s="229"/>
      <c r="Z1652" s="229" t="str">
        <f>IFERROR(__xludf.DUMMYFUNCTION("""COMPUTED_VALUE"""),"#N/A")</f>
        <v>#N/A</v>
      </c>
      <c r="AA1652" s="229"/>
      <c r="AB1652" s="229"/>
      <c r="AC1652" s="229"/>
      <c r="AD1652" s="232"/>
      <c r="AE1652" s="233"/>
      <c r="AF1652" s="54"/>
      <c r="AG1652" s="54"/>
      <c r="AH1652" s="54"/>
      <c r="AI1652" s="55" t="str">
        <f t="shared" si="162"/>
        <v/>
      </c>
      <c r="AW1652" s="234"/>
      <c r="BP1652" s="11"/>
      <c r="BQ1652" s="11"/>
      <c r="BR1652" s="235"/>
      <c r="BV1652" s="158"/>
      <c r="BY1652" s="158"/>
      <c r="CB1652" s="158"/>
    </row>
    <row r="1653" ht="18.0" customHeight="1">
      <c r="A1653" s="222">
        <f>IFERROR(__xludf.DUMMYFUNCTION("""COMPUTED_VALUE"""),2026.0)</f>
        <v>2026</v>
      </c>
      <c r="B1653" s="221">
        <f>IFERROR(__xludf.DUMMYFUNCTION("""COMPUTED_VALUE"""),1.1238618E7)</f>
        <v>11238618</v>
      </c>
      <c r="C1653" s="222" t="str">
        <f>IFERROR(__xludf.DUMMYFUNCTION("""COMPUTED_VALUE"""),"SMB P1I2 selvia nova")</f>
        <v>SMB P1I2 selvia nova</v>
      </c>
      <c r="D1653" s="222" t="str">
        <f>IFERROR(__xludf.DUMMYFUNCTION("""COMPUTED_VALUE"""),"REGIONAL I")</f>
        <v>REGIONAL I</v>
      </c>
      <c r="E1653" s="222" t="str">
        <f>IFERROR(__xludf.DUMMYFUNCTION("""COMPUTED_VALUE"""),"SUMBAR")</f>
        <v>SUMBAR</v>
      </c>
      <c r="F1653" s="222" t="str">
        <f>IFERROR(__xludf.DUMMYFUNCTION("""COMPUTED_VALUE"""),"BKT")</f>
        <v>BKT</v>
      </c>
      <c r="G1653" s="222" t="str">
        <f>IFERROR(__xludf.DUMMYFUNCTION("""COMPUTED_VALUE"""),"SUMBAGTENG")</f>
        <v>SUMBAGTENG</v>
      </c>
      <c r="H1653" s="222" t="str">
        <f>IFERROR(__xludf.DUMMYFUNCTION("""COMPUTED_VALUE"""),"BUKIT TINGGI")</f>
        <v>BUKIT TINGGI</v>
      </c>
      <c r="I1653" s="222" t="str">
        <f>IFERROR(__xludf.DUMMYFUNCTION("""COMPUTED_VALUE"""),"Batch 2")</f>
        <v>Batch 2</v>
      </c>
      <c r="J1653" s="225">
        <f>IFERROR(__xludf.DUMMYFUNCTION("""COMPUTED_VALUE"""),2.0)</f>
        <v>2</v>
      </c>
      <c r="K1653" s="224">
        <f>IFERROR(__xludf.DUMMYFUNCTION("""COMPUTED_VALUE"""),16.0)</f>
        <v>16</v>
      </c>
      <c r="L1653" s="226">
        <f>IFERROR(__xludf.DUMMYFUNCTION("""COMPUTED_VALUE"""),487677.0)</f>
        <v>487677</v>
      </c>
      <c r="M1653" s="227">
        <f>IFERROR(__xludf.DUMMYFUNCTION("""COMPUTED_VALUE"""),7802827.0)</f>
        <v>7802827</v>
      </c>
      <c r="N1653" s="222" t="str">
        <f>IFERROR(__xludf.DUMMYFUNCTION("""COMPUTED_VALUE"""),"PT GARINDO TECHNO MANDIRI")</f>
        <v>PT GARINDO TECHNO MANDIRI</v>
      </c>
      <c r="O1653" s="222" t="str">
        <f>IFERROR(__xludf.DUMMYFUNCTION("""COMPUTED_VALUE"""),"0. DROP")</f>
        <v>0. DROP</v>
      </c>
      <c r="P1653" s="222" t="str">
        <f>IFERROR(__xludf.DUMMYFUNCTION("""COMPUTED_VALUE"""),"0.5 DROP TSEL - Acc ED TIF")</f>
        <v>0.5 DROP TSEL - Acc ED TIF</v>
      </c>
      <c r="Q1653" s="222" t="str">
        <f>IFERROR(__xludf.DUMMYFUNCTION("""COMPUTED_VALUE"""),"(05/03) Doubel dengan MD SMB P7I13 Simp. SMP 3 Bukittinggi Bukit 07/03 (02/03) proses aanwijziing (26/01) DROP, permintaan tsel (tidak potensial) ")</f>
        <v>(05/03) Doubel dengan MD SMB P7I13 Simp. SMP 3 Bukittinggi Bukit 07/03 (02/03) proses aanwijziing (26/01) DROP, permintaan tsel (tidak potensial) </v>
      </c>
      <c r="R1653" s="228"/>
      <c r="S1653" s="11"/>
      <c r="T1653" s="11"/>
      <c r="U1653" s="11"/>
      <c r="V1653" s="229" t="str">
        <f>IFERROR(__xludf.DUMMYFUNCTION("""COMPUTED_VALUE"""),"DELPA YANDA")</f>
        <v>DELPA YANDA</v>
      </c>
      <c r="W1653" s="229" t="str">
        <f>IFERROR(__xludf.DUMMYFUNCTION("""COMPUTED_VALUE"""),"MELKO NARWADI")</f>
        <v>MELKO NARWADI</v>
      </c>
      <c r="X1653" s="229" t="str">
        <f>IFERROR(__xludf.DUMMYFUNCTION("""COMPUTED_VALUE"""),"BELUM GOLIVE")</f>
        <v>BELUM GOLIVE</v>
      </c>
      <c r="Y1653" s="229"/>
      <c r="Z1653" s="229" t="str">
        <f>IFERROR(__xludf.DUMMYFUNCTION("""COMPUTED_VALUE"""),"#N/A")</f>
        <v>#N/A</v>
      </c>
      <c r="AA1653" s="229"/>
      <c r="AB1653" s="229"/>
      <c r="AC1653" s="229"/>
      <c r="AD1653" s="232"/>
      <c r="AE1653" s="233"/>
      <c r="AF1653" s="54"/>
      <c r="AG1653" s="54"/>
      <c r="AH1653" s="54"/>
      <c r="AI1653" s="55" t="str">
        <f t="shared" si="162"/>
        <v/>
      </c>
      <c r="AW1653" s="234"/>
      <c r="BP1653" s="11"/>
      <c r="BQ1653" s="11"/>
      <c r="BR1653" s="235"/>
      <c r="BV1653" s="158"/>
      <c r="BY1653" s="158"/>
      <c r="CB1653" s="158"/>
    </row>
    <row r="1654" ht="18.0" hidden="1" customHeight="1">
      <c r="A1654" s="222">
        <f>IFERROR(__xludf.DUMMYFUNCTION("""COMPUTED_VALUE"""),2026.0)</f>
        <v>2026</v>
      </c>
      <c r="B1654" s="221">
        <f>IFERROR(__xludf.DUMMYFUNCTION("""COMPUTED_VALUE"""),1.1020514E7)</f>
        <v>11020514</v>
      </c>
      <c r="C1654" s="222" t="str">
        <f>IFERROR(__xludf.DUMMYFUNCTION("""COMPUTED_VALUE"""),"MDN PT3 P7I1 TMU-FE GG.KESEHATAN UJUNG")</f>
        <v>MDN PT3 P7I1 TMU-FE GG.KESEHATAN UJUNG</v>
      </c>
      <c r="D1654" s="222" t="str">
        <f>IFERROR(__xludf.DUMMYFUNCTION("""COMPUTED_VALUE"""),"REGIONAL I")</f>
        <v>REGIONAL I</v>
      </c>
      <c r="E1654" s="222" t="str">
        <f>IFERROR(__xludf.DUMMYFUNCTION("""COMPUTED_VALUE"""),"MEDAN")</f>
        <v>MEDAN</v>
      </c>
      <c r="F1654" s="222" t="str">
        <f>IFERROR(__xludf.DUMMYFUNCTION("""COMPUTED_VALUE"""),"TMU")</f>
        <v>TMU</v>
      </c>
      <c r="G1654" s="222" t="str">
        <f>IFERROR(__xludf.DUMMYFUNCTION("""COMPUTED_VALUE"""),"SUMBAGUT")</f>
        <v>SUMBAGUT</v>
      </c>
      <c r="H1654" s="222" t="str">
        <f>IFERROR(__xludf.DUMMYFUNCTION("""COMPUTED_VALUE"""),"MEDAN")</f>
        <v>MEDAN</v>
      </c>
      <c r="I1654" s="222" t="str">
        <f>IFERROR(__xludf.DUMMYFUNCTION("""COMPUTED_VALUE"""),"Batch 2")</f>
        <v>Batch 2</v>
      </c>
      <c r="J1654" s="225">
        <f>IFERROR(__xludf.DUMMYFUNCTION("""COMPUTED_VALUE"""),14.0)</f>
        <v>14</v>
      </c>
      <c r="K1654" s="224">
        <f>IFERROR(__xludf.DUMMYFUNCTION("""COMPUTED_VALUE"""),112.0)</f>
        <v>112</v>
      </c>
      <c r="L1654" s="226">
        <f>IFERROR(__xludf.DUMMYFUNCTION("""COMPUTED_VALUE"""),485807.0)</f>
        <v>485807</v>
      </c>
      <c r="M1654" s="227">
        <f>IFERROR(__xludf.DUMMYFUNCTION("""COMPUTED_VALUE"""),5.4410322E7)</f>
        <v>54410322</v>
      </c>
      <c r="N1654" s="222" t="str">
        <f>IFERROR(__xludf.DUMMYFUNCTION("""COMPUTED_VALUE"""),"PT UPENTEL INTERNASIONAL")</f>
        <v>PT UPENTEL INTERNASIONAL</v>
      </c>
      <c r="O1654" s="222" t="str">
        <f>IFERROR(__xludf.DUMMYFUNCTION("""COMPUTED_VALUE"""),"0. DROP")</f>
        <v>0. DROP</v>
      </c>
      <c r="P1654" s="222" t="str">
        <f>IFERROR(__xludf.DUMMYFUNCTION("""COMPUTED_VALUE"""),"0.3 Feeder Full")</f>
        <v>0.3 Feeder Full</v>
      </c>
      <c r="Q1654" s="222" t="str">
        <f>IFERROR(__xludf.DUMMYFUNCTION("""COMPUTED_VALUE"""),"16/10 Feeder Habis")</f>
        <v>16/10 Feeder Habis</v>
      </c>
      <c r="R1654" s="228"/>
      <c r="S1654" s="11"/>
      <c r="T1654" s="11"/>
      <c r="U1654" s="11"/>
      <c r="V1654" s="229"/>
      <c r="W1654" s="229"/>
      <c r="X1654" s="229" t="str">
        <f>IFERROR(__xludf.DUMMYFUNCTION("""COMPUTED_VALUE"""),"BELUM GOLIVE")</f>
        <v>BELUM GOLIVE</v>
      </c>
      <c r="Y1654" s="229"/>
      <c r="Z1654" s="229" t="str">
        <f>IFERROR(__xludf.DUMMYFUNCTION("""COMPUTED_VALUE"""),"#N/A")</f>
        <v>#N/A</v>
      </c>
      <c r="AA1654" s="229"/>
      <c r="AB1654" s="229"/>
      <c r="AC1654" s="229"/>
      <c r="AD1654" s="232"/>
      <c r="AE1654" s="233"/>
      <c r="AF1654" s="54"/>
      <c r="AG1654" s="54"/>
      <c r="AH1654" s="54"/>
      <c r="AI1654" s="55" t="str">
        <f t="shared" si="162"/>
        <v/>
      </c>
      <c r="AW1654" s="234"/>
      <c r="BP1654" s="11"/>
      <c r="BQ1654" s="11"/>
      <c r="BR1654" s="235"/>
      <c r="BV1654" s="158"/>
      <c r="BY1654" s="158"/>
      <c r="CB1654" s="158"/>
    </row>
    <row r="1655" ht="18.0" customHeight="1">
      <c r="A1655" s="222">
        <f>IFERROR(__xludf.DUMMYFUNCTION("""COMPUTED_VALUE"""),2026.0)</f>
        <v>2026</v>
      </c>
      <c r="B1655" s="221">
        <f>IFERROR(__xludf.DUMMYFUNCTION("""COMPUTED_VALUE"""),1.0997776E7)</f>
        <v>10997776</v>
      </c>
      <c r="C1655" s="222" t="str">
        <f>IFERROR(__xludf.DUMMYFUNCTION("""COMPUTED_VALUE"""),"SMB P7I3 graha tata bakti kp kandang 2")</f>
        <v>SMB P7I3 graha tata bakti kp kandang 2</v>
      </c>
      <c r="D1655" s="222" t="str">
        <f>IFERROR(__xludf.DUMMYFUNCTION("""COMPUTED_VALUE"""),"REGIONAL I")</f>
        <v>REGIONAL I</v>
      </c>
      <c r="E1655" s="222" t="str">
        <f>IFERROR(__xludf.DUMMYFUNCTION("""COMPUTED_VALUE"""),"SUMBAR")</f>
        <v>SUMBAR</v>
      </c>
      <c r="F1655" s="222" t="str">
        <f>IFERROR(__xludf.DUMMYFUNCTION("""COMPUTED_VALUE"""),"PAM")</f>
        <v>PAM</v>
      </c>
      <c r="G1655" s="222" t="str">
        <f>IFERROR(__xludf.DUMMYFUNCTION("""COMPUTED_VALUE"""),"SUMBAGTENG")</f>
        <v>SUMBAGTENG</v>
      </c>
      <c r="H1655" s="222" t="str">
        <f>IFERROR(__xludf.DUMMYFUNCTION("""COMPUTED_VALUE"""),"BUKIT TINGGI")</f>
        <v>BUKIT TINGGI</v>
      </c>
      <c r="I1655" s="222" t="str">
        <f>IFERROR(__xludf.DUMMYFUNCTION("""COMPUTED_VALUE"""),"Batch 2")</f>
        <v>Batch 2</v>
      </c>
      <c r="J1655" s="225">
        <f>IFERROR(__xludf.DUMMYFUNCTION("""COMPUTED_VALUE"""),6.0)</f>
        <v>6</v>
      </c>
      <c r="K1655" s="224">
        <f>IFERROR(__xludf.DUMMYFUNCTION("""COMPUTED_VALUE"""),48.0)</f>
        <v>48</v>
      </c>
      <c r="L1655" s="226">
        <f>IFERROR(__xludf.DUMMYFUNCTION("""COMPUTED_VALUE"""),485104.0)</f>
        <v>485104</v>
      </c>
      <c r="M1655" s="227">
        <f>IFERROR(__xludf.DUMMYFUNCTION("""COMPUTED_VALUE"""),2.3284966E7)</f>
        <v>23284966</v>
      </c>
      <c r="N1655" s="222" t="str">
        <f>IFERROR(__xludf.DUMMYFUNCTION("""COMPUTED_VALUE"""),"PT TRI LESMA INDONESIA")</f>
        <v>PT TRI LESMA INDONESIA</v>
      </c>
      <c r="O1655" s="222" t="str">
        <f>IFERROR(__xludf.DUMMYFUNCTION("""COMPUTED_VALUE"""),"8. UJI TERIMA")</f>
        <v>8. UJI TERIMA</v>
      </c>
      <c r="P1655" s="222" t="str">
        <f>IFERROR(__xludf.DUMMYFUNCTION("""COMPUTED_VALUE"""),"8.1 Proses UT")</f>
        <v>8.1 Proses UT</v>
      </c>
      <c r="Q1655" s="222" t="str">
        <f>IFERROR(__xludf.DUMMYFUNCTION("""COMPUTED_VALUE"""),"(08/01) MATDEL ke site  menunggu PID,  Menunggu PID untuk matdel, Menunggu PID untuk matdel, matdel ke site , matdel ke site 02/10, proses delivery material ke site, Menunggu Material dari Pabrik ke WH, proses aanwijzing selesai hari ini (07/01) Persiapan")</f>
        <v>(08/01) MATDEL ke site  menunggu PID,  Menunggu PID untuk matdel, Menunggu PID untuk matdel, matdel ke site , matdel ke site 02/10, proses delivery material ke site, Menunggu Material dari Pabrik ke WH, proses aanwijzing selesai hari ini (07/01) Persiapan</v>
      </c>
      <c r="R1655" s="228"/>
      <c r="S1655" s="11"/>
      <c r="T1655" s="11"/>
      <c r="U1655" s="11" t="str">
        <f>IFERROR(__xludf.DUMMYFUNCTION("""COMPUTED_VALUE"""),"W10-1751/2025 25KT03R158-0493")</f>
        <v>W10-1751/2025 25KT03R158-0493</v>
      </c>
      <c r="V1655" s="229" t="str">
        <f>IFERROR(__xludf.DUMMYFUNCTION("""COMPUTED_VALUE"""),"ALDI EFENDI")</f>
        <v>ALDI EFENDI</v>
      </c>
      <c r="W1655" s="229" t="str">
        <f>IFERROR(__xludf.DUMMYFUNCTION("""COMPUTED_VALUE"""),"MELKO NARWADI")</f>
        <v>MELKO NARWADI</v>
      </c>
      <c r="X1655" s="229" t="str">
        <f>IFERROR(__xludf.DUMMYFUNCTION("""COMPUTED_VALUE"""),"GOLIVE")</f>
        <v>GOLIVE</v>
      </c>
      <c r="Y1655" s="229" t="str">
        <f>IFERROR(__xludf.DUMMYFUNCTION("""COMPUTED_VALUE"""),"DONE")</f>
        <v>DONE</v>
      </c>
      <c r="Z1655" s="229" t="str">
        <f>IFERROR(__xludf.DUMMYFUNCTION("""COMPUTED_VALUE"""),"#N/A")</f>
        <v>#N/A</v>
      </c>
      <c r="AA1655" s="229">
        <f>IFERROR(__xludf.DUMMYFUNCTION("""COMPUTED_VALUE"""),6.0)</f>
        <v>6</v>
      </c>
      <c r="AB1655" s="229"/>
      <c r="AC1655" s="229" t="str">
        <f>IFERROR(__xludf.DUMMYFUNCTION("""COMPUTED_VALUE"""),"8973299#8973310")</f>
        <v>8973299#8973310</v>
      </c>
      <c r="AD1655" s="232">
        <f>IFERROR(__xludf.DUMMYFUNCTION("""COMPUTED_VALUE"""),48.0)</f>
        <v>48</v>
      </c>
      <c r="AE1655" s="233">
        <f>IFERROR(__xludf.DUMMYFUNCTION("""COMPUTED_VALUE"""),46038.0)</f>
        <v>46038</v>
      </c>
      <c r="AF1655" s="54"/>
      <c r="AG1655" s="54"/>
      <c r="AH1655" s="54"/>
      <c r="AI1655" s="55" t="str">
        <f t="shared" si="162"/>
        <v/>
      </c>
      <c r="AW1655" s="234"/>
      <c r="BP1655" s="11"/>
      <c r="BQ1655" s="11"/>
      <c r="BR1655" s="235"/>
      <c r="BV1655" s="158"/>
      <c r="BY1655" s="158"/>
      <c r="CB1655" s="158"/>
    </row>
    <row r="1656" ht="18.0" customHeight="1">
      <c r="A1656" s="222">
        <f>IFERROR(__xludf.DUMMYFUNCTION("""COMPUTED_VALUE"""),2026.0)</f>
        <v>2026</v>
      </c>
      <c r="B1656" s="221">
        <f>IFERROR(__xludf.DUMMYFUNCTION("""COMPUTED_VALUE"""),1.1393532E7)</f>
        <v>11393532</v>
      </c>
      <c r="C1656" s="222" t="str">
        <f>IFERROR(__xludf.DUMMYFUNCTION("""COMPUTED_VALUE"""),"SMB MD KOTA PADANG_11435")</f>
        <v>SMB MD KOTA PADANG_11435</v>
      </c>
      <c r="D1656" s="222" t="str">
        <f>IFERROR(__xludf.DUMMYFUNCTION("""COMPUTED_VALUE"""),"REGIONAL I")</f>
        <v>REGIONAL I</v>
      </c>
      <c r="E1656" s="222" t="str">
        <f>IFERROR(__xludf.DUMMYFUNCTION("""COMPUTED_VALUE"""),"SUMBAR")</f>
        <v>SUMBAR</v>
      </c>
      <c r="F1656" s="222" t="str">
        <f>IFERROR(__xludf.DUMMYFUNCTION("""COMPUTED_VALUE"""),"KJI")</f>
        <v>KJI</v>
      </c>
      <c r="G1656" s="222" t="str">
        <f>IFERROR(__xludf.DUMMYFUNCTION("""COMPUTED_VALUE"""),"SUMBAGTENG")</f>
        <v>SUMBAGTENG</v>
      </c>
      <c r="H1656" s="222" t="str">
        <f>IFERROR(__xludf.DUMMYFUNCTION("""COMPUTED_VALUE"""),"PADANG")</f>
        <v>PADANG</v>
      </c>
      <c r="I1656" s="222" t="str">
        <f>IFERROR(__xludf.DUMMYFUNCTION("""COMPUTED_VALUE"""),"Batch 2")</f>
        <v>Batch 2</v>
      </c>
      <c r="J1656" s="225">
        <f>IFERROR(__xludf.DUMMYFUNCTION("""COMPUTED_VALUE"""),4.0)</f>
        <v>4</v>
      </c>
      <c r="K1656" s="224">
        <f>IFERROR(__xludf.DUMMYFUNCTION("""COMPUTED_VALUE"""),32.0)</f>
        <v>32</v>
      </c>
      <c r="L1656" s="226">
        <f>IFERROR(__xludf.DUMMYFUNCTION("""COMPUTED_VALUE"""),484970.0)</f>
        <v>484970</v>
      </c>
      <c r="M1656" s="227">
        <f>IFERROR(__xludf.DUMMYFUNCTION("""COMPUTED_VALUE"""),1.5519033E7)</f>
        <v>15519033</v>
      </c>
      <c r="N1656" s="222" t="str">
        <f>IFERROR(__xludf.DUMMYFUNCTION("""COMPUTED_VALUE"""),"PT TRI PENAMAS")</f>
        <v>PT TRI PENAMAS</v>
      </c>
      <c r="O1656" s="222" t="str">
        <f>IFERROR(__xludf.DUMMYFUNCTION("""COMPUTED_VALUE"""),"4. MATDEL")</f>
        <v>4. MATDEL</v>
      </c>
      <c r="P1656" s="222" t="str">
        <f>IFERROR(__xludf.DUMMYFUNCTION("""COMPUTED_VALUE"""),"4.4 Proses Pengiriman Pabribak ke WH")</f>
        <v>4.4 Proses Pengiriman Pabribak ke WH</v>
      </c>
      <c r="Q1656" s="222" t="str">
        <f>IFERROR(__xludf.DUMMYFUNCTION("""COMPUTED_VALUE"""),"(27/04) menunggu PO kabel 24 ADSS (20/04) sudah aanwijziing, proses eval  (10/04) Proses aanwijziing , LOP HOLD FEEDER FULL ACC GO (21/01) KENDALA FEEDER KJI-FL FULL (07/01) Persiapan")</f>
        <v>(27/04) menunggu PO kabel 24 ADSS (20/04) sudah aanwijziing, proses eval  (10/04) Proses aanwijziing , LOP HOLD FEEDER FULL ACC GO (21/01) KENDALA FEEDER KJI-FL FULL (07/01) Persiapan</v>
      </c>
      <c r="R1656" s="228"/>
      <c r="S1656" s="11"/>
      <c r="T1656" s="11"/>
      <c r="U1656" s="11"/>
      <c r="V1656" s="229" t="str">
        <f>IFERROR(__xludf.DUMMYFUNCTION("""COMPUTED_VALUE"""),"FABIO RAHMAN")</f>
        <v>FABIO RAHMAN</v>
      </c>
      <c r="W1656" s="229" t="str">
        <f>IFERROR(__xludf.DUMMYFUNCTION("""COMPUTED_VALUE"""),"MELKO NARWADI")</f>
        <v>MELKO NARWADI</v>
      </c>
      <c r="X1656" s="229" t="str">
        <f>IFERROR(__xludf.DUMMYFUNCTION("""COMPUTED_VALUE"""),"BELUM GOLIVE")</f>
        <v>BELUM GOLIVE</v>
      </c>
      <c r="Y1656" s="229"/>
      <c r="Z1656" s="229" t="str">
        <f>IFERROR(__xludf.DUMMYFUNCTION("""COMPUTED_VALUE"""),"#N/A")</f>
        <v>#N/A</v>
      </c>
      <c r="AA1656" s="229"/>
      <c r="AB1656" s="229"/>
      <c r="AC1656" s="229"/>
      <c r="AD1656" s="232"/>
      <c r="AE1656" s="233"/>
      <c r="AF1656" s="54"/>
      <c r="AG1656" s="54"/>
      <c r="AH1656" s="54"/>
      <c r="AI1656" s="55" t="str">
        <f t="shared" si="162"/>
        <v/>
      </c>
      <c r="AW1656" s="234"/>
      <c r="BP1656" s="11"/>
      <c r="BQ1656" s="11"/>
      <c r="BR1656" s="235"/>
      <c r="BV1656" s="158"/>
      <c r="BY1656" s="158"/>
      <c r="CB1656" s="158"/>
    </row>
    <row r="1657" ht="18.0" customHeight="1">
      <c r="A1657" s="222">
        <f>IFERROR(__xludf.DUMMYFUNCTION("""COMPUTED_VALUE"""),2026.0)</f>
        <v>2026</v>
      </c>
      <c r="B1657" s="221">
        <f>IFERROR(__xludf.DUMMYFUNCTION("""COMPUTED_VALUE"""),1.138889E7)</f>
        <v>11388890</v>
      </c>
      <c r="C1657" s="222" t="str">
        <f>IFERROR(__xludf.DUMMYFUNCTION("""COMPUTED_VALUE"""),"SMB MD KOTA PADANG_17083")</f>
        <v>SMB MD KOTA PADANG_17083</v>
      </c>
      <c r="D1657" s="222" t="str">
        <f>IFERROR(__xludf.DUMMYFUNCTION("""COMPUTED_VALUE"""),"REGIONAL I")</f>
        <v>REGIONAL I</v>
      </c>
      <c r="E1657" s="222" t="str">
        <f>IFERROR(__xludf.DUMMYFUNCTION("""COMPUTED_VALUE"""),"SUMBAR")</f>
        <v>SUMBAR</v>
      </c>
      <c r="F1657" s="222" t="str">
        <f>IFERROR(__xludf.DUMMYFUNCTION("""COMPUTED_VALUE"""),"BDT")</f>
        <v>BDT</v>
      </c>
      <c r="G1657" s="222" t="str">
        <f>IFERROR(__xludf.DUMMYFUNCTION("""COMPUTED_VALUE"""),"SUMBAGTENG")</f>
        <v>SUMBAGTENG</v>
      </c>
      <c r="H1657" s="222" t="str">
        <f>IFERROR(__xludf.DUMMYFUNCTION("""COMPUTED_VALUE"""),"PADANG")</f>
        <v>PADANG</v>
      </c>
      <c r="I1657" s="222" t="str">
        <f>IFERROR(__xludf.DUMMYFUNCTION("""COMPUTED_VALUE"""),"Batch 2")</f>
        <v>Batch 2</v>
      </c>
      <c r="J1657" s="225">
        <f>IFERROR(__xludf.DUMMYFUNCTION("""COMPUTED_VALUE"""),4.0)</f>
        <v>4</v>
      </c>
      <c r="K1657" s="224">
        <f>IFERROR(__xludf.DUMMYFUNCTION("""COMPUTED_VALUE"""),32.0)</f>
        <v>32</v>
      </c>
      <c r="L1657" s="226">
        <f>IFERROR(__xludf.DUMMYFUNCTION("""COMPUTED_VALUE"""),482963.0)</f>
        <v>482963</v>
      </c>
      <c r="M1657" s="227">
        <f>IFERROR(__xludf.DUMMYFUNCTION("""COMPUTED_VALUE"""),1.5454791E7)</f>
        <v>15454791</v>
      </c>
      <c r="N1657" s="222" t="str">
        <f>IFERROR(__xludf.DUMMYFUNCTION("""COMPUTED_VALUE"""),"PT UPAYA TEKNIK")</f>
        <v>PT UPAYA TEKNIK</v>
      </c>
      <c r="O1657" s="222" t="str">
        <f>IFERROR(__xludf.DUMMYFUNCTION("""COMPUTED_VALUE"""),"0. DROP")</f>
        <v>0. DROP</v>
      </c>
      <c r="P1657" s="222" t="str">
        <f>IFERROR(__xludf.DUMMYFUNCTION("""COMPUTED_VALUE"""),"0.3 Feeder Full")</f>
        <v>0.3 Feeder Full</v>
      </c>
      <c r="Q1657" s="222" t="str">
        <f>IFERROR(__xludf.DUMMYFUNCTION("""COMPUTED_VALUE"""),"(27/01 ) KENDALA FEEDER BDT-FA FULL")</f>
        <v>(27/01 ) KENDALA FEEDER BDT-FA FULL</v>
      </c>
      <c r="R1657" s="228"/>
      <c r="S1657" s="11"/>
      <c r="T1657" s="11"/>
      <c r="U1657" s="11"/>
      <c r="V1657" s="229"/>
      <c r="W1657" s="229"/>
      <c r="X1657" s="229" t="str">
        <f>IFERROR(__xludf.DUMMYFUNCTION("""COMPUTED_VALUE"""),"BELUM GOLIVE")</f>
        <v>BELUM GOLIVE</v>
      </c>
      <c r="Y1657" s="229"/>
      <c r="Z1657" s="229" t="str">
        <f>IFERROR(__xludf.DUMMYFUNCTION("""COMPUTED_VALUE"""),"#N/A")</f>
        <v>#N/A</v>
      </c>
      <c r="AA1657" s="229"/>
      <c r="AB1657" s="229"/>
      <c r="AC1657" s="229"/>
      <c r="AD1657" s="232"/>
      <c r="AE1657" s="233"/>
      <c r="AF1657" s="54" t="str">
        <f>IFERROR(__xludf.DUMMYFUNCTION("""COMPUTED_VALUE"""),"Draft BA DROP")</f>
        <v>Draft BA DROP</v>
      </c>
      <c r="AG1657" s="54"/>
      <c r="AH1657" s="54"/>
      <c r="AI1657" s="55" t="str">
        <f t="shared" si="162"/>
        <v/>
      </c>
      <c r="AW1657" s="234"/>
      <c r="BP1657" s="11"/>
      <c r="BQ1657" s="11"/>
      <c r="BR1657" s="235"/>
      <c r="BV1657" s="158"/>
      <c r="BY1657" s="158"/>
      <c r="CB1657" s="158"/>
    </row>
    <row r="1658" ht="18.0" customHeight="1">
      <c r="A1658" s="222">
        <f>IFERROR(__xludf.DUMMYFUNCTION("""COMPUTED_VALUE"""),2026.0)</f>
        <v>2026</v>
      </c>
      <c r="B1658" s="221">
        <f>IFERROR(__xludf.DUMMYFUNCTION("""COMPUTED_VALUE"""),1.1151234E7)</f>
        <v>11151234</v>
      </c>
      <c r="C1658" s="222" t="str">
        <f>IFERROR(__xludf.DUMMYFUNCTION("""COMPUTED_VALUE"""),"SMB P1I1 Perumahan Jaya Lestari 7 Batu")</f>
        <v>SMB P1I1 Perumahan Jaya Lestari 7 Batu</v>
      </c>
      <c r="D1658" s="222" t="str">
        <f>IFERROR(__xludf.DUMMYFUNCTION("""COMPUTED_VALUE"""),"REGIONAL I")</f>
        <v>REGIONAL I</v>
      </c>
      <c r="E1658" s="222" t="str">
        <f>IFERROR(__xludf.DUMMYFUNCTION("""COMPUTED_VALUE"""),"SUMBAR")</f>
        <v>SUMBAR</v>
      </c>
      <c r="F1658" s="222" t="str">
        <f>IFERROR(__xludf.DUMMYFUNCTION("""COMPUTED_VALUE"""),"LBB")</f>
        <v>LBB</v>
      </c>
      <c r="G1658" s="222" t="str">
        <f>IFERROR(__xludf.DUMMYFUNCTION("""COMPUTED_VALUE"""),"SUMBAGTENG")</f>
        <v>SUMBAGTENG</v>
      </c>
      <c r="H1658" s="222" t="str">
        <f>IFERROR(__xludf.DUMMYFUNCTION("""COMPUTED_VALUE"""),"BUKIT TINGGI")</f>
        <v>BUKIT TINGGI</v>
      </c>
      <c r="I1658" s="222" t="str">
        <f>IFERROR(__xludf.DUMMYFUNCTION("""COMPUTED_VALUE"""),"Batch 2")</f>
        <v>Batch 2</v>
      </c>
      <c r="J1658" s="225">
        <f>IFERROR(__xludf.DUMMYFUNCTION("""COMPUTED_VALUE"""),2.0)</f>
        <v>2</v>
      </c>
      <c r="K1658" s="224">
        <f>IFERROR(__xludf.DUMMYFUNCTION("""COMPUTED_VALUE"""),16.0)</f>
        <v>16</v>
      </c>
      <c r="L1658" s="226">
        <f>IFERROR(__xludf.DUMMYFUNCTION("""COMPUTED_VALUE"""),482069.0)</f>
        <v>482069</v>
      </c>
      <c r="M1658" s="227">
        <f>IFERROR(__xludf.DUMMYFUNCTION("""COMPUTED_VALUE"""),7713099.0)</f>
        <v>7713099</v>
      </c>
      <c r="N1658" s="222" t="str">
        <f>IFERROR(__xludf.DUMMYFUNCTION("""COMPUTED_VALUE"""),"PT TIGA AKSES MANDIRI")</f>
        <v>PT TIGA AKSES MANDIRI</v>
      </c>
      <c r="O1658" s="222" t="str">
        <f>IFERROR(__xludf.DUMMYFUNCTION("""COMPUTED_VALUE"""),"0. DROP")</f>
        <v>0. DROP</v>
      </c>
      <c r="P1658" s="222" t="str">
        <f>IFERROR(__xludf.DUMMYFUNCTION("""COMPUTED_VALUE"""),"0.4 CPP Tinggi Acc ED TIF")</f>
        <v>0.4 CPP Tinggi Acc ED TIF</v>
      </c>
      <c r="Q1658" s="222" t="str">
        <f>IFERROR(__xludf.DUMMYFUNCTION("""COMPUTED_VALUE"""),"(27/01)  kendala Dist 2 LBB-FE FULL ")</f>
        <v>(27/01)  kendala Dist 2 LBB-FE FULL </v>
      </c>
      <c r="R1658" s="228"/>
      <c r="S1658" s="11"/>
      <c r="T1658" s="11"/>
      <c r="U1658" s="11"/>
      <c r="V1658" s="229"/>
      <c r="W1658" s="229"/>
      <c r="X1658" s="229" t="str">
        <f>IFERROR(__xludf.DUMMYFUNCTION("""COMPUTED_VALUE"""),"BELUM GOLIVE")</f>
        <v>BELUM GOLIVE</v>
      </c>
      <c r="Y1658" s="229"/>
      <c r="Z1658" s="229" t="str">
        <f>IFERROR(__xludf.DUMMYFUNCTION("""COMPUTED_VALUE"""),"#N/A")</f>
        <v>#N/A</v>
      </c>
      <c r="AA1658" s="229"/>
      <c r="AB1658" s="229"/>
      <c r="AC1658" s="229"/>
      <c r="AD1658" s="232"/>
      <c r="AE1658" s="233"/>
      <c r="AF1658" s="54"/>
      <c r="AG1658" s="54"/>
      <c r="AH1658" s="54"/>
      <c r="AI1658" s="55" t="str">
        <f t="shared" si="162"/>
        <v/>
      </c>
      <c r="AW1658" s="234"/>
      <c r="BP1658" s="11"/>
      <c r="BQ1658" s="11"/>
      <c r="BR1658" s="235"/>
      <c r="BV1658" s="158"/>
      <c r="BY1658" s="158"/>
      <c r="CB1658" s="158"/>
    </row>
    <row r="1659" ht="18.0" hidden="1" customHeight="1">
      <c r="A1659" s="222">
        <f>IFERROR(__xludf.DUMMYFUNCTION("""COMPUTED_VALUE"""),2026.0)</f>
        <v>2026</v>
      </c>
      <c r="B1659" s="221">
        <f>IFERROR(__xludf.DUMMYFUNCTION("""COMPUTED_VALUE"""),1.1536093E7)</f>
        <v>11536093</v>
      </c>
      <c r="C1659" s="222" t="str">
        <f>IFERROR(__xludf.DUMMYFUNCTION("""COMPUTED_VALUE"""),"MDN PT3 CTD-FQ JL.GEREJA")</f>
        <v>MDN PT3 CTD-FQ JL.GEREJA</v>
      </c>
      <c r="D1659" s="222" t="str">
        <f>IFERROR(__xludf.DUMMYFUNCTION("""COMPUTED_VALUE"""),"REGIONAL I")</f>
        <v>REGIONAL I</v>
      </c>
      <c r="E1659" s="222" t="str">
        <f>IFERROR(__xludf.DUMMYFUNCTION("""COMPUTED_VALUE"""),"MEDAN")</f>
        <v>MEDAN</v>
      </c>
      <c r="F1659" s="222" t="str">
        <f>IFERROR(__xludf.DUMMYFUNCTION("""COMPUTED_VALUE"""),"CTD")</f>
        <v>CTD</v>
      </c>
      <c r="G1659" s="222" t="str">
        <f>IFERROR(__xludf.DUMMYFUNCTION("""COMPUTED_VALUE"""),"SUMBAGUT")</f>
        <v>SUMBAGUT</v>
      </c>
      <c r="H1659" s="222" t="str">
        <f>IFERROR(__xludf.DUMMYFUNCTION("""COMPUTED_VALUE"""),"MEDAN")</f>
        <v>MEDAN</v>
      </c>
      <c r="I1659" s="222" t="str">
        <f>IFERROR(__xludf.DUMMYFUNCTION("""COMPUTED_VALUE"""),"Batch 2")</f>
        <v>Batch 2</v>
      </c>
      <c r="J1659" s="225">
        <f>IFERROR(__xludf.DUMMYFUNCTION("""COMPUTED_VALUE"""),3.0)</f>
        <v>3</v>
      </c>
      <c r="K1659" s="224">
        <f>IFERROR(__xludf.DUMMYFUNCTION("""COMPUTED_VALUE"""),24.0)</f>
        <v>24</v>
      </c>
      <c r="L1659" s="226">
        <f>IFERROR(__xludf.DUMMYFUNCTION("""COMPUTED_VALUE"""),657202.0)</f>
        <v>657202</v>
      </c>
      <c r="M1659" s="227">
        <f>IFERROR(__xludf.DUMMYFUNCTION("""COMPUTED_VALUE"""),1.5772837E7)</f>
        <v>15772837</v>
      </c>
      <c r="N1659" s="222" t="str">
        <f>IFERROR(__xludf.DUMMYFUNCTION("""COMPUTED_VALUE"""),"PT MILFHA MUTIARA PRIMA")</f>
        <v>PT MILFHA MUTIARA PRIMA</v>
      </c>
      <c r="O1659" s="222" t="str">
        <f>IFERROR(__xludf.DUMMYFUNCTION("""COMPUTED_VALUE"""),"7. GOLIVE")</f>
        <v>7. GOLIVE</v>
      </c>
      <c r="P1659" s="222" t="str">
        <f>IFERROR(__xludf.DUMMYFUNCTION("""COMPUTED_VALUE"""),"7.2 Golive Full / OA / DONE OTB")</f>
        <v>7.2 Golive Full / OA / DONE OTB</v>
      </c>
      <c r="Q1659" s="222" t="str">
        <f>IFERROR(__xludf.DUMMYFUNCTION("""COMPUTED_VALUE"""),"09/02 Pemasangan aksesoris 03/04 Penarikan Kabel (08/01) Proses aanwijziing (07/01) Persiapan")</f>
        <v>09/02 Pemasangan aksesoris 03/04 Penarikan Kabel (08/01) Proses aanwijziing (07/01) Persiapan</v>
      </c>
      <c r="R1659" s="228">
        <f>IFERROR(__xludf.DUMMYFUNCTION("""COMPUTED_VALUE"""),46067.0)</f>
        <v>46067</v>
      </c>
      <c r="S1659" s="11"/>
      <c r="T1659" s="11"/>
      <c r="U1659" s="11" t="str">
        <f>IFERROR(__xludf.DUMMYFUNCTION("""COMPUTED_VALUE"""),"W01-2047/2025")</f>
        <v>W01-2047/2025</v>
      </c>
      <c r="V1659" s="229"/>
      <c r="W1659" s="229"/>
      <c r="X1659" s="229" t="str">
        <f>IFERROR(__xludf.DUMMYFUNCTION("""COMPUTED_VALUE"""),"GOLIVE")</f>
        <v>GOLIVE</v>
      </c>
      <c r="Y1659" s="229" t="str">
        <f>IFERROR(__xludf.DUMMYFUNCTION("""COMPUTED_VALUE"""),"DONE")</f>
        <v>DONE</v>
      </c>
      <c r="Z1659" s="229" t="str">
        <f>IFERROR(__xludf.DUMMYFUNCTION("""COMPUTED_VALUE"""),"#N/A")</f>
        <v>#N/A</v>
      </c>
      <c r="AA1659" s="229">
        <f>IFERROR(__xludf.DUMMYFUNCTION("""COMPUTED_VALUE"""),3.0)</f>
        <v>3</v>
      </c>
      <c r="AB1659" s="229"/>
      <c r="AC1659" s="229" t="str">
        <f>IFERROR(__xludf.DUMMYFUNCTION("""COMPUTED_VALUE"""),"9107370#9107376")</f>
        <v>9107370#9107376</v>
      </c>
      <c r="AD1659" s="232">
        <f>IFERROR(__xludf.DUMMYFUNCTION("""COMPUTED_VALUE"""),24.0)</f>
        <v>24</v>
      </c>
      <c r="AE1659" s="233">
        <f>IFERROR(__xludf.DUMMYFUNCTION("""COMPUTED_VALUE"""),46067.0)</f>
        <v>46067</v>
      </c>
      <c r="AF1659" s="54"/>
      <c r="AG1659" s="54"/>
      <c r="AH1659" s="54">
        <v>46067.0</v>
      </c>
      <c r="AI1659" s="55">
        <f t="shared" si="162"/>
        <v>0</v>
      </c>
      <c r="AW1659" s="234"/>
      <c r="BP1659" s="11"/>
      <c r="BQ1659" s="11"/>
      <c r="BR1659" s="235"/>
      <c r="BV1659" s="158"/>
      <c r="BY1659" s="158"/>
      <c r="CB1659" s="158"/>
    </row>
    <row r="1660" ht="18.0" customHeight="1">
      <c r="A1660" s="222">
        <f>IFERROR(__xludf.DUMMYFUNCTION("""COMPUTED_VALUE"""),2026.0)</f>
        <v>2026</v>
      </c>
      <c r="B1660" s="221">
        <f>IFERROR(__xludf.DUMMYFUNCTION("""COMPUTED_VALUE"""),1.2496201E7)</f>
        <v>12496201</v>
      </c>
      <c r="C1660" s="222" t="str">
        <f>IFERROR(__xludf.DUMMYFUNCTION("""COMPUTED_VALUE"""),"SMB PT3-BSO-FC AGAM_151437_H2_2025")</f>
        <v>SMB PT3-BSO-FC AGAM_151437_H2_2025</v>
      </c>
      <c r="D1660" s="222" t="str">
        <f>IFERROR(__xludf.DUMMYFUNCTION("""COMPUTED_VALUE"""),"REGIONAL I")</f>
        <v>REGIONAL I</v>
      </c>
      <c r="E1660" s="222" t="str">
        <f>IFERROR(__xludf.DUMMYFUNCTION("""COMPUTED_VALUE"""),"SUMBAR")</f>
        <v>SUMBAR</v>
      </c>
      <c r="F1660" s="222" t="str">
        <f>IFERROR(__xludf.DUMMYFUNCTION("""COMPUTED_VALUE"""),"BSO")</f>
        <v>BSO</v>
      </c>
      <c r="G1660" s="222" t="str">
        <f>IFERROR(__xludf.DUMMYFUNCTION("""COMPUTED_VALUE"""),"SUMBAGTENG")</f>
        <v>SUMBAGTENG</v>
      </c>
      <c r="H1660" s="222" t="str">
        <f>IFERROR(__xludf.DUMMYFUNCTION("""COMPUTED_VALUE"""),"BUKIT TINGGI")</f>
        <v>BUKIT TINGGI</v>
      </c>
      <c r="I1660" s="222" t="str">
        <f>IFERROR(__xludf.DUMMYFUNCTION("""COMPUTED_VALUE"""),"Batch 2")</f>
        <v>Batch 2</v>
      </c>
      <c r="J1660" s="225">
        <f>IFERROR(__xludf.DUMMYFUNCTION("""COMPUTED_VALUE"""),5.0)</f>
        <v>5</v>
      </c>
      <c r="K1660" s="224">
        <f>IFERROR(__xludf.DUMMYFUNCTION("""COMPUTED_VALUE"""),40.0)</f>
        <v>40</v>
      </c>
      <c r="L1660" s="226">
        <f>IFERROR(__xludf.DUMMYFUNCTION("""COMPUTED_VALUE"""),478176.0)</f>
        <v>478176</v>
      </c>
      <c r="M1660" s="227">
        <f>IFERROR(__xludf.DUMMYFUNCTION("""COMPUTED_VALUE"""),1.912703E7)</f>
        <v>19127030</v>
      </c>
      <c r="N1660" s="222" t="str">
        <f>IFERROR(__xludf.DUMMYFUNCTION("""COMPUTED_VALUE"""),"PT GARINDO TECHNO MANDIRI")</f>
        <v>PT GARINDO TECHNO MANDIRI</v>
      </c>
      <c r="O1660" s="222" t="str">
        <f>IFERROR(__xludf.DUMMYFUNCTION("""COMPUTED_VALUE"""),"0. DROP")</f>
        <v>0. DROP</v>
      </c>
      <c r="P1660" s="222" t="str">
        <f>IFERROR(__xludf.DUMMYFUNCTION("""COMPUTED_VALUE"""),"0.5 DROP TSEL - Acc ED TIF")</f>
        <v>0.5 DROP TSEL - Acc ED TIF</v>
      </c>
      <c r="Q1660"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1660" s="228"/>
      <c r="S1660" s="11"/>
      <c r="T1660" s="11"/>
      <c r="U1660" s="11" t="str">
        <f>IFERROR(__xludf.DUMMYFUNCTION("""COMPUTED_VALUE"""),"TIF-5951/2026  26KT03R107-0030")</f>
        <v>TIF-5951/2026  26KT03R107-0030</v>
      </c>
      <c r="V1660" s="229" t="str">
        <f>IFERROR(__xludf.DUMMYFUNCTION("""COMPUTED_VALUE"""),"DELPA YANDA")</f>
        <v>DELPA YANDA</v>
      </c>
      <c r="W1660" s="229" t="str">
        <f>IFERROR(__xludf.DUMMYFUNCTION("""COMPUTED_VALUE"""),"MELKO NARWADI")</f>
        <v>MELKO NARWADI</v>
      </c>
      <c r="X1660" s="229" t="str">
        <f>IFERROR(__xludf.DUMMYFUNCTION("""COMPUTED_VALUE"""),"BELUM GOLIVE")</f>
        <v>BELUM GOLIVE</v>
      </c>
      <c r="Y1660" s="229"/>
      <c r="Z1660" s="229" t="str">
        <f>IFERROR(__xludf.DUMMYFUNCTION("""COMPUTED_VALUE"""),"#N/A")</f>
        <v>#N/A</v>
      </c>
      <c r="AA1660" s="229"/>
      <c r="AB1660" s="229"/>
      <c r="AC1660" s="229"/>
      <c r="AD1660" s="232"/>
      <c r="AE1660" s="233"/>
      <c r="AF1660" s="54"/>
      <c r="AG1660" s="54"/>
      <c r="AH1660" s="54"/>
      <c r="AI1660" s="55" t="str">
        <f t="shared" si="162"/>
        <v/>
      </c>
      <c r="AW1660" s="234"/>
      <c r="BP1660" s="11"/>
      <c r="BQ1660" s="11"/>
      <c r="BR1660" s="235"/>
      <c r="BV1660" s="158"/>
      <c r="BY1660" s="158"/>
      <c r="CB1660" s="158"/>
    </row>
    <row r="1661" ht="18.0" hidden="1" customHeight="1">
      <c r="A1661" s="222">
        <f>IFERROR(__xludf.DUMMYFUNCTION("""COMPUTED_VALUE"""),2026.0)</f>
        <v>2026</v>
      </c>
      <c r="B1661" s="221">
        <f>IFERROR(__xludf.DUMMYFUNCTION("""COMPUTED_VALUE"""),1.2438778E7)</f>
        <v>12438778</v>
      </c>
      <c r="C1661" s="222" t="str">
        <f>IFERROR(__xludf.DUMMYFUNCTION("""COMPUTED_VALUE"""),"SMS P4I4 PT3 TSS FK D03 KIKIM PART 2")</f>
        <v>SMS P4I4 PT3 TSS FK D03 KIKIM PART 2</v>
      </c>
      <c r="D1661" s="222" t="str">
        <f>IFERROR(__xludf.DUMMYFUNCTION("""COMPUTED_VALUE"""),"REGIONAL I")</f>
        <v>REGIONAL I</v>
      </c>
      <c r="E1661" s="222" t="str">
        <f>IFERROR(__xludf.DUMMYFUNCTION("""COMPUTED_VALUE"""),"SUMSEL")</f>
        <v>SUMSEL</v>
      </c>
      <c r="F1661" s="222" t="str">
        <f>IFERROR(__xludf.DUMMYFUNCTION("""COMPUTED_VALUE"""),"TSS")</f>
        <v>TSS</v>
      </c>
      <c r="G1661" s="222" t="str">
        <f>IFERROR(__xludf.DUMMYFUNCTION("""COMPUTED_VALUE"""),"SUMBAGSEL")</f>
        <v>SUMBAGSEL</v>
      </c>
      <c r="H1661" s="222" t="str">
        <f>IFERROR(__xludf.DUMMYFUNCTION("""COMPUTED_VALUE"""),"BENGKULU")</f>
        <v>BENGKULU</v>
      </c>
      <c r="I1661" s="222" t="str">
        <f>IFERROR(__xludf.DUMMYFUNCTION("""COMPUTED_VALUE"""),"Batch 2")</f>
        <v>Batch 2</v>
      </c>
      <c r="J1661" s="225">
        <f>IFERROR(__xludf.DUMMYFUNCTION("""COMPUTED_VALUE"""),10.0)</f>
        <v>10</v>
      </c>
      <c r="K1661" s="224">
        <f>IFERROR(__xludf.DUMMYFUNCTION("""COMPUTED_VALUE"""),80.0)</f>
        <v>80</v>
      </c>
      <c r="L1661" s="226">
        <f>IFERROR(__xludf.DUMMYFUNCTION("""COMPUTED_VALUE"""),474918.0)</f>
        <v>474918</v>
      </c>
      <c r="M1661" s="227">
        <f>IFERROR(__xludf.DUMMYFUNCTION("""COMPUTED_VALUE"""),3.7993432E7)</f>
        <v>37993432</v>
      </c>
      <c r="N1661" s="222" t="str">
        <f>IFERROR(__xludf.DUMMYFUNCTION("""COMPUTED_VALUE"""),"PT DIAN KARYA")</f>
        <v>PT DIAN KARYA</v>
      </c>
      <c r="O1661" s="222" t="str">
        <f>IFERROR(__xludf.DUMMYFUNCTION("""COMPUTED_VALUE"""),"7. GOLIVE")</f>
        <v>7. GOLIVE</v>
      </c>
      <c r="P1661" s="222" t="str">
        <f>IFERROR(__xludf.DUMMYFUNCTION("""COMPUTED_VALUE"""),"7.2 Golive Full / OA / DONE OTB")</f>
        <v>7.2 Golive Full / OA / DONE OTB</v>
      </c>
      <c r="Q1661" s="222" t="str">
        <f>IFERROR(__xludf.DUMMYFUNCTION("""COMPUTED_VALUE"""),"12/03 GOLIVE, 11/03 DONE SUBMIT ABD KE SDI, 11/03 VALINS, 10/03 PROGRESS TERMINASI ODP, 09/03 MENUNGGU ANTRIAN TERMINASI ODP, 06/03 OGP TERMINASI ODP, 05/03 PENARIKAN KABEL 2250M, 03/03 PROGRESS PENARIKAN KABEL 1100/2250M, 02/03 MENUNGGU ANTRIAN PROGRESS "&amp;"LOP TAP, 27/02 DONE INPUT MATERIAL, 26/02 MENUNGGU ANTRIAN PEKERJAAN, 25/02 CAT TIANG, 24/02 MATERIAL ONSITE  23/02 OGP MATDEL, 22/2 menunggu material TIANG  16/02 OGP MATDEL, 12/02 DONE INPUT MATERIAL, (11/02) Butuh Amandemen Budget, 11/2 Done PRPO- Req "&amp;"Material, (09/02) Proses PR PO, 6/2 Proses Create PID  04/02 DONE EVAL, LANJUT DRM,  31/1  DOne aanwijdzing, eval senin 2 feb  29/01 DONE AANWIDZING, 28/01 OGP AANWIDJZING, (23/1) plan aanwijdzing tgl 27 jan - pengiriman material berama dengan Noode B oki"&amp;" 134,oki136,oki174  (21/01) menunggu antrian aanwizjing, (14/11)HOLD-  tidak masuk target Optimis 2025 (
23/01 penunjukan mitra oleh procurement")</f>
        <v>12/03 GOLIVE, 11/03 DONE SUBMIT ABD KE SDI, 11/03 VALINS, 10/03 PROGRESS TERMINASI ODP, 09/03 MENUNGGU ANTRIAN TERMINASI ODP, 06/03 OGP TERMINASI ODP, 05/03 PENARIKAN KABEL 2250M, 03/03 PROGRESS PENARIKAN KABEL 1100/2250M, 02/03 MENUNGGU ANTRIAN PROGRESS LOP TAP, 27/02 DONE INPUT MATERIAL, 26/02 MENUNGGU ANTRIAN PEKERJAAN, 25/02 CAT TIANG, 24/02 MATERIAL ONSITE  23/02 OGP MATDEL, 22/2 menunggu material TIANG  16/02 OGP MATDEL, 12/02 DONE INPUT MATERIAL, (11/02) Butuh Amandemen Budget, 11/2 Done PRPO- Req Material, (09/02) Proses PR PO, 6/2 Proses Create PID  04/02 DONE EVAL, LANJUT DRM,  31/1  DOne aanwijdzing, eval senin 2 feb  29/01 DONE AANWIDZING, 28/01 OGP AANWIDJZING, (23/1) plan aanwijdzing tgl 27 jan - pengiriman material berama dengan Noode B oki 134,oki136,oki174  (21/01) menunggu antrian aanwizjing, (14/11)HOLD-  tidak masuk target Optimis 2025 (
23/01 penunjukan mitra oleh procurement</v>
      </c>
      <c r="R1661" s="228">
        <f>IFERROR(__xludf.DUMMYFUNCTION("""COMPUTED_VALUE"""),46093.0)</f>
        <v>46093</v>
      </c>
      <c r="S1661" s="11" t="str">
        <f>IFERROR(__xludf.DUMMYFUNCTION("""COMPUTED_VALUE"""),"MAR")</f>
        <v>MAR</v>
      </c>
      <c r="T1661" s="11"/>
      <c r="U1661" s="11"/>
      <c r="V1661" s="229" t="str">
        <f>IFERROR(__xludf.DUMMYFUNCTION("""COMPUTED_VALUE"""),"PUTRA")</f>
        <v>PUTRA</v>
      </c>
      <c r="W1661" s="229"/>
      <c r="X1661" s="229" t="str">
        <f>IFERROR(__xludf.DUMMYFUNCTION("""COMPUTED_VALUE"""),"GOLIVE")</f>
        <v>GOLIVE</v>
      </c>
      <c r="Y1661" s="229" t="str">
        <f>IFERROR(__xludf.DUMMYFUNCTION("""COMPUTED_VALUE"""),"DONE")</f>
        <v>DONE</v>
      </c>
      <c r="Z1661" s="229" t="str">
        <f>IFERROR(__xludf.DUMMYFUNCTION("""COMPUTED_VALUE"""),"#N/A")</f>
        <v>#N/A</v>
      </c>
      <c r="AA1661" s="229">
        <f>IFERROR(__xludf.DUMMYFUNCTION("""COMPUTED_VALUE"""),10.0)</f>
        <v>10</v>
      </c>
      <c r="AB1661" s="229"/>
      <c r="AC1661" s="229" t="str">
        <f>IFERROR(__xludf.DUMMYFUNCTION("""COMPUTED_VALUE"""),"8949157#8949162")</f>
        <v>8949157#8949162</v>
      </c>
      <c r="AD1661" s="232">
        <f>IFERROR(__xludf.DUMMYFUNCTION("""COMPUTED_VALUE"""),80.0)</f>
        <v>80</v>
      </c>
      <c r="AE1661" s="233">
        <f>IFERROR(__xludf.DUMMYFUNCTION("""COMPUTED_VALUE"""),46092.0)</f>
        <v>46092</v>
      </c>
      <c r="AF1661" s="54"/>
      <c r="AG1661" s="54"/>
      <c r="AH1661" s="54">
        <v>46093.0</v>
      </c>
      <c r="AI1661" s="55">
        <f t="shared" si="162"/>
        <v>1</v>
      </c>
      <c r="AW1661" s="234"/>
      <c r="BP1661" s="11"/>
      <c r="BQ1661" s="11"/>
      <c r="BR1661" s="235"/>
      <c r="BV1661" s="158"/>
      <c r="BY1661" s="158"/>
      <c r="CB1661" s="158"/>
    </row>
    <row r="1662" ht="18.0" hidden="1" customHeight="1">
      <c r="A1662" s="222">
        <f>IFERROR(__xludf.DUMMYFUNCTION("""COMPUTED_VALUE"""),2026.0)</f>
        <v>2026</v>
      </c>
      <c r="B1662" s="221">
        <f>IFERROR(__xludf.DUMMYFUNCTION("""COMPUTED_VALUE"""),1.1843421E7)</f>
        <v>11843421</v>
      </c>
      <c r="C1662" s="222" t="str">
        <f>IFERROR(__xludf.DUMMYFUNCTION("""COMPUTED_VALUE"""),"MDN PT3 LBP-FB JL.KH AHMAD DAHLAN_MD25")</f>
        <v>MDN PT3 LBP-FB JL.KH AHMAD DAHLAN_MD25</v>
      </c>
      <c r="D1662" s="222" t="str">
        <f>IFERROR(__xludf.DUMMYFUNCTION("""COMPUTED_VALUE"""),"REGIONAL I")</f>
        <v>REGIONAL I</v>
      </c>
      <c r="E1662" s="222" t="str">
        <f>IFERROR(__xludf.DUMMYFUNCTION("""COMPUTED_VALUE"""),"MEDAN")</f>
        <v>MEDAN</v>
      </c>
      <c r="F1662" s="222" t="str">
        <f>IFERROR(__xludf.DUMMYFUNCTION("""COMPUTED_VALUE"""),"LBP")</f>
        <v>LBP</v>
      </c>
      <c r="G1662" s="222" t="str">
        <f>IFERROR(__xludf.DUMMYFUNCTION("""COMPUTED_VALUE"""),"SUMBAGUT")</f>
        <v>SUMBAGUT</v>
      </c>
      <c r="H1662" s="222" t="str">
        <f>IFERROR(__xludf.DUMMYFUNCTION("""COMPUTED_VALUE"""),"MEDAN")</f>
        <v>MEDAN</v>
      </c>
      <c r="I1662" s="222" t="str">
        <f>IFERROR(__xludf.DUMMYFUNCTION("""COMPUTED_VALUE"""),"Batch 2")</f>
        <v>Batch 2</v>
      </c>
      <c r="J1662" s="225">
        <f>IFERROR(__xludf.DUMMYFUNCTION("""COMPUTED_VALUE"""),2.0)</f>
        <v>2</v>
      </c>
      <c r="K1662" s="224">
        <f>IFERROR(__xludf.DUMMYFUNCTION("""COMPUTED_VALUE"""),16.0)</f>
        <v>16</v>
      </c>
      <c r="L1662" s="226">
        <f>IFERROR(__xludf.DUMMYFUNCTION("""COMPUTED_VALUE"""),661211.0)</f>
        <v>661211</v>
      </c>
      <c r="M1662" s="227">
        <f>IFERROR(__xludf.DUMMYFUNCTION("""COMPUTED_VALUE"""),1.057937E7)</f>
        <v>10579370</v>
      </c>
      <c r="N1662" s="222" t="str">
        <f>IFERROR(__xludf.DUMMYFUNCTION("""COMPUTED_VALUE"""),"PT BONGKAR SEJATI ANDALAN")</f>
        <v>PT BONGKAR SEJATI ANDALAN</v>
      </c>
      <c r="O1662" s="222" t="str">
        <f>IFERROR(__xludf.DUMMYFUNCTION("""COMPUTED_VALUE"""),"2. DONE AANWIJZING")</f>
        <v>2. DONE AANWIJZING</v>
      </c>
      <c r="P1662" s="222" t="str">
        <f>IFERROR(__xludf.DUMMYFUNCTION("""COMPUTED_VALUE"""),"2.9 Kendala - Distribusi Penuh / Rusak")</f>
        <v>2.9 Kendala - Distribusi Penuh / Rusak</v>
      </c>
      <c r="Q1662" s="222" t="str">
        <f>IFERROR(__xludf.DUMMYFUNCTION("""COMPUTED_VALUE"""),"20/04 pengecekan ulang hasil redisgn
27/02 LBP-FB distribusi tdk tembus
(07/01) Persiapan")</f>
        <v>20/04 pengecekan ulang hasil redisgn
27/02 LBP-FB distribusi tdk tembus
(07/01) Persiapan</v>
      </c>
      <c r="R1662" s="228"/>
      <c r="S1662" s="11"/>
      <c r="T1662" s="11"/>
      <c r="U1662" s="11"/>
      <c r="V1662" s="229"/>
      <c r="W1662" s="229"/>
      <c r="X1662" s="229" t="str">
        <f>IFERROR(__xludf.DUMMYFUNCTION("""COMPUTED_VALUE"""),"BELUM GOLIVE")</f>
        <v>BELUM GOLIVE</v>
      </c>
      <c r="Y1662" s="229"/>
      <c r="Z1662" s="229" t="str">
        <f>IFERROR(__xludf.DUMMYFUNCTION("""COMPUTED_VALUE"""),"#N/A")</f>
        <v>#N/A</v>
      </c>
      <c r="AA1662" s="229"/>
      <c r="AB1662" s="229"/>
      <c r="AC1662" s="229"/>
      <c r="AD1662" s="232"/>
      <c r="AE1662" s="233"/>
      <c r="AF1662" s="54"/>
      <c r="AG1662" s="54"/>
      <c r="AH1662" s="54"/>
      <c r="AI1662" s="55" t="str">
        <f t="shared" si="162"/>
        <v/>
      </c>
      <c r="AW1662" s="234"/>
      <c r="BP1662" s="11"/>
      <c r="BQ1662" s="11"/>
      <c r="BR1662" s="235"/>
      <c r="BV1662" s="158"/>
      <c r="BY1662" s="158"/>
      <c r="CB1662" s="158"/>
    </row>
    <row r="1663" ht="18.0" customHeight="1">
      <c r="A1663" s="222">
        <f>IFERROR(__xludf.DUMMYFUNCTION("""COMPUTED_VALUE"""),2026.0)</f>
        <v>2026</v>
      </c>
      <c r="B1663" s="221">
        <f>IFERROR(__xludf.DUMMYFUNCTION("""COMPUTED_VALUE"""),1.1383205E7)</f>
        <v>11383205</v>
      </c>
      <c r="C1663" s="222" t="str">
        <f>IFERROR(__xludf.DUMMYFUNCTION("""COMPUTED_VALUE"""),"SMB MD KOTA PADANG_9013")</f>
        <v>SMB MD KOTA PADANG_9013</v>
      </c>
      <c r="D1663" s="222" t="str">
        <f>IFERROR(__xludf.DUMMYFUNCTION("""COMPUTED_VALUE"""),"REGIONAL I")</f>
        <v>REGIONAL I</v>
      </c>
      <c r="E1663" s="222" t="str">
        <f>IFERROR(__xludf.DUMMYFUNCTION("""COMPUTED_VALUE"""),"SUMBAR")</f>
        <v>SUMBAR</v>
      </c>
      <c r="F1663" s="222" t="str">
        <f>IFERROR(__xludf.DUMMYFUNCTION("""COMPUTED_VALUE"""),"TLB")</f>
        <v>TLB</v>
      </c>
      <c r="G1663" s="222" t="str">
        <f>IFERROR(__xludf.DUMMYFUNCTION("""COMPUTED_VALUE"""),"SUMBAGTENG")</f>
        <v>SUMBAGTENG</v>
      </c>
      <c r="H1663" s="222" t="str">
        <f>IFERROR(__xludf.DUMMYFUNCTION("""COMPUTED_VALUE"""),"PADANG")</f>
        <v>PADANG</v>
      </c>
      <c r="I1663" s="222" t="str">
        <f>IFERROR(__xludf.DUMMYFUNCTION("""COMPUTED_VALUE"""),"Batch 2")</f>
        <v>Batch 2</v>
      </c>
      <c r="J1663" s="225">
        <f>IFERROR(__xludf.DUMMYFUNCTION("""COMPUTED_VALUE"""),6.0)</f>
        <v>6</v>
      </c>
      <c r="K1663" s="224">
        <f>IFERROR(__xludf.DUMMYFUNCTION("""COMPUTED_VALUE"""),48.0)</f>
        <v>48</v>
      </c>
      <c r="L1663" s="226">
        <f>IFERROR(__xludf.DUMMYFUNCTION("""COMPUTED_VALUE"""),474284.0)</f>
        <v>474284</v>
      </c>
      <c r="M1663" s="227">
        <f>IFERROR(__xludf.DUMMYFUNCTION("""COMPUTED_VALUE"""),2.2765614E7)</f>
        <v>22765614</v>
      </c>
      <c r="N1663" s="222" t="str">
        <f>IFERROR(__xludf.DUMMYFUNCTION("""COMPUTED_VALUE"""),"PT TIGA AKSES MANDIRI")</f>
        <v>PT TIGA AKSES MANDIRI</v>
      </c>
      <c r="O1663" s="222" t="str">
        <f>IFERROR(__xludf.DUMMYFUNCTION("""COMPUTED_VALUE"""),"0. DROP")</f>
        <v>0. DROP</v>
      </c>
      <c r="P1663" s="222" t="str">
        <f>IFERROR(__xludf.DUMMYFUNCTION("""COMPUTED_VALUE"""),"0.3 Feeder Full")</f>
        <v>0.3 Feeder Full</v>
      </c>
      <c r="Q1663" s="222" t="str">
        <f>IFERROR(__xludf.DUMMYFUNCTION("""COMPUTED_VALUE"""),"(26/01) FEEDER TLB-FG FULL, BUTUH NEW FEEDER")</f>
        <v>(26/01) FEEDER TLB-FG FULL, BUTUH NEW FEEDER</v>
      </c>
      <c r="R1663" s="228"/>
      <c r="S1663" s="11"/>
      <c r="T1663" s="11"/>
      <c r="U1663" s="11"/>
      <c r="V1663" s="229"/>
      <c r="W1663" s="229"/>
      <c r="X1663" s="229" t="str">
        <f>IFERROR(__xludf.DUMMYFUNCTION("""COMPUTED_VALUE"""),"BELUM GOLIVE")</f>
        <v>BELUM GOLIVE</v>
      </c>
      <c r="Y1663" s="229"/>
      <c r="Z1663" s="229" t="str">
        <f>IFERROR(__xludf.DUMMYFUNCTION("""COMPUTED_VALUE"""),"#N/A")</f>
        <v>#N/A</v>
      </c>
      <c r="AA1663" s="229"/>
      <c r="AB1663" s="229"/>
      <c r="AC1663" s="229"/>
      <c r="AD1663" s="232"/>
      <c r="AE1663" s="233"/>
      <c r="AF1663" s="54" t="str">
        <f>IFERROR(__xludf.DUMMYFUNCTION("""COMPUTED_VALUE"""),"Draft BA DROP")</f>
        <v>Draft BA DROP</v>
      </c>
      <c r="AG1663" s="54"/>
      <c r="AH1663" s="54"/>
      <c r="AI1663" s="55" t="str">
        <f t="shared" si="162"/>
        <v/>
      </c>
      <c r="AW1663" s="234"/>
      <c r="BP1663" s="11"/>
      <c r="BQ1663" s="11"/>
      <c r="BR1663" s="235"/>
      <c r="BV1663" s="158"/>
      <c r="BY1663" s="158"/>
      <c r="CB1663" s="158"/>
    </row>
    <row r="1664" ht="18.0" hidden="1" customHeight="1">
      <c r="A1664" s="222">
        <f>IFERROR(__xludf.DUMMYFUNCTION("""COMPUTED_VALUE"""),2026.0)</f>
        <v>2026</v>
      </c>
      <c r="B1664" s="221">
        <f>IFERROR(__xludf.DUMMYFUNCTION("""COMPUTED_VALUE"""),1.1536015E7)</f>
        <v>11536015</v>
      </c>
      <c r="C1664" s="222" t="str">
        <f>IFERROR(__xludf.DUMMYFUNCTION("""COMPUTED_VALUE"""),"MDN PT3 PUB-FAA JL.DANAU SINGKARAK")</f>
        <v>MDN PT3 PUB-FAA JL.DANAU SINGKARAK</v>
      </c>
      <c r="D1664" s="222" t="str">
        <f>IFERROR(__xludf.DUMMYFUNCTION("""COMPUTED_VALUE"""),"REGIONAL I")</f>
        <v>REGIONAL I</v>
      </c>
      <c r="E1664" s="222" t="str">
        <f>IFERROR(__xludf.DUMMYFUNCTION("""COMPUTED_VALUE"""),"MEDAN")</f>
        <v>MEDAN</v>
      </c>
      <c r="F1664" s="222" t="str">
        <f>IFERROR(__xludf.DUMMYFUNCTION("""COMPUTED_VALUE"""),"PUB")</f>
        <v>PUB</v>
      </c>
      <c r="G1664" s="222" t="str">
        <f>IFERROR(__xludf.DUMMYFUNCTION("""COMPUTED_VALUE"""),"SUMBAGUT")</f>
        <v>SUMBAGUT</v>
      </c>
      <c r="H1664" s="222" t="str">
        <f>IFERROR(__xludf.DUMMYFUNCTION("""COMPUTED_VALUE"""),"MEDAN")</f>
        <v>MEDAN</v>
      </c>
      <c r="I1664" s="222" t="str">
        <f>IFERROR(__xludf.DUMMYFUNCTION("""COMPUTED_VALUE"""),"Batch 2")</f>
        <v>Batch 2</v>
      </c>
      <c r="J1664" s="225">
        <f>IFERROR(__xludf.DUMMYFUNCTION("""COMPUTED_VALUE"""),2.0)</f>
        <v>2</v>
      </c>
      <c r="K1664" s="224">
        <f>IFERROR(__xludf.DUMMYFUNCTION("""COMPUTED_VALUE"""),16.0)</f>
        <v>16</v>
      </c>
      <c r="L1664" s="226">
        <f>IFERROR(__xludf.DUMMYFUNCTION("""COMPUTED_VALUE"""),640389.0)</f>
        <v>640389</v>
      </c>
      <c r="M1664" s="227">
        <f>IFERROR(__xludf.DUMMYFUNCTION("""COMPUTED_VALUE"""),1.0246223E7)</f>
        <v>10246223</v>
      </c>
      <c r="N1664" s="222" t="str">
        <f>IFERROR(__xludf.DUMMYFUNCTION("""COMPUTED_VALUE"""),"PT BENWA  MITRA PRATAMA")</f>
        <v>PT BENWA  MITRA PRATAMA</v>
      </c>
      <c r="O1664" s="222" t="str">
        <f>IFERROR(__xludf.DUMMYFUNCTION("""COMPUTED_VALUE"""),"2. DONE AANWIJZING")</f>
        <v>2. DONE AANWIJZING</v>
      </c>
      <c r="P1664" s="222" t="str">
        <f>IFERROR(__xludf.DUMMYFUNCTION("""COMPUTED_VALUE"""),"2.10 Kendala - Feeder Rusak")</f>
        <v>2.10 Kendala - Feeder Rusak</v>
      </c>
      <c r="Q1664" s="222" t="str">
        <f>IFERROR(__xludf.DUMMYFUNCTION("""COMPUTED_VALUE"""),"08/03 Feeder Redti 16/10 Feeder Habis
(24/09) Perizinan Warga dan Kades / Lurah
(23/09) Perizinan Warga dan Kades / Lurah
15/09 proses aanwijzing")</f>
        <v>08/03 Feeder Redti 16/10 Feeder Habis
(24/09) Perizinan Warga dan Kades / Lurah
(23/09) Perizinan Warga dan Kades / Lurah
15/09 proses aanwijzing</v>
      </c>
      <c r="R1664" s="228"/>
      <c r="S1664" s="11"/>
      <c r="T1664" s="11"/>
      <c r="U1664" s="11"/>
      <c r="V1664" s="229"/>
      <c r="W1664" s="229"/>
      <c r="X1664" s="229" t="str">
        <f>IFERROR(__xludf.DUMMYFUNCTION("""COMPUTED_VALUE"""),"BELUM GOLIVE")</f>
        <v>BELUM GOLIVE</v>
      </c>
      <c r="Y1664" s="229"/>
      <c r="Z1664" s="229" t="str">
        <f>IFERROR(__xludf.DUMMYFUNCTION("""COMPUTED_VALUE"""),"#N/A")</f>
        <v>#N/A</v>
      </c>
      <c r="AA1664" s="229"/>
      <c r="AB1664" s="229"/>
      <c r="AC1664" s="229"/>
      <c r="AD1664" s="232"/>
      <c r="AE1664" s="233"/>
      <c r="AF1664" s="54"/>
      <c r="AG1664" s="54"/>
      <c r="AH1664" s="54"/>
      <c r="AI1664" s="55" t="str">
        <f t="shared" si="162"/>
        <v/>
      </c>
      <c r="AW1664" s="234"/>
      <c r="BP1664" s="11"/>
      <c r="BQ1664" s="11"/>
      <c r="BR1664" s="235"/>
      <c r="BV1664" s="158"/>
      <c r="BY1664" s="158"/>
      <c r="CB1664" s="158"/>
    </row>
    <row r="1665" ht="18.0" customHeight="1">
      <c r="A1665" s="222">
        <f>IFERROR(__xludf.DUMMYFUNCTION("""COMPUTED_VALUE"""),2026.0)</f>
        <v>2026</v>
      </c>
      <c r="B1665" s="221">
        <f>IFERROR(__xludf.DUMMYFUNCTION("""COMPUTED_VALUE"""),1.2114052E7)</f>
        <v>12114052</v>
      </c>
      <c r="C1665" s="222" t="str">
        <f>IFERROR(__xludf.DUMMYFUNCTION("""COMPUTED_VALUE"""),"SMB-PT3-ODC-PDS-FB-SJJ_94425-146005")</f>
        <v>SMB-PT3-ODC-PDS-FB-SJJ_94425-146005</v>
      </c>
      <c r="D1665" s="222" t="str">
        <f>IFERROR(__xludf.DUMMYFUNCTION("""COMPUTED_VALUE"""),"REGIONAL I")</f>
        <v>REGIONAL I</v>
      </c>
      <c r="E1665" s="222" t="str">
        <f>IFERROR(__xludf.DUMMYFUNCTION("""COMPUTED_VALUE"""),"SUMBAR")</f>
        <v>SUMBAR</v>
      </c>
      <c r="F1665" s="222" t="str">
        <f>IFERROR(__xludf.DUMMYFUNCTION("""COMPUTED_VALUE"""),"PDS")</f>
        <v>PDS</v>
      </c>
      <c r="G1665" s="222" t="str">
        <f>IFERROR(__xludf.DUMMYFUNCTION("""COMPUTED_VALUE"""),"SUMBAGTENG")</f>
        <v>SUMBAGTENG</v>
      </c>
      <c r="H1665" s="222" t="str">
        <f>IFERROR(__xludf.DUMMYFUNCTION("""COMPUTED_VALUE"""),"PADANG")</f>
        <v>PADANG</v>
      </c>
      <c r="I1665" s="222" t="str">
        <f>IFERROR(__xludf.DUMMYFUNCTION("""COMPUTED_VALUE"""),"Batch 2")</f>
        <v>Batch 2</v>
      </c>
      <c r="J1665" s="225">
        <f>IFERROR(__xludf.DUMMYFUNCTION("""COMPUTED_VALUE"""),2.0)</f>
        <v>2</v>
      </c>
      <c r="K1665" s="224">
        <f>IFERROR(__xludf.DUMMYFUNCTION("""COMPUTED_VALUE"""),16.0)</f>
        <v>16</v>
      </c>
      <c r="L1665" s="226">
        <f>IFERROR(__xludf.DUMMYFUNCTION("""COMPUTED_VALUE"""),472729.0)</f>
        <v>472729</v>
      </c>
      <c r="M1665" s="227">
        <f>IFERROR(__xludf.DUMMYFUNCTION("""COMPUTED_VALUE"""),7563657.0)</f>
        <v>7563657</v>
      </c>
      <c r="N1665" s="222" t="str">
        <f>IFERROR(__xludf.DUMMYFUNCTION("""COMPUTED_VALUE"""),"PT TIGA AKSES MANDIRI")</f>
        <v>PT TIGA AKSES MANDIRI</v>
      </c>
      <c r="O1665" s="222" t="str">
        <f>IFERROR(__xludf.DUMMYFUNCTION("""COMPUTED_VALUE"""),"8. UJI TERIMA")</f>
        <v>8. UJI TERIMA</v>
      </c>
      <c r="P1665" s="222" t="str">
        <f>IFERROR(__xludf.DUMMYFUNCTION("""COMPUTED_VALUE"""),"8.1 Proses UT")</f>
        <v>8.1 Proses UT</v>
      </c>
      <c r="Q1665" s="222" t="str">
        <f>IFERROR(__xludf.DUMMYFUNCTION("""COMPUTED_VALUE"""),"(07/01) Persiapan")</f>
        <v>(07/01) Persiapan</v>
      </c>
      <c r="R1665" s="228"/>
      <c r="S1665" s="11"/>
      <c r="T1665" s="11"/>
      <c r="U1665" s="11" t="str">
        <f>IFERROR(__xludf.DUMMYFUNCTION("""COMPUTED_VALUE"""),"W10-1741/2025 25KT03R158-0508")</f>
        <v>W10-1741/2025 25KT03R158-0508</v>
      </c>
      <c r="V1665" s="229" t="str">
        <f>IFERROR(__xludf.DUMMYFUNCTION("""COMPUTED_VALUE"""),"YULIO NOVIKO")</f>
        <v>YULIO NOVIKO</v>
      </c>
      <c r="W1665" s="229" t="str">
        <f>IFERROR(__xludf.DUMMYFUNCTION("""COMPUTED_VALUE"""),"MELKO NARWADI")</f>
        <v>MELKO NARWADI</v>
      </c>
      <c r="X1665" s="229" t="str">
        <f>IFERROR(__xludf.DUMMYFUNCTION("""COMPUTED_VALUE"""),"GOLIVE")</f>
        <v>GOLIVE</v>
      </c>
      <c r="Y1665" s="229" t="str">
        <f>IFERROR(__xludf.DUMMYFUNCTION("""COMPUTED_VALUE"""),"DONE")</f>
        <v>DONE</v>
      </c>
      <c r="Z1665" s="229" t="str">
        <f>IFERROR(__xludf.DUMMYFUNCTION("""COMPUTED_VALUE"""),"#N/A")</f>
        <v>#N/A</v>
      </c>
      <c r="AA1665" s="229">
        <f>IFERROR(__xludf.DUMMYFUNCTION("""COMPUTED_VALUE"""),2.0)</f>
        <v>2</v>
      </c>
      <c r="AB1665" s="229"/>
      <c r="AC1665" s="229" t="str">
        <f>IFERROR(__xludf.DUMMYFUNCTION("""COMPUTED_VALUE"""),"8945780#8945785")</f>
        <v>8945780#8945785</v>
      </c>
      <c r="AD1665" s="232">
        <f>IFERROR(__xludf.DUMMYFUNCTION("""COMPUTED_VALUE"""),16.0)</f>
        <v>16</v>
      </c>
      <c r="AE1665" s="233">
        <f>IFERROR(__xludf.DUMMYFUNCTION("""COMPUTED_VALUE"""),46034.0)</f>
        <v>46034</v>
      </c>
      <c r="AF1665" s="54"/>
      <c r="AG1665" s="54"/>
      <c r="AH1665" s="54"/>
      <c r="AI1665" s="55" t="str">
        <f t="shared" si="162"/>
        <v/>
      </c>
      <c r="AW1665" s="234"/>
      <c r="BP1665" s="11"/>
      <c r="BQ1665" s="11"/>
      <c r="BR1665" s="235"/>
      <c r="BV1665" s="158"/>
      <c r="BY1665" s="158"/>
      <c r="CB1665" s="158"/>
    </row>
    <row r="1666" ht="18.0" hidden="1" customHeight="1">
      <c r="A1666" s="222">
        <f>IFERROR(__xludf.DUMMYFUNCTION("""COMPUTED_VALUE"""),2026.0)</f>
        <v>2026</v>
      </c>
      <c r="B1666" s="221">
        <f>IFERROR(__xludf.DUMMYFUNCTION("""COMPUTED_VALUE"""),1.1194151E7)</f>
        <v>11194151</v>
      </c>
      <c r="C1666" s="222" t="str">
        <f>IFERROR(__xludf.DUMMYFUNCTION("""COMPUTED_VALUE"""),"MDN PT3 P7I9 TJR-FT JL.KOALA")</f>
        <v>MDN PT3 P7I9 TJR-FT JL.KOALA</v>
      </c>
      <c r="D1666" s="222" t="str">
        <f>IFERROR(__xludf.DUMMYFUNCTION("""COMPUTED_VALUE"""),"REGIONAL I")</f>
        <v>REGIONAL I</v>
      </c>
      <c r="E1666" s="222" t="str">
        <f>IFERROR(__xludf.DUMMYFUNCTION("""COMPUTED_VALUE"""),"MEDAN")</f>
        <v>MEDAN</v>
      </c>
      <c r="F1666" s="222" t="str">
        <f>IFERROR(__xludf.DUMMYFUNCTION("""COMPUTED_VALUE"""),"TJR")</f>
        <v>TJR</v>
      </c>
      <c r="G1666" s="222" t="str">
        <f>IFERROR(__xludf.DUMMYFUNCTION("""COMPUTED_VALUE"""),"SUMBAGUT")</f>
        <v>SUMBAGUT</v>
      </c>
      <c r="H1666" s="222" t="str">
        <f>IFERROR(__xludf.DUMMYFUNCTION("""COMPUTED_VALUE"""),"MEDAN")</f>
        <v>MEDAN</v>
      </c>
      <c r="I1666" s="222" t="str">
        <f>IFERROR(__xludf.DUMMYFUNCTION("""COMPUTED_VALUE"""),"Batch 2")</f>
        <v>Batch 2</v>
      </c>
      <c r="J1666" s="225">
        <f>IFERROR(__xludf.DUMMYFUNCTION("""COMPUTED_VALUE"""),5.0)</f>
        <v>5</v>
      </c>
      <c r="K1666" s="224">
        <f>IFERROR(__xludf.DUMMYFUNCTION("""COMPUTED_VALUE"""),40.0)</f>
        <v>40</v>
      </c>
      <c r="L1666" s="226">
        <f>IFERROR(__xludf.DUMMYFUNCTION("""COMPUTED_VALUE"""),1368231.0)</f>
        <v>1368231</v>
      </c>
      <c r="M1666" s="227">
        <f>IFERROR(__xludf.DUMMYFUNCTION("""COMPUTED_VALUE"""),5.472924E7)</f>
        <v>54729240</v>
      </c>
      <c r="N1666" s="222" t="str">
        <f>IFERROR(__xludf.DUMMYFUNCTION("""COMPUTED_VALUE"""),"PT TEKNOLOGI KARYA MANDIRI")</f>
        <v>PT TEKNOLOGI KARYA MANDIRI</v>
      </c>
      <c r="O1666" s="222" t="str">
        <f>IFERROR(__xludf.DUMMYFUNCTION("""COMPUTED_VALUE"""),"7. GOLIVE")</f>
        <v>7. GOLIVE</v>
      </c>
      <c r="P1666" s="222" t="str">
        <f>IFERROR(__xludf.DUMMYFUNCTION("""COMPUTED_VALUE"""),"7.2 Golive Full / OA / DONE OTB")</f>
        <v>7.2 Golive Full / OA / DONE OTB</v>
      </c>
      <c r="Q1666" s="222" t="str">
        <f>IFERROR(__xludf.DUMMYFUNCTION("""COMPUTED_VALUE"""),"23/04 pemasangan odp &amp; terminasi
09/04 proses penanaman tiang untuk menghindari kehilangan estimasi kelar 17/04 24/02 proses matrial
(07/01) Persiapan")</f>
        <v>23/04 pemasangan odp &amp; terminasi
09/04 proses penanaman tiang untuk menghindari kehilangan estimasi kelar 17/04 24/02 proses matrial
(07/01) Persiapan</v>
      </c>
      <c r="R1666" s="228">
        <f>IFERROR(__xludf.DUMMYFUNCTION("""COMPUTED_VALUE"""),46135.0)</f>
        <v>46135</v>
      </c>
      <c r="S1666" s="11" t="str">
        <f>IFERROR(__xludf.DUMMYFUNCTION("""COMPUTED_VALUE"""),"APR")</f>
        <v>APR</v>
      </c>
      <c r="T1666" s="73"/>
      <c r="U1666" s="11"/>
      <c r="V1666" s="229" t="str">
        <f>IFERROR(__xludf.DUMMYFUNCTION("""COMPUTED_VALUE"""),"23/Apr/2026")</f>
        <v>23/Apr/2026</v>
      </c>
      <c r="W1666" s="229"/>
      <c r="X1666" s="229" t="str">
        <f>IFERROR(__xludf.DUMMYFUNCTION("""COMPUTED_VALUE"""),"GOLIVE")</f>
        <v>GOLIVE</v>
      </c>
      <c r="Y1666" s="229" t="str">
        <f>IFERROR(__xludf.DUMMYFUNCTION("""COMPUTED_VALUE"""),"DONE")</f>
        <v>DONE</v>
      </c>
      <c r="Z1666" s="229" t="str">
        <f>IFERROR(__xludf.DUMMYFUNCTION("""COMPUTED_VALUE"""),"#N/A")</f>
        <v>#N/A</v>
      </c>
      <c r="AA1666" s="229">
        <f>IFERROR(__xludf.DUMMYFUNCTION("""COMPUTED_VALUE"""),6.0)</f>
        <v>6</v>
      </c>
      <c r="AB1666" s="229"/>
      <c r="AC1666" s="229" t="str">
        <f>IFERROR(__xludf.DUMMYFUNCTION("""COMPUTED_VALUE"""),"9307321#9307326")</f>
        <v>9307321#9307326</v>
      </c>
      <c r="AD1666" s="232">
        <f>IFERROR(__xludf.DUMMYFUNCTION("""COMPUTED_VALUE"""),48.0)</f>
        <v>48</v>
      </c>
      <c r="AE1666" s="233">
        <f>IFERROR(__xludf.DUMMYFUNCTION("""COMPUTED_VALUE"""),46135.0)</f>
        <v>46135</v>
      </c>
      <c r="AF1666" s="54" t="str">
        <f>IFERROR(__xludf.DUMMYFUNCTION("""COMPUTED_VALUE"""),"Draft BA DROP")</f>
        <v>Draft BA DROP</v>
      </c>
      <c r="AG1666" s="54"/>
      <c r="AH1666" s="54">
        <v>46104.0</v>
      </c>
      <c r="AI1666" s="55">
        <f t="shared" si="162"/>
        <v>0</v>
      </c>
      <c r="AW1666" s="234"/>
      <c r="BP1666" s="11"/>
      <c r="BQ1666" s="11"/>
      <c r="BR1666" s="235"/>
      <c r="BV1666" s="158"/>
      <c r="BY1666" s="158"/>
      <c r="CB1666" s="158"/>
    </row>
    <row r="1667" ht="18.0" hidden="1" customHeight="1">
      <c r="A1667" s="222">
        <f>IFERROR(__xludf.DUMMYFUNCTION("""COMPUTED_VALUE"""),2026.0)</f>
        <v>2026</v>
      </c>
      <c r="B1667" s="221">
        <f>IFERROR(__xludf.DUMMYFUNCTION("""COMPUTED_VALUE"""),1.2322847E7)</f>
        <v>12322847</v>
      </c>
      <c r="C1667" s="222" t="str">
        <f>IFERROR(__xludf.DUMMYFUNCTION("""COMPUTED_VALUE"""),"SMU PT3 ANP-FAL D03 CLUST LABURA_9724")</f>
        <v>SMU PT3 ANP-FAL D03 CLUST LABURA_9724</v>
      </c>
      <c r="D1667" s="222" t="str">
        <f>IFERROR(__xludf.DUMMYFUNCTION("""COMPUTED_VALUE"""),"REGIONAL I")</f>
        <v>REGIONAL I</v>
      </c>
      <c r="E1667" s="222" t="str">
        <f>IFERROR(__xludf.DUMMYFUNCTION("""COMPUTED_VALUE"""),"SUMUT")</f>
        <v>SUMUT</v>
      </c>
      <c r="F1667" s="222" t="str">
        <f>IFERROR(__xludf.DUMMYFUNCTION("""COMPUTED_VALUE"""),"ANP")</f>
        <v>ANP</v>
      </c>
      <c r="G1667" s="222" t="str">
        <f>IFERROR(__xludf.DUMMYFUNCTION("""COMPUTED_VALUE"""),"SUMBAGUT")</f>
        <v>SUMBAGUT</v>
      </c>
      <c r="H1667" s="222" t="str">
        <f>IFERROR(__xludf.DUMMYFUNCTION("""COMPUTED_VALUE"""),"RANTAU PRAPAT")</f>
        <v>RANTAU PRAPAT</v>
      </c>
      <c r="I1667" s="222" t="str">
        <f>IFERROR(__xludf.DUMMYFUNCTION("""COMPUTED_VALUE"""),"Batch 2")</f>
        <v>Batch 2</v>
      </c>
      <c r="J1667" s="225">
        <f>IFERROR(__xludf.DUMMYFUNCTION("""COMPUTED_VALUE"""),5.0)</f>
        <v>5</v>
      </c>
      <c r="K1667" s="224">
        <f>IFERROR(__xludf.DUMMYFUNCTION("""COMPUTED_VALUE"""),40.0)</f>
        <v>40</v>
      </c>
      <c r="L1667" s="226">
        <f>IFERROR(__xludf.DUMMYFUNCTION("""COMPUTED_VALUE"""),472548.0)</f>
        <v>472548</v>
      </c>
      <c r="M1667" s="227">
        <f>IFERROR(__xludf.DUMMYFUNCTION("""COMPUTED_VALUE"""),1.8901899E7)</f>
        <v>18901899</v>
      </c>
      <c r="N1667" s="222" t="str">
        <f>IFERROR(__xludf.DUMMYFUNCTION("""COMPUTED_VALUE"""),"PT FIBERHOME TECHNOLOGIES INDONESIA")</f>
        <v>PT FIBERHOME TECHNOLOGIES INDONESIA</v>
      </c>
      <c r="O1667" s="222" t="str">
        <f>IFERROR(__xludf.DUMMYFUNCTION("""COMPUTED_VALUE"""),"7. GOLIVE")</f>
        <v>7. GOLIVE</v>
      </c>
      <c r="P1667" s="222" t="str">
        <f>IFERROR(__xludf.DUMMYFUNCTION("""COMPUTED_VALUE"""),"7.2 Golive Full / OA / DONE OTB")</f>
        <v>7.2 Golive Full / OA / DONE OTB</v>
      </c>
      <c r="Q1667" s="222" t="str">
        <f>IFERROR(__xludf.DUMMYFUNCTION("""COMPUTED_VALUE"""),"15/3 golive
13/3 proses instal 5 odp sisa 2 odp, ku 12 (200 selesai, tiang 5 selesai, plan submit abd  hari ini 12/3 proses instal 5 odp sisa 2 odp, ku 12 (200 selesai, tiang 5 selesai, 12/3 proses instal 5 odp sisa 2 odp, ku 12 (200 selesai, tiang 5 sele"&amp;"sai, 11/3 plan team lanjut kelokasi besok 12 maret, sisa instal 5 odp, ku 12 (200 selesai, tiang 5 selesai, 9/3 sisa instal 5 odp, ku 12 (200 selesai, tiang 5 selesai, 10/3 sisa instal 5 odp, ku 12 (200 selesai, tiang 5 selesai, 9/3 sisa instal 5 odp, ku "&amp;"12 (200 selesai, tiang 5 selesai, 6/3 sisa instal 5 odp, ku 12 (200 selesai, tiang 5 selesai, 5/3 plan hari ini  lanjut instalasi, 4/3 plan hari ini  lanjut instalasi, 3/3 plan hari ini  lanjut instalasi, 2/3 plan hari ini  lanjut instalasi, 25/2 prepair "&amp;"team untuk deliver matrial dari wh ke site, 24/2 plan hari ini delivery matrial dari gudang ke site, 23/2 input alist terkendala over budget,20/2 proses input alista kendala over budget, 19/2 proses req matrial mitra, 18/2 menunggu approv regional mengena"&amp;"i kendala prelim dan cpp, 16/2 menunggu approv reginal mengenai kendala prelim dan cpp,  13/2 menunggu approv reginal mengenai kendala prelim dan cpp, 12/2 menunggu report survey dan otdr paralel boq kml survey, 11/2 menunggu report survey dan otdr parale"&amp;"l boq kml survey, 10/2 menunggu report survey dan otdr paralel boq kml survey, 9/2 menunggu report survey dan otdr paralel boq kml survey,  6/2 menunggu report survey dan otdr paralel boq kml survey,  5/2 menunggu report survey dan otdr paralel boq kml su"&amp;"rvey,  3/2 menunggu report survey dan otdr paralel boq kml survey, 2/2 menunggu report survey dan otdr paralel boq kml survey, 1/2 menunggu report survey dan otdr paralel boq kml survey, 30/1 menunggu report survey dan otdr paralel boq kml survey, 28/1 me"&amp;"nunggu report survey dan otdr paralel boq kml survey,27/1 menunggu report hasil survey dan boq kml survey, 26/1 menunggu report hasil survey dan boq kml survey, 23/1 plan survey 24/1,  22/1 plan survey 24/1 , 21/1 plan survey 24/1 , 20/1 plan survey 24/1 "&amp;", 19/1 plan survey 24/1 ,  15/1 plan survey 24/1 , 14/1 menunggu info mitra, 13/1 menunggu info mitra, (08/01) kendala dist 2 full, pindah ke dist 6 cpp jdi 4 jta, butuh tambah 3 odp, proses aanwijziing, proses mapping mitra dan penjadwalan aanwijziing (0"&amp;"7/01) Persiapan")</f>
        <v>15/3 golive
13/3 proses instal 5 odp sisa 2 odp, ku 12 (200 selesai, tiang 5 selesai, plan submit abd  hari ini 12/3 proses instal 5 odp sisa 2 odp, ku 12 (200 selesai, tiang 5 selesai, 12/3 proses instal 5 odp sisa 2 odp, ku 12 (200 selesai, tiang 5 selesai, 11/3 plan team lanjut kelokasi besok 12 maret, sisa instal 5 odp, ku 12 (200 selesai, tiang 5 selesai, 9/3 sisa instal 5 odp, ku 12 (200 selesai, tiang 5 selesai, 10/3 sisa instal 5 odp, ku 12 (200 selesai, tiang 5 selesai, 9/3 sisa instal 5 odp, ku 12 (200 selesai, tiang 5 selesai, 6/3 sisa instal 5 odp, ku 12 (200 selesai, tiang 5 selesai, 5/3 plan hari ini  lanjut instalasi, 4/3 plan hari ini  lanjut instalasi, 3/3 plan hari ini  lanjut instalasi, 2/3 plan hari ini  lanjut instalasi, 25/2 prepair team untuk deliver matrial dari wh ke site, 24/2 plan hari ini delivery matrial dari gudang ke site, 23/2 input alist terkendala over budget,20/2 proses input alista kendala over budget, 19/2 proses req matrial mitra, 18/2 menunggu approv regional mengenai kendala prelim dan cpp, 16/2 menunggu approv reginal mengenai kendala prelim dan cpp,  13/2 menunggu approv reginal mengenai kendala prelim dan cpp, 12/2 menunggu report survey dan otdr paralel boq kml survey, 11/2 menunggu report survey dan otdr paralel boq kml survey, 10/2 menunggu report survey dan otdr paralel boq kml survey, 9/2 menunggu report survey dan otdr paralel boq kml survey,  6/2 menunggu report survey dan otdr paralel boq kml survey,  5/2 menunggu report survey dan otdr paralel boq kml survey,  3/2 menunggu report survey dan otdr paralel boq kml survey, 2/2 menunggu report survey dan otdr paralel boq kml survey, 1/2 menunggu report survey dan otdr paralel boq kml survey, 30/1 menunggu report survey dan otdr paralel boq kml survey, 28/1 menunggu report survey dan otdr paralel boq kml survey,27/1 menunggu report hasil survey dan boq kml survey, 26/1 menunggu report hasil survey dan boq kml survey, 23/1 plan survey 24/1,  22/1 plan survey 24/1 , 21/1 plan survey 24/1 , 20/1 plan survey 24/1 , 19/1 plan survey 24/1 ,  15/1 plan survey 24/1 , 14/1 menunggu info mitra, 13/1 menunggu info mitra, (08/01) kendala dist 2 full, pindah ke dist 6 cpp jdi 4 jta, butuh tambah 3 odp, proses aanwijziing, proses mapping mitra dan penjadwalan aanwijziing (07/01) Persiapan</v>
      </c>
      <c r="R1667" s="228">
        <f>IFERROR(__xludf.DUMMYFUNCTION("""COMPUTED_VALUE"""),46098.0)</f>
        <v>46098</v>
      </c>
      <c r="S1667" s="11" t="str">
        <f>IFERROR(__xludf.DUMMYFUNCTION("""COMPUTED_VALUE"""),"MAR")</f>
        <v>MAR</v>
      </c>
      <c r="T1667" s="11"/>
      <c r="U1667" s="11" t="str">
        <f>IFERROR(__xludf.DUMMYFUNCTION("""COMPUTED_VALUE"""),"TIF-1387/2026")</f>
        <v>TIF-1387/2026</v>
      </c>
      <c r="V1667" s="229"/>
      <c r="W1667" s="229"/>
      <c r="X1667" s="229" t="str">
        <f>IFERROR(__xludf.DUMMYFUNCTION("""COMPUTED_VALUE"""),"GOLIVE")</f>
        <v>GOLIVE</v>
      </c>
      <c r="Y1667" s="229" t="str">
        <f>IFERROR(__xludf.DUMMYFUNCTION("""COMPUTED_VALUE"""),"DONE")</f>
        <v>DONE</v>
      </c>
      <c r="Z1667" s="229" t="str">
        <f>IFERROR(__xludf.DUMMYFUNCTION("""COMPUTED_VALUE"""),"#N/A")</f>
        <v>#N/A</v>
      </c>
      <c r="AA1667" s="229">
        <f>IFERROR(__xludf.DUMMYFUNCTION("""COMPUTED_VALUE"""),5.0)</f>
        <v>5</v>
      </c>
      <c r="AB1667" s="229"/>
      <c r="AC1667" s="229" t="str">
        <f>IFERROR(__xludf.DUMMYFUNCTION("""COMPUTED_VALUE"""),"9209418#9209423")</f>
        <v>9209418#9209423</v>
      </c>
      <c r="AD1667" s="232">
        <f>IFERROR(__xludf.DUMMYFUNCTION("""COMPUTED_VALUE"""),40.0)</f>
        <v>40</v>
      </c>
      <c r="AE1667" s="233">
        <f>IFERROR(__xludf.DUMMYFUNCTION("""COMPUTED_VALUE"""),46096.0)</f>
        <v>46096</v>
      </c>
      <c r="AF1667" s="54"/>
      <c r="AG1667" s="54"/>
      <c r="AH1667" s="54">
        <v>46098.0</v>
      </c>
      <c r="AI1667" s="55">
        <f t="shared" si="162"/>
        <v>2</v>
      </c>
      <c r="AW1667" s="234"/>
      <c r="BP1667" s="11"/>
      <c r="BQ1667" s="11"/>
      <c r="BR1667" s="235"/>
      <c r="BV1667" s="158"/>
      <c r="BY1667" s="158"/>
      <c r="CB1667" s="158"/>
    </row>
    <row r="1668" ht="18.0" customHeight="1">
      <c r="A1668" s="222">
        <f>IFERROR(__xludf.DUMMYFUNCTION("""COMPUTED_VALUE"""),2026.0)</f>
        <v>2026</v>
      </c>
      <c r="B1668" s="221">
        <f>IFERROR(__xludf.DUMMYFUNCTION("""COMPUTED_VALUE"""),1.1360707E7)</f>
        <v>11360707</v>
      </c>
      <c r="C1668" s="222" t="str">
        <f>IFERROR(__xludf.DUMMYFUNCTION("""COMPUTED_VALUE"""),"SMB P2I2 AOi4250208065421505a780c0")</f>
        <v>SMB P2I2 AOi4250208065421505a780c0</v>
      </c>
      <c r="D1668" s="222" t="str">
        <f>IFERROR(__xludf.DUMMYFUNCTION("""COMPUTED_VALUE"""),"REGIONAL I")</f>
        <v>REGIONAL I</v>
      </c>
      <c r="E1668" s="222" t="str">
        <f>IFERROR(__xludf.DUMMYFUNCTION("""COMPUTED_VALUE"""),"SUMBAR")</f>
        <v>SUMBAR</v>
      </c>
      <c r="F1668" s="222" t="str">
        <f>IFERROR(__xludf.DUMMYFUNCTION("""COMPUTED_VALUE"""),"KNL")</f>
        <v>KNL</v>
      </c>
      <c r="G1668" s="222" t="str">
        <f>IFERROR(__xludf.DUMMYFUNCTION("""COMPUTED_VALUE"""),"SUMBAGTENG")</f>
        <v>SUMBAGTENG</v>
      </c>
      <c r="H1668" s="222" t="str">
        <f>IFERROR(__xludf.DUMMYFUNCTION("""COMPUTED_VALUE"""),"BUKIT TINGGI")</f>
        <v>BUKIT TINGGI</v>
      </c>
      <c r="I1668" s="222" t="str">
        <f>IFERROR(__xludf.DUMMYFUNCTION("""COMPUTED_VALUE"""),"Batch 2")</f>
        <v>Batch 2</v>
      </c>
      <c r="J1668" s="225">
        <f>IFERROR(__xludf.DUMMYFUNCTION("""COMPUTED_VALUE"""),1.0)</f>
        <v>1</v>
      </c>
      <c r="K1668" s="224">
        <f>IFERROR(__xludf.DUMMYFUNCTION("""COMPUTED_VALUE"""),8.0)</f>
        <v>8</v>
      </c>
      <c r="L1668" s="226">
        <f>IFERROR(__xludf.DUMMYFUNCTION("""COMPUTED_VALUE"""),471562.0)</f>
        <v>471562</v>
      </c>
      <c r="M1668" s="227">
        <f>IFERROR(__xludf.DUMMYFUNCTION("""COMPUTED_VALUE"""),3772489.0)</f>
        <v>3772489</v>
      </c>
      <c r="N1668" s="222" t="str">
        <f>IFERROR(__xludf.DUMMYFUNCTION("""COMPUTED_VALUE"""),"PT TIGA AKSES MANDIRI")</f>
        <v>PT TIGA AKSES MANDIRI</v>
      </c>
      <c r="O1668" s="222" t="str">
        <f>IFERROR(__xludf.DUMMYFUNCTION("""COMPUTED_VALUE"""),"2. DONE AANWIJZING")</f>
        <v>2. DONE AANWIJZING</v>
      </c>
      <c r="P1668" s="222" t="str">
        <f>IFERROR(__xludf.DUMMYFUNCTION("""COMPUTED_VALUE"""),"2.9 Kendala - Distribusi Penuh / Rusak")</f>
        <v>2.9 Kendala - Distribusi Penuh / Rusak</v>
      </c>
      <c r="Q1668" s="222" t="str">
        <f>IFERROR(__xludf.DUMMYFUNCTION("""COMPUTED_VALUE"""),"(27/01) Kendala dist 6 KNL-FA full , butuh new dist, kenaikan di atas 10% ")</f>
        <v>(27/01) Kendala dist 6 KNL-FA full , butuh new dist, kenaikan di atas 10% </v>
      </c>
      <c r="R1668" s="228"/>
      <c r="S1668" s="11"/>
      <c r="T1668" s="11"/>
      <c r="U1668" s="11"/>
      <c r="V1668" s="229"/>
      <c r="W1668" s="229"/>
      <c r="X1668" s="229" t="str">
        <f>IFERROR(__xludf.DUMMYFUNCTION("""COMPUTED_VALUE"""),"BELUM GOLIVE")</f>
        <v>BELUM GOLIVE</v>
      </c>
      <c r="Y1668" s="229"/>
      <c r="Z1668" s="229" t="str">
        <f>IFERROR(__xludf.DUMMYFUNCTION("""COMPUTED_VALUE"""),"#N/A")</f>
        <v>#N/A</v>
      </c>
      <c r="AA1668" s="229"/>
      <c r="AB1668" s="229"/>
      <c r="AC1668" s="229"/>
      <c r="AD1668" s="232"/>
      <c r="AE1668" s="233"/>
      <c r="AF1668" s="54"/>
      <c r="AG1668" s="54"/>
      <c r="AH1668" s="54"/>
      <c r="AI1668" s="55" t="str">
        <f t="shared" si="162"/>
        <v/>
      </c>
      <c r="AW1668" s="234"/>
      <c r="BP1668" s="11"/>
      <c r="BQ1668" s="11"/>
      <c r="BR1668" s="235"/>
      <c r="BV1668" s="158"/>
      <c r="BY1668" s="158"/>
      <c r="CB1668" s="158"/>
    </row>
    <row r="1669" ht="18.0" hidden="1" customHeight="1">
      <c r="A1669" s="222">
        <f>IFERROR(__xludf.DUMMYFUNCTION("""COMPUTED_VALUE"""),2026.0)</f>
        <v>2026</v>
      </c>
      <c r="B1669" s="221">
        <f>IFERROR(__xludf.DUMMYFUNCTION("""COMPUTED_VALUE"""),1.1618455E7)</f>
        <v>11618455</v>
      </c>
      <c r="C1669" s="222" t="str">
        <f>IFERROR(__xludf.DUMMYFUNCTION("""COMPUTED_VALUE"""),"MDN PT3 DLT-FAD JL.PATUMBAK II_MD25")</f>
        <v>MDN PT3 DLT-FAD JL.PATUMBAK II_MD25</v>
      </c>
      <c r="D1669" s="222" t="str">
        <f>IFERROR(__xludf.DUMMYFUNCTION("""COMPUTED_VALUE"""),"REGIONAL I")</f>
        <v>REGIONAL I</v>
      </c>
      <c r="E1669" s="222" t="str">
        <f>IFERROR(__xludf.DUMMYFUNCTION("""COMPUTED_VALUE"""),"MEDAN")</f>
        <v>MEDAN</v>
      </c>
      <c r="F1669" s="222" t="str">
        <f>IFERROR(__xludf.DUMMYFUNCTION("""COMPUTED_VALUE"""),"DLT")</f>
        <v>DLT</v>
      </c>
      <c r="G1669" s="222" t="str">
        <f>IFERROR(__xludf.DUMMYFUNCTION("""COMPUTED_VALUE"""),"SUMBAGUT")</f>
        <v>SUMBAGUT</v>
      </c>
      <c r="H1669" s="222" t="str">
        <f>IFERROR(__xludf.DUMMYFUNCTION("""COMPUTED_VALUE"""),"MEDAN")</f>
        <v>MEDAN</v>
      </c>
      <c r="I1669" s="222" t="str">
        <f>IFERROR(__xludf.DUMMYFUNCTION("""COMPUTED_VALUE"""),"Batch 2")</f>
        <v>Batch 2</v>
      </c>
      <c r="J1669" s="225">
        <f>IFERROR(__xludf.DUMMYFUNCTION("""COMPUTED_VALUE"""),4.0)</f>
        <v>4</v>
      </c>
      <c r="K1669" s="224">
        <f>IFERROR(__xludf.DUMMYFUNCTION("""COMPUTED_VALUE"""),32.0)</f>
        <v>32</v>
      </c>
      <c r="L1669" s="226">
        <f>IFERROR(__xludf.DUMMYFUNCTION("""COMPUTED_VALUE"""),471327.0)</f>
        <v>471327</v>
      </c>
      <c r="M1669" s="227">
        <f>IFERROR(__xludf.DUMMYFUNCTION("""COMPUTED_VALUE"""),1.5082456E7)</f>
        <v>15082456</v>
      </c>
      <c r="N1669" s="222" t="str">
        <f>IFERROR(__xludf.DUMMYFUNCTION("""COMPUTED_VALUE"""),"PT UPENTEL INTERNASIONAL")</f>
        <v>PT UPENTEL INTERNASIONAL</v>
      </c>
      <c r="O1669" s="222" t="str">
        <f>IFERROR(__xludf.DUMMYFUNCTION("""COMPUTED_VALUE"""),"0. DROP")</f>
        <v>0. DROP</v>
      </c>
      <c r="P1669" s="222" t="str">
        <f>IFERROR(__xludf.DUMMYFUNCTION("""COMPUTED_VALUE"""),"0.3 Feeder Full")</f>
        <v>0.3 Feeder Full</v>
      </c>
      <c r="Q1669" s="222" t="str">
        <f>IFERROR(__xludf.DUMMYFUNCTION("""COMPUTED_VALUE"""),"(29/01) Core Feeder Habis DLT-FAD")</f>
        <v>(29/01) Core Feeder Habis DLT-FAD</v>
      </c>
      <c r="R1669" s="228"/>
      <c r="S1669" s="11"/>
      <c r="T1669" s="11"/>
      <c r="U1669" s="11"/>
      <c r="V1669" s="229"/>
      <c r="W1669" s="229"/>
      <c r="X1669" s="229" t="str">
        <f>IFERROR(__xludf.DUMMYFUNCTION("""COMPUTED_VALUE"""),"BELUM GOLIVE")</f>
        <v>BELUM GOLIVE</v>
      </c>
      <c r="Y1669" s="229"/>
      <c r="Z1669" s="229" t="str">
        <f>IFERROR(__xludf.DUMMYFUNCTION("""COMPUTED_VALUE"""),"#N/A")</f>
        <v>#N/A</v>
      </c>
      <c r="AA1669" s="229"/>
      <c r="AB1669" s="229"/>
      <c r="AC1669" s="229"/>
      <c r="AD1669" s="232"/>
      <c r="AE1669" s="233"/>
      <c r="AF1669" s="54"/>
      <c r="AG1669" s="54"/>
      <c r="AH1669" s="54"/>
      <c r="AI1669" s="55" t="str">
        <f t="shared" si="162"/>
        <v/>
      </c>
      <c r="AW1669" s="234"/>
      <c r="BP1669" s="11"/>
      <c r="BQ1669" s="11"/>
      <c r="BR1669" s="235"/>
      <c r="BV1669" s="158"/>
      <c r="BY1669" s="158"/>
      <c r="CB1669" s="158"/>
    </row>
    <row r="1670" ht="18.0" hidden="1" customHeight="1">
      <c r="A1670" s="222">
        <f>IFERROR(__xludf.DUMMYFUNCTION("""COMPUTED_VALUE"""),2026.0)</f>
        <v>2026</v>
      </c>
      <c r="B1670" s="221">
        <f>IFERROR(__xludf.DUMMYFUNCTION("""COMPUTED_VALUE"""),1.1843484E7)</f>
        <v>11843484</v>
      </c>
      <c r="C1670" s="222" t="str">
        <f>IFERROR(__xludf.DUMMYFUNCTION("""COMPUTED_VALUE"""),"MDN PT3 PRT-FE MEDAN PERCUT_MD25")</f>
        <v>MDN PT3 PRT-FE MEDAN PERCUT_MD25</v>
      </c>
      <c r="D1670" s="222" t="str">
        <f>IFERROR(__xludf.DUMMYFUNCTION("""COMPUTED_VALUE"""),"REGIONAL I")</f>
        <v>REGIONAL I</v>
      </c>
      <c r="E1670" s="222" t="str">
        <f>IFERROR(__xludf.DUMMYFUNCTION("""COMPUTED_VALUE"""),"MEDAN")</f>
        <v>MEDAN</v>
      </c>
      <c r="F1670" s="222" t="str">
        <f>IFERROR(__xludf.DUMMYFUNCTION("""COMPUTED_VALUE"""),"PRT")</f>
        <v>PRT</v>
      </c>
      <c r="G1670" s="222" t="str">
        <f>IFERROR(__xludf.DUMMYFUNCTION("""COMPUTED_VALUE"""),"SUMBAGUT")</f>
        <v>SUMBAGUT</v>
      </c>
      <c r="H1670" s="222" t="str">
        <f>IFERROR(__xludf.DUMMYFUNCTION("""COMPUTED_VALUE"""),"MEDAN")</f>
        <v>MEDAN</v>
      </c>
      <c r="I1670" s="222" t="str">
        <f>IFERROR(__xludf.DUMMYFUNCTION("""COMPUTED_VALUE"""),"Batch 2")</f>
        <v>Batch 2</v>
      </c>
      <c r="J1670" s="225">
        <f>IFERROR(__xludf.DUMMYFUNCTION("""COMPUTED_VALUE"""),3.0)</f>
        <v>3</v>
      </c>
      <c r="K1670" s="224">
        <f>IFERROR(__xludf.DUMMYFUNCTION("""COMPUTED_VALUE"""),24.0)</f>
        <v>24</v>
      </c>
      <c r="L1670" s="226">
        <f>IFERROR(__xludf.DUMMYFUNCTION("""COMPUTED_VALUE"""),469789.0)</f>
        <v>469789</v>
      </c>
      <c r="M1670" s="227">
        <f>IFERROR(__xludf.DUMMYFUNCTION("""COMPUTED_VALUE"""),1.1274915E7)</f>
        <v>11274915</v>
      </c>
      <c r="N1670" s="222" t="str">
        <f>IFERROR(__xludf.DUMMYFUNCTION("""COMPUTED_VALUE"""),"PT BENWA  MITRA PRATAMA")</f>
        <v>PT BENWA  MITRA PRATAMA</v>
      </c>
      <c r="O1670" s="222" t="str">
        <f>IFERROR(__xludf.DUMMYFUNCTION("""COMPUTED_VALUE"""),"0. DROP")</f>
        <v>0. DROP</v>
      </c>
      <c r="P1670" s="222" t="str">
        <f>IFERROR(__xludf.DUMMYFUNCTION("""COMPUTED_VALUE"""),"0.2 Tidak Dapat Izin Warga/Kades/Lurah/Developer")</f>
        <v>0.2 Tidak Dapat Izin Warga/Kades/Lurah/Developer</v>
      </c>
      <c r="Q1670" s="222" t="str">
        <f>IFERROR(__xludf.DUMMYFUNCTION("""COMPUTED_VALUE"""),"31/03 tidak dapat izin akses dari lurah 30/01 Done Aanwidzing, Lanjut perizinan")</f>
        <v>31/03 tidak dapat izin akses dari lurah 30/01 Done Aanwidzing, Lanjut perizinan</v>
      </c>
      <c r="R1670" s="228"/>
      <c r="S1670" s="11"/>
      <c r="T1670" s="11"/>
      <c r="U1670" s="11"/>
      <c r="V1670" s="229"/>
      <c r="W1670" s="229"/>
      <c r="X1670" s="229" t="str">
        <f>IFERROR(__xludf.DUMMYFUNCTION("""COMPUTED_VALUE"""),"BELUM GOLIVE")</f>
        <v>BELUM GOLIVE</v>
      </c>
      <c r="Y1670" s="229"/>
      <c r="Z1670" s="229" t="str">
        <f>IFERROR(__xludf.DUMMYFUNCTION("""COMPUTED_VALUE"""),"#N/A")</f>
        <v>#N/A</v>
      </c>
      <c r="AA1670" s="229"/>
      <c r="AB1670" s="229"/>
      <c r="AC1670" s="229"/>
      <c r="AD1670" s="232"/>
      <c r="AE1670" s="233"/>
      <c r="AF1670" s="54"/>
      <c r="AG1670" s="54"/>
      <c r="AH1670" s="54"/>
      <c r="AI1670" s="55" t="str">
        <f t="shared" si="162"/>
        <v/>
      </c>
      <c r="AW1670" s="234"/>
      <c r="BP1670" s="11"/>
      <c r="BQ1670" s="11"/>
      <c r="BR1670" s="235"/>
      <c r="BV1670" s="158"/>
      <c r="BY1670" s="158"/>
      <c r="CB1670" s="158"/>
    </row>
    <row r="1671" ht="18.0" hidden="1" customHeight="1">
      <c r="A1671" s="222">
        <f>IFERROR(__xludf.DUMMYFUNCTION("""COMPUTED_VALUE"""),2026.0)</f>
        <v>2026</v>
      </c>
      <c r="B1671" s="221">
        <f>IFERROR(__xludf.DUMMYFUNCTION("""COMPUTED_VALUE"""),1.1858802E7)</f>
        <v>11858802</v>
      </c>
      <c r="C1671" s="222" t="str">
        <f>IFERROR(__xludf.DUMMYFUNCTION("""COMPUTED_VALUE"""),"MDN PT3 TJR-FAJ JL.BERSAMA 250_1580_1729")</f>
        <v>MDN PT3 TJR-FAJ JL.BERSAMA 250_1580_1729</v>
      </c>
      <c r="D1671" s="222" t="str">
        <f>IFERROR(__xludf.DUMMYFUNCTION("""COMPUTED_VALUE"""),"REGIONAL I")</f>
        <v>REGIONAL I</v>
      </c>
      <c r="E1671" s="222" t="str">
        <f>IFERROR(__xludf.DUMMYFUNCTION("""COMPUTED_VALUE"""),"MEDAN")</f>
        <v>MEDAN</v>
      </c>
      <c r="F1671" s="222" t="str">
        <f>IFERROR(__xludf.DUMMYFUNCTION("""COMPUTED_VALUE"""),"TJR")</f>
        <v>TJR</v>
      </c>
      <c r="G1671" s="222" t="str">
        <f>IFERROR(__xludf.DUMMYFUNCTION("""COMPUTED_VALUE"""),"SUMBAGUT")</f>
        <v>SUMBAGUT</v>
      </c>
      <c r="H1671" s="222" t="str">
        <f>IFERROR(__xludf.DUMMYFUNCTION("""COMPUTED_VALUE"""),"MEDAN")</f>
        <v>MEDAN</v>
      </c>
      <c r="I1671" s="222" t="str">
        <f>IFERROR(__xludf.DUMMYFUNCTION("""COMPUTED_VALUE"""),"Batch 2")</f>
        <v>Batch 2</v>
      </c>
      <c r="J1671" s="225">
        <f>IFERROR(__xludf.DUMMYFUNCTION("""COMPUTED_VALUE"""),3.0)</f>
        <v>3</v>
      </c>
      <c r="K1671" s="224">
        <f>IFERROR(__xludf.DUMMYFUNCTION("""COMPUTED_VALUE"""),24.0)</f>
        <v>24</v>
      </c>
      <c r="L1671" s="226">
        <f>IFERROR(__xludf.DUMMYFUNCTION("""COMPUTED_VALUE"""),638448.0)</f>
        <v>638448</v>
      </c>
      <c r="M1671" s="227">
        <f>IFERROR(__xludf.DUMMYFUNCTION("""COMPUTED_VALUE"""),1.5322742E7)</f>
        <v>15322742</v>
      </c>
      <c r="N1671" s="222" t="str">
        <f>IFERROR(__xludf.DUMMYFUNCTION("""COMPUTED_VALUE"""),"PT UPAYA TEKNIK")</f>
        <v>PT UPAYA TEKNIK</v>
      </c>
      <c r="O1671" s="222" t="str">
        <f>IFERROR(__xludf.DUMMYFUNCTION("""COMPUTED_VALUE"""),"8. UJI TERIMA")</f>
        <v>8. UJI TERIMA</v>
      </c>
      <c r="P1671" s="222" t="str">
        <f>IFERROR(__xludf.DUMMYFUNCTION("""COMPUTED_VALUE"""),"8.1 Proses UT")</f>
        <v>8.1 Proses UT</v>
      </c>
      <c r="Q1671" s="222" t="str">
        <f>IFERROR(__xludf.DUMMYFUNCTION("""COMPUTED_VALUE"""),"10/02 golive sdi
09/02 pengecekan abd mancore
(08/01) drop permintaan tsel  (07/01) Persiapan")</f>
        <v>10/02 golive sdi
09/02 pengecekan abd mancore
(08/01) drop permintaan tsel  (07/01) Persiapan</v>
      </c>
      <c r="R1671" s="228">
        <f>IFERROR(__xludf.DUMMYFUNCTION("""COMPUTED_VALUE"""),46063.0)</f>
        <v>46063</v>
      </c>
      <c r="S1671" s="11"/>
      <c r="T1671" s="11"/>
      <c r="U1671" s="11" t="str">
        <f>IFERROR(__xludf.DUMMYFUNCTION("""COMPUTED_VALUE"""),"FALSE")</f>
        <v>FALSE</v>
      </c>
      <c r="V1671" s="229"/>
      <c r="W1671" s="229"/>
      <c r="X1671" s="229" t="str">
        <f>IFERROR(__xludf.DUMMYFUNCTION("""COMPUTED_VALUE"""),"GOLIVE")</f>
        <v>GOLIVE</v>
      </c>
      <c r="Y1671" s="229" t="str">
        <f>IFERROR(__xludf.DUMMYFUNCTION("""COMPUTED_VALUE"""),"DONE")</f>
        <v>DONE</v>
      </c>
      <c r="Z1671" s="229" t="str">
        <f>IFERROR(__xludf.DUMMYFUNCTION("""COMPUTED_VALUE"""),"#N/A")</f>
        <v>#N/A</v>
      </c>
      <c r="AA1671" s="229">
        <f>IFERROR(__xludf.DUMMYFUNCTION("""COMPUTED_VALUE"""),3.0)</f>
        <v>3</v>
      </c>
      <c r="AB1671" s="229"/>
      <c r="AC1671" s="229" t="str">
        <f>IFERROR(__xludf.DUMMYFUNCTION("""COMPUTED_VALUE"""),"9091602#9091607")</f>
        <v>9091602#9091607</v>
      </c>
      <c r="AD1671" s="232">
        <f>IFERROR(__xludf.DUMMYFUNCTION("""COMPUTED_VALUE"""),24.0)</f>
        <v>24</v>
      </c>
      <c r="AE1671" s="233">
        <f>IFERROR(__xludf.DUMMYFUNCTION("""COMPUTED_VALUE"""),46063.0)</f>
        <v>46063</v>
      </c>
      <c r="AF1671" s="54"/>
      <c r="AG1671" s="54"/>
      <c r="AH1671" s="54">
        <v>46063.0</v>
      </c>
      <c r="AI1671" s="55">
        <f t="shared" si="162"/>
        <v>0</v>
      </c>
      <c r="AW1671" s="234"/>
      <c r="BP1671" s="11"/>
      <c r="BQ1671" s="11"/>
      <c r="BR1671" s="235"/>
      <c r="BV1671" s="158"/>
      <c r="BY1671" s="158"/>
      <c r="CB1671" s="158"/>
    </row>
    <row r="1672" ht="18.0" customHeight="1">
      <c r="A1672" s="222">
        <f>IFERROR(__xludf.DUMMYFUNCTION("""COMPUTED_VALUE"""),2026.0)</f>
        <v>2026</v>
      </c>
      <c r="B1672" s="221">
        <f>IFERROR(__xludf.DUMMYFUNCTION("""COMPUTED_VALUE"""),1.134681E7)</f>
        <v>11346810</v>
      </c>
      <c r="C1672" s="222" t="str">
        <f>IFERROR(__xludf.DUMMYFUNCTION("""COMPUTED_VALUE"""),"SMB P2I2 SCATTER PER.GIANT RESIDENCE")</f>
        <v>SMB P2I2 SCATTER PER.GIANT RESIDENCE</v>
      </c>
      <c r="D1672" s="222" t="str">
        <f>IFERROR(__xludf.DUMMYFUNCTION("""COMPUTED_VALUE"""),"REGIONAL I")</f>
        <v>REGIONAL I</v>
      </c>
      <c r="E1672" s="222" t="str">
        <f>IFERROR(__xludf.DUMMYFUNCTION("""COMPUTED_VALUE"""),"SUMBAR")</f>
        <v>SUMBAR</v>
      </c>
      <c r="F1672" s="222" t="str">
        <f>IFERROR(__xludf.DUMMYFUNCTION("""COMPUTED_VALUE"""),"BKT")</f>
        <v>BKT</v>
      </c>
      <c r="G1672" s="222" t="str">
        <f>IFERROR(__xludf.DUMMYFUNCTION("""COMPUTED_VALUE"""),"SUMBAGTENG")</f>
        <v>SUMBAGTENG</v>
      </c>
      <c r="H1672" s="222" t="str">
        <f>IFERROR(__xludf.DUMMYFUNCTION("""COMPUTED_VALUE"""),"BUKIT TINGGI")</f>
        <v>BUKIT TINGGI</v>
      </c>
      <c r="I1672" s="222" t="str">
        <f>IFERROR(__xludf.DUMMYFUNCTION("""COMPUTED_VALUE"""),"Batch 2")</f>
        <v>Batch 2</v>
      </c>
      <c r="J1672" s="225">
        <f>IFERROR(__xludf.DUMMYFUNCTION("""COMPUTED_VALUE"""),3.0)</f>
        <v>3</v>
      </c>
      <c r="K1672" s="224">
        <f>IFERROR(__xludf.DUMMYFUNCTION("""COMPUTED_VALUE"""),24.0)</f>
        <v>24</v>
      </c>
      <c r="L1672" s="226">
        <f>IFERROR(__xludf.DUMMYFUNCTION("""COMPUTED_VALUE"""),467222.0)</f>
        <v>467222</v>
      </c>
      <c r="M1672" s="227">
        <f>IFERROR(__xludf.DUMMYFUNCTION("""COMPUTED_VALUE"""),1.1213317E7)</f>
        <v>11213317</v>
      </c>
      <c r="N1672" s="222" t="str">
        <f>IFERROR(__xludf.DUMMYFUNCTION("""COMPUTED_VALUE"""),"PT UPAYA TEKNIK")</f>
        <v>PT UPAYA TEKNIK</v>
      </c>
      <c r="O1672" s="222" t="str">
        <f>IFERROR(__xludf.DUMMYFUNCTION("""COMPUTED_VALUE"""),"0. DROP")</f>
        <v>0. DROP</v>
      </c>
      <c r="P1672" s="222" t="str">
        <f>IFERROR(__xludf.DUMMYFUNCTION("""COMPUTED_VALUE"""),"0.3 Feeder Full")</f>
        <v>0.3 Feeder Full</v>
      </c>
      <c r="Q1672" s="222" t="str">
        <f>IFERROR(__xludf.DUMMYFUNCTION("""COMPUTED_VALUE"""),"(26/01)Kendala feeder BSO-FB FULL  (07/01) Persiapan")</f>
        <v>(26/01)Kendala feeder BSO-FB FULL  (07/01) Persiapan</v>
      </c>
      <c r="R1672" s="228"/>
      <c r="S1672" s="11"/>
      <c r="T1672" s="11"/>
      <c r="U1672" s="11"/>
      <c r="V1672" s="229"/>
      <c r="W1672" s="229"/>
      <c r="X1672" s="229" t="str">
        <f>IFERROR(__xludf.DUMMYFUNCTION("""COMPUTED_VALUE"""),"BELUM GOLIVE")</f>
        <v>BELUM GOLIVE</v>
      </c>
      <c r="Y1672" s="229"/>
      <c r="Z1672" s="229" t="str">
        <f>IFERROR(__xludf.DUMMYFUNCTION("""COMPUTED_VALUE"""),"#N/A")</f>
        <v>#N/A</v>
      </c>
      <c r="AA1672" s="229"/>
      <c r="AB1672" s="229"/>
      <c r="AC1672" s="229"/>
      <c r="AD1672" s="232"/>
      <c r="AE1672" s="233"/>
      <c r="AF1672" s="54" t="str">
        <f>IFERROR(__xludf.DUMMYFUNCTION("""COMPUTED_VALUE"""),"Draft BA DROP")</f>
        <v>Draft BA DROP</v>
      </c>
      <c r="AG1672" s="54"/>
      <c r="AH1672" s="54"/>
      <c r="AI1672" s="55" t="str">
        <f t="shared" si="162"/>
        <v/>
      </c>
      <c r="AW1672" s="234"/>
      <c r="BP1672" s="11"/>
      <c r="BQ1672" s="11"/>
      <c r="BR1672" s="235"/>
      <c r="BV1672" s="158"/>
      <c r="BY1672" s="158"/>
      <c r="CB1672" s="158"/>
    </row>
    <row r="1673" ht="18.0" customHeight="1">
      <c r="A1673" s="222">
        <f>IFERROR(__xludf.DUMMYFUNCTION("""COMPUTED_VALUE"""),2026.0)</f>
        <v>2026</v>
      </c>
      <c r="B1673" s="221">
        <f>IFERROR(__xludf.DUMMYFUNCTION("""COMPUTED_VALUE"""),1.2063736E7)</f>
        <v>12063736</v>
      </c>
      <c r="C1673" s="222" t="str">
        <f>IFERROR(__xludf.DUMMYFUNCTION("""COMPUTED_VALUE"""),"SMB-PT3-ODC-BSO-FB-AGAM_100053")</f>
        <v>SMB-PT3-ODC-BSO-FB-AGAM_100053</v>
      </c>
      <c r="D1673" s="222" t="str">
        <f>IFERROR(__xludf.DUMMYFUNCTION("""COMPUTED_VALUE"""),"REGIONAL I")</f>
        <v>REGIONAL I</v>
      </c>
      <c r="E1673" s="222" t="str">
        <f>IFERROR(__xludf.DUMMYFUNCTION("""COMPUTED_VALUE"""),"SUMBAR")</f>
        <v>SUMBAR</v>
      </c>
      <c r="F1673" s="222" t="str">
        <f>IFERROR(__xludf.DUMMYFUNCTION("""COMPUTED_VALUE"""),"BSO")</f>
        <v>BSO</v>
      </c>
      <c r="G1673" s="222" t="str">
        <f>IFERROR(__xludf.DUMMYFUNCTION("""COMPUTED_VALUE"""),"SUMBAGTENG")</f>
        <v>SUMBAGTENG</v>
      </c>
      <c r="H1673" s="222" t="str">
        <f>IFERROR(__xludf.DUMMYFUNCTION("""COMPUTED_VALUE"""),"BUKIT TINGGI")</f>
        <v>BUKIT TINGGI</v>
      </c>
      <c r="I1673" s="222" t="str">
        <f>IFERROR(__xludf.DUMMYFUNCTION("""COMPUTED_VALUE"""),"Batch 2")</f>
        <v>Batch 2</v>
      </c>
      <c r="J1673" s="225">
        <f>IFERROR(__xludf.DUMMYFUNCTION("""COMPUTED_VALUE"""),3.0)</f>
        <v>3</v>
      </c>
      <c r="K1673" s="224">
        <f>IFERROR(__xludf.DUMMYFUNCTION("""COMPUTED_VALUE"""),24.0)</f>
        <v>24</v>
      </c>
      <c r="L1673" s="226">
        <f>IFERROR(__xludf.DUMMYFUNCTION("""COMPUTED_VALUE"""),466203.0)</f>
        <v>466203</v>
      </c>
      <c r="M1673" s="227">
        <f>IFERROR(__xludf.DUMMYFUNCTION("""COMPUTED_VALUE"""),1.1188865E7)</f>
        <v>11188865</v>
      </c>
      <c r="N1673" s="222" t="str">
        <f>IFERROR(__xludf.DUMMYFUNCTION("""COMPUTED_VALUE"""),"PT RATRI PRIMA MANDIRI")</f>
        <v>PT RATRI PRIMA MANDIRI</v>
      </c>
      <c r="O1673" s="222" t="str">
        <f>IFERROR(__xludf.DUMMYFUNCTION("""COMPUTED_VALUE"""),"0. DROP")</f>
        <v>0. DROP</v>
      </c>
      <c r="P1673" s="222" t="str">
        <f>IFERROR(__xludf.DUMMYFUNCTION("""COMPUTED_VALUE"""),"0.3 Feeder Full")</f>
        <v>0.3 Feeder Full</v>
      </c>
      <c r="Q1673" s="222" t="str">
        <f>IFERROR(__xludf.DUMMYFUNCTION("""COMPUTED_VALUE"""),"(27/01) KENDALA FEEDER BSO-FB FULL (07/01) Persiapan")</f>
        <v>(27/01) KENDALA FEEDER BSO-FB FULL (07/01) Persiapan</v>
      </c>
      <c r="R1673" s="228"/>
      <c r="S1673" s="11"/>
      <c r="T1673" s="11"/>
      <c r="U1673" s="11"/>
      <c r="V1673" s="229"/>
      <c r="W1673" s="229"/>
      <c r="X1673" s="229" t="str">
        <f>IFERROR(__xludf.DUMMYFUNCTION("""COMPUTED_VALUE"""),"BELUM GOLIVE")</f>
        <v>BELUM GOLIVE</v>
      </c>
      <c r="Y1673" s="229"/>
      <c r="Z1673" s="229" t="str">
        <f>IFERROR(__xludf.DUMMYFUNCTION("""COMPUTED_VALUE"""),"#N/A")</f>
        <v>#N/A</v>
      </c>
      <c r="AA1673" s="229"/>
      <c r="AB1673" s="229"/>
      <c r="AC1673" s="229"/>
      <c r="AD1673" s="232"/>
      <c r="AE1673" s="233"/>
      <c r="AF1673" s="54"/>
      <c r="AG1673" s="54"/>
      <c r="AH1673" s="54"/>
      <c r="AI1673" s="55" t="str">
        <f t="shared" si="162"/>
        <v/>
      </c>
      <c r="AW1673" s="234"/>
      <c r="BP1673" s="11"/>
      <c r="BQ1673" s="11"/>
      <c r="BR1673" s="235"/>
      <c r="BV1673" s="158"/>
      <c r="BY1673" s="158"/>
      <c r="CB1673" s="158"/>
    </row>
    <row r="1674" ht="18.0" customHeight="1">
      <c r="A1674" s="222">
        <f>IFERROR(__xludf.DUMMYFUNCTION("""COMPUTED_VALUE"""),2026.0)</f>
        <v>2026</v>
      </c>
      <c r="B1674" s="221">
        <f>IFERROR(__xludf.DUMMYFUNCTION("""COMPUTED_VALUE"""),1.1357982E7)</f>
        <v>11357982</v>
      </c>
      <c r="C1674" s="222" t="str">
        <f>IFERROR(__xludf.DUMMYFUNCTION("""COMPUTED_VALUE"""),"SMB P2I2 PT3 CROSSING JALAN LENI")</f>
        <v>SMB P2I2 PT3 CROSSING JALAN LENI</v>
      </c>
      <c r="D1674" s="222" t="str">
        <f>IFERROR(__xludf.DUMMYFUNCTION("""COMPUTED_VALUE"""),"REGIONAL I")</f>
        <v>REGIONAL I</v>
      </c>
      <c r="E1674" s="222" t="str">
        <f>IFERROR(__xludf.DUMMYFUNCTION("""COMPUTED_VALUE"""),"SUMBAR")</f>
        <v>SUMBAR</v>
      </c>
      <c r="F1674" s="222" t="str">
        <f>IFERROR(__xludf.DUMMYFUNCTION("""COMPUTED_VALUE"""),"SPE")</f>
        <v>SPE</v>
      </c>
      <c r="G1674" s="222" t="str">
        <f>IFERROR(__xludf.DUMMYFUNCTION("""COMPUTED_VALUE"""),"SUMBAGTENG")</f>
        <v>SUMBAGTENG</v>
      </c>
      <c r="H1674" s="222" t="str">
        <f>IFERROR(__xludf.DUMMYFUNCTION("""COMPUTED_VALUE"""),"BUKIT TINGGI")</f>
        <v>BUKIT TINGGI</v>
      </c>
      <c r="I1674" s="222" t="str">
        <f>IFERROR(__xludf.DUMMYFUNCTION("""COMPUTED_VALUE"""),"Batch 2")</f>
        <v>Batch 2</v>
      </c>
      <c r="J1674" s="225">
        <f>IFERROR(__xludf.DUMMYFUNCTION("""COMPUTED_VALUE"""),1.0)</f>
        <v>1</v>
      </c>
      <c r="K1674" s="224">
        <f>IFERROR(__xludf.DUMMYFUNCTION("""COMPUTED_VALUE"""),8.0)</f>
        <v>8</v>
      </c>
      <c r="L1674" s="226">
        <f>IFERROR(__xludf.DUMMYFUNCTION("""COMPUTED_VALUE"""),466145.0)</f>
        <v>466145</v>
      </c>
      <c r="M1674" s="227">
        <f>IFERROR(__xludf.DUMMYFUNCTION("""COMPUTED_VALUE"""),3729160.0)</f>
        <v>3729160</v>
      </c>
      <c r="N1674" s="222" t="str">
        <f>IFERROR(__xludf.DUMMYFUNCTION("""COMPUTED_VALUE"""),"PT TIGA AKSES MANDIRI")</f>
        <v>PT TIGA AKSES MANDIRI</v>
      </c>
      <c r="O1674" s="222" t="str">
        <f>IFERROR(__xludf.DUMMYFUNCTION("""COMPUTED_VALUE"""),"0. DROP")</f>
        <v>0. DROP</v>
      </c>
      <c r="P1674" s="222" t="str">
        <f>IFERROR(__xludf.DUMMYFUNCTION("""COMPUTED_VALUE"""),"0.3 Feeder Full")</f>
        <v>0.3 Feeder Full</v>
      </c>
      <c r="Q1674" s="222" t="str">
        <f>IFERROR(__xludf.DUMMYFUNCTION("""COMPUTED_VALUE"""),"(08/01) kendala feeder SPE-FB FULL")</f>
        <v>(08/01) kendala feeder SPE-FB FULL</v>
      </c>
      <c r="R1674" s="228"/>
      <c r="S1674" s="11"/>
      <c r="T1674" s="11"/>
      <c r="U1674" s="11"/>
      <c r="V1674" s="229"/>
      <c r="W1674" s="229"/>
      <c r="X1674" s="229" t="str">
        <f>IFERROR(__xludf.DUMMYFUNCTION("""COMPUTED_VALUE"""),"BELUM GOLIVE")</f>
        <v>BELUM GOLIVE</v>
      </c>
      <c r="Y1674" s="229"/>
      <c r="Z1674" s="229" t="str">
        <f>IFERROR(__xludf.DUMMYFUNCTION("""COMPUTED_VALUE"""),"#N/A")</f>
        <v>#N/A</v>
      </c>
      <c r="AA1674" s="229"/>
      <c r="AB1674" s="229"/>
      <c r="AC1674" s="229"/>
      <c r="AD1674" s="232"/>
      <c r="AE1674" s="233"/>
      <c r="AF1674" s="54" t="str">
        <f>IFERROR(__xludf.DUMMYFUNCTION("""COMPUTED_VALUE"""),"Draft BA DROP")</f>
        <v>Draft BA DROP</v>
      </c>
      <c r="AG1674" s="54"/>
      <c r="AH1674" s="54"/>
      <c r="AI1674" s="55" t="str">
        <f t="shared" si="162"/>
        <v/>
      </c>
      <c r="AW1674" s="234"/>
      <c r="BP1674" s="11"/>
      <c r="BQ1674" s="11"/>
      <c r="BR1674" s="235"/>
      <c r="BV1674" s="158"/>
      <c r="BY1674" s="158"/>
      <c r="CB1674" s="158"/>
    </row>
    <row r="1675" ht="18.0" customHeight="1">
      <c r="A1675" s="222">
        <f>IFERROR(__xludf.DUMMYFUNCTION("""COMPUTED_VALUE"""),2026.0)</f>
        <v>2026</v>
      </c>
      <c r="B1675" s="221">
        <f>IFERROR(__xludf.DUMMYFUNCTION("""COMPUTED_VALUE"""),1.1360053E7)</f>
        <v>11360053</v>
      </c>
      <c r="C1675" s="222" t="str">
        <f>IFERROR(__xludf.DUMMYFUNCTION("""COMPUTED_VALUE"""),"SMB P2I2 CROSSING JALAN AOi424122307271")</f>
        <v>SMB P2I2 CROSSING JALAN AOi424122307271</v>
      </c>
      <c r="D1675" s="222" t="str">
        <f>IFERROR(__xludf.DUMMYFUNCTION("""COMPUTED_VALUE"""),"REGIONAL I")</f>
        <v>REGIONAL I</v>
      </c>
      <c r="E1675" s="222" t="str">
        <f>IFERROR(__xludf.DUMMYFUNCTION("""COMPUTED_VALUE"""),"SUMBAR")</f>
        <v>SUMBAR</v>
      </c>
      <c r="F1675" s="222" t="str">
        <f>IFERROR(__xludf.DUMMYFUNCTION("""COMPUTED_VALUE"""),"PNA")</f>
        <v>PNA</v>
      </c>
      <c r="G1675" s="222" t="str">
        <f>IFERROR(__xludf.DUMMYFUNCTION("""COMPUTED_VALUE"""),"SUMBAGTENG")</f>
        <v>SUMBAGTENG</v>
      </c>
      <c r="H1675" s="222" t="str">
        <f>IFERROR(__xludf.DUMMYFUNCTION("""COMPUTED_VALUE"""),"BUKIT TINGGI")</f>
        <v>BUKIT TINGGI</v>
      </c>
      <c r="I1675" s="222" t="str">
        <f>IFERROR(__xludf.DUMMYFUNCTION("""COMPUTED_VALUE"""),"Batch 2")</f>
        <v>Batch 2</v>
      </c>
      <c r="J1675" s="225">
        <f>IFERROR(__xludf.DUMMYFUNCTION("""COMPUTED_VALUE"""),1.0)</f>
        <v>1</v>
      </c>
      <c r="K1675" s="224">
        <f>IFERROR(__xludf.DUMMYFUNCTION("""COMPUTED_VALUE"""),8.0)</f>
        <v>8</v>
      </c>
      <c r="L1675" s="226">
        <f>IFERROR(__xludf.DUMMYFUNCTION("""COMPUTED_VALUE"""),466145.0)</f>
        <v>466145</v>
      </c>
      <c r="M1675" s="227">
        <f>IFERROR(__xludf.DUMMYFUNCTION("""COMPUTED_VALUE"""),3729160.0)</f>
        <v>3729160</v>
      </c>
      <c r="N1675" s="222" t="str">
        <f>IFERROR(__xludf.DUMMYFUNCTION("""COMPUTED_VALUE"""),"PT TSUIKA BERKAH RAYA")</f>
        <v>PT TSUIKA BERKAH RAYA</v>
      </c>
      <c r="O1675" s="222" t="str">
        <f>IFERROR(__xludf.DUMMYFUNCTION("""COMPUTED_VALUE"""),"8. UJI TERIMA")</f>
        <v>8. UJI TERIMA</v>
      </c>
      <c r="P1675" s="222" t="str">
        <f>IFERROR(__xludf.DUMMYFUNCTION("""COMPUTED_VALUE"""),"8.1 Proses UT")</f>
        <v>8.1 Proses UT</v>
      </c>
      <c r="Q1675" s="222" t="str">
        <f>IFERROR(__xludf.DUMMYFUNCTION("""COMPUTED_VALUE"""),"(29/01) Proses Valins 28/01 : valins  (21/01) terminasi ODP (08/01) Kendala feeder PYK-FQ Full, proses delivery material ke site, Menunggu Material dari Pabrik ke WH, proses aanwijzing selesai hari ini (07/01) Persiapan")</f>
        <v>(29/01) Proses Valins 28/01 : valins  (21/01) terminasi ODP (08/01) Kendala feeder PYK-FQ Full, proses delivery material ke site, Menunggu Material dari Pabrik ke WH, proses aanwijzing selesai hari ini (07/01) Persiapan</v>
      </c>
      <c r="R1675" s="228">
        <f>IFERROR(__xludf.DUMMYFUNCTION("""COMPUTED_VALUE"""),46080.0)</f>
        <v>46080</v>
      </c>
      <c r="S1675" s="11"/>
      <c r="T1675" s="11"/>
      <c r="U1675" s="11" t="str">
        <f>IFERROR(__xludf.DUMMYFUNCTION("""COMPUTED_VALUE"""),"W10-1815/2025 25KT03R158-0562")</f>
        <v>W10-1815/2025 25KT03R158-0562</v>
      </c>
      <c r="V1675" s="229" t="str">
        <f>IFERROR(__xludf.DUMMYFUNCTION("""COMPUTED_VALUE"""),"M. ARIF HAMADI")</f>
        <v>M. ARIF HAMADI</v>
      </c>
      <c r="W1675" s="229" t="str">
        <f>IFERROR(__xludf.DUMMYFUNCTION("""COMPUTED_VALUE"""),"MELKO NARWADI")</f>
        <v>MELKO NARWADI</v>
      </c>
      <c r="X1675" s="229" t="str">
        <f>IFERROR(__xludf.DUMMYFUNCTION("""COMPUTED_VALUE"""),"GOLIVE")</f>
        <v>GOLIVE</v>
      </c>
      <c r="Y1675" s="229" t="str">
        <f>IFERROR(__xludf.DUMMYFUNCTION("""COMPUTED_VALUE"""),"DONE")</f>
        <v>DONE</v>
      </c>
      <c r="Z1675" s="229" t="str">
        <f>IFERROR(__xludf.DUMMYFUNCTION("""COMPUTED_VALUE"""),"#N/A")</f>
        <v>#N/A</v>
      </c>
      <c r="AA1675" s="229">
        <f>IFERROR(__xludf.DUMMYFUNCTION("""COMPUTED_VALUE"""),1.0)</f>
        <v>1</v>
      </c>
      <c r="AB1675" s="229"/>
      <c r="AC1675" s="229" t="str">
        <f>IFERROR(__xludf.DUMMYFUNCTION("""COMPUTED_VALUE"""),"9042967#9042972")</f>
        <v>9042967#9042972</v>
      </c>
      <c r="AD1675" s="232">
        <f>IFERROR(__xludf.DUMMYFUNCTION("""COMPUTED_VALUE"""),8.0)</f>
        <v>8</v>
      </c>
      <c r="AE1675" s="233">
        <f>IFERROR(__xludf.DUMMYFUNCTION("""COMPUTED_VALUE"""),46054.0)</f>
        <v>46054</v>
      </c>
      <c r="AF1675" s="54"/>
      <c r="AG1675" s="54"/>
      <c r="AH1675" s="54">
        <v>46080.0</v>
      </c>
      <c r="AI1675" s="55">
        <f t="shared" si="162"/>
        <v>26</v>
      </c>
      <c r="AW1675" s="234"/>
      <c r="BP1675" s="11"/>
      <c r="BQ1675" s="11"/>
      <c r="BR1675" s="235"/>
      <c r="BV1675" s="158"/>
      <c r="BY1675" s="158"/>
      <c r="CB1675" s="158"/>
    </row>
    <row r="1676" ht="18.0" customHeight="1">
      <c r="A1676" s="222">
        <f>IFERROR(__xludf.DUMMYFUNCTION("""COMPUTED_VALUE"""),2026.0)</f>
        <v>2026</v>
      </c>
      <c r="B1676" s="221">
        <f>IFERROR(__xludf.DUMMYFUNCTION("""COMPUTED_VALUE"""),1.1440366E7)</f>
        <v>11440366</v>
      </c>
      <c r="C1676" s="222" t="str">
        <f>IFERROR(__xludf.DUMMYFUNCTION("""COMPUTED_VALUE"""),"SMB LIMA PULUH KOTA_16508")</f>
        <v>SMB LIMA PULUH KOTA_16508</v>
      </c>
      <c r="D1676" s="222" t="str">
        <f>IFERROR(__xludf.DUMMYFUNCTION("""COMPUTED_VALUE"""),"REGIONAL I")</f>
        <v>REGIONAL I</v>
      </c>
      <c r="E1676" s="222" t="str">
        <f>IFERROR(__xludf.DUMMYFUNCTION("""COMPUTED_VALUE"""),"SUMBAR")</f>
        <v>SUMBAR</v>
      </c>
      <c r="F1676" s="222" t="str">
        <f>IFERROR(__xludf.DUMMYFUNCTION("""COMPUTED_VALUE"""),"PYK")</f>
        <v>PYK</v>
      </c>
      <c r="G1676" s="222" t="str">
        <f>IFERROR(__xludf.DUMMYFUNCTION("""COMPUTED_VALUE"""),"SUMBAGTENG")</f>
        <v>SUMBAGTENG</v>
      </c>
      <c r="H1676" s="222" t="str">
        <f>IFERROR(__xludf.DUMMYFUNCTION("""COMPUTED_VALUE"""),"BUKIT TINGGI")</f>
        <v>BUKIT TINGGI</v>
      </c>
      <c r="I1676" s="222" t="str">
        <f>IFERROR(__xludf.DUMMYFUNCTION("""COMPUTED_VALUE"""),"Batch 2")</f>
        <v>Batch 2</v>
      </c>
      <c r="J1676" s="225">
        <f>IFERROR(__xludf.DUMMYFUNCTION("""COMPUTED_VALUE"""),2.0)</f>
        <v>2</v>
      </c>
      <c r="K1676" s="224">
        <f>IFERROR(__xludf.DUMMYFUNCTION("""COMPUTED_VALUE"""),16.0)</f>
        <v>16</v>
      </c>
      <c r="L1676" s="226">
        <f>IFERROR(__xludf.DUMMYFUNCTION("""COMPUTED_VALUE"""),462966.0)</f>
        <v>462966</v>
      </c>
      <c r="M1676" s="227">
        <f>IFERROR(__xludf.DUMMYFUNCTION("""COMPUTED_VALUE"""),7407450.0)</f>
        <v>7407450</v>
      </c>
      <c r="N1676" s="222" t="str">
        <f>IFERROR(__xludf.DUMMYFUNCTION("""COMPUTED_VALUE"""),"SWAKELOLA")</f>
        <v>SWAKELOLA</v>
      </c>
      <c r="O1676" s="222" t="str">
        <f>IFERROR(__xludf.DUMMYFUNCTION("""COMPUTED_VALUE"""),"0. DROP")</f>
        <v>0. DROP</v>
      </c>
      <c r="P1676" s="222" t="str">
        <f>IFERROR(__xludf.DUMMYFUNCTION("""COMPUTED_VALUE"""),"0.3 Feeder Full")</f>
        <v>0.3 Feeder Full</v>
      </c>
      <c r="Q1676" s="222" t="str">
        <f>IFERROR(__xludf.DUMMYFUNCTION("""COMPUTED_VALUE"""),"(26/01) Kendala feeder PYK-FQ Full")</f>
        <v>(26/01) Kendala feeder PYK-FQ Full</v>
      </c>
      <c r="R1676" s="228"/>
      <c r="S1676" s="11"/>
      <c r="T1676" s="11"/>
      <c r="U1676" s="11"/>
      <c r="V1676" s="229"/>
      <c r="W1676" s="229"/>
      <c r="X1676" s="229" t="str">
        <f>IFERROR(__xludf.DUMMYFUNCTION("""COMPUTED_VALUE"""),"BELUM GOLIVE")</f>
        <v>BELUM GOLIVE</v>
      </c>
      <c r="Y1676" s="229"/>
      <c r="Z1676" s="229" t="str">
        <f>IFERROR(__xludf.DUMMYFUNCTION("""COMPUTED_VALUE"""),"#N/A")</f>
        <v>#N/A</v>
      </c>
      <c r="AA1676" s="229"/>
      <c r="AB1676" s="229"/>
      <c r="AC1676" s="229"/>
      <c r="AD1676" s="232"/>
      <c r="AE1676" s="233"/>
      <c r="AF1676" s="54" t="str">
        <f>IFERROR(__xludf.DUMMYFUNCTION("""COMPUTED_VALUE"""),"Draft BA DROP")</f>
        <v>Draft BA DROP</v>
      </c>
      <c r="AG1676" s="54"/>
      <c r="AH1676" s="54"/>
      <c r="AI1676" s="55" t="str">
        <f t="shared" si="162"/>
        <v/>
      </c>
      <c r="AW1676" s="234"/>
      <c r="BP1676" s="11"/>
      <c r="BQ1676" s="11"/>
      <c r="BR1676" s="235"/>
      <c r="BV1676" s="158"/>
      <c r="BY1676" s="158"/>
      <c r="CB1676" s="158"/>
    </row>
    <row r="1677" ht="18.0" hidden="1" customHeight="1">
      <c r="A1677" s="222">
        <f>IFERROR(__xludf.DUMMYFUNCTION("""COMPUTED_VALUE"""),2026.0)</f>
        <v>2026</v>
      </c>
      <c r="B1677" s="221">
        <f>IFERROR(__xludf.DUMMYFUNCTION("""COMPUTED_VALUE"""),1.2133461E7)</f>
        <v>12133461</v>
      </c>
      <c r="C1677" s="222" t="str">
        <f>IFERROR(__xludf.DUMMYFUNCTION("""COMPUTED_VALUE"""),"LPG PT3 JPP Perum Grand Artha - Esha KDT")</f>
        <v>LPG PT3 JPP Perum Grand Artha - Esha KDT</v>
      </c>
      <c r="D1677" s="222" t="str">
        <f>IFERROR(__xludf.DUMMYFUNCTION("""COMPUTED_VALUE"""),"REGIONAL I")</f>
        <v>REGIONAL I</v>
      </c>
      <c r="E1677" s="222" t="str">
        <f>IFERROR(__xludf.DUMMYFUNCTION("""COMPUTED_VALUE"""),"LAMPUNG")</f>
        <v>LAMPUNG</v>
      </c>
      <c r="F1677" s="222" t="str">
        <f>IFERROR(__xludf.DUMMYFUNCTION("""COMPUTED_VALUE"""),"KDT")</f>
        <v>KDT</v>
      </c>
      <c r="G1677" s="222" t="str">
        <f>IFERROR(__xludf.DUMMYFUNCTION("""COMPUTED_VALUE"""),"SUMBAGSEL")</f>
        <v>SUMBAGSEL</v>
      </c>
      <c r="H1677" s="222" t="str">
        <f>IFERROR(__xludf.DUMMYFUNCTION("""COMPUTED_VALUE"""),"LAMPUNG")</f>
        <v>LAMPUNG</v>
      </c>
      <c r="I1677" s="222" t="str">
        <f>IFERROR(__xludf.DUMMYFUNCTION("""COMPUTED_VALUE"""),"Batch 2")</f>
        <v>Batch 2</v>
      </c>
      <c r="J1677" s="225">
        <f>IFERROR(__xludf.DUMMYFUNCTION("""COMPUTED_VALUE"""),6.0)</f>
        <v>6</v>
      </c>
      <c r="K1677" s="224">
        <f>IFERROR(__xludf.DUMMYFUNCTION("""COMPUTED_VALUE"""),48.0)</f>
        <v>48</v>
      </c>
      <c r="L1677" s="226">
        <f>IFERROR(__xludf.DUMMYFUNCTION("""COMPUTED_VALUE"""),462706.0)</f>
        <v>462706</v>
      </c>
      <c r="M1677" s="227">
        <f>IFERROR(__xludf.DUMMYFUNCTION("""COMPUTED_VALUE"""),2.220985E7)</f>
        <v>22209850</v>
      </c>
      <c r="N1677" s="222" t="str">
        <f>IFERROR(__xludf.DUMMYFUNCTION("""COMPUTED_VALUE"""),"PT BANGTELINDO")</f>
        <v>PT BANGTELINDO</v>
      </c>
      <c r="O1677" s="222" t="str">
        <f>IFERROR(__xludf.DUMMYFUNCTION("""COMPUTED_VALUE"""),"0. DROP")</f>
        <v>0. DROP</v>
      </c>
      <c r="P1677" s="222" t="str">
        <f>IFERROR(__xludf.DUMMYFUNCTION("""COMPUTED_VALUE"""),"0.2 Tidak Dapat Izin Warga/Kades/Lurah/Developer")</f>
        <v>0.2 Tidak Dapat Izin Warga/Kades/Lurah/Developer</v>
      </c>
      <c r="Q1677" s="222" t="str">
        <f>IFERROR(__xludf.DUMMYFUNCTION("""COMPUTED_VALUE"""),"6/2 read zone wilayah robi 
4/2 menunggu konfirmasi balik dari lurah terkiat perizinan  
28/1 progres cek eletrical odc dan olt
19/1 proses pengacekan core dan perizinan")</f>
        <v>6/2 read zone wilayah robi 
4/2 menunggu konfirmasi balik dari lurah terkiat perizinan  
28/1 progres cek eletrical odc dan olt
19/1 proses pengacekan core dan perizinan</v>
      </c>
      <c r="R1677" s="228"/>
      <c r="S1677" s="11"/>
      <c r="T1677" s="11"/>
      <c r="U1677" s="11"/>
      <c r="V1677" s="229"/>
      <c r="W1677" s="229"/>
      <c r="X1677" s="229" t="str">
        <f>IFERROR(__xludf.DUMMYFUNCTION("""COMPUTED_VALUE"""),"BELUM GOLIVE")</f>
        <v>BELUM GOLIVE</v>
      </c>
      <c r="Y1677" s="229"/>
      <c r="Z1677" s="229" t="str">
        <f>IFERROR(__xludf.DUMMYFUNCTION("""COMPUTED_VALUE"""),"#N/A")</f>
        <v>#N/A</v>
      </c>
      <c r="AA1677" s="229"/>
      <c r="AB1677" s="229"/>
      <c r="AC1677" s="229"/>
      <c r="AD1677" s="232"/>
      <c r="AE1677" s="233"/>
      <c r="AF1677" s="54" t="str">
        <f>IFERROR(__xludf.DUMMYFUNCTION("""COMPUTED_VALUE"""),"Draft BA DROP")</f>
        <v>Draft BA DROP</v>
      </c>
      <c r="AG1677" s="54"/>
      <c r="AH1677" s="54"/>
      <c r="AI1677" s="55" t="str">
        <f t="shared" si="162"/>
        <v/>
      </c>
      <c r="AW1677" s="234"/>
      <c r="BP1677" s="11"/>
      <c r="BQ1677" s="11"/>
      <c r="BR1677" s="235"/>
      <c r="BV1677" s="158"/>
      <c r="BY1677" s="158"/>
      <c r="CB1677" s="158"/>
    </row>
    <row r="1678" ht="18.0" hidden="1" customHeight="1">
      <c r="A1678" s="222">
        <f>IFERROR(__xludf.DUMMYFUNCTION("""COMPUTED_VALUE"""),2026.0)</f>
        <v>2026</v>
      </c>
      <c r="B1678" s="221">
        <f>IFERROR(__xludf.DUMMYFUNCTION("""COMPUTED_VALUE"""),1.178329E7)</f>
        <v>11783290</v>
      </c>
      <c r="C1678" s="222" t="str">
        <f>IFERROR(__xludf.DUMMYFUNCTION("""COMPUTED_VALUE"""),"LPG PT3 JPP JL WAN ABDURRAHMAN LKP")</f>
        <v>LPG PT3 JPP JL WAN ABDURRAHMAN LKP</v>
      </c>
      <c r="D1678" s="222" t="str">
        <f>IFERROR(__xludf.DUMMYFUNCTION("""COMPUTED_VALUE"""),"REGIONAL I")</f>
        <v>REGIONAL I</v>
      </c>
      <c r="E1678" s="222" t="str">
        <f>IFERROR(__xludf.DUMMYFUNCTION("""COMPUTED_VALUE"""),"LAMPUNG")</f>
        <v>LAMPUNG</v>
      </c>
      <c r="F1678" s="222" t="str">
        <f>IFERROR(__xludf.DUMMYFUNCTION("""COMPUTED_VALUE"""),"LKP")</f>
        <v>LKP</v>
      </c>
      <c r="G1678" s="222" t="str">
        <f>IFERROR(__xludf.DUMMYFUNCTION("""COMPUTED_VALUE"""),"SUMBAGSEL")</f>
        <v>SUMBAGSEL</v>
      </c>
      <c r="H1678" s="222" t="str">
        <f>IFERROR(__xludf.DUMMYFUNCTION("""COMPUTED_VALUE"""),"LAMPUNG")</f>
        <v>LAMPUNG</v>
      </c>
      <c r="I1678" s="222" t="str">
        <f>IFERROR(__xludf.DUMMYFUNCTION("""COMPUTED_VALUE"""),"Batch 2")</f>
        <v>Batch 2</v>
      </c>
      <c r="J1678" s="225">
        <f>IFERROR(__xludf.DUMMYFUNCTION("""COMPUTED_VALUE"""),6.0)</f>
        <v>6</v>
      </c>
      <c r="K1678" s="224">
        <f>IFERROR(__xludf.DUMMYFUNCTION("""COMPUTED_VALUE"""),96.0)</f>
        <v>96</v>
      </c>
      <c r="L1678" s="226">
        <f>IFERROR(__xludf.DUMMYFUNCTION("""COMPUTED_VALUE"""),462434.0)</f>
        <v>462434</v>
      </c>
      <c r="M1678" s="227">
        <f>IFERROR(__xludf.DUMMYFUNCTION("""COMPUTED_VALUE"""),4.4393654E7)</f>
        <v>44393654</v>
      </c>
      <c r="N1678" s="222" t="str">
        <f>IFERROR(__xludf.DUMMYFUNCTION("""COMPUTED_VALUE"""),"PT SARANA MITRA PERSADA")</f>
        <v>PT SARANA MITRA PERSADA</v>
      </c>
      <c r="O1678" s="222" t="str">
        <f>IFERROR(__xludf.DUMMYFUNCTION("""COMPUTED_VALUE"""),"0. DROP")</f>
        <v>0. DROP</v>
      </c>
      <c r="P1678" s="222" t="str">
        <f>IFERROR(__xludf.DUMMYFUNCTION("""COMPUTED_VALUE"""),"0.2 Tidak Dapat Izin Warga/Kades/Lurah/Developer")</f>
        <v>0.2 Tidak Dapat Izin Warga/Kades/Lurah/Developer</v>
      </c>
      <c r="Q1678" s="222" t="str">
        <f>IFERROR(__xludf.DUMMYFUNCTION("""COMPUTED_VALUE"""),"15/1 tidak dapat izin dari lurah")</f>
        <v>15/1 tidak dapat izin dari lurah</v>
      </c>
      <c r="R1678" s="228"/>
      <c r="S1678" s="11"/>
      <c r="T1678" s="11"/>
      <c r="U1678" s="11" t="str">
        <f>IFERROR(__xludf.DUMMYFUNCTION("""COMPUTED_VALUE"""),"W02-465/2025")</f>
        <v>W02-465/2025</v>
      </c>
      <c r="V1678" s="229"/>
      <c r="W1678" s="229"/>
      <c r="X1678" s="229" t="str">
        <f>IFERROR(__xludf.DUMMYFUNCTION("""COMPUTED_VALUE"""),"BELUM GOLIVE")</f>
        <v>BELUM GOLIVE</v>
      </c>
      <c r="Y1678" s="229"/>
      <c r="Z1678" s="229" t="str">
        <f>IFERROR(__xludf.DUMMYFUNCTION("""COMPUTED_VALUE"""),"#N/A")</f>
        <v>#N/A</v>
      </c>
      <c r="AA1678" s="229"/>
      <c r="AB1678" s="229"/>
      <c r="AC1678" s="229"/>
      <c r="AD1678" s="232"/>
      <c r="AE1678" s="233"/>
      <c r="AF1678" s="54" t="str">
        <f>IFERROR(__xludf.DUMMYFUNCTION("""COMPUTED_VALUE"""),"Draft BA DROP")</f>
        <v>Draft BA DROP</v>
      </c>
      <c r="AG1678" s="54"/>
      <c r="AH1678" s="54"/>
      <c r="AI1678" s="55" t="str">
        <f t="shared" si="162"/>
        <v/>
      </c>
      <c r="AW1678" s="234"/>
      <c r="BP1678" s="11"/>
      <c r="BQ1678" s="11"/>
      <c r="BR1678" s="235"/>
      <c r="BV1678" s="158"/>
      <c r="BY1678" s="158"/>
      <c r="CB1678" s="158"/>
    </row>
    <row r="1679" ht="18.0" customHeight="1">
      <c r="A1679" s="222">
        <f>IFERROR(__xludf.DUMMYFUNCTION("""COMPUTED_VALUE"""),2026.0)</f>
        <v>2026</v>
      </c>
      <c r="B1679" s="221">
        <f>IFERROR(__xludf.DUMMYFUNCTION("""COMPUTED_VALUE"""),1.1202172E7)</f>
        <v>11202172</v>
      </c>
      <c r="C1679" s="222" t="str">
        <f>IFERROR(__xludf.DUMMYFUNCTION("""COMPUTED_VALUE"""),"RKP PT3 TSEL BTC-FDG CACTUS GARDEN")</f>
        <v>RKP PT3 TSEL BTC-FDG CACTUS GARDEN</v>
      </c>
      <c r="D1679" s="222" t="str">
        <f>IFERROR(__xludf.DUMMYFUNCTION("""COMPUTED_VALUE"""),"REGIONAL I")</f>
        <v>REGIONAL I</v>
      </c>
      <c r="E1679" s="222" t="str">
        <f>IFERROR(__xludf.DUMMYFUNCTION("""COMPUTED_VALUE"""),"RIKEP")</f>
        <v>RIKEP</v>
      </c>
      <c r="F1679" s="222" t="str">
        <f>IFERROR(__xludf.DUMMYFUNCTION("""COMPUTED_VALUE"""),"BTC")</f>
        <v>BTC</v>
      </c>
      <c r="G1679" s="222" t="str">
        <f>IFERROR(__xludf.DUMMYFUNCTION("""COMPUTED_VALUE"""),"SUMBAGTENG")</f>
        <v>SUMBAGTENG</v>
      </c>
      <c r="H1679" s="222" t="str">
        <f>IFERROR(__xludf.DUMMYFUNCTION("""COMPUTED_VALUE"""),"BATAM")</f>
        <v>BATAM</v>
      </c>
      <c r="I1679" s="222" t="str">
        <f>IFERROR(__xludf.DUMMYFUNCTION("""COMPUTED_VALUE"""),"Batch 2")</f>
        <v>Batch 2</v>
      </c>
      <c r="J1679" s="225">
        <f>IFERROR(__xludf.DUMMYFUNCTION("""COMPUTED_VALUE"""),1.0)</f>
        <v>1</v>
      </c>
      <c r="K1679" s="224">
        <f>IFERROR(__xludf.DUMMYFUNCTION("""COMPUTED_VALUE"""),8.0)</f>
        <v>8</v>
      </c>
      <c r="L1679" s="226">
        <f>IFERROR(__xludf.DUMMYFUNCTION("""COMPUTED_VALUE"""),456115.0)</f>
        <v>456115</v>
      </c>
      <c r="M1679" s="227">
        <f>IFERROR(__xludf.DUMMYFUNCTION("""COMPUTED_VALUE"""),3648919.0)</f>
        <v>3648919</v>
      </c>
      <c r="N1679" s="222" t="str">
        <f>IFERROR(__xludf.DUMMYFUNCTION("""COMPUTED_VALUE"""),"PT MITRA SETIA INDONESIA")</f>
        <v>PT MITRA SETIA INDONESIA</v>
      </c>
      <c r="O1679" s="222" t="str">
        <f>IFERROR(__xludf.DUMMYFUNCTION("""COMPUTED_VALUE"""),"0. DROP")</f>
        <v>0. DROP</v>
      </c>
      <c r="P1679" s="222" t="str">
        <f>IFERROR(__xludf.DUMMYFUNCTION("""COMPUTED_VALUE"""),"0.2 Tidak Dapat Izin Warga/Kades/Lurah/Developer")</f>
        <v>0.2 Tidak Dapat Izin Warga/Kades/Lurah/Developer</v>
      </c>
      <c r="Q1679" s="222" t="str">
        <f>IFERROR(__xludf.DUMMYFUNCTION("""COMPUTED_VALUE"""),"10/04 RT meminta Wifi gratis.
07/04 Belum da jawaban dari RT
 31/03 menunggu balasan dari RT.  30/03 Tim mitra serial. 27/03 MP mitra cuma ada 1 serial masih mengerjakan LOP lain / tematik lain. 05/03 sudah req material, plan progres besok. 26/02 MP menge"&amp;"rjakan LOP lain. 21/02 Peralihan mitra karena mitra tidak ada MP, dari mitra PT ALTONG ke PT MSI.09/02 LOP blm di survey PT altong. 28/01 Plan survey tgl 29 Jan. 26/01  Mitra PT Altong menolak order alasan MP, peralihan mitra. 21/01 plan fu perizinan tang"&amp;"gal 26 Jan")</f>
        <v>10/04 RT meminta Wifi gratis.
07/04 Belum da jawaban dari RT
 31/03 menunggu balasan dari RT.  30/03 Tim mitra serial. 27/03 MP mitra cuma ada 1 serial masih mengerjakan LOP lain / tematik lain. 05/03 sudah req material, plan progres besok. 26/02 MP mengerjakan LOP lain. 21/02 Peralihan mitra karena mitra tidak ada MP, dari mitra PT ALTONG ke PT MSI.09/02 LOP blm di survey PT altong. 28/01 Plan survey tgl 29 Jan. 26/01  Mitra PT Altong menolak order alasan MP, peralihan mitra. 21/01 plan fu perizinan tanggal 26 Jan</v>
      </c>
      <c r="R1679" s="228"/>
      <c r="S1679" s="11"/>
      <c r="T1679" s="11"/>
      <c r="U1679" s="11" t="str">
        <f>IFERROR(__xludf.DUMMYFUNCTION("""COMPUTED_VALUE"""),"W09-278/2026")</f>
        <v>W09-278/2026</v>
      </c>
      <c r="V1679" s="229" t="str">
        <f>IFERROR(__xludf.DUMMYFUNCTION("""COMPUTED_VALUE"""),"GANI PRASTYO")</f>
        <v>GANI PRASTYO</v>
      </c>
      <c r="W1679" s="229" t="str">
        <f>IFERROR(__xludf.DUMMYFUNCTION("""COMPUTED_VALUE"""),"LEVITA INDRIYANI")</f>
        <v>LEVITA INDRIYANI</v>
      </c>
      <c r="X1679" s="229" t="str">
        <f>IFERROR(__xludf.DUMMYFUNCTION("""COMPUTED_VALUE"""),"BELUM GOLIVE")</f>
        <v>BELUM GOLIVE</v>
      </c>
      <c r="Y1679" s="229"/>
      <c r="Z1679" s="229" t="str">
        <f>IFERROR(__xludf.DUMMYFUNCTION("""COMPUTED_VALUE"""),"#N/A")</f>
        <v>#N/A</v>
      </c>
      <c r="AA1679" s="229"/>
      <c r="AB1679" s="229"/>
      <c r="AC1679" s="229"/>
      <c r="AD1679" s="232"/>
      <c r="AE1679" s="233"/>
      <c r="AF1679" s="54"/>
      <c r="AG1679" s="54"/>
      <c r="AH1679" s="54"/>
      <c r="AI1679" s="55" t="str">
        <f t="shared" si="162"/>
        <v/>
      </c>
      <c r="AW1679" s="234"/>
      <c r="BP1679" s="11"/>
      <c r="BQ1679" s="11"/>
      <c r="BR1679" s="235"/>
      <c r="BV1679" s="158"/>
      <c r="BY1679" s="158"/>
      <c r="CB1679" s="158"/>
    </row>
    <row r="1680" ht="18.0" customHeight="1">
      <c r="A1680" s="239">
        <f>IFERROR(__xludf.DUMMYFUNCTION("""COMPUTED_VALUE"""),2026.0)</f>
        <v>2026</v>
      </c>
      <c r="B1680" s="240">
        <f>IFERROR(__xludf.DUMMYFUNCTION("""COMPUTED_VALUE"""),1.1892732E7)</f>
        <v>11892732</v>
      </c>
      <c r="C1680" s="239" t="str">
        <f>IFERROR(__xludf.DUMMYFUNCTION("""COMPUTED_VALUE"""),"RKP TSEL PT3 BTC-FQ 250_489_4061")</f>
        <v>RKP TSEL PT3 BTC-FQ 250_489_4061</v>
      </c>
      <c r="D1680" s="239" t="str">
        <f>IFERROR(__xludf.DUMMYFUNCTION("""COMPUTED_VALUE"""),"REGIONAL I")</f>
        <v>REGIONAL I</v>
      </c>
      <c r="E1680" s="239" t="str">
        <f>IFERROR(__xludf.DUMMYFUNCTION("""COMPUTED_VALUE"""),"RIKEP")</f>
        <v>RIKEP</v>
      </c>
      <c r="F1680" s="239" t="str">
        <f>IFERROR(__xludf.DUMMYFUNCTION("""COMPUTED_VALUE"""),"BTC")</f>
        <v>BTC</v>
      </c>
      <c r="G1680" s="239" t="str">
        <f>IFERROR(__xludf.DUMMYFUNCTION("""COMPUTED_VALUE"""),"SUMBAGTENG")</f>
        <v>SUMBAGTENG</v>
      </c>
      <c r="H1680" s="239" t="str">
        <f>IFERROR(__xludf.DUMMYFUNCTION("""COMPUTED_VALUE"""),"BATAM")</f>
        <v>BATAM</v>
      </c>
      <c r="I1680" s="239" t="str">
        <f>IFERROR(__xludf.DUMMYFUNCTION("""COMPUTED_VALUE"""),"Batch 2")</f>
        <v>Batch 2</v>
      </c>
      <c r="J1680" s="241">
        <f>IFERROR(__xludf.DUMMYFUNCTION("""COMPUTED_VALUE"""),1.0)</f>
        <v>1</v>
      </c>
      <c r="K1680" s="242">
        <f>IFERROR(__xludf.DUMMYFUNCTION("""COMPUTED_VALUE"""),8.0)</f>
        <v>8</v>
      </c>
      <c r="L1680" s="243">
        <f>IFERROR(__xludf.DUMMYFUNCTION("""COMPUTED_VALUE"""),966097.0)</f>
        <v>966097</v>
      </c>
      <c r="M1680" s="244">
        <f>IFERROR(__xludf.DUMMYFUNCTION("""COMPUTED_VALUE"""),7728773.0)</f>
        <v>7728773</v>
      </c>
      <c r="N1680" s="239" t="str">
        <f>IFERROR(__xludf.DUMMYFUNCTION("""COMPUTED_VALUE"""),"PT MITRA SETIA INDONESIA")</f>
        <v>PT MITRA SETIA INDONESIA</v>
      </c>
      <c r="O1680" s="239" t="str">
        <f>IFERROR(__xludf.DUMMYFUNCTION("""COMPUTED_VALUE"""),"0. DROP")</f>
        <v>0. DROP</v>
      </c>
      <c r="P1680" s="239" t="str">
        <f>IFERROR(__xludf.DUMMYFUNCTION("""COMPUTED_VALUE"""),"0.2 Tidak Dapat Izin Warga/Kades/Lurah/Developer")</f>
        <v>0.2 Tidak Dapat Izin Warga/Kades/Lurah/Developer</v>
      </c>
      <c r="Q1680" s="239" t="str">
        <f>IFERROR(__xludf.DUMMYFUNCTION("""COMPUTED_VALUE"""),"26/02 tidak di izinkan tanam tiang karena tidak ada space, di larang membongkar coran yang sudah rapi. 21/02 Peralihan mitra karena mitra tidak ada MP, dari mitra PT ALTONG ke PT MSI. 09/02 izin belum di FU oleh mitra altong. 28/01 Menunggu balasan izin d"&amp;"ari RT. 26/01  Mitra PT Altong menolak order alasan MP, peralihan mitra. 21/01 plan fu perizinan tanggal 26 Jan")</f>
        <v>26/02 tidak di izinkan tanam tiang karena tidak ada space, di larang membongkar coran yang sudah rapi. 21/02 Peralihan mitra karena mitra tidak ada MP, dari mitra PT ALTONG ke PT MSI. 09/02 izin belum di FU oleh mitra altong. 28/01 Menunggu balasan izin dari RT. 26/01  Mitra PT Altong menolak order alasan MP, peralihan mitra. 21/01 plan fu perizinan tanggal 26 Jan</v>
      </c>
      <c r="R1680" s="245"/>
      <c r="S1680" s="246"/>
      <c r="T1680" s="246"/>
      <c r="U1680" s="246"/>
      <c r="V1680" s="248" t="str">
        <f>IFERROR(__xludf.DUMMYFUNCTION("""COMPUTED_VALUE"""),"GANI PRASTYO")</f>
        <v>GANI PRASTYO</v>
      </c>
      <c r="W1680" s="248" t="str">
        <f>IFERROR(__xludf.DUMMYFUNCTION("""COMPUTED_VALUE"""),"LEVITA INDRIYANI")</f>
        <v>LEVITA INDRIYANI</v>
      </c>
      <c r="X1680" s="248" t="str">
        <f>IFERROR(__xludf.DUMMYFUNCTION("""COMPUTED_VALUE"""),"BELUM GOLIVE")</f>
        <v>BELUM GOLIVE</v>
      </c>
      <c r="Y1680" s="248"/>
      <c r="Z1680" s="248" t="str">
        <f>IFERROR(__xludf.DUMMYFUNCTION("""COMPUTED_VALUE"""),"#N/A")</f>
        <v>#N/A</v>
      </c>
      <c r="AA1680" s="248"/>
      <c r="AB1680" s="248"/>
      <c r="AC1680" s="248"/>
      <c r="AD1680" s="249"/>
      <c r="AE1680" s="250"/>
      <c r="AF1680" s="251" t="str">
        <f>IFERROR(__xludf.DUMMYFUNCTION("""COMPUTED_VALUE"""),"Draft BA DROP")</f>
        <v>Draft BA DROP</v>
      </c>
      <c r="AG1680" s="251"/>
      <c r="AH1680" s="251"/>
      <c r="AI1680" s="252" t="str">
        <f t="shared" si="162"/>
        <v/>
      </c>
      <c r="AJ1680" s="248"/>
      <c r="AK1680" s="248"/>
      <c r="AL1680" s="248"/>
      <c r="AM1680" s="248"/>
      <c r="AN1680" s="248"/>
      <c r="AO1680" s="248"/>
      <c r="AP1680" s="248"/>
      <c r="AQ1680" s="248"/>
      <c r="AR1680" s="248"/>
      <c r="AS1680" s="248"/>
      <c r="AT1680" s="248"/>
      <c r="AU1680" s="248"/>
      <c r="AV1680" s="248"/>
      <c r="AW1680" s="253"/>
      <c r="AX1680" s="248"/>
      <c r="AY1680" s="248"/>
      <c r="AZ1680" s="248"/>
      <c r="BA1680" s="248"/>
      <c r="BB1680" s="248"/>
      <c r="BC1680" s="248"/>
      <c r="BD1680" s="248"/>
      <c r="BE1680" s="248"/>
      <c r="BF1680" s="248"/>
      <c r="BG1680" s="248"/>
      <c r="BH1680" s="248"/>
      <c r="BI1680" s="248"/>
      <c r="BJ1680" s="248"/>
      <c r="BK1680" s="248"/>
      <c r="BL1680" s="248"/>
      <c r="BN1680" s="248"/>
      <c r="BO1680" s="248"/>
      <c r="BP1680" s="246"/>
      <c r="BQ1680" s="246"/>
      <c r="BR1680" s="254"/>
      <c r="BS1680" s="248"/>
      <c r="BT1680" s="248"/>
      <c r="BU1680" s="248"/>
      <c r="BV1680" s="255"/>
      <c r="BW1680" s="248"/>
      <c r="BX1680" s="248"/>
      <c r="BY1680" s="255"/>
      <c r="BZ1680" s="248"/>
      <c r="CA1680" s="248"/>
      <c r="CB1680" s="255"/>
      <c r="CC1680" s="248"/>
      <c r="CD1680" s="248"/>
      <c r="CE1680" s="248"/>
      <c r="CF1680" s="248"/>
      <c r="CG1680" s="248"/>
      <c r="CH1680" s="248"/>
      <c r="CI1680" s="248"/>
      <c r="CJ1680" s="248"/>
      <c r="CK1680" s="248"/>
      <c r="CL1680" s="248"/>
      <c r="CM1680" s="248"/>
      <c r="CN1680" s="248"/>
      <c r="CO1680" s="248"/>
      <c r="CP1680" s="248"/>
    </row>
    <row r="1681" ht="18.0" customHeight="1">
      <c r="A1681" s="222">
        <f>IFERROR(__xludf.DUMMYFUNCTION("""COMPUTED_VALUE"""),2026.0)</f>
        <v>2026</v>
      </c>
      <c r="B1681" s="221">
        <f>IFERROR(__xludf.DUMMYFUNCTION("""COMPUTED_VALUE"""),1.2081776E7)</f>
        <v>12081776</v>
      </c>
      <c r="C1681" s="222" t="str">
        <f>IFERROR(__xludf.DUMMYFUNCTION("""COMPUTED_VALUE"""),"RKP 250_500_4048")</f>
        <v>RKP 250_500_4048</v>
      </c>
      <c r="D1681" s="222" t="str">
        <f>IFERROR(__xludf.DUMMYFUNCTION("""COMPUTED_VALUE"""),"REGIONAL I")</f>
        <v>REGIONAL I</v>
      </c>
      <c r="E1681" s="222" t="str">
        <f>IFERROR(__xludf.DUMMYFUNCTION("""COMPUTED_VALUE"""),"RIKEP")</f>
        <v>RIKEP</v>
      </c>
      <c r="F1681" s="222" t="str">
        <f>IFERROR(__xludf.DUMMYFUNCTION("""COMPUTED_VALUE"""),"BTC")</f>
        <v>BTC</v>
      </c>
      <c r="G1681" s="222" t="str">
        <f>IFERROR(__xludf.DUMMYFUNCTION("""COMPUTED_VALUE"""),"SUMBAGTENG")</f>
        <v>SUMBAGTENG</v>
      </c>
      <c r="H1681" s="222" t="str">
        <f>IFERROR(__xludf.DUMMYFUNCTION("""COMPUTED_VALUE"""),"BATAM")</f>
        <v>BATAM</v>
      </c>
      <c r="I1681" s="222" t="str">
        <f>IFERROR(__xludf.DUMMYFUNCTION("""COMPUTED_VALUE"""),"Batch 2")</f>
        <v>Batch 2</v>
      </c>
      <c r="J1681" s="225">
        <f>IFERROR(__xludf.DUMMYFUNCTION("""COMPUTED_VALUE"""),1.0)</f>
        <v>1</v>
      </c>
      <c r="K1681" s="224">
        <f>IFERROR(__xludf.DUMMYFUNCTION("""COMPUTED_VALUE"""),8.0)</f>
        <v>8</v>
      </c>
      <c r="L1681" s="226">
        <f>IFERROR(__xludf.DUMMYFUNCTION("""COMPUTED_VALUE"""),343486.0)</f>
        <v>343486</v>
      </c>
      <c r="M1681" s="227">
        <f>IFERROR(__xludf.DUMMYFUNCTION("""COMPUTED_VALUE"""),2747886.0)</f>
        <v>2747886</v>
      </c>
      <c r="N1681" s="222" t="str">
        <f>IFERROR(__xludf.DUMMYFUNCTION("""COMPUTED_VALUE"""),"PT MITRA AKSES INSANI")</f>
        <v>PT MITRA AKSES INSANI</v>
      </c>
      <c r="O1681" s="222" t="str">
        <f>IFERROR(__xludf.DUMMYFUNCTION("""COMPUTED_VALUE"""),"0. DROP")</f>
        <v>0. DROP</v>
      </c>
      <c r="P1681" s="222" t="str">
        <f>IFERROR(__xludf.DUMMYFUNCTION("""COMPUTED_VALUE"""),"0.2 Tidak Dapat Izin Warga/Kades/Lurah/Developer")</f>
        <v>0.2 Tidak Dapat Izin Warga/Kades/Lurah/Developer</v>
      </c>
      <c r="Q1681" s="222" t="str">
        <f>IFERROR(__xludf.DUMMYFUNCTION("""COMPUTED_VALUE"""),"10/04 Drop By TSEL (Kawasan Pemerintahan Kota Batam).  06/04 Tim KU dari jawa sampai ke batam tanggal 03 april, plan progres, 19 april, plan GL 21 april. 30/03 Tim mitra masih di pulau tanjung batu dan belum bisa balik ke pulau batam. 03/03 izin OK tim KU"&amp;" masih di pulau tanjung batu. 16/02 Plan FU perizinan besok 18 Feb. 09/02 belum di survey karena, PIC mitra masih fokus di installasi dan LOP butuh percepatan dari Telkomsel. 29/01 Plan survey tanggal 30 karena PIC mitra sdg berhalangan. 28/01 Plan survey"&amp;" 29 Jan. 22/01 Plan survey 24 Jan ")</f>
        <v>10/04 Drop By TSEL (Kawasan Pemerintahan Kota Batam).  06/04 Tim KU dari jawa sampai ke batam tanggal 03 april, plan progres, 19 april, plan GL 21 april. 30/03 Tim mitra masih di pulau tanjung batu dan belum bisa balik ke pulau batam. 03/03 izin OK tim KU masih di pulau tanjung batu. 16/02 Plan FU perizinan besok 18 Feb. 09/02 belum di survey karena, PIC mitra masih fokus di installasi dan LOP butuh percepatan dari Telkomsel. 29/01 Plan survey tanggal 30 karena PIC mitra sdg berhalangan. 28/01 Plan survey 29 Jan. 22/01 Plan survey 24 Jan </v>
      </c>
      <c r="R1681" s="228"/>
      <c r="S1681" s="11"/>
      <c r="T1681" s="73"/>
      <c r="U1681" s="11"/>
      <c r="V1681" s="229" t="str">
        <f>IFERROR(__xludf.DUMMYFUNCTION("""COMPUTED_VALUE"""),"GANI PRASTYO")</f>
        <v>GANI PRASTYO</v>
      </c>
      <c r="W1681" s="229" t="str">
        <f>IFERROR(__xludf.DUMMYFUNCTION("""COMPUTED_VALUE"""),"LEVITA INDRIYANI")</f>
        <v>LEVITA INDRIYANI</v>
      </c>
      <c r="X1681" s="229" t="str">
        <f>IFERROR(__xludf.DUMMYFUNCTION("""COMPUTED_VALUE"""),"BELUM GOLIVE")</f>
        <v>BELUM GOLIVE</v>
      </c>
      <c r="Y1681" s="229"/>
      <c r="Z1681" s="229" t="str">
        <f>IFERROR(__xludf.DUMMYFUNCTION("""COMPUTED_VALUE"""),"#N/A")</f>
        <v>#N/A</v>
      </c>
      <c r="AA1681" s="229"/>
      <c r="AB1681" s="229"/>
      <c r="AC1681" s="229"/>
      <c r="AD1681" s="232"/>
      <c r="AE1681" s="233"/>
      <c r="AF1681" s="54"/>
      <c r="AG1681" s="54"/>
      <c r="AH1681" s="54"/>
      <c r="AI1681" s="55">
        <f>AH1681-TODAY()</f>
        <v>-46140</v>
      </c>
      <c r="AJ1681" s="229" t="str">
        <f>if(AI1681&gt;=0,"In Komitmen","Out Komitmen")</f>
        <v>Out Komitmen</v>
      </c>
      <c r="AW1681" s="234"/>
      <c r="BP1681" s="11"/>
      <c r="BQ1681" s="11"/>
      <c r="BR1681" s="235"/>
      <c r="BV1681" s="158"/>
      <c r="BY1681" s="158"/>
      <c r="CB1681" s="158"/>
    </row>
    <row r="1682" ht="18.0" customHeight="1">
      <c r="A1682" s="222">
        <f>IFERROR(__xludf.DUMMYFUNCTION("""COMPUTED_VALUE"""),2026.0)</f>
        <v>2026</v>
      </c>
      <c r="B1682" s="221">
        <f>IFERROR(__xludf.DUMMYFUNCTION("""COMPUTED_VALUE"""),1.2487172E7)</f>
        <v>12487172</v>
      </c>
      <c r="C1682" s="222" t="str">
        <f>IFERROR(__xludf.DUMMYFUNCTION("""COMPUTED_VALUE"""),"RDR JPP PT3 BENGKALIS_46506")</f>
        <v>RDR JPP PT3 BENGKALIS_46506</v>
      </c>
      <c r="D1682" s="222" t="str">
        <f>IFERROR(__xludf.DUMMYFUNCTION("""COMPUTED_VALUE"""),"REGIONAL I")</f>
        <v>REGIONAL I</v>
      </c>
      <c r="E1682" s="222" t="str">
        <f>IFERROR(__xludf.DUMMYFUNCTION("""COMPUTED_VALUE"""),"RIDAR")</f>
        <v>RIDAR</v>
      </c>
      <c r="F1682" s="222" t="str">
        <f>IFERROR(__xludf.DUMMYFUNCTION("""COMPUTED_VALUE"""),"BAS")</f>
        <v>BAS</v>
      </c>
      <c r="G1682" s="222" t="str">
        <f>IFERROR(__xludf.DUMMYFUNCTION("""COMPUTED_VALUE"""),"SUMBAGTENG")</f>
        <v>SUMBAGTENG</v>
      </c>
      <c r="H1682" s="222" t="str">
        <f>IFERROR(__xludf.DUMMYFUNCTION("""COMPUTED_VALUE"""),"DUMAI")</f>
        <v>DUMAI</v>
      </c>
      <c r="I1682" s="222" t="str">
        <f>IFERROR(__xludf.DUMMYFUNCTION("""COMPUTED_VALUE"""),"Batch 2")</f>
        <v>Batch 2</v>
      </c>
      <c r="J1682" s="225">
        <f>IFERROR(__xludf.DUMMYFUNCTION("""COMPUTED_VALUE"""),15.0)</f>
        <v>15</v>
      </c>
      <c r="K1682" s="224">
        <f>IFERROR(__xludf.DUMMYFUNCTION("""COMPUTED_VALUE"""),120.0)</f>
        <v>120</v>
      </c>
      <c r="L1682" s="226">
        <f>IFERROR(__xludf.DUMMYFUNCTION("""COMPUTED_VALUE"""),826511.0)</f>
        <v>826511</v>
      </c>
      <c r="M1682" s="227">
        <f>IFERROR(__xludf.DUMMYFUNCTION("""COMPUTED_VALUE"""),9.9181261E7)</f>
        <v>99181261</v>
      </c>
      <c r="N1682" s="222" t="str">
        <f>IFERROR(__xludf.DUMMYFUNCTION("""COMPUTED_VALUE"""),"PT SAMUDERA PUTRA KENCANA")</f>
        <v>PT SAMUDERA PUTRA KENCANA</v>
      </c>
      <c r="O1682" s="222" t="str">
        <f>IFERROR(__xludf.DUMMYFUNCTION("""COMPUTED_VALUE"""),"7. GOLIVE")</f>
        <v>7. GOLIVE</v>
      </c>
      <c r="P1682" s="222" t="str">
        <f>IFERROR(__xludf.DUMMYFUNCTION("""COMPUTED_VALUE"""),"7.2 Golive Full / OA / DONE OTB")</f>
        <v>7.2 Golive Full / OA / DONE OTB</v>
      </c>
      <c r="Q1682" s="222" t="str">
        <f>IFERROR(__xludf.DUMMYFUNCTION("""COMPUTED_VALUE"""),"20/02 Pemasangan dan terminasi ODP 10/02 Penanaman tiang Penarikan kabel 04/02 Penanamantiang di stop oleh warga 29/01 Antrian Tim Mitra (08/01) DROP, permintaan tsel (tidak potensial) (07/01) Persiapan")</f>
        <v>20/02 Pemasangan dan terminasi ODP 10/02 Penanaman tiang Penarikan kabel 04/02 Penanamantiang di stop oleh warga 29/01 Antrian Tim Mitra (08/01) DROP, permintaan tsel (tidak potensial) (07/01) Persiapan</v>
      </c>
      <c r="R1682" s="228">
        <f>IFERROR(__xludf.DUMMYFUNCTION("""COMPUTED_VALUE"""),46081.0)</f>
        <v>46081</v>
      </c>
      <c r="S1682" s="11"/>
      <c r="T1682" s="11"/>
      <c r="U1682" s="11" t="str">
        <f>IFERROR(__xludf.DUMMYFUNCTION("""COMPUTED_VALUE"""),"W08-87/2026")</f>
        <v>W08-87/2026</v>
      </c>
      <c r="V1682" s="229" t="str">
        <f>IFERROR(__xludf.DUMMYFUNCTION("""COMPUTED_VALUE"""),"PIKI NOFRI SAPUTRA")</f>
        <v>PIKI NOFRI SAPUTRA</v>
      </c>
      <c r="W1682" s="229" t="str">
        <f>IFERROR(__xludf.DUMMYFUNCTION("""COMPUTED_VALUE"""),"ANZALA SAKINAH")</f>
        <v>ANZALA SAKINAH</v>
      </c>
      <c r="X1682" s="229" t="str">
        <f>IFERROR(__xludf.DUMMYFUNCTION("""COMPUTED_VALUE"""),"GOLIVE")</f>
        <v>GOLIVE</v>
      </c>
      <c r="Y1682" s="229" t="str">
        <f>IFERROR(__xludf.DUMMYFUNCTION("""COMPUTED_VALUE"""),"DONE")</f>
        <v>DONE</v>
      </c>
      <c r="Z1682" s="229" t="str">
        <f>IFERROR(__xludf.DUMMYFUNCTION("""COMPUTED_VALUE"""),"#N/A")</f>
        <v>#N/A</v>
      </c>
      <c r="AA1682" s="229">
        <f>IFERROR(__xludf.DUMMYFUNCTION("""COMPUTED_VALUE"""),15.0)</f>
        <v>15</v>
      </c>
      <c r="AB1682" s="229"/>
      <c r="AC1682" s="229" t="str">
        <f>IFERROR(__xludf.DUMMYFUNCTION("""COMPUTED_VALUE"""),"8970639#8970644")</f>
        <v>8970639#8970644</v>
      </c>
      <c r="AD1682" s="232">
        <f>IFERROR(__xludf.DUMMYFUNCTION("""COMPUTED_VALUE"""),120.0)</f>
        <v>120</v>
      </c>
      <c r="AE1682" s="233">
        <f>IFERROR(__xludf.DUMMYFUNCTION("""COMPUTED_VALUE"""),46079.0)</f>
        <v>46079</v>
      </c>
      <c r="AF1682" s="54"/>
      <c r="AG1682" s="54"/>
      <c r="AH1682" s="54">
        <v>46126.0</v>
      </c>
      <c r="AI1682" s="55">
        <f t="shared" ref="AI1682:AI1683" si="163">IF(OR(AH1682="",AE1682=""),"",AH1682-AE1682)</f>
        <v>47</v>
      </c>
      <c r="AJ1682" s="229" t="str">
        <f t="shared" ref="AJ1682:AJ1683" si="164">if(AI1682&gt;=0,"Gl in Komitmen","Gl out komitmen")</f>
        <v>Gl in Komitmen</v>
      </c>
      <c r="AW1682" s="234"/>
      <c r="BP1682" s="11"/>
      <c r="BQ1682" s="11"/>
      <c r="BR1682" s="235"/>
      <c r="BV1682" s="158"/>
      <c r="BY1682" s="158"/>
      <c r="CB1682" s="158"/>
    </row>
    <row r="1683" ht="18.0" customHeight="1">
      <c r="A1683" s="222">
        <f>IFERROR(__xludf.DUMMYFUNCTION("""COMPUTED_VALUE"""),2026.0)</f>
        <v>2026</v>
      </c>
      <c r="B1683" s="221">
        <f>IFERROR(__xludf.DUMMYFUNCTION("""COMPUTED_VALUE"""),1.1961028E7)</f>
        <v>11961028</v>
      </c>
      <c r="C1683" s="222" t="str">
        <f>IFERROR(__xludf.DUMMYFUNCTION("""COMPUTED_VALUE"""),"SMB-PT3-ODC-LBB-FB-AGAM_9804")</f>
        <v>SMB-PT3-ODC-LBB-FB-AGAM_9804</v>
      </c>
      <c r="D1683" s="222" t="str">
        <f>IFERROR(__xludf.DUMMYFUNCTION("""COMPUTED_VALUE"""),"REGIONAL I")</f>
        <v>REGIONAL I</v>
      </c>
      <c r="E1683" s="222" t="str">
        <f>IFERROR(__xludf.DUMMYFUNCTION("""COMPUTED_VALUE"""),"SUMBAR")</f>
        <v>SUMBAR</v>
      </c>
      <c r="F1683" s="222" t="str">
        <f>IFERROR(__xludf.DUMMYFUNCTION("""COMPUTED_VALUE"""),"LBB")</f>
        <v>LBB</v>
      </c>
      <c r="G1683" s="222" t="str">
        <f>IFERROR(__xludf.DUMMYFUNCTION("""COMPUTED_VALUE"""),"SUMBAGTENG")</f>
        <v>SUMBAGTENG</v>
      </c>
      <c r="H1683" s="222" t="str">
        <f>IFERROR(__xludf.DUMMYFUNCTION("""COMPUTED_VALUE"""),"BUKIT TINGGI")</f>
        <v>BUKIT TINGGI</v>
      </c>
      <c r="I1683" s="222" t="str">
        <f>IFERROR(__xludf.DUMMYFUNCTION("""COMPUTED_VALUE"""),"Batch 2")</f>
        <v>Batch 2</v>
      </c>
      <c r="J1683" s="225">
        <f>IFERROR(__xludf.DUMMYFUNCTION("""COMPUTED_VALUE"""),2.0)</f>
        <v>2</v>
      </c>
      <c r="K1683" s="224">
        <f>IFERROR(__xludf.DUMMYFUNCTION("""COMPUTED_VALUE"""),16.0)</f>
        <v>16</v>
      </c>
      <c r="L1683" s="226">
        <f>IFERROR(__xludf.DUMMYFUNCTION("""COMPUTED_VALUE"""),459014.0)</f>
        <v>459014</v>
      </c>
      <c r="M1683" s="227">
        <f>IFERROR(__xludf.DUMMYFUNCTION("""COMPUTED_VALUE"""),7344214.0)</f>
        <v>7344214</v>
      </c>
      <c r="N1683" s="222" t="str">
        <f>IFERROR(__xludf.DUMMYFUNCTION("""COMPUTED_VALUE"""),"PT TIGA AKSES MANDIRI")</f>
        <v>PT TIGA AKSES MANDIRI</v>
      </c>
      <c r="O1683" s="222" t="str">
        <f>IFERROR(__xludf.DUMMYFUNCTION("""COMPUTED_VALUE"""),"7. GOLIVE")</f>
        <v>7. GOLIVE</v>
      </c>
      <c r="P1683" s="222" t="str">
        <f>IFERROR(__xludf.DUMMYFUNCTION("""COMPUTED_VALUE"""),"7.2 Golive Full / OA / DONE OTB")</f>
        <v>7.2 Golive Full / OA / DONE OTB</v>
      </c>
      <c r="Q1683" s="222" t="str">
        <f>IFERROR(__xludf.DUMMYFUNCTION("""COMPUTED_VALUE"""),"(13/04) ABD sudah submit ke sdi (06/04) terminasi ODP (02/04) terminasi odp (30/03) material onsite (16/03) proses PO ke mitra dan menunggu kabel 12 ADSS (05/03) proses aanwijziing plan selesai 07/03  (02/03) proses aanwijziing (26/01) DROP, permintaan ts"&amp;"el (tidak potensial) ")</f>
        <v>(13/04) ABD sudah submit ke sdi (06/04) terminasi ODP (02/04) terminasi odp (30/03) material onsite (16/03) proses PO ke mitra dan menunggu kabel 12 ADSS (05/03) proses aanwijziing plan selesai 07/03  (02/03) proses aanwijziing (26/01) DROP, permintaan tsel (tidak potensial) </v>
      </c>
      <c r="R1683" s="228">
        <f>IFERROR(__xludf.DUMMYFUNCTION("""COMPUTED_VALUE"""),46126.0)</f>
        <v>46126</v>
      </c>
      <c r="S1683" s="11"/>
      <c r="T1683" s="73"/>
      <c r="U1683" s="11" t="str">
        <f>IFERROR(__xludf.DUMMYFUNCTION("""COMPUTED_VALUE"""),"TIF-6051/2026  26KT03R107-0025")</f>
        <v>TIF-6051/2026  26KT03R107-0025</v>
      </c>
      <c r="V1683" s="229" t="str">
        <f>IFERROR(__xludf.DUMMYFUNCTION("""COMPUTED_VALUE"""),"JANUAR RIZAL")</f>
        <v>JANUAR RIZAL</v>
      </c>
      <c r="W1683" s="229" t="str">
        <f>IFERROR(__xludf.DUMMYFUNCTION("""COMPUTED_VALUE"""),"MELKO NARWADI")</f>
        <v>MELKO NARWADI</v>
      </c>
      <c r="X1683" s="229" t="str">
        <f>IFERROR(__xludf.DUMMYFUNCTION("""COMPUTED_VALUE"""),"GOLIVE")</f>
        <v>GOLIVE</v>
      </c>
      <c r="Y1683" s="229" t="str">
        <f>IFERROR(__xludf.DUMMYFUNCTION("""COMPUTED_VALUE"""),"DONE")</f>
        <v>DONE</v>
      </c>
      <c r="Z1683" s="229" t="str">
        <f>IFERROR(__xludf.DUMMYFUNCTION("""COMPUTED_VALUE"""),"#N/A")</f>
        <v>#N/A</v>
      </c>
      <c r="AA1683" s="229">
        <f>IFERROR(__xludf.DUMMYFUNCTION("""COMPUTED_VALUE"""),2.0)</f>
        <v>2</v>
      </c>
      <c r="AB1683" s="229"/>
      <c r="AC1683" s="229" t="str">
        <f>IFERROR(__xludf.DUMMYFUNCTION("""COMPUTED_VALUE"""),"9256557#9256568")</f>
        <v>9256557#9256568</v>
      </c>
      <c r="AD1683" s="232">
        <f>IFERROR(__xludf.DUMMYFUNCTION("""COMPUTED_VALUE"""),16.0)</f>
        <v>16</v>
      </c>
      <c r="AE1683" s="233">
        <f>IFERROR(__xludf.DUMMYFUNCTION("""COMPUTED_VALUE"""),46126.0)</f>
        <v>46126</v>
      </c>
      <c r="AF1683" s="54"/>
      <c r="AG1683" s="54"/>
      <c r="AH1683" s="54">
        <v>46133.0</v>
      </c>
      <c r="AI1683" s="55">
        <f t="shared" si="163"/>
        <v>7</v>
      </c>
      <c r="AJ1683" s="229" t="str">
        <f t="shared" si="164"/>
        <v>Gl in Komitmen</v>
      </c>
      <c r="AK1683" s="231" t="s">
        <v>199</v>
      </c>
      <c r="AW1683" s="234"/>
      <c r="BP1683" s="11"/>
      <c r="BQ1683" s="11"/>
      <c r="BR1683" s="235"/>
      <c r="BV1683" s="158"/>
      <c r="BY1683" s="158"/>
      <c r="CB1683" s="158"/>
    </row>
    <row r="1684" ht="18.0" hidden="1" customHeight="1">
      <c r="A1684" s="222">
        <f>IFERROR(__xludf.DUMMYFUNCTION("""COMPUTED_VALUE"""),2026.0)</f>
        <v>2026</v>
      </c>
      <c r="B1684" s="221">
        <f>IFERROR(__xludf.DUMMYFUNCTION("""COMPUTED_VALUE"""),1.1216204E7)</f>
        <v>11216204</v>
      </c>
      <c r="C1684" s="222" t="str">
        <f>IFERROR(__xludf.DUMMYFUNCTION("""COMPUTED_VALUE"""),"BNK-PT4-AGR-JPPTSEL-KURO TIDUR")</f>
        <v>BNK-PT4-AGR-JPPTSEL-KURO TIDUR</v>
      </c>
      <c r="D1684" s="222" t="str">
        <f>IFERROR(__xludf.DUMMYFUNCTION("""COMPUTED_VALUE"""),"REGIONAL I")</f>
        <v>REGIONAL I</v>
      </c>
      <c r="E1684" s="222" t="str">
        <f>IFERROR(__xludf.DUMMYFUNCTION("""COMPUTED_VALUE"""),"BENGKULU")</f>
        <v>BENGKULU</v>
      </c>
      <c r="F1684" s="222" t="str">
        <f>IFERROR(__xludf.DUMMYFUNCTION("""COMPUTED_VALUE"""),"AGR")</f>
        <v>AGR</v>
      </c>
      <c r="G1684" s="222" t="str">
        <f>IFERROR(__xludf.DUMMYFUNCTION("""COMPUTED_VALUE"""),"SUMBAGSEL")</f>
        <v>SUMBAGSEL</v>
      </c>
      <c r="H1684" s="222" t="str">
        <f>IFERROR(__xludf.DUMMYFUNCTION("""COMPUTED_VALUE"""),"BENGKULU")</f>
        <v>BENGKULU</v>
      </c>
      <c r="I1684" s="222" t="str">
        <f>IFERROR(__xludf.DUMMYFUNCTION("""COMPUTED_VALUE"""),"Batch 2")</f>
        <v>Batch 2</v>
      </c>
      <c r="J1684" s="225">
        <f>IFERROR(__xludf.DUMMYFUNCTION("""COMPUTED_VALUE"""),19.0)</f>
        <v>19</v>
      </c>
      <c r="K1684" s="224">
        <f>IFERROR(__xludf.DUMMYFUNCTION("""COMPUTED_VALUE"""),152.0)</f>
        <v>152</v>
      </c>
      <c r="L1684" s="226">
        <f>IFERROR(__xludf.DUMMYFUNCTION("""COMPUTED_VALUE"""),1257534.0)</f>
        <v>1257534</v>
      </c>
      <c r="M1684" s="227">
        <f>IFERROR(__xludf.DUMMYFUNCTION("""COMPUTED_VALUE"""),1.91145055E8)</f>
        <v>191145055</v>
      </c>
      <c r="N1684" s="222" t="str">
        <f>IFERROR(__xludf.DUMMYFUNCTION("""COMPUTED_VALUE"""),"PT SARANA MITRA PERSADA")</f>
        <v>PT SARANA MITRA PERSADA</v>
      </c>
      <c r="O1684" s="222" t="str">
        <f>IFERROR(__xludf.DUMMYFUNCTION("""COMPUTED_VALUE"""),"7. GOLIVE")</f>
        <v>7. GOLIVE</v>
      </c>
      <c r="P1684" s="222" t="str">
        <f>IFERROR(__xludf.DUMMYFUNCTION("""COMPUTED_VALUE"""),"7.2 Golive Full / OA / DONE OTB")</f>
        <v>7.2 Golive Full / OA / DONE OTB</v>
      </c>
      <c r="Q1684" s="222" t="str">
        <f>IFERROR(__xludf.DUMMYFUNCTION("""COMPUTED_VALUE"""),"08/04 : Proses pembuatan ABD GL. setor ABD hari ini// 07/04 : Proses Valins // 06/04 Progress integrasi, menunggu discovery perangkat dari team ZTE 03/04: proses integrasi odc  // 01/04 : Menunggu tim integrasi  // 09/03 : Menunggu jovis dan Valins // 06/"&amp;"03 : terminasi OTB uplink di site // 05/03 : mernunggu permit rilis masuk site untuk n2n // 04/03 : finish instalasi, kendala butuh Mini OLT //  21/02: finish instal ODC-C-144 // 20/02 : lanjut terminasi odp, kendala mini olt // 19/02 // 18/02: terminasi "&amp;"odp, kendala mini olt // 11/2:"" dengan ""minol11/2:"", dalam ""22/2 sudah FI kendala minol 21/02: finish instal ODC-C-144 // 20/02 : lanjut terminasi odp, kendala mini olt // 19/02 // 18/02: terminasi odp, kendala mini olt // 11/2: GALI HH , PEMBANGUNAN "&amp;"ODC PLAN FI 26 FEB- BUTUH MINI OLT 09/02:kendala MINI OLT- lanjut proses penanaman tiang 7// 08/02: tanam tiang 7m= 6 batang, tarik kabel 12 core = 610m // 07/02://06/02: penarikan kabel // 06/02: bongkar material on site dan pengecatan tiang // 05/02: pa"&amp;"gi ini proses pickup material di gudang pagar dewa // 03/02: hari kamis plan Material delivery // 30/01 : PO materil, pengiriman material dr pabrik ke gudang // 26/01 : proses P05R")</f>
        <v>08/04 : Proses pembuatan ABD GL. setor ABD hari ini// 07/04 : Proses Valins // 06/04 Progress integrasi, menunggu discovery perangkat dari team ZTE 03/04: proses integrasi odc  // 01/04 : Menunggu tim integrasi  // 09/03 : Menunggu jovis dan Valins // 06/03 : terminasi OTB uplink di site // 05/03 : mernunggu permit rilis masuk site untuk n2n // 04/03 : finish instalasi, kendala butuh Mini OLT //  21/02: finish instal ODC-C-144 // 20/02 : lanjut terminasi odp, kendala mini olt // 19/02 // 18/02: terminasi odp, kendala mini olt // 11/2:" dengan "minol11/2:", dalam "22/2 sudah FI kendala minol 21/02: finish instal ODC-C-144 // 20/02 : lanjut terminasi odp, kendala mini olt // 19/02 // 18/02: terminasi odp, kendala mini olt // 11/2: GALI HH , PEMBANGUNAN ODC PLAN FI 26 FEB- BUTUH MINI OLT 09/02:kendala MINI OLT- lanjut proses penanaman tiang 7// 08/02: tanam tiang 7m= 6 batang, tarik kabel 12 core = 610m // 07/02://06/02: penarikan kabel // 06/02: bongkar material on site dan pengecatan tiang // 05/02: pagi ini proses pickup material di gudang pagar dewa // 03/02: hari kamis plan Material delivery // 30/01 : PO materil, pengiriman material dr pabrik ke gudang // 26/01 : proses P05R</v>
      </c>
      <c r="R1684" s="228">
        <f>IFERROR(__xludf.DUMMYFUNCTION("""COMPUTED_VALUE"""),46120.0)</f>
        <v>46120</v>
      </c>
      <c r="S1684" s="11" t="str">
        <f>IFERROR(__xludf.DUMMYFUNCTION("""COMPUTED_VALUE"""),"APR")</f>
        <v>APR</v>
      </c>
      <c r="T1684" s="73" t="str">
        <f>IFERROR(__xludf.DUMMYFUNCTION("""COMPUTED_VALUE"""),"P1")</f>
        <v>P1</v>
      </c>
      <c r="U1684" s="11" t="str">
        <f>IFERROR(__xludf.DUMMYFUNCTION("""COMPUTED_VALUE"""),"TIF-1110/2026")</f>
        <v>TIF-1110/2026</v>
      </c>
      <c r="V1684" s="229" t="str">
        <f>IFERROR(__xludf.DUMMYFUNCTION("""COMPUTED_VALUE"""),"Bobbi Jalu")</f>
        <v>Bobbi Jalu</v>
      </c>
      <c r="W1684" s="229"/>
      <c r="X1684" s="229" t="str">
        <f>IFERROR(__xludf.DUMMYFUNCTION("""COMPUTED_VALUE"""),"GOLIVE")</f>
        <v>GOLIVE</v>
      </c>
      <c r="Y1684" s="229" t="str">
        <f>IFERROR(__xludf.DUMMYFUNCTION("""COMPUTED_VALUE"""),"DONE")</f>
        <v>DONE</v>
      </c>
      <c r="Z1684" s="229"/>
      <c r="AA1684" s="229">
        <f>IFERROR(__xludf.DUMMYFUNCTION("""COMPUTED_VALUE"""),19.0)</f>
        <v>19</v>
      </c>
      <c r="AB1684" s="229"/>
      <c r="AC1684" s="229" t="str">
        <f>IFERROR(__xludf.DUMMYFUNCTION("""COMPUTED_VALUE"""),"9252042#9252048")</f>
        <v>9252042#9252048</v>
      </c>
      <c r="AD1684" s="232">
        <f>IFERROR(__xludf.DUMMYFUNCTION("""COMPUTED_VALUE"""),152.0)</f>
        <v>152</v>
      </c>
      <c r="AE1684" s="233">
        <f>IFERROR(__xludf.DUMMYFUNCTION("""COMPUTED_VALUE"""),46120.0)</f>
        <v>46120</v>
      </c>
      <c r="AF1684" s="54"/>
      <c r="AG1684" s="54"/>
      <c r="AH1684" s="54">
        <v>46120.0</v>
      </c>
      <c r="AI1684" s="55">
        <f t="shared" ref="AI1684:AI1691" si="165">IF(OR(R1684="",AE1684=""),"",R1684-AE1684)</f>
        <v>0</v>
      </c>
      <c r="AW1684" s="234"/>
      <c r="BP1684" s="11"/>
      <c r="BQ1684" s="11"/>
      <c r="BR1684" s="235"/>
      <c r="BV1684" s="158"/>
      <c r="BY1684" s="158"/>
      <c r="CB1684" s="158"/>
    </row>
    <row r="1685" ht="18.0" customHeight="1">
      <c r="A1685" s="222">
        <f>IFERROR(__xludf.DUMMYFUNCTION("""COMPUTED_VALUE"""),2026.0)</f>
        <v>2026</v>
      </c>
      <c r="B1685" s="221">
        <f>IFERROR(__xludf.DUMMYFUNCTION("""COMPUTED_VALUE"""),1.104371E7)</f>
        <v>11043710</v>
      </c>
      <c r="C1685" s="222" t="str">
        <f>IFERROR(__xludf.DUMMYFUNCTION("""COMPUTED_VALUE"""),"SMB P3I7 MYIR-10505070180001 ANDI PUTRA,Resy")</f>
        <v>SMB P3I7 MYIR-10505070180001 ANDI PUTRA,Resy</v>
      </c>
      <c r="D1685" s="222" t="str">
        <f>IFERROR(__xludf.DUMMYFUNCTION("""COMPUTED_VALUE"""),"REGIONAL I")</f>
        <v>REGIONAL I</v>
      </c>
      <c r="E1685" s="222" t="str">
        <f>IFERROR(__xludf.DUMMYFUNCTION("""COMPUTED_VALUE"""),"SUMBAR")</f>
        <v>SUMBAR</v>
      </c>
      <c r="F1685" s="222" t="str">
        <f>IFERROR(__xludf.DUMMYFUNCTION("""COMPUTED_VALUE"""),"NRS")</f>
        <v>NRS</v>
      </c>
      <c r="G1685" s="222" t="str">
        <f>IFERROR(__xludf.DUMMYFUNCTION("""COMPUTED_VALUE"""),"SUMBAGTENG")</f>
        <v>SUMBAGTENG</v>
      </c>
      <c r="H1685" s="222" t="str">
        <f>IFERROR(__xludf.DUMMYFUNCTION("""COMPUTED_VALUE"""),"BUKIT TINGGI")</f>
        <v>BUKIT TINGGI</v>
      </c>
      <c r="I1685" s="222" t="str">
        <f>IFERROR(__xludf.DUMMYFUNCTION("""COMPUTED_VALUE"""),"Batch 2")</f>
        <v>Batch 2</v>
      </c>
      <c r="J1685" s="225">
        <f>IFERROR(__xludf.DUMMYFUNCTION("""COMPUTED_VALUE"""),1.0)</f>
        <v>1</v>
      </c>
      <c r="K1685" s="224">
        <f>IFERROR(__xludf.DUMMYFUNCTION("""COMPUTED_VALUE"""),8.0)</f>
        <v>8</v>
      </c>
      <c r="L1685" s="226">
        <f>IFERROR(__xludf.DUMMYFUNCTION("""COMPUTED_VALUE"""),458777.0)</f>
        <v>458777</v>
      </c>
      <c r="M1685" s="227">
        <f>IFERROR(__xludf.DUMMYFUNCTION("""COMPUTED_VALUE"""),3670210.0)</f>
        <v>3670210</v>
      </c>
      <c r="N1685" s="222" t="str">
        <f>IFERROR(__xludf.DUMMYFUNCTION("""COMPUTED_VALUE"""),"PT PUTRI JAYA AKSES")</f>
        <v>PT PUTRI JAYA AKSES</v>
      </c>
      <c r="O1685" s="222" t="str">
        <f>IFERROR(__xludf.DUMMYFUNCTION("""COMPUTED_VALUE"""),"2. DONE AANWIJZING")</f>
        <v>2. DONE AANWIJZING</v>
      </c>
      <c r="P1685" s="222" t="str">
        <f>IFERROR(__xludf.DUMMYFUNCTION("""COMPUTED_VALUE"""),"2.9 Kendala - Distribusi Penuh / Rusak")</f>
        <v>2.9 Kendala - Distribusi Penuh / Rusak</v>
      </c>
      <c r="Q1685" s="222" t="str">
        <f>IFERROR(__xludf.DUMMYFUNCTION("""COMPUTED_VALUE"""),"(27/01) BUTUH  REPAIR CORE DIST 1 DAN FEEDER NRS-FA (07/01) Persiapan")</f>
        <v>(27/01) BUTUH  REPAIR CORE DIST 1 DAN FEEDER NRS-FA (07/01) Persiapan</v>
      </c>
      <c r="R1685" s="228"/>
      <c r="S1685" s="11"/>
      <c r="T1685" s="11"/>
      <c r="U1685" s="11"/>
      <c r="V1685" s="229"/>
      <c r="W1685" s="229"/>
      <c r="X1685" s="229" t="str">
        <f>IFERROR(__xludf.DUMMYFUNCTION("""COMPUTED_VALUE"""),"BELUM GOLIVE")</f>
        <v>BELUM GOLIVE</v>
      </c>
      <c r="Y1685" s="229"/>
      <c r="Z1685" s="229" t="str">
        <f>IFERROR(__xludf.DUMMYFUNCTION("""COMPUTED_VALUE"""),"#N/A")</f>
        <v>#N/A</v>
      </c>
      <c r="AA1685" s="229"/>
      <c r="AB1685" s="229"/>
      <c r="AC1685" s="229"/>
      <c r="AD1685" s="232"/>
      <c r="AE1685" s="233"/>
      <c r="AF1685" s="54"/>
      <c r="AG1685" s="54"/>
      <c r="AH1685" s="54"/>
      <c r="AI1685" s="55" t="str">
        <f t="shared" si="165"/>
        <v/>
      </c>
      <c r="AW1685" s="234"/>
      <c r="BP1685" s="11"/>
      <c r="BQ1685" s="11"/>
      <c r="BR1685" s="235"/>
      <c r="BV1685" s="158"/>
      <c r="BY1685" s="158"/>
      <c r="CB1685" s="158"/>
    </row>
    <row r="1686" ht="18.0" hidden="1" customHeight="1">
      <c r="A1686" s="222">
        <f>IFERROR(__xludf.DUMMYFUNCTION("""COMPUTED_VALUE"""),2026.0)</f>
        <v>2026</v>
      </c>
      <c r="B1686" s="221">
        <f>IFERROR(__xludf.DUMMYFUNCTION("""COMPUTED_VALUE"""),1.1346204E7)</f>
        <v>11346204</v>
      </c>
      <c r="C1686" s="222" t="str">
        <f>IFERROR(__xludf.DUMMYFUNCTION("""COMPUTED_VALUE"""),"ACH PT3 DAR-FA BR.D08 LAMARA RUKOH")</f>
        <v>ACH PT3 DAR-FA BR.D08 LAMARA RUKOH</v>
      </c>
      <c r="D1686" s="222" t="str">
        <f>IFERROR(__xludf.DUMMYFUNCTION("""COMPUTED_VALUE"""),"REGIONAL I")</f>
        <v>REGIONAL I</v>
      </c>
      <c r="E1686" s="222" t="str">
        <f>IFERROR(__xludf.DUMMYFUNCTION("""COMPUTED_VALUE"""),"ACEH")</f>
        <v>ACEH</v>
      </c>
      <c r="F1686" s="222" t="str">
        <f>IFERROR(__xludf.DUMMYFUNCTION("""COMPUTED_VALUE"""),"DAR")</f>
        <v>DAR</v>
      </c>
      <c r="G1686" s="222" t="str">
        <f>IFERROR(__xludf.DUMMYFUNCTION("""COMPUTED_VALUE"""),"SUMBAGUT")</f>
        <v>SUMBAGUT</v>
      </c>
      <c r="H1686" s="222" t="str">
        <f>IFERROR(__xludf.DUMMYFUNCTION("""COMPUTED_VALUE"""),"BANDA ACEH")</f>
        <v>BANDA ACEH</v>
      </c>
      <c r="I1686" s="222" t="str">
        <f>IFERROR(__xludf.DUMMYFUNCTION("""COMPUTED_VALUE"""),"Batch 2")</f>
        <v>Batch 2</v>
      </c>
      <c r="J1686" s="225">
        <f>IFERROR(__xludf.DUMMYFUNCTION("""COMPUTED_VALUE"""),3.0)</f>
        <v>3</v>
      </c>
      <c r="K1686" s="224">
        <f>IFERROR(__xludf.DUMMYFUNCTION("""COMPUTED_VALUE"""),24.0)</f>
        <v>24</v>
      </c>
      <c r="L1686" s="226">
        <f>IFERROR(__xludf.DUMMYFUNCTION("""COMPUTED_VALUE"""),864947.0)</f>
        <v>864947</v>
      </c>
      <c r="M1686" s="227">
        <f>IFERROR(__xludf.DUMMYFUNCTION("""COMPUTED_VALUE"""),2.0758723E7)</f>
        <v>20758723</v>
      </c>
      <c r="N1686" s="222" t="str">
        <f>IFERROR(__xludf.DUMMYFUNCTION("""COMPUTED_VALUE"""),"PT NIAGA NUSANTARA DIVA")</f>
        <v>PT NIAGA NUSANTARA DIVA</v>
      </c>
      <c r="O1686" s="222" t="str">
        <f>IFERROR(__xludf.DUMMYFUNCTION("""COMPUTED_VALUE"""),"6. FINISH INSTALASI")</f>
        <v>6. FINISH INSTALASI</v>
      </c>
      <c r="P1686" s="222" t="str">
        <f>IFERROR(__xludf.DUMMYFUNCTION("""COMPUTED_VALUE"""),"6.1 Selesai Fisik/RFS/L0/Perapihan")</f>
        <v>6.1 Selesai Fisik/RFS/L0/Perapihan</v>
      </c>
      <c r="Q1686" s="222" t="str">
        <f>IFERROR(__xludf.DUMMYFUNCTION("""COMPUTED_VALUE"""),"24/04 Instalasi penarikan kabel
(07/04) Waiting Material Ready (03/03) Need Review CPP (09/02) Menunggu Approval Prelim (29/01) menunggu aproval prelim (08/01) kendala feeder penuh, KENDALA FEEDER TLB-FA FULL (07/01) Persiapan")</f>
        <v>24/04 Instalasi penarikan kabel
(07/04) Waiting Material Ready (03/03) Need Review CPP (09/02) Menunggu Approval Prelim (29/01) menunggu aproval prelim (08/01) kendala feeder penuh, KENDALA FEEDER TLB-FA FULL (07/01) Persiapan</v>
      </c>
      <c r="R1686" s="228">
        <f>IFERROR(__xludf.DUMMYFUNCTION("""COMPUTED_VALUE"""),46139.0)</f>
        <v>46139</v>
      </c>
      <c r="S1686" s="11"/>
      <c r="T1686" s="73"/>
      <c r="U1686" s="11"/>
      <c r="V1686" s="229" t="str">
        <f>IFERROR(__xludf.DUMMYFUNCTION("""COMPUTED_VALUE"""),"28/Apr/2026")</f>
        <v>28/Apr/2026</v>
      </c>
      <c r="W1686" s="229"/>
      <c r="X1686" s="229" t="str">
        <f>IFERROR(__xludf.DUMMYFUNCTION("""COMPUTED_VALUE"""),"BELUM GOLIVE")</f>
        <v>BELUM GOLIVE</v>
      </c>
      <c r="Y1686" s="229"/>
      <c r="Z1686" s="229" t="str">
        <f>IFERROR(__xludf.DUMMYFUNCTION("""COMPUTED_VALUE"""),"#N/A")</f>
        <v>#N/A</v>
      </c>
      <c r="AA1686" s="229"/>
      <c r="AB1686" s="229"/>
      <c r="AC1686" s="229"/>
      <c r="AD1686" s="232"/>
      <c r="AE1686" s="233"/>
      <c r="AF1686" s="54"/>
      <c r="AG1686" s="54"/>
      <c r="AH1686" s="54"/>
      <c r="AI1686" s="55" t="str">
        <f t="shared" si="165"/>
        <v/>
      </c>
      <c r="AW1686" s="234"/>
      <c r="BP1686" s="11"/>
      <c r="BQ1686" s="11"/>
      <c r="BR1686" s="235"/>
      <c r="BV1686" s="158"/>
      <c r="BY1686" s="158"/>
      <c r="CB1686" s="158"/>
    </row>
    <row r="1687" ht="18.0" customHeight="1">
      <c r="A1687" s="222">
        <f>IFERROR(__xludf.DUMMYFUNCTION("""COMPUTED_VALUE"""),2026.0)</f>
        <v>2026</v>
      </c>
      <c r="B1687" s="221">
        <f>IFERROR(__xludf.DUMMYFUNCTION("""COMPUTED_VALUE"""),1.1290052E7)</f>
        <v>11290052</v>
      </c>
      <c r="C1687" s="222" t="str">
        <f>IFERROR(__xludf.DUMMYFUNCTION("""COMPUTED_VALUE"""),"SMB MD KOTA PADANG_15508")</f>
        <v>SMB MD KOTA PADANG_15508</v>
      </c>
      <c r="D1687" s="222" t="str">
        <f>IFERROR(__xludf.DUMMYFUNCTION("""COMPUTED_VALUE"""),"REGIONAL I")</f>
        <v>REGIONAL I</v>
      </c>
      <c r="E1687" s="222" t="str">
        <f>IFERROR(__xludf.DUMMYFUNCTION("""COMPUTED_VALUE"""),"SUMBAR")</f>
        <v>SUMBAR</v>
      </c>
      <c r="F1687" s="222" t="str">
        <f>IFERROR(__xludf.DUMMYFUNCTION("""COMPUTED_VALUE"""),"TLB")</f>
        <v>TLB</v>
      </c>
      <c r="G1687" s="222" t="str">
        <f>IFERROR(__xludf.DUMMYFUNCTION("""COMPUTED_VALUE"""),"SUMBAGTENG")</f>
        <v>SUMBAGTENG</v>
      </c>
      <c r="H1687" s="222" t="str">
        <f>IFERROR(__xludf.DUMMYFUNCTION("""COMPUTED_VALUE"""),"PADANG")</f>
        <v>PADANG</v>
      </c>
      <c r="I1687" s="222" t="str">
        <f>IFERROR(__xludf.DUMMYFUNCTION("""COMPUTED_VALUE"""),"Batch 2")</f>
        <v>Batch 2</v>
      </c>
      <c r="J1687" s="225">
        <f>IFERROR(__xludf.DUMMYFUNCTION("""COMPUTED_VALUE"""),5.0)</f>
        <v>5</v>
      </c>
      <c r="K1687" s="224">
        <f>IFERROR(__xludf.DUMMYFUNCTION("""COMPUTED_VALUE"""),40.0)</f>
        <v>40</v>
      </c>
      <c r="L1687" s="226">
        <f>IFERROR(__xludf.DUMMYFUNCTION("""COMPUTED_VALUE"""),456538.0)</f>
        <v>456538</v>
      </c>
      <c r="M1687" s="227">
        <f>IFERROR(__xludf.DUMMYFUNCTION("""COMPUTED_VALUE"""),1.8261495E7)</f>
        <v>18261495</v>
      </c>
      <c r="N1687" s="222" t="str">
        <f>IFERROR(__xludf.DUMMYFUNCTION("""COMPUTED_VALUE"""),"PT UPAYA TEKNIK")</f>
        <v>PT UPAYA TEKNIK</v>
      </c>
      <c r="O1687" s="222" t="str">
        <f>IFERROR(__xludf.DUMMYFUNCTION("""COMPUTED_VALUE"""),"0. DROP")</f>
        <v>0. DROP</v>
      </c>
      <c r="P1687" s="222" t="str">
        <f>IFERROR(__xludf.DUMMYFUNCTION("""COMPUTED_VALUE"""),"0.3 Feeder Full")</f>
        <v>0.3 Feeder Full</v>
      </c>
      <c r="Q1687" s="222" t="str">
        <f>IFERROR(__xludf.DUMMYFUNCTION("""COMPUTED_VALUE"""),"(07/01) PKENDALA FEEDER TLB-FA FULL")</f>
        <v>(07/01) PKENDALA FEEDER TLB-FA FULL</v>
      </c>
      <c r="R1687" s="228"/>
      <c r="S1687" s="11"/>
      <c r="T1687" s="11"/>
      <c r="U1687" s="11"/>
      <c r="V1687" s="229"/>
      <c r="W1687" s="229"/>
      <c r="X1687" s="229" t="str">
        <f>IFERROR(__xludf.DUMMYFUNCTION("""COMPUTED_VALUE"""),"BELUM GOLIVE")</f>
        <v>BELUM GOLIVE</v>
      </c>
      <c r="Y1687" s="229"/>
      <c r="Z1687" s="229" t="str">
        <f>IFERROR(__xludf.DUMMYFUNCTION("""COMPUTED_VALUE"""),"#N/A")</f>
        <v>#N/A</v>
      </c>
      <c r="AA1687" s="229"/>
      <c r="AB1687" s="229"/>
      <c r="AC1687" s="229"/>
      <c r="AD1687" s="232"/>
      <c r="AE1687" s="233"/>
      <c r="AF1687" s="54" t="str">
        <f>IFERROR(__xludf.DUMMYFUNCTION("""COMPUTED_VALUE"""),"Draft BA DROP")</f>
        <v>Draft BA DROP</v>
      </c>
      <c r="AG1687" s="54"/>
      <c r="AH1687" s="54"/>
      <c r="AI1687" s="55" t="str">
        <f t="shared" si="165"/>
        <v/>
      </c>
      <c r="AW1687" s="234"/>
      <c r="BP1687" s="11"/>
      <c r="BQ1687" s="11"/>
      <c r="BR1687" s="235"/>
      <c r="BV1687" s="158"/>
      <c r="BY1687" s="158"/>
      <c r="CB1687" s="158"/>
    </row>
    <row r="1688" ht="18.0" hidden="1" customHeight="1">
      <c r="A1688" s="222">
        <f>IFERROR(__xludf.DUMMYFUNCTION("""COMPUTED_VALUE"""),2026.0)</f>
        <v>2026</v>
      </c>
      <c r="B1688" s="221">
        <f>IFERROR(__xludf.DUMMYFUNCTION("""COMPUTED_VALUE"""),1.1194169E7)</f>
        <v>11194169</v>
      </c>
      <c r="C1688" s="222" t="str">
        <f>IFERROR(__xludf.DUMMYFUNCTION("""COMPUTED_VALUE"""),"MDN PT3 P7I9 TJR-FAM GG.LANGGAR")</f>
        <v>MDN PT3 P7I9 TJR-FAM GG.LANGGAR</v>
      </c>
      <c r="D1688" s="222" t="str">
        <f>IFERROR(__xludf.DUMMYFUNCTION("""COMPUTED_VALUE"""),"REGIONAL I")</f>
        <v>REGIONAL I</v>
      </c>
      <c r="E1688" s="222" t="str">
        <f>IFERROR(__xludf.DUMMYFUNCTION("""COMPUTED_VALUE"""),"MEDAN")</f>
        <v>MEDAN</v>
      </c>
      <c r="F1688" s="222" t="str">
        <f>IFERROR(__xludf.DUMMYFUNCTION("""COMPUTED_VALUE"""),"TJR")</f>
        <v>TJR</v>
      </c>
      <c r="G1688" s="222" t="str">
        <f>IFERROR(__xludf.DUMMYFUNCTION("""COMPUTED_VALUE"""),"SUMBAGUT")</f>
        <v>SUMBAGUT</v>
      </c>
      <c r="H1688" s="222" t="str">
        <f>IFERROR(__xludf.DUMMYFUNCTION("""COMPUTED_VALUE"""),"MEDAN")</f>
        <v>MEDAN</v>
      </c>
      <c r="I1688" s="222" t="str">
        <f>IFERROR(__xludf.DUMMYFUNCTION("""COMPUTED_VALUE"""),"Batch 2")</f>
        <v>Batch 2</v>
      </c>
      <c r="J1688" s="225">
        <f>IFERROR(__xludf.DUMMYFUNCTION("""COMPUTED_VALUE"""),2.0)</f>
        <v>2</v>
      </c>
      <c r="K1688" s="224">
        <f>IFERROR(__xludf.DUMMYFUNCTION("""COMPUTED_VALUE"""),16.0)</f>
        <v>16</v>
      </c>
      <c r="L1688" s="226">
        <f>IFERROR(__xludf.DUMMYFUNCTION("""COMPUTED_VALUE"""),1616077.0)</f>
        <v>1616077</v>
      </c>
      <c r="M1688" s="227">
        <f>IFERROR(__xludf.DUMMYFUNCTION("""COMPUTED_VALUE"""),2.585722E7)</f>
        <v>25857220</v>
      </c>
      <c r="N1688" s="222" t="str">
        <f>IFERROR(__xludf.DUMMYFUNCTION("""COMPUTED_VALUE"""),"PT UPAYA TEKNIK")</f>
        <v>PT UPAYA TEKNIK</v>
      </c>
      <c r="O1688" s="222" t="str">
        <f>IFERROR(__xludf.DUMMYFUNCTION("""COMPUTED_VALUE"""),"5. INSTALASI")</f>
        <v>5. INSTALASI</v>
      </c>
      <c r="P1688" s="222" t="str">
        <f>IFERROR(__xludf.DUMMYFUNCTION("""COMPUTED_VALUE"""),"5.9 Proses Pemasangan/Terminasi ODP/OTB")</f>
        <v>5.9 Proses Pemasangan/Terminasi ODP/OTB</v>
      </c>
      <c r="Q1688" s="222" t="str">
        <f>IFERROR(__xludf.DUMMYFUNCTION("""COMPUTED_VALUE"""),"26/04 INSTALASI ODP
10/04 proses input matrial
31/03 menunggu req material 12/02 feeder ok, dist ok
(07/01) Persiapan")</f>
        <v>26/04 INSTALASI ODP
10/04 proses input matrial
31/03 menunggu req material 12/02 feeder ok, dist ok
(07/01) Persiapan</v>
      </c>
      <c r="R1688" s="228">
        <f>IFERROR(__xludf.DUMMYFUNCTION("""COMPUTED_VALUE"""),46139.0)</f>
        <v>46139</v>
      </c>
      <c r="S1688" s="11"/>
      <c r="T1688" s="73"/>
      <c r="U1688" s="11"/>
      <c r="V1688" s="229" t="str">
        <f>IFERROR(__xludf.DUMMYFUNCTION("""COMPUTED_VALUE"""),"08/Apr/2026")</f>
        <v>08/Apr/2026</v>
      </c>
      <c r="W1688" s="229"/>
      <c r="X1688" s="229" t="str">
        <f>IFERROR(__xludf.DUMMYFUNCTION("""COMPUTED_VALUE"""),"BELUM GOLIVE")</f>
        <v>BELUM GOLIVE</v>
      </c>
      <c r="Y1688" s="229"/>
      <c r="Z1688" s="229" t="str">
        <f>IFERROR(__xludf.DUMMYFUNCTION("""COMPUTED_VALUE"""),"#N/A")</f>
        <v>#N/A</v>
      </c>
      <c r="AA1688" s="229"/>
      <c r="AB1688" s="229"/>
      <c r="AC1688" s="229"/>
      <c r="AD1688" s="232"/>
      <c r="AE1688" s="233"/>
      <c r="AF1688" s="54" t="str">
        <f>IFERROR(__xludf.DUMMYFUNCTION("""COMPUTED_VALUE"""),"Draft BA DROP")</f>
        <v>Draft BA DROP</v>
      </c>
      <c r="AG1688" s="54"/>
      <c r="AH1688" s="54">
        <v>46077.0</v>
      </c>
      <c r="AI1688" s="55" t="str">
        <f t="shared" si="165"/>
        <v/>
      </c>
      <c r="AW1688" s="234"/>
      <c r="BP1688" s="11"/>
      <c r="BQ1688" s="11"/>
      <c r="BR1688" s="235"/>
      <c r="BV1688" s="158"/>
      <c r="BY1688" s="158"/>
      <c r="CB1688" s="158"/>
    </row>
    <row r="1689" ht="18.0" hidden="1" customHeight="1">
      <c r="A1689" s="222">
        <f>IFERROR(__xludf.DUMMYFUNCTION("""COMPUTED_VALUE"""),2026.0)</f>
        <v>2026</v>
      </c>
      <c r="B1689" s="221">
        <f>IFERROR(__xludf.DUMMYFUNCTION("""COMPUTED_VALUE"""),1.1407954E7)</f>
        <v>11407954</v>
      </c>
      <c r="C1689" s="222" t="str">
        <f>IFERROR(__xludf.DUMMYFUNCTION("""COMPUTED_VALUE"""),"SMU PT4 RAP CLUST SEI TAWAR AEK MATEO")</f>
        <v>SMU PT4 RAP CLUST SEI TAWAR AEK MATEO</v>
      </c>
      <c r="D1689" s="222" t="str">
        <f>IFERROR(__xludf.DUMMYFUNCTION("""COMPUTED_VALUE"""),"REGIONAL I")</f>
        <v>REGIONAL I</v>
      </c>
      <c r="E1689" s="222" t="str">
        <f>IFERROR(__xludf.DUMMYFUNCTION("""COMPUTED_VALUE"""),"SUMUT")</f>
        <v>SUMUT</v>
      </c>
      <c r="F1689" s="222" t="str">
        <f>IFERROR(__xludf.DUMMYFUNCTION("""COMPUTED_VALUE"""),"RAP")</f>
        <v>RAP</v>
      </c>
      <c r="G1689" s="222" t="str">
        <f>IFERROR(__xludf.DUMMYFUNCTION("""COMPUTED_VALUE"""),"SUMBAGUT")</f>
        <v>SUMBAGUT</v>
      </c>
      <c r="H1689" s="222" t="str">
        <f>IFERROR(__xludf.DUMMYFUNCTION("""COMPUTED_VALUE"""),"RANTAU PRAPAT")</f>
        <v>RANTAU PRAPAT</v>
      </c>
      <c r="I1689" s="222" t="str">
        <f>IFERROR(__xludf.DUMMYFUNCTION("""COMPUTED_VALUE"""),"Batch 2")</f>
        <v>Batch 2</v>
      </c>
      <c r="J1689" s="225">
        <f>IFERROR(__xludf.DUMMYFUNCTION("""COMPUTED_VALUE"""),6.0)</f>
        <v>6</v>
      </c>
      <c r="K1689" s="224">
        <f>IFERROR(__xludf.DUMMYFUNCTION("""COMPUTED_VALUE"""),64.0)</f>
        <v>64</v>
      </c>
      <c r="L1689" s="226">
        <f>IFERROR(__xludf.DUMMYFUNCTION("""COMPUTED_VALUE"""),1376808.0)</f>
        <v>1376808</v>
      </c>
      <c r="M1689" s="227">
        <f>IFERROR(__xludf.DUMMYFUNCTION("""COMPUTED_VALUE"""),8.8115662E7)</f>
        <v>88115662</v>
      </c>
      <c r="N1689" s="222" t="str">
        <f>IFERROR(__xludf.DUMMYFUNCTION("""COMPUTED_VALUE"""),"PT UPAYA TEKNIK")</f>
        <v>PT UPAYA TEKNIK</v>
      </c>
      <c r="O1689" s="222" t="str">
        <f>IFERROR(__xludf.DUMMYFUNCTION("""COMPUTED_VALUE"""),"3. PERIZINAN")</f>
        <v>3. PERIZINAN</v>
      </c>
      <c r="P1689" s="222" t="str">
        <f>IFERROR(__xludf.DUMMYFUNCTION("""COMPUTED_VALUE"""),"3.10 Izin Developer / Private area")</f>
        <v>3.10 Izin Developer / Private area</v>
      </c>
      <c r="Q1689" s="222" t="str">
        <f>IFERROR(__xludf.DUMMYFUNCTION("""COMPUTED_VALUE"""),"27/4 menunggu ttd GM terkait pengantar izin pu kab, pu nasional, 24/4 menunggu ttd GM terkait pengantar izin pu kab, pu nasional, 23/4 menunggu ttd GM terkait pengantar izin pu kab, pu nasional,  22/4 menunggu ttd GM terkait pengantar izin pu kab, pu nasi"&amp;"onal,  21/4 menunggu ttd GM terkait pengantar izin pu kab, pu nasional, 20/4 menunggu ttd GM terkait pengantar izin pu kab, pu nasional, 16/4 menunggu ttd GM terkait pengantar izin pu kab, pu nasional, 15/4 menunggu approval terkait pengantar izin pu kab,"&amp;" pu nasional, 14/4 menunggu approval terkait pengantar izin pu kab, pu nasional, 13/4 menunggu approval terkait pengantar izin pu kab, pu nasional, 10/4 menunggu approval terkait pengantar izin pu kab,pu nasional , 9/4 menunggu approval terkait pengantar "&amp;"izin pu kab,pu nasional ,8/4 menunggu approval terkait pengantar izin pu kab,pu nasional , 6/4 menunggu approval terkait pengantar izin pu kab,pu nasional , 5/4 menunggu approval terkait pengantar izin pu kab,pu nasional 1/4 menunggu approval terkait peng"&amp;"antra izin pu kab, pu nasional, 31/3 menunggu approval terkait pengantra izin pu kab, pu nasional, 30/3 menunggu approval terkait pengantra izin pu kab, pu nasional, 27/3 menunggu approval terkait pengantra izin pu kab, pu nasional, 26/3 menunggu approval"&amp;" terkait pengantra izin pu kab, pu nasional, 22/3 menunggu approval terkait pengantra izin pu kab, pu nasional,   18/3 menunggu approval terkait pengantra izin pu kab, pu nasional,  16/3 menunggu approval terkait pengantra izin pu kab, pu nasional,  13/3 "&amp;"menunggu approval terkait pengantra izin pu kab, pu nasional, 11/3 menunggu approval terkait pengantra izin pu kab, pu nasional, 10/3 menunggu approval terkait pengantra izin pu kab, pu nasional,  3/3 menunggu approval GM terkait pengantra izin pu kab, pu"&amp;" nasional,  2/3 menunggu approval GM terkait pengantra izin pu kab, pu nasional, 27/2 menunggu approval GM terkait pengantra izin pu kab, pu nasional,  25/2 menunggu approval GM terkait pengantra izin pu kab, pu nasional,  24/2 menunggu approval GM terkai"&amp;"t pengantra izin pu kab, pu nasional,  23/2 menunggu approval GM terkait pengantra izin pu kab, pu nasional,  20/2 menunggu approval GM terkait pengantra izin pu kab, pu nasional, 19/2 menunggu approval GM terkait pengantra izin pu kab, pu balai, 18/2 men"&amp;"unggu approval GM terkait pengantra izin pu kab, pu balai,  16/2 menunggu approval GM terkait pengantra izin pu kab, pu balai,  13/2 menunggu approval GM terkait pengantra izin pu kab, pu balai, 12/2 menunggu approval GM terkait pengantra izin pu kab, pu "&amp;"balai,  11/2 menunggu approval GM terkait pengantra izin pu kab, pu balai, 10/2 menunggu approval GM terkait pengantra izin pu kab, pu balai, 9/2 menunggu approval GM terkait pengantra izin pu kab, pu balai, 6/2 menunggu req pengantar izin pu kab paralel "&amp;"req matrial, 5/2 revisi boq  kml survey , 3/2 revisi boq  kml survey ,2/2 revisi boq  kml survey , 1/2 revisi boq  kml survey , 30/1 revisi boq  kml survey  ( odp survey nambah 70 ), 28/1 revisi boq  kml survey  ( odp survey nambah 70 ), 27/1 menunggu  bo"&amp;"q kml survey paralel hasil cek otdr, 26/1 menunggu  boq kml survey,23/1 menunggu boq kml survey.22/1 menunggu boq kml hasil survey,  21/1 menunggu boq kml hasil survey, 20/1 menunggu boq kml hasil survey,  19/1 plan survey 20/1,  15/1 plan survey 20/1, 14"&amp;"/1 plan survey 19/1 s/d 21/1, 13/1 menunggu info kelanjutan dari mitra, (07/01) Persiapan")</f>
        <v>27/4 menunggu ttd GM terkait pengantar izin pu kab, pu nasional, 24/4 menunggu ttd GM terkait pengantar izin pu kab, pu nasional, 23/4 menunggu ttd GM terkait pengantar izin pu kab, pu nasional,  22/4 menunggu ttd GM terkait pengantar izin pu kab, pu nasional,  21/4 menunggu ttd GM terkait pengantar izin pu kab, pu nasional, 20/4 menunggu ttd GM terkait pengantar izin pu kab, pu nasional, 16/4 menunggu ttd GM terkait pengantar izin pu kab, pu nasional, 15/4 menunggu approval terkait pengantar izin pu kab, pu nasional, 14/4 menunggu approval terkait pengantar izin pu kab, pu nasional, 13/4 menunggu approval terkait pengantar izin pu kab, pu nasional, 10/4 menunggu approval terkait pengantar izin pu kab,pu nasional , 9/4 menunggu approval terkait pengantar izin pu kab,pu nasional ,8/4 menunggu approval terkait pengantar izin pu kab,pu nasional , 6/4 menunggu approval terkait pengantar izin pu kab,pu nasional , 5/4 menunggu approval terkait pengantar izin pu kab,pu nasional 1/4 menunggu approval terkait pengantra izin pu kab, pu nasional, 31/3 menunggu approval terkait pengantra izin pu kab, pu nasional, 30/3 menunggu approval terkait pengantra izin pu kab, pu nasional, 27/3 menunggu approval terkait pengantra izin pu kab, pu nasional, 26/3 menunggu approval terkait pengantra izin pu kab, pu nasional, 22/3 menunggu approval terkait pengantra izin pu kab, pu nasional,   18/3 menunggu approval terkait pengantra izin pu kab, pu nasional,  16/3 menunggu approval terkait pengantra izin pu kab, pu nasional,  13/3 menunggu approval terkait pengantra izin pu kab, pu nasional, 11/3 menunggu approval terkait pengantra izin pu kab, pu nasional, 10/3 menunggu approval terkait pengantra izin pu kab, pu nasional,  3/3 menunggu approval GM terkait pengantra izin pu kab, pu nasional,  2/3 menunggu approval GM terkait pengantra izin pu kab, pu nasional, 27/2 menunggu approval GM terkait pengantra izin pu kab, pu nasional,  25/2 menunggu approval GM terkait pengantra izin pu kab, pu nasional,  24/2 menunggu approval GM terkait pengantra izin pu kab, pu nasional,  23/2 menunggu approval GM terkait pengantra izin pu kab, pu nasional,  20/2 menunggu approval GM terkait pengantra izin pu kab, pu nasional, 19/2 menunggu approval GM terkait pengantra izin pu kab, pu balai, 18/2 menunggu approval GM terkait pengantra izin pu kab, pu balai,  16/2 menunggu approval GM terkait pengantra izin pu kab, pu balai,  13/2 menunggu approval GM terkait pengantra izin pu kab, pu balai, 12/2 menunggu approval GM terkait pengantra izin pu kab, pu balai,  11/2 menunggu approval GM terkait pengantra izin pu kab, pu balai, 10/2 menunggu approval GM terkait pengantra izin pu kab, pu balai, 9/2 menunggu approval GM terkait pengantra izin pu kab, pu balai, 6/2 menunggu req pengantar izin pu kab paralel req matrial, 5/2 revisi boq  kml survey , 3/2 revisi boq  kml survey ,2/2 revisi boq  kml survey , 1/2 revisi boq  kml survey , 30/1 revisi boq  kml survey  ( odp survey nambah 70 ), 28/1 revisi boq  kml survey  ( odp survey nambah 70 ), 27/1 menunggu  boq kml survey paralel hasil cek otdr, 26/1 menunggu  boq kml survey,23/1 menunggu boq kml survey.22/1 menunggu boq kml hasil survey,  21/1 menunggu boq kml hasil survey, 20/1 menunggu boq kml hasil survey,  19/1 plan survey 20/1,  15/1 plan survey 20/1, 14/1 plan survey 19/1 s/d 21/1, 13/1 menunggu info kelanjutan dari mitra, (07/01) Persiapan</v>
      </c>
      <c r="R1689" s="228"/>
      <c r="S1689" s="11"/>
      <c r="T1689" s="73" t="str">
        <f>IFERROR(__xludf.DUMMYFUNCTION("""COMPUTED_VALUE"""),"P1")</f>
        <v>P1</v>
      </c>
      <c r="U1689" s="11" t="str">
        <f>IFERROR(__xludf.DUMMYFUNCTION("""COMPUTED_VALUE"""),"W03-1626/2025")</f>
        <v>W03-1626/2025</v>
      </c>
      <c r="V1689" s="229" t="str">
        <f>IFERROR(__xludf.DUMMYFUNCTION("""COMPUTED_VALUE"""),"27/Apr/2026")</f>
        <v>27/Apr/2026</v>
      </c>
      <c r="W1689" s="229"/>
      <c r="X1689" s="229" t="str">
        <f>IFERROR(__xludf.DUMMYFUNCTION("""COMPUTED_VALUE"""),"BELUM GOLIVE")</f>
        <v>BELUM GOLIVE</v>
      </c>
      <c r="Y1689" s="229" t="str">
        <f>IFERROR(__xludf.DUMMYFUNCTION("""COMPUTED_VALUE"""),"Izin pu")</f>
        <v>Izin pu</v>
      </c>
      <c r="Z1689" s="229" t="str">
        <f>IFERROR(__xludf.DUMMYFUNCTION("""COMPUTED_VALUE"""),"#N/A")</f>
        <v>#N/A</v>
      </c>
      <c r="AA1689" s="229"/>
      <c r="AB1689" s="229"/>
      <c r="AC1689" s="229"/>
      <c r="AD1689" s="232"/>
      <c r="AE1689" s="233"/>
      <c r="AF1689" s="54" t="str">
        <f>IFERROR(__xludf.DUMMYFUNCTION("""COMPUTED_VALUE"""),"Draft BA DROP")</f>
        <v>Draft BA DROP</v>
      </c>
      <c r="AG1689" s="54"/>
      <c r="AH1689" s="54"/>
      <c r="AI1689" s="55" t="str">
        <f t="shared" si="165"/>
        <v/>
      </c>
      <c r="AW1689" s="234"/>
      <c r="BP1689" s="11"/>
      <c r="BQ1689" s="11"/>
      <c r="BR1689" s="235"/>
      <c r="BV1689" s="158"/>
      <c r="BY1689" s="158"/>
      <c r="CB1689" s="158"/>
    </row>
    <row r="1690" ht="18.0" customHeight="1">
      <c r="A1690" s="222">
        <f>IFERROR(__xludf.DUMMYFUNCTION("""COMPUTED_VALUE"""),2026.0)</f>
        <v>2026</v>
      </c>
      <c r="B1690" s="221">
        <f>IFERROR(__xludf.DUMMYFUNCTION("""COMPUTED_VALUE"""),1.1346005E7)</f>
        <v>11346005</v>
      </c>
      <c r="C1690" s="222" t="str">
        <f>IFERROR(__xludf.DUMMYFUNCTION("""COMPUTED_VALUE"""),"RDR JPP PT3 Jl. Nila duri-minas")</f>
        <v>RDR JPP PT3 Jl. Nila duri-minas</v>
      </c>
      <c r="D1690" s="222" t="str">
        <f>IFERROR(__xludf.DUMMYFUNCTION("""COMPUTED_VALUE"""),"REGIONAL I")</f>
        <v>REGIONAL I</v>
      </c>
      <c r="E1690" s="222" t="str">
        <f>IFERROR(__xludf.DUMMYFUNCTION("""COMPUTED_VALUE"""),"RIDAR")</f>
        <v>RIDAR</v>
      </c>
      <c r="F1690" s="222" t="str">
        <f>IFERROR(__xludf.DUMMYFUNCTION("""COMPUTED_VALUE"""),"DRI")</f>
        <v>DRI</v>
      </c>
      <c r="G1690" s="222" t="str">
        <f>IFERROR(__xludf.DUMMYFUNCTION("""COMPUTED_VALUE"""),"SUMBAGTENG")</f>
        <v>SUMBAGTENG</v>
      </c>
      <c r="H1690" s="222" t="str">
        <f>IFERROR(__xludf.DUMMYFUNCTION("""COMPUTED_VALUE"""),"DUMAI")</f>
        <v>DUMAI</v>
      </c>
      <c r="I1690" s="222" t="str">
        <f>IFERROR(__xludf.DUMMYFUNCTION("""COMPUTED_VALUE"""),"Batch 2")</f>
        <v>Batch 2</v>
      </c>
      <c r="J1690" s="225">
        <f>IFERROR(__xludf.DUMMYFUNCTION("""COMPUTED_VALUE"""),12.0)</f>
        <v>12</v>
      </c>
      <c r="K1690" s="224">
        <f>IFERROR(__xludf.DUMMYFUNCTION("""COMPUTED_VALUE"""),96.0)</f>
        <v>96</v>
      </c>
      <c r="L1690" s="226">
        <f>IFERROR(__xludf.DUMMYFUNCTION("""COMPUTED_VALUE"""),954884.0)</f>
        <v>954884</v>
      </c>
      <c r="M1690" s="227">
        <f>IFERROR(__xludf.DUMMYFUNCTION("""COMPUTED_VALUE"""),9.1668817E7)</f>
        <v>91668817</v>
      </c>
      <c r="N1690" s="222" t="str">
        <f>IFERROR(__xludf.DUMMYFUNCTION("""COMPUTED_VALUE"""),"PT TRI LESMA INDONESIA")</f>
        <v>PT TRI LESMA INDONESIA</v>
      </c>
      <c r="O1690" s="222" t="str">
        <f>IFERROR(__xludf.DUMMYFUNCTION("""COMPUTED_VALUE"""),"0. DROP")</f>
        <v>0. DROP</v>
      </c>
      <c r="P1690" s="222" t="str">
        <f>IFERROR(__xludf.DUMMYFUNCTION("""COMPUTED_VALUE"""),"0.2 Tidak Dapat Izin Warga/Kades/Lurah/Developer")</f>
        <v>0.2 Tidak Dapat Izin Warga/Kades/Lurah/Developer</v>
      </c>
      <c r="Q1690" s="222" t="str">
        <f>IFERROR(__xludf.DUMMYFUNCTION("""COMPUTED_VALUE"""),"20/01 Tidak dapat izin tanam tiang oleh pihak PHR (07/01) Persiapan")</f>
        <v>20/01 Tidak dapat izin tanam tiang oleh pihak PHR (07/01) Persiapan</v>
      </c>
      <c r="R1690" s="228"/>
      <c r="S1690" s="11"/>
      <c r="T1690" s="11"/>
      <c r="U1690" s="11"/>
      <c r="V1690" s="229" t="str">
        <f>IFERROR(__xludf.DUMMYFUNCTION("""COMPUTED_VALUE"""),"ONDI EKA SAPUTRA")</f>
        <v>ONDI EKA SAPUTRA</v>
      </c>
      <c r="W1690" s="229" t="str">
        <f>IFERROR(__xludf.DUMMYFUNCTION("""COMPUTED_VALUE"""),"DESLITA RAHMADANI")</f>
        <v>DESLITA RAHMADANI</v>
      </c>
      <c r="X1690" s="229" t="str">
        <f>IFERROR(__xludf.DUMMYFUNCTION("""COMPUTED_VALUE"""),"BELUM GOLIVE")</f>
        <v>BELUM GOLIVE</v>
      </c>
      <c r="Y1690" s="229"/>
      <c r="Z1690" s="229" t="str">
        <f>IFERROR(__xludf.DUMMYFUNCTION("""COMPUTED_VALUE"""),"#N/A")</f>
        <v>#N/A</v>
      </c>
      <c r="AA1690" s="229"/>
      <c r="AB1690" s="229"/>
      <c r="AC1690" s="229"/>
      <c r="AD1690" s="232"/>
      <c r="AE1690" s="233"/>
      <c r="AF1690" s="54" t="str">
        <f>IFERROR(__xludf.DUMMYFUNCTION("""COMPUTED_VALUE"""),"Draft BA DROP")</f>
        <v>Draft BA DROP</v>
      </c>
      <c r="AG1690" s="54"/>
      <c r="AH1690" s="54"/>
      <c r="AI1690" s="55" t="str">
        <f t="shared" si="165"/>
        <v/>
      </c>
      <c r="AW1690" s="234"/>
      <c r="BP1690" s="11"/>
      <c r="BQ1690" s="11"/>
      <c r="BR1690" s="235"/>
      <c r="BV1690" s="158"/>
      <c r="BY1690" s="158"/>
      <c r="CB1690" s="158"/>
    </row>
    <row r="1691" ht="18.0" hidden="1" customHeight="1">
      <c r="A1691" s="256">
        <f>IFERROR(__xludf.DUMMYFUNCTION("""COMPUTED_VALUE"""),2026.0)</f>
        <v>2026</v>
      </c>
      <c r="B1691" s="257">
        <f>IFERROR(__xludf.DUMMYFUNCTION("""COMPUTED_VALUE"""),1.2084868E7)</f>
        <v>12084868</v>
      </c>
      <c r="C1691" s="256" t="str">
        <f>IFERROR(__xludf.DUMMYFUNCTION("""COMPUTED_VALUE"""),"MDN PT3 PUB-FCE JL.UMAR.")</f>
        <v>MDN PT3 PUB-FCE JL.UMAR.</v>
      </c>
      <c r="D1691" s="256" t="str">
        <f>IFERROR(__xludf.DUMMYFUNCTION("""COMPUTED_VALUE"""),"REGIONAL I")</f>
        <v>REGIONAL I</v>
      </c>
      <c r="E1691" s="256" t="str">
        <f>IFERROR(__xludf.DUMMYFUNCTION("""COMPUTED_VALUE"""),"MEDAN")</f>
        <v>MEDAN</v>
      </c>
      <c r="F1691" s="256" t="str">
        <f>IFERROR(__xludf.DUMMYFUNCTION("""COMPUTED_VALUE"""),"PUB")</f>
        <v>PUB</v>
      </c>
      <c r="G1691" s="256" t="str">
        <f>IFERROR(__xludf.DUMMYFUNCTION("""COMPUTED_VALUE"""),"SUMBAGUT")</f>
        <v>SUMBAGUT</v>
      </c>
      <c r="H1691" s="256" t="str">
        <f>IFERROR(__xludf.DUMMYFUNCTION("""COMPUTED_VALUE"""),"MEDAN")</f>
        <v>MEDAN</v>
      </c>
      <c r="I1691" s="256" t="str">
        <f>IFERROR(__xludf.DUMMYFUNCTION("""COMPUTED_VALUE"""),"Batch 2")</f>
        <v>Batch 2</v>
      </c>
      <c r="J1691" s="258">
        <f>IFERROR(__xludf.DUMMYFUNCTION("""COMPUTED_VALUE"""),2.0)</f>
        <v>2</v>
      </c>
      <c r="K1691" s="259">
        <f>IFERROR(__xludf.DUMMYFUNCTION("""COMPUTED_VALUE"""),16.0)</f>
        <v>16</v>
      </c>
      <c r="L1691" s="260">
        <f>IFERROR(__xludf.DUMMYFUNCTION("""COMPUTED_VALUE"""),456381.0)</f>
        <v>456381</v>
      </c>
      <c r="M1691" s="261">
        <f>IFERROR(__xludf.DUMMYFUNCTION("""COMPUTED_VALUE"""),7302090.0)</f>
        <v>7302090</v>
      </c>
      <c r="N1691" s="256" t="str">
        <f>IFERROR(__xludf.DUMMYFUNCTION("""COMPUTED_VALUE"""),"PT BENWA  MITRA PRATAMA")</f>
        <v>PT BENWA  MITRA PRATAMA</v>
      </c>
      <c r="O1691" s="256" t="str">
        <f>IFERROR(__xludf.DUMMYFUNCTION("""COMPUTED_VALUE"""),"7. GOLIVE")</f>
        <v>7. GOLIVE</v>
      </c>
      <c r="P1691" s="256" t="str">
        <f>IFERROR(__xludf.DUMMYFUNCTION("""COMPUTED_VALUE"""),"7.2 Golive Full / OA / DONE OTB")</f>
        <v>7.2 Golive Full / OA / DONE OTB</v>
      </c>
      <c r="Q1691" s="256" t="str">
        <f>IFERROR(__xludf.DUMMYFUNCTION("""COMPUTED_VALUE"""),"15/03 submit abd 13/03 penarikan KU dan tanam tiang 12/03 MATDEL 10/02 Komitmen Aanwidzing 13/02/2026 26/01 Done Order, lnjut Aanwidzing")</f>
        <v>15/03 submit abd 13/03 penarikan KU dan tanam tiang 12/03 MATDEL 10/02 Komitmen Aanwidzing 13/02/2026 26/01 Done Order, lnjut Aanwidzing</v>
      </c>
      <c r="R1691" s="262">
        <f>IFERROR(__xludf.DUMMYFUNCTION("""COMPUTED_VALUE"""),46097.0)</f>
        <v>46097</v>
      </c>
      <c r="S1691" s="263" t="str">
        <f>IFERROR(__xludf.DUMMYFUNCTION("""COMPUTED_VALUE"""),"MAR")</f>
        <v>MAR</v>
      </c>
      <c r="T1691" s="263"/>
      <c r="U1691" s="263"/>
      <c r="V1691" s="264"/>
      <c r="W1691" s="264"/>
      <c r="X1691" s="264" t="str">
        <f>IFERROR(__xludf.DUMMYFUNCTION("""COMPUTED_VALUE"""),"GOLIVE")</f>
        <v>GOLIVE</v>
      </c>
      <c r="Y1691" s="264" t="str">
        <f>IFERROR(__xludf.DUMMYFUNCTION("""COMPUTED_VALUE"""),"DONE")</f>
        <v>DONE</v>
      </c>
      <c r="Z1691" s="264" t="str">
        <f>IFERROR(__xludf.DUMMYFUNCTION("""COMPUTED_VALUE"""),"#N/A")</f>
        <v>#N/A</v>
      </c>
      <c r="AA1691" s="264">
        <f>IFERROR(__xludf.DUMMYFUNCTION("""COMPUTED_VALUE"""),2.0)</f>
        <v>2</v>
      </c>
      <c r="AB1691" s="264"/>
      <c r="AC1691" s="264" t="str">
        <f>IFERROR(__xludf.DUMMYFUNCTION("""COMPUTED_VALUE"""),"9211128#9211133")</f>
        <v>9211128#9211133</v>
      </c>
      <c r="AD1691" s="265">
        <f>IFERROR(__xludf.DUMMYFUNCTION("""COMPUTED_VALUE"""),16.0)</f>
        <v>16</v>
      </c>
      <c r="AE1691" s="266">
        <f>IFERROR(__xludf.DUMMYFUNCTION("""COMPUTED_VALUE"""),46097.0)</f>
        <v>46097</v>
      </c>
      <c r="AF1691" s="251"/>
      <c r="AG1691" s="251"/>
      <c r="AH1691" s="251">
        <v>46097.0</v>
      </c>
      <c r="AI1691" s="267">
        <f t="shared" si="165"/>
        <v>0</v>
      </c>
      <c r="AJ1691" s="264"/>
      <c r="AK1691" s="264"/>
      <c r="AL1691" s="264"/>
      <c r="AM1691" s="264"/>
      <c r="AN1691" s="264"/>
      <c r="AO1691" s="264"/>
      <c r="AP1691" s="264"/>
      <c r="AQ1691" s="264"/>
      <c r="AR1691" s="264"/>
      <c r="AS1691" s="264"/>
      <c r="AT1691" s="264"/>
      <c r="AU1691" s="264"/>
      <c r="AV1691" s="264"/>
      <c r="AW1691" s="268"/>
      <c r="AX1691" s="264"/>
      <c r="AY1691" s="264"/>
      <c r="AZ1691" s="264"/>
      <c r="BA1691" s="264"/>
      <c r="BB1691" s="264"/>
      <c r="BC1691" s="264"/>
      <c r="BD1691" s="264"/>
      <c r="BE1691" s="264"/>
      <c r="BF1691" s="264"/>
      <c r="BG1691" s="264"/>
      <c r="BH1691" s="264"/>
      <c r="BI1691" s="264"/>
      <c r="BJ1691" s="264"/>
      <c r="BK1691" s="264"/>
      <c r="BL1691" s="264"/>
      <c r="BN1691" s="264"/>
      <c r="BO1691" s="264"/>
      <c r="BP1691" s="263"/>
      <c r="BQ1691" s="263"/>
      <c r="BR1691" s="269"/>
      <c r="BS1691" s="264"/>
      <c r="BT1691" s="264"/>
      <c r="BU1691" s="264"/>
      <c r="BV1691" s="270"/>
      <c r="BW1691" s="264"/>
      <c r="BX1691" s="264"/>
      <c r="BY1691" s="270"/>
      <c r="BZ1691" s="264"/>
      <c r="CA1691" s="264"/>
      <c r="CB1691" s="270"/>
      <c r="CC1691" s="264"/>
      <c r="CD1691" s="264"/>
      <c r="CE1691" s="264"/>
      <c r="CF1691" s="264"/>
      <c r="CG1691" s="264"/>
      <c r="CH1691" s="264"/>
      <c r="CI1691" s="264"/>
      <c r="CJ1691" s="264"/>
      <c r="CK1691" s="264"/>
      <c r="CL1691" s="264"/>
      <c r="CM1691" s="264"/>
      <c r="CN1691" s="264"/>
      <c r="CO1691" s="264"/>
      <c r="CP1691" s="264"/>
    </row>
    <row r="1692" ht="18.0" customHeight="1">
      <c r="A1692" s="222">
        <f>IFERROR(__xludf.DUMMYFUNCTION("""COMPUTED_VALUE"""),2026.0)</f>
        <v>2026</v>
      </c>
      <c r="B1692" s="221">
        <f>IFERROR(__xludf.DUMMYFUNCTION("""COMPUTED_VALUE"""),1.2098357E7)</f>
        <v>12098357</v>
      </c>
      <c r="C1692" s="222" t="str">
        <f>IFERROR(__xludf.DUMMYFUNCTION("""COMPUTED_VALUE"""),"RKP TSEL PT3 NGS-FAB BIDA ASRI 3")</f>
        <v>RKP TSEL PT3 NGS-FAB BIDA ASRI 3</v>
      </c>
      <c r="D1692" s="222" t="str">
        <f>IFERROR(__xludf.DUMMYFUNCTION("""COMPUTED_VALUE"""),"REGIONAL I")</f>
        <v>REGIONAL I</v>
      </c>
      <c r="E1692" s="222" t="str">
        <f>IFERROR(__xludf.DUMMYFUNCTION("""COMPUTED_VALUE"""),"RIKEP")</f>
        <v>RIKEP</v>
      </c>
      <c r="F1692" s="222" t="str">
        <f>IFERROR(__xludf.DUMMYFUNCTION("""COMPUTED_VALUE"""),"NGS")</f>
        <v>NGS</v>
      </c>
      <c r="G1692" s="222" t="str">
        <f>IFERROR(__xludf.DUMMYFUNCTION("""COMPUTED_VALUE"""),"SUMBAGTENG")</f>
        <v>SUMBAGTENG</v>
      </c>
      <c r="H1692" s="222" t="str">
        <f>IFERROR(__xludf.DUMMYFUNCTION("""COMPUTED_VALUE"""),"BATAM")</f>
        <v>BATAM</v>
      </c>
      <c r="I1692" s="222" t="str">
        <f>IFERROR(__xludf.DUMMYFUNCTION("""COMPUTED_VALUE"""),"Batch 2")</f>
        <v>Batch 2</v>
      </c>
      <c r="J1692" s="225">
        <f>IFERROR(__xludf.DUMMYFUNCTION("""COMPUTED_VALUE"""),2.0)</f>
        <v>2</v>
      </c>
      <c r="K1692" s="224">
        <f>IFERROR(__xludf.DUMMYFUNCTION("""COMPUTED_VALUE"""),16.0)</f>
        <v>16</v>
      </c>
      <c r="L1692" s="226">
        <f>IFERROR(__xludf.DUMMYFUNCTION("""COMPUTED_VALUE"""),456225.0)</f>
        <v>456225</v>
      </c>
      <c r="M1692" s="227">
        <f>IFERROR(__xludf.DUMMYFUNCTION("""COMPUTED_VALUE"""),7299594.0)</f>
        <v>7299594</v>
      </c>
      <c r="N1692" s="222" t="str">
        <f>IFERROR(__xludf.DUMMYFUNCTION("""COMPUTED_VALUE"""),"PT MITRA AKSES INSANI")</f>
        <v>PT MITRA AKSES INSANI</v>
      </c>
      <c r="O1692" s="222" t="str">
        <f>IFERROR(__xludf.DUMMYFUNCTION("""COMPUTED_VALUE"""),"0. DROP")</f>
        <v>0. DROP</v>
      </c>
      <c r="P1692" s="222" t="str">
        <f>IFERROR(__xludf.DUMMYFUNCTION("""COMPUTED_VALUE"""),"0.2 Tidak Dapat Izin Warga/Kades/Lurah/Developer")</f>
        <v>0.2 Tidak Dapat Izin Warga/Kades/Lurah/Developer</v>
      </c>
      <c r="Q1692" s="222" t="str">
        <f>IFERROR(__xludf.DUMMYFUNCTION("""COMPUTED_VALUE"""),"09/04 izin sebelum nya sudah di acc, tapi karena menunggu manpower masih mengerjakan LOP lain, jadi baru sempat mau di progres semalam, saat ingin progres, RT meminta di HOLD dulu karena mau ada pemilihan ulang RT/RW. 06/04 Tim KU dari jawa sampai ke bata"&amp;"m tanggal 03 april, plan progres, 06 april, plan GL 09 april. 30/03 Tim mitra masih di pulau tanjung batu dan belum bisa balik ke pulau batam. 03/03 izin OK tim KU masih di pulau tanjung batu. 16/02 Plan FU perizinan besok 18 Feb.09/02 belum di survey kar"&amp;"ena, PIC mitra masih fokus di installasi dan LOP butuh percepatan dari Telkomsel. 29/01 Plan survey tanggal 30 karena PIC mitra sdg berhalangan. 28/01 Plan survey 29 Jan. 22/01 Plan survey 24 Jan ")</f>
        <v>09/04 izin sebelum nya sudah di acc, tapi karena menunggu manpower masih mengerjakan LOP lain, jadi baru sempat mau di progres semalam, saat ingin progres, RT meminta di HOLD dulu karena mau ada pemilihan ulang RT/RW. 06/04 Tim KU dari jawa sampai ke batam tanggal 03 april, plan progres, 06 april, plan GL 09 april. 30/03 Tim mitra masih di pulau tanjung batu dan belum bisa balik ke pulau batam. 03/03 izin OK tim KU masih di pulau tanjung batu. 16/02 Plan FU perizinan besok 18 Feb.09/02 belum di survey karena, PIC mitra masih fokus di installasi dan LOP butuh percepatan dari Telkomsel. 29/01 Plan survey tanggal 30 karena PIC mitra sdg berhalangan. 28/01 Plan survey 29 Jan. 22/01 Plan survey 24 Jan </v>
      </c>
      <c r="R1692" s="228"/>
      <c r="S1692" s="11"/>
      <c r="T1692" s="73"/>
      <c r="U1692" s="11" t="str">
        <f>IFERROR(__xludf.DUMMYFUNCTION("""COMPUTED_VALUE"""),"W09-237/2026")</f>
        <v>W09-237/2026</v>
      </c>
      <c r="V1692" s="229" t="str">
        <f>IFERROR(__xludf.DUMMYFUNCTION("""COMPUTED_VALUE"""),"GANI PRASTYO")</f>
        <v>GANI PRASTYO</v>
      </c>
      <c r="W1692" s="229" t="str">
        <f>IFERROR(__xludf.DUMMYFUNCTION("""COMPUTED_VALUE"""),"LEVITA INDRIYANI")</f>
        <v>LEVITA INDRIYANI</v>
      </c>
      <c r="X1692" s="229" t="str">
        <f>IFERROR(__xludf.DUMMYFUNCTION("""COMPUTED_VALUE"""),"BELUM GOLIVE")</f>
        <v>BELUM GOLIVE</v>
      </c>
      <c r="Y1692" s="229"/>
      <c r="Z1692" s="229" t="str">
        <f>IFERROR(__xludf.DUMMYFUNCTION("""COMPUTED_VALUE"""),"#N/A")</f>
        <v>#N/A</v>
      </c>
      <c r="AA1692" s="229"/>
      <c r="AB1692" s="229"/>
      <c r="AC1692" s="229"/>
      <c r="AD1692" s="232"/>
      <c r="AE1692" s="233"/>
      <c r="AF1692" s="54"/>
      <c r="AG1692" s="54"/>
      <c r="AH1692" s="54">
        <v>46137.0</v>
      </c>
      <c r="AI1692" s="237">
        <f>AH1692-NOW()</f>
        <v>-3.377989931</v>
      </c>
      <c r="AJ1692" s="229" t="str">
        <f>if(AI1692&gt;=0,"In Komitmen","Out Komitmen")</f>
        <v>Out Komitmen</v>
      </c>
      <c r="AW1692" s="234"/>
      <c r="BP1692" s="11"/>
      <c r="BQ1692" s="11"/>
      <c r="BR1692" s="235"/>
      <c r="BV1692" s="158"/>
      <c r="BY1692" s="158"/>
      <c r="CB1692" s="158"/>
    </row>
    <row r="1693" ht="18.0" customHeight="1">
      <c r="A1693" s="222">
        <f>IFERROR(__xludf.DUMMYFUNCTION("""COMPUTED_VALUE"""),2026.0)</f>
        <v>2026</v>
      </c>
      <c r="B1693" s="221">
        <f>IFERROR(__xludf.DUMMYFUNCTION("""COMPUTED_VALUE"""),1.1105244E7)</f>
        <v>11105244</v>
      </c>
      <c r="C1693" s="222" t="str">
        <f>IFERROR(__xludf.DUMMYFUNCTION("""COMPUTED_VALUE"""),"RKP PT3 JPPTSEL DBS-FD TJ HARAPAN DABO LAMA")</f>
        <v>RKP PT3 JPPTSEL DBS-FD TJ HARAPAN DABO LAMA</v>
      </c>
      <c r="D1693" s="222" t="str">
        <f>IFERROR(__xludf.DUMMYFUNCTION("""COMPUTED_VALUE"""),"REGIONAL I")</f>
        <v>REGIONAL I</v>
      </c>
      <c r="E1693" s="222" t="str">
        <f>IFERROR(__xludf.DUMMYFUNCTION("""COMPUTED_VALUE"""),"RIKEP")</f>
        <v>RIKEP</v>
      </c>
      <c r="F1693" s="222" t="str">
        <f>IFERROR(__xludf.DUMMYFUNCTION("""COMPUTED_VALUE"""),"DBS")</f>
        <v>DBS</v>
      </c>
      <c r="G1693" s="222" t="str">
        <f>IFERROR(__xludf.DUMMYFUNCTION("""COMPUTED_VALUE"""),"SUMBAGTENG")</f>
        <v>SUMBAGTENG</v>
      </c>
      <c r="H1693" s="222" t="str">
        <f>IFERROR(__xludf.DUMMYFUNCTION("""COMPUTED_VALUE"""),"BATAM")</f>
        <v>BATAM</v>
      </c>
      <c r="I1693" s="222" t="str">
        <f>IFERROR(__xludf.DUMMYFUNCTION("""COMPUTED_VALUE"""),"Batch 2")</f>
        <v>Batch 2</v>
      </c>
      <c r="J1693" s="225">
        <f>IFERROR(__xludf.DUMMYFUNCTION("""COMPUTED_VALUE"""),5.0)</f>
        <v>5</v>
      </c>
      <c r="K1693" s="224">
        <f>IFERROR(__xludf.DUMMYFUNCTION("""COMPUTED_VALUE"""),40.0)</f>
        <v>40</v>
      </c>
      <c r="L1693" s="226">
        <f>IFERROR(__xludf.DUMMYFUNCTION("""COMPUTED_VALUE"""),455728.0)</f>
        <v>455728</v>
      </c>
      <c r="M1693" s="227">
        <f>IFERROR(__xludf.DUMMYFUNCTION("""COMPUTED_VALUE"""),1.8229096E7)</f>
        <v>18229096</v>
      </c>
      <c r="N1693" s="222" t="str">
        <f>IFERROR(__xludf.DUMMYFUNCTION("""COMPUTED_VALUE"""),"SWAKELOLA")</f>
        <v>SWAKELOLA</v>
      </c>
      <c r="O1693" s="222" t="str">
        <f>IFERROR(__xludf.DUMMYFUNCTION("""COMPUTED_VALUE"""),"4. MATDEL")</f>
        <v>4. MATDEL</v>
      </c>
      <c r="P1693" s="222" t="str">
        <f>IFERROR(__xludf.DUMMYFUNCTION("""COMPUTED_VALUE"""),"4.3 Proses Kirim Mateial Kelokasi")</f>
        <v>4.3 Proses Kirim Mateial Kelokasi</v>
      </c>
      <c r="Q1693"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1693" s="228"/>
      <c r="S1693" s="11"/>
      <c r="T1693" s="11"/>
      <c r="U1693" s="11" t="str">
        <f>IFERROR(__xludf.DUMMYFUNCTION("""COMPUTED_VALUE"""),"W09-300/2026")</f>
        <v>W09-300/2026</v>
      </c>
      <c r="V1693" s="229" t="str">
        <f>IFERROR(__xludf.DUMMYFUNCTION("""COMPUTED_VALUE"""),"DEDY IRAWAN")</f>
        <v>DEDY IRAWAN</v>
      </c>
      <c r="W1693" s="229" t="str">
        <f>IFERROR(__xludf.DUMMYFUNCTION("""COMPUTED_VALUE"""),"LEVITA INDRIYANI")</f>
        <v>LEVITA INDRIYANI</v>
      </c>
      <c r="X1693" s="229" t="str">
        <f>IFERROR(__xludf.DUMMYFUNCTION("""COMPUTED_VALUE"""),"BELUM GOLIVE")</f>
        <v>BELUM GOLIVE</v>
      </c>
      <c r="Y1693" s="229"/>
      <c r="Z1693" s="229" t="str">
        <f>IFERROR(__xludf.DUMMYFUNCTION("""COMPUTED_VALUE"""),"#N/A")</f>
        <v>#N/A</v>
      </c>
      <c r="AA1693" s="229"/>
      <c r="AB1693" s="229"/>
      <c r="AC1693" s="229"/>
      <c r="AD1693" s="232"/>
      <c r="AE1693" s="233"/>
      <c r="AF1693" s="54"/>
      <c r="AG1693" s="54"/>
      <c r="AH1693" s="54"/>
      <c r="AI1693" s="55" t="str">
        <f t="shared" ref="AI1693:AI1703" si="166">IF(OR(R1693="",AE1693=""),"",R1693-AE1693)</f>
        <v/>
      </c>
      <c r="AW1693" s="234"/>
      <c r="BP1693" s="11"/>
      <c r="BQ1693" s="11"/>
      <c r="BR1693" s="235"/>
      <c r="BV1693" s="158"/>
      <c r="BY1693" s="158"/>
      <c r="CB1693" s="158"/>
    </row>
    <row r="1694" ht="18.0" customHeight="1">
      <c r="A1694" s="222">
        <f>IFERROR(__xludf.DUMMYFUNCTION("""COMPUTED_VALUE"""),2026.0)</f>
        <v>2026</v>
      </c>
      <c r="B1694" s="221">
        <f>IFERROR(__xludf.DUMMYFUNCTION("""COMPUTED_VALUE"""),1.1243824E7)</f>
        <v>11243824</v>
      </c>
      <c r="C1694" s="222" t="str">
        <f>IFERROR(__xludf.DUMMYFUNCTION("""COMPUTED_VALUE"""),"SMB P2I1 jpp spe-fd")</f>
        <v>SMB P2I1 jpp spe-fd</v>
      </c>
      <c r="D1694" s="222" t="str">
        <f>IFERROR(__xludf.DUMMYFUNCTION("""COMPUTED_VALUE"""),"REGIONAL I")</f>
        <v>REGIONAL I</v>
      </c>
      <c r="E1694" s="222" t="str">
        <f>IFERROR(__xludf.DUMMYFUNCTION("""COMPUTED_VALUE"""),"SUMBAR")</f>
        <v>SUMBAR</v>
      </c>
      <c r="F1694" s="222" t="str">
        <f>IFERROR(__xludf.DUMMYFUNCTION("""COMPUTED_VALUE"""),"SPE")</f>
        <v>SPE</v>
      </c>
      <c r="G1694" s="222" t="str">
        <f>IFERROR(__xludf.DUMMYFUNCTION("""COMPUTED_VALUE"""),"SUMBAGTENG")</f>
        <v>SUMBAGTENG</v>
      </c>
      <c r="H1694" s="222" t="str">
        <f>IFERROR(__xludf.DUMMYFUNCTION("""COMPUTED_VALUE"""),"BUKIT TINGGI")</f>
        <v>BUKIT TINGGI</v>
      </c>
      <c r="I1694" s="222" t="str">
        <f>IFERROR(__xludf.DUMMYFUNCTION("""COMPUTED_VALUE"""),"Batch 2")</f>
        <v>Batch 2</v>
      </c>
      <c r="J1694" s="225">
        <f>IFERROR(__xludf.DUMMYFUNCTION("""COMPUTED_VALUE"""),4.0)</f>
        <v>4</v>
      </c>
      <c r="K1694" s="224">
        <f>IFERROR(__xludf.DUMMYFUNCTION("""COMPUTED_VALUE"""),32.0)</f>
        <v>32</v>
      </c>
      <c r="L1694" s="226">
        <f>IFERROR(__xludf.DUMMYFUNCTION("""COMPUTED_VALUE"""),455338.0)</f>
        <v>455338</v>
      </c>
      <c r="M1694" s="227">
        <f>IFERROR(__xludf.DUMMYFUNCTION("""COMPUTED_VALUE"""),1.4570807E7)</f>
        <v>14570807</v>
      </c>
      <c r="N1694" s="222" t="str">
        <f>IFERROR(__xludf.DUMMYFUNCTION("""COMPUTED_VALUE"""),"PT TIGA AKSES MANDIRI")</f>
        <v>PT TIGA AKSES MANDIRI</v>
      </c>
      <c r="O1694" s="222" t="str">
        <f>IFERROR(__xludf.DUMMYFUNCTION("""COMPUTED_VALUE"""),"0. DROP")</f>
        <v>0. DROP</v>
      </c>
      <c r="P1694" s="222" t="str">
        <f>IFERROR(__xludf.DUMMYFUNCTION("""COMPUTED_VALUE"""),"0.5 DROP TSEL - Acc ED TIF")</f>
        <v>0.5 DROP TSEL - Acc ED TIF</v>
      </c>
      <c r="Q1694"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1694" s="228"/>
      <c r="S1694" s="11"/>
      <c r="T1694" s="11"/>
      <c r="U1694" s="11"/>
      <c r="V1694" s="229" t="str">
        <f>IFERROR(__xludf.DUMMYFUNCTION("""COMPUTED_VALUE"""),"JANUAR RIZAL")</f>
        <v>JANUAR RIZAL</v>
      </c>
      <c r="W1694" s="229" t="str">
        <f>IFERROR(__xludf.DUMMYFUNCTION("""COMPUTED_VALUE"""),"MELKO NARWADI")</f>
        <v>MELKO NARWADI</v>
      </c>
      <c r="X1694" s="229" t="str">
        <f>IFERROR(__xludf.DUMMYFUNCTION("""COMPUTED_VALUE"""),"BELUM GOLIVE")</f>
        <v>BELUM GOLIVE</v>
      </c>
      <c r="Y1694" s="229"/>
      <c r="Z1694" s="229" t="str">
        <f>IFERROR(__xludf.DUMMYFUNCTION("""COMPUTED_VALUE"""),"#N/A")</f>
        <v>#N/A</v>
      </c>
      <c r="AA1694" s="229"/>
      <c r="AB1694" s="229"/>
      <c r="AC1694" s="229"/>
      <c r="AD1694" s="232"/>
      <c r="AE1694" s="233"/>
      <c r="AF1694" s="54"/>
      <c r="AG1694" s="54"/>
      <c r="AH1694" s="54"/>
      <c r="AI1694" s="55" t="str">
        <f t="shared" si="166"/>
        <v/>
      </c>
      <c r="AW1694" s="234"/>
      <c r="BP1694" s="11"/>
      <c r="BQ1694" s="11"/>
      <c r="BR1694" s="235"/>
      <c r="BV1694" s="158"/>
      <c r="BY1694" s="158"/>
      <c r="CB1694" s="158"/>
    </row>
    <row r="1695" ht="18.0" customHeight="1">
      <c r="A1695" s="222">
        <f>IFERROR(__xludf.DUMMYFUNCTION("""COMPUTED_VALUE"""),2026.0)</f>
        <v>2026</v>
      </c>
      <c r="B1695" s="221">
        <f>IFERROR(__xludf.DUMMYFUNCTION("""COMPUTED_VALUE"""),1.1490716E7)</f>
        <v>11490716</v>
      </c>
      <c r="C1695" s="222" t="str">
        <f>IFERROR(__xludf.DUMMYFUNCTION("""COMPUTED_VALUE"""),"SMB MD TANAH DATAR_16877")</f>
        <v>SMB MD TANAH DATAR_16877</v>
      </c>
      <c r="D1695" s="222" t="str">
        <f>IFERROR(__xludf.DUMMYFUNCTION("""COMPUTED_VALUE"""),"REGIONAL I")</f>
        <v>REGIONAL I</v>
      </c>
      <c r="E1695" s="222" t="str">
        <f>IFERROR(__xludf.DUMMYFUNCTION("""COMPUTED_VALUE"""),"SUMBAR")</f>
        <v>SUMBAR</v>
      </c>
      <c r="F1695" s="222" t="str">
        <f>IFERROR(__xludf.DUMMYFUNCTION("""COMPUTED_VALUE"""),"SIR")</f>
        <v>SIR</v>
      </c>
      <c r="G1695" s="222" t="str">
        <f>IFERROR(__xludf.DUMMYFUNCTION("""COMPUTED_VALUE"""),"SUMBAGTENG")</f>
        <v>SUMBAGTENG</v>
      </c>
      <c r="H1695" s="222" t="str">
        <f>IFERROR(__xludf.DUMMYFUNCTION("""COMPUTED_VALUE"""),"BUKIT TINGGI")</f>
        <v>BUKIT TINGGI</v>
      </c>
      <c r="I1695" s="222" t="str">
        <f>IFERROR(__xludf.DUMMYFUNCTION("""COMPUTED_VALUE"""),"Batch 2")</f>
        <v>Batch 2</v>
      </c>
      <c r="J1695" s="225">
        <f>IFERROR(__xludf.DUMMYFUNCTION("""COMPUTED_VALUE"""),3.0)</f>
        <v>3</v>
      </c>
      <c r="K1695" s="224">
        <f>IFERROR(__xludf.DUMMYFUNCTION("""COMPUTED_VALUE"""),24.0)</f>
        <v>24</v>
      </c>
      <c r="L1695" s="226">
        <f>IFERROR(__xludf.DUMMYFUNCTION("""COMPUTED_VALUE"""),455146.0)</f>
        <v>455146</v>
      </c>
      <c r="M1695" s="227">
        <f>IFERROR(__xludf.DUMMYFUNCTION("""COMPUTED_VALUE"""),1.0923491E7)</f>
        <v>10923491</v>
      </c>
      <c r="N1695" s="222" t="str">
        <f>IFERROR(__xludf.DUMMYFUNCTION("""COMPUTED_VALUE"""),"SWAKELOLA")</f>
        <v>SWAKELOLA</v>
      </c>
      <c r="O1695" s="222" t="str">
        <f>IFERROR(__xludf.DUMMYFUNCTION("""COMPUTED_VALUE"""),"0. DROP")</f>
        <v>0. DROP</v>
      </c>
      <c r="P1695" s="222" t="str">
        <f>IFERROR(__xludf.DUMMYFUNCTION("""COMPUTED_VALUE"""),"0.3 Feeder Full")</f>
        <v>0.3 Feeder Full</v>
      </c>
      <c r="Q1695" s="222" t="str">
        <f>IFERROR(__xludf.DUMMYFUNCTION("""COMPUTED_VALUE"""),"(08/01) kendala core feeder SUR-FA Full , proses eval, Proses mapping mitra  (07/01) Persiapan")</f>
        <v>(08/01) kendala core feeder SUR-FA Full , proses eval, Proses mapping mitra  (07/01) Persiapan</v>
      </c>
      <c r="R1695" s="228"/>
      <c r="S1695" s="11"/>
      <c r="T1695" s="11"/>
      <c r="U1695" s="11"/>
      <c r="V1695" s="229"/>
      <c r="W1695" s="229"/>
      <c r="X1695" s="229" t="str">
        <f>IFERROR(__xludf.DUMMYFUNCTION("""COMPUTED_VALUE"""),"BELUM GOLIVE")</f>
        <v>BELUM GOLIVE</v>
      </c>
      <c r="Y1695" s="229"/>
      <c r="Z1695" s="229" t="str">
        <f>IFERROR(__xludf.DUMMYFUNCTION("""COMPUTED_VALUE"""),"#N/A")</f>
        <v>#N/A</v>
      </c>
      <c r="AA1695" s="229"/>
      <c r="AB1695" s="229"/>
      <c r="AC1695" s="229"/>
      <c r="AD1695" s="232"/>
      <c r="AE1695" s="233"/>
      <c r="AF1695" s="54" t="str">
        <f>IFERROR(__xludf.DUMMYFUNCTION("""COMPUTED_VALUE"""),"Draft BA DROP")</f>
        <v>Draft BA DROP</v>
      </c>
      <c r="AG1695" s="54"/>
      <c r="AH1695" s="54"/>
      <c r="AI1695" s="55" t="str">
        <f t="shared" si="166"/>
        <v/>
      </c>
      <c r="AW1695" s="234"/>
      <c r="BP1695" s="11"/>
      <c r="BQ1695" s="11"/>
      <c r="BR1695" s="235"/>
      <c r="BV1695" s="158"/>
      <c r="BY1695" s="158"/>
      <c r="CB1695" s="158"/>
    </row>
    <row r="1696" ht="18.0" customHeight="1">
      <c r="A1696" s="222">
        <f>IFERROR(__xludf.DUMMYFUNCTION("""COMPUTED_VALUE"""),2026.0)</f>
        <v>2026</v>
      </c>
      <c r="B1696" s="221">
        <f>IFERROR(__xludf.DUMMYFUNCTION("""COMPUTED_VALUE"""),1.2325398E7)</f>
        <v>12325398</v>
      </c>
      <c r="C1696" s="222" t="str">
        <f>IFERROR(__xludf.DUMMYFUNCTION("""COMPUTED_VALUE"""),"SMB-PT3-ODC-SUR-FA-DHAR98968-3Cluster")</f>
        <v>SMB-PT3-ODC-SUR-FA-DHAR98968-3Cluster</v>
      </c>
      <c r="D1696" s="222" t="str">
        <f>IFERROR(__xludf.DUMMYFUNCTION("""COMPUTED_VALUE"""),"REGIONAL I")</f>
        <v>REGIONAL I</v>
      </c>
      <c r="E1696" s="222" t="str">
        <f>IFERROR(__xludf.DUMMYFUNCTION("""COMPUTED_VALUE"""),"SUMBAR")</f>
        <v>SUMBAR</v>
      </c>
      <c r="F1696" s="222" t="str">
        <f>IFERROR(__xludf.DUMMYFUNCTION("""COMPUTED_VALUE"""),"SUR")</f>
        <v>SUR</v>
      </c>
      <c r="G1696" s="222" t="str">
        <f>IFERROR(__xludf.DUMMYFUNCTION("""COMPUTED_VALUE"""),"SUMBAGTENG")</f>
        <v>SUMBAGTENG</v>
      </c>
      <c r="H1696" s="222" t="str">
        <f>IFERROR(__xludf.DUMMYFUNCTION("""COMPUTED_VALUE"""),"PADANG")</f>
        <v>PADANG</v>
      </c>
      <c r="I1696" s="222" t="str">
        <f>IFERROR(__xludf.DUMMYFUNCTION("""COMPUTED_VALUE"""),"Batch 2")</f>
        <v>Batch 2</v>
      </c>
      <c r="J1696" s="225">
        <f>IFERROR(__xludf.DUMMYFUNCTION("""COMPUTED_VALUE"""),4.0)</f>
        <v>4</v>
      </c>
      <c r="K1696" s="224">
        <f>IFERROR(__xludf.DUMMYFUNCTION("""COMPUTED_VALUE"""),32.0)</f>
        <v>32</v>
      </c>
      <c r="L1696" s="226">
        <f>IFERROR(__xludf.DUMMYFUNCTION("""COMPUTED_VALUE"""),453842.0)</f>
        <v>453842</v>
      </c>
      <c r="M1696" s="227">
        <f>IFERROR(__xludf.DUMMYFUNCTION("""COMPUTED_VALUE"""),1.4522918E7)</f>
        <v>14522918</v>
      </c>
      <c r="N1696" s="222" t="str">
        <f>IFERROR(__xludf.DUMMYFUNCTION("""COMPUTED_VALUE"""),"PT TIGA AKSES MANDIRI")</f>
        <v>PT TIGA AKSES MANDIRI</v>
      </c>
      <c r="O1696" s="222" t="str">
        <f>IFERROR(__xludf.DUMMYFUNCTION("""COMPUTED_VALUE"""),"4. MATDEL")</f>
        <v>4. MATDEL</v>
      </c>
      <c r="P1696" s="222" t="str">
        <f>IFERROR(__xludf.DUMMYFUNCTION("""COMPUTED_VALUE"""),"4.4 Proses Pengiriman Pabribak ke WH")</f>
        <v>4.4 Proses Pengiriman Pabribak ke WH</v>
      </c>
      <c r="Q1696" s="222" t="str">
        <f>IFERROR(__xludf.DUMMYFUNCTION("""COMPUTED_VALUE"""),"(27/04) menunggu PO kabel 24 ADSS (20/04)Tunggu hasil eval(10/04) Proses aanwijziing , LOP HOLD FEEDER FULL ACC GO (26/01) kendala core feeder SUR-FA Full ")</f>
        <v>(27/04) menunggu PO kabel 24 ADSS (20/04)Tunggu hasil eval(10/04) Proses aanwijziing , LOP HOLD FEEDER FULL ACC GO (26/01) kendala core feeder SUR-FA Full </v>
      </c>
      <c r="R1696" s="228"/>
      <c r="S1696" s="11"/>
      <c r="T1696" s="11"/>
      <c r="U1696" s="11"/>
      <c r="V1696" s="229"/>
      <c r="W1696" s="229"/>
      <c r="X1696" s="229" t="str">
        <f>IFERROR(__xludf.DUMMYFUNCTION("""COMPUTED_VALUE"""),"BELUM GOLIVE")</f>
        <v>BELUM GOLIVE</v>
      </c>
      <c r="Y1696" s="229"/>
      <c r="Z1696" s="229" t="str">
        <f>IFERROR(__xludf.DUMMYFUNCTION("""COMPUTED_VALUE"""),"#N/A")</f>
        <v>#N/A</v>
      </c>
      <c r="AA1696" s="229"/>
      <c r="AB1696" s="229"/>
      <c r="AC1696" s="229"/>
      <c r="AD1696" s="232"/>
      <c r="AE1696" s="233"/>
      <c r="AF1696" s="54" t="str">
        <f>IFERROR(__xludf.DUMMYFUNCTION("""COMPUTED_VALUE"""),"Draft BA DROP")</f>
        <v>Draft BA DROP</v>
      </c>
      <c r="AG1696" s="54"/>
      <c r="AH1696" s="54"/>
      <c r="AI1696" s="55" t="str">
        <f t="shared" si="166"/>
        <v/>
      </c>
      <c r="AW1696" s="234"/>
      <c r="BP1696" s="11"/>
      <c r="BQ1696" s="11"/>
      <c r="BR1696" s="235"/>
      <c r="BV1696" s="158"/>
      <c r="BY1696" s="158"/>
      <c r="CB1696" s="158"/>
    </row>
    <row r="1697" ht="18.0" hidden="1" customHeight="1">
      <c r="A1697" s="222">
        <f>IFERROR(__xludf.DUMMYFUNCTION("""COMPUTED_VALUE"""),2026.0)</f>
        <v>2026</v>
      </c>
      <c r="B1697" s="221">
        <f>IFERROR(__xludf.DUMMYFUNCTION("""COMPUTED_VALUE"""),1.1368599E7)</f>
        <v>11368599</v>
      </c>
      <c r="C1697" s="222" t="str">
        <f>IFERROR(__xludf.DUMMYFUNCTION("""COMPUTED_VALUE"""),"SMU RAP-FAN D03 CLUST LABUHANBATU_14838")</f>
        <v>SMU RAP-FAN D03 CLUST LABUHANBATU_14838</v>
      </c>
      <c r="D1697" s="222" t="str">
        <f>IFERROR(__xludf.DUMMYFUNCTION("""COMPUTED_VALUE"""),"REGIONAL I")</f>
        <v>REGIONAL I</v>
      </c>
      <c r="E1697" s="222" t="str">
        <f>IFERROR(__xludf.DUMMYFUNCTION("""COMPUTED_VALUE"""),"SUMUT")</f>
        <v>SUMUT</v>
      </c>
      <c r="F1697" s="222" t="str">
        <f>IFERROR(__xludf.DUMMYFUNCTION("""COMPUTED_VALUE"""),"RAP")</f>
        <v>RAP</v>
      </c>
      <c r="G1697" s="222" t="str">
        <f>IFERROR(__xludf.DUMMYFUNCTION("""COMPUTED_VALUE"""),"SUMBAGUT")</f>
        <v>SUMBAGUT</v>
      </c>
      <c r="H1697" s="222" t="str">
        <f>IFERROR(__xludf.DUMMYFUNCTION("""COMPUTED_VALUE"""),"RANTAU PRAPAT")</f>
        <v>RANTAU PRAPAT</v>
      </c>
      <c r="I1697" s="222" t="str">
        <f>IFERROR(__xludf.DUMMYFUNCTION("""COMPUTED_VALUE"""),"Batch 2")</f>
        <v>Batch 2</v>
      </c>
      <c r="J1697" s="225">
        <f>IFERROR(__xludf.DUMMYFUNCTION("""COMPUTED_VALUE"""),3.0)</f>
        <v>3</v>
      </c>
      <c r="K1697" s="224">
        <f>IFERROR(__xludf.DUMMYFUNCTION("""COMPUTED_VALUE"""),24.0)</f>
        <v>24</v>
      </c>
      <c r="L1697" s="226">
        <f>IFERROR(__xludf.DUMMYFUNCTION("""COMPUTED_VALUE"""),733130.0)</f>
        <v>733130</v>
      </c>
      <c r="M1697" s="227">
        <f>IFERROR(__xludf.DUMMYFUNCTION("""COMPUTED_VALUE"""),1.7595117E7)</f>
        <v>17595117</v>
      </c>
      <c r="N1697" s="222" t="str">
        <f>IFERROR(__xludf.DUMMYFUNCTION("""COMPUTED_VALUE"""),"PT TRIPOLA PANATA")</f>
        <v>PT TRIPOLA PANATA</v>
      </c>
      <c r="O1697" s="222" t="str">
        <f>IFERROR(__xludf.DUMMYFUNCTION("""COMPUTED_VALUE"""),"0. DROP")</f>
        <v>0. DROP</v>
      </c>
      <c r="P1697" s="222" t="str">
        <f>IFERROR(__xludf.DUMMYFUNCTION("""COMPUTED_VALUE"""),"0.2 Tidak Dapat Izin Warga/Kades/Lurah/Developer")</f>
        <v>0.2 Tidak Dapat Izin Warga/Kades/Lurah/Developer</v>
      </c>
      <c r="Q1697" s="222" t="str">
        <f>IFERROR(__xludf.DUMMYFUNCTION("""COMPUTED_VALUE"""),"13/11 DROP acc tsel kendala tidak ada izin akses dari warga dan pemerintah setempat, (07/01) Persiapan")</f>
        <v>13/11 DROP acc tsel kendala tidak ada izin akses dari warga dan pemerintah setempat, (07/01) Persiapan</v>
      </c>
      <c r="R1697" s="228"/>
      <c r="S1697" s="11"/>
      <c r="T1697" s="11"/>
      <c r="U1697" s="11" t="str">
        <f>IFERROR(__xludf.DUMMYFUNCTION("""COMPUTED_VALUE"""),"W03-1423/2025")</f>
        <v>W03-1423/2025</v>
      </c>
      <c r="V1697" s="229"/>
      <c r="W1697" s="229"/>
      <c r="X1697" s="229" t="str">
        <f>IFERROR(__xludf.DUMMYFUNCTION("""COMPUTED_VALUE"""),"BELUM GOLIVE")</f>
        <v>BELUM GOLIVE</v>
      </c>
      <c r="Y1697" s="229"/>
      <c r="Z1697" s="229" t="str">
        <f>IFERROR(__xludf.DUMMYFUNCTION("""COMPUTED_VALUE"""),"#N/A")</f>
        <v>#N/A</v>
      </c>
      <c r="AA1697" s="229"/>
      <c r="AB1697" s="229"/>
      <c r="AC1697" s="229"/>
      <c r="AD1697" s="232"/>
      <c r="AE1697" s="233"/>
      <c r="AF1697" s="54" t="str">
        <f>IFERROR(__xludf.DUMMYFUNCTION("""COMPUTED_VALUE"""),"Draft BA DROP")</f>
        <v>Draft BA DROP</v>
      </c>
      <c r="AG1697" s="54"/>
      <c r="AH1697" s="54"/>
      <c r="AI1697" s="55" t="str">
        <f t="shared" si="166"/>
        <v/>
      </c>
      <c r="AW1697" s="234"/>
      <c r="BP1697" s="11"/>
      <c r="BQ1697" s="11"/>
      <c r="BR1697" s="235"/>
      <c r="BV1697" s="158"/>
      <c r="BY1697" s="158"/>
      <c r="CB1697" s="158"/>
    </row>
    <row r="1698" ht="18.0" hidden="1" customHeight="1">
      <c r="A1698" s="222">
        <f>IFERROR(__xludf.DUMMYFUNCTION("""COMPUTED_VALUE"""),2026.0)</f>
        <v>2026</v>
      </c>
      <c r="B1698" s="221">
        <f>IFERROR(__xludf.DUMMYFUNCTION("""COMPUTED_VALUE"""),1.2133473E7)</f>
        <v>12133473</v>
      </c>
      <c r="C1698" s="222" t="str">
        <f>IFERROR(__xludf.DUMMYFUNCTION("""COMPUTED_VALUE"""),"LPG PT3 JPP MASJID ARRAHMAN RANGAI PJN")</f>
        <v>LPG PT3 JPP MASJID ARRAHMAN RANGAI PJN</v>
      </c>
      <c r="D1698" s="222" t="str">
        <f>IFERROR(__xludf.DUMMYFUNCTION("""COMPUTED_VALUE"""),"REGIONAL I")</f>
        <v>REGIONAL I</v>
      </c>
      <c r="E1698" s="222" t="str">
        <f>IFERROR(__xludf.DUMMYFUNCTION("""COMPUTED_VALUE"""),"LAMPUNG")</f>
        <v>LAMPUNG</v>
      </c>
      <c r="F1698" s="222" t="str">
        <f>IFERROR(__xludf.DUMMYFUNCTION("""COMPUTED_VALUE"""),"PJN")</f>
        <v>PJN</v>
      </c>
      <c r="G1698" s="222" t="str">
        <f>IFERROR(__xludf.DUMMYFUNCTION("""COMPUTED_VALUE"""),"SUMBAGSEL")</f>
        <v>SUMBAGSEL</v>
      </c>
      <c r="H1698" s="222" t="str">
        <f>IFERROR(__xludf.DUMMYFUNCTION("""COMPUTED_VALUE"""),"LAMPUNG")</f>
        <v>LAMPUNG</v>
      </c>
      <c r="I1698" s="222" t="str">
        <f>IFERROR(__xludf.DUMMYFUNCTION("""COMPUTED_VALUE"""),"Batch 2")</f>
        <v>Batch 2</v>
      </c>
      <c r="J1698" s="225">
        <f>IFERROR(__xludf.DUMMYFUNCTION("""COMPUTED_VALUE"""),7.0)</f>
        <v>7</v>
      </c>
      <c r="K1698" s="224">
        <f>IFERROR(__xludf.DUMMYFUNCTION("""COMPUTED_VALUE"""),56.0)</f>
        <v>56</v>
      </c>
      <c r="L1698" s="226">
        <f>IFERROR(__xludf.DUMMYFUNCTION("""COMPUTED_VALUE"""),450203.0)</f>
        <v>450203</v>
      </c>
      <c r="M1698" s="227">
        <f>IFERROR(__xludf.DUMMYFUNCTION("""COMPUTED_VALUE"""),2.5211358E7)</f>
        <v>25211358</v>
      </c>
      <c r="N1698" s="222" t="str">
        <f>IFERROR(__xludf.DUMMYFUNCTION("""COMPUTED_VALUE"""),"PT BANGTELINDO")</f>
        <v>PT BANGTELINDO</v>
      </c>
      <c r="O1698" s="222" t="str">
        <f>IFERROR(__xludf.DUMMYFUNCTION("""COMPUTED_VALUE"""),"0. DROP")</f>
        <v>0. DROP</v>
      </c>
      <c r="P1698" s="222" t="str">
        <f>IFERROR(__xludf.DUMMYFUNCTION("""COMPUTED_VALUE"""),"0.5 DROP TSEL - Acc ED TIF")</f>
        <v>0.5 DROP TSEL - Acc ED TIF</v>
      </c>
      <c r="Q1698" s="222" t="str">
        <f>IFERROR(__xludf.DUMMYFUNCTION("""COMPUTED_VALUE""")," 2/3 new disgn karna bergabung dengan LOP lain menjadi PT 4
27/2  odc penuh dan feeder rusak konfir k tift
29/01 Feeder rusak &amp; perlu penambahan biq OLT 
19/01 Butuh Penambahan FEEDER &amp; MINI OLT ")</f>
        <v> 2/3 new disgn karna bergabung dengan LOP lain menjadi PT 4
27/2  odc penuh dan feeder rusak konfir k tift
29/01 Feeder rusak &amp; perlu penambahan biq OLT 
19/01 Butuh Penambahan FEEDER &amp; MINI OLT </v>
      </c>
      <c r="R1698" s="228"/>
      <c r="S1698" s="11"/>
      <c r="T1698" s="11"/>
      <c r="U1698" s="11"/>
      <c r="V1698" s="229"/>
      <c r="W1698" s="229"/>
      <c r="X1698" s="229" t="str">
        <f>IFERROR(__xludf.DUMMYFUNCTION("""COMPUTED_VALUE"""),"BELUM GOLIVE")</f>
        <v>BELUM GOLIVE</v>
      </c>
      <c r="Y1698" s="229"/>
      <c r="Z1698" s="229" t="str">
        <f>IFERROR(__xludf.DUMMYFUNCTION("""COMPUTED_VALUE"""),"#N/A")</f>
        <v>#N/A</v>
      </c>
      <c r="AA1698" s="229"/>
      <c r="AB1698" s="229"/>
      <c r="AC1698" s="229"/>
      <c r="AD1698" s="232"/>
      <c r="AE1698" s="233"/>
      <c r="AF1698" s="54" t="str">
        <f>IFERROR(__xludf.DUMMYFUNCTION("""COMPUTED_VALUE"""),"Draft BA DROP")</f>
        <v>Draft BA DROP</v>
      </c>
      <c r="AG1698" s="54"/>
      <c r="AH1698" s="54"/>
      <c r="AI1698" s="55" t="str">
        <f t="shared" si="166"/>
        <v/>
      </c>
      <c r="AW1698" s="234"/>
      <c r="BP1698" s="11"/>
      <c r="BQ1698" s="11"/>
      <c r="BR1698" s="235"/>
      <c r="BV1698" s="158"/>
      <c r="BY1698" s="158"/>
      <c r="CB1698" s="158"/>
    </row>
    <row r="1699" ht="18.0" customHeight="1">
      <c r="A1699" s="222">
        <f>IFERROR(__xludf.DUMMYFUNCTION("""COMPUTED_VALUE"""),2026.0)</f>
        <v>2026</v>
      </c>
      <c r="B1699" s="221">
        <f>IFERROR(__xludf.DUMMYFUNCTION("""COMPUTED_VALUE"""),1.1987314E7)</f>
        <v>11987314</v>
      </c>
      <c r="C1699" s="222" t="str">
        <f>IFERROR(__xludf.DUMMYFUNCTION("""COMPUTED_VALUE"""),"RDR JPP PT3  KOTA PEKANBARU_18124")</f>
        <v>RDR JPP PT3  KOTA PEKANBARU_18124</v>
      </c>
      <c r="D1699" s="222" t="str">
        <f>IFERROR(__xludf.DUMMYFUNCTION("""COMPUTED_VALUE"""),"REGIONAL I")</f>
        <v>REGIONAL I</v>
      </c>
      <c r="E1699" s="222" t="str">
        <f>IFERROR(__xludf.DUMMYFUNCTION("""COMPUTED_VALUE"""),"RIDAR")</f>
        <v>RIDAR</v>
      </c>
      <c r="F1699" s="222" t="str">
        <f>IFERROR(__xludf.DUMMYFUNCTION("""COMPUTED_VALUE"""),"ARK")</f>
        <v>ARK</v>
      </c>
      <c r="G1699" s="222" t="str">
        <f>IFERROR(__xludf.DUMMYFUNCTION("""COMPUTED_VALUE"""),"SUMBAGTENG")</f>
        <v>SUMBAGTENG</v>
      </c>
      <c r="H1699" s="222" t="str">
        <f>IFERROR(__xludf.DUMMYFUNCTION("""COMPUTED_VALUE"""),"PEKANBARU")</f>
        <v>PEKANBARU</v>
      </c>
      <c r="I1699" s="222" t="str">
        <f>IFERROR(__xludf.DUMMYFUNCTION("""COMPUTED_VALUE"""),"Batch 2")</f>
        <v>Batch 2</v>
      </c>
      <c r="J1699" s="225">
        <f>IFERROR(__xludf.DUMMYFUNCTION("""COMPUTED_VALUE"""),20.0)</f>
        <v>20</v>
      </c>
      <c r="K1699" s="224">
        <f>IFERROR(__xludf.DUMMYFUNCTION("""COMPUTED_VALUE"""),160.0)</f>
        <v>160</v>
      </c>
      <c r="L1699" s="226">
        <f>IFERROR(__xludf.DUMMYFUNCTION("""COMPUTED_VALUE"""),780543.0)</f>
        <v>780543</v>
      </c>
      <c r="M1699" s="227">
        <f>IFERROR(__xludf.DUMMYFUNCTION("""COMPUTED_VALUE"""),1.2488687E8)</f>
        <v>124886870</v>
      </c>
      <c r="N1699" s="222" t="str">
        <f>IFERROR(__xludf.DUMMYFUNCTION("""COMPUTED_VALUE"""),"PT LIBER PERSADA MANDIRI")</f>
        <v>PT LIBER PERSADA MANDIRI</v>
      </c>
      <c r="O1699" s="222" t="str">
        <f>IFERROR(__xludf.DUMMYFUNCTION("""COMPUTED_VALUE"""),"0. DROP")</f>
        <v>0. DROP</v>
      </c>
      <c r="P1699" s="222" t="str">
        <f>IFERROR(__xludf.DUMMYFUNCTION("""COMPUTED_VALUE"""),"0.3 Feeder Full")</f>
        <v>0.3 Feeder Full</v>
      </c>
      <c r="Q1699" s="222" t="str">
        <f>IFERROR(__xludf.DUMMYFUNCTION("""COMPUTED_VALUE"""),"30/03 Feeder ODC PBB FB Full 20/01 Drop kendala feeder (07/01) Persiapan")</f>
        <v>30/03 Feeder ODC PBB FB Full 20/01 Drop kendala feeder (07/01) Persiapan</v>
      </c>
      <c r="R1699" s="228"/>
      <c r="S1699" s="11"/>
      <c r="T1699" s="11"/>
      <c r="U1699" s="11"/>
      <c r="V1699" s="229" t="str">
        <f>IFERROR(__xludf.DUMMYFUNCTION("""COMPUTED_VALUE"""),"FIRDAUS ZULKARNAIEN")</f>
        <v>FIRDAUS ZULKARNAIEN</v>
      </c>
      <c r="W1699" s="229" t="str">
        <f>IFERROR(__xludf.DUMMYFUNCTION("""COMPUTED_VALUE"""),"ANZALA SAKINAH")</f>
        <v>ANZALA SAKINAH</v>
      </c>
      <c r="X1699" s="229" t="str">
        <f>IFERROR(__xludf.DUMMYFUNCTION("""COMPUTED_VALUE"""),"BELUM GOLIVE")</f>
        <v>BELUM GOLIVE</v>
      </c>
      <c r="Y1699" s="229"/>
      <c r="Z1699" s="229" t="str">
        <f>IFERROR(__xludf.DUMMYFUNCTION("""COMPUTED_VALUE"""),"#N/A")</f>
        <v>#N/A</v>
      </c>
      <c r="AA1699" s="229"/>
      <c r="AB1699" s="229"/>
      <c r="AC1699" s="229"/>
      <c r="AD1699" s="232"/>
      <c r="AE1699" s="233"/>
      <c r="AF1699" s="54"/>
      <c r="AG1699" s="54"/>
      <c r="AH1699" s="54"/>
      <c r="AI1699" s="55" t="str">
        <f t="shared" si="166"/>
        <v/>
      </c>
      <c r="AW1699" s="234"/>
      <c r="BP1699" s="11"/>
      <c r="BQ1699" s="11"/>
      <c r="BR1699" s="235"/>
      <c r="BV1699" s="158"/>
      <c r="BY1699" s="158"/>
      <c r="CB1699" s="158"/>
    </row>
    <row r="1700" ht="18.0" customHeight="1">
      <c r="A1700" s="222">
        <f>IFERROR(__xludf.DUMMYFUNCTION("""COMPUTED_VALUE"""),2026.0)</f>
        <v>2026</v>
      </c>
      <c r="B1700" s="221">
        <f>IFERROR(__xludf.DUMMYFUNCTION("""COMPUTED_VALUE"""),1.2054663E7)</f>
        <v>12054663</v>
      </c>
      <c r="C1700" s="222" t="str">
        <f>IFERROR(__xludf.DUMMYFUNCTION("""COMPUTED_VALUE"""),"RDR JPP PT3 JL. KALIREJO DURI")</f>
        <v>RDR JPP PT3 JL. KALIREJO DURI</v>
      </c>
      <c r="D1700" s="222" t="str">
        <f>IFERROR(__xludf.DUMMYFUNCTION("""COMPUTED_VALUE"""),"REGIONAL I")</f>
        <v>REGIONAL I</v>
      </c>
      <c r="E1700" s="222" t="str">
        <f>IFERROR(__xludf.DUMMYFUNCTION("""COMPUTED_VALUE"""),"RIDAR")</f>
        <v>RIDAR</v>
      </c>
      <c r="F1700" s="222" t="str">
        <f>IFERROR(__xludf.DUMMYFUNCTION("""COMPUTED_VALUE"""),"DRI")</f>
        <v>DRI</v>
      </c>
      <c r="G1700" s="222" t="str">
        <f>IFERROR(__xludf.DUMMYFUNCTION("""COMPUTED_VALUE"""),"SUMBAGTENG")</f>
        <v>SUMBAGTENG</v>
      </c>
      <c r="H1700" s="222" t="str">
        <f>IFERROR(__xludf.DUMMYFUNCTION("""COMPUTED_VALUE"""),"DUMAI")</f>
        <v>DUMAI</v>
      </c>
      <c r="I1700" s="222" t="str">
        <f>IFERROR(__xludf.DUMMYFUNCTION("""COMPUTED_VALUE"""),"Batch 2")</f>
        <v>Batch 2</v>
      </c>
      <c r="J1700" s="225">
        <f>IFERROR(__xludf.DUMMYFUNCTION("""COMPUTED_VALUE"""),14.0)</f>
        <v>14</v>
      </c>
      <c r="K1700" s="224">
        <f>IFERROR(__xludf.DUMMYFUNCTION("""COMPUTED_VALUE"""),112.0)</f>
        <v>112</v>
      </c>
      <c r="L1700" s="226">
        <f>IFERROR(__xludf.DUMMYFUNCTION("""COMPUTED_VALUE"""),1012227.0)</f>
        <v>1012227</v>
      </c>
      <c r="M1700" s="227">
        <f>IFERROR(__xludf.DUMMYFUNCTION("""COMPUTED_VALUE"""),1.13369412E8)</f>
        <v>113369412</v>
      </c>
      <c r="N1700" s="222" t="str">
        <f>IFERROR(__xludf.DUMMYFUNCTION("""COMPUTED_VALUE"""),"PT TSUIKA BERKAH RAYA")</f>
        <v>PT TSUIKA BERKAH RAYA</v>
      </c>
      <c r="O1700" s="222" t="str">
        <f>IFERROR(__xludf.DUMMYFUNCTION("""COMPUTED_VALUE"""),"0. DROP")</f>
        <v>0. DROP</v>
      </c>
      <c r="P1700" s="222" t="str">
        <f>IFERROR(__xludf.DUMMYFUNCTION("""COMPUTED_VALUE"""),"0.3 Feeder Full")</f>
        <v>0.3 Feeder Full</v>
      </c>
      <c r="Q1700" s="222" t="str">
        <f>IFERROR(__xludf.DUMMYFUNCTION("""COMPUTED_VALUE"""),"20/01 Drop feeder Full (07/01) Persiapan")</f>
        <v>20/01 Drop feeder Full (07/01) Persiapan</v>
      </c>
      <c r="R1700" s="228"/>
      <c r="S1700" s="11"/>
      <c r="T1700" s="11"/>
      <c r="U1700" s="11"/>
      <c r="V1700" s="229" t="str">
        <f>IFERROR(__xludf.DUMMYFUNCTION("""COMPUTED_VALUE"""),"GUSKAR DIYONAL")</f>
        <v>GUSKAR DIYONAL</v>
      </c>
      <c r="W1700" s="229" t="str">
        <f>IFERROR(__xludf.DUMMYFUNCTION("""COMPUTED_VALUE"""),"ANZALA SAKINAH")</f>
        <v>ANZALA SAKINAH</v>
      </c>
      <c r="X1700" s="229" t="str">
        <f>IFERROR(__xludf.DUMMYFUNCTION("""COMPUTED_VALUE"""),"BELUM GOLIVE")</f>
        <v>BELUM GOLIVE</v>
      </c>
      <c r="Y1700" s="229"/>
      <c r="Z1700" s="229" t="str">
        <f>IFERROR(__xludf.DUMMYFUNCTION("""COMPUTED_VALUE"""),"#N/A")</f>
        <v>#N/A</v>
      </c>
      <c r="AA1700" s="229"/>
      <c r="AB1700" s="229"/>
      <c r="AC1700" s="229"/>
      <c r="AD1700" s="232"/>
      <c r="AE1700" s="233"/>
      <c r="AF1700" s="54" t="str">
        <f>IFERROR(__xludf.DUMMYFUNCTION("""COMPUTED_VALUE"""),"Draft BA DROP")</f>
        <v>Draft BA DROP</v>
      </c>
      <c r="AG1700" s="54"/>
      <c r="AH1700" s="54"/>
      <c r="AI1700" s="55" t="str">
        <f t="shared" si="166"/>
        <v/>
      </c>
      <c r="AW1700" s="234"/>
      <c r="BP1700" s="11"/>
      <c r="BQ1700" s="11"/>
      <c r="BR1700" s="235"/>
      <c r="BV1700" s="158"/>
      <c r="BY1700" s="158"/>
      <c r="CB1700" s="158"/>
    </row>
    <row r="1701" ht="18.0" hidden="1" customHeight="1">
      <c r="A1701" s="222">
        <f>IFERROR(__xludf.DUMMYFUNCTION("""COMPUTED_VALUE"""),2026.0)</f>
        <v>2026</v>
      </c>
      <c r="B1701" s="221">
        <f>IFERROR(__xludf.DUMMYFUNCTION("""COMPUTED_VALUE"""),1.1536051E7)</f>
        <v>11536051</v>
      </c>
      <c r="C1701" s="222" t="str">
        <f>IFERROR(__xludf.DUMMYFUNCTION("""COMPUTED_VALUE"""),"MDN PT3 LBP-FL JL.DUSUN 1")</f>
        <v>MDN PT3 LBP-FL JL.DUSUN 1</v>
      </c>
      <c r="D1701" s="222" t="str">
        <f>IFERROR(__xludf.DUMMYFUNCTION("""COMPUTED_VALUE"""),"REGIONAL I")</f>
        <v>REGIONAL I</v>
      </c>
      <c r="E1701" s="222" t="str">
        <f>IFERROR(__xludf.DUMMYFUNCTION("""COMPUTED_VALUE"""),"MEDAN")</f>
        <v>MEDAN</v>
      </c>
      <c r="F1701" s="222" t="str">
        <f>IFERROR(__xludf.DUMMYFUNCTION("""COMPUTED_VALUE"""),"LBP")</f>
        <v>LBP</v>
      </c>
      <c r="G1701" s="222" t="str">
        <f>IFERROR(__xludf.DUMMYFUNCTION("""COMPUTED_VALUE"""),"SUMBAGUT")</f>
        <v>SUMBAGUT</v>
      </c>
      <c r="H1701" s="222" t="str">
        <f>IFERROR(__xludf.DUMMYFUNCTION("""COMPUTED_VALUE"""),"MEDAN")</f>
        <v>MEDAN</v>
      </c>
      <c r="I1701" s="222" t="str">
        <f>IFERROR(__xludf.DUMMYFUNCTION("""COMPUTED_VALUE"""),"Batch 2")</f>
        <v>Batch 2</v>
      </c>
      <c r="J1701" s="225">
        <f>IFERROR(__xludf.DUMMYFUNCTION("""COMPUTED_VALUE"""),4.0)</f>
        <v>4</v>
      </c>
      <c r="K1701" s="224">
        <f>IFERROR(__xludf.DUMMYFUNCTION("""COMPUTED_VALUE"""),32.0)</f>
        <v>32</v>
      </c>
      <c r="L1701" s="226">
        <f>IFERROR(__xludf.DUMMYFUNCTION("""COMPUTED_VALUE"""),631822.0)</f>
        <v>631822</v>
      </c>
      <c r="M1701" s="227">
        <f>IFERROR(__xludf.DUMMYFUNCTION("""COMPUTED_VALUE"""),2.0218287E7)</f>
        <v>20218287</v>
      </c>
      <c r="N1701" s="222" t="str">
        <f>IFERROR(__xludf.DUMMYFUNCTION("""COMPUTED_VALUE"""),"PT UPAYA TEKNIK")</f>
        <v>PT UPAYA TEKNIK</v>
      </c>
      <c r="O1701" s="222" t="str">
        <f>IFERROR(__xludf.DUMMYFUNCTION("""COMPUTED_VALUE"""),"5. INSTALASI")</f>
        <v>5. INSTALASI</v>
      </c>
      <c r="P1701" s="222" t="str">
        <f>IFERROR(__xludf.DUMMYFUNCTION("""COMPUTED_VALUE"""),"5.9 Proses Pemasangan/Terminasi ODP/OTB")</f>
        <v>5.9 Proses Pemasangan/Terminasi ODP/OTB</v>
      </c>
      <c r="Q1701" s="222" t="str">
        <f>IFERROR(__xludf.DUMMYFUNCTION("""COMPUTED_VALUE"""),"26/04 penarikan kabel
20/04 OGP ambil matrial
09/04 proses input matrial
07/04 redisgn ke DS06 
02/04 distribusi penuh D05 
31/03 komitmen aanwidzing (01/04) (07/01) Persiapan")</f>
        <v>26/04 penarikan kabel
20/04 OGP ambil matrial
09/04 proses input matrial
07/04 redisgn ke DS06 
02/04 distribusi penuh D05 
31/03 komitmen aanwidzing (01/04) (07/01) Persiapan</v>
      </c>
      <c r="R1701" s="228">
        <f>IFERROR(__xludf.DUMMYFUNCTION("""COMPUTED_VALUE"""),46139.0)</f>
        <v>46139</v>
      </c>
      <c r="S1701" s="11"/>
      <c r="T1701" s="73"/>
      <c r="U1701" s="11"/>
      <c r="V1701" s="229" t="str">
        <f>IFERROR(__xludf.DUMMYFUNCTION("""COMPUTED_VALUE"""),"28/Apr/2026")</f>
        <v>28/Apr/2026</v>
      </c>
      <c r="W1701" s="229"/>
      <c r="X1701" s="229" t="str">
        <f>IFERROR(__xludf.DUMMYFUNCTION("""COMPUTED_VALUE"""),"BELUM GOLIVE")</f>
        <v>BELUM GOLIVE</v>
      </c>
      <c r="Y1701" s="229"/>
      <c r="Z1701" s="229" t="str">
        <f>IFERROR(__xludf.DUMMYFUNCTION("""COMPUTED_VALUE"""),"#N/A")</f>
        <v>#N/A</v>
      </c>
      <c r="AA1701" s="229"/>
      <c r="AB1701" s="229"/>
      <c r="AC1701" s="229"/>
      <c r="AD1701" s="232"/>
      <c r="AE1701" s="233"/>
      <c r="AF1701" s="54"/>
      <c r="AG1701" s="54"/>
      <c r="AH1701" s="54">
        <v>46077.0</v>
      </c>
      <c r="AI1701" s="55" t="str">
        <f t="shared" si="166"/>
        <v/>
      </c>
      <c r="AW1701" s="234"/>
      <c r="BP1701" s="11"/>
      <c r="BQ1701" s="11"/>
      <c r="BR1701" s="235"/>
      <c r="BV1701" s="158"/>
      <c r="BY1701" s="158"/>
      <c r="CB1701" s="158"/>
    </row>
    <row r="1702" ht="18.0" customHeight="1">
      <c r="A1702" s="222">
        <f>IFERROR(__xludf.DUMMYFUNCTION("""COMPUTED_VALUE"""),2026.0)</f>
        <v>2026</v>
      </c>
      <c r="B1702" s="221">
        <f>IFERROR(__xludf.DUMMYFUNCTION("""COMPUTED_VALUE"""),1.1978123E7)</f>
        <v>11978123</v>
      </c>
      <c r="C1702" s="222" t="str">
        <f>IFERROR(__xludf.DUMMYFUNCTION("""COMPUTED_VALUE"""),"RDR 250_187_2853")</f>
        <v>RDR 250_187_2853</v>
      </c>
      <c r="D1702" s="222" t="str">
        <f>IFERROR(__xludf.DUMMYFUNCTION("""COMPUTED_VALUE"""),"REGIONAL I")</f>
        <v>REGIONAL I</v>
      </c>
      <c r="E1702" s="222" t="str">
        <f>IFERROR(__xludf.DUMMYFUNCTION("""COMPUTED_VALUE"""),"RIDAR")</f>
        <v>RIDAR</v>
      </c>
      <c r="F1702" s="222" t="str">
        <f>IFERROR(__xludf.DUMMYFUNCTION("""COMPUTED_VALUE"""),"ARK")</f>
        <v>ARK</v>
      </c>
      <c r="G1702" s="222" t="str">
        <f>IFERROR(__xludf.DUMMYFUNCTION("""COMPUTED_VALUE"""),"SUMBAGTENG")</f>
        <v>SUMBAGTENG</v>
      </c>
      <c r="H1702" s="222" t="str">
        <f>IFERROR(__xludf.DUMMYFUNCTION("""COMPUTED_VALUE"""),"PEKANBARU")</f>
        <v>PEKANBARU</v>
      </c>
      <c r="I1702" s="222" t="str">
        <f>IFERROR(__xludf.DUMMYFUNCTION("""COMPUTED_VALUE"""),"Batch 2")</f>
        <v>Batch 2</v>
      </c>
      <c r="J1702" s="225">
        <f>IFERROR(__xludf.DUMMYFUNCTION("""COMPUTED_VALUE"""),5.0)</f>
        <v>5</v>
      </c>
      <c r="K1702" s="224">
        <f>IFERROR(__xludf.DUMMYFUNCTION("""COMPUTED_VALUE"""),40.0)</f>
        <v>40</v>
      </c>
      <c r="L1702" s="226">
        <f>IFERROR(__xludf.DUMMYFUNCTION("""COMPUTED_VALUE"""),742346.0)</f>
        <v>742346</v>
      </c>
      <c r="M1702" s="227">
        <f>IFERROR(__xludf.DUMMYFUNCTION("""COMPUTED_VALUE"""),2.9693833E7)</f>
        <v>29693833</v>
      </c>
      <c r="N1702" s="222" t="str">
        <f>IFERROR(__xludf.DUMMYFUNCTION("""COMPUTED_VALUE"""),"PT SAMUDERA PUTRA KENCANA")</f>
        <v>PT SAMUDERA PUTRA KENCANA</v>
      </c>
      <c r="O1702" s="222" t="str">
        <f>IFERROR(__xludf.DUMMYFUNCTION("""COMPUTED_VALUE"""),"2. DONE AANWIJZING")</f>
        <v>2. DONE AANWIJZING</v>
      </c>
      <c r="P1702" s="222" t="str">
        <f>IFERROR(__xludf.DUMMYFUNCTION("""COMPUTED_VALUE"""),"2.10 Kendala - Feeder Rusak")</f>
        <v>2.10 Kendala - Feeder Rusak</v>
      </c>
      <c r="Q1702" s="222" t="str">
        <f>IFERROR(__xludf.DUMMYFUNCTION("""COMPUTED_VALUE"""),"20/04 Pengambilan ulang hasil ukur OTDR 13/04 Pengecekan ulang feeder untuk kebutuhan repair 20/01 Kendala Feeer rusak (07/01) Persiapan")</f>
        <v>20/04 Pengambilan ulang hasil ukur OTDR 13/04 Pengecekan ulang feeder untuk kebutuhan repair 20/01 Kendala Feeer rusak (07/01) Persiapan</v>
      </c>
      <c r="R1702" s="228"/>
      <c r="S1702" s="11"/>
      <c r="T1702" s="11"/>
      <c r="U1702" s="11"/>
      <c r="V1702" s="229" t="str">
        <f>IFERROR(__xludf.DUMMYFUNCTION("""COMPUTED_VALUE"""),"TEGUH IMAM PERDANA")</f>
        <v>TEGUH IMAM PERDANA</v>
      </c>
      <c r="W1702" s="229" t="str">
        <f>IFERROR(__xludf.DUMMYFUNCTION("""COMPUTED_VALUE"""),"DESLITA RAHMADANI")</f>
        <v>DESLITA RAHMADANI</v>
      </c>
      <c r="X1702" s="229" t="str">
        <f>IFERROR(__xludf.DUMMYFUNCTION("""COMPUTED_VALUE"""),"BELUM GOLIVE")</f>
        <v>BELUM GOLIVE</v>
      </c>
      <c r="Y1702" s="229"/>
      <c r="Z1702" s="229" t="str">
        <f>IFERROR(__xludf.DUMMYFUNCTION("""COMPUTED_VALUE"""),"#N/A")</f>
        <v>#N/A</v>
      </c>
      <c r="AA1702" s="229"/>
      <c r="AB1702" s="229"/>
      <c r="AC1702" s="229"/>
      <c r="AD1702" s="232"/>
      <c r="AE1702" s="233"/>
      <c r="AF1702" s="54"/>
      <c r="AG1702" s="54"/>
      <c r="AH1702" s="54"/>
      <c r="AI1702" s="55" t="str">
        <f t="shared" si="166"/>
        <v/>
      </c>
      <c r="AW1702" s="234"/>
      <c r="BP1702" s="11"/>
      <c r="BQ1702" s="11"/>
      <c r="BR1702" s="235"/>
      <c r="BV1702" s="158"/>
      <c r="BY1702" s="158"/>
      <c r="CB1702" s="158"/>
    </row>
    <row r="1703" ht="18.0" customHeight="1">
      <c r="A1703" s="222">
        <f>IFERROR(__xludf.DUMMYFUNCTION("""COMPUTED_VALUE"""),2026.0)</f>
        <v>2026</v>
      </c>
      <c r="B1703" s="221">
        <f>IFERROR(__xludf.DUMMYFUNCTION("""COMPUTED_VALUE"""),1.2093203E7)</f>
        <v>12093203</v>
      </c>
      <c r="C1703" s="222" t="str">
        <f>IFERROR(__xludf.DUMMYFUNCTION("""COMPUTED_VALUE"""),"RDR JPP PT3 Graha Kinandani")</f>
        <v>RDR JPP PT3 Graha Kinandani</v>
      </c>
      <c r="D1703" s="222" t="str">
        <f>IFERROR(__xludf.DUMMYFUNCTION("""COMPUTED_VALUE"""),"REGIONAL I")</f>
        <v>REGIONAL I</v>
      </c>
      <c r="E1703" s="222" t="str">
        <f>IFERROR(__xludf.DUMMYFUNCTION("""COMPUTED_VALUE"""),"RIDAR")</f>
        <v>RIDAR</v>
      </c>
      <c r="F1703" s="222" t="str">
        <f>IFERROR(__xludf.DUMMYFUNCTION("""COMPUTED_VALUE"""),"ARK")</f>
        <v>ARK</v>
      </c>
      <c r="G1703" s="222" t="str">
        <f>IFERROR(__xludf.DUMMYFUNCTION("""COMPUTED_VALUE"""),"SUMBAGTENG")</f>
        <v>SUMBAGTENG</v>
      </c>
      <c r="H1703" s="222" t="str">
        <f>IFERROR(__xludf.DUMMYFUNCTION("""COMPUTED_VALUE"""),"PEKANBARU")</f>
        <v>PEKANBARU</v>
      </c>
      <c r="I1703" s="222" t="str">
        <f>IFERROR(__xludf.DUMMYFUNCTION("""COMPUTED_VALUE"""),"Batch 2")</f>
        <v>Batch 2</v>
      </c>
      <c r="J1703" s="225">
        <f>IFERROR(__xludf.DUMMYFUNCTION("""COMPUTED_VALUE"""),6.0)</f>
        <v>6</v>
      </c>
      <c r="K1703" s="224">
        <f>IFERROR(__xludf.DUMMYFUNCTION("""COMPUTED_VALUE"""),48.0)</f>
        <v>48</v>
      </c>
      <c r="L1703" s="226">
        <f>IFERROR(__xludf.DUMMYFUNCTION("""COMPUTED_VALUE"""),426043.0)</f>
        <v>426043</v>
      </c>
      <c r="M1703" s="227">
        <f>IFERROR(__xludf.DUMMYFUNCTION("""COMPUTED_VALUE"""),2.045002E7)</f>
        <v>20450020</v>
      </c>
      <c r="N1703" s="222" t="str">
        <f>IFERROR(__xludf.DUMMYFUNCTION("""COMPUTED_VALUE"""),"PT SAMUDERA PUTRA KENCANA")</f>
        <v>PT SAMUDERA PUTRA KENCANA</v>
      </c>
      <c r="O1703" s="222" t="str">
        <f>IFERROR(__xludf.DUMMYFUNCTION("""COMPUTED_VALUE"""),"0. DROP")</f>
        <v>0. DROP</v>
      </c>
      <c r="P1703" s="222" t="str">
        <f>IFERROR(__xludf.DUMMYFUNCTION("""COMPUTED_VALUE"""),"0.2 Tidak Dapat Izin Warga/Kades/Lurah/Developer")</f>
        <v>0.2 Tidak Dapat Izin Warga/Kades/Lurah/Developer</v>
      </c>
      <c r="Q1703" s="222" t="str">
        <f>IFERROR(__xludf.DUMMYFUNCTION("""COMPUTED_VALUE"""),"20/01 Tidak dapat izin tanam tiang (07/01) Persiapan")</f>
        <v>20/01 Tidak dapat izin tanam tiang (07/01) Persiapan</v>
      </c>
      <c r="R1703" s="228"/>
      <c r="S1703" s="11"/>
      <c r="T1703" s="11"/>
      <c r="U1703" s="11"/>
      <c r="V1703" s="229" t="str">
        <f>IFERROR(__xludf.DUMMYFUNCTION("""COMPUTED_VALUE"""),"TEGUH IMAM PERDANA")</f>
        <v>TEGUH IMAM PERDANA</v>
      </c>
      <c r="W1703" s="229" t="str">
        <f>IFERROR(__xludf.DUMMYFUNCTION("""COMPUTED_VALUE"""),"DESLITA RAHMADANI")</f>
        <v>DESLITA RAHMADANI</v>
      </c>
      <c r="X1703" s="229" t="str">
        <f>IFERROR(__xludf.DUMMYFUNCTION("""COMPUTED_VALUE"""),"BELUM GOLIVE")</f>
        <v>BELUM GOLIVE</v>
      </c>
      <c r="Y1703" s="229"/>
      <c r="Z1703" s="229" t="str">
        <f>IFERROR(__xludf.DUMMYFUNCTION("""COMPUTED_VALUE"""),"#N/A")</f>
        <v>#N/A</v>
      </c>
      <c r="AA1703" s="229"/>
      <c r="AB1703" s="229"/>
      <c r="AC1703" s="229"/>
      <c r="AD1703" s="232"/>
      <c r="AE1703" s="233"/>
      <c r="AF1703" s="54" t="str">
        <f>IFERROR(__xludf.DUMMYFUNCTION("""COMPUTED_VALUE"""),"Draft BA DROP")</f>
        <v>Draft BA DROP</v>
      </c>
      <c r="AG1703" s="54"/>
      <c r="AH1703" s="54"/>
      <c r="AI1703" s="55" t="str">
        <f t="shared" si="166"/>
        <v/>
      </c>
      <c r="AW1703" s="234"/>
      <c r="BP1703" s="11"/>
      <c r="BQ1703" s="11"/>
      <c r="BR1703" s="235"/>
      <c r="BV1703" s="158"/>
      <c r="BY1703" s="158"/>
      <c r="CB1703" s="158"/>
    </row>
    <row r="1704" ht="18.0" customHeight="1">
      <c r="A1704" s="222">
        <f>IFERROR(__xludf.DUMMYFUNCTION("""COMPUTED_VALUE"""),2026.0)</f>
        <v>2026</v>
      </c>
      <c r="B1704" s="221">
        <f>IFERROR(__xludf.DUMMYFUNCTION("""COMPUTED_VALUE"""),1.2151307E7)</f>
        <v>12151307</v>
      </c>
      <c r="C1704" s="222" t="str">
        <f>IFERROR(__xludf.DUMMYFUNCTION("""COMPUTED_VALUE"""),"RDR JPP PT3 250_202_2860")</f>
        <v>RDR JPP PT3 250_202_2860</v>
      </c>
      <c r="D1704" s="222" t="str">
        <f>IFERROR(__xludf.DUMMYFUNCTION("""COMPUTED_VALUE"""),"REGIONAL I")</f>
        <v>REGIONAL I</v>
      </c>
      <c r="E1704" s="222" t="str">
        <f>IFERROR(__xludf.DUMMYFUNCTION("""COMPUTED_VALUE"""),"RIDAR")</f>
        <v>RIDAR</v>
      </c>
      <c r="F1704" s="222" t="str">
        <f>IFERROR(__xludf.DUMMYFUNCTION("""COMPUTED_VALUE"""),"ARK")</f>
        <v>ARK</v>
      </c>
      <c r="G1704" s="222" t="str">
        <f>IFERROR(__xludf.DUMMYFUNCTION("""COMPUTED_VALUE"""),"SUMBAGTENG")</f>
        <v>SUMBAGTENG</v>
      </c>
      <c r="H1704" s="222" t="str">
        <f>IFERROR(__xludf.DUMMYFUNCTION("""COMPUTED_VALUE"""),"PEKANBARU")</f>
        <v>PEKANBARU</v>
      </c>
      <c r="I1704" s="222" t="str">
        <f>IFERROR(__xludf.DUMMYFUNCTION("""COMPUTED_VALUE"""),"Batch 2")</f>
        <v>Batch 2</v>
      </c>
      <c r="J1704" s="225">
        <f>IFERROR(__xludf.DUMMYFUNCTION("""COMPUTED_VALUE"""),7.0)</f>
        <v>7</v>
      </c>
      <c r="K1704" s="224">
        <f>IFERROR(__xludf.DUMMYFUNCTION("""COMPUTED_VALUE"""),56.0)</f>
        <v>56</v>
      </c>
      <c r="L1704" s="226">
        <f>IFERROR(__xludf.DUMMYFUNCTION("""COMPUTED_VALUE"""),315601.0)</f>
        <v>315601</v>
      </c>
      <c r="M1704" s="227">
        <f>IFERROR(__xludf.DUMMYFUNCTION("""COMPUTED_VALUE"""),1.7673654E7)</f>
        <v>17673654</v>
      </c>
      <c r="N1704" s="222" t="str">
        <f>IFERROR(__xludf.DUMMYFUNCTION("""COMPUTED_VALUE"""),"PT SAMUDERA PUTRA KENCANA")</f>
        <v>PT SAMUDERA PUTRA KENCANA</v>
      </c>
      <c r="O1704" s="222" t="str">
        <f>IFERROR(__xludf.DUMMYFUNCTION("""COMPUTED_VALUE"""),"2. DONE AANWIJZING")</f>
        <v>2. DONE AANWIJZING</v>
      </c>
      <c r="P1704" s="222" t="str">
        <f>IFERROR(__xludf.DUMMYFUNCTION("""COMPUTED_VALUE"""),"2.10 Kendala - Feeder Rusak")</f>
        <v>2.10 Kendala - Feeder Rusak</v>
      </c>
      <c r="Q1704" s="222" t="str">
        <f>IFERROR(__xludf.DUMMYFUNCTION("""COMPUTED_VALUE"""),"20/04 Pengambilan ulang hasil ukur OTDR 13/04 Pengecekan ulang feeder untuk kebutuhan repair 20/01 Kendala Feeder rusak (07/01) Persiapan")</f>
        <v>20/04 Pengambilan ulang hasil ukur OTDR 13/04 Pengecekan ulang feeder untuk kebutuhan repair 20/01 Kendala Feeder rusak (07/01) Persiapan</v>
      </c>
      <c r="R1704" s="228"/>
      <c r="S1704" s="11"/>
      <c r="T1704" s="11"/>
      <c r="U1704" s="11"/>
      <c r="V1704" s="229" t="str">
        <f>IFERROR(__xludf.DUMMYFUNCTION("""COMPUTED_VALUE"""),"TEGUH IMAM PERDANA")</f>
        <v>TEGUH IMAM PERDANA</v>
      </c>
      <c r="W1704" s="229" t="str">
        <f>IFERROR(__xludf.DUMMYFUNCTION("""COMPUTED_VALUE"""),"DESLITA RAHMADANI")</f>
        <v>DESLITA RAHMADANI</v>
      </c>
      <c r="X1704" s="229" t="str">
        <f>IFERROR(__xludf.DUMMYFUNCTION("""COMPUTED_VALUE"""),"BELUM GOLIVE")</f>
        <v>BELUM GOLIVE</v>
      </c>
      <c r="Y1704" s="229"/>
      <c r="Z1704" s="229" t="str">
        <f>IFERROR(__xludf.DUMMYFUNCTION("""COMPUTED_VALUE"""),"#N/A")</f>
        <v>#N/A</v>
      </c>
      <c r="AA1704" s="229"/>
      <c r="AB1704" s="229"/>
      <c r="AC1704" s="229"/>
      <c r="AD1704" s="232"/>
      <c r="AE1704" s="233"/>
      <c r="AF1704" s="54"/>
      <c r="AG1704" s="54"/>
      <c r="AH1704" s="54">
        <v>46139.0</v>
      </c>
      <c r="AI1704" s="237">
        <f>AH1704-NOW()</f>
        <v>-1.377989931</v>
      </c>
      <c r="AJ1704" s="229" t="str">
        <f t="shared" ref="AJ1704:AJ1705" si="167">if(AI1704&gt;=0,"In Komitmen","Out Komitmen")</f>
        <v>Out Komitmen</v>
      </c>
      <c r="AW1704" s="234"/>
      <c r="BP1704" s="11"/>
      <c r="BQ1704" s="11"/>
      <c r="BR1704" s="235"/>
      <c r="BV1704" s="158"/>
      <c r="BY1704" s="158"/>
      <c r="CB1704" s="158"/>
    </row>
    <row r="1705" ht="18.0" customHeight="1">
      <c r="A1705" s="222">
        <f>IFERROR(__xludf.DUMMYFUNCTION("""COMPUTED_VALUE"""),2026.0)</f>
        <v>2026</v>
      </c>
      <c r="B1705" s="221">
        <f>IFERROR(__xludf.DUMMYFUNCTION("""COMPUTED_VALUE"""),1.0961184E7)</f>
        <v>10961184</v>
      </c>
      <c r="C1705" s="222" t="str">
        <f>IFERROR(__xludf.DUMMYFUNCTION("""COMPUTED_VALUE"""),"RDR JPP PT3 Jl.Paket D Kec Balai jaya")</f>
        <v>RDR JPP PT3 Jl.Paket D Kec Balai jaya</v>
      </c>
      <c r="D1705" s="222" t="str">
        <f>IFERROR(__xludf.DUMMYFUNCTION("""COMPUTED_VALUE"""),"REGIONAL I")</f>
        <v>REGIONAL I</v>
      </c>
      <c r="E1705" s="222" t="str">
        <f>IFERROR(__xludf.DUMMYFUNCTION("""COMPUTED_VALUE"""),"RIDAR")</f>
        <v>RIDAR</v>
      </c>
      <c r="F1705" s="222" t="str">
        <f>IFERROR(__xludf.DUMMYFUNCTION("""COMPUTED_VALUE"""),"BGU")</f>
        <v>BGU</v>
      </c>
      <c r="G1705" s="222" t="str">
        <f>IFERROR(__xludf.DUMMYFUNCTION("""COMPUTED_VALUE"""),"SUMBAGTENG")</f>
        <v>SUMBAGTENG</v>
      </c>
      <c r="H1705" s="222" t="str">
        <f>IFERROR(__xludf.DUMMYFUNCTION("""COMPUTED_VALUE"""),"DUMAI")</f>
        <v>DUMAI</v>
      </c>
      <c r="I1705" s="222" t="str">
        <f>IFERROR(__xludf.DUMMYFUNCTION("""COMPUTED_VALUE"""),"Batch 2")</f>
        <v>Batch 2</v>
      </c>
      <c r="J1705" s="225">
        <f>IFERROR(__xludf.DUMMYFUNCTION("""COMPUTED_VALUE"""),23.0)</f>
        <v>23</v>
      </c>
      <c r="K1705" s="224">
        <f>IFERROR(__xludf.DUMMYFUNCTION("""COMPUTED_VALUE"""),184.0)</f>
        <v>184</v>
      </c>
      <c r="L1705" s="226">
        <f>IFERROR(__xludf.DUMMYFUNCTION("""COMPUTED_VALUE"""),1077632.0)</f>
        <v>1077632</v>
      </c>
      <c r="M1705" s="227">
        <f>IFERROR(__xludf.DUMMYFUNCTION("""COMPUTED_VALUE"""),1.98284133E8)</f>
        <v>198284133</v>
      </c>
      <c r="N1705" s="222" t="str">
        <f>IFERROR(__xludf.DUMMYFUNCTION("""COMPUTED_VALUE"""),"PT ALAM UTAMA MULIA")</f>
        <v>PT ALAM UTAMA MULIA</v>
      </c>
      <c r="O1705" s="222" t="str">
        <f>IFERROR(__xludf.DUMMYFUNCTION("""COMPUTED_VALUE"""),"5. INSTALASI")</f>
        <v>5. INSTALASI</v>
      </c>
      <c r="P1705" s="222" t="str">
        <f>IFERROR(__xludf.DUMMYFUNCTION("""COMPUTED_VALUE"""),"5.6 Proses Penarikan Kabel")</f>
        <v>5.6 Proses Penarikan Kabel</v>
      </c>
      <c r="Q1705" s="222" t="str">
        <f>IFERROR(__xludf.DUMMYFUNCTION("""COMPUTED_VALUE"""),"20/04 Depedensi lop lain, Plan CO W4 April 08/04 Menunggu CO di LOP Lain 06/04 Plan CO di W3 April 27/03 Proses CO di Week 2 April 16/03 Proses CO Setelah RAFI 04/03 Proses CO Feeder ODC BGU FL minasi ODP 20/01 Pemasngan odp (07/01) Persiapan")</f>
        <v>20/04 Depedensi lop lain, Plan CO W4 April 08/04 Menunggu CO di LOP Lain 06/04 Plan CO di W3 April 27/03 Proses CO di Week 2 April 16/03 Proses CO Setelah RAFI 04/03 Proses CO Feeder ODC BGU FL minasi ODP 20/01 Pemasngan odp (07/01) Persiapan</v>
      </c>
      <c r="R1705" s="228">
        <f>IFERROR(__xludf.DUMMYFUNCTION("""COMPUTED_VALUE"""),46139.0)</f>
        <v>46139</v>
      </c>
      <c r="S1705" s="11"/>
      <c r="T1705" s="11"/>
      <c r="U1705" s="11" t="str">
        <f>IFERROR(__xludf.DUMMYFUNCTION("""COMPUTED_VALUE"""),"W08-1532/2025")</f>
        <v>W08-1532/2025</v>
      </c>
      <c r="V1705" s="229" t="str">
        <f>IFERROR(__xludf.DUMMYFUNCTION("""COMPUTED_VALUE"""),"ADIL WAHYUDI")</f>
        <v>ADIL WAHYUDI</v>
      </c>
      <c r="W1705" s="229" t="str">
        <f>IFERROR(__xludf.DUMMYFUNCTION("""COMPUTED_VALUE"""),"ANZALA SAKINAH")</f>
        <v>ANZALA SAKINAH</v>
      </c>
      <c r="X1705" s="229" t="str">
        <f>IFERROR(__xludf.DUMMYFUNCTION("""COMPUTED_VALUE"""),"BELUM GOLIVE")</f>
        <v>BELUM GOLIVE</v>
      </c>
      <c r="Y1705" s="229"/>
      <c r="Z1705" s="229" t="str">
        <f>IFERROR(__xludf.DUMMYFUNCTION("""COMPUTED_VALUE"""),"#N/A")</f>
        <v>#N/A</v>
      </c>
      <c r="AA1705" s="229"/>
      <c r="AB1705" s="229"/>
      <c r="AC1705" s="229"/>
      <c r="AD1705" s="232"/>
      <c r="AE1705" s="233"/>
      <c r="AF1705" s="54"/>
      <c r="AG1705" s="54"/>
      <c r="AH1705" s="54">
        <v>46142.0</v>
      </c>
      <c r="AI1705" s="55">
        <f>AH1705-TODAY()</f>
        <v>2</v>
      </c>
      <c r="AJ1705" s="229" t="str">
        <f t="shared" si="167"/>
        <v>In Komitmen</v>
      </c>
      <c r="AK1705" s="231" t="s">
        <v>199</v>
      </c>
      <c r="AW1705" s="234"/>
      <c r="BP1705" s="11"/>
      <c r="BQ1705" s="11"/>
      <c r="BR1705" s="235"/>
      <c r="BV1705" s="158"/>
      <c r="BY1705" s="158"/>
      <c r="CB1705" s="158"/>
    </row>
    <row r="1706" ht="18.0" customHeight="1">
      <c r="A1706" s="222">
        <f>IFERROR(__xludf.DUMMYFUNCTION("""COMPUTED_VALUE"""),2026.0)</f>
        <v>2026</v>
      </c>
      <c r="B1706" s="221">
        <f>IFERROR(__xludf.DUMMYFUNCTION("""COMPUTED_VALUE"""),1.1908966E7)</f>
        <v>11908966</v>
      </c>
      <c r="C1706" s="222" t="str">
        <f>IFERROR(__xludf.DUMMYFUNCTION("""COMPUTED_VALUE"""),"RDR JPP PT3 Baserah Taluk Kuantan1")</f>
        <v>RDR JPP PT3 Baserah Taluk Kuantan1</v>
      </c>
      <c r="D1706" s="222" t="str">
        <f>IFERROR(__xludf.DUMMYFUNCTION("""COMPUTED_VALUE"""),"REGIONAL I")</f>
        <v>REGIONAL I</v>
      </c>
      <c r="E1706" s="222" t="str">
        <f>IFERROR(__xludf.DUMMYFUNCTION("""COMPUTED_VALUE"""),"RIDAR")</f>
        <v>RIDAR</v>
      </c>
      <c r="F1706" s="222" t="str">
        <f>IFERROR(__xludf.DUMMYFUNCTION("""COMPUTED_VALUE"""),"TAK")</f>
        <v>TAK</v>
      </c>
      <c r="G1706" s="222" t="str">
        <f>IFERROR(__xludf.DUMMYFUNCTION("""COMPUTED_VALUE"""),"SUMBAGTENG")</f>
        <v>SUMBAGTENG</v>
      </c>
      <c r="H1706" s="222" t="str">
        <f>IFERROR(__xludf.DUMMYFUNCTION("""COMPUTED_VALUE"""),"DUMAI")</f>
        <v>DUMAI</v>
      </c>
      <c r="I1706" s="222" t="str">
        <f>IFERROR(__xludf.DUMMYFUNCTION("""COMPUTED_VALUE"""),"Batch 2")</f>
        <v>Batch 2</v>
      </c>
      <c r="J1706" s="225">
        <f>IFERROR(__xludf.DUMMYFUNCTION("""COMPUTED_VALUE"""),10.0)</f>
        <v>10</v>
      </c>
      <c r="K1706" s="224">
        <f>IFERROR(__xludf.DUMMYFUNCTION("""COMPUTED_VALUE"""),80.0)</f>
        <v>80</v>
      </c>
      <c r="L1706" s="226">
        <f>IFERROR(__xludf.DUMMYFUNCTION("""COMPUTED_VALUE"""),679641.0)</f>
        <v>679641</v>
      </c>
      <c r="M1706" s="227">
        <f>IFERROR(__xludf.DUMMYFUNCTION("""COMPUTED_VALUE"""),5.4371222E7)</f>
        <v>54371222</v>
      </c>
      <c r="N1706" s="222" t="str">
        <f>IFERROR(__xludf.DUMMYFUNCTION("""COMPUTED_VALUE"""),"PT TRIPUTRA ANDALAN")</f>
        <v>PT TRIPUTRA ANDALAN</v>
      </c>
      <c r="O1706" s="222" t="str">
        <f>IFERROR(__xludf.DUMMYFUNCTION("""COMPUTED_VALUE"""),"0. DROP")</f>
        <v>0. DROP</v>
      </c>
      <c r="P1706" s="222" t="str">
        <f>IFERROR(__xludf.DUMMYFUNCTION("""COMPUTED_VALUE"""),"0.3 Feeder Full")</f>
        <v>0.3 Feeder Full</v>
      </c>
      <c r="Q1706" s="222" t="str">
        <f>IFERROR(__xludf.DUMMYFUNCTION("""COMPUTED_VALUE"""),"20/01 Drop mini OLT Full (07/01) Persiapan")</f>
        <v>20/01 Drop mini OLT Full (07/01) Persiapan</v>
      </c>
      <c r="R1706" s="228"/>
      <c r="S1706" s="11"/>
      <c r="T1706" s="11"/>
      <c r="U1706" s="11"/>
      <c r="V1706" s="229" t="str">
        <f>IFERROR(__xludf.DUMMYFUNCTION("""COMPUTED_VALUE"""),"ADIL WAHYUDI")</f>
        <v>ADIL WAHYUDI</v>
      </c>
      <c r="W1706" s="229" t="str">
        <f>IFERROR(__xludf.DUMMYFUNCTION("""COMPUTED_VALUE"""),"ANZALA SAKINAH")</f>
        <v>ANZALA SAKINAH</v>
      </c>
      <c r="X1706" s="229" t="str">
        <f>IFERROR(__xludf.DUMMYFUNCTION("""COMPUTED_VALUE"""),"BELUM GOLIVE")</f>
        <v>BELUM GOLIVE</v>
      </c>
      <c r="Y1706" s="229"/>
      <c r="Z1706" s="229" t="str">
        <f>IFERROR(__xludf.DUMMYFUNCTION("""COMPUTED_VALUE"""),"#N/A")</f>
        <v>#N/A</v>
      </c>
      <c r="AA1706" s="229"/>
      <c r="AB1706" s="229"/>
      <c r="AC1706" s="229"/>
      <c r="AD1706" s="232"/>
      <c r="AE1706" s="233"/>
      <c r="AF1706" s="54"/>
      <c r="AG1706" s="54"/>
      <c r="AH1706" s="54"/>
      <c r="AI1706" s="55" t="str">
        <f>IF(OR(R1706="",AE1706=""),"",R1706-AE1706)</f>
        <v/>
      </c>
      <c r="AW1706" s="234"/>
      <c r="BP1706" s="11"/>
      <c r="BQ1706" s="11"/>
      <c r="BR1706" s="235"/>
      <c r="BV1706" s="158"/>
      <c r="BY1706" s="158"/>
      <c r="CB1706" s="158"/>
    </row>
    <row r="1707" ht="18.0" customHeight="1">
      <c r="A1707" s="222">
        <f>IFERROR(__xludf.DUMMYFUNCTION("""COMPUTED_VALUE"""),2026.0)</f>
        <v>2026</v>
      </c>
      <c r="B1707" s="221">
        <f>IFERROR(__xludf.DUMMYFUNCTION("""COMPUTED_VALUE"""),1.2436577E7)</f>
        <v>12436577</v>
      </c>
      <c r="C1707" s="222" t="str">
        <f>IFERROR(__xludf.DUMMYFUNCTION("""COMPUTED_VALUE"""),"RDR JPP PT3 KAMPAR_8505")</f>
        <v>RDR JPP PT3 KAMPAR_8505</v>
      </c>
      <c r="D1707" s="222" t="str">
        <f>IFERROR(__xludf.DUMMYFUNCTION("""COMPUTED_VALUE"""),"REGIONAL I")</f>
        <v>REGIONAL I</v>
      </c>
      <c r="E1707" s="222" t="str">
        <f>IFERROR(__xludf.DUMMYFUNCTION("""COMPUTED_VALUE"""),"RIDAR")</f>
        <v>RIDAR</v>
      </c>
      <c r="F1707" s="222" t="str">
        <f>IFERROR(__xludf.DUMMYFUNCTION("""COMPUTED_VALUE"""),"BKN")</f>
        <v>BKN</v>
      </c>
      <c r="G1707" s="222" t="str">
        <f>IFERROR(__xludf.DUMMYFUNCTION("""COMPUTED_VALUE"""),"SUMBAGTENG")</f>
        <v>SUMBAGTENG</v>
      </c>
      <c r="H1707" s="222" t="str">
        <f>IFERROR(__xludf.DUMMYFUNCTION("""COMPUTED_VALUE"""),"DUMAI")</f>
        <v>DUMAI</v>
      </c>
      <c r="I1707" s="222" t="str">
        <f>IFERROR(__xludf.DUMMYFUNCTION("""COMPUTED_VALUE"""),"Batch 2")</f>
        <v>Batch 2</v>
      </c>
      <c r="J1707" s="225">
        <f>IFERROR(__xludf.DUMMYFUNCTION("""COMPUTED_VALUE"""),5.0)</f>
        <v>5</v>
      </c>
      <c r="K1707" s="224">
        <f>IFERROR(__xludf.DUMMYFUNCTION("""COMPUTED_VALUE"""),40.0)</f>
        <v>40</v>
      </c>
      <c r="L1707" s="226">
        <f>IFERROR(__xludf.DUMMYFUNCTION("""COMPUTED_VALUE"""),448595.0)</f>
        <v>448595</v>
      </c>
      <c r="M1707" s="227">
        <f>IFERROR(__xludf.DUMMYFUNCTION("""COMPUTED_VALUE"""),1.7943795E7)</f>
        <v>17943795</v>
      </c>
      <c r="N1707" s="222" t="str">
        <f>IFERROR(__xludf.DUMMYFUNCTION("""COMPUTED_VALUE"""),"PT TIGA AKSES MANDIRI")</f>
        <v>PT TIGA AKSES MANDIRI</v>
      </c>
      <c r="O1707" s="222" t="str">
        <f>IFERROR(__xludf.DUMMYFUNCTION("""COMPUTED_VALUE"""),"7. GOLIVE")</f>
        <v>7. GOLIVE</v>
      </c>
      <c r="P1707" s="222" t="str">
        <f>IFERROR(__xludf.DUMMYFUNCTION("""COMPUTED_VALUE"""),"7.2 Golive Full / OA / DONE OTB")</f>
        <v>7.2 Golive Full / OA / DONE OTB</v>
      </c>
      <c r="Q1707" s="222" t="str">
        <f>IFERROR(__xludf.DUMMYFUNCTION("""COMPUTED_VALUE"""),"(07/01) Persiapan")</f>
        <v>(07/01) Persiapan</v>
      </c>
      <c r="R1707" s="228"/>
      <c r="S1707" s="11"/>
      <c r="T1707" s="11"/>
      <c r="U1707" s="11" t="str">
        <f>IFERROR(__xludf.DUMMYFUNCTION("""COMPUTED_VALUE"""),"W08-2112/2025")</f>
        <v>W08-2112/2025</v>
      </c>
      <c r="V1707" s="229" t="str">
        <f>IFERROR(__xludf.DUMMYFUNCTION("""COMPUTED_VALUE"""),"PIKI NOFRI SAPUTRA")</f>
        <v>PIKI NOFRI SAPUTRA</v>
      </c>
      <c r="W1707" s="229" t="str">
        <f>IFERROR(__xludf.DUMMYFUNCTION("""COMPUTED_VALUE"""),"ANZALA SAKINAH")</f>
        <v>ANZALA SAKINAH</v>
      </c>
      <c r="X1707" s="229" t="str">
        <f>IFERROR(__xludf.DUMMYFUNCTION("""COMPUTED_VALUE"""),"GOLIVE")</f>
        <v>GOLIVE</v>
      </c>
      <c r="Y1707" s="229" t="str">
        <f>IFERROR(__xludf.DUMMYFUNCTION("""COMPUTED_VALUE"""),"DONE")</f>
        <v>DONE</v>
      </c>
      <c r="Z1707" s="229" t="str">
        <f>IFERROR(__xludf.DUMMYFUNCTION("""COMPUTED_VALUE"""),"#N/A")</f>
        <v>#N/A</v>
      </c>
      <c r="AA1707" s="229">
        <f>IFERROR(__xludf.DUMMYFUNCTION("""COMPUTED_VALUE"""),5.0)</f>
        <v>5</v>
      </c>
      <c r="AB1707" s="229"/>
      <c r="AC1707" s="229" t="str">
        <f>IFERROR(__xludf.DUMMYFUNCTION("""COMPUTED_VALUE"""),"8834395#8834400")</f>
        <v>8834395#8834400</v>
      </c>
      <c r="AD1707" s="232">
        <f>IFERROR(__xludf.DUMMYFUNCTION("""COMPUTED_VALUE"""),40.0)</f>
        <v>40</v>
      </c>
      <c r="AE1707" s="233">
        <f>IFERROR(__xludf.DUMMYFUNCTION("""COMPUTED_VALUE"""),46050.0)</f>
        <v>46050</v>
      </c>
      <c r="AF1707" s="54"/>
      <c r="AG1707" s="54"/>
      <c r="AH1707" s="54"/>
      <c r="AI1707" s="55" t="str">
        <f>IF(OR(AH1707="",AE1707=""),"",AH1707-AE1707)</f>
        <v/>
      </c>
      <c r="AW1707" s="234"/>
      <c r="BP1707" s="11"/>
      <c r="BQ1707" s="11"/>
      <c r="BR1707" s="235"/>
      <c r="BV1707" s="158"/>
      <c r="BY1707" s="158"/>
      <c r="CB1707" s="158"/>
    </row>
    <row r="1708" ht="18.0" hidden="1" customHeight="1">
      <c r="A1708" s="222">
        <f>IFERROR(__xludf.DUMMYFUNCTION("""COMPUTED_VALUE"""),2026.0)</f>
        <v>2026</v>
      </c>
      <c r="B1708" s="221">
        <f>IFERROR(__xludf.DUMMYFUNCTION("""COMPUTED_VALUE"""),1.1442372E7)</f>
        <v>11442372</v>
      </c>
      <c r="C1708" s="222" t="str">
        <f>IFERROR(__xludf.DUMMYFUNCTION("""COMPUTED_VALUE"""),"BNK-PT3-CRP-FAF-JPPTSEL-SUKARAJA CURUP")</f>
        <v>BNK-PT3-CRP-FAF-JPPTSEL-SUKARAJA CURUP</v>
      </c>
      <c r="D1708" s="222" t="str">
        <f>IFERROR(__xludf.DUMMYFUNCTION("""COMPUTED_VALUE"""),"REGIONAL I")</f>
        <v>REGIONAL I</v>
      </c>
      <c r="E1708" s="222" t="str">
        <f>IFERROR(__xludf.DUMMYFUNCTION("""COMPUTED_VALUE"""),"BENGKULU")</f>
        <v>BENGKULU</v>
      </c>
      <c r="F1708" s="222" t="str">
        <f>IFERROR(__xludf.DUMMYFUNCTION("""COMPUTED_VALUE"""),"CRP")</f>
        <v>CRP</v>
      </c>
      <c r="G1708" s="222" t="str">
        <f>IFERROR(__xludf.DUMMYFUNCTION("""COMPUTED_VALUE"""),"SUMBAGSEL")</f>
        <v>SUMBAGSEL</v>
      </c>
      <c r="H1708" s="222" t="str">
        <f>IFERROR(__xludf.DUMMYFUNCTION("""COMPUTED_VALUE"""),"BENGKULU")</f>
        <v>BENGKULU</v>
      </c>
      <c r="I1708" s="222" t="str">
        <f>IFERROR(__xludf.DUMMYFUNCTION("""COMPUTED_VALUE"""),"Batch 2")</f>
        <v>Batch 2</v>
      </c>
      <c r="J1708" s="225">
        <f>IFERROR(__xludf.DUMMYFUNCTION("""COMPUTED_VALUE"""),12.0)</f>
        <v>12</v>
      </c>
      <c r="K1708" s="224">
        <f>IFERROR(__xludf.DUMMYFUNCTION("""COMPUTED_VALUE"""),96.0)</f>
        <v>96</v>
      </c>
      <c r="L1708" s="226">
        <f>IFERROR(__xludf.DUMMYFUNCTION("""COMPUTED_VALUE"""),1382330.0)</f>
        <v>1382330</v>
      </c>
      <c r="M1708" s="227">
        <f>IFERROR(__xludf.DUMMYFUNCTION("""COMPUTED_VALUE"""),1.32703603E8)</f>
        <v>132703603</v>
      </c>
      <c r="N1708" s="222" t="str">
        <f>IFERROR(__xludf.DUMMYFUNCTION("""COMPUTED_VALUE"""),"PT TELAGA RESTU ABADI")</f>
        <v>PT TELAGA RESTU ABADI</v>
      </c>
      <c r="O1708" s="222" t="str">
        <f>IFERROR(__xludf.DUMMYFUNCTION("""COMPUTED_VALUE"""),"7. GOLIVE")</f>
        <v>7. GOLIVE</v>
      </c>
      <c r="P1708" s="222" t="str">
        <f>IFERROR(__xludf.DUMMYFUNCTION("""COMPUTED_VALUE"""),"7.2 Golive Full / OA / DONE OTB")</f>
        <v>7.2 Golive Full / OA / DONE OTB</v>
      </c>
      <c r="Q1708" s="222" t="str">
        <f>IFERROR(__xludf.DUMMYFUNCTION("""COMPUTED_VALUE"""),"02/02: GOLIVE // 29/01 : revisi ABD")</f>
        <v>02/02: GOLIVE // 29/01 : revisi ABD</v>
      </c>
      <c r="R1708" s="228"/>
      <c r="S1708" s="11"/>
      <c r="T1708" s="11"/>
      <c r="U1708" s="11" t="str">
        <f>IFERROR(__xludf.DUMMYFUNCTION("""COMPUTED_VALUE"""),"W06-377/2025")</f>
        <v>W06-377/2025</v>
      </c>
      <c r="V1708" s="229"/>
      <c r="W1708" s="229"/>
      <c r="X1708" s="229" t="str">
        <f>IFERROR(__xludf.DUMMYFUNCTION("""COMPUTED_VALUE"""),"GOLIVE")</f>
        <v>GOLIVE</v>
      </c>
      <c r="Y1708" s="229" t="str">
        <f>IFERROR(__xludf.DUMMYFUNCTION("""COMPUTED_VALUE"""),"DONE")</f>
        <v>DONE</v>
      </c>
      <c r="Z1708" s="229" t="str">
        <f>IFERROR(__xludf.DUMMYFUNCTION("""COMPUTED_VALUE"""),"#N/A")</f>
        <v>#N/A</v>
      </c>
      <c r="AA1708" s="229">
        <f>IFERROR(__xludf.DUMMYFUNCTION("""COMPUTED_VALUE"""),12.0)</f>
        <v>12</v>
      </c>
      <c r="AB1708" s="229"/>
      <c r="AC1708" s="229" t="str">
        <f>IFERROR(__xludf.DUMMYFUNCTION("""COMPUTED_VALUE"""),"8940536#8940541")</f>
        <v>8940536#8940541</v>
      </c>
      <c r="AD1708" s="232">
        <f>IFERROR(__xludf.DUMMYFUNCTION("""COMPUTED_VALUE"""),96.0)</f>
        <v>96</v>
      </c>
      <c r="AE1708" s="233">
        <f>IFERROR(__xludf.DUMMYFUNCTION("""COMPUTED_VALUE"""),46055.0)</f>
        <v>46055</v>
      </c>
      <c r="AF1708" s="54"/>
      <c r="AG1708" s="54"/>
      <c r="AH1708" s="54"/>
      <c r="AI1708" s="55" t="str">
        <f>IF(OR(R1708="",AE1708=""),"",R1708-AE1708)</f>
        <v/>
      </c>
      <c r="AW1708" s="234"/>
      <c r="BP1708" s="11"/>
      <c r="BQ1708" s="11"/>
      <c r="BR1708" s="235"/>
      <c r="BV1708" s="158"/>
      <c r="BY1708" s="158"/>
      <c r="CB1708" s="158"/>
    </row>
    <row r="1709" ht="18.0" customHeight="1">
      <c r="A1709" s="222">
        <f>IFERROR(__xludf.DUMMYFUNCTION("""COMPUTED_VALUE"""),2026.0)</f>
        <v>2026</v>
      </c>
      <c r="B1709" s="221">
        <f>IFERROR(__xludf.DUMMYFUNCTION("""COMPUTED_VALUE"""),1.2082166E7)</f>
        <v>12082166</v>
      </c>
      <c r="C1709" s="222" t="str">
        <f>IFERROR(__xludf.DUMMYFUNCTION("""COMPUTED_VALUE"""),"RDR JPP PT3 JL. PIPA AIR BERSIH")</f>
        <v>RDR JPP PT3 JL. PIPA AIR BERSIH</v>
      </c>
      <c r="D1709" s="222" t="str">
        <f>IFERROR(__xludf.DUMMYFUNCTION("""COMPUTED_VALUE"""),"REGIONAL I")</f>
        <v>REGIONAL I</v>
      </c>
      <c r="E1709" s="222" t="str">
        <f>IFERROR(__xludf.DUMMYFUNCTION("""COMPUTED_VALUE"""),"RIDAR")</f>
        <v>RIDAR</v>
      </c>
      <c r="F1709" s="222" t="str">
        <f>IFERROR(__xludf.DUMMYFUNCTION("""COMPUTED_VALUE"""),"DRI")</f>
        <v>DRI</v>
      </c>
      <c r="G1709" s="222" t="str">
        <f>IFERROR(__xludf.DUMMYFUNCTION("""COMPUTED_VALUE"""),"SUMBAGTENG")</f>
        <v>SUMBAGTENG</v>
      </c>
      <c r="H1709" s="222" t="str">
        <f>IFERROR(__xludf.DUMMYFUNCTION("""COMPUTED_VALUE"""),"DUMAI")</f>
        <v>DUMAI</v>
      </c>
      <c r="I1709" s="222" t="str">
        <f>IFERROR(__xludf.DUMMYFUNCTION("""COMPUTED_VALUE"""),"Batch 2")</f>
        <v>Batch 2</v>
      </c>
      <c r="J1709" s="225">
        <f>IFERROR(__xludf.DUMMYFUNCTION("""COMPUTED_VALUE"""),12.0)</f>
        <v>12</v>
      </c>
      <c r="K1709" s="224">
        <f>IFERROR(__xludf.DUMMYFUNCTION("""COMPUTED_VALUE"""),192.0)</f>
        <v>192</v>
      </c>
      <c r="L1709" s="226">
        <f>IFERROR(__xludf.DUMMYFUNCTION("""COMPUTED_VALUE"""),537753.0)</f>
        <v>537753</v>
      </c>
      <c r="M1709" s="227">
        <f>IFERROR(__xludf.DUMMYFUNCTION("""COMPUTED_VALUE"""),1.03248429E8)</f>
        <v>103248429</v>
      </c>
      <c r="N1709" s="222" t="str">
        <f>IFERROR(__xludf.DUMMYFUNCTION("""COMPUTED_VALUE"""),"PT ACERO CETHA METALINDO")</f>
        <v>PT ACERO CETHA METALINDO</v>
      </c>
      <c r="O1709" s="222" t="str">
        <f>IFERROR(__xludf.DUMMYFUNCTION("""COMPUTED_VALUE"""),"7. GOLIVE")</f>
        <v>7. GOLIVE</v>
      </c>
      <c r="P1709" s="222" t="str">
        <f>IFERROR(__xludf.DUMMYFUNCTION("""COMPUTED_VALUE"""),"7.2 Golive Full / OA / DONE OTB")</f>
        <v>7.2 Golive Full / OA / DONE OTB</v>
      </c>
      <c r="Q1709" s="222" t="str">
        <f>IFERROR(__xludf.DUMMYFUNCTION("""COMPUTED_VALUE"""),"20/02 Plan submit ABD 22 Feb 12/02 Proses Valins 29/01 Penarikan kabel (08/01) kendala feeder penuh, proses eval (07/01) Persiapan")</f>
        <v>20/02 Plan submit ABD 22 Feb 12/02 Proses Valins 29/01 Penarikan kabel (08/01) kendala feeder penuh, proses eval (07/01) Persiapan</v>
      </c>
      <c r="R1709" s="228">
        <f>IFERROR(__xludf.DUMMYFUNCTION("""COMPUTED_VALUE"""),46065.0)</f>
        <v>46065</v>
      </c>
      <c r="S1709" s="11"/>
      <c r="T1709" s="11"/>
      <c r="U1709" s="11" t="str">
        <f>IFERROR(__xludf.DUMMYFUNCTION("""COMPUTED_VALUE"""),"W08-1658/2025")</f>
        <v>W08-1658/2025</v>
      </c>
      <c r="V1709" s="229" t="str">
        <f>IFERROR(__xludf.DUMMYFUNCTION("""COMPUTED_VALUE"""),"ONDI EKA SAPUTRA")</f>
        <v>ONDI EKA SAPUTRA</v>
      </c>
      <c r="W1709" s="229" t="str">
        <f>IFERROR(__xludf.DUMMYFUNCTION("""COMPUTED_VALUE"""),"DESLITA RAHMADANI")</f>
        <v>DESLITA RAHMADANI</v>
      </c>
      <c r="X1709" s="229" t="str">
        <f>IFERROR(__xludf.DUMMYFUNCTION("""COMPUTED_VALUE"""),"GOLIVE")</f>
        <v>GOLIVE</v>
      </c>
      <c r="Y1709" s="229" t="str">
        <f>IFERROR(__xludf.DUMMYFUNCTION("""COMPUTED_VALUE"""),"DONE")</f>
        <v>DONE</v>
      </c>
      <c r="Z1709" s="229" t="str">
        <f>IFERROR(__xludf.DUMMYFUNCTION("""COMPUTED_VALUE"""),"#N/A")</f>
        <v>#N/A</v>
      </c>
      <c r="AA1709" s="229">
        <f>IFERROR(__xludf.DUMMYFUNCTION("""COMPUTED_VALUE"""),12.0)</f>
        <v>12</v>
      </c>
      <c r="AB1709" s="229"/>
      <c r="AC1709" s="229" t="str">
        <f>IFERROR(__xludf.DUMMYFUNCTION("""COMPUTED_VALUE"""),"9150020#9150025")</f>
        <v>9150020#9150025</v>
      </c>
      <c r="AD1709" s="232">
        <f>IFERROR(__xludf.DUMMYFUNCTION("""COMPUTED_VALUE"""),96.0)</f>
        <v>96</v>
      </c>
      <c r="AE1709" s="233">
        <f>IFERROR(__xludf.DUMMYFUNCTION("""COMPUTED_VALUE"""),46079.0)</f>
        <v>46079</v>
      </c>
      <c r="AF1709" s="54"/>
      <c r="AG1709" s="54"/>
      <c r="AH1709" s="54">
        <v>46065.0</v>
      </c>
      <c r="AI1709" s="55">
        <f>IF(OR(AH1709="",AE1709=""),"",AH1709-AE1709)</f>
        <v>-14</v>
      </c>
      <c r="AW1709" s="234"/>
      <c r="BP1709" s="11"/>
      <c r="BQ1709" s="11"/>
      <c r="BR1709" s="235"/>
      <c r="BV1709" s="158"/>
      <c r="BY1709" s="158"/>
      <c r="CB1709" s="158"/>
    </row>
    <row r="1710" ht="18.0" customHeight="1">
      <c r="A1710" s="222">
        <f>IFERROR(__xludf.DUMMYFUNCTION("""COMPUTED_VALUE"""),2026.0)</f>
        <v>2026</v>
      </c>
      <c r="B1710" s="221">
        <f>IFERROR(__xludf.DUMMYFUNCTION("""COMPUTED_VALUE"""),1.1290082E7)</f>
        <v>11290082</v>
      </c>
      <c r="C1710" s="222" t="str">
        <f>IFERROR(__xludf.DUMMYFUNCTION("""COMPUTED_VALUE"""),"SMB MD SOLOK_13100")</f>
        <v>SMB MD SOLOK_13100</v>
      </c>
      <c r="D1710" s="222" t="str">
        <f>IFERROR(__xludf.DUMMYFUNCTION("""COMPUTED_VALUE"""),"REGIONAL I")</f>
        <v>REGIONAL I</v>
      </c>
      <c r="E1710" s="222" t="str">
        <f>IFERROR(__xludf.DUMMYFUNCTION("""COMPUTED_VALUE"""),"SUMBAR")</f>
        <v>SUMBAR</v>
      </c>
      <c r="F1710" s="222" t="str">
        <f>IFERROR(__xludf.DUMMYFUNCTION("""COMPUTED_VALUE"""),"TLN")</f>
        <v>TLN</v>
      </c>
      <c r="G1710" s="222" t="str">
        <f>IFERROR(__xludf.DUMMYFUNCTION("""COMPUTED_VALUE"""),"SUMBAGTENG")</f>
        <v>SUMBAGTENG</v>
      </c>
      <c r="H1710" s="222" t="str">
        <f>IFERROR(__xludf.DUMMYFUNCTION("""COMPUTED_VALUE"""),"PADANG")</f>
        <v>PADANG</v>
      </c>
      <c r="I1710" s="222" t="str">
        <f>IFERROR(__xludf.DUMMYFUNCTION("""COMPUTED_VALUE"""),"Batch 2")</f>
        <v>Batch 2</v>
      </c>
      <c r="J1710" s="225">
        <f>IFERROR(__xludf.DUMMYFUNCTION("""COMPUTED_VALUE"""),4.0)</f>
        <v>4</v>
      </c>
      <c r="K1710" s="224">
        <f>IFERROR(__xludf.DUMMYFUNCTION("""COMPUTED_VALUE"""),32.0)</f>
        <v>32</v>
      </c>
      <c r="L1710" s="226">
        <f>IFERROR(__xludf.DUMMYFUNCTION("""COMPUTED_VALUE"""),447298.0)</f>
        <v>447298</v>
      </c>
      <c r="M1710" s="227">
        <f>IFERROR(__xludf.DUMMYFUNCTION("""COMPUTED_VALUE"""),1.4313525E7)</f>
        <v>14313525</v>
      </c>
      <c r="N1710" s="222" t="str">
        <f>IFERROR(__xludf.DUMMYFUNCTION("""COMPUTED_VALUE"""),"PT TRI PENAMAS")</f>
        <v>PT TRI PENAMAS</v>
      </c>
      <c r="O1710" s="222" t="str">
        <f>IFERROR(__xludf.DUMMYFUNCTION("""COMPUTED_VALUE"""),"0. DROP")</f>
        <v>0. DROP</v>
      </c>
      <c r="P1710" s="222" t="str">
        <f>IFERROR(__xludf.DUMMYFUNCTION("""COMPUTED_VALUE"""),"0.3 Feeder Full")</f>
        <v>0.3 Feeder Full</v>
      </c>
      <c r="Q1710" s="222" t="str">
        <f>IFERROR(__xludf.DUMMYFUNCTION("""COMPUTED_VALUE"""),"(26/01) PKENDALA FEEDER TLN-FC FULL")</f>
        <v>(26/01) PKENDALA FEEDER TLN-FC FULL</v>
      </c>
      <c r="R1710" s="228"/>
      <c r="S1710" s="11"/>
      <c r="T1710" s="11"/>
      <c r="U1710" s="11"/>
      <c r="V1710" s="229"/>
      <c r="W1710" s="229"/>
      <c r="X1710" s="229" t="str">
        <f>IFERROR(__xludf.DUMMYFUNCTION("""COMPUTED_VALUE"""),"BELUM GOLIVE")</f>
        <v>BELUM GOLIVE</v>
      </c>
      <c r="Y1710" s="229"/>
      <c r="Z1710" s="229" t="str">
        <f>IFERROR(__xludf.DUMMYFUNCTION("""COMPUTED_VALUE"""),"#N/A")</f>
        <v>#N/A</v>
      </c>
      <c r="AA1710" s="229"/>
      <c r="AB1710" s="229"/>
      <c r="AC1710" s="229"/>
      <c r="AD1710" s="232"/>
      <c r="AE1710" s="233"/>
      <c r="AF1710" s="54" t="str">
        <f>IFERROR(__xludf.DUMMYFUNCTION("""COMPUTED_VALUE"""),"Draft BA DROP")</f>
        <v>Draft BA DROP</v>
      </c>
      <c r="AG1710" s="54"/>
      <c r="AH1710" s="54"/>
      <c r="AI1710" s="55" t="str">
        <f t="shared" ref="AI1710:AI1711" si="168">IF(OR(R1710="",AE1710=""),"",R1710-AE1710)</f>
        <v/>
      </c>
      <c r="AW1710" s="234"/>
      <c r="BP1710" s="11"/>
      <c r="BQ1710" s="11"/>
      <c r="BR1710" s="235"/>
      <c r="BV1710" s="158"/>
      <c r="BY1710" s="158"/>
      <c r="CB1710" s="158"/>
    </row>
    <row r="1711" ht="18.0" customHeight="1">
      <c r="A1711" s="222">
        <f>IFERROR(__xludf.DUMMYFUNCTION("""COMPUTED_VALUE"""),2026.0)</f>
        <v>2026</v>
      </c>
      <c r="B1711" s="221">
        <f>IFERROR(__xludf.DUMMYFUNCTION("""COMPUTED_VALUE"""),1.2101649E7)</f>
        <v>12101649</v>
      </c>
      <c r="C1711" s="222" t="str">
        <f>IFERROR(__xludf.DUMMYFUNCTION("""COMPUTED_VALUE"""),"RDR JPP PT3 TAMBAHAN UBT FAA2")</f>
        <v>RDR JPP PT3 TAMBAHAN UBT FAA2</v>
      </c>
      <c r="D1711" s="222" t="str">
        <f>IFERROR(__xludf.DUMMYFUNCTION("""COMPUTED_VALUE"""),"REGIONAL I")</f>
        <v>REGIONAL I</v>
      </c>
      <c r="E1711" s="222" t="str">
        <f>IFERROR(__xludf.DUMMYFUNCTION("""COMPUTED_VALUE"""),"RIDAR")</f>
        <v>RIDAR</v>
      </c>
      <c r="F1711" s="222" t="str">
        <f>IFERROR(__xludf.DUMMYFUNCTION("""COMPUTED_VALUE"""),"UBT")</f>
        <v>UBT</v>
      </c>
      <c r="G1711" s="222" t="str">
        <f>IFERROR(__xludf.DUMMYFUNCTION("""COMPUTED_VALUE"""),"SUMBAGTENG")</f>
        <v>SUMBAGTENG</v>
      </c>
      <c r="H1711" s="222" t="str">
        <f>IFERROR(__xludf.DUMMYFUNCTION("""COMPUTED_VALUE"""),"DUMAI")</f>
        <v>DUMAI</v>
      </c>
      <c r="I1711" s="222" t="str">
        <f>IFERROR(__xludf.DUMMYFUNCTION("""COMPUTED_VALUE"""),"Batch 2")</f>
        <v>Batch 2</v>
      </c>
      <c r="J1711" s="225">
        <f>IFERROR(__xludf.DUMMYFUNCTION("""COMPUTED_VALUE"""),8.0)</f>
        <v>8</v>
      </c>
      <c r="K1711" s="224">
        <f>IFERROR(__xludf.DUMMYFUNCTION("""COMPUTED_VALUE"""),64.0)</f>
        <v>64</v>
      </c>
      <c r="L1711" s="226">
        <f>IFERROR(__xludf.DUMMYFUNCTION("""COMPUTED_VALUE"""),835532.0)</f>
        <v>835532</v>
      </c>
      <c r="M1711" s="227">
        <f>IFERROR(__xludf.DUMMYFUNCTION("""COMPUTED_VALUE"""),5.3473987E7)</f>
        <v>53473987</v>
      </c>
      <c r="N1711" s="222" t="str">
        <f>IFERROR(__xludf.DUMMYFUNCTION("""COMPUTED_VALUE"""),"PT ALAM UTAMA MULIA")</f>
        <v>PT ALAM UTAMA MULIA</v>
      </c>
      <c r="O1711" s="222" t="str">
        <f>IFERROR(__xludf.DUMMYFUNCTION("""COMPUTED_VALUE"""),"0. DROP")</f>
        <v>0. DROP</v>
      </c>
      <c r="P1711" s="222" t="str">
        <f>IFERROR(__xludf.DUMMYFUNCTION("""COMPUTED_VALUE"""),"0.2 Tidak Dapat Izin Warga/Kades/Lurah/Developer")</f>
        <v>0.2 Tidak Dapat Izin Warga/Kades/Lurah/Developer</v>
      </c>
      <c r="Q1711" s="222" t="str">
        <f>IFERROR(__xludf.DUMMYFUNCTION("""COMPUTED_VALUE"""),"20/01 Tidak dapat izin RT/RW (07/01) Persiapan")</f>
        <v>20/01 Tidak dapat izin RT/RW (07/01) Persiapan</v>
      </c>
      <c r="R1711" s="228"/>
      <c r="S1711" s="11"/>
      <c r="T1711" s="11"/>
      <c r="U1711" s="11"/>
      <c r="V1711" s="229" t="str">
        <f>IFERROR(__xludf.DUMMYFUNCTION("""COMPUTED_VALUE"""),"ADIL WAHYUDI")</f>
        <v>ADIL WAHYUDI</v>
      </c>
      <c r="W1711" s="229" t="str">
        <f>IFERROR(__xludf.DUMMYFUNCTION("""COMPUTED_VALUE"""),"ANZALA SAKINAH")</f>
        <v>ANZALA SAKINAH</v>
      </c>
      <c r="X1711" s="229" t="str">
        <f>IFERROR(__xludf.DUMMYFUNCTION("""COMPUTED_VALUE"""),"BELUM GOLIVE")</f>
        <v>BELUM GOLIVE</v>
      </c>
      <c r="Y1711" s="229"/>
      <c r="Z1711" s="229" t="str">
        <f>IFERROR(__xludf.DUMMYFUNCTION("""COMPUTED_VALUE"""),"#N/A")</f>
        <v>#N/A</v>
      </c>
      <c r="AA1711" s="229"/>
      <c r="AB1711" s="229"/>
      <c r="AC1711" s="229"/>
      <c r="AD1711" s="232"/>
      <c r="AE1711" s="233"/>
      <c r="AF1711" s="54" t="str">
        <f>IFERROR(__xludf.DUMMYFUNCTION("""COMPUTED_VALUE"""),"Draft BA DROP")</f>
        <v>Draft BA DROP</v>
      </c>
      <c r="AG1711" s="54"/>
      <c r="AH1711" s="54"/>
      <c r="AI1711" s="55" t="str">
        <f t="shared" si="168"/>
        <v/>
      </c>
      <c r="AW1711" s="234"/>
      <c r="BP1711" s="11"/>
      <c r="BQ1711" s="11"/>
      <c r="BR1711" s="235"/>
      <c r="BV1711" s="158"/>
      <c r="BY1711" s="158"/>
      <c r="CB1711" s="158"/>
    </row>
    <row r="1712" ht="18.0" customHeight="1">
      <c r="A1712" s="222">
        <f>IFERROR(__xludf.DUMMYFUNCTION("""COMPUTED_VALUE"""),2026.0)</f>
        <v>2026</v>
      </c>
      <c r="B1712" s="221">
        <f>IFERROR(__xludf.DUMMYFUNCTION("""COMPUTED_VALUE"""),1.2082003E7)</f>
        <v>12082003</v>
      </c>
      <c r="C1712" s="222" t="str">
        <f>IFERROR(__xludf.DUMMYFUNCTION("""COMPUTED_VALUE"""),"RDR JPP PT3 DRI FKC Full")</f>
        <v>RDR JPP PT3 DRI FKC Full</v>
      </c>
      <c r="D1712" s="222" t="str">
        <f>IFERROR(__xludf.DUMMYFUNCTION("""COMPUTED_VALUE"""),"REGIONAL I")</f>
        <v>REGIONAL I</v>
      </c>
      <c r="E1712" s="222" t="str">
        <f>IFERROR(__xludf.DUMMYFUNCTION("""COMPUTED_VALUE"""),"RIDAR")</f>
        <v>RIDAR</v>
      </c>
      <c r="F1712" s="222" t="str">
        <f>IFERROR(__xludf.DUMMYFUNCTION("""COMPUTED_VALUE"""),"DRI")</f>
        <v>DRI</v>
      </c>
      <c r="G1712" s="222" t="str">
        <f>IFERROR(__xludf.DUMMYFUNCTION("""COMPUTED_VALUE"""),"SUMBAGTENG")</f>
        <v>SUMBAGTENG</v>
      </c>
      <c r="H1712" s="222" t="str">
        <f>IFERROR(__xludf.DUMMYFUNCTION("""COMPUTED_VALUE"""),"DUMAI")</f>
        <v>DUMAI</v>
      </c>
      <c r="I1712" s="222" t="str">
        <f>IFERROR(__xludf.DUMMYFUNCTION("""COMPUTED_VALUE"""),"Batch 2")</f>
        <v>Batch 2</v>
      </c>
      <c r="J1712" s="225">
        <f>IFERROR(__xludf.DUMMYFUNCTION("""COMPUTED_VALUE"""),11.0)</f>
        <v>11</v>
      </c>
      <c r="K1712" s="224">
        <f>IFERROR(__xludf.DUMMYFUNCTION("""COMPUTED_VALUE"""),88.0)</f>
        <v>88</v>
      </c>
      <c r="L1712" s="226">
        <f>IFERROR(__xludf.DUMMYFUNCTION("""COMPUTED_VALUE"""),943317.0)</f>
        <v>943317</v>
      </c>
      <c r="M1712" s="227">
        <f>IFERROR(__xludf.DUMMYFUNCTION("""COMPUTED_VALUE"""),8.301188E7)</f>
        <v>83011880</v>
      </c>
      <c r="N1712" s="222" t="str">
        <f>IFERROR(__xludf.DUMMYFUNCTION("""COMPUTED_VALUE"""),"PT ACERO CETHA METALINDO")</f>
        <v>PT ACERO CETHA METALINDO</v>
      </c>
      <c r="O1712" s="222" t="str">
        <f>IFERROR(__xludf.DUMMYFUNCTION("""COMPUTED_VALUE"""),"0. DROP")</f>
        <v>0. DROP</v>
      </c>
      <c r="P1712" s="222" t="str">
        <f>IFERROR(__xludf.DUMMYFUNCTION("""COMPUTED_VALUE"""),"0.2 Tidak Dapat Izin Warga/Kades/Lurah/Developer")</f>
        <v>0.2 Tidak Dapat Izin Warga/Kades/Lurah/Developer</v>
      </c>
      <c r="Q1712" s="222" t="str">
        <f>IFERROR(__xludf.DUMMYFUNCTION("""COMPUTED_VALUE"""),"08/04 Feeder Full 09/02 Antrian Review 29/01 Menunggu kelengkapan hasil anwidzing 21/01 Terget selesai survey 24 Jan (07/01) Persiapan")</f>
        <v>08/04 Feeder Full 09/02 Antrian Review 29/01 Menunggu kelengkapan hasil anwidzing 21/01 Terget selesai survey 24 Jan (07/01) Persiapan</v>
      </c>
      <c r="R1712" s="228"/>
      <c r="S1712" s="11"/>
      <c r="T1712" s="11"/>
      <c r="U1712" s="11" t="str">
        <f>IFERROR(__xludf.DUMMYFUNCTION("""COMPUTED_VALUE"""),"W08-1650/2025")</f>
        <v>W08-1650/2025</v>
      </c>
      <c r="V1712" s="229" t="str">
        <f>IFERROR(__xludf.DUMMYFUNCTION("""COMPUTED_VALUE"""),"ONDI EKA SAPUTRA")</f>
        <v>ONDI EKA SAPUTRA</v>
      </c>
      <c r="W1712" s="229" t="str">
        <f>IFERROR(__xludf.DUMMYFUNCTION("""COMPUTED_VALUE"""),"DESLITA RAHMADANI")</f>
        <v>DESLITA RAHMADANI</v>
      </c>
      <c r="X1712" s="229" t="str">
        <f>IFERROR(__xludf.DUMMYFUNCTION("""COMPUTED_VALUE"""),"BELUM GOLIVE")</f>
        <v>BELUM GOLIVE</v>
      </c>
      <c r="Y1712" s="229"/>
      <c r="Z1712" s="229" t="str">
        <f>IFERROR(__xludf.DUMMYFUNCTION("""COMPUTED_VALUE"""),"#N/A")</f>
        <v>#N/A</v>
      </c>
      <c r="AA1712" s="229"/>
      <c r="AB1712" s="229"/>
      <c r="AC1712" s="229"/>
      <c r="AD1712" s="232"/>
      <c r="AE1712" s="233"/>
      <c r="AF1712" s="54" t="str">
        <f>IFERROR(__xludf.DUMMYFUNCTION("""COMPUTED_VALUE"""),"Draft BA DROP")</f>
        <v>Draft BA DROP</v>
      </c>
      <c r="AG1712" s="54"/>
      <c r="AH1712" s="54">
        <v>46130.0</v>
      </c>
      <c r="AI1712" s="237">
        <f>AH1712-NOW()</f>
        <v>-10.37798993</v>
      </c>
      <c r="AJ1712" s="229" t="str">
        <f t="shared" ref="AJ1712:AJ1714" si="169">if(AI1712&gt;=0,"In Komitmen","Out Komitmen")</f>
        <v>Out Komitmen</v>
      </c>
      <c r="AW1712" s="234"/>
      <c r="BP1712" s="11"/>
      <c r="BQ1712" s="11"/>
      <c r="BR1712" s="235"/>
      <c r="BV1712" s="158"/>
      <c r="BY1712" s="158"/>
      <c r="CB1712" s="158"/>
    </row>
    <row r="1713" ht="18.0" customHeight="1">
      <c r="A1713" s="222">
        <f>IFERROR(__xludf.DUMMYFUNCTION("""COMPUTED_VALUE"""),2026.0)</f>
        <v>2026</v>
      </c>
      <c r="B1713" s="221">
        <f>IFERROR(__xludf.DUMMYFUNCTION("""COMPUTED_VALUE"""),1.2082056E7)</f>
        <v>12082056</v>
      </c>
      <c r="C1713" s="222" t="str">
        <f>IFERROR(__xludf.DUMMYFUNCTION("""COMPUTED_VALUE"""),"RDR JPP PT3 P1 KHAYANGAN REVISIAN")</f>
        <v>RDR JPP PT3 P1 KHAYANGAN REVISIAN</v>
      </c>
      <c r="D1713" s="222" t="str">
        <f>IFERROR(__xludf.DUMMYFUNCTION("""COMPUTED_VALUE"""),"REGIONAL I")</f>
        <v>REGIONAL I</v>
      </c>
      <c r="E1713" s="222" t="str">
        <f>IFERROR(__xludf.DUMMYFUNCTION("""COMPUTED_VALUE"""),"RIDAR")</f>
        <v>RIDAR</v>
      </c>
      <c r="F1713" s="222" t="str">
        <f>IFERROR(__xludf.DUMMYFUNCTION("""COMPUTED_VALUE"""),"DRI")</f>
        <v>DRI</v>
      </c>
      <c r="G1713" s="222" t="str">
        <f>IFERROR(__xludf.DUMMYFUNCTION("""COMPUTED_VALUE"""),"SUMBAGTENG")</f>
        <v>SUMBAGTENG</v>
      </c>
      <c r="H1713" s="222" t="str">
        <f>IFERROR(__xludf.DUMMYFUNCTION("""COMPUTED_VALUE"""),"DUMAI")</f>
        <v>DUMAI</v>
      </c>
      <c r="I1713" s="222" t="str">
        <f>IFERROR(__xludf.DUMMYFUNCTION("""COMPUTED_VALUE"""),"Batch 2")</f>
        <v>Batch 2</v>
      </c>
      <c r="J1713" s="225">
        <f>IFERROR(__xludf.DUMMYFUNCTION("""COMPUTED_VALUE"""),24.0)</f>
        <v>24</v>
      </c>
      <c r="K1713" s="224">
        <f>IFERROR(__xludf.DUMMYFUNCTION("""COMPUTED_VALUE"""),192.0)</f>
        <v>192</v>
      </c>
      <c r="L1713" s="226">
        <f>IFERROR(__xludf.DUMMYFUNCTION("""COMPUTED_VALUE"""),764495.0)</f>
        <v>764495</v>
      </c>
      <c r="M1713" s="227">
        <f>IFERROR(__xludf.DUMMYFUNCTION("""COMPUTED_VALUE"""),1.46782886E8)</f>
        <v>146782886</v>
      </c>
      <c r="N1713" s="222" t="str">
        <f>IFERROR(__xludf.DUMMYFUNCTION("""COMPUTED_VALUE"""),"PT ACERO CETHA METALINDO")</f>
        <v>PT ACERO CETHA METALINDO</v>
      </c>
      <c r="O1713" s="222" t="str">
        <f>IFERROR(__xludf.DUMMYFUNCTION("""COMPUTED_VALUE"""),"5. INSTALASI")</f>
        <v>5. INSTALASI</v>
      </c>
      <c r="P1713" s="222" t="str">
        <f>IFERROR(__xludf.DUMMYFUNCTION("""COMPUTED_VALUE"""),"5.5 Proses Penanaman Tiang - Paralel Comcase/Perjinan PU")</f>
        <v>5.5 Proses Penanaman Tiang - Paralel Comcase/Perjinan PU</v>
      </c>
      <c r="Q1713" s="222" t="str">
        <f>IFERROR(__xludf.DUMMYFUNCTION("""COMPUTED_VALUE"""),"20/04 Pengurusan izin tanam tiang, karena di stop oleh warga setempat 13/04 Penanaman tiang terkendala comcase, sudah di follow up ke tim Tsel 06/04 Penanaman tiang 27/03 Pekerjaan mulai progres senin 30 Mar 16/03 Pekerjaan dilanjut setelah RAFI 05/03 Men"&amp;"unggu PO Kabel ADSS sampai di WH Pekanbaru 18/02 Sudah review, menunggu eskalasi terkait kenaikan nilai 09/02 Antrian Review 29/01 Menunggu kelengkapan hasil anwidzing 21/01 Terget selesai survey 24 Jan (07/01) Persiapan")</f>
        <v>20/04 Pengurusan izin tanam tiang, karena di stop oleh warga setempat 13/04 Penanaman tiang terkendala comcase, sudah di follow up ke tim Tsel 06/04 Penanaman tiang 27/03 Pekerjaan mulai progres senin 30 Mar 16/03 Pekerjaan dilanjut setelah RAFI 05/03 Menunggu PO Kabel ADSS sampai di WH Pekanbaru 18/02 Sudah review, menunggu eskalasi terkait kenaikan nilai 09/02 Antrian Review 29/01 Menunggu kelengkapan hasil anwidzing 21/01 Terget selesai survey 24 Jan (07/01) Persiapan</v>
      </c>
      <c r="R1713" s="228"/>
      <c r="S1713" s="11"/>
      <c r="T1713" s="73"/>
      <c r="U1713" s="11" t="str">
        <f>IFERROR(__xludf.DUMMYFUNCTION("""COMPUTED_VALUE"""),"W08-1661/2025")</f>
        <v>W08-1661/2025</v>
      </c>
      <c r="V1713" s="229" t="str">
        <f>IFERROR(__xludf.DUMMYFUNCTION("""COMPUTED_VALUE"""),"ONDI EKA SAPUTRA")</f>
        <v>ONDI EKA SAPUTRA</v>
      </c>
      <c r="W1713" s="229" t="str">
        <f>IFERROR(__xludf.DUMMYFUNCTION("""COMPUTED_VALUE"""),"DESLITA RAHMADANI")</f>
        <v>DESLITA RAHMADANI</v>
      </c>
      <c r="X1713" s="229" t="str">
        <f>IFERROR(__xludf.DUMMYFUNCTION("""COMPUTED_VALUE"""),"BELUM GOLIVE")</f>
        <v>BELUM GOLIVE</v>
      </c>
      <c r="Y1713" s="229"/>
      <c r="Z1713" s="229" t="str">
        <f>IFERROR(__xludf.DUMMYFUNCTION("""COMPUTED_VALUE"""),"#N/A")</f>
        <v>#N/A</v>
      </c>
      <c r="AA1713" s="229"/>
      <c r="AB1713" s="229"/>
      <c r="AC1713" s="229"/>
      <c r="AD1713" s="232"/>
      <c r="AE1713" s="233"/>
      <c r="AF1713" s="54"/>
      <c r="AG1713" s="54"/>
      <c r="AH1713" s="54">
        <v>46130.0</v>
      </c>
      <c r="AI1713" s="55">
        <f>AH1713-TODAY()</f>
        <v>-10</v>
      </c>
      <c r="AJ1713" s="229" t="str">
        <f t="shared" si="169"/>
        <v>Out Komitmen</v>
      </c>
      <c r="AK1713" s="231" t="s">
        <v>199</v>
      </c>
      <c r="AW1713" s="234"/>
      <c r="BP1713" s="11"/>
      <c r="BQ1713" s="11"/>
      <c r="BR1713" s="235"/>
      <c r="BV1713" s="158"/>
      <c r="BY1713" s="158"/>
      <c r="CB1713" s="158"/>
    </row>
    <row r="1714" ht="18.0" hidden="1" customHeight="1">
      <c r="A1714" s="222">
        <f>IFERROR(__xludf.DUMMYFUNCTION("""COMPUTED_VALUE"""),2026.0)</f>
        <v>2026</v>
      </c>
      <c r="B1714" s="221">
        <f>IFERROR(__xludf.DUMMYFUNCTION("""COMPUTED_VALUE"""),1.2133075E7)</f>
        <v>12133075</v>
      </c>
      <c r="C1714" s="222" t="str">
        <f>IFERROR(__xludf.DUMMYFUNCTION("""COMPUTED_VALUE"""),"SMU PT3 PRA-FAE CLUST ASAHAN_150590")</f>
        <v>SMU PT3 PRA-FAE CLUST ASAHAN_150590</v>
      </c>
      <c r="D1714" s="222" t="str">
        <f>IFERROR(__xludf.DUMMYFUNCTION("""COMPUTED_VALUE"""),"REGIONAL I")</f>
        <v>REGIONAL I</v>
      </c>
      <c r="E1714" s="222" t="str">
        <f>IFERROR(__xludf.DUMMYFUNCTION("""COMPUTED_VALUE"""),"SUMUT")</f>
        <v>SUMUT</v>
      </c>
      <c r="F1714" s="222" t="str">
        <f>IFERROR(__xludf.DUMMYFUNCTION("""COMPUTED_VALUE"""),"PRA")</f>
        <v>PRA</v>
      </c>
      <c r="G1714" s="222" t="str">
        <f>IFERROR(__xludf.DUMMYFUNCTION("""COMPUTED_VALUE"""),"SUMBAGUT")</f>
        <v>SUMBAGUT</v>
      </c>
      <c r="H1714" s="222" t="str">
        <f>IFERROR(__xludf.DUMMYFUNCTION("""COMPUTED_VALUE"""),"RANTAU PRAPAT")</f>
        <v>RANTAU PRAPAT</v>
      </c>
      <c r="I1714" s="222" t="str">
        <f>IFERROR(__xludf.DUMMYFUNCTION("""COMPUTED_VALUE"""),"Batch 2")</f>
        <v>Batch 2</v>
      </c>
      <c r="J1714" s="225">
        <f>IFERROR(__xludf.DUMMYFUNCTION("""COMPUTED_VALUE"""),8.0)</f>
        <v>8</v>
      </c>
      <c r="K1714" s="224">
        <f>IFERROR(__xludf.DUMMYFUNCTION("""COMPUTED_VALUE"""),64.0)</f>
        <v>64</v>
      </c>
      <c r="L1714" s="226">
        <f>IFERROR(__xludf.DUMMYFUNCTION("""COMPUTED_VALUE"""),446013.0)</f>
        <v>446013</v>
      </c>
      <c r="M1714" s="227">
        <f>IFERROR(__xludf.DUMMYFUNCTION("""COMPUTED_VALUE"""),2.854477E7)</f>
        <v>28544770</v>
      </c>
      <c r="N1714" s="222" t="str">
        <f>IFERROR(__xludf.DUMMYFUNCTION("""COMPUTED_VALUE"""),"PT MITRA SETIA INDONESIA")</f>
        <v>PT MITRA SETIA INDONESIA</v>
      </c>
      <c r="O1714" s="222" t="str">
        <f>IFERROR(__xludf.DUMMYFUNCTION("""COMPUTED_VALUE"""),"6. FINISH INSTALASI")</f>
        <v>6. FINISH INSTALASI</v>
      </c>
      <c r="P1714" s="222" t="str">
        <f>IFERROR(__xludf.DUMMYFUNCTION("""COMPUTED_VALUE"""),"6.5 Proses Valins")</f>
        <v>6.5 Proses Valins</v>
      </c>
      <c r="Q1714" s="222" t="str">
        <f>IFERROR(__xludf.DUMMYFUNCTION("""COMPUTED_VALUE"""),"27/4 proses valins 8 odp , 23/4 tim partial di lop pra faf, 22/4 tim partial di lop pra faf, 21/4 team partial di lop pra faf, 20/4 team partial di lop pra faf, 14/4 team partial di lop set faa, 13/4 team partial di lop set faa, 9/4 team partial di lop se"&amp;"t faa, 8/4 team turun kelokasi 11 april setesalh lop pra faf selesai, 6/4 team turun kelokasi 11 april setesalh lop pra faf selesai, 5/4 plan progres setlah kis fbg selesa,  (estimasi paling lambat hari rabu tgl 1 april kalau tim tidak turun lop di alihka"&amp;"n ke mitra lain), 1/4 plan progres setlah kis fbg selesa,  (estimasi paling lambat hari rabu tgl 1 april kalau tim tidak turun lop di alihkan ke mitra lain), 31/3 plan progres setlah kis fbg selesa,  (estimasi paling lambat hari rabu tgl 1 april kalau tim"&amp;" tidak turun lop di alihkan ke mitra lain), 30/3 plan progres setlah kis fbg selesa,  27/3 plan progres setlah kis fbg selesai, 26/3 prepair team untuk lanjut progres instalasi, 22/3 prepair team untuk lanjut progres instalasi, 18/3 plan progres setelah l"&amp;"ebaran, 16/3 plan progres setelah lebaran, 13/3 tim partial di lop kis-fbg, 11/3 tim partial di lop kis-fbg, 10/3 tim partial di lop kis-fbg, 6/3 prepair tim untuk pengambilan material ,4/3 prepair tim untuk pengambilan material, 3/3 prepair tim untuk pen"&amp;"gambilan material 2/3 proses req matrial mitra ,  27/2 plan fu kembali terkait izin desa senin 2 maret, 25/2 plan team besok 26 feb fu pengajuan izin ke desa ,24/2 plan team besok fu pengajuan izin ke desa ,23/2 prepair team untuk fu pengajuan izin ke des"&amp;"a , 20/2 prepair team untuk fu pengajuan izin ke desa 25 feb ,19/2 prepair team untuk pengajuan izin ke desa, 18/2 prepair team untuk pengajuan izin ke desa, 16/2 proses req matrial paralel pengantar izin desa, 13/2 proses req matrial paralel pengantar iz"&amp;"in desa, 12/2 proses req matrial paralel pengantar izin desa, 11/2 proses req matrial paralel pengantar izin desa, 10/2 proses req matrial paralel pengantar izin desa, 9/2 proses req matrial paralel pengantar izin desa, 6/2 menunggu boq kml survey, 5/2 me"&amp;"nunggu boq kml survey, 3/2 menunggu boq kml survey, 2/2 menunggu boq kml survey, 1/2 menunggu boq kml survey, 30/1 menunggu boq kml survey,   28/1 menunggu boq kml survey,  27/1 menunggu boq kml survey, 26/1 menunggu boq kml survey 23/1 ogp survey, 22/1 p"&amp;"lan survey 23/1 , 21/1 plan survey 22/1, 20/1 plan survey 21/1,19/1 plan survey 20/1,15/1 plan survey tanggal 20/1, 14/01 plan survey tanggal 21/01, 13/01 plan survey tanggal 21/01 (07/01) Persiapan")</f>
        <v>27/4 proses valins 8 odp , 23/4 tim partial di lop pra faf, 22/4 tim partial di lop pra faf, 21/4 team partial di lop pra faf, 20/4 team partial di lop pra faf, 14/4 team partial di lop set faa, 13/4 team partial di lop set faa, 9/4 team partial di lop set faa, 8/4 team turun kelokasi 11 april setesalh lop pra faf selesai, 6/4 team turun kelokasi 11 april setesalh lop pra faf selesai, 5/4 plan progres setlah kis fbg selesa,  (estimasi paling lambat hari rabu tgl 1 april kalau tim tidak turun lop di alihkan ke mitra lain), 1/4 plan progres setlah kis fbg selesa,  (estimasi paling lambat hari rabu tgl 1 april kalau tim tidak turun lop di alihkan ke mitra lain), 31/3 plan progres setlah kis fbg selesa,  (estimasi paling lambat hari rabu tgl 1 april kalau tim tidak turun lop di alihkan ke mitra lain), 30/3 plan progres setlah kis fbg selesa,  27/3 plan progres setlah kis fbg selesai, 26/3 prepair team untuk lanjut progres instalasi, 22/3 prepair team untuk lanjut progres instalasi, 18/3 plan progres setelah lebaran, 16/3 plan progres setelah lebaran, 13/3 tim partial di lop kis-fbg, 11/3 tim partial di lop kis-fbg, 10/3 tim partial di lop kis-fbg, 6/3 prepair tim untuk pengambilan material ,4/3 prepair tim untuk pengambilan material, 3/3 prepair tim untuk pengambilan material 2/3 proses req matrial mitra ,  27/2 plan fu kembali terkait izin desa senin 2 maret, 25/2 plan team besok 26 feb fu pengajuan izin ke desa ,24/2 plan team besok fu pengajuan izin ke desa ,23/2 prepair team untuk fu pengajuan izin ke desa , 20/2 prepair team untuk fu pengajuan izin ke desa 25 feb ,19/2 prepair team untuk pengajuan izin ke desa, 18/2 prepair team untuk pengajuan izin ke desa, 16/2 proses req matrial paralel pengantar izin desa, 13/2 proses req matrial paralel pengantar izin desa, 12/2 proses req matrial paralel pengantar izin desa, 11/2 proses req matrial paralel pengantar izin desa, 10/2 proses req matrial paralel pengantar izin desa, 9/2 proses req matrial paralel pengantar izin desa, 6/2 menunggu boq kml survey, 5/2 menunggu boq kml survey, 3/2 menunggu boq kml survey, 2/2 menunggu boq kml survey, 1/2 menunggu boq kml survey, 30/1 menunggu boq kml survey,   28/1 menunggu boq kml survey,  27/1 menunggu boq kml survey, 26/1 menunggu boq kml survey 23/1 ogp survey, 22/1 plan survey 23/1 , 21/1 plan survey 22/1, 20/1 plan survey 21/1,19/1 plan survey 20/1,15/1 plan survey tanggal 20/1, 14/01 plan survey tanggal 21/01, 13/01 plan survey tanggal 21/01 (07/01) Persiapan</v>
      </c>
      <c r="R1714" s="228">
        <f>IFERROR(__xludf.DUMMYFUNCTION("""COMPUTED_VALUE"""),46136.0)</f>
        <v>46136</v>
      </c>
      <c r="S1714" s="11" t="str">
        <f>IFERROR(__xludf.DUMMYFUNCTION("""COMPUTED_VALUE"""),"APR")</f>
        <v>APR</v>
      </c>
      <c r="T1714" s="73"/>
      <c r="U1714" s="11" t="str">
        <f>IFERROR(__xludf.DUMMYFUNCTION("""COMPUTED_VALUE"""),"W03-1612/2025")</f>
        <v>W03-1612/2025</v>
      </c>
      <c r="V1714" s="229"/>
      <c r="W1714" s="229" t="str">
        <f>IFERROR(__xludf.DUMMYFUNCTION("""COMPUTED_VALUE"""),"#N/A")</f>
        <v>#N/A</v>
      </c>
      <c r="X1714" s="229" t="str">
        <f>IFERROR(__xludf.DUMMYFUNCTION("""COMPUTED_VALUE"""),"BELUM GOLIVE")</f>
        <v>BELUM GOLIVE</v>
      </c>
      <c r="Y1714" s="229"/>
      <c r="Z1714" s="229" t="str">
        <f>IFERROR(__xludf.DUMMYFUNCTION("""COMPUTED_VALUE"""),"#N/A")</f>
        <v>#N/A</v>
      </c>
      <c r="AA1714" s="229"/>
      <c r="AB1714" s="229"/>
      <c r="AC1714" s="229"/>
      <c r="AD1714" s="232"/>
      <c r="AE1714" s="233"/>
      <c r="AF1714" s="54"/>
      <c r="AG1714" s="54"/>
      <c r="AH1714" s="54">
        <v>46140.0</v>
      </c>
      <c r="AI1714" s="237">
        <f>AH1714-NOW()</f>
        <v>-0.3779899306</v>
      </c>
      <c r="AJ1714" s="229" t="str">
        <f t="shared" si="169"/>
        <v>Out Komitmen</v>
      </c>
      <c r="AK1714" s="229" t="e">
        <v>#N/A</v>
      </c>
      <c r="AW1714" s="234"/>
      <c r="BP1714" s="11"/>
      <c r="BQ1714" s="11"/>
      <c r="BR1714" s="235"/>
      <c r="BV1714" s="158"/>
      <c r="BY1714" s="158"/>
      <c r="CB1714" s="158"/>
    </row>
    <row r="1715" ht="18.0" customHeight="1">
      <c r="A1715" s="222">
        <f>IFERROR(__xludf.DUMMYFUNCTION("""COMPUTED_VALUE"""),2026.0)</f>
        <v>2026</v>
      </c>
      <c r="B1715" s="221">
        <f>IFERROR(__xludf.DUMMYFUNCTION("""COMPUTED_VALUE"""),1.1525669E7)</f>
        <v>11525669</v>
      </c>
      <c r="C1715" s="222" t="str">
        <f>IFERROR(__xludf.DUMMYFUNCTION("""COMPUTED_VALUE"""),"RDR JPP PT4 RIAU_564")</f>
        <v>RDR JPP PT4 RIAU_564</v>
      </c>
      <c r="D1715" s="222" t="str">
        <f>IFERROR(__xludf.DUMMYFUNCTION("""COMPUTED_VALUE"""),"REGIONAL I")</f>
        <v>REGIONAL I</v>
      </c>
      <c r="E1715" s="222" t="str">
        <f>IFERROR(__xludf.DUMMYFUNCTION("""COMPUTED_VALUE"""),"RIDAR")</f>
        <v>RIDAR</v>
      </c>
      <c r="F1715" s="222" t="str">
        <f>IFERROR(__xludf.DUMMYFUNCTION("""COMPUTED_VALUE"""),"MIS")</f>
        <v>MIS</v>
      </c>
      <c r="G1715" s="222" t="str">
        <f>IFERROR(__xludf.DUMMYFUNCTION("""COMPUTED_VALUE"""),"SUMBAGTENG")</f>
        <v>SUMBAGTENG</v>
      </c>
      <c r="H1715" s="222" t="str">
        <f>IFERROR(__xludf.DUMMYFUNCTION("""COMPUTED_VALUE"""),"PEKANBARU")</f>
        <v>PEKANBARU</v>
      </c>
      <c r="I1715" s="222" t="str">
        <f>IFERROR(__xludf.DUMMYFUNCTION("""COMPUTED_VALUE"""),"Batch 2")</f>
        <v>Batch 2</v>
      </c>
      <c r="J1715" s="225">
        <f>IFERROR(__xludf.DUMMYFUNCTION("""COMPUTED_VALUE"""),53.0)</f>
        <v>53</v>
      </c>
      <c r="K1715" s="224">
        <f>IFERROR(__xludf.DUMMYFUNCTION("""COMPUTED_VALUE"""),416.0)</f>
        <v>416</v>
      </c>
      <c r="L1715" s="226">
        <f>IFERROR(__xludf.DUMMYFUNCTION("""COMPUTED_VALUE"""),1385907.0)</f>
        <v>1385907</v>
      </c>
      <c r="M1715" s="227">
        <f>IFERROR(__xludf.DUMMYFUNCTION("""COMPUTED_VALUE"""),5.76536947E8)</f>
        <v>576536947</v>
      </c>
      <c r="N1715" s="222" t="str">
        <f>IFERROR(__xludf.DUMMYFUNCTION("""COMPUTED_VALUE"""),"PT ACERO CETHA METALINDO")</f>
        <v>PT ACERO CETHA METALINDO</v>
      </c>
      <c r="O1715" s="222" t="str">
        <f>IFERROR(__xludf.DUMMYFUNCTION("""COMPUTED_VALUE"""),"5. INSTALASI")</f>
        <v>5. INSTALASI</v>
      </c>
      <c r="P1715" s="222" t="str">
        <f>IFERROR(__xludf.DUMMYFUNCTION("""COMPUTED_VALUE"""),"5.6 Proses Penarikan Kabel")</f>
        <v>5.6 Proses Penarikan Kabel</v>
      </c>
      <c r="Q1715" s="222" t="str">
        <f>IFERROR(__xludf.DUMMYFUNCTION("""COMPUTED_VALUE"""),"20/04 Penarikan kabel 13/04 Penanaman tiang 08/04 Penanaman Tiang 06/04 Pengiriman mateiral ke Lokasi 27/03 Pekerjaan mulai progres senin 30 Mar 16/03 Pekerjaan dilanjut setelah RAFI 05/03 Menunggu PO Kabel ADSS sampai di WH Pekanbaru 24/02 Sudah review, "&amp;"pastikan feeder tembus lalu dilanjut pembangunan 09/02 Antrian Review 29/01 Menunggu Order Mini OLT (08/01) Kendala feder BSK-FN FULL, proses aanwijziing   (07/01) Persiapan")</f>
        <v>20/04 Penarikan kabel 13/04 Penanaman tiang 08/04 Penanaman Tiang 06/04 Pengiriman mateiral ke Lokasi 27/03 Pekerjaan mulai progres senin 30 Mar 16/03 Pekerjaan dilanjut setelah RAFI 05/03 Menunggu PO Kabel ADSS sampai di WH Pekanbaru 24/02 Sudah review, pastikan feeder tembus lalu dilanjut pembangunan 09/02 Antrian Review 29/01 Menunggu Order Mini OLT (08/01) Kendala feder BSK-FN FULL, proses aanwijziing   (07/01) Persiapan</v>
      </c>
      <c r="R1715" s="228">
        <f>IFERROR(__xludf.DUMMYFUNCTION("""COMPUTED_VALUE"""),46142.0)</f>
        <v>46142</v>
      </c>
      <c r="S1715" s="11"/>
      <c r="T1715" s="11"/>
      <c r="U1715" s="11" t="str">
        <f>IFERROR(__xludf.DUMMYFUNCTION("""COMPUTED_VALUE"""),"W08-1535/2025")</f>
        <v>W08-1535/2025</v>
      </c>
      <c r="V1715" s="229" t="str">
        <f>IFERROR(__xludf.DUMMYFUNCTION("""COMPUTED_VALUE"""),"ONDI EKA SAPUTRA")</f>
        <v>ONDI EKA SAPUTRA</v>
      </c>
      <c r="W1715" s="229" t="str">
        <f>IFERROR(__xludf.DUMMYFUNCTION("""COMPUTED_VALUE"""),"DESLITA RAHMADANI")</f>
        <v>DESLITA RAHMADANI</v>
      </c>
      <c r="X1715" s="229" t="str">
        <f>IFERROR(__xludf.DUMMYFUNCTION("""COMPUTED_VALUE"""),"BELUM GOLIVE")</f>
        <v>BELUM GOLIVE</v>
      </c>
      <c r="Y1715" s="229"/>
      <c r="Z1715" s="229"/>
      <c r="AA1715" s="229"/>
      <c r="AB1715" s="229"/>
      <c r="AC1715" s="229"/>
      <c r="AD1715" s="232"/>
      <c r="AE1715" s="233"/>
      <c r="AF1715" s="54"/>
      <c r="AG1715" s="54"/>
      <c r="AH1715" s="54">
        <v>46172.0</v>
      </c>
      <c r="AI1715" s="55" t="str">
        <f t="shared" ref="AI1715:AI1716" si="170">IF(OR(R1715="",AE1715=""),"",R1715-AE1715)</f>
        <v/>
      </c>
      <c r="AW1715" s="234"/>
      <c r="BP1715" s="11"/>
      <c r="BQ1715" s="11"/>
      <c r="BR1715" s="235"/>
      <c r="BV1715" s="158"/>
      <c r="BY1715" s="158"/>
      <c r="CB1715" s="158"/>
    </row>
    <row r="1716" ht="18.0" customHeight="1">
      <c r="A1716" s="222">
        <f>IFERROR(__xludf.DUMMYFUNCTION("""COMPUTED_VALUE"""),2026.0)</f>
        <v>2026</v>
      </c>
      <c r="B1716" s="221">
        <f>IFERROR(__xludf.DUMMYFUNCTION("""COMPUTED_VALUE"""),1.2077967E7)</f>
        <v>12077967</v>
      </c>
      <c r="C1716" s="222" t="str">
        <f>IFERROR(__xludf.DUMMYFUNCTION("""COMPUTED_VALUE"""),"SMB PT3-ODC-BSK-FN 250_-219_2496")</f>
        <v>SMB PT3-ODC-BSK-FN 250_-219_2496</v>
      </c>
      <c r="D1716" s="222" t="str">
        <f>IFERROR(__xludf.DUMMYFUNCTION("""COMPUTED_VALUE"""),"REGIONAL I")</f>
        <v>REGIONAL I</v>
      </c>
      <c r="E1716" s="222" t="str">
        <f>IFERROR(__xludf.DUMMYFUNCTION("""COMPUTED_VALUE"""),"SUMBAR")</f>
        <v>SUMBAR</v>
      </c>
      <c r="F1716" s="222" t="str">
        <f>IFERROR(__xludf.DUMMYFUNCTION("""COMPUTED_VALUE"""),"BSK")</f>
        <v>BSK</v>
      </c>
      <c r="G1716" s="222" t="str">
        <f>IFERROR(__xludf.DUMMYFUNCTION("""COMPUTED_VALUE"""),"SUMBAGTENG")</f>
        <v>SUMBAGTENG</v>
      </c>
      <c r="H1716" s="222" t="str">
        <f>IFERROR(__xludf.DUMMYFUNCTION("""COMPUTED_VALUE"""),"BUKIT TINGGI")</f>
        <v>BUKIT TINGGI</v>
      </c>
      <c r="I1716" s="222" t="str">
        <f>IFERROR(__xludf.DUMMYFUNCTION("""COMPUTED_VALUE"""),"Batch 2")</f>
        <v>Batch 2</v>
      </c>
      <c r="J1716" s="225">
        <f>IFERROR(__xludf.DUMMYFUNCTION("""COMPUTED_VALUE"""),4.0)</f>
        <v>4</v>
      </c>
      <c r="K1716" s="224">
        <f>IFERROR(__xludf.DUMMYFUNCTION("""COMPUTED_VALUE"""),32.0)</f>
        <v>32</v>
      </c>
      <c r="L1716" s="226">
        <f>IFERROR(__xludf.DUMMYFUNCTION("""COMPUTED_VALUE"""),443566.0)</f>
        <v>443566</v>
      </c>
      <c r="M1716" s="227">
        <f>IFERROR(__xludf.DUMMYFUNCTION("""COMPUTED_VALUE"""),1.4194096E7)</f>
        <v>14194096</v>
      </c>
      <c r="N1716" s="222" t="str">
        <f>IFERROR(__xludf.DUMMYFUNCTION("""COMPUTED_VALUE"""),"PT RATRI PRIMA MANDIRI")</f>
        <v>PT RATRI PRIMA MANDIRI</v>
      </c>
      <c r="O1716" s="222" t="str">
        <f>IFERROR(__xludf.DUMMYFUNCTION("""COMPUTED_VALUE"""),"0. DROP")</f>
        <v>0. DROP</v>
      </c>
      <c r="P1716" s="222" t="str">
        <f>IFERROR(__xludf.DUMMYFUNCTION("""COMPUTED_VALUE"""),"0.3 Feeder Full")</f>
        <v>0.3 Feeder Full</v>
      </c>
      <c r="Q1716" s="222" t="str">
        <f>IFERROR(__xludf.DUMMYFUNCTION("""COMPUTED_VALUE"""),"(26/01)  Kendala feder BSK-FN FULL")</f>
        <v>(26/01)  Kendala feder BSK-FN FULL</v>
      </c>
      <c r="R1716" s="228"/>
      <c r="S1716" s="11"/>
      <c r="T1716" s="11"/>
      <c r="U1716" s="11"/>
      <c r="V1716" s="229"/>
      <c r="W1716" s="229"/>
      <c r="X1716" s="229" t="str">
        <f>IFERROR(__xludf.DUMMYFUNCTION("""COMPUTED_VALUE"""),"BELUM GOLIVE")</f>
        <v>BELUM GOLIVE</v>
      </c>
      <c r="Y1716" s="229"/>
      <c r="Z1716" s="229" t="str">
        <f>IFERROR(__xludf.DUMMYFUNCTION("""COMPUTED_VALUE"""),"#N/A")</f>
        <v>#N/A</v>
      </c>
      <c r="AA1716" s="229"/>
      <c r="AB1716" s="229"/>
      <c r="AC1716" s="229"/>
      <c r="AD1716" s="232"/>
      <c r="AE1716" s="233"/>
      <c r="AF1716" s="54" t="str">
        <f>IFERROR(__xludf.DUMMYFUNCTION("""COMPUTED_VALUE"""),"Draft BA DROP")</f>
        <v>Draft BA DROP</v>
      </c>
      <c r="AG1716" s="54"/>
      <c r="AH1716" s="54"/>
      <c r="AI1716" s="55" t="str">
        <f t="shared" si="170"/>
        <v/>
      </c>
      <c r="AW1716" s="234"/>
      <c r="BP1716" s="11"/>
      <c r="BQ1716" s="11"/>
      <c r="BR1716" s="235"/>
      <c r="BV1716" s="158"/>
      <c r="BY1716" s="158"/>
      <c r="CB1716" s="158"/>
    </row>
    <row r="1717" ht="18.0" hidden="1" customHeight="1">
      <c r="A1717" s="222">
        <f>IFERROR(__xludf.DUMMYFUNCTION("""COMPUTED_VALUE"""),2026.0)</f>
        <v>2026</v>
      </c>
      <c r="B1717" s="221">
        <f>IFERROR(__xludf.DUMMYFUNCTION("""COMPUTED_VALUE"""),1.1986174E7)</f>
        <v>11986174</v>
      </c>
      <c r="C1717" s="222" t="str">
        <f>IFERROR(__xludf.DUMMYFUNCTION("""COMPUTED_VALUE"""),"ACH DAR PT3 DAR-FB PERUM DAMANSARA")</f>
        <v>ACH DAR PT3 DAR-FB PERUM DAMANSARA</v>
      </c>
      <c r="D1717" s="222" t="str">
        <f>IFERROR(__xludf.DUMMYFUNCTION("""COMPUTED_VALUE"""),"REGIONAL I")</f>
        <v>REGIONAL I</v>
      </c>
      <c r="E1717" s="222" t="str">
        <f>IFERROR(__xludf.DUMMYFUNCTION("""COMPUTED_VALUE"""),"ACEH")</f>
        <v>ACEH</v>
      </c>
      <c r="F1717" s="222" t="str">
        <f>IFERROR(__xludf.DUMMYFUNCTION("""COMPUTED_VALUE"""),"DAR")</f>
        <v>DAR</v>
      </c>
      <c r="G1717" s="222" t="str">
        <f>IFERROR(__xludf.DUMMYFUNCTION("""COMPUTED_VALUE"""),"SUMBAGUT")</f>
        <v>SUMBAGUT</v>
      </c>
      <c r="H1717" s="222" t="str">
        <f>IFERROR(__xludf.DUMMYFUNCTION("""COMPUTED_VALUE"""),"BANDA ACEH")</f>
        <v>BANDA ACEH</v>
      </c>
      <c r="I1717" s="222" t="str">
        <f>IFERROR(__xludf.DUMMYFUNCTION("""COMPUTED_VALUE"""),"Batch 2")</f>
        <v>Batch 2</v>
      </c>
      <c r="J1717" s="225">
        <f>IFERROR(__xludf.DUMMYFUNCTION("""COMPUTED_VALUE"""),21.0)</f>
        <v>21</v>
      </c>
      <c r="K1717" s="224">
        <f>IFERROR(__xludf.DUMMYFUNCTION("""COMPUTED_VALUE"""),336.0)</f>
        <v>336</v>
      </c>
      <c r="L1717" s="226">
        <f>IFERROR(__xludf.DUMMYFUNCTION("""COMPUTED_VALUE"""),441798.0)</f>
        <v>441798</v>
      </c>
      <c r="M1717" s="227">
        <f>IFERROR(__xludf.DUMMYFUNCTION("""COMPUTED_VALUE"""),1.48444042E8)</f>
        <v>148444042</v>
      </c>
      <c r="N1717" s="222" t="str">
        <f>IFERROR(__xludf.DUMMYFUNCTION("""COMPUTED_VALUE"""),"PT TRIPOLA PANATA")</f>
        <v>PT TRIPOLA PANATA</v>
      </c>
      <c r="O1717" s="222" t="str">
        <f>IFERROR(__xludf.DUMMYFUNCTION("""COMPUTED_VALUE"""),"7. GOLIVE")</f>
        <v>7. GOLIVE</v>
      </c>
      <c r="P1717" s="222" t="str">
        <f>IFERROR(__xludf.DUMMYFUNCTION("""COMPUTED_VALUE"""),"7.2 Golive Full / OA / DONE OTB")</f>
        <v>7.2 Golive Full / OA / DONE OTB</v>
      </c>
      <c r="Q1717" s="222" t="str">
        <f>IFERROR(__xludf.DUMMYFUNCTION("""COMPUTED_VALUE"""),"(25/03) Terminasi (11/03) Penarikan Kabel (06/03) Tanam Tiang (07/02) Proses Negosiasi dgn Developer (02/02) Done Aanwijzing (07/01) Persiapan")</f>
        <v>(25/03) Terminasi (11/03) Penarikan Kabel (06/03) Tanam Tiang (07/02) Proses Negosiasi dgn Developer (02/02) Done Aanwijzing (07/01) Persiapan</v>
      </c>
      <c r="R1717" s="228">
        <f>IFERROR(__xludf.DUMMYFUNCTION("""COMPUTED_VALUE"""),46112.0)</f>
        <v>46112</v>
      </c>
      <c r="S1717" s="11" t="str">
        <f>IFERROR(__xludf.DUMMYFUNCTION("""COMPUTED_VALUE"""),"MAR")</f>
        <v>MAR</v>
      </c>
      <c r="T1717" s="11"/>
      <c r="U1717" s="11"/>
      <c r="V1717" s="229"/>
      <c r="W1717" s="229"/>
      <c r="X1717" s="229" t="str">
        <f>IFERROR(__xludf.DUMMYFUNCTION("""COMPUTED_VALUE"""),"GOLIVE")</f>
        <v>GOLIVE</v>
      </c>
      <c r="Y1717" s="229" t="str">
        <f>IFERROR(__xludf.DUMMYFUNCTION("""COMPUTED_VALUE"""),"DONE")</f>
        <v>DONE</v>
      </c>
      <c r="Z1717" s="229" t="str">
        <f>IFERROR(__xludf.DUMMYFUNCTION("""COMPUTED_VALUE"""),"#N/A")</f>
        <v>#N/A</v>
      </c>
      <c r="AA1717" s="229">
        <f>IFERROR(__xludf.DUMMYFUNCTION("""COMPUTED_VALUE"""),42.0)</f>
        <v>42</v>
      </c>
      <c r="AB1717" s="229"/>
      <c r="AC1717" s="229" t="str">
        <f>IFERROR(__xludf.DUMMYFUNCTION("""COMPUTED_VALUE"""),"9220488#9220493")</f>
        <v>9220488#9220493</v>
      </c>
      <c r="AD1717" s="232">
        <f>IFERROR(__xludf.DUMMYFUNCTION("""COMPUTED_VALUE"""),336.0)</f>
        <v>336</v>
      </c>
      <c r="AE1717" s="233">
        <f>IFERROR(__xludf.DUMMYFUNCTION("""COMPUTED_VALUE"""),46111.0)</f>
        <v>46111</v>
      </c>
      <c r="AF1717" s="54"/>
      <c r="AG1717" s="54"/>
      <c r="AH1717" s="54">
        <v>46135.0</v>
      </c>
      <c r="AI1717" s="237">
        <f t="shared" ref="AI1717:AI1718" si="171">AH1717-NOW()</f>
        <v>-5.377989931</v>
      </c>
      <c r="AJ1717" s="229" t="str">
        <f>if(AI1717&gt;=0,"Gl in Komitmen","Gl out Komitmen")</f>
        <v>Gl out Komitmen</v>
      </c>
      <c r="AK1717" s="229" t="s">
        <v>199</v>
      </c>
      <c r="AW1717" s="234"/>
      <c r="BP1717" s="11"/>
      <c r="BQ1717" s="11"/>
      <c r="BR1717" s="235"/>
      <c r="BV1717" s="158"/>
      <c r="BY1717" s="158"/>
      <c r="CB1717" s="158"/>
    </row>
    <row r="1718" ht="18.0" customHeight="1">
      <c r="A1718" s="222">
        <f>IFERROR(__xludf.DUMMYFUNCTION("""COMPUTED_VALUE"""),2026.0)</f>
        <v>2026</v>
      </c>
      <c r="B1718" s="221">
        <f>IFERROR(__xludf.DUMMYFUNCTION("""COMPUTED_VALUE"""),1.2081892E7)</f>
        <v>12081892</v>
      </c>
      <c r="C1718" s="222" t="str">
        <f>IFERROR(__xludf.DUMMYFUNCTION("""COMPUTED_VALUE"""),"RDR JPP PT3 DRI FAD Full")</f>
        <v>RDR JPP PT3 DRI FAD Full</v>
      </c>
      <c r="D1718" s="222" t="str">
        <f>IFERROR(__xludf.DUMMYFUNCTION("""COMPUTED_VALUE"""),"REGIONAL I")</f>
        <v>REGIONAL I</v>
      </c>
      <c r="E1718" s="222" t="str">
        <f>IFERROR(__xludf.DUMMYFUNCTION("""COMPUTED_VALUE"""),"RIDAR")</f>
        <v>RIDAR</v>
      </c>
      <c r="F1718" s="222" t="str">
        <f>IFERROR(__xludf.DUMMYFUNCTION("""COMPUTED_VALUE"""),"DRI")</f>
        <v>DRI</v>
      </c>
      <c r="G1718" s="222" t="str">
        <f>IFERROR(__xludf.DUMMYFUNCTION("""COMPUTED_VALUE"""),"SUMBAGTENG")</f>
        <v>SUMBAGTENG</v>
      </c>
      <c r="H1718" s="222" t="str">
        <f>IFERROR(__xludf.DUMMYFUNCTION("""COMPUTED_VALUE"""),"DUMAI")</f>
        <v>DUMAI</v>
      </c>
      <c r="I1718" s="222" t="str">
        <f>IFERROR(__xludf.DUMMYFUNCTION("""COMPUTED_VALUE"""),"Batch 2")</f>
        <v>Batch 2</v>
      </c>
      <c r="J1718" s="225">
        <f>IFERROR(__xludf.DUMMYFUNCTION("""COMPUTED_VALUE"""),18.0)</f>
        <v>18</v>
      </c>
      <c r="K1718" s="224">
        <f>IFERROR(__xludf.DUMMYFUNCTION("""COMPUTED_VALUE"""),144.0)</f>
        <v>144</v>
      </c>
      <c r="L1718" s="226">
        <f>IFERROR(__xludf.DUMMYFUNCTION("""COMPUTED_VALUE"""),853977.0)</f>
        <v>853977</v>
      </c>
      <c r="M1718" s="227">
        <f>IFERROR(__xludf.DUMMYFUNCTION("""COMPUTED_VALUE"""),1.2297263E8)</f>
        <v>122972630</v>
      </c>
      <c r="N1718" s="222" t="str">
        <f>IFERROR(__xludf.DUMMYFUNCTION("""COMPUTED_VALUE"""),"PT TSUIKA BERKAH RAYA")</f>
        <v>PT TSUIKA BERKAH RAYA</v>
      </c>
      <c r="O1718" s="222" t="str">
        <f>IFERROR(__xludf.DUMMYFUNCTION("""COMPUTED_VALUE"""),"5. INSTALASI")</f>
        <v>5. INSTALASI</v>
      </c>
      <c r="P1718" s="222" t="str">
        <f>IFERROR(__xludf.DUMMYFUNCTION("""COMPUTED_VALUE"""),"5.5 Proses Penanaman Tiang - Paralel Comcase/Perjinan PU")</f>
        <v>5.5 Proses Penanaman Tiang - Paralel Comcase/Perjinan PU</v>
      </c>
      <c r="Q1718" s="222" t="str">
        <f>IFERROR(__xludf.DUMMYFUNCTION("""COMPUTED_VALUE"""),"20/04 Pengurusan izin tanam tiang, karena di stop oleh warga setempat 13/04 Penanaman tiang, kendala comcase dengan lahan warga 06/04 Pengiriman mateiral ke Lokasi 27/03 Pekerjaan mulai progres senin 30 Mar 16/03 Pekerjaan dilanjut setelah RAFI 05/03 Menu"&amp;"nggu PO Kabel ADSS sampai di WH Pekanbaru 13/02 Sudah review, go deploy 09/02 Antrian Review 29/01 Antrian review hasil anwidzing (07/01) Persiapan")</f>
        <v>20/04 Pengurusan izin tanam tiang, karena di stop oleh warga setempat 13/04 Penanaman tiang, kendala comcase dengan lahan warga 06/04 Pengiriman mateiral ke Lokasi 27/03 Pekerjaan mulai progres senin 30 Mar 16/03 Pekerjaan dilanjut setelah RAFI 05/03 Menunggu PO Kabel ADSS sampai di WH Pekanbaru 13/02 Sudah review, go deploy 09/02 Antrian Review 29/01 Antrian review hasil anwidzing (07/01) Persiapan</v>
      </c>
      <c r="R1718" s="228"/>
      <c r="S1718" s="11"/>
      <c r="T1718" s="73"/>
      <c r="U1718" s="11" t="str">
        <f>IFERROR(__xludf.DUMMYFUNCTION("""COMPUTED_VALUE"""),"W08-1648/2025")</f>
        <v>W08-1648/2025</v>
      </c>
      <c r="V1718" s="229" t="str">
        <f>IFERROR(__xludf.DUMMYFUNCTION("""COMPUTED_VALUE"""),"ADIL WAHYUDI")</f>
        <v>ADIL WAHYUDI</v>
      </c>
      <c r="W1718" s="229" t="str">
        <f>IFERROR(__xludf.DUMMYFUNCTION("""COMPUTED_VALUE"""),"DESLITA RAHMADANI")</f>
        <v>DESLITA RAHMADANI</v>
      </c>
      <c r="X1718" s="229" t="str">
        <f>IFERROR(__xludf.DUMMYFUNCTION("""COMPUTED_VALUE"""),"BELUM GOLIVE")</f>
        <v>BELUM GOLIVE</v>
      </c>
      <c r="Y1718" s="229"/>
      <c r="Z1718" s="229" t="str">
        <f>IFERROR(__xludf.DUMMYFUNCTION("""COMPUTED_VALUE"""),"#N/A")</f>
        <v>#N/A</v>
      </c>
      <c r="AA1718" s="229"/>
      <c r="AB1718" s="229"/>
      <c r="AC1718" s="229"/>
      <c r="AD1718" s="232"/>
      <c r="AE1718" s="233"/>
      <c r="AF1718" s="54"/>
      <c r="AG1718" s="54"/>
      <c r="AH1718" s="54">
        <v>46140.0</v>
      </c>
      <c r="AI1718" s="237">
        <f t="shared" si="171"/>
        <v>-0.3779899306</v>
      </c>
      <c r="AJ1718" s="229" t="str">
        <f t="shared" ref="AJ1718:AJ1720" si="172">if(AI1718&gt;=0,"In Komitmen","Out Komitmen")</f>
        <v>Out Komitmen</v>
      </c>
      <c r="AK1718" s="231" t="s">
        <v>199</v>
      </c>
      <c r="AW1718" s="234"/>
      <c r="BP1718" s="11"/>
      <c r="BQ1718" s="11"/>
      <c r="BR1718" s="235"/>
      <c r="BV1718" s="158"/>
      <c r="BY1718" s="158"/>
      <c r="CB1718" s="158"/>
    </row>
    <row r="1719" ht="18.0" customHeight="1">
      <c r="A1719" s="222">
        <f>IFERROR(__xludf.DUMMYFUNCTION("""COMPUTED_VALUE"""),2026.0)</f>
        <v>2026</v>
      </c>
      <c r="B1719" s="221">
        <f>IFERROR(__xludf.DUMMYFUNCTION("""COMPUTED_VALUE"""),1.208192E7)</f>
        <v>12081920</v>
      </c>
      <c r="C1719" s="222" t="str">
        <f>IFERROR(__xludf.DUMMYFUNCTION("""COMPUTED_VALUE"""),"RDR JPP PT3 DRI FG Full")</f>
        <v>RDR JPP PT3 DRI FG Full</v>
      </c>
      <c r="D1719" s="222" t="str">
        <f>IFERROR(__xludf.DUMMYFUNCTION("""COMPUTED_VALUE"""),"REGIONAL I")</f>
        <v>REGIONAL I</v>
      </c>
      <c r="E1719" s="222" t="str">
        <f>IFERROR(__xludf.DUMMYFUNCTION("""COMPUTED_VALUE"""),"RIDAR")</f>
        <v>RIDAR</v>
      </c>
      <c r="F1719" s="222" t="str">
        <f>IFERROR(__xludf.DUMMYFUNCTION("""COMPUTED_VALUE"""),"DRI")</f>
        <v>DRI</v>
      </c>
      <c r="G1719" s="222" t="str">
        <f>IFERROR(__xludf.DUMMYFUNCTION("""COMPUTED_VALUE"""),"SUMBAGTENG")</f>
        <v>SUMBAGTENG</v>
      </c>
      <c r="H1719" s="222" t="str">
        <f>IFERROR(__xludf.DUMMYFUNCTION("""COMPUTED_VALUE"""),"DUMAI")</f>
        <v>DUMAI</v>
      </c>
      <c r="I1719" s="222" t="str">
        <f>IFERROR(__xludf.DUMMYFUNCTION("""COMPUTED_VALUE"""),"Batch 2")</f>
        <v>Batch 2</v>
      </c>
      <c r="J1719" s="225">
        <f>IFERROR(__xludf.DUMMYFUNCTION("""COMPUTED_VALUE"""),39.0)</f>
        <v>39</v>
      </c>
      <c r="K1719" s="224">
        <f>IFERROR(__xludf.DUMMYFUNCTION("""COMPUTED_VALUE"""),312.0)</f>
        <v>312</v>
      </c>
      <c r="L1719" s="226">
        <f>IFERROR(__xludf.DUMMYFUNCTION("""COMPUTED_VALUE"""),718250.0)</f>
        <v>718250</v>
      </c>
      <c r="M1719" s="227">
        <f>IFERROR(__xludf.DUMMYFUNCTION("""COMPUTED_VALUE"""),2.24093996E8)</f>
        <v>224093996</v>
      </c>
      <c r="N1719" s="222" t="str">
        <f>IFERROR(__xludf.DUMMYFUNCTION("""COMPUTED_VALUE"""),"PT TSUIKA BERKAH RAYA")</f>
        <v>PT TSUIKA BERKAH RAYA</v>
      </c>
      <c r="O1719" s="222" t="str">
        <f>IFERROR(__xludf.DUMMYFUNCTION("""COMPUTED_VALUE"""),"3. PERIZINAN")</f>
        <v>3. PERIZINAN</v>
      </c>
      <c r="P1719" s="222" t="str">
        <f>IFERROR(__xludf.DUMMYFUNCTION("""COMPUTED_VALUE"""),"3.9 Izin Kades / Lurah / RTRW")</f>
        <v>3.9 Izin Kades / Lurah / RTRW</v>
      </c>
      <c r="Q1719" s="222" t="str">
        <f>IFERROR(__xludf.DUMMYFUNCTION("""COMPUTED_VALUE"""),"20/04 Beberapa warga di sepanjang jalur, masih belum memberikan izin 13/04 Pengurusan Izin dengan RT/RW dan Warga  06/04 Pengiriman mateiral ke Lokasi 27/03 Pekerjaan mulai progres senin 30 Mar 16/03 Pekerjaan dilanjut setelah RAFI 05/03 Menunggu PO Kabel"&amp;" ADSS sampai di WH Pekanbaru 11/02 Sudah review, butuh eskalasi terkait perubahan design dan jumlah ODP 09/02 Antrian Review 29/01 Antrian review hasil anwidzing (08/01) kendala feeder penuh. KENDALA FEEDER SLK-FE FULL (07/01) Persiapan")</f>
        <v>20/04 Beberapa warga di sepanjang jalur, masih belum memberikan izin 13/04 Pengurusan Izin dengan RT/RW dan Warga  06/04 Pengiriman mateiral ke Lokasi 27/03 Pekerjaan mulai progres senin 30 Mar 16/03 Pekerjaan dilanjut setelah RAFI 05/03 Menunggu PO Kabel ADSS sampai di WH Pekanbaru 11/02 Sudah review, butuh eskalasi terkait perubahan design dan jumlah ODP 09/02 Antrian Review 29/01 Antrian review hasil anwidzing (08/01) kendala feeder penuh. KENDALA FEEDER SLK-FE FULL (07/01) Persiapan</v>
      </c>
      <c r="R1719" s="228"/>
      <c r="S1719" s="11" t="str">
        <f>IFERROR(__xludf.DUMMYFUNCTION("""COMPUTED_VALUE"""),"MAR")</f>
        <v>MAR</v>
      </c>
      <c r="T1719" s="73"/>
      <c r="U1719" s="11" t="str">
        <f>IFERROR(__xludf.DUMMYFUNCTION("""COMPUTED_VALUE"""),"W08-1649/2025")</f>
        <v>W08-1649/2025</v>
      </c>
      <c r="V1719" s="229" t="str">
        <f>IFERROR(__xludf.DUMMYFUNCTION("""COMPUTED_VALUE"""),"ADIL WAHYUDI")</f>
        <v>ADIL WAHYUDI</v>
      </c>
      <c r="W1719" s="229" t="str">
        <f>IFERROR(__xludf.DUMMYFUNCTION("""COMPUTED_VALUE"""),"DESLITA RAHMADANI")</f>
        <v>DESLITA RAHMADANI</v>
      </c>
      <c r="X1719" s="229" t="str">
        <f>IFERROR(__xludf.DUMMYFUNCTION("""COMPUTED_VALUE"""),"BELUM GOLIVE")</f>
        <v>BELUM GOLIVE</v>
      </c>
      <c r="Y1719" s="229"/>
      <c r="Z1719" s="229" t="str">
        <f>IFERROR(__xludf.DUMMYFUNCTION("""COMPUTED_VALUE"""),"#N/A")</f>
        <v>#N/A</v>
      </c>
      <c r="AA1719" s="229"/>
      <c r="AB1719" s="229"/>
      <c r="AC1719" s="229"/>
      <c r="AD1719" s="232"/>
      <c r="AE1719" s="233"/>
      <c r="AF1719" s="54"/>
      <c r="AG1719" s="54"/>
      <c r="AH1719" s="54">
        <v>46140.0</v>
      </c>
      <c r="AI1719" s="55">
        <f>AH1719-TODAY()</f>
        <v>0</v>
      </c>
      <c r="AJ1719" s="229" t="str">
        <f t="shared" si="172"/>
        <v>In Komitmen</v>
      </c>
      <c r="AK1719" s="231" t="s">
        <v>199</v>
      </c>
      <c r="AW1719" s="234"/>
      <c r="BP1719" s="11"/>
      <c r="BQ1719" s="11"/>
      <c r="BR1719" s="235"/>
      <c r="BV1719" s="158"/>
      <c r="BY1719" s="158"/>
      <c r="CB1719" s="158"/>
    </row>
    <row r="1720" ht="18.0" customHeight="1">
      <c r="A1720" s="222">
        <f>IFERROR(__xludf.DUMMYFUNCTION("""COMPUTED_VALUE"""),2026.0)</f>
        <v>2026</v>
      </c>
      <c r="B1720" s="221">
        <f>IFERROR(__xludf.DUMMYFUNCTION("""COMPUTED_VALUE"""),1.1563271E7)</f>
        <v>11563271</v>
      </c>
      <c r="C1720" s="222" t="str">
        <f>IFERROR(__xludf.DUMMYFUNCTION("""COMPUTED_VALUE"""),"SMB STTF - ADHITYA NUKGRAHA-DEDIPUTRA")</f>
        <v>SMB STTF - ADHITYA NUKGRAHA-DEDIPUTRA</v>
      </c>
      <c r="D1720" s="222" t="str">
        <f>IFERROR(__xludf.DUMMYFUNCTION("""COMPUTED_VALUE"""),"REGIONAL I")</f>
        <v>REGIONAL I</v>
      </c>
      <c r="E1720" s="222" t="str">
        <f>IFERROR(__xludf.DUMMYFUNCTION("""COMPUTED_VALUE"""),"SUMBAR")</f>
        <v>SUMBAR</v>
      </c>
      <c r="F1720" s="222" t="str">
        <f>IFERROR(__xludf.DUMMYFUNCTION("""COMPUTED_VALUE"""),"SLK")</f>
        <v>SLK</v>
      </c>
      <c r="G1720" s="222" t="str">
        <f>IFERROR(__xludf.DUMMYFUNCTION("""COMPUTED_VALUE"""),"SUMBAGTENG")</f>
        <v>SUMBAGTENG</v>
      </c>
      <c r="H1720" s="222" t="str">
        <f>IFERROR(__xludf.DUMMYFUNCTION("""COMPUTED_VALUE"""),"PADANG")</f>
        <v>PADANG</v>
      </c>
      <c r="I1720" s="222" t="str">
        <f>IFERROR(__xludf.DUMMYFUNCTION("""COMPUTED_VALUE"""),"Batch 2")</f>
        <v>Batch 2</v>
      </c>
      <c r="J1720" s="225">
        <f>IFERROR(__xludf.DUMMYFUNCTION("""COMPUTED_VALUE"""),3.0)</f>
        <v>3</v>
      </c>
      <c r="K1720" s="224">
        <f>IFERROR(__xludf.DUMMYFUNCTION("""COMPUTED_VALUE"""),24.0)</f>
        <v>24</v>
      </c>
      <c r="L1720" s="226">
        <f>IFERROR(__xludf.DUMMYFUNCTION("""COMPUTED_VALUE"""),441557.0)</f>
        <v>441557</v>
      </c>
      <c r="M1720" s="227">
        <f>IFERROR(__xludf.DUMMYFUNCTION("""COMPUTED_VALUE"""),1.059735E7)</f>
        <v>10597350</v>
      </c>
      <c r="N1720" s="222" t="str">
        <f>IFERROR(__xludf.DUMMYFUNCTION("""COMPUTED_VALUE"""),"PT TRI PENAMAS")</f>
        <v>PT TRI PENAMAS</v>
      </c>
      <c r="O1720" s="222" t="str">
        <f>IFERROR(__xludf.DUMMYFUNCTION("""COMPUTED_VALUE"""),"0. DROP")</f>
        <v>0. DROP</v>
      </c>
      <c r="P1720" s="222" t="str">
        <f>IFERROR(__xludf.DUMMYFUNCTION("""COMPUTED_VALUE"""),"0.3 Feeder Full")</f>
        <v>0.3 Feeder Full</v>
      </c>
      <c r="Q1720" s="222" t="str">
        <f>IFERROR(__xludf.DUMMYFUNCTION("""COMPUTED_VALUE"""),"(26/01) KENDALA FEEDER SLK-FE FULL")</f>
        <v>(26/01) KENDALA FEEDER SLK-FE FULL</v>
      </c>
      <c r="R1720" s="228"/>
      <c r="S1720" s="11"/>
      <c r="T1720" s="11"/>
      <c r="U1720" s="11"/>
      <c r="V1720" s="229"/>
      <c r="W1720" s="229"/>
      <c r="X1720" s="229" t="str">
        <f>IFERROR(__xludf.DUMMYFUNCTION("""COMPUTED_VALUE"""),"BELUM GOLIVE")</f>
        <v>BELUM GOLIVE</v>
      </c>
      <c r="Y1720" s="229"/>
      <c r="Z1720" s="229" t="str">
        <f>IFERROR(__xludf.DUMMYFUNCTION("""COMPUTED_VALUE"""),"#N/A")</f>
        <v>#N/A</v>
      </c>
      <c r="AA1720" s="229"/>
      <c r="AB1720" s="229"/>
      <c r="AC1720" s="229"/>
      <c r="AD1720" s="232"/>
      <c r="AE1720" s="233"/>
      <c r="AF1720" s="54" t="str">
        <f>IFERROR(__xludf.DUMMYFUNCTION("""COMPUTED_VALUE"""),"Draft BA DROP")</f>
        <v>Draft BA DROP</v>
      </c>
      <c r="AG1720" s="54"/>
      <c r="AH1720" s="54">
        <v>46132.0</v>
      </c>
      <c r="AI1720" s="237">
        <f>AH1720-NOW()</f>
        <v>-8.377989931</v>
      </c>
      <c r="AJ1720" s="229" t="str">
        <f t="shared" si="172"/>
        <v>Out Komitmen</v>
      </c>
      <c r="AW1720" s="234"/>
      <c r="BP1720" s="11"/>
      <c r="BQ1720" s="11"/>
      <c r="BR1720" s="235"/>
      <c r="BV1720" s="158"/>
      <c r="BY1720" s="158"/>
      <c r="CB1720" s="158"/>
    </row>
    <row r="1721" ht="18.0" customHeight="1">
      <c r="A1721" s="222">
        <f>IFERROR(__xludf.DUMMYFUNCTION("""COMPUTED_VALUE"""),2026.0)</f>
        <v>2026</v>
      </c>
      <c r="B1721" s="221">
        <f>IFERROR(__xludf.DUMMYFUNCTION("""COMPUTED_VALUE"""),1.1990683E7)</f>
        <v>11990683</v>
      </c>
      <c r="C1721" s="222" t="str">
        <f>IFERROR(__xludf.DUMMYFUNCTION("""COMPUTED_VALUE"""),"RDR JPP PT3 KAMPAR_175736")</f>
        <v>RDR JPP PT3 KAMPAR_175736</v>
      </c>
      <c r="D1721" s="222" t="str">
        <f>IFERROR(__xludf.DUMMYFUNCTION("""COMPUTED_VALUE"""),"REGIONAL I")</f>
        <v>REGIONAL I</v>
      </c>
      <c r="E1721" s="222" t="str">
        <f>IFERROR(__xludf.DUMMYFUNCTION("""COMPUTED_VALUE"""),"RIDAR")</f>
        <v>RIDAR</v>
      </c>
      <c r="F1721" s="222" t="str">
        <f>IFERROR(__xludf.DUMMYFUNCTION("""COMPUTED_VALUE"""),"BKR")</f>
        <v>BKR</v>
      </c>
      <c r="G1721" s="222" t="str">
        <f>IFERROR(__xludf.DUMMYFUNCTION("""COMPUTED_VALUE"""),"SUMBAGTENG")</f>
        <v>SUMBAGTENG</v>
      </c>
      <c r="H1721" s="222" t="str">
        <f>IFERROR(__xludf.DUMMYFUNCTION("""COMPUTED_VALUE"""),"PEKANBARU")</f>
        <v>PEKANBARU</v>
      </c>
      <c r="I1721" s="222" t="str">
        <f>IFERROR(__xludf.DUMMYFUNCTION("""COMPUTED_VALUE"""),"Batch 2")</f>
        <v>Batch 2</v>
      </c>
      <c r="J1721" s="225">
        <f>IFERROR(__xludf.DUMMYFUNCTION("""COMPUTED_VALUE"""),7.0)</f>
        <v>7</v>
      </c>
      <c r="K1721" s="224">
        <f>IFERROR(__xludf.DUMMYFUNCTION("""COMPUTED_VALUE"""),56.0)</f>
        <v>56</v>
      </c>
      <c r="L1721" s="226">
        <f>IFERROR(__xludf.DUMMYFUNCTION("""COMPUTED_VALUE"""),1001448.0)</f>
        <v>1001448</v>
      </c>
      <c r="M1721" s="227">
        <f>IFERROR(__xludf.DUMMYFUNCTION("""COMPUTED_VALUE"""),5.6081073E7)</f>
        <v>56081073</v>
      </c>
      <c r="N1721" s="222" t="str">
        <f>IFERROR(__xludf.DUMMYFUNCTION("""COMPUTED_VALUE"""),"PT UPAYA TEKNIK")</f>
        <v>PT UPAYA TEKNIK</v>
      </c>
      <c r="O1721" s="222" t="str">
        <f>IFERROR(__xludf.DUMMYFUNCTION("""COMPUTED_VALUE"""),"7. GOLIVE")</f>
        <v>7. GOLIVE</v>
      </c>
      <c r="P1721" s="222" t="str">
        <f>IFERROR(__xludf.DUMMYFUNCTION("""COMPUTED_VALUE"""),"7.2 Golive Full / OA / DONE OTB")</f>
        <v>7.2 Golive Full / OA / DONE OTB</v>
      </c>
      <c r="Q1721" s="222" t="str">
        <f>IFERROR(__xludf.DUMMYFUNCTION("""COMPUTED_VALUE"""),"20/04 Penarikan kabel, di stop oleh desa yg meminta kompensasi 13/04 Penanaman tiang 06/04 Pengiriman mateiral ke Lokasi 27/03 Menunggu hasil evaluasi perubahan design 16/03 Menunggu evaluasi peribahan design 05/03 Menunggu evaluasi perubahan design 20/01"&amp;" Kendala dist full (08/01) kendala mini olt ampalu koto slot full (07/01) Persiapan")</f>
        <v>20/04 Penarikan kabel, di stop oleh desa yg meminta kompensasi 13/04 Penanaman tiang 06/04 Pengiriman mateiral ke Lokasi 27/03 Menunggu hasil evaluasi perubahan design 16/03 Menunggu evaluasi peribahan design 05/03 Menunggu evaluasi perubahan design 20/01 Kendala dist full (08/01) kendala mini olt ampalu koto slot full (07/01) Persiapan</v>
      </c>
      <c r="R1721" s="228">
        <f>IFERROR(__xludf.DUMMYFUNCTION("""COMPUTED_VALUE"""),46135.0)</f>
        <v>46135</v>
      </c>
      <c r="S1721" s="11" t="str">
        <f>IFERROR(__xludf.DUMMYFUNCTION("""COMPUTED_VALUE"""),"APR")</f>
        <v>APR</v>
      </c>
      <c r="T1721" s="73"/>
      <c r="U1721" s="11"/>
      <c r="V1721" s="229" t="str">
        <f>IFERROR(__xludf.DUMMYFUNCTION("""COMPUTED_VALUE"""),"GUSKAR DIYONAL")</f>
        <v>GUSKAR DIYONAL</v>
      </c>
      <c r="W1721" s="229" t="str">
        <f>IFERROR(__xludf.DUMMYFUNCTION("""COMPUTED_VALUE"""),"ANZALA SAKINAH")</f>
        <v>ANZALA SAKINAH</v>
      </c>
      <c r="X1721" s="229" t="str">
        <f>IFERROR(__xludf.DUMMYFUNCTION("""COMPUTED_VALUE"""),"GOLIVE")</f>
        <v>GOLIVE</v>
      </c>
      <c r="Y1721" s="229" t="str">
        <f>IFERROR(__xludf.DUMMYFUNCTION("""COMPUTED_VALUE"""),"DONE")</f>
        <v>DONE</v>
      </c>
      <c r="Z1721" s="229" t="str">
        <f>IFERROR(__xludf.DUMMYFUNCTION("""COMPUTED_VALUE"""),"#N/A")</f>
        <v>#N/A</v>
      </c>
      <c r="AA1721" s="229">
        <f>IFERROR(__xludf.DUMMYFUNCTION("""COMPUTED_VALUE"""),7.0)</f>
        <v>7</v>
      </c>
      <c r="AB1721" s="229"/>
      <c r="AC1721" s="229" t="str">
        <f>IFERROR(__xludf.DUMMYFUNCTION("""COMPUTED_VALUE"""),"9305103#9305108")</f>
        <v>9305103#9305108</v>
      </c>
      <c r="AD1721" s="232">
        <f>IFERROR(__xludf.DUMMYFUNCTION("""COMPUTED_VALUE"""),56.0)</f>
        <v>56</v>
      </c>
      <c r="AE1721" s="233">
        <f>IFERROR(__xludf.DUMMYFUNCTION("""COMPUTED_VALUE"""),46135.0)</f>
        <v>46135</v>
      </c>
      <c r="AF1721" s="54"/>
      <c r="AG1721" s="54"/>
      <c r="AH1721" s="54">
        <v>46129.0</v>
      </c>
      <c r="AI1721" s="55">
        <f t="shared" ref="AI1721:AI1722" si="173">AH1721-AE1721</f>
        <v>-6</v>
      </c>
      <c r="AJ1721" s="229" t="str">
        <f t="shared" ref="AJ1721:AJ1722" si="174">if(AI1721&gt;=0,"Gl in Komitmen","Gl out komitmen")</f>
        <v>Gl out komitmen</v>
      </c>
      <c r="AK1721" s="231" t="s">
        <v>199</v>
      </c>
      <c r="AW1721" s="234"/>
      <c r="BP1721" s="11"/>
      <c r="BQ1721" s="11"/>
      <c r="BR1721" s="235"/>
      <c r="BV1721" s="158"/>
      <c r="BY1721" s="158"/>
      <c r="CB1721" s="158"/>
    </row>
    <row r="1722" ht="18.0" customHeight="1">
      <c r="A1722" s="222">
        <f>IFERROR(__xludf.DUMMYFUNCTION("""COMPUTED_VALUE"""),2026.0)</f>
        <v>2026</v>
      </c>
      <c r="B1722" s="221">
        <f>IFERROR(__xludf.DUMMYFUNCTION("""COMPUTED_VALUE"""),1.2276671E7)</f>
        <v>12276671</v>
      </c>
      <c r="C1722" s="222" t="str">
        <f>IFERROR(__xludf.DUMMYFUNCTION("""COMPUTED_VALUE"""),"SMB-PT3-ODC-SUN-FB-DHARM_72487-3 Cluster")</f>
        <v>SMB-PT3-ODC-SUN-FB-DHARM_72487-3 Cluster</v>
      </c>
      <c r="D1722" s="222" t="str">
        <f>IFERROR(__xludf.DUMMYFUNCTION("""COMPUTED_VALUE"""),"REGIONAL I")</f>
        <v>REGIONAL I</v>
      </c>
      <c r="E1722" s="222" t="str">
        <f>IFERROR(__xludf.DUMMYFUNCTION("""COMPUTED_VALUE"""),"SUMBAR")</f>
        <v>SUMBAR</v>
      </c>
      <c r="F1722" s="222" t="str">
        <f>IFERROR(__xludf.DUMMYFUNCTION("""COMPUTED_VALUE"""),"SUN")</f>
        <v>SUN</v>
      </c>
      <c r="G1722" s="222" t="str">
        <f>IFERROR(__xludf.DUMMYFUNCTION("""COMPUTED_VALUE"""),"SUMBAGTENG")</f>
        <v>SUMBAGTENG</v>
      </c>
      <c r="H1722" s="222" t="str">
        <f>IFERROR(__xludf.DUMMYFUNCTION("""COMPUTED_VALUE"""),"PADANG")</f>
        <v>PADANG</v>
      </c>
      <c r="I1722" s="222" t="str">
        <f>IFERROR(__xludf.DUMMYFUNCTION("""COMPUTED_VALUE"""),"Batch 2")</f>
        <v>Batch 2</v>
      </c>
      <c r="J1722" s="225">
        <f>IFERROR(__xludf.DUMMYFUNCTION("""COMPUTED_VALUE"""),5.0)</f>
        <v>5</v>
      </c>
      <c r="K1722" s="224">
        <f>IFERROR(__xludf.DUMMYFUNCTION("""COMPUTED_VALUE"""),40.0)</f>
        <v>40</v>
      </c>
      <c r="L1722" s="226">
        <f>IFERROR(__xludf.DUMMYFUNCTION("""COMPUTED_VALUE"""),440006.0)</f>
        <v>440006</v>
      </c>
      <c r="M1722" s="227">
        <f>IFERROR(__xludf.DUMMYFUNCTION("""COMPUTED_VALUE"""),1.7600224E7)</f>
        <v>17600224</v>
      </c>
      <c r="N1722" s="222" t="str">
        <f>IFERROR(__xludf.DUMMYFUNCTION("""COMPUTED_VALUE"""),"PT TIGA AKSES MANDIRI")</f>
        <v>PT TIGA AKSES MANDIRI</v>
      </c>
      <c r="O1722" s="222" t="str">
        <f>IFERROR(__xludf.DUMMYFUNCTION("""COMPUTED_VALUE"""),"7. GOLIVE")</f>
        <v>7. GOLIVE</v>
      </c>
      <c r="P1722" s="222" t="str">
        <f>IFERROR(__xludf.DUMMYFUNCTION("""COMPUTED_VALUE"""),"7.2 Golive Full / OA / DONE OTB")</f>
        <v>7.2 Golive Full / OA / DONE OTB</v>
      </c>
      <c r="Q1722" s="222" t="str">
        <f>IFERROR(__xludf.DUMMYFUNCTION("""COMPUTED_VALUE"""),"(20/04) abd masuk HI ke SDI (13/04) terminasi odp  (06/04) penarikan kabel (02/04) tanam tiang  (30/03) material onsite (16/03) proses PO ke mitra dan menunggu kabel 12 ADSS (06/03) Proses create PID (05/03) proses aanwijziing plan selesai 10/03 23/2 hold"&amp;" kendala OLT di status Terakhir  (08/01) kendala mini olt ampalu koto slot full (07/01) Persiapan")</f>
        <v>(20/04) abd masuk HI ke SDI (13/04) terminasi odp  (06/04) penarikan kabel (02/04) tanam tiang  (30/03) material onsite (16/03) proses PO ke mitra dan menunggu kabel 12 ADSS (06/03) Proses create PID (05/03) proses aanwijziing plan selesai 10/03 23/2 hold kendala OLT di status Terakhir  (08/01) kendala mini olt ampalu koto slot full (07/01) Persiapan</v>
      </c>
      <c r="R1722" s="228">
        <f>IFERROR(__xludf.DUMMYFUNCTION("""COMPUTED_VALUE"""),46136.0)</f>
        <v>46136</v>
      </c>
      <c r="S1722" s="11"/>
      <c r="T1722" s="73"/>
      <c r="U1722" s="11" t="str">
        <f>IFERROR(__xludf.DUMMYFUNCTION("""COMPUTED_VALUE"""),"TIF-5662/2026  26KT03R158-0069")</f>
        <v>TIF-5662/2026  26KT03R158-0069</v>
      </c>
      <c r="V1722" s="229" t="str">
        <f>IFERROR(__xludf.DUMMYFUNCTION("""COMPUTED_VALUE"""),"YULIO NOVIKO")</f>
        <v>YULIO NOVIKO</v>
      </c>
      <c r="W1722" s="229" t="str">
        <f>IFERROR(__xludf.DUMMYFUNCTION("""COMPUTED_VALUE"""),"MELKO NARWADI")</f>
        <v>MELKO NARWADI</v>
      </c>
      <c r="X1722" s="229" t="str">
        <f>IFERROR(__xludf.DUMMYFUNCTION("""COMPUTED_VALUE"""),"GOLIVE")</f>
        <v>GOLIVE</v>
      </c>
      <c r="Y1722" s="229" t="str">
        <f>IFERROR(__xludf.DUMMYFUNCTION("""COMPUTED_VALUE"""),"DONE")</f>
        <v>DONE</v>
      </c>
      <c r="Z1722" s="229" t="str">
        <f>IFERROR(__xludf.DUMMYFUNCTION("""COMPUTED_VALUE"""),"#N/A")</f>
        <v>#N/A</v>
      </c>
      <c r="AA1722" s="229">
        <f>IFERROR(__xludf.DUMMYFUNCTION("""COMPUTED_VALUE"""),5.0)</f>
        <v>5</v>
      </c>
      <c r="AB1722" s="229"/>
      <c r="AC1722" s="229" t="str">
        <f>IFERROR(__xludf.DUMMYFUNCTION("""COMPUTED_VALUE"""),"9296854#9296859	")</f>
        <v>9296854#9296859	</v>
      </c>
      <c r="AD1722" s="232">
        <f>IFERROR(__xludf.DUMMYFUNCTION("""COMPUTED_VALUE"""),40.0)</f>
        <v>40</v>
      </c>
      <c r="AE1722" s="233">
        <f>IFERROR(__xludf.DUMMYFUNCTION("""COMPUTED_VALUE"""),46136.0)</f>
        <v>46136</v>
      </c>
      <c r="AF1722" s="54"/>
      <c r="AG1722" s="54"/>
      <c r="AH1722" s="54">
        <v>46129.0</v>
      </c>
      <c r="AI1722" s="55">
        <f t="shared" si="173"/>
        <v>-7</v>
      </c>
      <c r="AJ1722" s="229" t="str">
        <f t="shared" si="174"/>
        <v>Gl out komitmen</v>
      </c>
      <c r="AK1722" s="231" t="s">
        <v>199</v>
      </c>
      <c r="AW1722" s="234"/>
      <c r="BP1722" s="11"/>
      <c r="BQ1722" s="11"/>
      <c r="BR1722" s="235"/>
      <c r="BV1722" s="158"/>
      <c r="BY1722" s="158"/>
      <c r="CB1722" s="158"/>
    </row>
    <row r="1723" ht="18.0" customHeight="1">
      <c r="A1723" s="222">
        <f>IFERROR(__xludf.DUMMYFUNCTION("""COMPUTED_VALUE"""),2026.0)</f>
        <v>2026</v>
      </c>
      <c r="B1723" s="221">
        <f>IFERROR(__xludf.DUMMYFUNCTION("""COMPUTED_VALUE"""),1.2276685E7)</f>
        <v>12276685</v>
      </c>
      <c r="C1723" s="222" t="str">
        <f>IFERROR(__xludf.DUMMYFUNCTION("""COMPUTED_VALUE"""),"SMB-PT3-ODC-SUN-FB-DHARr_72487-3 Cluster")</f>
        <v>SMB-PT3-ODC-SUN-FB-DHARr_72487-3 Cluster</v>
      </c>
      <c r="D1723" s="222" t="str">
        <f>IFERROR(__xludf.DUMMYFUNCTION("""COMPUTED_VALUE"""),"REGIONAL I")</f>
        <v>REGIONAL I</v>
      </c>
      <c r="E1723" s="222" t="str">
        <f>IFERROR(__xludf.DUMMYFUNCTION("""COMPUTED_VALUE"""),"SUMBAR")</f>
        <v>SUMBAR</v>
      </c>
      <c r="F1723" s="222" t="str">
        <f>IFERROR(__xludf.DUMMYFUNCTION("""COMPUTED_VALUE"""),"SUN")</f>
        <v>SUN</v>
      </c>
      <c r="G1723" s="222" t="str">
        <f>IFERROR(__xludf.DUMMYFUNCTION("""COMPUTED_VALUE"""),"SUMBAGTENG")</f>
        <v>SUMBAGTENG</v>
      </c>
      <c r="H1723" s="222" t="str">
        <f>IFERROR(__xludf.DUMMYFUNCTION("""COMPUTED_VALUE"""),"PADANG")</f>
        <v>PADANG</v>
      </c>
      <c r="I1723" s="222" t="str">
        <f>IFERROR(__xludf.DUMMYFUNCTION("""COMPUTED_VALUE"""),"Batch 2")</f>
        <v>Batch 2</v>
      </c>
      <c r="J1723" s="225">
        <f>IFERROR(__xludf.DUMMYFUNCTION("""COMPUTED_VALUE"""),5.0)</f>
        <v>5</v>
      </c>
      <c r="K1723" s="224">
        <f>IFERROR(__xludf.DUMMYFUNCTION("""COMPUTED_VALUE"""),40.0)</f>
        <v>40</v>
      </c>
      <c r="L1723" s="226">
        <f>IFERROR(__xludf.DUMMYFUNCTION("""COMPUTED_VALUE"""),440006.0)</f>
        <v>440006</v>
      </c>
      <c r="M1723" s="227">
        <f>IFERROR(__xludf.DUMMYFUNCTION("""COMPUTED_VALUE"""),1.7600224E7)</f>
        <v>17600224</v>
      </c>
      <c r="N1723" s="222" t="str">
        <f>IFERROR(__xludf.DUMMYFUNCTION("""COMPUTED_VALUE"""),"PT TIGA AKSES MANDIRI")</f>
        <v>PT TIGA AKSES MANDIRI</v>
      </c>
      <c r="O1723" s="222" t="str">
        <f>IFERROR(__xludf.DUMMYFUNCTION("""COMPUTED_VALUE"""),"0. DROP")</f>
        <v>0. DROP</v>
      </c>
      <c r="P1723" s="222" t="str">
        <f>IFERROR(__xludf.DUMMYFUNCTION("""COMPUTED_VALUE"""),"0.1 Double Order")</f>
        <v>0.1 Double Order</v>
      </c>
      <c r="Q1723" s="222" t="str">
        <f>IFERROR(__xludf.DUMMYFUNCTION("""COMPUTED_VALUE"""),"(02/03) 12276685 SMB-PT3-ODC-SUN-FB-DHARM_72487-3 Cluster 23/2 hold kendala OLT di status Terakhir  23/01 : kendala mini olt ampalu koto slot full (07/01) Persiapan")</f>
        <v>(02/03) 12276685 SMB-PT3-ODC-SUN-FB-DHARM_72487-3 Cluster 23/2 hold kendala OLT di status Terakhir  23/01 : kendala mini olt ampalu koto slot full (07/01) Persiapan</v>
      </c>
      <c r="R1723" s="228"/>
      <c r="S1723" s="11"/>
      <c r="T1723" s="11"/>
      <c r="U1723" s="11"/>
      <c r="V1723" s="229" t="str">
        <f>IFERROR(__xludf.DUMMYFUNCTION("""COMPUTED_VALUE"""),"YULIO NOVIKO")</f>
        <v>YULIO NOVIKO</v>
      </c>
      <c r="W1723" s="229"/>
      <c r="X1723" s="229" t="str">
        <f>IFERROR(__xludf.DUMMYFUNCTION("""COMPUTED_VALUE"""),"BELUM GOLIVE")</f>
        <v>BELUM GOLIVE</v>
      </c>
      <c r="Y1723" s="229" t="str">
        <f>IFERROR(__xludf.DUMMYFUNCTION("""COMPUTED_VALUE"""),"PORT OLT Penuh")</f>
        <v>PORT OLT Penuh</v>
      </c>
      <c r="Z1723" s="229" t="str">
        <f>IFERROR(__xludf.DUMMYFUNCTION("""COMPUTED_VALUE"""),"#N/A")</f>
        <v>#N/A</v>
      </c>
      <c r="AA1723" s="229"/>
      <c r="AB1723" s="229"/>
      <c r="AC1723" s="229"/>
      <c r="AD1723" s="232"/>
      <c r="AE1723" s="233"/>
      <c r="AF1723" s="54" t="str">
        <f>IFERROR(__xludf.DUMMYFUNCTION("""COMPUTED_VALUE"""),"Draft BA DROP")</f>
        <v>Draft BA DROP</v>
      </c>
      <c r="AG1723" s="54"/>
      <c r="AH1723" s="54"/>
      <c r="AI1723" s="55" t="str">
        <f t="shared" ref="AI1723:AI1732" si="175">IF(OR(R1723="",AE1723=""),"",R1723-AE1723)</f>
        <v/>
      </c>
      <c r="AW1723" s="234"/>
      <c r="BP1723" s="11"/>
      <c r="BQ1723" s="11"/>
      <c r="BR1723" s="235"/>
      <c r="BV1723" s="158"/>
      <c r="BY1723" s="158"/>
      <c r="CB1723" s="158"/>
    </row>
    <row r="1724" ht="18.0" customHeight="1">
      <c r="A1724" s="222">
        <f>IFERROR(__xludf.DUMMYFUNCTION("""COMPUTED_VALUE"""),2026.0)</f>
        <v>2026</v>
      </c>
      <c r="B1724" s="221">
        <f>IFERROR(__xludf.DUMMYFUNCTION("""COMPUTED_VALUE"""),1.1105862E7)</f>
        <v>11105862</v>
      </c>
      <c r="C1724" s="222" t="str">
        <f>IFERROR(__xludf.DUMMYFUNCTION("""COMPUTED_VALUE"""),"RKP PT3 JPPTSEL KMS-FBT PERUM. PERMANA VISTA_")</f>
        <v>RKP PT3 JPPTSEL KMS-FBT PERUM. PERMANA VISTA_</v>
      </c>
      <c r="D1724" s="222" t="str">
        <f>IFERROR(__xludf.DUMMYFUNCTION("""COMPUTED_VALUE"""),"REGIONAL I")</f>
        <v>REGIONAL I</v>
      </c>
      <c r="E1724" s="222" t="str">
        <f>IFERROR(__xludf.DUMMYFUNCTION("""COMPUTED_VALUE"""),"RIKEP")</f>
        <v>RIKEP</v>
      </c>
      <c r="F1724" s="222" t="str">
        <f>IFERROR(__xludf.DUMMYFUNCTION("""COMPUTED_VALUE"""),"KMS")</f>
        <v>KMS</v>
      </c>
      <c r="G1724" s="222" t="str">
        <f>IFERROR(__xludf.DUMMYFUNCTION("""COMPUTED_VALUE"""),"SUMBAGTENG")</f>
        <v>SUMBAGTENG</v>
      </c>
      <c r="H1724" s="222" t="str">
        <f>IFERROR(__xludf.DUMMYFUNCTION("""COMPUTED_VALUE"""),"BATAM")</f>
        <v>BATAM</v>
      </c>
      <c r="I1724" s="222" t="str">
        <f>IFERROR(__xludf.DUMMYFUNCTION("""COMPUTED_VALUE"""),"Batch 2")</f>
        <v>Batch 2</v>
      </c>
      <c r="J1724" s="225">
        <f>IFERROR(__xludf.DUMMYFUNCTION("""COMPUTED_VALUE"""),4.0)</f>
        <v>4</v>
      </c>
      <c r="K1724" s="224">
        <f>IFERROR(__xludf.DUMMYFUNCTION("""COMPUTED_VALUE"""),32.0)</f>
        <v>32</v>
      </c>
      <c r="L1724" s="226">
        <f>IFERROR(__xludf.DUMMYFUNCTION("""COMPUTED_VALUE"""),436566.0)</f>
        <v>436566</v>
      </c>
      <c r="M1724" s="227">
        <f>IFERROR(__xludf.DUMMYFUNCTION("""COMPUTED_VALUE"""),1.3970102E7)</f>
        <v>13970102</v>
      </c>
      <c r="N1724" s="222" t="str">
        <f>IFERROR(__xludf.DUMMYFUNCTION("""COMPUTED_VALUE"""),"PT SALTTEK DUMPANG JAYA")</f>
        <v>PT SALTTEK DUMPANG JAYA</v>
      </c>
      <c r="O1724" s="222" t="str">
        <f>IFERROR(__xludf.DUMMYFUNCTION("""COMPUTED_VALUE"""),"0. DROP")</f>
        <v>0. DROP</v>
      </c>
      <c r="P1724" s="222" t="str">
        <f>IFERROR(__xludf.DUMMYFUNCTION("""COMPUTED_VALUE"""),"0.1 Double Order")</f>
        <v>0.1 Double Order</v>
      </c>
      <c r="Q1724" s="222" t="str">
        <f>IFERROR(__xludf.DUMMYFUNCTION("""COMPUTED_VALUE"""),"04/02 LOP DROP double order dengan LOP RKP PT3 JPPTSEL KMS-FBT PERUM. PERMANA VISTA 11029567")</f>
        <v>04/02 LOP DROP double order dengan LOP RKP PT3 JPPTSEL KMS-FBT PERUM. PERMANA VISTA 11029567</v>
      </c>
      <c r="R1724" s="228"/>
      <c r="S1724" s="11"/>
      <c r="T1724" s="11"/>
      <c r="U1724" s="11"/>
      <c r="V1724" s="229" t="str">
        <f>IFERROR(__xludf.DUMMYFUNCTION("""COMPUTED_VALUE"""),"DEDY IRAWAN")</f>
        <v>DEDY IRAWAN</v>
      </c>
      <c r="W1724" s="229" t="str">
        <f>IFERROR(__xludf.DUMMYFUNCTION("""COMPUTED_VALUE"""),"LEVITA INDRIYANI")</f>
        <v>LEVITA INDRIYANI</v>
      </c>
      <c r="X1724" s="229" t="str">
        <f>IFERROR(__xludf.DUMMYFUNCTION("""COMPUTED_VALUE"""),"BELUM GOLIVE")</f>
        <v>BELUM GOLIVE</v>
      </c>
      <c r="Y1724" s="229"/>
      <c r="Z1724" s="229" t="str">
        <f>IFERROR(__xludf.DUMMYFUNCTION("""COMPUTED_VALUE"""),"#N/A")</f>
        <v>#N/A</v>
      </c>
      <c r="AA1724" s="229"/>
      <c r="AB1724" s="229"/>
      <c r="AC1724" s="229"/>
      <c r="AD1724" s="232"/>
      <c r="AE1724" s="233"/>
      <c r="AF1724" s="54" t="str">
        <f>IFERROR(__xludf.DUMMYFUNCTION("""COMPUTED_VALUE"""),"Draft BA DROP")</f>
        <v>Draft BA DROP</v>
      </c>
      <c r="AG1724" s="54"/>
      <c r="AH1724" s="54"/>
      <c r="AI1724" s="55" t="str">
        <f t="shared" si="175"/>
        <v/>
      </c>
      <c r="AW1724" s="234"/>
      <c r="BP1724" s="11"/>
      <c r="BQ1724" s="11"/>
      <c r="BR1724" s="235"/>
      <c r="BV1724" s="158"/>
      <c r="BY1724" s="158"/>
      <c r="CB1724" s="158"/>
    </row>
    <row r="1725" ht="18.0" hidden="1" customHeight="1">
      <c r="A1725" s="222">
        <f>IFERROR(__xludf.DUMMYFUNCTION("""COMPUTED_VALUE"""),2026.0)</f>
        <v>2026</v>
      </c>
      <c r="B1725" s="221">
        <f>IFERROR(__xludf.DUMMYFUNCTION("""COMPUTED_VALUE"""),1.2213772E7)</f>
        <v>12213772</v>
      </c>
      <c r="C1725" s="222" t="str">
        <f>IFERROR(__xludf.DUMMYFUNCTION("""COMPUTED_VALUE"""),"SMS P3I4 PT3 PBM FAQ D01 KARANG ENDAH SE")</f>
        <v>SMS P3I4 PT3 PBM FAQ D01 KARANG ENDAH SE</v>
      </c>
      <c r="D1725" s="222" t="str">
        <f>IFERROR(__xludf.DUMMYFUNCTION("""COMPUTED_VALUE"""),"REGIONAL I")</f>
        <v>REGIONAL I</v>
      </c>
      <c r="E1725" s="222" t="str">
        <f>IFERROR(__xludf.DUMMYFUNCTION("""COMPUTED_VALUE"""),"SUMSEL")</f>
        <v>SUMSEL</v>
      </c>
      <c r="F1725" s="222" t="str">
        <f>IFERROR(__xludf.DUMMYFUNCTION("""COMPUTED_VALUE"""),"PBM")</f>
        <v>PBM</v>
      </c>
      <c r="G1725" s="222" t="str">
        <f>IFERROR(__xludf.DUMMYFUNCTION("""COMPUTED_VALUE"""),"SUMBAGSEL")</f>
        <v>SUMBAGSEL</v>
      </c>
      <c r="H1725" s="222" t="str">
        <f>IFERROR(__xludf.DUMMYFUNCTION("""COMPUTED_VALUE"""),"PALEMBANG")</f>
        <v>PALEMBANG</v>
      </c>
      <c r="I1725" s="222" t="str">
        <f>IFERROR(__xludf.DUMMYFUNCTION("""COMPUTED_VALUE"""),"Batch 2")</f>
        <v>Batch 2</v>
      </c>
      <c r="J1725" s="225">
        <f>IFERROR(__xludf.DUMMYFUNCTION("""COMPUTED_VALUE"""),5.0)</f>
        <v>5</v>
      </c>
      <c r="K1725" s="224">
        <f>IFERROR(__xludf.DUMMYFUNCTION("""COMPUTED_VALUE"""),40.0)</f>
        <v>40</v>
      </c>
      <c r="L1725" s="226">
        <f>IFERROR(__xludf.DUMMYFUNCTION("""COMPUTED_VALUE"""),435918.0)</f>
        <v>435918</v>
      </c>
      <c r="M1725" s="227">
        <f>IFERROR(__xludf.DUMMYFUNCTION("""COMPUTED_VALUE"""),1.7436684E7)</f>
        <v>17436684</v>
      </c>
      <c r="N1725" s="222" t="str">
        <f>IFERROR(__xludf.DUMMYFUNCTION("""COMPUTED_VALUE"""),"PT ACERO CETHA METALINDO")</f>
        <v>PT ACERO CETHA METALINDO</v>
      </c>
      <c r="O1725" s="222" t="str">
        <f>IFERROR(__xludf.DUMMYFUNCTION("""COMPUTED_VALUE"""),"5. INSTALASI")</f>
        <v>5. INSTALASI</v>
      </c>
      <c r="P1725" s="222" t="str">
        <f>IFERROR(__xludf.DUMMYFUNCTION("""COMPUTED_VALUE"""),"5.9 Proses Pemasangan/Terminasi ODP/OTB")</f>
        <v>5.9 Proses Pemasangan/Terminasi ODP/OTB</v>
      </c>
      <c r="Q1725" s="222" t="str">
        <f>IFERROR(__xludf.DUMMYFUNCTION("""COMPUTED_VALUE"""),"27/04 PROGRESS JOIN ODP, 24/04 menunggu tpas site SAt017 untuk jumper mini olt dan pasang odp,22/04 menunggu tpas site SAt017 untuk jumper mini olt dan pasang odp, 17/04 DONE PENARIKAN KABEL 210M, 15/04 HI pengiriman material ke lokasi, 13/04 masih perizi"&amp;"nan sama kades belum ada feedback 13 Apr plan bertemu 08/04 MENUNGGU PR PO, 06/04 PROSES PR PO, 04/04 PERIZINAN OK - LANJUT PROGRESS, 01/04 PARALEL PERIZINAN LINTAS, 31/03 DONE INPUT MATERIAL-KOORDINASI DG MITRA TERKAIT PLAN PENGAMBILAN MATERIAL, 30/03 PL"&amp;"AN HARI INI INPUT MATERIAL, 27/03 INPUT ULANG MATERIAL SETELAH PEKERJAAN LOP GUNUNG KEMALO DAN RODA QE SELESAI, 26/03 MASIH MENUNGGU ANTRIAAN PEKERJAAN LOP GUNUNG KEMALO DAN RODA QE, 24/03 MASIH MENUNGGU ANTRIAN PEKERJAAN, 21/03 PARALEL MENUNGGU PROGRESS "&amp;"PEKERJAAN LOP DESA PANGKUL, 13/03 MENUNGGU ANTRIAN PROGRESS, 12/03 PARALEL OGP PROGRESS, 10/03 MENUNGGU PROGRESS PEKERJAAN, 09/03 MENUNGGU PROGRESS PEKERJAAN, 06/03 MATERIAL ONSITE, 05/03 HARI INI AMBIL MATERIAL, 02/03 PARALEL, MENUNGGU ANTRIAN PEKERJAAN,"&amp;" 27/02 DONE RFC, OGP AMBIL MATERIAL, 27/02 PARALEL, MENUNGGU ANTRIAN PEKERJAAN, 26/02 PARALEL, MENUNGGU ANTRIAN PEKERJAAN, 24/02 DONE PR PO, 23/02 MENUNGGU APPROVAL DRM, 22/2 menunggu material TIANG  20/02 DONE INPUT MATERIAL, 18/02 PROGRESS INPUT MATERIA"&amp;"L - KENDALA OVER BUDGET, 11/2 plan matdel 15 FEB 10/02 PROSES PERIZINAN, 09/02 OGP TTD NODIN DRM MITRA, 06/02 HASIL REVIEW TSEL LANJUT DRM, 03/02 DONE EVAL, HOLD KARENA BUTUH KOORDINASI DG SALES UNTUK LOKASI YG MASUK RUAS PU NASIONAL DAN STUB CORE D01 SIS"&amp;"A 4 CORE 03/02 DONE EVAL, HOLD KARENA BUTUH KOORDINASI DG SALES UNTUK LOKASI YG MASUK RUAS PU NASIONAL DAN STUB CORE D01 SISA 4 CORE, 30/01 PROSES EVAL, 23/01 DONE AANWIDJZING, (21/01) menunggu antrian aanwizjing, (15/1) ORDER DITERIMA MITRA 14/1, plan Aa"&amp;"nwijdzing 19 Jan (14/11)HOLD- tidak masuk target Optimis 2025 (14/11 menunggu jadwal aanwidjzing, (11/11) Penunjukkan MITRA oleh Procurement 
 14/01 penunjukan mitra oleh procurement")</f>
        <v>27/04 PROGRESS JOIN ODP, 24/04 menunggu tpas site SAt017 untuk jumper mini olt dan pasang odp,22/04 menunggu tpas site SAt017 untuk jumper mini olt dan pasang odp, 17/04 DONE PENARIKAN KABEL 210M, 15/04 HI pengiriman material ke lokasi, 13/04 masih perizinan sama kades belum ada feedback 13 Apr plan bertemu 08/04 MENUNGGU PR PO, 06/04 PROSES PR PO, 04/04 PERIZINAN OK - LANJUT PROGRESS, 01/04 PARALEL PERIZINAN LINTAS, 31/03 DONE INPUT MATERIAL-KOORDINASI DG MITRA TERKAIT PLAN PENGAMBILAN MATERIAL, 30/03 PLAN HARI INI INPUT MATERIAL, 27/03 INPUT ULANG MATERIAL SETELAH PEKERJAAN LOP GUNUNG KEMALO DAN RODA QE SELESAI, 26/03 MASIH MENUNGGU ANTRIAAN PEKERJAAN LOP GUNUNG KEMALO DAN RODA QE, 24/03 MASIH MENUNGGU ANTRIAN PEKERJAAN, 21/03 PARALEL MENUNGGU PROGRESS PEKERJAAN LOP DESA PANGKUL, 13/03 MENUNGGU ANTRIAN PROGRESS, 12/03 PARALEL OGP PROGRESS, 10/03 MENUNGGU PROGRESS PEKERJAAN, 09/03 MENUNGGU PROGRESS PEKERJAAN, 06/03 MATERIAL ONSITE, 05/03 HARI INI AMBIL MATERIAL, 02/03 PARALEL, MENUNGGU ANTRIAN PEKERJAAN, 27/02 DONE RFC, OGP AMBIL MATERIAL, 27/02 PARALEL, MENUNGGU ANTRIAN PEKERJAAN, 26/02 PARALEL, MENUNGGU ANTRIAN PEKERJAAN, 24/02 DONE PR PO, 23/02 MENUNGGU APPROVAL DRM, 22/2 menunggu material TIANG  20/02 DONE INPUT MATERIAL, 18/02 PROGRESS INPUT MATERIAL - KENDALA OVER BUDGET, 11/2 plan matdel 15 FEB 10/02 PROSES PERIZINAN, 09/02 OGP TTD NODIN DRM MITRA, 06/02 HASIL REVIEW TSEL LANJUT DRM, 03/02 DONE EVAL, HOLD KARENA BUTUH KOORDINASI DG SALES UNTUK LOKASI YG MASUK RUAS PU NASIONAL DAN STUB CORE D01 SISA 4 CORE 03/02 DONE EVAL, HOLD KARENA BUTUH KOORDINASI DG SALES UNTUK LOKASI YG MASUK RUAS PU NASIONAL DAN STUB CORE D01 SISA 4 CORE, 30/01 PROSES EVAL, 23/01 DONE AANWIDJZING, (21/01) menunggu antrian aanwizjing, (15/1) ORDER DITERIMA MITRA 14/1, plan Aanwijdzing 19 Jan (14/11)HOLD- tidak masuk target Optimis 2025 (14/11 menunggu jadwal aanwidjzing, (11/11) Penunjukkan MITRA oleh Procurement 
 14/01 penunjukan mitra oleh procurement</v>
      </c>
      <c r="R1725" s="228">
        <f>IFERROR(__xludf.DUMMYFUNCTION("""COMPUTED_VALUE"""),46142.0)</f>
        <v>46142</v>
      </c>
      <c r="S1725" s="11" t="str">
        <f>IFERROR(__xludf.DUMMYFUNCTION("""COMPUTED_VALUE"""),"APR")</f>
        <v>APR</v>
      </c>
      <c r="T1725" s="11" t="str">
        <f>IFERROR(__xludf.DUMMYFUNCTION("""COMPUTED_VALUE"""),"P1")</f>
        <v>P1</v>
      </c>
      <c r="U1725" s="11"/>
      <c r="V1725" s="229" t="str">
        <f>IFERROR(__xludf.DUMMYFUNCTION("""COMPUTED_VALUE"""),"ILHAM")</f>
        <v>ILHAM</v>
      </c>
      <c r="W1725" s="229"/>
      <c r="X1725" s="229" t="str">
        <f>IFERROR(__xludf.DUMMYFUNCTION("""COMPUTED_VALUE"""),"BELUM GOLIVE")</f>
        <v>BELUM GOLIVE</v>
      </c>
      <c r="Y1725" s="229"/>
      <c r="Z1725" s="229" t="str">
        <f>IFERROR(__xludf.DUMMYFUNCTION("""COMPUTED_VALUE"""),"#N/A")</f>
        <v>#N/A</v>
      </c>
      <c r="AA1725" s="229"/>
      <c r="AB1725" s="229"/>
      <c r="AC1725" s="229"/>
      <c r="AD1725" s="232"/>
      <c r="AE1725" s="233"/>
      <c r="AF1725" s="54"/>
      <c r="AG1725" s="54"/>
      <c r="AH1725" s="54"/>
      <c r="AI1725" s="55" t="str">
        <f t="shared" si="175"/>
        <v/>
      </c>
      <c r="AW1725" s="234"/>
      <c r="BP1725" s="11"/>
      <c r="BQ1725" s="11"/>
      <c r="BR1725" s="235"/>
      <c r="BV1725" s="158"/>
      <c r="BY1725" s="158"/>
      <c r="CB1725" s="158"/>
    </row>
    <row r="1726" ht="18.0" customHeight="1">
      <c r="A1726" s="222">
        <f>IFERROR(__xludf.DUMMYFUNCTION("""COMPUTED_VALUE"""),2026.0)</f>
        <v>2026</v>
      </c>
      <c r="B1726" s="221">
        <f>IFERROR(__xludf.DUMMYFUNCTION("""COMPUTED_VALUE"""),1.1800505E7)</f>
        <v>11800505</v>
      </c>
      <c r="C1726" s="222" t="str">
        <f>IFERROR(__xludf.DUMMYFUNCTION("""COMPUTED_VALUE"""),"RDR JPP PT3 KOTA PEKANBARU_15799")</f>
        <v>RDR JPP PT3 KOTA PEKANBARU_15799</v>
      </c>
      <c r="D1726" s="222" t="str">
        <f>IFERROR(__xludf.DUMMYFUNCTION("""COMPUTED_VALUE"""),"REGIONAL I")</f>
        <v>REGIONAL I</v>
      </c>
      <c r="E1726" s="222" t="str">
        <f>IFERROR(__xludf.DUMMYFUNCTION("""COMPUTED_VALUE"""),"RIDAR")</f>
        <v>RIDAR</v>
      </c>
      <c r="F1726" s="222" t="str">
        <f>IFERROR(__xludf.DUMMYFUNCTION("""COMPUTED_VALUE"""),"ARK")</f>
        <v>ARK</v>
      </c>
      <c r="G1726" s="222" t="str">
        <f>IFERROR(__xludf.DUMMYFUNCTION("""COMPUTED_VALUE"""),"SUMBAGTENG")</f>
        <v>SUMBAGTENG</v>
      </c>
      <c r="H1726" s="222" t="str">
        <f>IFERROR(__xludf.DUMMYFUNCTION("""COMPUTED_VALUE"""),"PEKANBARU")</f>
        <v>PEKANBARU</v>
      </c>
      <c r="I1726" s="222" t="str">
        <f>IFERROR(__xludf.DUMMYFUNCTION("""COMPUTED_VALUE"""),"Batch 2")</f>
        <v>Batch 2</v>
      </c>
      <c r="J1726" s="225">
        <f>IFERROR(__xludf.DUMMYFUNCTION("""COMPUTED_VALUE"""),6.0)</f>
        <v>6</v>
      </c>
      <c r="K1726" s="224">
        <f>IFERROR(__xludf.DUMMYFUNCTION("""COMPUTED_VALUE"""),48.0)</f>
        <v>48</v>
      </c>
      <c r="L1726" s="226">
        <f>IFERROR(__xludf.DUMMYFUNCTION("""COMPUTED_VALUE"""),799054.0)</f>
        <v>799054</v>
      </c>
      <c r="M1726" s="227">
        <f>IFERROR(__xludf.DUMMYFUNCTION("""COMPUTED_VALUE"""),3.8354563E7)</f>
        <v>38354563</v>
      </c>
      <c r="N1726" s="222" t="str">
        <f>IFERROR(__xludf.DUMMYFUNCTION("""COMPUTED_VALUE"""),"SWAKELOLA")</f>
        <v>SWAKELOLA</v>
      </c>
      <c r="O1726" s="222" t="str">
        <f>IFERROR(__xludf.DUMMYFUNCTION("""COMPUTED_VALUE"""),"0. DROP")</f>
        <v>0. DROP</v>
      </c>
      <c r="P1726" s="222" t="str">
        <f>IFERROR(__xludf.DUMMYFUNCTION("""COMPUTED_VALUE"""),"0.2 Tidak Dapat Izin Warga/Kades/Lurah/Developer")</f>
        <v>0.2 Tidak Dapat Izin Warga/Kades/Lurah/Developer</v>
      </c>
      <c r="Q1726" s="222" t="str">
        <f>IFERROR(__xludf.DUMMYFUNCTION("""COMPUTED_VALUE"""),"20/01 Tidak dapat izin tanam tiang (08/01) BUTUH REPAIR FEEDER (PYK FP) (07/01) Persiapan")</f>
        <v>20/01 Tidak dapat izin tanam tiang (08/01) BUTUH REPAIR FEEDER (PYK FP) (07/01) Persiapan</v>
      </c>
      <c r="R1726" s="228"/>
      <c r="S1726" s="11"/>
      <c r="T1726" s="11"/>
      <c r="U1726" s="11"/>
      <c r="V1726" s="229" t="str">
        <f>IFERROR(__xludf.DUMMYFUNCTION("""COMPUTED_VALUE"""),"PIKI NOFRI SAPUTRA")</f>
        <v>PIKI NOFRI SAPUTRA</v>
      </c>
      <c r="W1726" s="229" t="str">
        <f>IFERROR(__xludf.DUMMYFUNCTION("""COMPUTED_VALUE"""),"ANZALA SAKINAH")</f>
        <v>ANZALA SAKINAH</v>
      </c>
      <c r="X1726" s="229" t="str">
        <f>IFERROR(__xludf.DUMMYFUNCTION("""COMPUTED_VALUE"""),"BELUM GOLIVE")</f>
        <v>BELUM GOLIVE</v>
      </c>
      <c r="Y1726" s="229"/>
      <c r="Z1726" s="229" t="str">
        <f>IFERROR(__xludf.DUMMYFUNCTION("""COMPUTED_VALUE"""),"#N/A")</f>
        <v>#N/A</v>
      </c>
      <c r="AA1726" s="229"/>
      <c r="AB1726" s="229"/>
      <c r="AC1726" s="229"/>
      <c r="AD1726" s="232"/>
      <c r="AE1726" s="233"/>
      <c r="AF1726" s="54" t="str">
        <f>IFERROR(__xludf.DUMMYFUNCTION("""COMPUTED_VALUE"""),"Draft BA DROP")</f>
        <v>Draft BA DROP</v>
      </c>
      <c r="AG1726" s="54"/>
      <c r="AH1726" s="54"/>
      <c r="AI1726" s="55" t="str">
        <f t="shared" si="175"/>
        <v/>
      </c>
      <c r="AW1726" s="234"/>
      <c r="BP1726" s="11"/>
      <c r="BQ1726" s="11"/>
      <c r="BR1726" s="235"/>
      <c r="BV1726" s="158"/>
      <c r="BY1726" s="158"/>
      <c r="CB1726" s="158"/>
    </row>
    <row r="1727" ht="18.0" customHeight="1">
      <c r="A1727" s="222">
        <f>IFERROR(__xludf.DUMMYFUNCTION("""COMPUTED_VALUE"""),2026.0)</f>
        <v>2026</v>
      </c>
      <c r="B1727" s="221">
        <f>IFERROR(__xludf.DUMMYFUNCTION("""COMPUTED_VALUE"""),1.1503398E7)</f>
        <v>11503398</v>
      </c>
      <c r="C1727" s="222" t="str">
        <f>IFERROR(__xludf.DUMMYFUNCTION("""COMPUTED_VALUE"""),"SMB MD - STTF SIMPANG DPR")</f>
        <v>SMB MD - STTF SIMPANG DPR</v>
      </c>
      <c r="D1727" s="222" t="str">
        <f>IFERROR(__xludf.DUMMYFUNCTION("""COMPUTED_VALUE"""),"REGIONAL I")</f>
        <v>REGIONAL I</v>
      </c>
      <c r="E1727" s="222" t="str">
        <f>IFERROR(__xludf.DUMMYFUNCTION("""COMPUTED_VALUE"""),"SUMBAR")</f>
        <v>SUMBAR</v>
      </c>
      <c r="F1727" s="222" t="str">
        <f>IFERROR(__xludf.DUMMYFUNCTION("""COMPUTED_VALUE"""),"PYK")</f>
        <v>PYK</v>
      </c>
      <c r="G1727" s="222" t="str">
        <f>IFERROR(__xludf.DUMMYFUNCTION("""COMPUTED_VALUE"""),"SUMBAGTENG")</f>
        <v>SUMBAGTENG</v>
      </c>
      <c r="H1727" s="222" t="str">
        <f>IFERROR(__xludf.DUMMYFUNCTION("""COMPUTED_VALUE"""),"BUKIT TINGGI")</f>
        <v>BUKIT TINGGI</v>
      </c>
      <c r="I1727" s="222" t="str">
        <f>IFERROR(__xludf.DUMMYFUNCTION("""COMPUTED_VALUE"""),"Batch 2")</f>
        <v>Batch 2</v>
      </c>
      <c r="J1727" s="225">
        <f>IFERROR(__xludf.DUMMYFUNCTION("""COMPUTED_VALUE"""),3.0)</f>
        <v>3</v>
      </c>
      <c r="K1727" s="224">
        <f>IFERROR(__xludf.DUMMYFUNCTION("""COMPUTED_VALUE"""),24.0)</f>
        <v>24</v>
      </c>
      <c r="L1727" s="226">
        <f>IFERROR(__xludf.DUMMYFUNCTION("""COMPUTED_VALUE"""),435101.0)</f>
        <v>435101</v>
      </c>
      <c r="M1727" s="227">
        <f>IFERROR(__xludf.DUMMYFUNCTION("""COMPUTED_VALUE"""),1.0442416E7)</f>
        <v>10442416</v>
      </c>
      <c r="N1727" s="222" t="str">
        <f>IFERROR(__xludf.DUMMYFUNCTION("""COMPUTED_VALUE"""),"PT RATRI PRIMA MANDIRI")</f>
        <v>PT RATRI PRIMA MANDIRI</v>
      </c>
      <c r="O1727" s="222" t="str">
        <f>IFERROR(__xludf.DUMMYFUNCTION("""COMPUTED_VALUE"""),"2. DONE AANWIJZING")</f>
        <v>2. DONE AANWIJZING</v>
      </c>
      <c r="P1727" s="222" t="str">
        <f>IFERROR(__xludf.DUMMYFUNCTION("""COMPUTED_VALUE"""),"2.10 Kendala - Feeder Rusak")</f>
        <v>2.10 Kendala - Feeder Rusak</v>
      </c>
      <c r="Q1727" s="222" t="str">
        <f>IFERROR(__xludf.DUMMYFUNCTION("""COMPUTED_VALUE"""),"(20/04Proses identifikasi QE feeder  (12/03) proses pengukuran tipus feeder PYK-FP (27/01) BUTUH REPAIR FEEDER (PYK FP) (07/01) Persiapan")</f>
        <v>(20/04Proses identifikasi QE feeder  (12/03) proses pengukuran tipus feeder PYK-FP (27/01) BUTUH REPAIR FEEDER (PYK FP) (07/01) Persiapan</v>
      </c>
      <c r="R1727" s="228"/>
      <c r="S1727" s="11"/>
      <c r="T1727" s="11"/>
      <c r="U1727" s="11"/>
      <c r="V1727" s="229"/>
      <c r="W1727" s="229"/>
      <c r="X1727" s="229" t="str">
        <f>IFERROR(__xludf.DUMMYFUNCTION("""COMPUTED_VALUE"""),"BELUM GOLIVE")</f>
        <v>BELUM GOLIVE</v>
      </c>
      <c r="Y1727" s="229"/>
      <c r="Z1727" s="229" t="str">
        <f>IFERROR(__xludf.DUMMYFUNCTION("""COMPUTED_VALUE"""),"#N/A")</f>
        <v>#N/A</v>
      </c>
      <c r="AA1727" s="229"/>
      <c r="AB1727" s="229"/>
      <c r="AC1727" s="229"/>
      <c r="AD1727" s="232"/>
      <c r="AE1727" s="233"/>
      <c r="AF1727" s="54"/>
      <c r="AG1727" s="54"/>
      <c r="AH1727" s="54"/>
      <c r="AI1727" s="55" t="str">
        <f t="shared" si="175"/>
        <v/>
      </c>
      <c r="AW1727" s="234"/>
      <c r="BP1727" s="11"/>
      <c r="BQ1727" s="11"/>
      <c r="BR1727" s="235"/>
      <c r="BV1727" s="158"/>
      <c r="BY1727" s="158"/>
      <c r="CB1727" s="158"/>
    </row>
    <row r="1728" ht="18.0" customHeight="1">
      <c r="A1728" s="222">
        <f>IFERROR(__xludf.DUMMYFUNCTION("""COMPUTED_VALUE"""),2026.0)</f>
        <v>2026</v>
      </c>
      <c r="B1728" s="221">
        <f>IFERROR(__xludf.DUMMYFUNCTION("""COMPUTED_VALUE"""),1.1440224E7)</f>
        <v>11440224</v>
      </c>
      <c r="C1728" s="222" t="str">
        <f>IFERROR(__xludf.DUMMYFUNCTION("""COMPUTED_VALUE"""),"RDR PWG PT3 P3I1 SIAK_9232")</f>
        <v>RDR PWG PT3 P3I1 SIAK_9232</v>
      </c>
      <c r="D1728" s="222" t="str">
        <f>IFERROR(__xludf.DUMMYFUNCTION("""COMPUTED_VALUE"""),"REGIONAL I")</f>
        <v>REGIONAL I</v>
      </c>
      <c r="E1728" s="222" t="str">
        <f>IFERROR(__xludf.DUMMYFUNCTION("""COMPUTED_VALUE"""),"RIDAR")</f>
        <v>RIDAR</v>
      </c>
      <c r="F1728" s="222" t="str">
        <f>IFERROR(__xludf.DUMMYFUNCTION("""COMPUTED_VALUE"""),"PWG")</f>
        <v>PWG</v>
      </c>
      <c r="G1728" s="222" t="str">
        <f>IFERROR(__xludf.DUMMYFUNCTION("""COMPUTED_VALUE"""),"SUMBAGTENG")</f>
        <v>SUMBAGTENG</v>
      </c>
      <c r="H1728" s="222" t="str">
        <f>IFERROR(__xludf.DUMMYFUNCTION("""COMPUTED_VALUE"""),"PEKANBARU")</f>
        <v>PEKANBARU</v>
      </c>
      <c r="I1728" s="222" t="str">
        <f>IFERROR(__xludf.DUMMYFUNCTION("""COMPUTED_VALUE"""),"Batch 2")</f>
        <v>Batch 2</v>
      </c>
      <c r="J1728" s="225">
        <f>IFERROR(__xludf.DUMMYFUNCTION("""COMPUTED_VALUE"""),5.0)</f>
        <v>5</v>
      </c>
      <c r="K1728" s="224">
        <f>IFERROR(__xludf.DUMMYFUNCTION("""COMPUTED_VALUE"""),40.0)</f>
        <v>40</v>
      </c>
      <c r="L1728" s="226">
        <f>IFERROR(__xludf.DUMMYFUNCTION("""COMPUTED_VALUE"""),568574.0)</f>
        <v>568574</v>
      </c>
      <c r="M1728" s="227">
        <f>IFERROR(__xludf.DUMMYFUNCTION("""COMPUTED_VALUE"""),2.274296E7)</f>
        <v>22742960</v>
      </c>
      <c r="N1728" s="222" t="str">
        <f>IFERROR(__xludf.DUMMYFUNCTION("""COMPUTED_VALUE"""),"PT TRI LESMA INDONESIA")</f>
        <v>PT TRI LESMA INDONESIA</v>
      </c>
      <c r="O1728" s="222" t="str">
        <f>IFERROR(__xludf.DUMMYFUNCTION("""COMPUTED_VALUE"""),"0. DROP")</f>
        <v>0. DROP</v>
      </c>
      <c r="P1728" s="222" t="str">
        <f>IFERROR(__xludf.DUMMYFUNCTION("""COMPUTED_VALUE"""),"0.3 Feeder Full")</f>
        <v>0.3 Feeder Full</v>
      </c>
      <c r="Q1728" s="222" t="str">
        <f>IFERROR(__xludf.DUMMYFUNCTION("""COMPUTED_VALUE"""),"20/01 Kendala Feeder full (07/01) Persiapan")</f>
        <v>20/01 Kendala Feeder full (07/01) Persiapan</v>
      </c>
      <c r="R1728" s="228"/>
      <c r="S1728" s="11"/>
      <c r="T1728" s="11"/>
      <c r="U1728" s="11"/>
      <c r="V1728" s="229" t="str">
        <f>IFERROR(__xludf.DUMMYFUNCTION("""COMPUTED_VALUE"""),"FIRDAUS ZULKARNAIEN")</f>
        <v>FIRDAUS ZULKARNAIEN</v>
      </c>
      <c r="W1728" s="229" t="str">
        <f>IFERROR(__xludf.DUMMYFUNCTION("""COMPUTED_VALUE"""),"ANZALA SAKINAH")</f>
        <v>ANZALA SAKINAH</v>
      </c>
      <c r="X1728" s="229" t="str">
        <f>IFERROR(__xludf.DUMMYFUNCTION("""COMPUTED_VALUE"""),"BELUM GOLIVE")</f>
        <v>BELUM GOLIVE</v>
      </c>
      <c r="Y1728" s="229"/>
      <c r="Z1728" s="229" t="str">
        <f>IFERROR(__xludf.DUMMYFUNCTION("""COMPUTED_VALUE"""),"#N/A")</f>
        <v>#N/A</v>
      </c>
      <c r="AA1728" s="229"/>
      <c r="AB1728" s="229"/>
      <c r="AC1728" s="229"/>
      <c r="AD1728" s="232"/>
      <c r="AE1728" s="233"/>
      <c r="AF1728" s="54" t="str">
        <f>IFERROR(__xludf.DUMMYFUNCTION("""COMPUTED_VALUE"""),"Draft BA DROP")</f>
        <v>Draft BA DROP</v>
      </c>
      <c r="AG1728" s="54"/>
      <c r="AH1728" s="54"/>
      <c r="AI1728" s="55" t="str">
        <f t="shared" si="175"/>
        <v/>
      </c>
      <c r="AW1728" s="234"/>
      <c r="BP1728" s="11"/>
      <c r="BQ1728" s="11"/>
      <c r="BR1728" s="235"/>
      <c r="BV1728" s="158"/>
      <c r="BY1728" s="158"/>
      <c r="CB1728" s="158"/>
    </row>
    <row r="1729" ht="18.0" customHeight="1">
      <c r="A1729" s="222">
        <f>IFERROR(__xludf.DUMMYFUNCTION("""COMPUTED_VALUE"""),2026.0)</f>
        <v>2026</v>
      </c>
      <c r="B1729" s="221">
        <f>IFERROR(__xludf.DUMMYFUNCTION("""COMPUTED_VALUE"""),1.1512923E7)</f>
        <v>11512923</v>
      </c>
      <c r="C1729" s="222" t="str">
        <f>IFERROR(__xludf.DUMMYFUNCTION("""COMPUTED_VALUE"""),"RDR ARK PT3 P3I1 DESA KUALU")</f>
        <v>RDR ARK PT3 P3I1 DESA KUALU</v>
      </c>
      <c r="D1729" s="222" t="str">
        <f>IFERROR(__xludf.DUMMYFUNCTION("""COMPUTED_VALUE"""),"REGIONAL I")</f>
        <v>REGIONAL I</v>
      </c>
      <c r="E1729" s="222" t="str">
        <f>IFERROR(__xludf.DUMMYFUNCTION("""COMPUTED_VALUE"""),"RIDAR")</f>
        <v>RIDAR</v>
      </c>
      <c r="F1729" s="222" t="str">
        <f>IFERROR(__xludf.DUMMYFUNCTION("""COMPUTED_VALUE"""),"ARK")</f>
        <v>ARK</v>
      </c>
      <c r="G1729" s="222" t="str">
        <f>IFERROR(__xludf.DUMMYFUNCTION("""COMPUTED_VALUE"""),"SUMBAGTENG")</f>
        <v>SUMBAGTENG</v>
      </c>
      <c r="H1729" s="222" t="str">
        <f>IFERROR(__xludf.DUMMYFUNCTION("""COMPUTED_VALUE"""),"PEKANBARU")</f>
        <v>PEKANBARU</v>
      </c>
      <c r="I1729" s="222" t="str">
        <f>IFERROR(__xludf.DUMMYFUNCTION("""COMPUTED_VALUE"""),"Batch 2")</f>
        <v>Batch 2</v>
      </c>
      <c r="J1729" s="225">
        <f>IFERROR(__xludf.DUMMYFUNCTION("""COMPUTED_VALUE"""),7.0)</f>
        <v>7</v>
      </c>
      <c r="K1729" s="224">
        <f>IFERROR(__xludf.DUMMYFUNCTION("""COMPUTED_VALUE"""),56.0)</f>
        <v>56</v>
      </c>
      <c r="L1729" s="226">
        <f>IFERROR(__xludf.DUMMYFUNCTION("""COMPUTED_VALUE"""),544582.0)</f>
        <v>544582</v>
      </c>
      <c r="M1729" s="227">
        <f>IFERROR(__xludf.DUMMYFUNCTION("""COMPUTED_VALUE"""),3.0496543E7)</f>
        <v>30496543</v>
      </c>
      <c r="N1729" s="222" t="str">
        <f>IFERROR(__xludf.DUMMYFUNCTION("""COMPUTED_VALUE"""),"PT SABANA BABARE SEJAHTERA")</f>
        <v>PT SABANA BABARE SEJAHTERA</v>
      </c>
      <c r="O1729" s="222" t="str">
        <f>IFERROR(__xludf.DUMMYFUNCTION("""COMPUTED_VALUE"""),"0. DROP")</f>
        <v>0. DROP</v>
      </c>
      <c r="P1729" s="222" t="str">
        <f>IFERROR(__xludf.DUMMYFUNCTION("""COMPUTED_VALUE"""),"0.3 Feeder Full")</f>
        <v>0.3 Feeder Full</v>
      </c>
      <c r="Q1729" s="222" t="str">
        <f>IFERROR(__xludf.DUMMYFUNCTION("""COMPUTED_VALUE"""),"20/01 Drop feeder full (07/01) Persiapan")</f>
        <v>20/01 Drop feeder full (07/01) Persiapan</v>
      </c>
      <c r="R1729" s="228"/>
      <c r="S1729" s="11"/>
      <c r="T1729" s="11"/>
      <c r="U1729" s="11"/>
      <c r="V1729" s="229" t="str">
        <f>IFERROR(__xludf.DUMMYFUNCTION("""COMPUTED_VALUE"""),"SYAFRIAL")</f>
        <v>SYAFRIAL</v>
      </c>
      <c r="W1729" s="229" t="str">
        <f>IFERROR(__xludf.DUMMYFUNCTION("""COMPUTED_VALUE"""),"DESLITA RAHMADANI")</f>
        <v>DESLITA RAHMADANI</v>
      </c>
      <c r="X1729" s="229" t="str">
        <f>IFERROR(__xludf.DUMMYFUNCTION("""COMPUTED_VALUE"""),"BELUM GOLIVE")</f>
        <v>BELUM GOLIVE</v>
      </c>
      <c r="Y1729" s="229"/>
      <c r="Z1729" s="229" t="str">
        <f>IFERROR(__xludf.DUMMYFUNCTION("""COMPUTED_VALUE"""),"#N/A")</f>
        <v>#N/A</v>
      </c>
      <c r="AA1729" s="229"/>
      <c r="AB1729" s="229"/>
      <c r="AC1729" s="229"/>
      <c r="AD1729" s="232"/>
      <c r="AE1729" s="233"/>
      <c r="AF1729" s="54" t="str">
        <f>IFERROR(__xludf.DUMMYFUNCTION("""COMPUTED_VALUE"""),"Draft BA DROP")</f>
        <v>Draft BA DROP</v>
      </c>
      <c r="AG1729" s="54"/>
      <c r="AH1729" s="54"/>
      <c r="AI1729" s="55" t="str">
        <f t="shared" si="175"/>
        <v/>
      </c>
      <c r="AW1729" s="234"/>
      <c r="BP1729" s="11"/>
      <c r="BQ1729" s="11"/>
      <c r="BR1729" s="235"/>
      <c r="BV1729" s="158"/>
      <c r="BY1729" s="158"/>
      <c r="CB1729" s="158"/>
    </row>
    <row r="1730" ht="18.0" hidden="1" customHeight="1">
      <c r="A1730" s="222">
        <f>IFERROR(__xludf.DUMMYFUNCTION("""COMPUTED_VALUE"""),2026.0)</f>
        <v>2026</v>
      </c>
      <c r="B1730" s="221">
        <f>IFERROR(__xludf.DUMMYFUNCTION("""COMPUTED_VALUE"""),1.2082421E7)</f>
        <v>12082421</v>
      </c>
      <c r="C1730" s="222" t="str">
        <f>IFERROR(__xludf.DUMMYFUNCTION("""COMPUTED_VALUE"""),"MDN PT3 CTD-FAJ GG.UTARA_MD25.")</f>
        <v>MDN PT3 CTD-FAJ GG.UTARA_MD25.</v>
      </c>
      <c r="D1730" s="222" t="str">
        <f>IFERROR(__xludf.DUMMYFUNCTION("""COMPUTED_VALUE"""),"REGIONAL I")</f>
        <v>REGIONAL I</v>
      </c>
      <c r="E1730" s="222" t="str">
        <f>IFERROR(__xludf.DUMMYFUNCTION("""COMPUTED_VALUE"""),"MEDAN")</f>
        <v>MEDAN</v>
      </c>
      <c r="F1730" s="222" t="str">
        <f>IFERROR(__xludf.DUMMYFUNCTION("""COMPUTED_VALUE"""),"CTD")</f>
        <v>CTD</v>
      </c>
      <c r="G1730" s="222" t="str">
        <f>IFERROR(__xludf.DUMMYFUNCTION("""COMPUTED_VALUE"""),"SUMBAGUT")</f>
        <v>SUMBAGUT</v>
      </c>
      <c r="H1730" s="222" t="str">
        <f>IFERROR(__xludf.DUMMYFUNCTION("""COMPUTED_VALUE"""),"MEDAN")</f>
        <v>MEDAN</v>
      </c>
      <c r="I1730" s="222" t="str">
        <f>IFERROR(__xludf.DUMMYFUNCTION("""COMPUTED_VALUE"""),"Batch 2")</f>
        <v>Batch 2</v>
      </c>
      <c r="J1730" s="225">
        <f>IFERROR(__xludf.DUMMYFUNCTION("""COMPUTED_VALUE"""),2.0)</f>
        <v>2</v>
      </c>
      <c r="K1730" s="224">
        <f>IFERROR(__xludf.DUMMYFUNCTION("""COMPUTED_VALUE"""),16.0)</f>
        <v>16</v>
      </c>
      <c r="L1730" s="226">
        <f>IFERROR(__xludf.DUMMYFUNCTION("""COMPUTED_VALUE"""),434973.0)</f>
        <v>434973</v>
      </c>
      <c r="M1730" s="227">
        <f>IFERROR(__xludf.DUMMYFUNCTION("""COMPUTED_VALUE"""),6959560.0)</f>
        <v>6959560</v>
      </c>
      <c r="N1730" s="222" t="str">
        <f>IFERROR(__xludf.DUMMYFUNCTION("""COMPUTED_VALUE"""),"PT GLOBAL KARYA WANDA")</f>
        <v>PT GLOBAL KARYA WANDA</v>
      </c>
      <c r="O1730" s="222" t="str">
        <f>IFERROR(__xludf.DUMMYFUNCTION("""COMPUTED_VALUE"""),"7. GOLIVE")</f>
        <v>7. GOLIVE</v>
      </c>
      <c r="P1730" s="222" t="str">
        <f>IFERROR(__xludf.DUMMYFUNCTION("""COMPUTED_VALUE"""),"7.2 Golive Full / OA / DONE OTB")</f>
        <v>7.2 Golive Full / OA / DONE OTB</v>
      </c>
      <c r="Q1730" s="222" t="str">
        <f>IFERROR(__xludf.DUMMYFUNCTION("""COMPUTED_VALUE"""),"21/02 Penarikan KU 11/02 Prelim Approved TIF 07/02 Pengajuan nilai  commcase 800rb menunggu approval TIF")</f>
        <v>21/02 Penarikan KU 11/02 Prelim Approved TIF 07/02 Pengajuan nilai  commcase 800rb menunggu approval TIF</v>
      </c>
      <c r="R1730" s="228"/>
      <c r="S1730" s="11"/>
      <c r="T1730" s="11"/>
      <c r="U1730" s="11" t="str">
        <f>IFERROR(__xludf.DUMMYFUNCTION("""COMPUTED_VALUE"""),"TIF-3234/2026")</f>
        <v>TIF-3234/2026</v>
      </c>
      <c r="V1730" s="229"/>
      <c r="W1730" s="229"/>
      <c r="X1730" s="229" t="str">
        <f>IFERROR(__xludf.DUMMYFUNCTION("""COMPUTED_VALUE"""),"GOLIVE")</f>
        <v>GOLIVE</v>
      </c>
      <c r="Y1730" s="229" t="str">
        <f>IFERROR(__xludf.DUMMYFUNCTION("""COMPUTED_VALUE"""),"DONE")</f>
        <v>DONE</v>
      </c>
      <c r="Z1730" s="229" t="str">
        <f>IFERROR(__xludf.DUMMYFUNCTION("""COMPUTED_VALUE"""),"#N/A")</f>
        <v>#N/A</v>
      </c>
      <c r="AA1730" s="229">
        <f>IFERROR(__xludf.DUMMYFUNCTION("""COMPUTED_VALUE"""),2.0)</f>
        <v>2</v>
      </c>
      <c r="AB1730" s="229"/>
      <c r="AC1730" s="229" t="str">
        <f>IFERROR(__xludf.DUMMYFUNCTION("""COMPUTED_VALUE"""),"9154228#9154233")</f>
        <v>9154228#9154233</v>
      </c>
      <c r="AD1730" s="232">
        <f>IFERROR(__xludf.DUMMYFUNCTION("""COMPUTED_VALUE"""),16.0)</f>
        <v>16</v>
      </c>
      <c r="AE1730" s="233">
        <f>IFERROR(__xludf.DUMMYFUNCTION("""COMPUTED_VALUE"""),46080.0)</f>
        <v>46080</v>
      </c>
      <c r="AF1730" s="54"/>
      <c r="AG1730" s="54"/>
      <c r="AH1730" s="54"/>
      <c r="AI1730" s="55" t="str">
        <f t="shared" si="175"/>
        <v/>
      </c>
      <c r="AW1730" s="234"/>
      <c r="BP1730" s="11"/>
      <c r="BQ1730" s="11"/>
      <c r="BR1730" s="235"/>
      <c r="BV1730" s="158"/>
      <c r="BY1730" s="158"/>
      <c r="CB1730" s="158"/>
    </row>
    <row r="1731" ht="18.0" hidden="1" customHeight="1">
      <c r="A1731" s="222">
        <f>IFERROR(__xludf.DUMMYFUNCTION("""COMPUTED_VALUE"""),2026.0)</f>
        <v>2026</v>
      </c>
      <c r="B1731" s="221">
        <f>IFERROR(__xludf.DUMMYFUNCTION("""COMPUTED_VALUE"""),1.1271794E7)</f>
        <v>11271794</v>
      </c>
      <c r="C1731" s="222" t="str">
        <f>IFERROR(__xludf.DUMMYFUNCTION("""COMPUTED_VALUE"""),"MDN PT3 P1I1 STB-FAB JL.KOTA RANTANG 2")</f>
        <v>MDN PT3 P1I1 STB-FAB JL.KOTA RANTANG 2</v>
      </c>
      <c r="D1731" s="222" t="str">
        <f>IFERROR(__xludf.DUMMYFUNCTION("""COMPUTED_VALUE"""),"REGIONAL I")</f>
        <v>REGIONAL I</v>
      </c>
      <c r="E1731" s="222" t="str">
        <f>IFERROR(__xludf.DUMMYFUNCTION("""COMPUTED_VALUE"""),"MEDAN")</f>
        <v>MEDAN</v>
      </c>
      <c r="F1731" s="222" t="str">
        <f>IFERROR(__xludf.DUMMYFUNCTION("""COMPUTED_VALUE"""),"STB")</f>
        <v>STB</v>
      </c>
      <c r="G1731" s="222" t="str">
        <f>IFERROR(__xludf.DUMMYFUNCTION("""COMPUTED_VALUE"""),"SUMBAGUT")</f>
        <v>SUMBAGUT</v>
      </c>
      <c r="H1731" s="222" t="str">
        <f>IFERROR(__xludf.DUMMYFUNCTION("""COMPUTED_VALUE"""),"BINJAI")</f>
        <v>BINJAI</v>
      </c>
      <c r="I1731" s="222" t="str">
        <f>IFERROR(__xludf.DUMMYFUNCTION("""COMPUTED_VALUE"""),"Batch 2")</f>
        <v>Batch 2</v>
      </c>
      <c r="J1731" s="225">
        <f>IFERROR(__xludf.DUMMYFUNCTION("""COMPUTED_VALUE"""),4.0)</f>
        <v>4</v>
      </c>
      <c r="K1731" s="224">
        <f>IFERROR(__xludf.DUMMYFUNCTION("""COMPUTED_VALUE"""),32.0)</f>
        <v>32</v>
      </c>
      <c r="L1731" s="226">
        <f>IFERROR(__xludf.DUMMYFUNCTION("""COMPUTED_VALUE"""),1642821.0)</f>
        <v>1642821</v>
      </c>
      <c r="M1731" s="227">
        <f>IFERROR(__xludf.DUMMYFUNCTION("""COMPUTED_VALUE"""),5.2570264E7)</f>
        <v>52570264</v>
      </c>
      <c r="N1731" s="222" t="str">
        <f>IFERROR(__xludf.DUMMYFUNCTION("""COMPUTED_VALUE"""),"PT M JUSUF AND SONS")</f>
        <v>PT M JUSUF AND SONS</v>
      </c>
      <c r="O1731" s="222" t="str">
        <f>IFERROR(__xludf.DUMMYFUNCTION("""COMPUTED_VALUE"""),"0. DROP")</f>
        <v>0. DROP</v>
      </c>
      <c r="P1731" s="222" t="str">
        <f>IFERROR(__xludf.DUMMYFUNCTION("""COMPUTED_VALUE"""),"0.4 CPP Tinggi Acc ED TIF")</f>
        <v>0.4 CPP Tinggi Acc ED TIF</v>
      </c>
      <c r="Q1731" s="222" t="str">
        <f>IFERROR(__xludf.DUMMYFUNCTION("""COMPUTED_VALUE"""),"01/11 Feeder Loss
(24/09) Perizinan Warga dan Kades / Lurah
(23/09) Perizinan Warga dan Kades / Lurah
15/09 proses aanwijzing")</f>
        <v>01/11 Feeder Loss
(24/09) Perizinan Warga dan Kades / Lurah
(23/09) Perizinan Warga dan Kades / Lurah
15/09 proses aanwijzing</v>
      </c>
      <c r="R1731" s="228"/>
      <c r="S1731" s="11"/>
      <c r="T1731" s="11"/>
      <c r="U1731" s="11"/>
      <c r="V1731" s="229"/>
      <c r="W1731" s="229"/>
      <c r="X1731" s="229" t="str">
        <f>IFERROR(__xludf.DUMMYFUNCTION("""COMPUTED_VALUE"""),"BELUM GOLIVE")</f>
        <v>BELUM GOLIVE</v>
      </c>
      <c r="Y1731" s="229"/>
      <c r="Z1731" s="229" t="str">
        <f>IFERROR(__xludf.DUMMYFUNCTION("""COMPUTED_VALUE"""),"#N/A")</f>
        <v>#N/A</v>
      </c>
      <c r="AA1731" s="229"/>
      <c r="AB1731" s="229"/>
      <c r="AC1731" s="229"/>
      <c r="AD1731" s="232"/>
      <c r="AE1731" s="233"/>
      <c r="AF1731" s="54" t="str">
        <f>IFERROR(__xludf.DUMMYFUNCTION("""COMPUTED_VALUE"""),"Draft BA DROP")</f>
        <v>Draft BA DROP</v>
      </c>
      <c r="AG1731" s="54"/>
      <c r="AH1731" s="54"/>
      <c r="AI1731" s="55" t="str">
        <f t="shared" si="175"/>
        <v/>
      </c>
      <c r="AW1731" s="234"/>
      <c r="BP1731" s="11"/>
      <c r="BQ1731" s="11"/>
      <c r="BR1731" s="235"/>
      <c r="BV1731" s="158"/>
      <c r="BY1731" s="158"/>
      <c r="CB1731" s="158"/>
    </row>
    <row r="1732" ht="18.0" hidden="1" customHeight="1">
      <c r="A1732" s="222">
        <f>IFERROR(__xludf.DUMMYFUNCTION("""COMPUTED_VALUE"""),2026.0)</f>
        <v>2026</v>
      </c>
      <c r="B1732" s="221">
        <f>IFERROR(__xludf.DUMMYFUNCTION("""COMPUTED_VALUE"""),1.1569429E7)</f>
        <v>11569429</v>
      </c>
      <c r="C1732" s="222" t="str">
        <f>IFERROR(__xludf.DUMMYFUNCTION("""COMPUTED_VALUE"""),"JBI-PT4+MINOL-KOA-FU-BERTAM")</f>
        <v>JBI-PT4+MINOL-KOA-FU-BERTAM</v>
      </c>
      <c r="D1732" s="222" t="str">
        <f>IFERROR(__xludf.DUMMYFUNCTION("""COMPUTED_VALUE"""),"REGIONAL I")</f>
        <v>REGIONAL I</v>
      </c>
      <c r="E1732" s="222" t="str">
        <f>IFERROR(__xludf.DUMMYFUNCTION("""COMPUTED_VALUE"""),"JAMBI")</f>
        <v>JAMBI</v>
      </c>
      <c r="F1732" s="222" t="str">
        <f>IFERROR(__xludf.DUMMYFUNCTION("""COMPUTED_VALUE"""),"KOA")</f>
        <v>KOA</v>
      </c>
      <c r="G1732" s="222" t="str">
        <f>IFERROR(__xludf.DUMMYFUNCTION("""COMPUTED_VALUE"""),"SUMBAGSEL")</f>
        <v>SUMBAGSEL</v>
      </c>
      <c r="H1732" s="222" t="str">
        <f>IFERROR(__xludf.DUMMYFUNCTION("""COMPUTED_VALUE"""),"JAMBI")</f>
        <v>JAMBI</v>
      </c>
      <c r="I1732" s="222" t="str">
        <f>IFERROR(__xludf.DUMMYFUNCTION("""COMPUTED_VALUE"""),"Batch 2")</f>
        <v>Batch 2</v>
      </c>
      <c r="J1732" s="225">
        <f>IFERROR(__xludf.DUMMYFUNCTION("""COMPUTED_VALUE"""),48.0)</f>
        <v>48</v>
      </c>
      <c r="K1732" s="224">
        <f>IFERROR(__xludf.DUMMYFUNCTION("""COMPUTED_VALUE"""),376.0)</f>
        <v>376</v>
      </c>
      <c r="L1732" s="226">
        <f>IFERROR(__xludf.DUMMYFUNCTION("""COMPUTED_VALUE"""),1391407.0)</f>
        <v>1391407</v>
      </c>
      <c r="M1732" s="227">
        <f>IFERROR(__xludf.DUMMYFUNCTION("""COMPUTED_VALUE"""),5.23168699E8)</f>
        <v>523168699</v>
      </c>
      <c r="N1732" s="222" t="str">
        <f>IFERROR(__xludf.DUMMYFUNCTION("""COMPUTED_VALUE"""),"PT GARINDO TECHNO MANDIRI")</f>
        <v>PT GARINDO TECHNO MANDIRI</v>
      </c>
      <c r="O1732" s="222" t="str">
        <f>IFERROR(__xludf.DUMMYFUNCTION("""COMPUTED_VALUE"""),"8. UJI TERIMA")</f>
        <v>8. UJI TERIMA</v>
      </c>
      <c r="P1732" s="222" t="str">
        <f>IFERROR(__xludf.DUMMYFUNCTION("""COMPUTED_VALUE"""),"8.1 Proses UT")</f>
        <v>8.1 Proses UT</v>
      </c>
      <c r="Q1732" s="222" t="str">
        <f>IFERROR(__xludf.DUMMYFUNCTION("""COMPUTED_VALUE"""),"(22/01) Golive (12/1) proses golive 2/1/26 FInish Instalasi   2/12 INSTAL ODP   28/11 PROSES TERMINASI ODC (24/11) TIANG 165/231 , KABEL24=5500/6160 ,KABEL48=3500/4000 , ODP 12/47 ODCDONE  (18/11) TIANG 152/231 sisa79, KABEL48-0/4000,  KABEL24-1600/4560 s"&amp;"isa 2960  (17/11) Tanam Tiang 60/231, kendala sama kades (13/11) PROSES GALI LOBANG TIANG 11/ 11 gali lobang (10/11)kabel 10km , tiang 244 , odp 48 (10/11) tanam tiang dan gali lubang 6/11 Req material (3/11) ut material (15/10) HOME PASS TIDAK LAYAK , KO"&amp;"NFIRM TSEL GO/NO GO Pengurangan 4 ODP 08/10 Done Aanwijzing 06/10 Penjadwalan aanwijzing (16/09) Mapping mitra")</f>
        <v>(22/01) Golive (12/1) proses golive 2/1/26 FInish Instalasi   2/12 INSTAL ODP   28/11 PROSES TERMINASI ODC (24/11) TIANG 165/231 , KABEL24=5500/6160 ,KABEL48=3500/4000 , ODP 12/47 ODCDONE  (18/11) TIANG 152/231 sisa79, KABEL48-0/4000,  KABEL24-1600/4560 sisa 2960  (17/11) Tanam Tiang 60/231, kendala sama kades (13/11) PROSES GALI LOBANG TIANG 11/ 11 gali lobang (10/11)kabel 10km , tiang 244 , odp 48 (10/11) tanam tiang dan gali lubang 6/11 Req material (3/11) ut material (15/10) HOME PASS TIDAK LAYAK , KONFIRM TSEL GO/NO GO Pengurangan 4 ODP 08/10 Done Aanwijzing 06/10 Penjadwalan aanwijzing (16/09) Mapping mitra</v>
      </c>
      <c r="R1732" s="228"/>
      <c r="S1732" s="11"/>
      <c r="T1732" s="11"/>
      <c r="U1732" s="11"/>
      <c r="V1732" s="229"/>
      <c r="W1732" s="229"/>
      <c r="X1732" s="229" t="str">
        <f>IFERROR(__xludf.DUMMYFUNCTION("""COMPUTED_VALUE"""),"GOLIVE")</f>
        <v>GOLIVE</v>
      </c>
      <c r="Y1732" s="229" t="str">
        <f>IFERROR(__xludf.DUMMYFUNCTION("""COMPUTED_VALUE"""),"DONE")</f>
        <v>DONE</v>
      </c>
      <c r="Z1732" s="229" t="str">
        <f>IFERROR(__xludf.DUMMYFUNCTION("""COMPUTED_VALUE"""),"5. Done Integrasi")</f>
        <v>5. Done Integrasi</v>
      </c>
      <c r="AA1732" s="229">
        <f>IFERROR(__xludf.DUMMYFUNCTION("""COMPUTED_VALUE"""),45.0)</f>
        <v>45</v>
      </c>
      <c r="AB1732" s="229"/>
      <c r="AC1732" s="229" t="str">
        <f>IFERROR(__xludf.DUMMYFUNCTION("""COMPUTED_VALUE"""),"8939876#8939887")</f>
        <v>8939876#8939887</v>
      </c>
      <c r="AD1732" s="232">
        <f>IFERROR(__xludf.DUMMYFUNCTION("""COMPUTED_VALUE"""),360.0)</f>
        <v>360</v>
      </c>
      <c r="AE1732" s="233">
        <f>IFERROR(__xludf.DUMMYFUNCTION("""COMPUTED_VALUE"""),46044.0)</f>
        <v>46044</v>
      </c>
      <c r="AF1732" s="54"/>
      <c r="AG1732" s="54"/>
      <c r="AH1732" s="54"/>
      <c r="AI1732" s="55" t="str">
        <f t="shared" si="175"/>
        <v/>
      </c>
      <c r="AW1732" s="234"/>
      <c r="BP1732" s="11"/>
      <c r="BQ1732" s="11"/>
      <c r="BR1732" s="235"/>
      <c r="BV1732" s="158"/>
      <c r="BY1732" s="158"/>
      <c r="CB1732" s="158"/>
    </row>
    <row r="1733" ht="18.0" customHeight="1">
      <c r="A1733" s="222">
        <f>IFERROR(__xludf.DUMMYFUNCTION("""COMPUTED_VALUE"""),2026.0)</f>
        <v>2026</v>
      </c>
      <c r="B1733" s="221">
        <f>IFERROR(__xludf.DUMMYFUNCTION("""COMPUTED_VALUE"""),1.2054896E7)</f>
        <v>12054896</v>
      </c>
      <c r="C1733" s="222" t="str">
        <f>IFERROR(__xludf.DUMMYFUNCTION("""COMPUTED_VALUE"""),"RDR JPP PT3 DRI FP")</f>
        <v>RDR JPP PT3 DRI FP</v>
      </c>
      <c r="D1733" s="222" t="str">
        <f>IFERROR(__xludf.DUMMYFUNCTION("""COMPUTED_VALUE"""),"REGIONAL I")</f>
        <v>REGIONAL I</v>
      </c>
      <c r="E1733" s="222" t="str">
        <f>IFERROR(__xludf.DUMMYFUNCTION("""COMPUTED_VALUE"""),"RIDAR")</f>
        <v>RIDAR</v>
      </c>
      <c r="F1733" s="222" t="str">
        <f>IFERROR(__xludf.DUMMYFUNCTION("""COMPUTED_VALUE"""),"DRI")</f>
        <v>DRI</v>
      </c>
      <c r="G1733" s="222" t="str">
        <f>IFERROR(__xludf.DUMMYFUNCTION("""COMPUTED_VALUE"""),"SUMBAGTENG")</f>
        <v>SUMBAGTENG</v>
      </c>
      <c r="H1733" s="222" t="str">
        <f>IFERROR(__xludf.DUMMYFUNCTION("""COMPUTED_VALUE"""),"DUMAI")</f>
        <v>DUMAI</v>
      </c>
      <c r="I1733" s="222" t="str">
        <f>IFERROR(__xludf.DUMMYFUNCTION("""COMPUTED_VALUE"""),"Batch 2")</f>
        <v>Batch 2</v>
      </c>
      <c r="J1733" s="225">
        <f>IFERROR(__xludf.DUMMYFUNCTION("""COMPUTED_VALUE"""),11.0)</f>
        <v>11</v>
      </c>
      <c r="K1733" s="224">
        <f>IFERROR(__xludf.DUMMYFUNCTION("""COMPUTED_VALUE"""),88.0)</f>
        <v>88</v>
      </c>
      <c r="L1733" s="226">
        <f>IFERROR(__xludf.DUMMYFUNCTION("""COMPUTED_VALUE"""),671772.0)</f>
        <v>671772</v>
      </c>
      <c r="M1733" s="227">
        <f>IFERROR(__xludf.DUMMYFUNCTION("""COMPUTED_VALUE"""),5.9115864E7)</f>
        <v>59115864</v>
      </c>
      <c r="N1733" s="222" t="str">
        <f>IFERROR(__xludf.DUMMYFUNCTION("""COMPUTED_VALUE"""),"PT TSUIKA BERKAH RAYA")</f>
        <v>PT TSUIKA BERKAH RAYA</v>
      </c>
      <c r="O1733" s="222" t="str">
        <f>IFERROR(__xludf.DUMMYFUNCTION("""COMPUTED_VALUE"""),"7. GOLIVE")</f>
        <v>7. GOLIVE</v>
      </c>
      <c r="P1733" s="222" t="str">
        <f>IFERROR(__xludf.DUMMYFUNCTION("""COMPUTED_VALUE"""),"7.2 Golive Full / OA / DONE OTB")</f>
        <v>7.2 Golive Full / OA / DONE OTB</v>
      </c>
      <c r="Q1733" s="222" t="str">
        <f>IFERROR(__xludf.DUMMYFUNCTION("""COMPUTED_VALUE"""),"29/01 Penanaman tiang dan penarikan kabel (07/01) Persiapan")</f>
        <v>29/01 Penanaman tiang dan penarikan kabel (07/01) Persiapan</v>
      </c>
      <c r="R1733" s="228">
        <f>IFERROR(__xludf.DUMMYFUNCTION("""COMPUTED_VALUE"""),46066.0)</f>
        <v>46066</v>
      </c>
      <c r="S1733" s="11"/>
      <c r="T1733" s="11"/>
      <c r="U1733" s="11" t="str">
        <f>IFERROR(__xludf.DUMMYFUNCTION("""COMPUTED_VALUE"""),"W08-1651/2025")</f>
        <v>W08-1651/2025</v>
      </c>
      <c r="V1733" s="229" t="str">
        <f>IFERROR(__xludf.DUMMYFUNCTION("""COMPUTED_VALUE"""),"GUSKAR DIYONAL")</f>
        <v>GUSKAR DIYONAL</v>
      </c>
      <c r="W1733" s="229" t="str">
        <f>IFERROR(__xludf.DUMMYFUNCTION("""COMPUTED_VALUE"""),"ANZALA SAKINAH")</f>
        <v>ANZALA SAKINAH</v>
      </c>
      <c r="X1733" s="229" t="str">
        <f>IFERROR(__xludf.DUMMYFUNCTION("""COMPUTED_VALUE"""),"GOLIVE")</f>
        <v>GOLIVE</v>
      </c>
      <c r="Y1733" s="229" t="str">
        <f>IFERROR(__xludf.DUMMYFUNCTION("""COMPUTED_VALUE"""),"DONE")</f>
        <v>DONE</v>
      </c>
      <c r="Z1733" s="229" t="str">
        <f>IFERROR(__xludf.DUMMYFUNCTION("""COMPUTED_VALUE"""),"#N/A")</f>
        <v>#N/A</v>
      </c>
      <c r="AA1733" s="229">
        <f>IFERROR(__xludf.DUMMYFUNCTION("""COMPUTED_VALUE"""),11.0)</f>
        <v>11</v>
      </c>
      <c r="AB1733" s="229"/>
      <c r="AC1733" s="229" t="str">
        <f>IFERROR(__xludf.DUMMYFUNCTION("""COMPUTED_VALUE"""),"9099324#9099329")</f>
        <v>9099324#9099329</v>
      </c>
      <c r="AD1733" s="232">
        <f>IFERROR(__xludf.DUMMYFUNCTION("""COMPUTED_VALUE"""),88.0)</f>
        <v>88</v>
      </c>
      <c r="AE1733" s="233">
        <f>IFERROR(__xludf.DUMMYFUNCTION("""COMPUTED_VALUE"""),46065.0)</f>
        <v>46065</v>
      </c>
      <c r="AF1733" s="54"/>
      <c r="AG1733" s="54"/>
      <c r="AH1733" s="54">
        <v>46066.0</v>
      </c>
      <c r="AI1733" s="55">
        <f>IF(OR(AH1733="",AE1733=""),"",AH1733-AE1733)</f>
        <v>1</v>
      </c>
      <c r="AW1733" s="234"/>
      <c r="BP1733" s="11"/>
      <c r="BQ1733" s="11"/>
      <c r="BR1733" s="235"/>
      <c r="BV1733" s="158"/>
      <c r="BY1733" s="158"/>
      <c r="CB1733" s="158"/>
    </row>
    <row r="1734" ht="18.0" customHeight="1">
      <c r="A1734" s="222">
        <f>IFERROR(__xludf.DUMMYFUNCTION("""COMPUTED_VALUE"""),2026.0)</f>
        <v>2026</v>
      </c>
      <c r="B1734" s="221">
        <f>IFERROR(__xludf.DUMMYFUNCTION("""COMPUTED_VALUE"""),1.2054956E7)</f>
        <v>12054956</v>
      </c>
      <c r="C1734" s="222" t="str">
        <f>IFERROR(__xludf.DUMMYFUNCTION("""COMPUTED_VALUE"""),"RDR JPP PT3 SUDIRMAN GG. PELITA")</f>
        <v>RDR JPP PT3 SUDIRMAN GG. PELITA</v>
      </c>
      <c r="D1734" s="222" t="str">
        <f>IFERROR(__xludf.DUMMYFUNCTION("""COMPUTED_VALUE"""),"REGIONAL I")</f>
        <v>REGIONAL I</v>
      </c>
      <c r="E1734" s="222" t="str">
        <f>IFERROR(__xludf.DUMMYFUNCTION("""COMPUTED_VALUE"""),"RIDAR")</f>
        <v>RIDAR</v>
      </c>
      <c r="F1734" s="222" t="str">
        <f>IFERROR(__xludf.DUMMYFUNCTION("""COMPUTED_VALUE"""),"DRI")</f>
        <v>DRI</v>
      </c>
      <c r="G1734" s="222" t="str">
        <f>IFERROR(__xludf.DUMMYFUNCTION("""COMPUTED_VALUE"""),"SUMBAGTENG")</f>
        <v>SUMBAGTENG</v>
      </c>
      <c r="H1734" s="222" t="str">
        <f>IFERROR(__xludf.DUMMYFUNCTION("""COMPUTED_VALUE"""),"DUMAI")</f>
        <v>DUMAI</v>
      </c>
      <c r="I1734" s="222" t="str">
        <f>IFERROR(__xludf.DUMMYFUNCTION("""COMPUTED_VALUE"""),"Batch 2")</f>
        <v>Batch 2</v>
      </c>
      <c r="J1734" s="225">
        <f>IFERROR(__xludf.DUMMYFUNCTION("""COMPUTED_VALUE"""),43.0)</f>
        <v>43</v>
      </c>
      <c r="K1734" s="224">
        <f>IFERROR(__xludf.DUMMYFUNCTION("""COMPUTED_VALUE"""),344.0)</f>
        <v>344</v>
      </c>
      <c r="L1734" s="226">
        <f>IFERROR(__xludf.DUMMYFUNCTION("""COMPUTED_VALUE"""),570010.0)</f>
        <v>570010</v>
      </c>
      <c r="M1734" s="227">
        <f>IFERROR(__xludf.DUMMYFUNCTION("""COMPUTED_VALUE"""),1.96083115E8)</f>
        <v>196083115</v>
      </c>
      <c r="N1734" s="222" t="str">
        <f>IFERROR(__xludf.DUMMYFUNCTION("""COMPUTED_VALUE"""),"PT TSUIKA BERKAH RAYA")</f>
        <v>PT TSUIKA BERKAH RAYA</v>
      </c>
      <c r="O1734" s="222" t="str">
        <f>IFERROR(__xludf.DUMMYFUNCTION("""COMPUTED_VALUE"""),"0. DROP")</f>
        <v>0. DROP</v>
      </c>
      <c r="P1734" s="222" t="str">
        <f>IFERROR(__xludf.DUMMYFUNCTION("""COMPUTED_VALUE"""),"0.3 Feeder Full")</f>
        <v>0.3 Feeder Full</v>
      </c>
      <c r="Q1734" s="222" t="str">
        <f>IFERROR(__xludf.DUMMYFUNCTION("""COMPUTED_VALUE"""),"13/04 Kendala Feeder full 20/01 Core feeder rusak (08/01) DROP, permintaan tsel (tidak potensial) (07/01) Persiapan")</f>
        <v>13/04 Kendala Feeder full 20/01 Core feeder rusak (08/01) DROP, permintaan tsel (tidak potensial) (07/01) Persiapan</v>
      </c>
      <c r="R1734" s="228"/>
      <c r="S1734" s="11"/>
      <c r="T1734" s="11"/>
      <c r="U1734" s="11"/>
      <c r="V1734" s="229" t="str">
        <f>IFERROR(__xludf.DUMMYFUNCTION("""COMPUTED_VALUE"""),"GUSKAR DIYONAL")</f>
        <v>GUSKAR DIYONAL</v>
      </c>
      <c r="W1734" s="229" t="str">
        <f>IFERROR(__xludf.DUMMYFUNCTION("""COMPUTED_VALUE"""),"ANZALA SAKINAH")</f>
        <v>ANZALA SAKINAH</v>
      </c>
      <c r="X1734" s="229" t="str">
        <f>IFERROR(__xludf.DUMMYFUNCTION("""COMPUTED_VALUE"""),"BELUM GOLIVE")</f>
        <v>BELUM GOLIVE</v>
      </c>
      <c r="Y1734" s="229"/>
      <c r="Z1734" s="229" t="str">
        <f>IFERROR(__xludf.DUMMYFUNCTION("""COMPUTED_VALUE"""),"#N/A")</f>
        <v>#N/A</v>
      </c>
      <c r="AA1734" s="229"/>
      <c r="AB1734" s="229"/>
      <c r="AC1734" s="229"/>
      <c r="AD1734" s="232"/>
      <c r="AE1734" s="233"/>
      <c r="AF1734" s="54"/>
      <c r="AG1734" s="54"/>
      <c r="AH1734" s="54"/>
      <c r="AI1734" s="55" t="str">
        <f t="shared" ref="AI1734:AI1743" si="176">IF(OR(R1734="",AE1734=""),"",R1734-AE1734)</f>
        <v/>
      </c>
      <c r="AW1734" s="234"/>
      <c r="BP1734" s="11"/>
      <c r="BQ1734" s="11"/>
      <c r="BR1734" s="235"/>
      <c r="BV1734" s="158"/>
      <c r="BY1734" s="158"/>
      <c r="CB1734" s="158"/>
    </row>
    <row r="1735" ht="18.0" customHeight="1">
      <c r="A1735" s="222">
        <f>IFERROR(__xludf.DUMMYFUNCTION("""COMPUTED_VALUE"""),2026.0)</f>
        <v>2026</v>
      </c>
      <c r="B1735" s="221">
        <f>IFERROR(__xludf.DUMMYFUNCTION("""COMPUTED_VALUE"""),1.1078348E7)</f>
        <v>11078348</v>
      </c>
      <c r="C1735" s="222" t="str">
        <f>IFERROR(__xludf.DUMMYFUNCTION("""COMPUTED_VALUE"""),"SMB P3I7 MYIR-10500870540001 DESI ARIANI")</f>
        <v>SMB P3I7 MYIR-10500870540001 DESI ARIANI</v>
      </c>
      <c r="D1735" s="222" t="str">
        <f>IFERROR(__xludf.DUMMYFUNCTION("""COMPUTED_VALUE"""),"REGIONAL I")</f>
        <v>REGIONAL I</v>
      </c>
      <c r="E1735" s="222" t="str">
        <f>IFERROR(__xludf.DUMMYFUNCTION("""COMPUTED_VALUE"""),"SUMBAR")</f>
        <v>SUMBAR</v>
      </c>
      <c r="F1735" s="222" t="str">
        <f>IFERROR(__xludf.DUMMYFUNCTION("""COMPUTED_VALUE"""),"SGD")</f>
        <v>SGD</v>
      </c>
      <c r="G1735" s="222" t="str">
        <f>IFERROR(__xludf.DUMMYFUNCTION("""COMPUTED_VALUE"""),"SUMBAGTENG")</f>
        <v>SUMBAGTENG</v>
      </c>
      <c r="H1735" s="222" t="str">
        <f>IFERROR(__xludf.DUMMYFUNCTION("""COMPUTED_VALUE"""),"PADANG")</f>
        <v>PADANG</v>
      </c>
      <c r="I1735" s="222" t="str">
        <f>IFERROR(__xludf.DUMMYFUNCTION("""COMPUTED_VALUE"""),"Batch 2")</f>
        <v>Batch 2</v>
      </c>
      <c r="J1735" s="225">
        <f>IFERROR(__xludf.DUMMYFUNCTION("""COMPUTED_VALUE"""),1.0)</f>
        <v>1</v>
      </c>
      <c r="K1735" s="224">
        <f>IFERROR(__xludf.DUMMYFUNCTION("""COMPUTED_VALUE"""),8.0)</f>
        <v>8</v>
      </c>
      <c r="L1735" s="226">
        <f>IFERROR(__xludf.DUMMYFUNCTION("""COMPUTED_VALUE"""),434276.0)</f>
        <v>434276</v>
      </c>
      <c r="M1735" s="227">
        <f>IFERROR(__xludf.DUMMYFUNCTION("""COMPUTED_VALUE"""),3474207.0)</f>
        <v>3474207</v>
      </c>
      <c r="N1735" s="222" t="str">
        <f>IFERROR(__xludf.DUMMYFUNCTION("""COMPUTED_VALUE"""),"PT TIGA AKSES MANDIRI")</f>
        <v>PT TIGA AKSES MANDIRI</v>
      </c>
      <c r="O1735" s="222" t="str">
        <f>IFERROR(__xludf.DUMMYFUNCTION("""COMPUTED_VALUE"""),"2. DONE AANWIJZING")</f>
        <v>2. DONE AANWIJZING</v>
      </c>
      <c r="P1735" s="222" t="str">
        <f>IFERROR(__xludf.DUMMYFUNCTION("""COMPUTED_VALUE"""),"2.9 Kendala - Distribusi Penuh / Rusak")</f>
        <v>2.9 Kendala - Distribusi Penuh / Rusak</v>
      </c>
      <c r="Q1735" s="222" t="str">
        <f>IFERROR(__xludf.DUMMYFUNCTION("""COMPUTED_VALUE"""),"(05/03) kendala dist 1 full , solusi new dist atau PT2 EXPAND  (02/03) proses aanwijziing (26/01) DROP, permintaan tsel (tidak potensial) ")</f>
        <v>(05/03) kendala dist 1 full , solusi new dist atau PT2 EXPAND  (02/03) proses aanwijziing (26/01) DROP, permintaan tsel (tidak potensial) </v>
      </c>
      <c r="R1735" s="228"/>
      <c r="S1735" s="11"/>
      <c r="T1735" s="11"/>
      <c r="U1735" s="11"/>
      <c r="V1735" s="229" t="str">
        <f>IFERROR(__xludf.DUMMYFUNCTION("""COMPUTED_VALUE"""),"YULIO NOVIKO")</f>
        <v>YULIO NOVIKO</v>
      </c>
      <c r="W1735" s="229" t="str">
        <f>IFERROR(__xludf.DUMMYFUNCTION("""COMPUTED_VALUE"""),"MELKO NARWADI")</f>
        <v>MELKO NARWADI</v>
      </c>
      <c r="X1735" s="229" t="str">
        <f>IFERROR(__xludf.DUMMYFUNCTION("""COMPUTED_VALUE"""),"BELUM GOLIVE")</f>
        <v>BELUM GOLIVE</v>
      </c>
      <c r="Y1735" s="229"/>
      <c r="Z1735" s="229" t="str">
        <f>IFERROR(__xludf.DUMMYFUNCTION("""COMPUTED_VALUE"""),"#N/A")</f>
        <v>#N/A</v>
      </c>
      <c r="AA1735" s="229"/>
      <c r="AB1735" s="229"/>
      <c r="AC1735" s="229"/>
      <c r="AD1735" s="232"/>
      <c r="AE1735" s="233"/>
      <c r="AF1735" s="54"/>
      <c r="AG1735" s="54"/>
      <c r="AH1735" s="54"/>
      <c r="AI1735" s="55" t="str">
        <f t="shared" si="176"/>
        <v/>
      </c>
      <c r="AW1735" s="234"/>
      <c r="BP1735" s="11"/>
      <c r="BQ1735" s="11"/>
      <c r="BR1735" s="235"/>
      <c r="BV1735" s="158"/>
      <c r="BY1735" s="158"/>
      <c r="CB1735" s="158"/>
    </row>
    <row r="1736" ht="18.0" customHeight="1">
      <c r="A1736" s="222">
        <f>IFERROR(__xludf.DUMMYFUNCTION("""COMPUTED_VALUE"""),2026.0)</f>
        <v>2026</v>
      </c>
      <c r="B1736" s="221">
        <f>IFERROR(__xludf.DUMMYFUNCTION("""COMPUTED_VALUE"""),1.1243802E7)</f>
        <v>11243802</v>
      </c>
      <c r="C1736" s="222" t="str">
        <f>IFERROR(__xludf.DUMMYFUNCTION("""COMPUTED_VALUE"""),"SMB P2I1 PERUM H.NURDIN,KOMP.BUNG H")</f>
        <v>SMB P2I1 PERUM H.NURDIN,KOMP.BUNG H</v>
      </c>
      <c r="D1736" s="222" t="str">
        <f>IFERROR(__xludf.DUMMYFUNCTION("""COMPUTED_VALUE"""),"REGIONAL I")</f>
        <v>REGIONAL I</v>
      </c>
      <c r="E1736" s="222" t="str">
        <f>IFERROR(__xludf.DUMMYFUNCTION("""COMPUTED_VALUE"""),"SUMBAR")</f>
        <v>SUMBAR</v>
      </c>
      <c r="F1736" s="222" t="str">
        <f>IFERROR(__xludf.DUMMYFUNCTION("""COMPUTED_VALUE"""),"LBA")</f>
        <v>LBA</v>
      </c>
      <c r="G1736" s="222" t="str">
        <f>IFERROR(__xludf.DUMMYFUNCTION("""COMPUTED_VALUE"""),"SUMBAGTENG")</f>
        <v>SUMBAGTENG</v>
      </c>
      <c r="H1736" s="222" t="str">
        <f>IFERROR(__xludf.DUMMYFUNCTION("""COMPUTED_VALUE"""),"BUKIT TINGGI")</f>
        <v>BUKIT TINGGI</v>
      </c>
      <c r="I1736" s="222" t="str">
        <f>IFERROR(__xludf.DUMMYFUNCTION("""COMPUTED_VALUE"""),"Batch 2")</f>
        <v>Batch 2</v>
      </c>
      <c r="J1736" s="225">
        <f>IFERROR(__xludf.DUMMYFUNCTION("""COMPUTED_VALUE"""),13.0)</f>
        <v>13</v>
      </c>
      <c r="K1736" s="224">
        <f>IFERROR(__xludf.DUMMYFUNCTION("""COMPUTED_VALUE"""),104.0)</f>
        <v>104</v>
      </c>
      <c r="L1736" s="226">
        <f>IFERROR(__xludf.DUMMYFUNCTION("""COMPUTED_VALUE"""),610226.0)</f>
        <v>610226</v>
      </c>
      <c r="M1736" s="227">
        <f>IFERROR(__xludf.DUMMYFUNCTION("""COMPUTED_VALUE"""),6.3463445E7)</f>
        <v>63463445</v>
      </c>
      <c r="N1736" s="222" t="str">
        <f>IFERROR(__xludf.DUMMYFUNCTION("""COMPUTED_VALUE"""),"PT PUTRI JAYA AKSES")</f>
        <v>PT PUTRI JAYA AKSES</v>
      </c>
      <c r="O1736" s="222" t="str">
        <f>IFERROR(__xludf.DUMMYFUNCTION("""COMPUTED_VALUE"""),"0. DROP")</f>
        <v>0. DROP</v>
      </c>
      <c r="P1736" s="222" t="str">
        <f>IFERROR(__xludf.DUMMYFUNCTION("""COMPUTED_VALUE"""),"0.3 Feeder Full")</f>
        <v>0.3 Feeder Full</v>
      </c>
      <c r="Q1736" s="222" t="str">
        <f>IFERROR(__xludf.DUMMYFUNCTION("""COMPUTED_VALUE"""),"(26/01) Kendala feeder LBA-FA Full ")</f>
        <v>(26/01) Kendala feeder LBA-FA Full </v>
      </c>
      <c r="R1736" s="228"/>
      <c r="S1736" s="11"/>
      <c r="T1736" s="11"/>
      <c r="U1736" s="11"/>
      <c r="V1736" s="229"/>
      <c r="W1736" s="229"/>
      <c r="X1736" s="229" t="str">
        <f>IFERROR(__xludf.DUMMYFUNCTION("""COMPUTED_VALUE"""),"BELUM GOLIVE")</f>
        <v>BELUM GOLIVE</v>
      </c>
      <c r="Y1736" s="229"/>
      <c r="Z1736" s="229" t="str">
        <f>IFERROR(__xludf.DUMMYFUNCTION("""COMPUTED_VALUE"""),"#N/A")</f>
        <v>#N/A</v>
      </c>
      <c r="AA1736" s="229"/>
      <c r="AB1736" s="229"/>
      <c r="AC1736" s="229"/>
      <c r="AD1736" s="232"/>
      <c r="AE1736" s="233"/>
      <c r="AF1736" s="54" t="str">
        <f>IFERROR(__xludf.DUMMYFUNCTION("""COMPUTED_VALUE"""),"Draft BA DROP")</f>
        <v>Draft BA DROP</v>
      </c>
      <c r="AG1736" s="54"/>
      <c r="AH1736" s="54"/>
      <c r="AI1736" s="55" t="str">
        <f t="shared" si="176"/>
        <v/>
      </c>
      <c r="AW1736" s="234"/>
      <c r="BP1736" s="11"/>
      <c r="BQ1736" s="11"/>
      <c r="BR1736" s="235"/>
      <c r="BV1736" s="158"/>
      <c r="BY1736" s="158"/>
      <c r="CB1736" s="158"/>
    </row>
    <row r="1737" ht="18.0" customHeight="1">
      <c r="A1737" s="222">
        <f>IFERROR(__xludf.DUMMYFUNCTION("""COMPUTED_VALUE"""),2026.0)</f>
        <v>2026</v>
      </c>
      <c r="B1737" s="221">
        <f>IFERROR(__xludf.DUMMYFUNCTION("""COMPUTED_VALUE"""),1.1247505E7)</f>
        <v>11247505</v>
      </c>
      <c r="C1737" s="222" t="str">
        <f>IFERROR(__xludf.DUMMYFUNCTION("""COMPUTED_VALUE"""),"SMB PT3 MD PADANG PARIAMAN_6917")</f>
        <v>SMB PT3 MD PADANG PARIAMAN_6917</v>
      </c>
      <c r="D1737" s="222" t="str">
        <f>IFERROR(__xludf.DUMMYFUNCTION("""COMPUTED_VALUE"""),"REGIONAL I")</f>
        <v>REGIONAL I</v>
      </c>
      <c r="E1737" s="222" t="str">
        <f>IFERROR(__xludf.DUMMYFUNCTION("""COMPUTED_VALUE"""),"SUMBAR")</f>
        <v>SUMBAR</v>
      </c>
      <c r="F1737" s="222" t="str">
        <f>IFERROR(__xludf.DUMMYFUNCTION("""COMPUTED_VALUE"""),"LBA")</f>
        <v>LBA</v>
      </c>
      <c r="G1737" s="222" t="str">
        <f>IFERROR(__xludf.DUMMYFUNCTION("""COMPUTED_VALUE"""),"SUMBAGTENG")</f>
        <v>SUMBAGTENG</v>
      </c>
      <c r="H1737" s="222" t="str">
        <f>IFERROR(__xludf.DUMMYFUNCTION("""COMPUTED_VALUE"""),"BUKIT TINGGI")</f>
        <v>BUKIT TINGGI</v>
      </c>
      <c r="I1737" s="222" t="str">
        <f>IFERROR(__xludf.DUMMYFUNCTION("""COMPUTED_VALUE"""),"Batch 2")</f>
        <v>Batch 2</v>
      </c>
      <c r="J1737" s="225">
        <f>IFERROR(__xludf.DUMMYFUNCTION("""COMPUTED_VALUE"""),4.0)</f>
        <v>4</v>
      </c>
      <c r="K1737" s="224">
        <f>IFERROR(__xludf.DUMMYFUNCTION("""COMPUTED_VALUE"""),32.0)</f>
        <v>32</v>
      </c>
      <c r="L1737" s="226">
        <f>IFERROR(__xludf.DUMMYFUNCTION("""COMPUTED_VALUE"""),808925.0)</f>
        <v>808925</v>
      </c>
      <c r="M1737" s="227">
        <f>IFERROR(__xludf.DUMMYFUNCTION("""COMPUTED_VALUE"""),2.5885575E7)</f>
        <v>25885575</v>
      </c>
      <c r="N1737" s="222" t="str">
        <f>IFERROR(__xludf.DUMMYFUNCTION("""COMPUTED_VALUE"""),"PT PUTRI JAYA AKSES")</f>
        <v>PT PUTRI JAYA AKSES</v>
      </c>
      <c r="O1737" s="222" t="str">
        <f>IFERROR(__xludf.DUMMYFUNCTION("""COMPUTED_VALUE"""),"0. DROP")</f>
        <v>0. DROP</v>
      </c>
      <c r="P1737" s="222" t="str">
        <f>IFERROR(__xludf.DUMMYFUNCTION("""COMPUTED_VALUE"""),"0.3 Feeder Full")</f>
        <v>0.3 Feeder Full</v>
      </c>
      <c r="Q1737" s="222" t="str">
        <f>IFERROR(__xludf.DUMMYFUNCTION("""COMPUTED_VALUE"""),"(02/03) Kendala feeder LBA-FA FULL")</f>
        <v>(02/03) Kendala feeder LBA-FA FULL</v>
      </c>
      <c r="R1737" s="228"/>
      <c r="S1737" s="11"/>
      <c r="T1737" s="11"/>
      <c r="U1737" s="11"/>
      <c r="V1737" s="229"/>
      <c r="W1737" s="229"/>
      <c r="X1737" s="229" t="str">
        <f>IFERROR(__xludf.DUMMYFUNCTION("""COMPUTED_VALUE"""),"BELUM GOLIVE")</f>
        <v>BELUM GOLIVE</v>
      </c>
      <c r="Y1737" s="229"/>
      <c r="Z1737" s="229" t="str">
        <f>IFERROR(__xludf.DUMMYFUNCTION("""COMPUTED_VALUE"""),"#N/A")</f>
        <v>#N/A</v>
      </c>
      <c r="AA1737" s="229"/>
      <c r="AB1737" s="229"/>
      <c r="AC1737" s="229"/>
      <c r="AD1737" s="232"/>
      <c r="AE1737" s="233"/>
      <c r="AF1737" s="54" t="str">
        <f>IFERROR(__xludf.DUMMYFUNCTION("""COMPUTED_VALUE"""),"Draft BA DROP")</f>
        <v>Draft BA DROP</v>
      </c>
      <c r="AG1737" s="54"/>
      <c r="AH1737" s="54"/>
      <c r="AI1737" s="55" t="str">
        <f t="shared" si="176"/>
        <v/>
      </c>
      <c r="AW1737" s="234"/>
      <c r="BP1737" s="11"/>
      <c r="BQ1737" s="11"/>
      <c r="BR1737" s="235"/>
      <c r="BV1737" s="158"/>
      <c r="BY1737" s="158"/>
      <c r="CB1737" s="158"/>
    </row>
    <row r="1738" ht="18.0" customHeight="1">
      <c r="A1738" s="222">
        <f>IFERROR(__xludf.DUMMYFUNCTION("""COMPUTED_VALUE"""),2026.0)</f>
        <v>2026</v>
      </c>
      <c r="B1738" s="221">
        <f>IFERROR(__xludf.DUMMYFUNCTION("""COMPUTED_VALUE"""),1.1286418E7)</f>
        <v>11286418</v>
      </c>
      <c r="C1738" s="222" t="str">
        <f>IFERROR(__xludf.DUMMYFUNCTION("""COMPUTED_VALUE"""),"SMB MD PDG_SUMATERA BARAT_8920_new")</f>
        <v>SMB MD PDG_SUMATERA BARAT_8920_new</v>
      </c>
      <c r="D1738" s="222" t="str">
        <f>IFERROR(__xludf.DUMMYFUNCTION("""COMPUTED_VALUE"""),"REGIONAL I")</f>
        <v>REGIONAL I</v>
      </c>
      <c r="E1738" s="222" t="str">
        <f>IFERROR(__xludf.DUMMYFUNCTION("""COMPUTED_VALUE"""),"SUMBAR")</f>
        <v>SUMBAR</v>
      </c>
      <c r="F1738" s="222" t="str">
        <f>IFERROR(__xludf.DUMMYFUNCTION("""COMPUTED_VALUE"""),"TRS")</f>
        <v>TRS</v>
      </c>
      <c r="G1738" s="222" t="str">
        <f>IFERROR(__xludf.DUMMYFUNCTION("""COMPUTED_VALUE"""),"SUMBAGTENG")</f>
        <v>SUMBAGTENG</v>
      </c>
      <c r="H1738" s="222" t="str">
        <f>IFERROR(__xludf.DUMMYFUNCTION("""COMPUTED_VALUE"""),"PADANG")</f>
        <v>PADANG</v>
      </c>
      <c r="I1738" s="222" t="str">
        <f>IFERROR(__xludf.DUMMYFUNCTION("""COMPUTED_VALUE"""),"Batch 2")</f>
        <v>Batch 2</v>
      </c>
      <c r="J1738" s="225">
        <f>IFERROR(__xludf.DUMMYFUNCTION("""COMPUTED_VALUE"""),3.0)</f>
        <v>3</v>
      </c>
      <c r="K1738" s="224">
        <f>IFERROR(__xludf.DUMMYFUNCTION("""COMPUTED_VALUE"""),24.0)</f>
        <v>24</v>
      </c>
      <c r="L1738" s="226">
        <f>IFERROR(__xludf.DUMMYFUNCTION("""COMPUTED_VALUE"""),310316.0)</f>
        <v>310316</v>
      </c>
      <c r="M1738" s="227">
        <f>IFERROR(__xludf.DUMMYFUNCTION("""COMPUTED_VALUE"""),7447562.0)</f>
        <v>7447562</v>
      </c>
      <c r="N1738" s="222" t="str">
        <f>IFERROR(__xludf.DUMMYFUNCTION("""COMPUTED_VALUE"""),"PT ALAM UTAMA MULIA")</f>
        <v>PT ALAM UTAMA MULIA</v>
      </c>
      <c r="O1738" s="222" t="str">
        <f>IFERROR(__xludf.DUMMYFUNCTION("""COMPUTED_VALUE"""),"0. DROP")</f>
        <v>0. DROP</v>
      </c>
      <c r="P1738" s="222" t="str">
        <f>IFERROR(__xludf.DUMMYFUNCTION("""COMPUTED_VALUE"""),"0.3 Feeder Full")</f>
        <v>0.3 Feeder Full</v>
      </c>
      <c r="Q1738" s="222" t="str">
        <f>IFERROR(__xludf.DUMMYFUNCTION("""COMPUTED_VALUE"""),"(27/01) kendala feeder TRS-FB full")</f>
        <v>(27/01) kendala feeder TRS-FB full</v>
      </c>
      <c r="R1738" s="228"/>
      <c r="S1738" s="11"/>
      <c r="T1738" s="11"/>
      <c r="U1738" s="11"/>
      <c r="V1738" s="229"/>
      <c r="W1738" s="229"/>
      <c r="X1738" s="229" t="str">
        <f>IFERROR(__xludf.DUMMYFUNCTION("""COMPUTED_VALUE"""),"BELUM GOLIVE")</f>
        <v>BELUM GOLIVE</v>
      </c>
      <c r="Y1738" s="229"/>
      <c r="Z1738" s="229" t="str">
        <f>IFERROR(__xludf.DUMMYFUNCTION("""COMPUTED_VALUE"""),"#N/A")</f>
        <v>#N/A</v>
      </c>
      <c r="AA1738" s="229"/>
      <c r="AB1738" s="229"/>
      <c r="AC1738" s="229"/>
      <c r="AD1738" s="232"/>
      <c r="AE1738" s="233"/>
      <c r="AF1738" s="54" t="str">
        <f>IFERROR(__xludf.DUMMYFUNCTION("""COMPUTED_VALUE"""),"Draft BA DROP")</f>
        <v>Draft BA DROP</v>
      </c>
      <c r="AG1738" s="54"/>
      <c r="AH1738" s="54"/>
      <c r="AI1738" s="55" t="str">
        <f t="shared" si="176"/>
        <v/>
      </c>
      <c r="AW1738" s="234"/>
      <c r="BP1738" s="11"/>
      <c r="BQ1738" s="11"/>
      <c r="BR1738" s="235"/>
      <c r="BV1738" s="158"/>
      <c r="BY1738" s="158"/>
      <c r="CB1738" s="158"/>
    </row>
    <row r="1739" ht="18.0" customHeight="1">
      <c r="A1739" s="222">
        <f>IFERROR(__xludf.DUMMYFUNCTION("""COMPUTED_VALUE"""),2026.0)</f>
        <v>2026</v>
      </c>
      <c r="B1739" s="221">
        <f>IFERROR(__xludf.DUMMYFUNCTION("""COMPUTED_VALUE"""),1.1513574E7)</f>
        <v>11513574</v>
      </c>
      <c r="C1739" s="222" t="str">
        <f>IFERROR(__xludf.DUMMYFUNCTION("""COMPUTED_VALUE"""),"SMB P3I1 Elproperty Cluster Lubeg")</f>
        <v>SMB P3I1 Elproperty Cluster Lubeg</v>
      </c>
      <c r="D1739" s="222" t="str">
        <f>IFERROR(__xludf.DUMMYFUNCTION("""COMPUTED_VALUE"""),"REGIONAL I")</f>
        <v>REGIONAL I</v>
      </c>
      <c r="E1739" s="222" t="str">
        <f>IFERROR(__xludf.DUMMYFUNCTION("""COMPUTED_VALUE"""),"SUMBAR")</f>
        <v>SUMBAR</v>
      </c>
      <c r="F1739" s="222" t="str">
        <f>IFERROR(__xludf.DUMMYFUNCTION("""COMPUTED_VALUE"""),"BDT")</f>
        <v>BDT</v>
      </c>
      <c r="G1739" s="222" t="str">
        <f>IFERROR(__xludf.DUMMYFUNCTION("""COMPUTED_VALUE"""),"SUMBAGTENG")</f>
        <v>SUMBAGTENG</v>
      </c>
      <c r="H1739" s="222" t="str">
        <f>IFERROR(__xludf.DUMMYFUNCTION("""COMPUTED_VALUE"""),"PADANG")</f>
        <v>PADANG</v>
      </c>
      <c r="I1739" s="222" t="str">
        <f>IFERROR(__xludf.DUMMYFUNCTION("""COMPUTED_VALUE"""),"Batch 2")</f>
        <v>Batch 2</v>
      </c>
      <c r="J1739" s="225">
        <f>IFERROR(__xludf.DUMMYFUNCTION("""COMPUTED_VALUE"""),3.0)</f>
        <v>3</v>
      </c>
      <c r="K1739" s="224">
        <f>IFERROR(__xludf.DUMMYFUNCTION("""COMPUTED_VALUE"""),24.0)</f>
        <v>24</v>
      </c>
      <c r="L1739" s="226">
        <f>IFERROR(__xludf.DUMMYFUNCTION("""COMPUTED_VALUE"""),441642.0)</f>
        <v>441642</v>
      </c>
      <c r="M1739" s="227">
        <f>IFERROR(__xludf.DUMMYFUNCTION("""COMPUTED_VALUE"""),1.0599394E7)</f>
        <v>10599394</v>
      </c>
      <c r="N1739" s="222" t="str">
        <f>IFERROR(__xludf.DUMMYFUNCTION("""COMPUTED_VALUE"""),"PT ACERO CETHA METALINDO")</f>
        <v>PT ACERO CETHA METALINDO</v>
      </c>
      <c r="O1739" s="222" t="str">
        <f>IFERROR(__xludf.DUMMYFUNCTION("""COMPUTED_VALUE"""),"8. UJI TERIMA")</f>
        <v>8. UJI TERIMA</v>
      </c>
      <c r="P1739" s="222" t="str">
        <f>IFERROR(__xludf.DUMMYFUNCTION("""COMPUTED_VALUE"""),"8.1 Proses UT")</f>
        <v>8.1 Proses UT</v>
      </c>
      <c r="Q1739" s="222" t="str">
        <f>IFERROR(__xludf.DUMMYFUNCTION("""COMPUTED_VALUE"""),"(06/03) Proses create PID  (05/03) proses aanwijziing plan selesai 07/03 (02/03) proses aanwijziing (26/01) DROP, permintaan tsel (tidak potensial) ")</f>
        <v>(06/03) Proses create PID  (05/03) proses aanwijziing plan selesai 07/03 (02/03) proses aanwijziing (26/01) DROP, permintaan tsel (tidak potensial) </v>
      </c>
      <c r="R1739" s="228">
        <f>IFERROR(__xludf.DUMMYFUNCTION("""COMPUTED_VALUE"""),46111.0)</f>
        <v>46111</v>
      </c>
      <c r="S1739" s="11"/>
      <c r="T1739" s="11"/>
      <c r="U1739" s="11" t="str">
        <f>IFERROR(__xludf.DUMMYFUNCTION("""COMPUTED_VALUE"""),"TIF-5570/2026  26KT03R158-0060")</f>
        <v>TIF-5570/2026  26KT03R158-0060</v>
      </c>
      <c r="V1739" s="229" t="str">
        <f>IFERROR(__xludf.DUMMYFUNCTION("""COMPUTED_VALUE"""),"PRAMADIO SEPWILMAN")</f>
        <v>PRAMADIO SEPWILMAN</v>
      </c>
      <c r="W1739" s="229" t="str">
        <f>IFERROR(__xludf.DUMMYFUNCTION("""COMPUTED_VALUE"""),"MELKO NARWADI")</f>
        <v>MELKO NARWADI</v>
      </c>
      <c r="X1739" s="229" t="str">
        <f>IFERROR(__xludf.DUMMYFUNCTION("""COMPUTED_VALUE"""),"GOLIVE")</f>
        <v>GOLIVE</v>
      </c>
      <c r="Y1739" s="229" t="str">
        <f>IFERROR(__xludf.DUMMYFUNCTION("""COMPUTED_VALUE"""),"DONE")</f>
        <v>DONE</v>
      </c>
      <c r="Z1739" s="229" t="str">
        <f>IFERROR(__xludf.DUMMYFUNCTION("""COMPUTED_VALUE"""),"#N/A")</f>
        <v>#N/A</v>
      </c>
      <c r="AA1739" s="229">
        <f>IFERROR(__xludf.DUMMYFUNCTION("""COMPUTED_VALUE"""),3.0)</f>
        <v>3</v>
      </c>
      <c r="AB1739" s="229"/>
      <c r="AC1739" s="229" t="str">
        <f>IFERROR(__xludf.DUMMYFUNCTION("""COMPUTED_VALUE"""),"9207286#9207291")</f>
        <v>9207286#9207291</v>
      </c>
      <c r="AD1739" s="232">
        <f>IFERROR(__xludf.DUMMYFUNCTION("""COMPUTED_VALUE"""),24.0)</f>
        <v>24</v>
      </c>
      <c r="AE1739" s="233">
        <f>IFERROR(__xludf.DUMMYFUNCTION("""COMPUTED_VALUE"""),46096.0)</f>
        <v>46096</v>
      </c>
      <c r="AF1739" s="54"/>
      <c r="AG1739" s="54"/>
      <c r="AH1739" s="54">
        <v>46111.0</v>
      </c>
      <c r="AI1739" s="55">
        <f t="shared" si="176"/>
        <v>15</v>
      </c>
      <c r="AW1739" s="234"/>
      <c r="BP1739" s="11"/>
      <c r="BQ1739" s="11"/>
      <c r="BR1739" s="235"/>
      <c r="BV1739" s="158"/>
      <c r="BY1739" s="158"/>
      <c r="CB1739" s="158"/>
    </row>
    <row r="1740" ht="18.0" hidden="1" customHeight="1">
      <c r="A1740" s="222">
        <f>IFERROR(__xludf.DUMMYFUNCTION("""COMPUTED_VALUE"""),2026.0)</f>
        <v>2026</v>
      </c>
      <c r="B1740" s="221">
        <f>IFERROR(__xludf.DUMMYFUNCTION("""COMPUTED_VALUE"""),1.1346444E7)</f>
        <v>11346444</v>
      </c>
      <c r="C1740" s="222" t="str">
        <f>IFERROR(__xludf.DUMMYFUNCTION("""COMPUTED_VALUE"""),"ACH PT3 BNA-FE LAMPASEH")</f>
        <v>ACH PT3 BNA-FE LAMPASEH</v>
      </c>
      <c r="D1740" s="222" t="str">
        <f>IFERROR(__xludf.DUMMYFUNCTION("""COMPUTED_VALUE"""),"REGIONAL I")</f>
        <v>REGIONAL I</v>
      </c>
      <c r="E1740" s="222" t="str">
        <f>IFERROR(__xludf.DUMMYFUNCTION("""COMPUTED_VALUE"""),"ACEH")</f>
        <v>ACEH</v>
      </c>
      <c r="F1740" s="222" t="str">
        <f>IFERROR(__xludf.DUMMYFUNCTION("""COMPUTED_VALUE"""),"BNA")</f>
        <v>BNA</v>
      </c>
      <c r="G1740" s="222" t="str">
        <f>IFERROR(__xludf.DUMMYFUNCTION("""COMPUTED_VALUE"""),"SUMBAGUT")</f>
        <v>SUMBAGUT</v>
      </c>
      <c r="H1740" s="222" t="str">
        <f>IFERROR(__xludf.DUMMYFUNCTION("""COMPUTED_VALUE"""),"BANDA ACEH")</f>
        <v>BANDA ACEH</v>
      </c>
      <c r="I1740" s="222" t="str">
        <f>IFERROR(__xludf.DUMMYFUNCTION("""COMPUTED_VALUE"""),"Batch 2")</f>
        <v>Batch 2</v>
      </c>
      <c r="J1740" s="225">
        <f>IFERROR(__xludf.DUMMYFUNCTION("""COMPUTED_VALUE"""),14.0)</f>
        <v>14</v>
      </c>
      <c r="K1740" s="224">
        <f>IFERROR(__xludf.DUMMYFUNCTION("""COMPUTED_VALUE"""),112.0)</f>
        <v>112</v>
      </c>
      <c r="L1740" s="226">
        <f>IFERROR(__xludf.DUMMYFUNCTION("""COMPUTED_VALUE"""),1018265.0)</f>
        <v>1018265</v>
      </c>
      <c r="M1740" s="227">
        <f>IFERROR(__xludf.DUMMYFUNCTION("""COMPUTED_VALUE"""),1.14045664E8)</f>
        <v>114045664</v>
      </c>
      <c r="N1740" s="222" t="str">
        <f>IFERROR(__xludf.DUMMYFUNCTION("""COMPUTED_VALUE"""),"PT TRIPOLA PANATA")</f>
        <v>PT TRIPOLA PANATA</v>
      </c>
      <c r="O1740" s="222" t="str">
        <f>IFERROR(__xludf.DUMMYFUNCTION("""COMPUTED_VALUE"""),"7. GOLIVE")</f>
        <v>7. GOLIVE</v>
      </c>
      <c r="P1740" s="222" t="str">
        <f>IFERROR(__xludf.DUMMYFUNCTION("""COMPUTED_VALUE"""),"7.2 Golive Full / OA / DONE OTB")</f>
        <v>7.2 Golive Full / OA / DONE OTB</v>
      </c>
      <c r="Q1740" s="222" t="str">
        <f>IFERROR(__xludf.DUMMYFUNCTION("""COMPUTED_VALUE"""),"(05/03) ABD Mancore (03/03) proses valin (27/02) Penarikan Kabel (24/02) Tanam TIang (07/02) Proses PO Material (22/01) Perizinan 10 Kampung dan PU Balai (07/01) Persiapan")</f>
        <v>(05/03) ABD Mancore (03/03) proses valin (27/02) Penarikan Kabel (24/02) Tanam TIang (07/02) Proses PO Material (22/01) Perizinan 10 Kampung dan PU Balai (07/01) Persiapan</v>
      </c>
      <c r="R1740" s="228">
        <f>IFERROR(__xludf.DUMMYFUNCTION("""COMPUTED_VALUE"""),46106.0)</f>
        <v>46106</v>
      </c>
      <c r="S1740" s="11" t="str">
        <f>IFERROR(__xludf.DUMMYFUNCTION("""COMPUTED_VALUE"""),"MAR")</f>
        <v>MAR</v>
      </c>
      <c r="T1740" s="11"/>
      <c r="U1740" s="11"/>
      <c r="V1740" s="229"/>
      <c r="W1740" s="229"/>
      <c r="X1740" s="229" t="str">
        <f>IFERROR(__xludf.DUMMYFUNCTION("""COMPUTED_VALUE"""),"GOLIVE")</f>
        <v>GOLIVE</v>
      </c>
      <c r="Y1740" s="229" t="str">
        <f>IFERROR(__xludf.DUMMYFUNCTION("""COMPUTED_VALUE"""),"DONE")</f>
        <v>DONE</v>
      </c>
      <c r="Z1740" s="229" t="str">
        <f>IFERROR(__xludf.DUMMYFUNCTION("""COMPUTED_VALUE"""),"#N/A")</f>
        <v>#N/A</v>
      </c>
      <c r="AA1740" s="229">
        <f>IFERROR(__xludf.DUMMYFUNCTION("""COMPUTED_VALUE"""),14.0)</f>
        <v>14</v>
      </c>
      <c r="AB1740" s="229"/>
      <c r="AC1740" s="229" t="str">
        <f>IFERROR(__xludf.DUMMYFUNCTION("""COMPUTED_VALUE"""),"9174270#9174275")</f>
        <v>9174270#9174275</v>
      </c>
      <c r="AD1740" s="232">
        <f>IFERROR(__xludf.DUMMYFUNCTION("""COMPUTED_VALUE"""),112.0)</f>
        <v>112</v>
      </c>
      <c r="AE1740" s="233">
        <f>IFERROR(__xludf.DUMMYFUNCTION("""COMPUTED_VALUE"""),46088.0)</f>
        <v>46088</v>
      </c>
      <c r="AF1740" s="54"/>
      <c r="AG1740" s="54"/>
      <c r="AH1740" s="54">
        <v>46106.0</v>
      </c>
      <c r="AI1740" s="55">
        <f t="shared" si="176"/>
        <v>18</v>
      </c>
      <c r="AW1740" s="234"/>
      <c r="BP1740" s="11"/>
      <c r="BQ1740" s="11"/>
      <c r="BR1740" s="235"/>
      <c r="BV1740" s="158"/>
      <c r="BY1740" s="158"/>
      <c r="CB1740" s="158"/>
    </row>
    <row r="1741" ht="18.0" hidden="1" customHeight="1">
      <c r="A1741" s="222">
        <f>IFERROR(__xludf.DUMMYFUNCTION("""COMPUTED_VALUE"""),2026.0)</f>
        <v>2026</v>
      </c>
      <c r="B1741" s="221">
        <f>IFERROR(__xludf.DUMMYFUNCTION("""COMPUTED_VALUE"""),1.1388943E7)</f>
        <v>11388943</v>
      </c>
      <c r="C1741" s="222" t="str">
        <f>IFERROR(__xludf.DUMMYFUNCTION("""COMPUTED_VALUE"""),"ACH PT4 BNA-FAN BEUTARI PERMAI L")</f>
        <v>ACH PT4 BNA-FAN BEUTARI PERMAI L</v>
      </c>
      <c r="D1741" s="222" t="str">
        <f>IFERROR(__xludf.DUMMYFUNCTION("""COMPUTED_VALUE"""),"REGIONAL I")</f>
        <v>REGIONAL I</v>
      </c>
      <c r="E1741" s="222" t="str">
        <f>IFERROR(__xludf.DUMMYFUNCTION("""COMPUTED_VALUE"""),"ACEH")</f>
        <v>ACEH</v>
      </c>
      <c r="F1741" s="222" t="str">
        <f>IFERROR(__xludf.DUMMYFUNCTION("""COMPUTED_VALUE"""),"BNA")</f>
        <v>BNA</v>
      </c>
      <c r="G1741" s="222" t="str">
        <f>IFERROR(__xludf.DUMMYFUNCTION("""COMPUTED_VALUE"""),"SUMBAGUT")</f>
        <v>SUMBAGUT</v>
      </c>
      <c r="H1741" s="222" t="str">
        <f>IFERROR(__xludf.DUMMYFUNCTION("""COMPUTED_VALUE"""),"BANDA ACEH")</f>
        <v>BANDA ACEH</v>
      </c>
      <c r="I1741" s="222" t="str">
        <f>IFERROR(__xludf.DUMMYFUNCTION("""COMPUTED_VALUE"""),"Batch 2")</f>
        <v>Batch 2</v>
      </c>
      <c r="J1741" s="225">
        <f>IFERROR(__xludf.DUMMYFUNCTION("""COMPUTED_VALUE"""),12.0)</f>
        <v>12</v>
      </c>
      <c r="K1741" s="224">
        <f>IFERROR(__xludf.DUMMYFUNCTION("""COMPUTED_VALUE"""),112.0)</f>
        <v>112</v>
      </c>
      <c r="L1741" s="226">
        <f>IFERROR(__xludf.DUMMYFUNCTION("""COMPUTED_VALUE"""),1627649.0)</f>
        <v>1627649</v>
      </c>
      <c r="M1741" s="227">
        <f>IFERROR(__xludf.DUMMYFUNCTION("""COMPUTED_VALUE"""),1.82296655E8)</f>
        <v>182296655</v>
      </c>
      <c r="N1741" s="222" t="str">
        <f>IFERROR(__xludf.DUMMYFUNCTION("""COMPUTED_VALUE"""),"PT NURISA JAYA PERKASA")</f>
        <v>PT NURISA JAYA PERKASA</v>
      </c>
      <c r="O1741" s="222" t="str">
        <f>IFERROR(__xludf.DUMMYFUNCTION("""COMPUTED_VALUE"""),"7. GOLIVE")</f>
        <v>7. GOLIVE</v>
      </c>
      <c r="P1741" s="222" t="str">
        <f>IFERROR(__xludf.DUMMYFUNCTION("""COMPUTED_VALUE"""),"7.2 Golive Full / OA / DONE OTB")</f>
        <v>7.2 Golive Full / OA / DONE OTB</v>
      </c>
      <c r="Q1741" s="222" t="str">
        <f>IFERROR(__xludf.DUMMYFUNCTION("""COMPUTED_VALUE"""),"(30/01) proses ABD MANCORE (21/01) Penarikan Kabel (12/01) Tanam Tiang (07/01) Persiapan")</f>
        <v>(30/01) proses ABD MANCORE (21/01) Penarikan Kabel (12/01) Tanam Tiang (07/01) Persiapan</v>
      </c>
      <c r="R1741" s="228">
        <f>IFERROR(__xludf.DUMMYFUNCTION("""COMPUTED_VALUE"""),46055.0)</f>
        <v>46055</v>
      </c>
      <c r="S1741" s="11"/>
      <c r="T1741" s="11"/>
      <c r="U1741" s="11" t="str">
        <f>IFERROR(__xludf.DUMMYFUNCTION("""COMPUTED_VALUE"""),"W04-671/2025")</f>
        <v>W04-671/2025</v>
      </c>
      <c r="V1741" s="229"/>
      <c r="W1741" s="229"/>
      <c r="X1741" s="229" t="str">
        <f>IFERROR(__xludf.DUMMYFUNCTION("""COMPUTED_VALUE"""),"GOLIVE")</f>
        <v>GOLIVE</v>
      </c>
      <c r="Y1741" s="229" t="str">
        <f>IFERROR(__xludf.DUMMYFUNCTION("""COMPUTED_VALUE"""),"DONE")</f>
        <v>DONE</v>
      </c>
      <c r="Z1741" s="229" t="str">
        <f>IFERROR(__xludf.DUMMYFUNCTION("""COMPUTED_VALUE"""),"#N/A")</f>
        <v>#N/A</v>
      </c>
      <c r="AA1741" s="229">
        <f>IFERROR(__xludf.DUMMYFUNCTION("""COMPUTED_VALUE"""),14.0)</f>
        <v>14</v>
      </c>
      <c r="AB1741" s="229"/>
      <c r="AC1741" s="229" t="str">
        <f>IFERROR(__xludf.DUMMYFUNCTION("""COMPUTED_VALUE"""),"9050218#9050223")</f>
        <v>9050218#9050223</v>
      </c>
      <c r="AD1741" s="232">
        <f>IFERROR(__xludf.DUMMYFUNCTION("""COMPUTED_VALUE"""),112.0)</f>
        <v>112</v>
      </c>
      <c r="AE1741" s="233">
        <f>IFERROR(__xludf.DUMMYFUNCTION("""COMPUTED_VALUE"""),46055.0)</f>
        <v>46055</v>
      </c>
      <c r="AF1741" s="54"/>
      <c r="AG1741" s="54"/>
      <c r="AH1741" s="54">
        <v>46055.0</v>
      </c>
      <c r="AI1741" s="55">
        <f t="shared" si="176"/>
        <v>0</v>
      </c>
      <c r="AW1741" s="234"/>
      <c r="BP1741" s="11"/>
      <c r="BQ1741" s="11"/>
      <c r="BR1741" s="235"/>
      <c r="BV1741" s="158"/>
      <c r="BY1741" s="158"/>
      <c r="CB1741" s="158"/>
    </row>
    <row r="1742" ht="18.0" hidden="1" customHeight="1">
      <c r="A1742" s="222">
        <f>IFERROR(__xludf.DUMMYFUNCTION("""COMPUTED_VALUE"""),2026.0)</f>
        <v>2026</v>
      </c>
      <c r="B1742" s="221">
        <f>IFERROR(__xludf.DUMMYFUNCTION("""COMPUTED_VALUE"""),1.1518034E7)</f>
        <v>11518034</v>
      </c>
      <c r="C1742" s="222" t="str">
        <f>IFERROR(__xludf.DUMMYFUNCTION("""COMPUTED_VALUE"""),"SMS P3I1 PT4 SPP FXX JUKUNG")</f>
        <v>SMS P3I1 PT4 SPP FXX JUKUNG</v>
      </c>
      <c r="D1742" s="222" t="str">
        <f>IFERROR(__xludf.DUMMYFUNCTION("""COMPUTED_VALUE"""),"REGIONAL I")</f>
        <v>REGIONAL I</v>
      </c>
      <c r="E1742" s="222" t="str">
        <f>IFERROR(__xludf.DUMMYFUNCTION("""COMPUTED_VALUE"""),"SUMSEL")</f>
        <v>SUMSEL</v>
      </c>
      <c r="F1742" s="222" t="str">
        <f>IFERROR(__xludf.DUMMYFUNCTION("""COMPUTED_VALUE"""),"SPP")</f>
        <v>SPP</v>
      </c>
      <c r="G1742" s="222" t="str">
        <f>IFERROR(__xludf.DUMMYFUNCTION("""COMPUTED_VALUE"""),"SUMBAGSEL")</f>
        <v>SUMBAGSEL</v>
      </c>
      <c r="H1742" s="222" t="str">
        <f>IFERROR(__xludf.DUMMYFUNCTION("""COMPUTED_VALUE"""),"BENGKULU")</f>
        <v>BENGKULU</v>
      </c>
      <c r="I1742" s="222" t="str">
        <f>IFERROR(__xludf.DUMMYFUNCTION("""COMPUTED_VALUE"""),"Batch 2")</f>
        <v>Batch 2</v>
      </c>
      <c r="J1742" s="225">
        <f>IFERROR(__xludf.DUMMYFUNCTION("""COMPUTED_VALUE"""),20.0)</f>
        <v>20</v>
      </c>
      <c r="K1742" s="224">
        <f>IFERROR(__xludf.DUMMYFUNCTION("""COMPUTED_VALUE"""),152.0)</f>
        <v>152</v>
      </c>
      <c r="L1742" s="226">
        <f>IFERROR(__xludf.DUMMYFUNCTION("""COMPUTED_VALUE"""),1026349.0)</f>
        <v>1026349</v>
      </c>
      <c r="M1742" s="227">
        <f>IFERROR(__xludf.DUMMYFUNCTION("""COMPUTED_VALUE"""),1.56004943E8)</f>
        <v>156004943</v>
      </c>
      <c r="N1742" s="222" t="str">
        <f>IFERROR(__xludf.DUMMYFUNCTION("""COMPUTED_VALUE"""),"PT GITA PRIMA TAMBA PERKASA")</f>
        <v>PT GITA PRIMA TAMBA PERKASA</v>
      </c>
      <c r="O1742" s="222" t="str">
        <f>IFERROR(__xludf.DUMMYFUNCTION("""COMPUTED_VALUE"""),"2. DONE AANWIJZING")</f>
        <v>2. DONE AANWIJZING</v>
      </c>
      <c r="P1742" s="222" t="str">
        <f>IFERROR(__xludf.DUMMYFUNCTION("""COMPUTED_VALUE"""),"2.10 Kendala - Feeder Rusak")</f>
        <v>2.10 Kendala - Feeder Rusak</v>
      </c>
      <c r="Q1742" s="222" t="str">
        <f>IFERROR(__xludf.DUMMYFUNCTION("""COMPUTED_VALUE"""),"27/04 : Evaluasi BOQ  terkait permanen catuan feeder uplink // 13/04 masih Pencariam Uplink Mini olt  09/04 Resdesign  Menunggu evaluasi 08/04 Done Aanwidzing Menunggu evaluasi 31/03 PERGANTIAN MITRA DARI HANSUNG KE GPTP, 25/03 masih mencari core UPlink -"&amp;" belum ada info, 09/03 masih mencari core UPlink - belum ada info, 08/03 KOORDINASI DG MITRA TERKAIT LOP INI YG MASUK KE BENGKULU, 03/03 masih mencari core UPlink - belum ada info, 27/02masih mencari core UPlink, 24/02masih mencari core UPlink 22/2 masih "&amp;"mencari core UPlink 06/02 HASIL REVIEW TSEL BLM ADA KEPUTUSAN, 15/01 done aanwizjing 2025, mau berkoordinasi dg tif untuk lanjut tidak nya lokasi ini 31/1 update dikirim mitra 2 FEB, tim OGP cek ke lokasi 29/01 Mini OLT Not Ready perlu dipastikan ketersed"&amp;"iaan uplink untuk request mini OLT, (24/1) menungggu kepastian core untuk UPlink , plan 26 Jan (21/01) done aanwizjing, menunggu kelanjutan dri TIF untuk lanjut pekerjaan ini, karena CSF dan masuk ke ruas pu nasional(12/01) menunggu kelanjutan dri TIF unt"&amp;"uk lanjut pekerjaan ini, karena CSF dan masuk ke ruas pu nasional, (07/01) Persiapan (06/01)order JPP batch-2 2026 (04/11 hold (butuh mini olt) 5/10 aanwizjing done, pembuatan data update lapangan
 08/10 menunggu jadwal aanwizjing
 (01/10) menunggu jadwal"&amp;" aanwijzing
 14/01 sudah penunjukan mitra oleh procurement\")</f>
        <v>27/04 : Evaluasi BOQ  terkait permanen catuan feeder uplink // 13/04 masih Pencariam Uplink Mini olt  09/04 Resdesign  Menunggu evaluasi 08/04 Done Aanwidzing Menunggu evaluasi 31/03 PERGANTIAN MITRA DARI HANSUNG KE GPTP, 25/03 masih mencari core UPlink - belum ada info, 09/03 masih mencari core UPlink - belum ada info, 08/03 KOORDINASI DG MITRA TERKAIT LOP INI YG MASUK KE BENGKULU, 03/03 masih mencari core UPlink - belum ada info, 27/02masih mencari core UPlink, 24/02masih mencari core UPlink 22/2 masih mencari core UPlink 06/02 HASIL REVIEW TSEL BLM ADA KEPUTUSAN, 15/01 done aanwizjing 2025, mau berkoordinasi dg tif untuk lanjut tidak nya lokasi ini 31/1 update dikirim mitra 2 FEB, tim OGP cek ke lokasi 29/01 Mini OLT Not Ready perlu dipastikan ketersediaan uplink untuk request mini OLT, (24/1) menungggu kepastian core untuk UPlink , plan 26 Jan (21/01) done aanwizjing, menunggu kelanjutan dri TIF untuk lanjut pekerjaan ini, karena CSF dan masuk ke ruas pu nasional(12/01) menunggu kelanjutan dri TIF untuk lanjut pekerjaan ini, karena CSF dan masuk ke ruas pu nasional, (07/01) Persiapan (06/01)order JPP batch-2 2026 (04/11 hold (butuh mini olt) 5/10 aanwizjing done, pembuatan data update lapangan
 08/10 menunggu jadwal aanwizjing
 (01/10) menunggu jadwal aanwijzing
 14/01 sudah penunjukan mitra oleh procurement\</v>
      </c>
      <c r="R1742" s="228"/>
      <c r="S1742" s="11"/>
      <c r="T1742" s="11"/>
      <c r="U1742" s="11"/>
      <c r="V1742" s="229" t="str">
        <f>IFERROR(__xludf.DUMMYFUNCTION("""COMPUTED_VALUE"""),"PUTRA")</f>
        <v>PUTRA</v>
      </c>
      <c r="W1742" s="229"/>
      <c r="X1742" s="229" t="str">
        <f>IFERROR(__xludf.DUMMYFUNCTION("""COMPUTED_VALUE"""),"BELUM GOLIVE")</f>
        <v>BELUM GOLIVE</v>
      </c>
      <c r="Y1742" s="229"/>
      <c r="Z1742" s="229"/>
      <c r="AA1742" s="229"/>
      <c r="AB1742" s="229"/>
      <c r="AC1742" s="229"/>
      <c r="AD1742" s="232"/>
      <c r="AE1742" s="233"/>
      <c r="AF1742" s="54"/>
      <c r="AG1742" s="54"/>
      <c r="AH1742" s="54"/>
      <c r="AI1742" s="55" t="str">
        <f t="shared" si="176"/>
        <v/>
      </c>
      <c r="AW1742" s="234"/>
      <c r="BP1742" s="11"/>
      <c r="BQ1742" s="11"/>
      <c r="BR1742" s="235"/>
      <c r="BV1742" s="158"/>
      <c r="BY1742" s="158"/>
      <c r="CB1742" s="158"/>
    </row>
    <row r="1743" ht="18.0" customHeight="1">
      <c r="A1743" s="222">
        <f>IFERROR(__xludf.DUMMYFUNCTION("""COMPUTED_VALUE"""),2026.0)</f>
        <v>2026</v>
      </c>
      <c r="B1743" s="221">
        <f>IFERROR(__xludf.DUMMYFUNCTION("""COMPUTED_VALUE"""),1.2358281E7)</f>
        <v>12358281</v>
      </c>
      <c r="C1743" s="222" t="str">
        <f>IFERROR(__xludf.DUMMYFUNCTION("""COMPUTED_VALUE"""),"SMB-PT3-ODC-PDJ-FE-LIMA PULUH KOTA_27015")</f>
        <v>SMB-PT3-ODC-PDJ-FE-LIMA PULUH KOTA_27015</v>
      </c>
      <c r="D1743" s="222" t="str">
        <f>IFERROR(__xludf.DUMMYFUNCTION("""COMPUTED_VALUE"""),"REGIONAL I")</f>
        <v>REGIONAL I</v>
      </c>
      <c r="E1743" s="222" t="str">
        <f>IFERROR(__xludf.DUMMYFUNCTION("""COMPUTED_VALUE"""),"SUMBAR")</f>
        <v>SUMBAR</v>
      </c>
      <c r="F1743" s="222" t="str">
        <f>IFERROR(__xludf.DUMMYFUNCTION("""COMPUTED_VALUE"""),"PDJ")</f>
        <v>PDJ</v>
      </c>
      <c r="G1743" s="222" t="str">
        <f>IFERROR(__xludf.DUMMYFUNCTION("""COMPUTED_VALUE"""),"SUMBAGTENG")</f>
        <v>SUMBAGTENG</v>
      </c>
      <c r="H1743" s="222" t="str">
        <f>IFERROR(__xludf.DUMMYFUNCTION("""COMPUTED_VALUE"""),"BUKIT TINGGI")</f>
        <v>BUKIT TINGGI</v>
      </c>
      <c r="I1743" s="222" t="str">
        <f>IFERROR(__xludf.DUMMYFUNCTION("""COMPUTED_VALUE"""),"Batch 2")</f>
        <v>Batch 2</v>
      </c>
      <c r="J1743" s="225">
        <f>IFERROR(__xludf.DUMMYFUNCTION("""COMPUTED_VALUE"""),2.0)</f>
        <v>2</v>
      </c>
      <c r="K1743" s="224">
        <f>IFERROR(__xludf.DUMMYFUNCTION("""COMPUTED_VALUE"""),16.0)</f>
        <v>16</v>
      </c>
      <c r="L1743" s="226">
        <f>IFERROR(__xludf.DUMMYFUNCTION("""COMPUTED_VALUE"""),432682.0)</f>
        <v>432682</v>
      </c>
      <c r="M1743" s="227">
        <f>IFERROR(__xludf.DUMMYFUNCTION("""COMPUTED_VALUE"""),6922900.0)</f>
        <v>6922900</v>
      </c>
      <c r="N1743" s="222" t="str">
        <f>IFERROR(__xludf.DUMMYFUNCTION("""COMPUTED_VALUE"""),"PT TSUIKA BERKAH RAYA")</f>
        <v>PT TSUIKA BERKAH RAYA</v>
      </c>
      <c r="O1743" s="222" t="str">
        <f>IFERROR(__xludf.DUMMYFUNCTION("""COMPUTED_VALUE"""),"0. DROP")</f>
        <v>0. DROP</v>
      </c>
      <c r="P1743" s="222" t="str">
        <f>IFERROR(__xludf.DUMMYFUNCTION("""COMPUTED_VALUE"""),"0.3 Feeder Full")</f>
        <v>0.3 Feeder Full</v>
      </c>
      <c r="Q1743" s="222" t="str">
        <f>IFERROR(__xludf.DUMMYFUNCTION("""COMPUTED_VALUE"""),"(26/01) kendala feeder PDJ-FE Full")</f>
        <v>(26/01) kendala feeder PDJ-FE Full</v>
      </c>
      <c r="R1743" s="228"/>
      <c r="S1743" s="11"/>
      <c r="T1743" s="11"/>
      <c r="U1743" s="11"/>
      <c r="V1743" s="229"/>
      <c r="W1743" s="229"/>
      <c r="X1743" s="229" t="str">
        <f>IFERROR(__xludf.DUMMYFUNCTION("""COMPUTED_VALUE"""),"BELUM GOLIVE")</f>
        <v>BELUM GOLIVE</v>
      </c>
      <c r="Y1743" s="229"/>
      <c r="Z1743" s="229" t="str">
        <f>IFERROR(__xludf.DUMMYFUNCTION("""COMPUTED_VALUE"""),"#N/A")</f>
        <v>#N/A</v>
      </c>
      <c r="AA1743" s="229"/>
      <c r="AB1743" s="229"/>
      <c r="AC1743" s="229"/>
      <c r="AD1743" s="232"/>
      <c r="AE1743" s="233"/>
      <c r="AF1743" s="54" t="str">
        <f>IFERROR(__xludf.DUMMYFUNCTION("""COMPUTED_VALUE"""),"Draft BA DROP")</f>
        <v>Draft BA DROP</v>
      </c>
      <c r="AG1743" s="54"/>
      <c r="AH1743" s="54"/>
      <c r="AI1743" s="55" t="str">
        <f t="shared" si="176"/>
        <v/>
      </c>
      <c r="AW1743" s="234"/>
      <c r="BP1743" s="11"/>
      <c r="BQ1743" s="11"/>
      <c r="BR1743" s="235"/>
      <c r="BV1743" s="158"/>
      <c r="BY1743" s="158"/>
      <c r="CB1743" s="158"/>
    </row>
    <row r="1744" ht="18.0" hidden="1" customHeight="1">
      <c r="A1744" s="222">
        <f>IFERROR(__xludf.DUMMYFUNCTION("""COMPUTED_VALUE"""),2026.0)</f>
        <v>2026</v>
      </c>
      <c r="B1744" s="221">
        <f>IFERROR(__xludf.DUMMYFUNCTION("""COMPUTED_VALUE"""),1.175414E7)</f>
        <v>11754140</v>
      </c>
      <c r="C1744" s="222" t="str">
        <f>IFERROR(__xludf.DUMMYFUNCTION("""COMPUTED_VALUE"""),"SMS PT3 PGA FAF D02 SIMPANG KORAMIL LAMA")</f>
        <v>SMS PT3 PGA FAF D02 SIMPANG KORAMIL LAMA</v>
      </c>
      <c r="D1744" s="222" t="str">
        <f>IFERROR(__xludf.DUMMYFUNCTION("""COMPUTED_VALUE"""),"REGIONAL I")</f>
        <v>REGIONAL I</v>
      </c>
      <c r="E1744" s="222" t="str">
        <f>IFERROR(__xludf.DUMMYFUNCTION("""COMPUTED_VALUE"""),"SUMSEL")</f>
        <v>SUMSEL</v>
      </c>
      <c r="F1744" s="222" t="str">
        <f>IFERROR(__xludf.DUMMYFUNCTION("""COMPUTED_VALUE"""),"PGA")</f>
        <v>PGA</v>
      </c>
      <c r="G1744" s="222" t="str">
        <f>IFERROR(__xludf.DUMMYFUNCTION("""COMPUTED_VALUE"""),"SUMBAGSEL")</f>
        <v>SUMBAGSEL</v>
      </c>
      <c r="H1744" s="222" t="str">
        <f>IFERROR(__xludf.DUMMYFUNCTION("""COMPUTED_VALUE"""),"BENGKULU")</f>
        <v>BENGKULU</v>
      </c>
      <c r="I1744" s="222" t="str">
        <f>IFERROR(__xludf.DUMMYFUNCTION("""COMPUTED_VALUE"""),"Batch 2")</f>
        <v>Batch 2</v>
      </c>
      <c r="J1744" s="225">
        <f>IFERROR(__xludf.DUMMYFUNCTION("""COMPUTED_VALUE"""),2.0)</f>
        <v>2</v>
      </c>
      <c r="K1744" s="224">
        <f>IFERROR(__xludf.DUMMYFUNCTION("""COMPUTED_VALUE"""),16.0)</f>
        <v>16</v>
      </c>
      <c r="L1744" s="226">
        <f>IFERROR(__xludf.DUMMYFUNCTION("""COMPUTED_VALUE"""),431383.0)</f>
        <v>431383</v>
      </c>
      <c r="M1744" s="227">
        <f>IFERROR(__xludf.DUMMYFUNCTION("""COMPUTED_VALUE"""),6902117.0)</f>
        <v>6902117</v>
      </c>
      <c r="N1744" s="222" t="str">
        <f>IFERROR(__xludf.DUMMYFUNCTION("""COMPUTED_VALUE"""),"PT GITA PRIMA TAMBA PERKASA")</f>
        <v>PT GITA PRIMA TAMBA PERKASA</v>
      </c>
      <c r="O1744" s="222" t="str">
        <f>IFERROR(__xludf.DUMMYFUNCTION("""COMPUTED_VALUE"""),"2. DONE AANWIJZING")</f>
        <v>2. DONE AANWIJZING</v>
      </c>
      <c r="P1744" s="222" t="str">
        <f>IFERROR(__xludf.DUMMYFUNCTION("""COMPUTED_VALUE"""),"2.5 Proses Create PID")</f>
        <v>2.5 Proses Create PID</v>
      </c>
      <c r="Q1744" s="222" t="str">
        <f>IFERROR(__xludf.DUMMYFUNCTION("""COMPUTED_VALUE"""),"27/04 : Proses PR PO // 09/04 kepala desa belum ada FEEDBACK , plan 10 apr visit ulang  08/04 Proses perizinan kepala desa, belum ada feedback 26/03 proses pergantian mitra dri raharja ke GPTP, 25/03 PROGRESS UPDATE BOQ DAN KML SETELAH AANWIDJZING - MASIH"&amp;" MENUNGGU INFO TSEL MENGENAI PENGURANGAN ODP,  16/03 HASIL AANWIDJZING TDK PERLU IZIN KRNA HANYA TARIK KABEL SAJA (BISA DIKERJAKAN), 12/03 DONE AANWIDJZING, 10/03 PROGRESS AANWIJDZING ULANG, 09/03 DIALIHKAN KE MITRA GPTP, 09/03 DATA UPDATE BLM DI KIRIM MI"&amp;"TRA, 06/03 SDH DI FU TERUS TP BELUM ADA INFO DARI MITRA, 02/03 SDH DI FU TERUS TP BELUM ADA INFO DARI MITRA, 27/02 BELUM EVAL, 23/02 LANJUT EVAL, 22/2  menunggu hasil perhitungan QE dan review TIF  19/02 HASIL AANWIDJZING BISA DIKERJAKAN SESUAI PLAN DAN T"&amp;"IDAK BUTUH IZIN DIKARENAKAN HANYA PENARIKAN KABEL PENDEK, 10/02 DONE AANWIDJZING - MITRA BELUM KIRIM HASIL AANWIDJZING, 04/02 PROSES AANWIDJZING, 30/01 PROSES AANWIDJZING, (23/1) Proses Aanwijdzing - Est 27 Setor ke Pak wijaya  (21/01) menunggu antrian un"&amp;"tuk aanwizjing, (15/1) ORDER DITERIMA MITRA 14/1, masih menunngu confirm- kepastian 19 jan (14/11)HOLD-  tidak masuk target Optimis 2025 (13/11)  penunjukkan mitra raharja, 10/11 penunjukkan mitra raharja 3/11 mitra raharja ditunjuk sbagai mitra lop ini 2"&amp;"3/10 belum di lakukan oleh mitra ke lokasi
15/10 plan aanwiznig tgl 17/10
(08/10) menunggu jadwal aanwijizng
(01/10) menunggu jadwal aanwijizng
(19/09) pejadwalan aanwijzing
14/01 sudah penunjukan mitra oleh procurement")</f>
        <v>27/04 : Proses PR PO // 09/04 kepala desa belum ada FEEDBACK , plan 10 apr visit ulang  08/04 Proses perizinan kepala desa, belum ada feedback 26/03 proses pergantian mitra dri raharja ke GPTP, 25/03 PROGRESS UPDATE BOQ DAN KML SETELAH AANWIDJZING - MASIH MENUNGGU INFO TSEL MENGENAI PENGURANGAN ODP,  16/03 HASIL AANWIDJZING TDK PERLU IZIN KRNA HANYA TARIK KABEL SAJA (BISA DIKERJAKAN), 12/03 DONE AANWIDJZING, 10/03 PROGRESS AANWIJDZING ULANG, 09/03 DIALIHKAN KE MITRA GPTP, 09/03 DATA UPDATE BLM DI KIRIM MITRA, 06/03 SDH DI FU TERUS TP BELUM ADA INFO DARI MITRA, 02/03 SDH DI FU TERUS TP BELUM ADA INFO DARI MITRA, 27/02 BELUM EVAL, 23/02 LANJUT EVAL, 22/2  menunggu hasil perhitungan QE dan review TIF  19/02 HASIL AANWIDJZING BISA DIKERJAKAN SESUAI PLAN DAN TIDAK BUTUH IZIN DIKARENAKAN HANYA PENARIKAN KABEL PENDEK, 10/02 DONE AANWIDJZING - MITRA BELUM KIRIM HASIL AANWIDJZING, 04/02 PROSES AANWIDJZING, 30/01 PROSES AANWIDJZING, (23/1) Proses Aanwijdzing - Est 27 Setor ke Pak wijaya  (21/01) menunggu antrian untuk aanwizjing, (15/1) ORDER DITERIMA MITRA 14/1, masih menunngu confirm- kepastian 19 jan (14/11)HOLD-  tidak masuk target Optimis 2025 (13/11)  penunjukkan mitra raharja, 10/11 penunjukkan mitra raharja 3/11 mitra raharja ditunjuk sbagai mitra lop ini 23/10 belum di lakukan oleh mitra ke lokasi
15/10 plan aanwiznig tgl 17/10
(08/10) menunggu jadwal aanwijizng
(01/10) menunggu jadwal aanwijizng
(19/09) pejadwalan aanwijzing
14/01 sudah penunjukan mitra oleh procurement</v>
      </c>
      <c r="R1744" s="228"/>
      <c r="S1744" s="11"/>
      <c r="T1744" s="11"/>
      <c r="U1744" s="11"/>
      <c r="V1744" s="229" t="str">
        <f>IFERROR(__xludf.DUMMYFUNCTION("""COMPUTED_VALUE"""),"PUTRA")</f>
        <v>PUTRA</v>
      </c>
      <c r="W1744" s="229"/>
      <c r="X1744" s="229" t="str">
        <f>IFERROR(__xludf.DUMMYFUNCTION("""COMPUTED_VALUE"""),"BELUM GOLIVE")</f>
        <v>BELUM GOLIVE</v>
      </c>
      <c r="Y1744" s="229"/>
      <c r="Z1744" s="229" t="str">
        <f>IFERROR(__xludf.DUMMYFUNCTION("""COMPUTED_VALUE"""),"#N/A")</f>
        <v>#N/A</v>
      </c>
      <c r="AA1744" s="229"/>
      <c r="AB1744" s="229"/>
      <c r="AC1744" s="229"/>
      <c r="AD1744" s="232"/>
      <c r="AE1744" s="233"/>
      <c r="AF1744" s="54"/>
      <c r="AG1744" s="54"/>
      <c r="AH1744" s="54">
        <v>46113.0</v>
      </c>
      <c r="AI1744" s="237">
        <f>AH1744-NOW()</f>
        <v>-27.37798994</v>
      </c>
      <c r="AJ1744" s="229" t="str">
        <f>if(AI1744&gt;=0,"in Komitmen","Out komitmen")</f>
        <v>Out komitmen</v>
      </c>
      <c r="AK1744" s="229" t="s">
        <v>199</v>
      </c>
      <c r="AW1744" s="234"/>
      <c r="BP1744" s="11"/>
      <c r="BQ1744" s="11"/>
      <c r="BR1744" s="235"/>
      <c r="BV1744" s="158"/>
      <c r="BY1744" s="158"/>
      <c r="CB1744" s="158"/>
    </row>
    <row r="1745" ht="18.0" customHeight="1">
      <c r="A1745" s="222">
        <f>IFERROR(__xludf.DUMMYFUNCTION("""COMPUTED_VALUE"""),2026.0)</f>
        <v>2026</v>
      </c>
      <c r="B1745" s="221">
        <f>IFERROR(__xludf.DUMMYFUNCTION("""COMPUTED_VALUE"""),1.1383354E7)</f>
        <v>11383354</v>
      </c>
      <c r="C1745" s="222" t="str">
        <f>IFERROR(__xludf.DUMMYFUNCTION("""COMPUTED_VALUE"""),"SMB MD KOTA PADANG_8677")</f>
        <v>SMB MD KOTA PADANG_8677</v>
      </c>
      <c r="D1745" s="222" t="str">
        <f>IFERROR(__xludf.DUMMYFUNCTION("""COMPUTED_VALUE"""),"REGIONAL I")</f>
        <v>REGIONAL I</v>
      </c>
      <c r="E1745" s="222" t="str">
        <f>IFERROR(__xludf.DUMMYFUNCTION("""COMPUTED_VALUE"""),"SUMBAR")</f>
        <v>SUMBAR</v>
      </c>
      <c r="F1745" s="222" t="str">
        <f>IFERROR(__xludf.DUMMYFUNCTION("""COMPUTED_VALUE"""),"TLB")</f>
        <v>TLB</v>
      </c>
      <c r="G1745" s="222" t="str">
        <f>IFERROR(__xludf.DUMMYFUNCTION("""COMPUTED_VALUE"""),"SUMBAGTENG")</f>
        <v>SUMBAGTENG</v>
      </c>
      <c r="H1745" s="222" t="str">
        <f>IFERROR(__xludf.DUMMYFUNCTION("""COMPUTED_VALUE"""),"PADANG")</f>
        <v>PADANG</v>
      </c>
      <c r="I1745" s="222" t="str">
        <f>IFERROR(__xludf.DUMMYFUNCTION("""COMPUTED_VALUE"""),"Batch 2")</f>
        <v>Batch 2</v>
      </c>
      <c r="J1745" s="225">
        <f>IFERROR(__xludf.DUMMYFUNCTION("""COMPUTED_VALUE"""),4.0)</f>
        <v>4</v>
      </c>
      <c r="K1745" s="224">
        <f>IFERROR(__xludf.DUMMYFUNCTION("""COMPUTED_VALUE"""),32.0)</f>
        <v>32</v>
      </c>
      <c r="L1745" s="226">
        <f>IFERROR(__xludf.DUMMYFUNCTION("""COMPUTED_VALUE"""),431243.0)</f>
        <v>431243</v>
      </c>
      <c r="M1745" s="227">
        <f>IFERROR(__xludf.DUMMYFUNCTION("""COMPUTED_VALUE"""),1.3799757E7)</f>
        <v>13799757</v>
      </c>
      <c r="N1745" s="222" t="str">
        <f>IFERROR(__xludf.DUMMYFUNCTION("""COMPUTED_VALUE"""),"PT ACERO CETHA METALINDO")</f>
        <v>PT ACERO CETHA METALINDO</v>
      </c>
      <c r="O1745" s="222" t="str">
        <f>IFERROR(__xludf.DUMMYFUNCTION("""COMPUTED_VALUE"""),"7. GOLIVE")</f>
        <v>7. GOLIVE</v>
      </c>
      <c r="P1745" s="222" t="str">
        <f>IFERROR(__xludf.DUMMYFUNCTION("""COMPUTED_VALUE"""),"7.2 Golive Full / OA / DONE OTB")</f>
        <v>7.2 Golive Full / OA / DONE OTB</v>
      </c>
      <c r="Q1745" s="222" t="str">
        <f>IFERROR(__xludf.DUMMYFUNCTION("""COMPUTED_VALUE"""),"(30/03)  butuh tambah modul olt TLB  (25/03)  butuh tambah modul olt TLB (16/03) proses penarikan kabel  (06/03) Proses create PID  (05/03) proses aanwijziing plan selesai 07/03 (02/03) proses aanwijziing (26/01) DROP, permintaan tsel (tidak potensial) ")</f>
        <v>(30/03)  butuh tambah modul olt TLB  (25/03)  butuh tambah modul olt TLB (16/03) proses penarikan kabel  (06/03) Proses create PID  (05/03) proses aanwijziing plan selesai 07/03 (02/03) proses aanwijziing (26/01) DROP, permintaan tsel (tidak potensial) </v>
      </c>
      <c r="R1745" s="228">
        <f>IFERROR(__xludf.DUMMYFUNCTION("""COMPUTED_VALUE"""),46113.0)</f>
        <v>46113</v>
      </c>
      <c r="S1745" s="11"/>
      <c r="T1745" s="73"/>
      <c r="U1745" s="11" t="str">
        <f>IFERROR(__xludf.DUMMYFUNCTION("""COMPUTED_VALUE"""),"TIF-5573/2026  26KT03R158-0059")</f>
        <v>TIF-5573/2026  26KT03R158-0059</v>
      </c>
      <c r="V1745" s="229" t="str">
        <f>IFERROR(__xludf.DUMMYFUNCTION("""COMPUTED_VALUE"""),"PRAMADIO SEPWILMAN")</f>
        <v>PRAMADIO SEPWILMAN</v>
      </c>
      <c r="W1745" s="229" t="str">
        <f>IFERROR(__xludf.DUMMYFUNCTION("""COMPUTED_VALUE"""),"MELKO NARWADI")</f>
        <v>MELKO NARWADI</v>
      </c>
      <c r="X1745" s="229" t="str">
        <f>IFERROR(__xludf.DUMMYFUNCTION("""COMPUTED_VALUE"""),"GOLIVE")</f>
        <v>GOLIVE</v>
      </c>
      <c r="Y1745" s="229" t="str">
        <f>IFERROR(__xludf.DUMMYFUNCTION("""COMPUTED_VALUE"""),"DONE")</f>
        <v>DONE</v>
      </c>
      <c r="Z1745" s="229" t="str">
        <f>IFERROR(__xludf.DUMMYFUNCTION("""COMPUTED_VALUE"""),"#N/A")</f>
        <v>#N/A</v>
      </c>
      <c r="AA1745" s="229">
        <f>IFERROR(__xludf.DUMMYFUNCTION("""COMPUTED_VALUE"""),4.0)</f>
        <v>4</v>
      </c>
      <c r="AB1745" s="229"/>
      <c r="AC1745" s="229" t="str">
        <f>IFERROR(__xludf.DUMMYFUNCTION("""COMPUTED_VALUE"""),"9234664#9234669")</f>
        <v>9234664#9234669</v>
      </c>
      <c r="AD1745" s="232">
        <f>IFERROR(__xludf.DUMMYFUNCTION("""COMPUTED_VALUE"""),32.0)</f>
        <v>32</v>
      </c>
      <c r="AE1745" s="233">
        <f>IFERROR(__xludf.DUMMYFUNCTION("""COMPUTED_VALUE"""),46113.0)</f>
        <v>46113</v>
      </c>
      <c r="AF1745" s="54"/>
      <c r="AG1745" s="54"/>
      <c r="AH1745" s="54">
        <v>46113.0</v>
      </c>
      <c r="AI1745" s="55">
        <f>IF(OR(AH1745="",AE1745=""),"",AH1745-AE1745)</f>
        <v>0</v>
      </c>
      <c r="AJ1745" s="229" t="str">
        <f>if(AI1745&gt;=0,"Gl in Komitmen","Gl out komitmen")</f>
        <v>Gl in Komitmen</v>
      </c>
      <c r="AK1745" s="231" t="s">
        <v>199</v>
      </c>
      <c r="AW1745" s="234"/>
      <c r="BP1745" s="11"/>
      <c r="BQ1745" s="11"/>
      <c r="BR1745" s="235"/>
      <c r="BV1745" s="158"/>
      <c r="BY1745" s="158"/>
      <c r="CB1745" s="158"/>
    </row>
    <row r="1746" ht="18.0" hidden="1" customHeight="1">
      <c r="A1746" s="222">
        <f>IFERROR(__xludf.DUMMYFUNCTION("""COMPUTED_VALUE"""),2026.0)</f>
        <v>2026</v>
      </c>
      <c r="B1746" s="221">
        <f>IFERROR(__xludf.DUMMYFUNCTION("""COMPUTED_VALUE"""),1.1291895E7)</f>
        <v>11291895</v>
      </c>
      <c r="C1746" s="222" t="str">
        <f>IFERROR(__xludf.DUMMYFUNCTION("""COMPUTED_VALUE"""),"SMS P3I1 PT4 BET FXX TANJUNG KURUNG")</f>
        <v>SMS P3I1 PT4 BET FXX TANJUNG KURUNG</v>
      </c>
      <c r="D1746" s="222" t="str">
        <f>IFERROR(__xludf.DUMMYFUNCTION("""COMPUTED_VALUE"""),"REGIONAL I")</f>
        <v>REGIONAL I</v>
      </c>
      <c r="E1746" s="222" t="str">
        <f>IFERROR(__xludf.DUMMYFUNCTION("""COMPUTED_VALUE"""),"SUMSEL")</f>
        <v>SUMSEL</v>
      </c>
      <c r="F1746" s="222" t="str">
        <f>IFERROR(__xludf.DUMMYFUNCTION("""COMPUTED_VALUE"""),"BET")</f>
        <v>BET</v>
      </c>
      <c r="G1746" s="222" t="str">
        <f>IFERROR(__xludf.DUMMYFUNCTION("""COMPUTED_VALUE"""),"SUMBAGSEL")</f>
        <v>SUMBAGSEL</v>
      </c>
      <c r="H1746" s="222" t="str">
        <f>IFERROR(__xludf.DUMMYFUNCTION("""COMPUTED_VALUE"""),"PALEMBANG")</f>
        <v>PALEMBANG</v>
      </c>
      <c r="I1746" s="222" t="str">
        <f>IFERROR(__xludf.DUMMYFUNCTION("""COMPUTED_VALUE"""),"Batch 2")</f>
        <v>Batch 2</v>
      </c>
      <c r="J1746" s="225">
        <f>IFERROR(__xludf.DUMMYFUNCTION("""COMPUTED_VALUE"""),20.0)</f>
        <v>20</v>
      </c>
      <c r="K1746" s="224">
        <f>IFERROR(__xludf.DUMMYFUNCTION("""COMPUTED_VALUE"""),152.0)</f>
        <v>152</v>
      </c>
      <c r="L1746" s="226">
        <f>IFERROR(__xludf.DUMMYFUNCTION("""COMPUTED_VALUE"""),943958.0)</f>
        <v>943958</v>
      </c>
      <c r="M1746" s="227">
        <f>IFERROR(__xludf.DUMMYFUNCTION("""COMPUTED_VALUE"""),1.43481469E8)</f>
        <v>143481469</v>
      </c>
      <c r="N1746" s="222" t="str">
        <f>IFERROR(__xludf.DUMMYFUNCTION("""COMPUTED_VALUE"""),"PT MAJU JAYA TEKNOLOGI")</f>
        <v>PT MAJU JAYA TEKNOLOGI</v>
      </c>
      <c r="O1746" s="222" t="str">
        <f>IFERROR(__xludf.DUMMYFUNCTION("""COMPUTED_VALUE"""),"3. PERIZINAN")</f>
        <v>3. PERIZINAN</v>
      </c>
      <c r="P1746" s="222" t="str">
        <f>IFERROR(__xludf.DUMMYFUNCTION("""COMPUTED_VALUE"""),"3.1 Submit permohon ke PU")</f>
        <v>3.1 Submit permohon ke PU</v>
      </c>
      <c r="Q1746" s="222" t="str">
        <f>IFERROR(__xludf.DUMMYFUNCTION("""COMPUTED_VALUE"""),"27/04 MASIH MENUNGGU BERKAS SURAT PU YG DI RILIS TIF, 24/04 berkas surat pu nasional belum rilis dari tif (bang arif HAI), 09/04 KOORDINASI DG PAK ARIF (TIF HAI)TERKAIT PEMBERKASAN PERIZINAN PU,  08/04 KOORDINASI DG PAK ARIF TERKAIT PERIZINAN PU, 06/04 PL"&amp;"AN HARI INI BERTEMU PAK ARIF - KOORDINASI MENGENAI PERIZINAN PU, 01/04 MASIH MELENGKAPI DOKUMEN, 30/03 MASIH MELENGKAPI DOKUMEN, 27/03 BLM ADA INFO TSEL (PAK ARIF) TERKAIT KELANJUTAN PERIZINAN, 25/03 BLM ADA INFO TSEL TERKAIT KELANJUTAN PERIZINAN, 21/03 S"&amp;"DH SUBMIT PERIZINAN KE TSEL TINGGAL MENUNGGU KONFIRMASI KELANJUTANNYA, 17/03 MASIH MENUNGGU KONFIRMASI DARI TSEL, 13/03 MASIH MENUNGGU KONFIRMASI DARI TSEL, 11/03 SUDAH SUBMIT PERIZINAN KE TSEL, 10/03 OGP MELENGKAPI DOKUMEN PERIZINAN, 03/03 HASIL REVIEW T"&amp;"IF LANJUT PERIZINAN PU, 28/2 Riview TIF 2 Mar 26/02 MASIH MENUNGGU PU, 25/02 MASIH MENUNGGU PU, 06/02 HASIL REVIEW TSEL - LANJUT PERIZINAN PU, 04/02 DONE EVAL, HOLD, ADA KENAIAKN BOQ SEBESAR 4% DRI PLAN DAN CPP 982 RB , PASTIKAN STUB CORE NODE B SKY051 KE"&amp;" TIM SQUAT, DAN DI LOKASI MASUK RUAS PU NASIONAL, 15/01 menunggu jadwal aanwijzing dg mitra 04/02 DONE EVAL, HOLD, ADA KENAIAKN BOQ SEBESAR 4% DRI PLAN DAN CPP 982 RB , PASTIKAN STUB CORE NODE B SKY051 KE TIM SQUAT, DAN DI LOKASI MASUK RUAS PU NASIONAL, 3"&amp;"0/01 DONE EVAL, 28/01 OGP AANWIDJZING, 26/1 tim TIF belum bisa EVAL hasil anwijzing karena lagi diluar kota , estimasi 29 jan baru kembali ke Palembang(24/1) plan aawijdizng 27/1 (21/01) menunggu antrian untuk aanwizjing lapangan, (20/1) MJT setuju(15/1) "&amp;"ORDER DITERIMA 14/1 ,PLAN AANWIJDZING 21 JAN 26 (26/11) ORDER HOLD , FLAGGING ""TIDAK LANJUT DARI PED"" (25/11 MJT setuju, 24/11 penunjukkan mitra MJT, (14/11) MItra MJS blm ambil pekerjaan baru terkait close pekerjaan lama , LOP juga tidak masuk list opt"&amp;"imis close 2025 ( (14/11) MItra MJS blm ambil pekerjaan baru terkait close pekerjaan lama (13/11 masih penunjukkan mitra, (11/11) Penunjukkan MITRA oleh Procurement 23/10 mitra triputra menolak ambil lop ini, saat ini lagi penunjukan mitra baru 
 15/10 be"&amp;"lum ada jadwal aanwizjing
 (08/10) menunggu jadwal aanwizjing
 (01/10) menunggu jadwal aanwizjing
 (19/09) penjadwalan untuk aanizjing
 14/01 Surat lanjut kerja oleh procurement21/04 berkas surat pu nasional belum rilis dari tif (bang arif HAI), ")</f>
        <v>27/04 MASIH MENUNGGU BERKAS SURAT PU YG DI RILIS TIF, 24/04 berkas surat pu nasional belum rilis dari tif (bang arif HAI), 09/04 KOORDINASI DG PAK ARIF (TIF HAI)TERKAIT PEMBERKASAN PERIZINAN PU,  08/04 KOORDINASI DG PAK ARIF TERKAIT PERIZINAN PU, 06/04 PLAN HARI INI BERTEMU PAK ARIF - KOORDINASI MENGENAI PERIZINAN PU, 01/04 MASIH MELENGKAPI DOKUMEN, 30/03 MASIH MELENGKAPI DOKUMEN, 27/03 BLM ADA INFO TSEL (PAK ARIF) TERKAIT KELANJUTAN PERIZINAN, 25/03 BLM ADA INFO TSEL TERKAIT KELANJUTAN PERIZINAN, 21/03 SDH SUBMIT PERIZINAN KE TSEL TINGGAL MENUNGGU KONFIRMASI KELANJUTANNYA, 17/03 MASIH MENUNGGU KONFIRMASI DARI TSEL, 13/03 MASIH MENUNGGU KONFIRMASI DARI TSEL, 11/03 SUDAH SUBMIT PERIZINAN KE TSEL, 10/03 OGP MELENGKAPI DOKUMEN PERIZINAN, 03/03 HASIL REVIEW TIF LANJUT PERIZINAN PU, 28/2 Riview TIF 2 Mar 26/02 MASIH MENUNGGU PU, 25/02 MASIH MENUNGGU PU, 06/02 HASIL REVIEW TSEL - LANJUT PERIZINAN PU, 04/02 DONE EVAL, HOLD, ADA KENAIAKN BOQ SEBESAR 4% DRI PLAN DAN CPP 982 RB , PASTIKAN STUB CORE NODE B SKY051 KE TIM SQUAT, DAN DI LOKASI MASUK RUAS PU NASIONAL, 15/01 menunggu jadwal aanwijzing dg mitra 04/02 DONE EVAL, HOLD, ADA KENAIAKN BOQ SEBESAR 4% DRI PLAN DAN CPP 982 RB , PASTIKAN STUB CORE NODE B SKY051 KE TIM SQUAT, DAN DI LOKASI MASUK RUAS PU NASIONAL, 30/01 DONE EVAL, 28/01 OGP AANWIDJZING, 26/1 tim TIF belum bisa EVAL hasil anwijzing karena lagi diluar kota , estimasi 29 jan baru kembali ke Palembang(24/1) plan aawijdizng 27/1 (21/01) menunggu antrian untuk aanwizjing lapangan, (20/1) MJT setuju(15/1) ORDER DITERIMA 14/1 ,PLAN AANWIJDZING 21 JAN 26 (26/11) ORDER HOLD , FLAGGING "TIDAK LANJUT DARI PED" (25/11 MJT setuju, 24/11 penunjukkan mitra MJT, (14/11) MItra MJS blm ambil pekerjaan baru terkait close pekerjaan lama , LOP juga tidak masuk list optimis close 2025 ( (14/11) MItra MJS blm ambil pekerjaan baru terkait close pekerjaan lama (13/11 masih penunjukkan mitra, (11/11) Penunjukkan MITRA oleh Procurement 23/10 mitra triputra menolak ambil lop ini, saat ini lagi penunjukan mitra baru 
 15/10 belum ada jadwal aanwizjing
 (08/10) menunggu jadwal aanwizjing
 (01/10) menunggu jadwal aanwizjing
 (19/09) penjadwalan untuk aanizjing
 14/01 Surat lanjut kerja oleh procurement21/04 berkas surat pu nasional belum rilis dari tif (bang arif HAI), </v>
      </c>
      <c r="R1746" s="228"/>
      <c r="S1746" s="11"/>
      <c r="T1746" s="11" t="str">
        <f>IFERROR(__xludf.DUMMYFUNCTION("""COMPUTED_VALUE"""),"P1")</f>
        <v>P1</v>
      </c>
      <c r="U1746" s="11"/>
      <c r="V1746" s="229" t="str">
        <f>IFERROR(__xludf.DUMMYFUNCTION("""COMPUTED_VALUE"""),"TEGAR")</f>
        <v>TEGAR</v>
      </c>
      <c r="W1746" s="229"/>
      <c r="X1746" s="229" t="str">
        <f>IFERROR(__xludf.DUMMYFUNCTION("""COMPUTED_VALUE"""),"BELUM GOLIVE")</f>
        <v>BELUM GOLIVE</v>
      </c>
      <c r="Y1746" s="229"/>
      <c r="Z1746" s="229"/>
      <c r="AA1746" s="229"/>
      <c r="AB1746" s="229"/>
      <c r="AC1746" s="229"/>
      <c r="AD1746" s="232"/>
      <c r="AE1746" s="233"/>
      <c r="AF1746" s="54"/>
      <c r="AG1746" s="54"/>
      <c r="AH1746" s="54"/>
      <c r="AI1746" s="55" t="str">
        <f t="shared" ref="AI1746:AI1767" si="177">IF(OR(R1746="",AE1746=""),"",R1746-AE1746)</f>
        <v/>
      </c>
      <c r="AW1746" s="234"/>
      <c r="BP1746" s="11"/>
      <c r="BQ1746" s="11"/>
      <c r="BR1746" s="235"/>
      <c r="BV1746" s="158"/>
      <c r="BY1746" s="158"/>
      <c r="CB1746" s="158"/>
    </row>
    <row r="1747" ht="18.0" hidden="1" customHeight="1">
      <c r="A1747" s="222">
        <f>IFERROR(__xludf.DUMMYFUNCTION("""COMPUTED_VALUE"""),2026.0)</f>
        <v>2026</v>
      </c>
      <c r="B1747" s="221">
        <f>IFERROR(__xludf.DUMMYFUNCTION("""COMPUTED_VALUE"""),1.2488739E7)</f>
        <v>12488739</v>
      </c>
      <c r="C1747" s="222" t="str">
        <f>IFERROR(__xludf.DUMMYFUNCTION("""COMPUTED_VALUE"""),"MDN 250_1567_1674")</f>
        <v>MDN 250_1567_1674</v>
      </c>
      <c r="D1747" s="222" t="str">
        <f>IFERROR(__xludf.DUMMYFUNCTION("""COMPUTED_VALUE"""),"REGIONAL I")</f>
        <v>REGIONAL I</v>
      </c>
      <c r="E1747" s="222" t="str">
        <f>IFERROR(__xludf.DUMMYFUNCTION("""COMPUTED_VALUE"""),"MEDAN")</f>
        <v>MEDAN</v>
      </c>
      <c r="F1747" s="222" t="str">
        <f>IFERROR(__xludf.DUMMYFUNCTION("""COMPUTED_VALUE"""),"SPM")</f>
        <v>SPM</v>
      </c>
      <c r="G1747" s="222" t="str">
        <f>IFERROR(__xludf.DUMMYFUNCTION("""COMPUTED_VALUE"""),"SUMBAGUT")</f>
        <v>SUMBAGUT</v>
      </c>
      <c r="H1747" s="222" t="str">
        <f>IFERROR(__xludf.DUMMYFUNCTION("""COMPUTED_VALUE"""),"MEDAN")</f>
        <v>MEDAN</v>
      </c>
      <c r="I1747" s="222" t="str">
        <f>IFERROR(__xludf.DUMMYFUNCTION("""COMPUTED_VALUE"""),"Batch 2")</f>
        <v>Batch 2</v>
      </c>
      <c r="J1747" s="225">
        <f>IFERROR(__xludf.DUMMYFUNCTION("""COMPUTED_VALUE"""),5.0)</f>
        <v>5</v>
      </c>
      <c r="K1747" s="224">
        <f>IFERROR(__xludf.DUMMYFUNCTION("""COMPUTED_VALUE"""),40.0)</f>
        <v>40</v>
      </c>
      <c r="L1747" s="226">
        <f>IFERROR(__xludf.DUMMYFUNCTION("""COMPUTED_VALUE"""),428108.0)</f>
        <v>428108</v>
      </c>
      <c r="M1747" s="227">
        <f>IFERROR(__xludf.DUMMYFUNCTION("""COMPUTED_VALUE"""),1.7124302E7)</f>
        <v>17124302</v>
      </c>
      <c r="N1747" s="222" t="str">
        <f>IFERROR(__xludf.DUMMYFUNCTION("""COMPUTED_VALUE"""),"PT WALET SOLUSINDO")</f>
        <v>PT WALET SOLUSINDO</v>
      </c>
      <c r="O1747" s="222" t="str">
        <f>IFERROR(__xludf.DUMMYFUNCTION("""COMPUTED_VALUE"""),"0. DROP")</f>
        <v>0. DROP</v>
      </c>
      <c r="P1747" s="222" t="str">
        <f>IFERROR(__xludf.DUMMYFUNCTION("""COMPUTED_VALUE"""),"0.3 Feeder Full")</f>
        <v>0.3 Feeder Full</v>
      </c>
      <c r="Q1747" s="222" t="str">
        <f>IFERROR(__xludf.DUMMYFUNCTION("""COMPUTED_VALUE"""),"Feeder Penuh")</f>
        <v>Feeder Penuh</v>
      </c>
      <c r="R1747" s="228"/>
      <c r="S1747" s="11"/>
      <c r="T1747" s="11"/>
      <c r="U1747" s="11"/>
      <c r="V1747" s="229"/>
      <c r="W1747" s="229"/>
      <c r="X1747" s="229" t="str">
        <f>IFERROR(__xludf.DUMMYFUNCTION("""COMPUTED_VALUE"""),"BELUM GOLIVE")</f>
        <v>BELUM GOLIVE</v>
      </c>
      <c r="Y1747" s="229"/>
      <c r="Z1747" s="229" t="str">
        <f>IFERROR(__xludf.DUMMYFUNCTION("""COMPUTED_VALUE"""),"#N/A")</f>
        <v>#N/A</v>
      </c>
      <c r="AA1747" s="229"/>
      <c r="AB1747" s="229"/>
      <c r="AC1747" s="229"/>
      <c r="AD1747" s="232"/>
      <c r="AE1747" s="233"/>
      <c r="AF1747" s="54"/>
      <c r="AG1747" s="54"/>
      <c r="AH1747" s="54"/>
      <c r="AI1747" s="55" t="str">
        <f t="shared" si="177"/>
        <v/>
      </c>
      <c r="AW1747" s="234"/>
      <c r="BP1747" s="11"/>
      <c r="BQ1747" s="11"/>
      <c r="BR1747" s="235"/>
      <c r="BV1747" s="158"/>
      <c r="BY1747" s="158"/>
      <c r="CB1747" s="158"/>
    </row>
    <row r="1748" ht="18.0" hidden="1" customHeight="1">
      <c r="A1748" s="222">
        <f>IFERROR(__xludf.DUMMYFUNCTION("""COMPUTED_VALUE"""),2026.0)</f>
        <v>2026</v>
      </c>
      <c r="B1748" s="221">
        <f>IFERROR(__xludf.DUMMYFUNCTION("""COMPUTED_VALUE"""),1.1536164E7)</f>
        <v>11536164</v>
      </c>
      <c r="C1748" s="222" t="str">
        <f>IFERROR(__xludf.DUMMYFUNCTION("""COMPUTED_VALUE"""),"MDN PT3 CTD-FAP JL.TB SIMATUPANG")</f>
        <v>MDN PT3 CTD-FAP JL.TB SIMATUPANG</v>
      </c>
      <c r="D1748" s="222" t="str">
        <f>IFERROR(__xludf.DUMMYFUNCTION("""COMPUTED_VALUE"""),"REGIONAL I")</f>
        <v>REGIONAL I</v>
      </c>
      <c r="E1748" s="222" t="str">
        <f>IFERROR(__xludf.DUMMYFUNCTION("""COMPUTED_VALUE"""),"MEDAN")</f>
        <v>MEDAN</v>
      </c>
      <c r="F1748" s="222" t="str">
        <f>IFERROR(__xludf.DUMMYFUNCTION("""COMPUTED_VALUE"""),"CTD")</f>
        <v>CTD</v>
      </c>
      <c r="G1748" s="222" t="str">
        <f>IFERROR(__xludf.DUMMYFUNCTION("""COMPUTED_VALUE"""),"SUMBAGUT")</f>
        <v>SUMBAGUT</v>
      </c>
      <c r="H1748" s="222" t="str">
        <f>IFERROR(__xludf.DUMMYFUNCTION("""COMPUTED_VALUE"""),"MEDAN")</f>
        <v>MEDAN</v>
      </c>
      <c r="I1748" s="222" t="str">
        <f>IFERROR(__xludf.DUMMYFUNCTION("""COMPUTED_VALUE"""),"Batch 2")</f>
        <v>Batch 2</v>
      </c>
      <c r="J1748" s="225">
        <f>IFERROR(__xludf.DUMMYFUNCTION("""COMPUTED_VALUE"""),6.0)</f>
        <v>6</v>
      </c>
      <c r="K1748" s="224">
        <f>IFERROR(__xludf.DUMMYFUNCTION("""COMPUTED_VALUE"""),48.0)</f>
        <v>48</v>
      </c>
      <c r="L1748" s="226">
        <f>IFERROR(__xludf.DUMMYFUNCTION("""COMPUTED_VALUE"""),592875.0)</f>
        <v>592875</v>
      </c>
      <c r="M1748" s="227">
        <f>IFERROR(__xludf.DUMMYFUNCTION("""COMPUTED_VALUE"""),2.8457993E7)</f>
        <v>28457993</v>
      </c>
      <c r="N1748" s="222" t="str">
        <f>IFERROR(__xludf.DUMMYFUNCTION("""COMPUTED_VALUE"""),"PT MILFHA MUTIARA PRIMA")</f>
        <v>PT MILFHA MUTIARA PRIMA</v>
      </c>
      <c r="O1748" s="222" t="str">
        <f>IFERROR(__xludf.DUMMYFUNCTION("""COMPUTED_VALUE"""),"7. GOLIVE")</f>
        <v>7. GOLIVE</v>
      </c>
      <c r="P1748" s="222" t="str">
        <f>IFERROR(__xludf.DUMMYFUNCTION("""COMPUTED_VALUE"""),"7.2 Golive Full / OA / DONE OTB")</f>
        <v>7.2 Golive Full / OA / DONE OTB</v>
      </c>
      <c r="Q1748" s="222" t="str">
        <f>IFERROR(__xludf.DUMMYFUNCTION("""COMPUTED_VALUE"""),"17/02 ABD submit 06/02 Penarikan Kabel (07/01) Persiapan")</f>
        <v>17/02 ABD submit 06/02 Penarikan Kabel (07/01) Persiapan</v>
      </c>
      <c r="R1748" s="228">
        <f>IFERROR(__xludf.DUMMYFUNCTION("""COMPUTED_VALUE"""),46071.0)</f>
        <v>46071</v>
      </c>
      <c r="S1748" s="11"/>
      <c r="T1748" s="11"/>
      <c r="U1748" s="11" t="str">
        <f>IFERROR(__xludf.DUMMYFUNCTION("""COMPUTED_VALUE"""),"W01-2079/2025")</f>
        <v>W01-2079/2025</v>
      </c>
      <c r="V1748" s="229"/>
      <c r="W1748" s="229"/>
      <c r="X1748" s="229" t="str">
        <f>IFERROR(__xludf.DUMMYFUNCTION("""COMPUTED_VALUE"""),"GOLIVE")</f>
        <v>GOLIVE</v>
      </c>
      <c r="Y1748" s="229" t="str">
        <f>IFERROR(__xludf.DUMMYFUNCTION("""COMPUTED_VALUE"""),"DONE")</f>
        <v>DONE</v>
      </c>
      <c r="Z1748" s="229" t="str">
        <f>IFERROR(__xludf.DUMMYFUNCTION("""COMPUTED_VALUE"""),"#N/A")</f>
        <v>#N/A</v>
      </c>
      <c r="AA1748" s="229">
        <f>IFERROR(__xludf.DUMMYFUNCTION("""COMPUTED_VALUE"""),6.0)</f>
        <v>6</v>
      </c>
      <c r="AB1748" s="229"/>
      <c r="AC1748" s="229" t="str">
        <f>IFERROR(__xludf.DUMMYFUNCTION("""COMPUTED_VALUE"""),"9118589#9118594")</f>
        <v>9118589#9118594</v>
      </c>
      <c r="AD1748" s="232">
        <f>IFERROR(__xludf.DUMMYFUNCTION("""COMPUTED_VALUE"""),48.0)</f>
        <v>48</v>
      </c>
      <c r="AE1748" s="233">
        <f>IFERROR(__xludf.DUMMYFUNCTION("""COMPUTED_VALUE"""),46071.0)</f>
        <v>46071</v>
      </c>
      <c r="AF1748" s="54"/>
      <c r="AG1748" s="54"/>
      <c r="AH1748" s="54">
        <v>46071.0</v>
      </c>
      <c r="AI1748" s="55">
        <f t="shared" si="177"/>
        <v>0</v>
      </c>
      <c r="AW1748" s="234"/>
      <c r="BP1748" s="11"/>
      <c r="BQ1748" s="11"/>
      <c r="BR1748" s="235"/>
      <c r="BV1748" s="158"/>
      <c r="BY1748" s="158"/>
      <c r="CB1748" s="158"/>
    </row>
    <row r="1749" ht="18.0" hidden="1" customHeight="1">
      <c r="A1749" s="222">
        <f>IFERROR(__xludf.DUMMYFUNCTION("""COMPUTED_VALUE"""),2026.0)</f>
        <v>2026</v>
      </c>
      <c r="B1749" s="221">
        <f>IFERROR(__xludf.DUMMYFUNCTION("""COMPUTED_VALUE"""),1.1861195E7)</f>
        <v>11861195</v>
      </c>
      <c r="C1749" s="222" t="str">
        <f>IFERROR(__xludf.DUMMYFUNCTION("""COMPUTED_VALUE"""),"MDN PT3 SKI-FN JL.JAWA_MD25")</f>
        <v>MDN PT3 SKI-FN JL.JAWA_MD25</v>
      </c>
      <c r="D1749" s="222" t="str">
        <f>IFERROR(__xludf.DUMMYFUNCTION("""COMPUTED_VALUE"""),"REGIONAL I")</f>
        <v>REGIONAL I</v>
      </c>
      <c r="E1749" s="222" t="str">
        <f>IFERROR(__xludf.DUMMYFUNCTION("""COMPUTED_VALUE"""),"MEDAN")</f>
        <v>MEDAN</v>
      </c>
      <c r="F1749" s="222" t="str">
        <f>IFERROR(__xludf.DUMMYFUNCTION("""COMPUTED_VALUE"""),"SKI")</f>
        <v>SKI</v>
      </c>
      <c r="G1749" s="222" t="str">
        <f>IFERROR(__xludf.DUMMYFUNCTION("""COMPUTED_VALUE"""),"SUMBAGUT")</f>
        <v>SUMBAGUT</v>
      </c>
      <c r="H1749" s="222" t="str">
        <f>IFERROR(__xludf.DUMMYFUNCTION("""COMPUTED_VALUE"""),"MEDAN")</f>
        <v>MEDAN</v>
      </c>
      <c r="I1749" s="222" t="str">
        <f>IFERROR(__xludf.DUMMYFUNCTION("""COMPUTED_VALUE"""),"Batch 2")</f>
        <v>Batch 2</v>
      </c>
      <c r="J1749" s="225">
        <f>IFERROR(__xludf.DUMMYFUNCTION("""COMPUTED_VALUE"""),2.0)</f>
        <v>2</v>
      </c>
      <c r="K1749" s="224">
        <f>IFERROR(__xludf.DUMMYFUNCTION("""COMPUTED_VALUE"""),16.0)</f>
        <v>16</v>
      </c>
      <c r="L1749" s="226">
        <f>IFERROR(__xludf.DUMMYFUNCTION("""COMPUTED_VALUE"""),425962.0)</f>
        <v>425962</v>
      </c>
      <c r="M1749" s="227">
        <f>IFERROR(__xludf.DUMMYFUNCTION("""COMPUTED_VALUE"""),6815381.0)</f>
        <v>6815381</v>
      </c>
      <c r="N1749" s="222" t="str">
        <f>IFERROR(__xludf.DUMMYFUNCTION("""COMPUTED_VALUE"""),"PT UPENTEL INTERNASIONAL")</f>
        <v>PT UPENTEL INTERNASIONAL</v>
      </c>
      <c r="O1749" s="222" t="str">
        <f>IFERROR(__xludf.DUMMYFUNCTION("""COMPUTED_VALUE"""),"2. DONE AANWIJZING")</f>
        <v>2. DONE AANWIJZING</v>
      </c>
      <c r="P1749" s="222" t="str">
        <f>IFERROR(__xludf.DUMMYFUNCTION("""COMPUTED_VALUE"""),"2.10 Kendala - Feeder Rusak")</f>
        <v>2.10 Kendala - Feeder Rusak</v>
      </c>
      <c r="Q1749" s="222" t="str">
        <f>IFERROR(__xludf.DUMMYFUNCTION("""COMPUTED_VALUE"""),"21/04 pengecekan tipus / butuh qe
23/02 Sisa idle feeder Redti dan Tidak Tembus 18/02 Komitmen 23/02")</f>
        <v>21/04 pengecekan tipus / butuh qe
23/02 Sisa idle feeder Redti dan Tidak Tembus 18/02 Komitmen 23/02</v>
      </c>
      <c r="R1749" s="228"/>
      <c r="S1749" s="11"/>
      <c r="T1749" s="11"/>
      <c r="U1749" s="11"/>
      <c r="V1749" s="229"/>
      <c r="W1749" s="229"/>
      <c r="X1749" s="229" t="str">
        <f>IFERROR(__xludf.DUMMYFUNCTION("""COMPUTED_VALUE"""),"BELUM GOLIVE")</f>
        <v>BELUM GOLIVE</v>
      </c>
      <c r="Y1749" s="229"/>
      <c r="Z1749" s="229" t="str">
        <f>IFERROR(__xludf.DUMMYFUNCTION("""COMPUTED_VALUE"""),"#N/A")</f>
        <v>#N/A</v>
      </c>
      <c r="AA1749" s="229"/>
      <c r="AB1749" s="229"/>
      <c r="AC1749" s="229"/>
      <c r="AD1749" s="232"/>
      <c r="AE1749" s="233"/>
      <c r="AF1749" s="54"/>
      <c r="AG1749" s="54"/>
      <c r="AH1749" s="54"/>
      <c r="AI1749" s="55" t="str">
        <f t="shared" si="177"/>
        <v/>
      </c>
      <c r="AW1749" s="234"/>
      <c r="BP1749" s="11"/>
      <c r="BQ1749" s="11"/>
      <c r="BR1749" s="235"/>
      <c r="BV1749" s="158"/>
      <c r="BY1749" s="158"/>
      <c r="CB1749" s="158"/>
    </row>
    <row r="1750" ht="18.0" hidden="1" customHeight="1">
      <c r="A1750" s="222">
        <f>IFERROR(__xludf.DUMMYFUNCTION("""COMPUTED_VALUE"""),2026.0)</f>
        <v>2026</v>
      </c>
      <c r="B1750" s="221">
        <f>IFERROR(__xludf.DUMMYFUNCTION("""COMPUTED_VALUE"""),1.1851029E7)</f>
        <v>11851029</v>
      </c>
      <c r="C1750" s="222" t="str">
        <f>IFERROR(__xludf.DUMMYFUNCTION("""COMPUTED_VALUE"""),"SMS P4I1 PT4 PBI FXX TANJUNG LAUT")</f>
        <v>SMS P4I1 PT4 PBI FXX TANJUNG LAUT</v>
      </c>
      <c r="D1750" s="222" t="str">
        <f>IFERROR(__xludf.DUMMYFUNCTION("""COMPUTED_VALUE"""),"REGIONAL I")</f>
        <v>REGIONAL I</v>
      </c>
      <c r="E1750" s="222" t="str">
        <f>IFERROR(__xludf.DUMMYFUNCTION("""COMPUTED_VALUE"""),"SUMSEL")</f>
        <v>SUMSEL</v>
      </c>
      <c r="F1750" s="222" t="str">
        <f>IFERROR(__xludf.DUMMYFUNCTION("""COMPUTED_VALUE"""),"PBI")</f>
        <v>PBI</v>
      </c>
      <c r="G1750" s="222" t="str">
        <f>IFERROR(__xludf.DUMMYFUNCTION("""COMPUTED_VALUE"""),"SUMBAGSEL")</f>
        <v>SUMBAGSEL</v>
      </c>
      <c r="H1750" s="222" t="str">
        <f>IFERROR(__xludf.DUMMYFUNCTION("""COMPUTED_VALUE"""),"PALEMBANG")</f>
        <v>PALEMBANG</v>
      </c>
      <c r="I1750" s="222" t="str">
        <f>IFERROR(__xludf.DUMMYFUNCTION("""COMPUTED_VALUE"""),"Batch 2")</f>
        <v>Batch 2</v>
      </c>
      <c r="J1750" s="225">
        <f>IFERROR(__xludf.DUMMYFUNCTION("""COMPUTED_VALUE"""),20.0)</f>
        <v>20</v>
      </c>
      <c r="K1750" s="224">
        <f>IFERROR(__xludf.DUMMYFUNCTION("""COMPUTED_VALUE"""),152.0)</f>
        <v>152</v>
      </c>
      <c r="L1750" s="226">
        <f>IFERROR(__xludf.DUMMYFUNCTION("""COMPUTED_VALUE"""),1066055.0)</f>
        <v>1066055</v>
      </c>
      <c r="M1750" s="227">
        <f>IFERROR(__xludf.DUMMYFUNCTION("""COMPUTED_VALUE"""),1.62040342E8)</f>
        <v>162040342</v>
      </c>
      <c r="N1750" s="222" t="str">
        <f>IFERROR(__xludf.DUMMYFUNCTION("""COMPUTED_VALUE"""),"PT MAJU JAYA TEKNOLOGI")</f>
        <v>PT MAJU JAYA TEKNOLOGI</v>
      </c>
      <c r="O1750" s="222" t="str">
        <f>IFERROR(__xludf.DUMMYFUNCTION("""COMPUTED_VALUE"""),"2. DONE AANWIJZING")</f>
        <v>2. DONE AANWIJZING</v>
      </c>
      <c r="P1750" s="222" t="str">
        <f>IFERROR(__xludf.DUMMYFUNCTION("""COMPUTED_VALUE"""),"2.10 Kendala - Feeder Rusak")</f>
        <v>2.10 Kendala - Feeder Rusak</v>
      </c>
      <c r="Q1750" s="222" t="str">
        <f>IFERROR(__xludf.DUMMYFUNCTION("""COMPUTED_VALUE"""),"27/04 MASIH MENUNGGU KUNCI SITE DAN TPAS, 24/04 MASIH MENUNGGU KUNCI SITE DAN TPAS, 21/04 MASIH KOORDINASI MENGENAI KUNCI SITE, 13/04 Sedang Menunggu kunci dan tipas untuk melakukan pengukuran di eksisting 09/04 MASIH PROGRESS REDESIGN,, MENUNGGU PENGUKUR"&amp;"AN BERSAMA TIM MTC, 30/03 PROGRESS REDESIGN,, MENUNGGU PENGUKURAN BERSAMA TIM MTC, 25/03 PROGRESS REDESIGN,  21/03 PENCARIAN CORE, 16/03 MASIH MENCARI CORE, 12/03 PROGRESS CEK UPLINK DAN KEBUTUHAN QE, 06/03 HASIL REVIEW TIF - CEK UPLINK DAN KEBUTUHAN QE, "&amp;"28/2 Riview TIF 2 Mar 26/02 MEMASTIKAN CORE DI TEMPORERAN DI JALAN TOL,  25/02 MEMASTIKAN CORE DI TEMPORERAN DI JALAN TOL,  06/02 HASIL REVIEW TSEL KENDALA QE FEEDER PU NASIONAL, 04/03 DONE EVAL, HOLD, ADA KENAIKAN SEBESAR 5% DARI BOQ PLAM, CPP1,121 JT, T"&amp;"ETAPI KABEL 24 UNTK NODE B EXT NYA CACAT AKIBAT PEMBANGUNAN JALAN TOL D AREA TSB, DAN INFO HISTORIS DARI TIM MTC KABEL 144 EXT NODE B BUTUH QE D RUAS JALAN PU NASIONAL,15/01 menunggu jadwal aanwijzing dg mitra 04/02 DONE EVAL, HOLD, ADA KENAIKAN SEBESAR 5"&amp;"% DARI BOQ PLAM, CPP1,121 JT, TETAPI KABEL 24 UNTK NODE B EXT NYA CACAT AKIBAT PEMBANGUNAN JALAN TOL D AREA TSB, DAN INFO HISTORIS DARI TIM MTC KABEL 144 EXT NODE B BUTUH QE D RUAS JALAN PU NASIONAL, 30/01 MENUNGGU EVAL, 27/01 DONE AANWIDJZING, (26/1) tim"&amp;" TIF belum bisa EVAL hasil anwijzing karena lagi diluar kota , estimasi 29 jan baru kembali ke Palembang(24/1) plan aawijdizng 26/1 (21/01) menunggu antrian aanwizjing, (20/1) MJT setuju (15/1) ORDER DITERIMA 14/1 ,PLAN AANWIJDZING 21 JAN 26 (26/11) ORDER"&amp;" HOLD , FLAGGING ""TIDAK LANJUT DARI PED"" (25/11 MJT setuju, 24/11 penunjukkan mitra MJT, (14/11) MItra MJS blm ambil pekerjaan baru terkait close pekerjaan lama , LOP juga tidak masuk list optimis close 2025 (13/11) Masih Penunjukkan MITRA (11/11) Penun"&amp;"jukkan MITRA oleh Procurement 3/11 mitra YOFC ditunjuk sebagai mitra LOP ini 23/10 mitra triputra menolak ambil lop ini, saat ini lagi penunjukan mitra baru 
 15/10 belum ada jadwal aanwizjing
 (08/10) menunggu jadwal aanwizjing
 (01/10) menunggu jadwal a"&amp;"anwizjing
 (19/09) penjadwalan untuk aanizjing
 14/01 Surat lanjut kerja oleh procurement")</f>
        <v>27/04 MASIH MENUNGGU KUNCI SITE DAN TPAS, 24/04 MASIH MENUNGGU KUNCI SITE DAN TPAS, 21/04 MASIH KOORDINASI MENGENAI KUNCI SITE, 13/04 Sedang Menunggu kunci dan tipas untuk melakukan pengukuran di eksisting 09/04 MASIH PROGRESS REDESIGN,, MENUNGGU PENGUKURAN BERSAMA TIM MTC, 30/03 PROGRESS REDESIGN,, MENUNGGU PENGUKURAN BERSAMA TIM MTC, 25/03 PROGRESS REDESIGN,  21/03 PENCARIAN CORE, 16/03 MASIH MENCARI CORE, 12/03 PROGRESS CEK UPLINK DAN KEBUTUHAN QE, 06/03 HASIL REVIEW TIF - CEK UPLINK DAN KEBUTUHAN QE, 28/2 Riview TIF 2 Mar 26/02 MEMASTIKAN CORE DI TEMPORERAN DI JALAN TOL,  25/02 MEMASTIKAN CORE DI TEMPORERAN DI JALAN TOL,  06/02 HASIL REVIEW TSEL KENDALA QE FEEDER PU NASIONAL, 04/03 DONE EVAL, HOLD, ADA KENAIKAN SEBESAR 5% DARI BOQ PLAM, CPP1,121 JT, TETAPI KABEL 24 UNTK NODE B EXT NYA CACAT AKIBAT PEMBANGUNAN JALAN TOL D AREA TSB, DAN INFO HISTORIS DARI TIM MTC KABEL 144 EXT NODE B BUTUH QE D RUAS JALAN PU NASIONAL,15/01 menunggu jadwal aanwijzing dg mitra 04/02 DONE EVAL, HOLD, ADA KENAIKAN SEBESAR 5% DARI BOQ PLAM, CPP1,121 JT, TETAPI KABEL 24 UNTK NODE B EXT NYA CACAT AKIBAT PEMBANGUNAN JALAN TOL D AREA TSB, DAN INFO HISTORIS DARI TIM MTC KABEL 144 EXT NODE B BUTUH QE D RUAS JALAN PU NASIONAL, 30/01 MENUNGGU EVAL, 27/01 DONE AANWIDJZING, (26/1) tim TIF belum bisa EVAL hasil anwijzing karena lagi diluar kota , estimasi 29 jan baru kembali ke Palembang(24/1) plan aawijdizng 26/1 (21/01) menunggu antrian aanwizjing, (20/1) MJT setuju (15/1) ORDER DITERIMA 14/1 ,PLAN AANWIJDZING 21 JAN 26 (26/11) ORDER HOLD , FLAGGING "TIDAK LANJUT DARI PED" (25/11 MJT setuju, 24/11 penunjukkan mitra MJT, (14/11) MItra MJS blm ambil pekerjaan baru terkait close pekerjaan lama , LOP juga tidak masuk list optimis close 2025 (13/11) Masih Penunjukkan MITRA (11/11) Penunjukkan MITRA oleh Procurement 3/11 mitra YOFC ditunjuk sebagai mitra LOP ini 23/10 mitra triputra menolak ambil lop ini, saat ini lagi penunjukan mitra baru 
 15/10 belum ada jadwal aanwizjing
 (08/10) menunggu jadwal aanwizjing
 (01/10) menunggu jadwal aanwizjing
 (19/09) penjadwalan untuk aanizjing
 14/01 Surat lanjut kerja oleh procurement</v>
      </c>
      <c r="R1750" s="228"/>
      <c r="S1750" s="11"/>
      <c r="T1750" s="11"/>
      <c r="U1750" s="11"/>
      <c r="V1750" s="229" t="str">
        <f>IFERROR(__xludf.DUMMYFUNCTION("""COMPUTED_VALUE"""),"TEGAR")</f>
        <v>TEGAR</v>
      </c>
      <c r="W1750" s="229"/>
      <c r="X1750" s="229" t="str">
        <f>IFERROR(__xludf.DUMMYFUNCTION("""COMPUTED_VALUE"""),"BELUM GOLIVE")</f>
        <v>BELUM GOLIVE</v>
      </c>
      <c r="Y1750" s="229"/>
      <c r="Z1750" s="229"/>
      <c r="AA1750" s="229"/>
      <c r="AB1750" s="229"/>
      <c r="AC1750" s="229"/>
      <c r="AD1750" s="232"/>
      <c r="AE1750" s="233"/>
      <c r="AF1750" s="54"/>
      <c r="AG1750" s="54"/>
      <c r="AH1750" s="54"/>
      <c r="AI1750" s="55" t="str">
        <f t="shared" si="177"/>
        <v/>
      </c>
      <c r="AW1750" s="234"/>
      <c r="BP1750" s="11"/>
      <c r="BQ1750" s="11"/>
      <c r="BR1750" s="235"/>
      <c r="BV1750" s="158"/>
      <c r="BY1750" s="158"/>
      <c r="CB1750" s="158"/>
    </row>
    <row r="1751" ht="18.0" customHeight="1">
      <c r="A1751" s="222">
        <f>IFERROR(__xludf.DUMMYFUNCTION("""COMPUTED_VALUE"""),2026.0)</f>
        <v>2026</v>
      </c>
      <c r="B1751" s="221">
        <f>IFERROR(__xludf.DUMMYFUNCTION("""COMPUTED_VALUE"""),1.1277663E7)</f>
        <v>11277663</v>
      </c>
      <c r="C1751" s="222" t="str">
        <f>IFERROR(__xludf.DUMMYFUNCTION("""COMPUTED_VALUE"""),"SMB P2I1 MYIR-10518532830001 JEFRI M")</f>
        <v>SMB P2I1 MYIR-10518532830001 JEFRI M</v>
      </c>
      <c r="D1751" s="222" t="str">
        <f>IFERROR(__xludf.DUMMYFUNCTION("""COMPUTED_VALUE"""),"REGIONAL I")</f>
        <v>REGIONAL I</v>
      </c>
      <c r="E1751" s="222" t="str">
        <f>IFERROR(__xludf.DUMMYFUNCTION("""COMPUTED_VALUE"""),"SUMBAR")</f>
        <v>SUMBAR</v>
      </c>
      <c r="F1751" s="222" t="str">
        <f>IFERROR(__xludf.DUMMYFUNCTION("""COMPUTED_VALUE"""),"TLN")</f>
        <v>TLN</v>
      </c>
      <c r="G1751" s="222" t="str">
        <f>IFERROR(__xludf.DUMMYFUNCTION("""COMPUTED_VALUE"""),"SUMBAGTENG")</f>
        <v>SUMBAGTENG</v>
      </c>
      <c r="H1751" s="222" t="str">
        <f>IFERROR(__xludf.DUMMYFUNCTION("""COMPUTED_VALUE"""),"PADANG")</f>
        <v>PADANG</v>
      </c>
      <c r="I1751" s="222" t="str">
        <f>IFERROR(__xludf.DUMMYFUNCTION("""COMPUTED_VALUE"""),"Batch 2")</f>
        <v>Batch 2</v>
      </c>
      <c r="J1751" s="225">
        <f>IFERROR(__xludf.DUMMYFUNCTION("""COMPUTED_VALUE"""),1.0)</f>
        <v>1</v>
      </c>
      <c r="K1751" s="224">
        <f>IFERROR(__xludf.DUMMYFUNCTION("""COMPUTED_VALUE"""),8.0)</f>
        <v>8</v>
      </c>
      <c r="L1751" s="226">
        <f>IFERROR(__xludf.DUMMYFUNCTION("""COMPUTED_VALUE"""),756075.0)</f>
        <v>756075</v>
      </c>
      <c r="M1751" s="227">
        <f>IFERROR(__xludf.DUMMYFUNCTION("""COMPUTED_VALUE"""),6048598.0)</f>
        <v>6048598</v>
      </c>
      <c r="N1751" s="222" t="str">
        <f>IFERROR(__xludf.DUMMYFUNCTION("""COMPUTED_VALUE"""),"PT TRI PENAMAS")</f>
        <v>PT TRI PENAMAS</v>
      </c>
      <c r="O1751" s="222" t="str">
        <f>IFERROR(__xludf.DUMMYFUNCTION("""COMPUTED_VALUE"""),"0. DROP")</f>
        <v>0. DROP</v>
      </c>
      <c r="P1751" s="222" t="str">
        <f>IFERROR(__xludf.DUMMYFUNCTION("""COMPUTED_VALUE"""),"0.3 Feeder Full")</f>
        <v>0.3 Feeder Full</v>
      </c>
      <c r="Q1751" s="222" t="str">
        <f>IFERROR(__xludf.DUMMYFUNCTION("""COMPUTED_VALUE"""),"(08/01) kendala feeder TLN-FA full (07/01) Persiapan")</f>
        <v>(08/01) kendala feeder TLN-FA full (07/01) Persiapan</v>
      </c>
      <c r="R1751" s="228"/>
      <c r="S1751" s="11"/>
      <c r="T1751" s="11"/>
      <c r="U1751" s="11"/>
      <c r="V1751" s="229"/>
      <c r="W1751" s="229"/>
      <c r="X1751" s="229" t="str">
        <f>IFERROR(__xludf.DUMMYFUNCTION("""COMPUTED_VALUE"""),"BELUM GOLIVE")</f>
        <v>BELUM GOLIVE</v>
      </c>
      <c r="Y1751" s="229"/>
      <c r="Z1751" s="229" t="str">
        <f>IFERROR(__xludf.DUMMYFUNCTION("""COMPUTED_VALUE"""),"#N/A")</f>
        <v>#N/A</v>
      </c>
      <c r="AA1751" s="229"/>
      <c r="AB1751" s="229"/>
      <c r="AC1751" s="229"/>
      <c r="AD1751" s="232"/>
      <c r="AE1751" s="233"/>
      <c r="AF1751" s="54" t="str">
        <f>IFERROR(__xludf.DUMMYFUNCTION("""COMPUTED_VALUE"""),"Draft BA DROP")</f>
        <v>Draft BA DROP</v>
      </c>
      <c r="AG1751" s="54"/>
      <c r="AH1751" s="54"/>
      <c r="AI1751" s="55" t="str">
        <f t="shared" si="177"/>
        <v/>
      </c>
      <c r="AW1751" s="234"/>
      <c r="BP1751" s="11"/>
      <c r="BQ1751" s="11"/>
      <c r="BR1751" s="235"/>
      <c r="BV1751" s="158"/>
      <c r="BY1751" s="158"/>
      <c r="CB1751" s="158"/>
    </row>
    <row r="1752" ht="18.0" customHeight="1">
      <c r="A1752" s="222">
        <f>IFERROR(__xludf.DUMMYFUNCTION("""COMPUTED_VALUE"""),2026.0)</f>
        <v>2026</v>
      </c>
      <c r="B1752" s="221">
        <f>IFERROR(__xludf.DUMMYFUNCTION("""COMPUTED_VALUE"""),1.203626E7)</f>
        <v>12036260</v>
      </c>
      <c r="C1752" s="222" t="str">
        <f>IFERROR(__xludf.DUMMYFUNCTION("""COMPUTED_VALUE"""),"SMB P4I3 SINGGULING HILLS TAMBAHAN")</f>
        <v>SMB P4I3 SINGGULING HILLS TAMBAHAN</v>
      </c>
      <c r="D1752" s="222" t="str">
        <f>IFERROR(__xludf.DUMMYFUNCTION("""COMPUTED_VALUE"""),"REGIONAL I")</f>
        <v>REGIONAL I</v>
      </c>
      <c r="E1752" s="222" t="str">
        <f>IFERROR(__xludf.DUMMYFUNCTION("""COMPUTED_VALUE"""),"SUMBAR")</f>
        <v>SUMBAR</v>
      </c>
      <c r="F1752" s="222" t="str">
        <f>IFERROR(__xludf.DUMMYFUNCTION("""COMPUTED_VALUE"""),"LBA")</f>
        <v>LBA</v>
      </c>
      <c r="G1752" s="222" t="str">
        <f>IFERROR(__xludf.DUMMYFUNCTION("""COMPUTED_VALUE"""),"SUMBAGTENG")</f>
        <v>SUMBAGTENG</v>
      </c>
      <c r="H1752" s="222" t="str">
        <f>IFERROR(__xludf.DUMMYFUNCTION("""COMPUTED_VALUE"""),"BUKIT TINGGI")</f>
        <v>BUKIT TINGGI</v>
      </c>
      <c r="I1752" s="222" t="str">
        <f>IFERROR(__xludf.DUMMYFUNCTION("""COMPUTED_VALUE"""),"Batch 2")</f>
        <v>Batch 2</v>
      </c>
      <c r="J1752" s="225">
        <f>IFERROR(__xludf.DUMMYFUNCTION("""COMPUTED_VALUE"""),7.0)</f>
        <v>7</v>
      </c>
      <c r="K1752" s="224">
        <f>IFERROR(__xludf.DUMMYFUNCTION("""COMPUTED_VALUE"""),56.0)</f>
        <v>56</v>
      </c>
      <c r="L1752" s="226">
        <f>IFERROR(__xludf.DUMMYFUNCTION("""COMPUTED_VALUE"""),425753.0)</f>
        <v>425753</v>
      </c>
      <c r="M1752" s="227">
        <f>IFERROR(__xludf.DUMMYFUNCTION("""COMPUTED_VALUE"""),2.384214E7)</f>
        <v>23842140</v>
      </c>
      <c r="N1752" s="222" t="str">
        <f>IFERROR(__xludf.DUMMYFUNCTION("""COMPUTED_VALUE"""),"PT PUTRI JAYA AKSES")</f>
        <v>PT PUTRI JAYA AKSES</v>
      </c>
      <c r="O1752" s="222" t="str">
        <f>IFERROR(__xludf.DUMMYFUNCTION("""COMPUTED_VALUE"""),"0. DROP")</f>
        <v>0. DROP</v>
      </c>
      <c r="P1752" s="222" t="str">
        <f>IFERROR(__xludf.DUMMYFUNCTION("""COMPUTED_VALUE"""),"0.3 Feeder Full")</f>
        <v>0.3 Feeder Full</v>
      </c>
      <c r="Q1752" s="222" t="str">
        <f>IFERROR(__xludf.DUMMYFUNCTION("""COMPUTED_VALUE"""),"(26/01) kendala feeder LBA-FA full ")</f>
        <v>(26/01) kendala feeder LBA-FA full </v>
      </c>
      <c r="R1752" s="228"/>
      <c r="S1752" s="11"/>
      <c r="T1752" s="11"/>
      <c r="U1752" s="11"/>
      <c r="V1752" s="229"/>
      <c r="W1752" s="229"/>
      <c r="X1752" s="229" t="str">
        <f>IFERROR(__xludf.DUMMYFUNCTION("""COMPUTED_VALUE"""),"BELUM GOLIVE")</f>
        <v>BELUM GOLIVE</v>
      </c>
      <c r="Y1752" s="229"/>
      <c r="Z1752" s="229" t="str">
        <f>IFERROR(__xludf.DUMMYFUNCTION("""COMPUTED_VALUE"""),"#N/A")</f>
        <v>#N/A</v>
      </c>
      <c r="AA1752" s="229"/>
      <c r="AB1752" s="229"/>
      <c r="AC1752" s="229"/>
      <c r="AD1752" s="232"/>
      <c r="AE1752" s="233"/>
      <c r="AF1752" s="54" t="str">
        <f>IFERROR(__xludf.DUMMYFUNCTION("""COMPUTED_VALUE"""),"Draft BA DROP")</f>
        <v>Draft BA DROP</v>
      </c>
      <c r="AG1752" s="54"/>
      <c r="AH1752" s="54"/>
      <c r="AI1752" s="55" t="str">
        <f t="shared" si="177"/>
        <v/>
      </c>
      <c r="AW1752" s="234"/>
      <c r="BP1752" s="11"/>
      <c r="BQ1752" s="11"/>
      <c r="BR1752" s="235"/>
      <c r="BV1752" s="158"/>
      <c r="BY1752" s="158"/>
      <c r="CB1752" s="158"/>
    </row>
    <row r="1753" ht="18.0" hidden="1" customHeight="1">
      <c r="A1753" s="222">
        <f>IFERROR(__xludf.DUMMYFUNCTION("""COMPUTED_VALUE"""),2026.0)</f>
        <v>2026</v>
      </c>
      <c r="B1753" s="221">
        <f>IFERROR(__xludf.DUMMYFUNCTION("""COMPUTED_VALUE"""),1.2438393E7)</f>
        <v>12438393</v>
      </c>
      <c r="C1753" s="222" t="str">
        <f>IFERROR(__xludf.DUMMYFUNCTION("""COMPUTED_VALUE"""),"SMS P4I4 PT3 BTA FBA D01 PENIJAUAN DEPRI")</f>
        <v>SMS P4I4 PT3 BTA FBA D01 PENIJAUAN DEPRI</v>
      </c>
      <c r="D1753" s="222" t="str">
        <f>IFERROR(__xludf.DUMMYFUNCTION("""COMPUTED_VALUE"""),"REGIONAL I")</f>
        <v>REGIONAL I</v>
      </c>
      <c r="E1753" s="222" t="str">
        <f>IFERROR(__xludf.DUMMYFUNCTION("""COMPUTED_VALUE"""),"SUMSEL")</f>
        <v>SUMSEL</v>
      </c>
      <c r="F1753" s="222" t="str">
        <f>IFERROR(__xludf.DUMMYFUNCTION("""COMPUTED_VALUE"""),"BTA")</f>
        <v>BTA</v>
      </c>
      <c r="G1753" s="222" t="str">
        <f>IFERROR(__xludf.DUMMYFUNCTION("""COMPUTED_VALUE"""),"SUMBAGSEL")</f>
        <v>SUMBAGSEL</v>
      </c>
      <c r="H1753" s="222" t="str">
        <f>IFERROR(__xludf.DUMMYFUNCTION("""COMPUTED_VALUE"""),"PALEMBANG")</f>
        <v>PALEMBANG</v>
      </c>
      <c r="I1753" s="222" t="str">
        <f>IFERROR(__xludf.DUMMYFUNCTION("""COMPUTED_VALUE"""),"Batch 2")</f>
        <v>Batch 2</v>
      </c>
      <c r="J1753" s="225">
        <f>IFERROR(__xludf.DUMMYFUNCTION("""COMPUTED_VALUE"""),4.0)</f>
        <v>4</v>
      </c>
      <c r="K1753" s="224">
        <f>IFERROR(__xludf.DUMMYFUNCTION("""COMPUTED_VALUE"""),32.0)</f>
        <v>32</v>
      </c>
      <c r="L1753" s="226">
        <f>IFERROR(__xludf.DUMMYFUNCTION("""COMPUTED_VALUE"""),425048.0)</f>
        <v>425048</v>
      </c>
      <c r="M1753" s="227">
        <f>IFERROR(__xludf.DUMMYFUNCTION("""COMPUTED_VALUE"""),1.360153E7)</f>
        <v>13601530</v>
      </c>
      <c r="N1753" s="222" t="str">
        <f>IFERROR(__xludf.DUMMYFUNCTION("""COMPUTED_VALUE"""),"PT GARINDO TECHNO MANDIRI")</f>
        <v>PT GARINDO TECHNO MANDIRI</v>
      </c>
      <c r="O1753" s="222" t="str">
        <f>IFERROR(__xludf.DUMMYFUNCTION("""COMPUTED_VALUE"""),"7. GOLIVE")</f>
        <v>7. GOLIVE</v>
      </c>
      <c r="P1753" s="222" t="str">
        <f>IFERROR(__xludf.DUMMYFUNCTION("""COMPUTED_VALUE"""),"7.2 Golive Full / OA / DONE OTB")</f>
        <v>7.2 Golive Full / OA / DONE OTB</v>
      </c>
      <c r="Q1753" s="222" t="str">
        <f>IFERROR(__xludf.DUMMYFUNCTION("""COMPUTED_VALUE"""),"09/04 masih pelurusan core existing, menunggu TPAS  07/04 PELURUSAN CORE, 03/04 KENDALA CORE TIDAK SAMPAI KE NEW ODP, 27/03 EST TGL 30 MAR LANJUT PASANG ODP, 25/03 EST LANJUT PROGRESS TGL 30 MAR, 17/03 DONE PENARIKAN KABEL 280M DAN PEMASANGAN AKSESORIS, 1"&amp;"6/03 PROGRESS PENARIKAN KABEL, 15/03 PROGRESS TANAM TIANG, 12/03 MASIH MENUNGGU ANTRIAN PEKERJAAN, 06/03 MENUNGGU ANTRIAN PEKERJAAN, 04/03 MATERIAL ONSITE, 03/03 MATDEL, 02/03 HARI INI AMBIL TIANG, 27/02 DONE RFC,OGP AMBIL MATERIAL EST TGL 02/03, 26/02 ME"&amp;"NUNGGU RFC UTK PENGAMBILAN MATERIAL, 25/02 MASIH MENUNGGU TIANG, 24/02 LANJUT PROGRESS SDH ADA RFC DAN MENUNGGU TIANG, 23/02 BELUM INPUT MATERIAL TIANG KRNA TIANG HABIS, 22/2 menunggu material TIANG  20/02 DONE INPUT MATERIAL, 18/02 PROGRESS INPUT MATERIA"&amp;"L - KENDALA OVER BUDGET, 18/02 BELUM BISA INPUT MATERIAL - MSH MENUNGGU PA, 11/2 menunggu PRPO  10/02 MASIH PROGRESS DRM, 06/02 HASIL REVIEW TSEL LANJUT PROGRESS LAPANGAN, 3/02 DONE EVAL, HOLD ADA KENAIKAN BOQ SEBESAR 4% DAIR PLAN DAN CPP 443 RB 30/01 MEN"&amp;"UNGGU EVAL - PLAN TGL 02 FEB, (26/1) tim TIF belum bisa EVAL hasil anwijzing karena lagi diluar kota , estimasi 29 jan baru kembali ke Palembang(25/01) DONE AANWIDJZING - PERIZINAN OK, (21/01) menunggu antrian aanwizjing, (15/1) ORDER DITERIMA MITRA 14/1,"&amp;"MENUNGGU PLAN AANWIJDZING (14/11)HOLD- tidak masuk target Optimis 2025 ((11/11) Penunjukkan MITRA oleh Procurement")</f>
        <v>09/04 masih pelurusan core existing, menunggu TPAS  07/04 PELURUSAN CORE, 03/04 KENDALA CORE TIDAK SAMPAI KE NEW ODP, 27/03 EST TGL 30 MAR LANJUT PASANG ODP, 25/03 EST LANJUT PROGRESS TGL 30 MAR, 17/03 DONE PENARIKAN KABEL 280M DAN PEMASANGAN AKSESORIS, 16/03 PROGRESS PENARIKAN KABEL, 15/03 PROGRESS TANAM TIANG, 12/03 MASIH MENUNGGU ANTRIAN PEKERJAAN, 06/03 MENUNGGU ANTRIAN PEKERJAAN, 04/03 MATERIAL ONSITE, 03/03 MATDEL, 02/03 HARI INI AMBIL TIANG, 27/02 DONE RFC,OGP AMBIL MATERIAL EST TGL 02/03, 26/02 MENUNGGU RFC UTK PENGAMBILAN MATERIAL, 25/02 MASIH MENUNGGU TIANG, 24/02 LANJUT PROGRESS SDH ADA RFC DAN MENUNGGU TIANG, 23/02 BELUM INPUT MATERIAL TIANG KRNA TIANG HABIS, 22/2 menunggu material TIANG  20/02 DONE INPUT MATERIAL, 18/02 PROGRESS INPUT MATERIAL - KENDALA OVER BUDGET, 18/02 BELUM BISA INPUT MATERIAL - MSH MENUNGGU PA, 11/2 menunggu PRPO  10/02 MASIH PROGRESS DRM, 06/02 HASIL REVIEW TSEL LANJUT PROGRESS LAPANGAN, 3/02 DONE EVAL, HOLD ADA KENAIKAN BOQ SEBESAR 4% DAIR PLAN DAN CPP 443 RB 30/01 MENUNGGU EVAL - PLAN TGL 02 FEB, (26/1) tim TIF belum bisa EVAL hasil anwijzing karena lagi diluar kota , estimasi 29 jan baru kembali ke Palembang(25/01) DONE AANWIDJZING - PERIZINAN OK, (21/01) menunggu antrian aanwizjing, (15/1) ORDER DITERIMA MITRA 14/1,MENUNGGU PLAN AANWIJDZING (14/11)HOLD- tidak masuk target Optimis 2025 ((11/11) Penunjukkan MITRA oleh Procurement</v>
      </c>
      <c r="R1753" s="228">
        <f>IFERROR(__xludf.DUMMYFUNCTION("""COMPUTED_VALUE"""),46121.0)</f>
        <v>46121</v>
      </c>
      <c r="S1753" s="11" t="str">
        <f>IFERROR(__xludf.DUMMYFUNCTION("""COMPUTED_VALUE"""),"APR")</f>
        <v>APR</v>
      </c>
      <c r="T1753" s="73" t="str">
        <f>IFERROR(__xludf.DUMMYFUNCTION("""COMPUTED_VALUE"""),"P1")</f>
        <v>P1</v>
      </c>
      <c r="U1753" s="11"/>
      <c r="V1753" s="229" t="str">
        <f>IFERROR(__xludf.DUMMYFUNCTION("""COMPUTED_VALUE"""),"TANTOWI")</f>
        <v>TANTOWI</v>
      </c>
      <c r="W1753" s="229"/>
      <c r="X1753" s="229" t="str">
        <f>IFERROR(__xludf.DUMMYFUNCTION("""COMPUTED_VALUE"""),"GOLIVE")</f>
        <v>GOLIVE</v>
      </c>
      <c r="Y1753" s="229" t="str">
        <f>IFERROR(__xludf.DUMMYFUNCTION("""COMPUTED_VALUE"""),"DONE")</f>
        <v>DONE</v>
      </c>
      <c r="Z1753" s="229" t="str">
        <f>IFERROR(__xludf.DUMMYFUNCTION("""COMPUTED_VALUE"""),"#N/A")</f>
        <v>#N/A</v>
      </c>
      <c r="AA1753" s="229">
        <f>IFERROR(__xludf.DUMMYFUNCTION("""COMPUTED_VALUE"""),3.0)</f>
        <v>3</v>
      </c>
      <c r="AB1753" s="229"/>
      <c r="AC1753" s="229" t="str">
        <f>IFERROR(__xludf.DUMMYFUNCTION("""COMPUTED_VALUE"""),"8940886#8940891")</f>
        <v>8940886#8940891</v>
      </c>
      <c r="AD1753" s="232">
        <f>IFERROR(__xludf.DUMMYFUNCTION("""COMPUTED_VALUE"""),24.0)</f>
        <v>24</v>
      </c>
      <c r="AE1753" s="233">
        <f>IFERROR(__xludf.DUMMYFUNCTION("""COMPUTED_VALUE"""),46121.0)</f>
        <v>46121</v>
      </c>
      <c r="AF1753" s="54"/>
      <c r="AG1753" s="54"/>
      <c r="AH1753" s="54">
        <v>46121.0</v>
      </c>
      <c r="AI1753" s="55">
        <f t="shared" si="177"/>
        <v>0</v>
      </c>
      <c r="AW1753" s="234"/>
      <c r="BP1753" s="11"/>
      <c r="BQ1753" s="11"/>
      <c r="BR1753" s="235"/>
      <c r="BV1753" s="158"/>
      <c r="BY1753" s="158"/>
      <c r="CB1753" s="158"/>
    </row>
    <row r="1754" ht="18.0" hidden="1" customHeight="1">
      <c r="A1754" s="222">
        <f>IFERROR(__xludf.DUMMYFUNCTION("""COMPUTED_VALUE"""),2026.0)</f>
        <v>2026</v>
      </c>
      <c r="B1754" s="221">
        <f>IFERROR(__xludf.DUMMYFUNCTION("""COMPUTED_VALUE"""),1.141038E7)</f>
        <v>11410380</v>
      </c>
      <c r="C1754" s="222" t="str">
        <f>IFERROR(__xludf.DUMMYFUNCTION("""COMPUTED_VALUE"""),"JBI-PT4-OTN+MINI OLT-MBN-DESA TRIJAYA")</f>
        <v>JBI-PT4-OTN+MINI OLT-MBN-DESA TRIJAYA</v>
      </c>
      <c r="D1754" s="222" t="str">
        <f>IFERROR(__xludf.DUMMYFUNCTION("""COMPUTED_VALUE"""),"REGIONAL I")</f>
        <v>REGIONAL I</v>
      </c>
      <c r="E1754" s="222" t="str">
        <f>IFERROR(__xludf.DUMMYFUNCTION("""COMPUTED_VALUE"""),"JAMBI")</f>
        <v>JAMBI</v>
      </c>
      <c r="F1754" s="222" t="str">
        <f>IFERROR(__xludf.DUMMYFUNCTION("""COMPUTED_VALUE"""),"MBN")</f>
        <v>MBN</v>
      </c>
      <c r="G1754" s="222" t="str">
        <f>IFERROR(__xludf.DUMMYFUNCTION("""COMPUTED_VALUE"""),"SUMBAGSEL")</f>
        <v>SUMBAGSEL</v>
      </c>
      <c r="H1754" s="222" t="str">
        <f>IFERROR(__xludf.DUMMYFUNCTION("""COMPUTED_VALUE"""),"JAMBI")</f>
        <v>JAMBI</v>
      </c>
      <c r="I1754" s="222" t="str">
        <f>IFERROR(__xludf.DUMMYFUNCTION("""COMPUTED_VALUE"""),"Batch 2")</f>
        <v>Batch 2</v>
      </c>
      <c r="J1754" s="225">
        <f>IFERROR(__xludf.DUMMYFUNCTION("""COMPUTED_VALUE"""),24.0)</f>
        <v>24</v>
      </c>
      <c r="K1754" s="224">
        <f>IFERROR(__xludf.DUMMYFUNCTION("""COMPUTED_VALUE"""),184.0)</f>
        <v>184</v>
      </c>
      <c r="L1754" s="226">
        <f>IFERROR(__xludf.DUMMYFUNCTION("""COMPUTED_VALUE"""),1397455.0)</f>
        <v>1397455</v>
      </c>
      <c r="M1754" s="227">
        <f>IFERROR(__xludf.DUMMYFUNCTION("""COMPUTED_VALUE"""),2.57131588E8)</f>
        <v>257131588</v>
      </c>
      <c r="N1754" s="222" t="str">
        <f>IFERROR(__xludf.DUMMYFUNCTION("""COMPUTED_VALUE"""),"PT ALAM UTAMA MULIA")</f>
        <v>PT ALAM UTAMA MULIA</v>
      </c>
      <c r="O1754" s="222" t="str">
        <f>IFERROR(__xludf.DUMMYFUNCTION("""COMPUTED_VALUE"""),"0. DROP")</f>
        <v>0. DROP</v>
      </c>
      <c r="P1754" s="222" t="str">
        <f>IFERROR(__xludf.DUMMYFUNCTION("""COMPUTED_VALUE"""),"0.3 Feeder Full")</f>
        <v>0.3 Feeder Full</v>
      </c>
      <c r="Q1754" s="222" t="str">
        <f>IFERROR(__xludf.DUMMYFUNCTION("""COMPUTED_VALUE"""),"(12/1) BA Drop Sirkulir-PERMINTAAN TIF,UPLINK MINOL Feeder Habis  6/11 hold(04/11)NEED SUPPORT TSEL PERIJININ LOKASI MARGA MULYA(15/10) UPLINK MINI OLT SUNGAI BAHAR BLM READY 08/10 Done Aanwijzing 06/10 Penjadwalan aanwijzing (16/09) Mapping mitra")</f>
        <v>(12/1) BA Drop Sirkulir-PERMINTAAN TIF,UPLINK MINOL Feeder Habis  6/11 hold(04/11)NEED SUPPORT TSEL PERIJININ LOKASI MARGA MULYA(15/10) UPLINK MINI OLT SUNGAI BAHAR BLM READY 08/10 Done Aanwijzing 06/10 Penjadwalan aanwijzing (16/09) Mapping mitra</v>
      </c>
      <c r="R1754" s="228"/>
      <c r="S1754" s="11"/>
      <c r="T1754" s="11"/>
      <c r="U1754" s="11"/>
      <c r="V1754" s="229"/>
      <c r="W1754" s="229"/>
      <c r="X1754" s="229" t="str">
        <f>IFERROR(__xludf.DUMMYFUNCTION("""COMPUTED_VALUE"""),"BELUM GOLIVE")</f>
        <v>BELUM GOLIVE</v>
      </c>
      <c r="Y1754" s="229"/>
      <c r="Z1754" s="229"/>
      <c r="AA1754" s="229"/>
      <c r="AB1754" s="229"/>
      <c r="AC1754" s="229"/>
      <c r="AD1754" s="232"/>
      <c r="AE1754" s="233"/>
      <c r="AF1754" s="54" t="str">
        <f>IFERROR(__xludf.DUMMYFUNCTION("""COMPUTED_VALUE"""),"Draft BA DROP")</f>
        <v>Draft BA DROP</v>
      </c>
      <c r="AG1754" s="54"/>
      <c r="AH1754" s="54"/>
      <c r="AI1754" s="55" t="str">
        <f t="shared" si="177"/>
        <v/>
      </c>
      <c r="AW1754" s="234"/>
      <c r="BP1754" s="11"/>
      <c r="BQ1754" s="11"/>
      <c r="BR1754" s="235"/>
      <c r="BV1754" s="158"/>
      <c r="BY1754" s="158"/>
      <c r="CB1754" s="158"/>
    </row>
    <row r="1755" ht="18.0" customHeight="1">
      <c r="A1755" s="222">
        <f>IFERROR(__xludf.DUMMYFUNCTION("""COMPUTED_VALUE"""),2026.0)</f>
        <v>2026</v>
      </c>
      <c r="B1755" s="221">
        <f>IFERROR(__xludf.DUMMYFUNCTION("""COMPUTED_VALUE"""),1.1405639E7)</f>
        <v>11405639</v>
      </c>
      <c r="C1755" s="222" t="str">
        <f>IFERROR(__xludf.DUMMYFUNCTION("""COMPUTED_VALUE"""),"RDR JPP PT4 EXPAND BKR FKF CROSS")</f>
        <v>RDR JPP PT4 EXPAND BKR FKF CROSS</v>
      </c>
      <c r="D1755" s="222" t="str">
        <f>IFERROR(__xludf.DUMMYFUNCTION("""COMPUTED_VALUE"""),"REGIONAL I")</f>
        <v>REGIONAL I</v>
      </c>
      <c r="E1755" s="222" t="str">
        <f>IFERROR(__xludf.DUMMYFUNCTION("""COMPUTED_VALUE"""),"RIDAR")</f>
        <v>RIDAR</v>
      </c>
      <c r="F1755" s="222" t="str">
        <f>IFERROR(__xludf.DUMMYFUNCTION("""COMPUTED_VALUE"""),"BKR")</f>
        <v>BKR</v>
      </c>
      <c r="G1755" s="222" t="str">
        <f>IFERROR(__xludf.DUMMYFUNCTION("""COMPUTED_VALUE"""),"SUMBAGTENG")</f>
        <v>SUMBAGTENG</v>
      </c>
      <c r="H1755" s="222" t="str">
        <f>IFERROR(__xludf.DUMMYFUNCTION("""COMPUTED_VALUE"""),"PEKANBARU")</f>
        <v>PEKANBARU</v>
      </c>
      <c r="I1755" s="222" t="str">
        <f>IFERROR(__xludf.DUMMYFUNCTION("""COMPUTED_VALUE"""),"Batch 2")</f>
        <v>Batch 2</v>
      </c>
      <c r="J1755" s="225">
        <f>IFERROR(__xludf.DUMMYFUNCTION("""COMPUTED_VALUE"""),41.0)</f>
        <v>41</v>
      </c>
      <c r="K1755" s="224">
        <f>IFERROR(__xludf.DUMMYFUNCTION("""COMPUTED_VALUE"""),328.0)</f>
        <v>328</v>
      </c>
      <c r="L1755" s="226">
        <f>IFERROR(__xludf.DUMMYFUNCTION("""COMPUTED_VALUE"""),1399425.0)</f>
        <v>1399425</v>
      </c>
      <c r="M1755" s="227">
        <f>IFERROR(__xludf.DUMMYFUNCTION("""COMPUTED_VALUE"""),4.59011087E8)</f>
        <v>459011087</v>
      </c>
      <c r="N1755" s="222" t="str">
        <f>IFERROR(__xludf.DUMMYFUNCTION("""COMPUTED_VALUE"""),"PT LIBER PERSADA MANDIRI")</f>
        <v>PT LIBER PERSADA MANDIRI</v>
      </c>
      <c r="O1755" s="222" t="str">
        <f>IFERROR(__xludf.DUMMYFUNCTION("""COMPUTED_VALUE"""),"0. DROP")</f>
        <v>0. DROP</v>
      </c>
      <c r="P1755" s="222" t="str">
        <f>IFERROR(__xludf.DUMMYFUNCTION("""COMPUTED_VALUE"""),"0.2 Tidak Dapat Izin Warga/Kades/Lurah/Developer")</f>
        <v>0.2 Tidak Dapat Izin Warga/Kades/Lurah/Developer</v>
      </c>
      <c r="Q1755" s="222" t="str">
        <f>IFERROR(__xludf.DUMMYFUNCTION("""COMPUTED_VALUE"""),"09/02 Menunggu izin dari kepala desa 29/01 Menunggu perizinan dari Desa  (07/01) Persiapan")</f>
        <v>09/02 Menunggu izin dari kepala desa 29/01 Menunggu perizinan dari Desa  (07/01) Persiapan</v>
      </c>
      <c r="R1755" s="228"/>
      <c r="S1755" s="11"/>
      <c r="T1755" s="11"/>
      <c r="U1755" s="11"/>
      <c r="V1755" s="229" t="str">
        <f>IFERROR(__xludf.DUMMYFUNCTION("""COMPUTED_VALUE"""),"TEGUH IMAM PERDANA")</f>
        <v>TEGUH IMAM PERDANA</v>
      </c>
      <c r="W1755" s="229" t="str">
        <f>IFERROR(__xludf.DUMMYFUNCTION("""COMPUTED_VALUE"""),"DESLITA RAHMADANI")</f>
        <v>DESLITA RAHMADANI</v>
      </c>
      <c r="X1755" s="229" t="str">
        <f>IFERROR(__xludf.DUMMYFUNCTION("""COMPUTED_VALUE"""),"BELUM GOLIVE")</f>
        <v>BELUM GOLIVE</v>
      </c>
      <c r="Y1755" s="229"/>
      <c r="Z1755" s="229" t="str">
        <f>IFERROR(__xludf.DUMMYFUNCTION("""COMPUTED_VALUE"""),"#N/A")</f>
        <v>#N/A</v>
      </c>
      <c r="AA1755" s="229"/>
      <c r="AB1755" s="229"/>
      <c r="AC1755" s="229"/>
      <c r="AD1755" s="232"/>
      <c r="AE1755" s="233"/>
      <c r="AF1755" s="54" t="str">
        <f>IFERROR(__xludf.DUMMYFUNCTION("""COMPUTED_VALUE"""),"Draft BA DROP")</f>
        <v>Draft BA DROP</v>
      </c>
      <c r="AG1755" s="54"/>
      <c r="AH1755" s="54"/>
      <c r="AI1755" s="55" t="str">
        <f t="shared" si="177"/>
        <v/>
      </c>
      <c r="AW1755" s="234"/>
      <c r="BP1755" s="11"/>
      <c r="BQ1755" s="11"/>
      <c r="BR1755" s="235"/>
      <c r="BV1755" s="158"/>
      <c r="BY1755" s="158"/>
      <c r="CB1755" s="158"/>
    </row>
    <row r="1756" ht="18.0" customHeight="1">
      <c r="A1756" s="222">
        <f>IFERROR(__xludf.DUMMYFUNCTION("""COMPUTED_VALUE"""),2026.0)</f>
        <v>2026</v>
      </c>
      <c r="B1756" s="221">
        <f>IFERROR(__xludf.DUMMYFUNCTION("""COMPUTED_VALUE"""),1.1113801E7)</f>
        <v>11113801</v>
      </c>
      <c r="C1756" s="222" t="str">
        <f>IFERROR(__xludf.DUMMYFUNCTION("""COMPUTED_VALUE"""),"SMB P7I11 MTEL NAGARI_SIALANGGAUNG_MT")</f>
        <v>SMB P7I11 MTEL NAGARI_SIALANGGAUNG_MT</v>
      </c>
      <c r="D1756" s="222" t="str">
        <f>IFERROR(__xludf.DUMMYFUNCTION("""COMPUTED_VALUE"""),"REGIONAL I")</f>
        <v>REGIONAL I</v>
      </c>
      <c r="E1756" s="222" t="str">
        <f>IFERROR(__xludf.DUMMYFUNCTION("""COMPUTED_VALUE"""),"SUMBAR")</f>
        <v>SUMBAR</v>
      </c>
      <c r="F1756" s="222" t="str">
        <f>IFERROR(__xludf.DUMMYFUNCTION("""COMPUTED_VALUE"""),"SUN")</f>
        <v>SUN</v>
      </c>
      <c r="G1756" s="222" t="str">
        <f>IFERROR(__xludf.DUMMYFUNCTION("""COMPUTED_VALUE"""),"SUMBAGTENG")</f>
        <v>SUMBAGTENG</v>
      </c>
      <c r="H1756" s="222" t="str">
        <f>IFERROR(__xludf.DUMMYFUNCTION("""COMPUTED_VALUE"""),"PADANG")</f>
        <v>PADANG</v>
      </c>
      <c r="I1756" s="222" t="str">
        <f>IFERROR(__xludf.DUMMYFUNCTION("""COMPUTED_VALUE"""),"Batch 2")</f>
        <v>Batch 2</v>
      </c>
      <c r="J1756" s="225">
        <f>IFERROR(__xludf.DUMMYFUNCTION("""COMPUTED_VALUE"""),4.0)</f>
        <v>4</v>
      </c>
      <c r="K1756" s="224">
        <f>IFERROR(__xludf.DUMMYFUNCTION("""COMPUTED_VALUE"""),32.0)</f>
        <v>32</v>
      </c>
      <c r="L1756" s="226">
        <f>IFERROR(__xludf.DUMMYFUNCTION("""COMPUTED_VALUE"""),727254.0)</f>
        <v>727254</v>
      </c>
      <c r="M1756" s="227">
        <f>IFERROR(__xludf.DUMMYFUNCTION("""COMPUTED_VALUE"""),2.327211E7)</f>
        <v>23272110</v>
      </c>
      <c r="N1756" s="222" t="str">
        <f>IFERROR(__xludf.DUMMYFUNCTION("""COMPUTED_VALUE"""),"PT TIGA AKSES MANDIRI")</f>
        <v>PT TIGA AKSES MANDIRI</v>
      </c>
      <c r="O1756" s="222" t="str">
        <f>IFERROR(__xludf.DUMMYFUNCTION("""COMPUTED_VALUE"""),"0. DROP")</f>
        <v>0. DROP</v>
      </c>
      <c r="P1756" s="222" t="str">
        <f>IFERROR(__xludf.DUMMYFUNCTION("""COMPUTED_VALUE"""),"0.1 Double Order")</f>
        <v>0.1 Double Order</v>
      </c>
      <c r="Q1756" s="222" t="str">
        <f>IFERROR(__xludf.DUMMYFUNCTION("""COMPUTED_VALUE"""),"(05/03) kendala feeder SUN-FC full 10/03   23/2 hold kendala OLT di status Terakhir  26/01 : Kendala slot modul OLT ampalu koto full, butuh new mini olt (07/01) Persiapan")</f>
        <v>(05/03) kendala feeder SUN-FC full 10/03   23/2 hold kendala OLT di status Terakhir  26/01 : Kendala slot modul OLT ampalu koto full, butuh new mini olt (07/01) Persiapan</v>
      </c>
      <c r="R1756" s="228"/>
      <c r="S1756" s="11"/>
      <c r="T1756" s="11"/>
      <c r="U1756" s="11"/>
      <c r="V1756" s="229" t="str">
        <f>IFERROR(__xludf.DUMMYFUNCTION("""COMPUTED_VALUE"""),"YULIO NOVIKO")</f>
        <v>YULIO NOVIKO</v>
      </c>
      <c r="W1756" s="229" t="str">
        <f>IFERROR(__xludf.DUMMYFUNCTION("""COMPUTED_VALUE"""),"MELKO NARWADI")</f>
        <v>MELKO NARWADI</v>
      </c>
      <c r="X1756" s="229" t="str">
        <f>IFERROR(__xludf.DUMMYFUNCTION("""COMPUTED_VALUE"""),"BELUM GOLIVE")</f>
        <v>BELUM GOLIVE</v>
      </c>
      <c r="Y1756" s="229" t="str">
        <f>IFERROR(__xludf.DUMMYFUNCTION("""COMPUTED_VALUE"""),"PORT OLT Penuh")</f>
        <v>PORT OLT Penuh</v>
      </c>
      <c r="Z1756" s="229" t="str">
        <f>IFERROR(__xludf.DUMMYFUNCTION("""COMPUTED_VALUE"""),"#N/A")</f>
        <v>#N/A</v>
      </c>
      <c r="AA1756" s="229"/>
      <c r="AB1756" s="229"/>
      <c r="AC1756" s="229"/>
      <c r="AD1756" s="232"/>
      <c r="AE1756" s="233"/>
      <c r="AF1756" s="54"/>
      <c r="AG1756" s="54"/>
      <c r="AH1756" s="54"/>
      <c r="AI1756" s="55" t="str">
        <f t="shared" si="177"/>
        <v/>
      </c>
      <c r="AW1756" s="234"/>
      <c r="BP1756" s="11"/>
      <c r="BQ1756" s="11"/>
      <c r="BR1756" s="235"/>
      <c r="BV1756" s="158"/>
      <c r="BY1756" s="158"/>
      <c r="CB1756" s="158"/>
    </row>
    <row r="1757" ht="18.0" hidden="1" customHeight="1">
      <c r="A1757" s="222">
        <f>IFERROR(__xludf.DUMMYFUNCTION("""COMPUTED_VALUE"""),2026.0)</f>
        <v>2026</v>
      </c>
      <c r="B1757" s="221">
        <f>IFERROR(__xludf.DUMMYFUNCTION("""COMPUTED_VALUE"""),1.1365696E7)</f>
        <v>11365696</v>
      </c>
      <c r="C1757" s="222" t="str">
        <f>IFERROR(__xludf.DUMMYFUNCTION("""COMPUTED_VALUE"""),"MDN PT4 P7I13 BLW-FH PULAU SICANANG")</f>
        <v>MDN PT4 P7I13 BLW-FH PULAU SICANANG</v>
      </c>
      <c r="D1757" s="222" t="str">
        <f>IFERROR(__xludf.DUMMYFUNCTION("""COMPUTED_VALUE"""),"REGIONAL I")</f>
        <v>REGIONAL I</v>
      </c>
      <c r="E1757" s="222" t="str">
        <f>IFERROR(__xludf.DUMMYFUNCTION("""COMPUTED_VALUE"""),"MEDAN")</f>
        <v>MEDAN</v>
      </c>
      <c r="F1757" s="222" t="str">
        <f>IFERROR(__xludf.DUMMYFUNCTION("""COMPUTED_VALUE"""),"BLW")</f>
        <v>BLW</v>
      </c>
      <c r="G1757" s="222" t="str">
        <f>IFERROR(__xludf.DUMMYFUNCTION("""COMPUTED_VALUE"""),"SUMBAGUT")</f>
        <v>SUMBAGUT</v>
      </c>
      <c r="H1757" s="222" t="str">
        <f>IFERROR(__xludf.DUMMYFUNCTION("""COMPUTED_VALUE"""),"MEDAN")</f>
        <v>MEDAN</v>
      </c>
      <c r="I1757" s="222" t="str">
        <f>IFERROR(__xludf.DUMMYFUNCTION("""COMPUTED_VALUE"""),"Batch 2")</f>
        <v>Batch 2</v>
      </c>
      <c r="J1757" s="225">
        <f>IFERROR(__xludf.DUMMYFUNCTION("""COMPUTED_VALUE"""),27.0)</f>
        <v>27</v>
      </c>
      <c r="K1757" s="224">
        <f>IFERROR(__xludf.DUMMYFUNCTION("""COMPUTED_VALUE"""),216.0)</f>
        <v>216</v>
      </c>
      <c r="L1757" s="226">
        <f>IFERROR(__xludf.DUMMYFUNCTION("""COMPUTED_VALUE"""),1358132.0)</f>
        <v>1358132</v>
      </c>
      <c r="M1757" s="227">
        <f>IFERROR(__xludf.DUMMYFUNCTION("""COMPUTED_VALUE"""),2.93356319E8)</f>
        <v>293356319</v>
      </c>
      <c r="N1757" s="222" t="str">
        <f>IFERROR(__xludf.DUMMYFUNCTION("""COMPUTED_VALUE"""),"PT BANGUN PRIMA SEMESTA")</f>
        <v>PT BANGUN PRIMA SEMESTA</v>
      </c>
      <c r="O1757" s="222" t="str">
        <f>IFERROR(__xludf.DUMMYFUNCTION("""COMPUTED_VALUE"""),"5. INSTALASI")</f>
        <v>5. INSTALASI</v>
      </c>
      <c r="P1757" s="222" t="str">
        <f>IFERROR(__xludf.DUMMYFUNCTION("""COMPUTED_VALUE"""),"5.11 Jumper menunggu CO / Upgrade ODC")</f>
        <v>5.11 Jumper menunggu CO / Upgrade ODC</v>
      </c>
      <c r="Q1757" s="222" t="str">
        <f>IFERROR(__xludf.DUMMYFUNCTION("""COMPUTED_VALUE"""),"21/04 konfirmasi pengajuan CRA ulang 
15/04 pengajuan ulang CRA 16/02 Req CRA 16/01 Pengurusan perpanjangan izin kawasan
Sudah penarikan kabel")</f>
        <v>21/04 konfirmasi pengajuan CRA ulang 
15/04 pengajuan ulang CRA 16/02 Req CRA 16/01 Pengurusan perpanjangan izin kawasan
Sudah penarikan kabel</v>
      </c>
      <c r="R1757" s="228"/>
      <c r="S1757" s="11" t="str">
        <f>IFERROR(__xludf.DUMMYFUNCTION("""COMPUTED_VALUE"""),"-")</f>
        <v>-</v>
      </c>
      <c r="T1757" s="73" t="str">
        <f>IFERROR(__xludf.DUMMYFUNCTION("""COMPUTED_VALUE"""),"P1")</f>
        <v>P1</v>
      </c>
      <c r="U1757" s="11"/>
      <c r="V1757" s="229"/>
      <c r="W1757" s="229" t="str">
        <f>IFERROR(__xludf.DUMMYFUNCTION("""COMPUTED_VALUE"""),"#N/A")</f>
        <v>#N/A</v>
      </c>
      <c r="X1757" s="229" t="str">
        <f>IFERROR(__xludf.DUMMYFUNCTION("""COMPUTED_VALUE"""),"BELUM GOLIVE")</f>
        <v>BELUM GOLIVE</v>
      </c>
      <c r="Y1757" s="229"/>
      <c r="Z1757" s="229" t="str">
        <f>IFERROR(__xludf.DUMMYFUNCTION("""COMPUTED_VALUE"""),"#N/A")</f>
        <v>#N/A</v>
      </c>
      <c r="AA1757" s="229"/>
      <c r="AB1757" s="229"/>
      <c r="AC1757" s="229"/>
      <c r="AD1757" s="232"/>
      <c r="AE1757" s="233"/>
      <c r="AF1757" s="54"/>
      <c r="AG1757" s="54"/>
      <c r="AH1757" s="54"/>
      <c r="AI1757" s="55" t="str">
        <f t="shared" si="177"/>
        <v/>
      </c>
      <c r="AW1757" s="234"/>
      <c r="BP1757" s="11"/>
      <c r="BQ1757" s="11"/>
      <c r="BR1757" s="235"/>
      <c r="BV1757" s="158"/>
      <c r="BY1757" s="158"/>
      <c r="CB1757" s="158"/>
    </row>
    <row r="1758" ht="18.0" customHeight="1">
      <c r="A1758" s="222">
        <f>IFERROR(__xludf.DUMMYFUNCTION("""COMPUTED_VALUE"""),2026.0)</f>
        <v>2026</v>
      </c>
      <c r="B1758" s="221">
        <f>IFERROR(__xludf.DUMMYFUNCTION("""COMPUTED_VALUE"""),1.1281373E7)</f>
        <v>11281373</v>
      </c>
      <c r="C1758" s="222" t="str">
        <f>IFERROR(__xludf.DUMMYFUNCTION("""COMPUTED_VALUE"""),"SMB P2I1 MYIR-10505541400001 DIANI")</f>
        <v>SMB P2I1 MYIR-10505541400001 DIANI</v>
      </c>
      <c r="D1758" s="222" t="str">
        <f>IFERROR(__xludf.DUMMYFUNCTION("""COMPUTED_VALUE"""),"REGIONAL I")</f>
        <v>REGIONAL I</v>
      </c>
      <c r="E1758" s="222" t="str">
        <f>IFERROR(__xludf.DUMMYFUNCTION("""COMPUTED_VALUE"""),"SUMBAR")</f>
        <v>SUMBAR</v>
      </c>
      <c r="F1758" s="222" t="str">
        <f>IFERROR(__xludf.DUMMYFUNCTION("""COMPUTED_VALUE"""),"SUN")</f>
        <v>SUN</v>
      </c>
      <c r="G1758" s="222" t="str">
        <f>IFERROR(__xludf.DUMMYFUNCTION("""COMPUTED_VALUE"""),"SUMBAGTENG")</f>
        <v>SUMBAGTENG</v>
      </c>
      <c r="H1758" s="222" t="str">
        <f>IFERROR(__xludf.DUMMYFUNCTION("""COMPUTED_VALUE"""),"PADANG")</f>
        <v>PADANG</v>
      </c>
      <c r="I1758" s="222" t="str">
        <f>IFERROR(__xludf.DUMMYFUNCTION("""COMPUTED_VALUE"""),"Batch 2")</f>
        <v>Batch 2</v>
      </c>
      <c r="J1758" s="225">
        <f>IFERROR(__xludf.DUMMYFUNCTION("""COMPUTED_VALUE"""),4.0)</f>
        <v>4</v>
      </c>
      <c r="K1758" s="224">
        <f>IFERROR(__xludf.DUMMYFUNCTION("""COMPUTED_VALUE"""),32.0)</f>
        <v>32</v>
      </c>
      <c r="L1758" s="226">
        <f>IFERROR(__xludf.DUMMYFUNCTION("""COMPUTED_VALUE"""),423099.0)</f>
        <v>423099</v>
      </c>
      <c r="M1758" s="227">
        <f>IFERROR(__xludf.DUMMYFUNCTION("""COMPUTED_VALUE"""),1.3539148E7)</f>
        <v>13539148</v>
      </c>
      <c r="N1758" s="222" t="str">
        <f>IFERROR(__xludf.DUMMYFUNCTION("""COMPUTED_VALUE"""),"PT TIGA AKSES MANDIRI")</f>
        <v>PT TIGA AKSES MANDIRI</v>
      </c>
      <c r="O1758" s="222" t="str">
        <f>IFERROR(__xludf.DUMMYFUNCTION("""COMPUTED_VALUE"""),"0. DROP")</f>
        <v>0. DROP</v>
      </c>
      <c r="P1758" s="222" t="str">
        <f>IFERROR(__xludf.DUMMYFUNCTION("""COMPUTED_VALUE"""),"0.5 DROP TSEL - Acc ED TIF")</f>
        <v>0.5 DROP TSEL - Acc ED TIF</v>
      </c>
      <c r="Q1758" s="222" t="str">
        <f>IFERROR(__xludf.DUMMYFUNCTION("""COMPUTED_VALUE"""),"(06/03) Proses create PID  (05/03) proses aanwijziing plan selesai 07/03 (02/03) proses aanwijziing (26/01) DROP, permintaan tsel (tidak potensial) ")</f>
        <v>(06/03) Proses create PID  (05/03) proses aanwijziing plan selesai 07/03 (02/03) proses aanwijziing (26/01) DROP, permintaan tsel (tidak potensial) </v>
      </c>
      <c r="R1758" s="228"/>
      <c r="S1758" s="11"/>
      <c r="T1758" s="11"/>
      <c r="U1758" s="11" t="str">
        <f>IFERROR(__xludf.DUMMYFUNCTION("""COMPUTED_VALUE"""),"TIF-5667/2026  26KT03R158-0068")</f>
        <v>TIF-5667/2026  26KT03R158-0068</v>
      </c>
      <c r="V1758" s="229" t="str">
        <f>IFERROR(__xludf.DUMMYFUNCTION("""COMPUTED_VALUE"""),"YULIO NOVIKO")</f>
        <v>YULIO NOVIKO</v>
      </c>
      <c r="W1758" s="229" t="str">
        <f>IFERROR(__xludf.DUMMYFUNCTION("""COMPUTED_VALUE"""),"MELKO NARWADI")</f>
        <v>MELKO NARWADI</v>
      </c>
      <c r="X1758" s="229" t="str">
        <f>IFERROR(__xludf.DUMMYFUNCTION("""COMPUTED_VALUE"""),"BELUM GOLIVE")</f>
        <v>BELUM GOLIVE</v>
      </c>
      <c r="Y1758" s="229"/>
      <c r="Z1758" s="229" t="str">
        <f>IFERROR(__xludf.DUMMYFUNCTION("""COMPUTED_VALUE"""),"#N/A")</f>
        <v>#N/A</v>
      </c>
      <c r="AA1758" s="229"/>
      <c r="AB1758" s="229"/>
      <c r="AC1758" s="229"/>
      <c r="AD1758" s="232"/>
      <c r="AE1758" s="233"/>
      <c r="AF1758" s="54"/>
      <c r="AG1758" s="54"/>
      <c r="AH1758" s="54"/>
      <c r="AI1758" s="55" t="str">
        <f t="shared" si="177"/>
        <v/>
      </c>
      <c r="AW1758" s="234"/>
      <c r="BP1758" s="11"/>
      <c r="BQ1758" s="11"/>
      <c r="BR1758" s="235"/>
      <c r="BV1758" s="158"/>
      <c r="BY1758" s="158"/>
      <c r="CB1758" s="158"/>
    </row>
    <row r="1759" ht="18.0" customHeight="1">
      <c r="A1759" s="222">
        <f>IFERROR(__xludf.DUMMYFUNCTION("""COMPUTED_VALUE"""),2026.0)</f>
        <v>2026</v>
      </c>
      <c r="B1759" s="221">
        <f>IFERROR(__xludf.DUMMYFUNCTION("""COMPUTED_VALUE"""),1.2055173E7)</f>
        <v>12055173</v>
      </c>
      <c r="C1759" s="222" t="str">
        <f>IFERROR(__xludf.DUMMYFUNCTION("""COMPUTED_VALUE"""),"SMB-PT3-ODC-TLN-FD-SLK 98780-3LOP")</f>
        <v>SMB-PT3-ODC-TLN-FD-SLK 98780-3LOP</v>
      </c>
      <c r="D1759" s="222" t="str">
        <f>IFERROR(__xludf.DUMMYFUNCTION("""COMPUTED_VALUE"""),"REGIONAL I")</f>
        <v>REGIONAL I</v>
      </c>
      <c r="E1759" s="222" t="str">
        <f>IFERROR(__xludf.DUMMYFUNCTION("""COMPUTED_VALUE"""),"SUMBAR")</f>
        <v>SUMBAR</v>
      </c>
      <c r="F1759" s="222" t="str">
        <f>IFERROR(__xludf.DUMMYFUNCTION("""COMPUTED_VALUE"""),"TLN")</f>
        <v>TLN</v>
      </c>
      <c r="G1759" s="222" t="str">
        <f>IFERROR(__xludf.DUMMYFUNCTION("""COMPUTED_VALUE"""),"SUMBAGTENG")</f>
        <v>SUMBAGTENG</v>
      </c>
      <c r="H1759" s="222" t="str">
        <f>IFERROR(__xludf.DUMMYFUNCTION("""COMPUTED_VALUE"""),"PADANG")</f>
        <v>PADANG</v>
      </c>
      <c r="I1759" s="222" t="str">
        <f>IFERROR(__xludf.DUMMYFUNCTION("""COMPUTED_VALUE"""),"Batch 2")</f>
        <v>Batch 2</v>
      </c>
      <c r="J1759" s="225">
        <f>IFERROR(__xludf.DUMMYFUNCTION("""COMPUTED_VALUE"""),8.0)</f>
        <v>8</v>
      </c>
      <c r="K1759" s="224">
        <f>IFERROR(__xludf.DUMMYFUNCTION("""COMPUTED_VALUE"""),64.0)</f>
        <v>64</v>
      </c>
      <c r="L1759" s="226">
        <f>IFERROR(__xludf.DUMMYFUNCTION("""COMPUTED_VALUE"""),626500.0)</f>
        <v>626500</v>
      </c>
      <c r="M1759" s="227">
        <f>IFERROR(__xludf.DUMMYFUNCTION("""COMPUTED_VALUE"""),4.0095939E7)</f>
        <v>40095939</v>
      </c>
      <c r="N1759" s="222" t="str">
        <f>IFERROR(__xludf.DUMMYFUNCTION("""COMPUTED_VALUE"""),"PT TRI PENAMAS")</f>
        <v>PT TRI PENAMAS</v>
      </c>
      <c r="O1759" s="222" t="str">
        <f>IFERROR(__xludf.DUMMYFUNCTION("""COMPUTED_VALUE"""),"0. DROP")</f>
        <v>0. DROP</v>
      </c>
      <c r="P1759" s="222" t="str">
        <f>IFERROR(__xludf.DUMMYFUNCTION("""COMPUTED_VALUE"""),"0.3 Feeder Full")</f>
        <v>0.3 Feeder Full</v>
      </c>
      <c r="Q1759" s="222" t="str">
        <f>IFERROR(__xludf.DUMMYFUNCTION("""COMPUTED_VALUE"""),"(08/01) feeder TLN-FC Full, proses aanwijziing (07/01) Persiapan")</f>
        <v>(08/01) feeder TLN-FC Full, proses aanwijziing (07/01) Persiapan</v>
      </c>
      <c r="R1759" s="228"/>
      <c r="S1759" s="11"/>
      <c r="T1759" s="11"/>
      <c r="U1759" s="11"/>
      <c r="V1759" s="229"/>
      <c r="W1759" s="229"/>
      <c r="X1759" s="229" t="str">
        <f>IFERROR(__xludf.DUMMYFUNCTION("""COMPUTED_VALUE"""),"BELUM GOLIVE")</f>
        <v>BELUM GOLIVE</v>
      </c>
      <c r="Y1759" s="229"/>
      <c r="Z1759" s="229" t="str">
        <f>IFERROR(__xludf.DUMMYFUNCTION("""COMPUTED_VALUE"""),"#N/A")</f>
        <v>#N/A</v>
      </c>
      <c r="AA1759" s="229"/>
      <c r="AB1759" s="229"/>
      <c r="AC1759" s="229"/>
      <c r="AD1759" s="232"/>
      <c r="AE1759" s="233"/>
      <c r="AF1759" s="54" t="str">
        <f>IFERROR(__xludf.DUMMYFUNCTION("""COMPUTED_VALUE"""),"Draft BA DROP")</f>
        <v>Draft BA DROP</v>
      </c>
      <c r="AG1759" s="54"/>
      <c r="AH1759" s="54"/>
      <c r="AI1759" s="55" t="str">
        <f t="shared" si="177"/>
        <v/>
      </c>
      <c r="AW1759" s="234"/>
      <c r="BP1759" s="11"/>
      <c r="BQ1759" s="11"/>
      <c r="BR1759" s="235"/>
      <c r="BV1759" s="158"/>
      <c r="BY1759" s="158"/>
      <c r="CB1759" s="158"/>
    </row>
    <row r="1760" ht="18.0" customHeight="1">
      <c r="A1760" s="222">
        <f>IFERROR(__xludf.DUMMYFUNCTION("""COMPUTED_VALUE"""),2026.0)</f>
        <v>2026</v>
      </c>
      <c r="B1760" s="221">
        <f>IFERROR(__xludf.DUMMYFUNCTION("""COMPUTED_VALUE"""),1.2055359E7)</f>
        <v>12055359</v>
      </c>
      <c r="C1760" s="222" t="str">
        <f>IFERROR(__xludf.DUMMYFUNCTION("""COMPUTED_VALUE"""),"SMB-PT3-ODC-TLN-FC-SOLOK_26898-250-2LOP")</f>
        <v>SMB-PT3-ODC-TLN-FC-SOLOK_26898-250-2LOP</v>
      </c>
      <c r="D1760" s="222" t="str">
        <f>IFERROR(__xludf.DUMMYFUNCTION("""COMPUTED_VALUE"""),"REGIONAL I")</f>
        <v>REGIONAL I</v>
      </c>
      <c r="E1760" s="222" t="str">
        <f>IFERROR(__xludf.DUMMYFUNCTION("""COMPUTED_VALUE"""),"SUMBAR")</f>
        <v>SUMBAR</v>
      </c>
      <c r="F1760" s="222" t="str">
        <f>IFERROR(__xludf.DUMMYFUNCTION("""COMPUTED_VALUE"""),"TLN")</f>
        <v>TLN</v>
      </c>
      <c r="G1760" s="222" t="str">
        <f>IFERROR(__xludf.DUMMYFUNCTION("""COMPUTED_VALUE"""),"SUMBAGTENG")</f>
        <v>SUMBAGTENG</v>
      </c>
      <c r="H1760" s="222" t="str">
        <f>IFERROR(__xludf.DUMMYFUNCTION("""COMPUTED_VALUE"""),"PADANG")</f>
        <v>PADANG</v>
      </c>
      <c r="I1760" s="222" t="str">
        <f>IFERROR(__xludf.DUMMYFUNCTION("""COMPUTED_VALUE"""),"Batch 2")</f>
        <v>Batch 2</v>
      </c>
      <c r="J1760" s="225">
        <f>IFERROR(__xludf.DUMMYFUNCTION("""COMPUTED_VALUE"""),7.0)</f>
        <v>7</v>
      </c>
      <c r="K1760" s="224">
        <f>IFERROR(__xludf.DUMMYFUNCTION("""COMPUTED_VALUE"""),56.0)</f>
        <v>56</v>
      </c>
      <c r="L1760" s="226">
        <f>IFERROR(__xludf.DUMMYFUNCTION("""COMPUTED_VALUE"""),747076.0)</f>
        <v>747076</v>
      </c>
      <c r="M1760" s="227">
        <f>IFERROR(__xludf.DUMMYFUNCTION("""COMPUTED_VALUE"""),4.183622E7)</f>
        <v>41836220</v>
      </c>
      <c r="N1760" s="222" t="str">
        <f>IFERROR(__xludf.DUMMYFUNCTION("""COMPUTED_VALUE"""),"PT TRI PENAMAS")</f>
        <v>PT TRI PENAMAS</v>
      </c>
      <c r="O1760" s="222" t="str">
        <f>IFERROR(__xludf.DUMMYFUNCTION("""COMPUTED_VALUE"""),"0. DROP")</f>
        <v>0. DROP</v>
      </c>
      <c r="P1760" s="222" t="str">
        <f>IFERROR(__xludf.DUMMYFUNCTION("""COMPUTED_VALUE"""),"0.3 Feeder Full")</f>
        <v>0.3 Feeder Full</v>
      </c>
      <c r="Q1760" s="222" t="str">
        <f>IFERROR(__xludf.DUMMYFUNCTION("""COMPUTED_VALUE"""),"(08/01) feeder TLN-FA Full FULL 02/10 : proses aanwijziing (07/01) Persiapan")</f>
        <v>(08/01) feeder TLN-FA Full FULL 02/10 : proses aanwijziing (07/01) Persiapan</v>
      </c>
      <c r="R1760" s="228"/>
      <c r="S1760" s="11"/>
      <c r="T1760" s="11"/>
      <c r="U1760" s="11"/>
      <c r="V1760" s="229"/>
      <c r="W1760" s="229"/>
      <c r="X1760" s="229" t="str">
        <f>IFERROR(__xludf.DUMMYFUNCTION("""COMPUTED_VALUE"""),"BELUM GOLIVE")</f>
        <v>BELUM GOLIVE</v>
      </c>
      <c r="Y1760" s="229"/>
      <c r="Z1760" s="229" t="str">
        <f>IFERROR(__xludf.DUMMYFUNCTION("""COMPUTED_VALUE"""),"#N/A")</f>
        <v>#N/A</v>
      </c>
      <c r="AA1760" s="229"/>
      <c r="AB1760" s="229"/>
      <c r="AC1760" s="229"/>
      <c r="AD1760" s="232"/>
      <c r="AE1760" s="233"/>
      <c r="AF1760" s="54" t="str">
        <f>IFERROR(__xludf.DUMMYFUNCTION("""COMPUTED_VALUE"""),"Draft BA DROP")</f>
        <v>Draft BA DROP</v>
      </c>
      <c r="AG1760" s="54"/>
      <c r="AH1760" s="54"/>
      <c r="AI1760" s="55" t="str">
        <f t="shared" si="177"/>
        <v/>
      </c>
      <c r="AW1760" s="234"/>
      <c r="BP1760" s="11"/>
      <c r="BQ1760" s="11"/>
      <c r="BR1760" s="235"/>
      <c r="BV1760" s="158"/>
      <c r="BY1760" s="158"/>
      <c r="CB1760" s="158"/>
    </row>
    <row r="1761" ht="18.0" customHeight="1">
      <c r="A1761" s="222">
        <f>IFERROR(__xludf.DUMMYFUNCTION("""COMPUTED_VALUE"""),2026.0)</f>
        <v>2026</v>
      </c>
      <c r="B1761" s="221">
        <f>IFERROR(__xludf.DUMMYFUNCTION("""COMPUTED_VALUE"""),1.2055621E7)</f>
        <v>12055621</v>
      </c>
      <c r="C1761" s="222" t="str">
        <f>IFERROR(__xludf.DUMMYFUNCTION("""COMPUTED_VALUE"""),"SMB-PT3-ODC-TLN-FA-250_-439_2517")</f>
        <v>SMB-PT3-ODC-TLN-FA-250_-439_2517</v>
      </c>
      <c r="D1761" s="222" t="str">
        <f>IFERROR(__xludf.DUMMYFUNCTION("""COMPUTED_VALUE"""),"REGIONAL I")</f>
        <v>REGIONAL I</v>
      </c>
      <c r="E1761" s="222" t="str">
        <f>IFERROR(__xludf.DUMMYFUNCTION("""COMPUTED_VALUE"""),"SUMBAR")</f>
        <v>SUMBAR</v>
      </c>
      <c r="F1761" s="222" t="str">
        <f>IFERROR(__xludf.DUMMYFUNCTION("""COMPUTED_VALUE"""),"TLN")</f>
        <v>TLN</v>
      </c>
      <c r="G1761" s="222" t="str">
        <f>IFERROR(__xludf.DUMMYFUNCTION("""COMPUTED_VALUE"""),"SUMBAGTENG")</f>
        <v>SUMBAGTENG</v>
      </c>
      <c r="H1761" s="222" t="str">
        <f>IFERROR(__xludf.DUMMYFUNCTION("""COMPUTED_VALUE"""),"PADANG")</f>
        <v>PADANG</v>
      </c>
      <c r="I1761" s="222" t="str">
        <f>IFERROR(__xludf.DUMMYFUNCTION("""COMPUTED_VALUE"""),"Batch 2")</f>
        <v>Batch 2</v>
      </c>
      <c r="J1761" s="225">
        <f>IFERROR(__xludf.DUMMYFUNCTION("""COMPUTED_VALUE"""),2.0)</f>
        <v>2</v>
      </c>
      <c r="K1761" s="224">
        <f>IFERROR(__xludf.DUMMYFUNCTION("""COMPUTED_VALUE"""),16.0)</f>
        <v>16</v>
      </c>
      <c r="L1761" s="226">
        <f>IFERROR(__xludf.DUMMYFUNCTION("""COMPUTED_VALUE"""),500445.0)</f>
        <v>500445</v>
      </c>
      <c r="M1761" s="227">
        <f>IFERROR(__xludf.DUMMYFUNCTION("""COMPUTED_VALUE"""),8007119.0)</f>
        <v>8007119</v>
      </c>
      <c r="N1761" s="222" t="str">
        <f>IFERROR(__xludf.DUMMYFUNCTION("""COMPUTED_VALUE"""),"PT TRI PENAMAS")</f>
        <v>PT TRI PENAMAS</v>
      </c>
      <c r="O1761" s="222" t="str">
        <f>IFERROR(__xludf.DUMMYFUNCTION("""COMPUTED_VALUE"""),"0. DROP")</f>
        <v>0. DROP</v>
      </c>
      <c r="P1761" s="222" t="str">
        <f>IFERROR(__xludf.DUMMYFUNCTION("""COMPUTED_VALUE"""),"0.3 Feeder Full")</f>
        <v>0.3 Feeder Full</v>
      </c>
      <c r="Q1761" s="222" t="str">
        <f>IFERROR(__xludf.DUMMYFUNCTION("""COMPUTED_VALUE"""),"(08/01) feeder TLN-FC Full  02/10 : proses aanwijziing (07/01) Persiapan")</f>
        <v>(08/01) feeder TLN-FC Full  02/10 : proses aanwijziing (07/01) Persiapan</v>
      </c>
      <c r="R1761" s="228"/>
      <c r="S1761" s="11"/>
      <c r="T1761" s="11"/>
      <c r="U1761" s="11"/>
      <c r="V1761" s="229"/>
      <c r="W1761" s="229"/>
      <c r="X1761" s="229" t="str">
        <f>IFERROR(__xludf.DUMMYFUNCTION("""COMPUTED_VALUE"""),"BELUM GOLIVE")</f>
        <v>BELUM GOLIVE</v>
      </c>
      <c r="Y1761" s="229"/>
      <c r="Z1761" s="229" t="str">
        <f>IFERROR(__xludf.DUMMYFUNCTION("""COMPUTED_VALUE"""),"#N/A")</f>
        <v>#N/A</v>
      </c>
      <c r="AA1761" s="229"/>
      <c r="AB1761" s="229"/>
      <c r="AC1761" s="229"/>
      <c r="AD1761" s="232"/>
      <c r="AE1761" s="233"/>
      <c r="AF1761" s="54" t="str">
        <f>IFERROR(__xludf.DUMMYFUNCTION("""COMPUTED_VALUE"""),"Draft BA DROP")</f>
        <v>Draft BA DROP</v>
      </c>
      <c r="AG1761" s="54"/>
      <c r="AH1761" s="54"/>
      <c r="AI1761" s="55" t="str">
        <f t="shared" si="177"/>
        <v/>
      </c>
      <c r="AW1761" s="234"/>
      <c r="BP1761" s="11"/>
      <c r="BQ1761" s="11"/>
      <c r="BR1761" s="235"/>
      <c r="BV1761" s="158"/>
      <c r="BY1761" s="158"/>
      <c r="CB1761" s="158"/>
    </row>
    <row r="1762" ht="18.0" customHeight="1">
      <c r="A1762" s="222">
        <f>IFERROR(__xludf.DUMMYFUNCTION("""COMPUTED_VALUE"""),2026.0)</f>
        <v>2026</v>
      </c>
      <c r="B1762" s="221">
        <f>IFERROR(__xludf.DUMMYFUNCTION("""COMPUTED_VALUE"""),1.209123E7)</f>
        <v>12091230</v>
      </c>
      <c r="C1762" s="222" t="str">
        <f>IFERROR(__xludf.DUMMYFUNCTION("""COMPUTED_VALUE"""),"SMB-PT3-ODC-TLN-FC-SOLOK_63462")</f>
        <v>SMB-PT3-ODC-TLN-FC-SOLOK_63462</v>
      </c>
      <c r="D1762" s="222" t="str">
        <f>IFERROR(__xludf.DUMMYFUNCTION("""COMPUTED_VALUE"""),"REGIONAL I")</f>
        <v>REGIONAL I</v>
      </c>
      <c r="E1762" s="222" t="str">
        <f>IFERROR(__xludf.DUMMYFUNCTION("""COMPUTED_VALUE"""),"SUMBAR")</f>
        <v>SUMBAR</v>
      </c>
      <c r="F1762" s="222" t="str">
        <f>IFERROR(__xludf.DUMMYFUNCTION("""COMPUTED_VALUE"""),"TLN")</f>
        <v>TLN</v>
      </c>
      <c r="G1762" s="222" t="str">
        <f>IFERROR(__xludf.DUMMYFUNCTION("""COMPUTED_VALUE"""),"SUMBAGTENG")</f>
        <v>SUMBAGTENG</v>
      </c>
      <c r="H1762" s="222" t="str">
        <f>IFERROR(__xludf.DUMMYFUNCTION("""COMPUTED_VALUE"""),"PADANG")</f>
        <v>PADANG</v>
      </c>
      <c r="I1762" s="222" t="str">
        <f>IFERROR(__xludf.DUMMYFUNCTION("""COMPUTED_VALUE"""),"Batch 2")</f>
        <v>Batch 2</v>
      </c>
      <c r="J1762" s="225">
        <f>IFERROR(__xludf.DUMMYFUNCTION("""COMPUTED_VALUE"""),3.0)</f>
        <v>3</v>
      </c>
      <c r="K1762" s="224">
        <f>IFERROR(__xludf.DUMMYFUNCTION("""COMPUTED_VALUE"""),24.0)</f>
        <v>24</v>
      </c>
      <c r="L1762" s="226">
        <f>IFERROR(__xludf.DUMMYFUNCTION("""COMPUTED_VALUE"""),814892.0)</f>
        <v>814892</v>
      </c>
      <c r="M1762" s="227">
        <f>IFERROR(__xludf.DUMMYFUNCTION("""COMPUTED_VALUE"""),1.9557402E7)</f>
        <v>19557402</v>
      </c>
      <c r="N1762" s="222" t="str">
        <f>IFERROR(__xludf.DUMMYFUNCTION("""COMPUTED_VALUE"""),"PT TRI PENAMAS")</f>
        <v>PT TRI PENAMAS</v>
      </c>
      <c r="O1762" s="222" t="str">
        <f>IFERROR(__xludf.DUMMYFUNCTION("""COMPUTED_VALUE"""),"0. DROP")</f>
        <v>0. DROP</v>
      </c>
      <c r="P1762" s="222" t="str">
        <f>IFERROR(__xludf.DUMMYFUNCTION("""COMPUTED_VALUE"""),"0.3 Feeder Full")</f>
        <v>0.3 Feeder Full</v>
      </c>
      <c r="Q1762" s="222" t="str">
        <f>IFERROR(__xludf.DUMMYFUNCTION("""COMPUTED_VALUE"""),"(27/01)Kendala feeder TLN-FC Full")</f>
        <v>(27/01)Kendala feeder TLN-FC Full</v>
      </c>
      <c r="R1762" s="228"/>
      <c r="S1762" s="11"/>
      <c r="T1762" s="11"/>
      <c r="U1762" s="11"/>
      <c r="V1762" s="229"/>
      <c r="W1762" s="229"/>
      <c r="X1762" s="229" t="str">
        <f>IFERROR(__xludf.DUMMYFUNCTION("""COMPUTED_VALUE"""),"BELUM GOLIVE")</f>
        <v>BELUM GOLIVE</v>
      </c>
      <c r="Y1762" s="229"/>
      <c r="Z1762" s="229" t="str">
        <f>IFERROR(__xludf.DUMMYFUNCTION("""COMPUTED_VALUE"""),"#N/A")</f>
        <v>#N/A</v>
      </c>
      <c r="AA1762" s="229"/>
      <c r="AB1762" s="229"/>
      <c r="AC1762" s="229"/>
      <c r="AD1762" s="232"/>
      <c r="AE1762" s="233"/>
      <c r="AF1762" s="54" t="str">
        <f>IFERROR(__xludf.DUMMYFUNCTION("""COMPUTED_VALUE"""),"Draft BA DROP")</f>
        <v>Draft BA DROP</v>
      </c>
      <c r="AG1762" s="54"/>
      <c r="AH1762" s="54"/>
      <c r="AI1762" s="55" t="str">
        <f t="shared" si="177"/>
        <v/>
      </c>
      <c r="AW1762" s="234"/>
      <c r="BP1762" s="11"/>
      <c r="BQ1762" s="11"/>
      <c r="BR1762" s="235"/>
      <c r="BV1762" s="158"/>
      <c r="BY1762" s="158"/>
      <c r="CB1762" s="158"/>
    </row>
    <row r="1763" ht="18.0" customHeight="1">
      <c r="A1763" s="222">
        <f>IFERROR(__xludf.DUMMYFUNCTION("""COMPUTED_VALUE"""),2026.0)</f>
        <v>2026</v>
      </c>
      <c r="B1763" s="221">
        <f>IFERROR(__xludf.DUMMYFUNCTION("""COMPUTED_VALUE"""),1.225836E7)</f>
        <v>12258360</v>
      </c>
      <c r="C1763" s="222" t="str">
        <f>IFERROR(__xludf.DUMMYFUNCTION("""COMPUTED_VALUE"""),"SMB P4I3 GRAND ALANA VIEW 3")</f>
        <v>SMB P4I3 GRAND ALANA VIEW 3</v>
      </c>
      <c r="D1763" s="222" t="str">
        <f>IFERROR(__xludf.DUMMYFUNCTION("""COMPUTED_VALUE"""),"REGIONAL I")</f>
        <v>REGIONAL I</v>
      </c>
      <c r="E1763" s="222" t="str">
        <f>IFERROR(__xludf.DUMMYFUNCTION("""COMPUTED_VALUE"""),"SUMBAR")</f>
        <v>SUMBAR</v>
      </c>
      <c r="F1763" s="222" t="str">
        <f>IFERROR(__xludf.DUMMYFUNCTION("""COMPUTED_VALUE"""),"PRS")</f>
        <v>PRS</v>
      </c>
      <c r="G1763" s="222" t="str">
        <f>IFERROR(__xludf.DUMMYFUNCTION("""COMPUTED_VALUE"""),"SUMBAGTENG")</f>
        <v>SUMBAGTENG</v>
      </c>
      <c r="H1763" s="222" t="str">
        <f>IFERROR(__xludf.DUMMYFUNCTION("""COMPUTED_VALUE"""),"BUKIT TINGGI")</f>
        <v>BUKIT TINGGI</v>
      </c>
      <c r="I1763" s="222" t="str">
        <f>IFERROR(__xludf.DUMMYFUNCTION("""COMPUTED_VALUE"""),"Batch 2")</f>
        <v>Batch 2</v>
      </c>
      <c r="J1763" s="225">
        <f>IFERROR(__xludf.DUMMYFUNCTION("""COMPUTED_VALUE"""),3.0)</f>
        <v>3</v>
      </c>
      <c r="K1763" s="224">
        <f>IFERROR(__xludf.DUMMYFUNCTION("""COMPUTED_VALUE"""),24.0)</f>
        <v>24</v>
      </c>
      <c r="L1763" s="226">
        <f>IFERROR(__xludf.DUMMYFUNCTION("""COMPUTED_VALUE"""),422766.0)</f>
        <v>422766</v>
      </c>
      <c r="M1763" s="227">
        <f>IFERROR(__xludf.DUMMYFUNCTION("""COMPUTED_VALUE"""),1.0146375E7)</f>
        <v>10146375</v>
      </c>
      <c r="N1763" s="222" t="str">
        <f>IFERROR(__xludf.DUMMYFUNCTION("""COMPUTED_VALUE"""),"PT PUTRI JAYA AKSES")</f>
        <v>PT PUTRI JAYA AKSES</v>
      </c>
      <c r="O1763" s="222" t="str">
        <f>IFERROR(__xludf.DUMMYFUNCTION("""COMPUTED_VALUE"""),"0. DROP")</f>
        <v>0. DROP</v>
      </c>
      <c r="P1763" s="222" t="str">
        <f>IFERROR(__xludf.DUMMYFUNCTION("""COMPUTED_VALUE"""),"0.3 Feeder Full")</f>
        <v>0.3 Feeder Full</v>
      </c>
      <c r="Q1763" s="222" t="str">
        <f>IFERROR(__xludf.DUMMYFUNCTION("""COMPUTED_VALUE"""),"(26/01) Kendala feederPRS-FA FULL")</f>
        <v>(26/01) Kendala feederPRS-FA FULL</v>
      </c>
      <c r="R1763" s="228"/>
      <c r="S1763" s="11"/>
      <c r="T1763" s="11"/>
      <c r="U1763" s="11"/>
      <c r="V1763" s="229"/>
      <c r="W1763" s="229"/>
      <c r="X1763" s="229" t="str">
        <f>IFERROR(__xludf.DUMMYFUNCTION("""COMPUTED_VALUE"""),"BELUM GOLIVE")</f>
        <v>BELUM GOLIVE</v>
      </c>
      <c r="Y1763" s="229"/>
      <c r="Z1763" s="229" t="str">
        <f>IFERROR(__xludf.DUMMYFUNCTION("""COMPUTED_VALUE"""),"#N/A")</f>
        <v>#N/A</v>
      </c>
      <c r="AA1763" s="229"/>
      <c r="AB1763" s="229"/>
      <c r="AC1763" s="229"/>
      <c r="AD1763" s="232"/>
      <c r="AE1763" s="233"/>
      <c r="AF1763" s="54" t="str">
        <f>IFERROR(__xludf.DUMMYFUNCTION("""COMPUTED_VALUE"""),"Draft BA DROP")</f>
        <v>Draft BA DROP</v>
      </c>
      <c r="AG1763" s="54"/>
      <c r="AH1763" s="54"/>
      <c r="AI1763" s="55" t="str">
        <f t="shared" si="177"/>
        <v/>
      </c>
      <c r="AW1763" s="234"/>
      <c r="BP1763" s="11"/>
      <c r="BQ1763" s="11"/>
      <c r="BR1763" s="235"/>
      <c r="BV1763" s="158"/>
      <c r="BY1763" s="158"/>
      <c r="CB1763" s="158"/>
    </row>
    <row r="1764" ht="18.0" customHeight="1">
      <c r="A1764" s="222">
        <f>IFERROR(__xludf.DUMMYFUNCTION("""COMPUTED_VALUE"""),2026.0)</f>
        <v>2026</v>
      </c>
      <c r="B1764" s="221">
        <f>IFERROR(__xludf.DUMMYFUNCTION("""COMPUTED_VALUE"""),1.1086275E7)</f>
        <v>11086275</v>
      </c>
      <c r="C1764" s="222" t="str">
        <f>IFERROR(__xludf.DUMMYFUNCTION("""COMPUTED_VALUE"""),"SMB P7I9 STTF PT2 Jorong Gando SLA")</f>
        <v>SMB P7I9 STTF PT2 Jorong Gando SLA</v>
      </c>
      <c r="D1764" s="222" t="str">
        <f>IFERROR(__xludf.DUMMYFUNCTION("""COMPUTED_VALUE"""),"REGIONAL I")</f>
        <v>REGIONAL I</v>
      </c>
      <c r="E1764" s="222" t="str">
        <f>IFERROR(__xludf.DUMMYFUNCTION("""COMPUTED_VALUE"""),"SUMBAR")</f>
        <v>SUMBAR</v>
      </c>
      <c r="F1764" s="222" t="str">
        <f>IFERROR(__xludf.DUMMYFUNCTION("""COMPUTED_VALUE"""),"SLA")</f>
        <v>SLA</v>
      </c>
      <c r="G1764" s="222" t="str">
        <f>IFERROR(__xludf.DUMMYFUNCTION("""COMPUTED_VALUE"""),"SUMBAGTENG")</f>
        <v>SUMBAGTENG</v>
      </c>
      <c r="H1764" s="222" t="str">
        <f>IFERROR(__xludf.DUMMYFUNCTION("""COMPUTED_VALUE"""),"PADANG")</f>
        <v>PADANG</v>
      </c>
      <c r="I1764" s="222" t="str">
        <f>IFERROR(__xludf.DUMMYFUNCTION("""COMPUTED_VALUE"""),"Batch 2")</f>
        <v>Batch 2</v>
      </c>
      <c r="J1764" s="225">
        <f>IFERROR(__xludf.DUMMYFUNCTION("""COMPUTED_VALUE"""),1.0)</f>
        <v>1</v>
      </c>
      <c r="K1764" s="224">
        <f>IFERROR(__xludf.DUMMYFUNCTION("""COMPUTED_VALUE"""),8.0)</f>
        <v>8</v>
      </c>
      <c r="L1764" s="226">
        <f>IFERROR(__xludf.DUMMYFUNCTION("""COMPUTED_VALUE"""),253090.0)</f>
        <v>253090</v>
      </c>
      <c r="M1764" s="227">
        <f>IFERROR(__xludf.DUMMYFUNCTION("""COMPUTED_VALUE"""),2024716.0)</f>
        <v>2024716</v>
      </c>
      <c r="N1764" s="222" t="str">
        <f>IFERROR(__xludf.DUMMYFUNCTION("""COMPUTED_VALUE"""),"PT TRI PENAMAS")</f>
        <v>PT TRI PENAMAS</v>
      </c>
      <c r="O1764" s="222" t="str">
        <f>IFERROR(__xludf.DUMMYFUNCTION("""COMPUTED_VALUE"""),"0. DROP")</f>
        <v>0. DROP</v>
      </c>
      <c r="P1764" s="222" t="str">
        <f>IFERROR(__xludf.DUMMYFUNCTION("""COMPUTED_VALUE"""),"0.1 Double Order")</f>
        <v>0.1 Double Order</v>
      </c>
      <c r="Q1764" s="222" t="str">
        <f>IFERROR(__xludf.DUMMYFUNCTION("""COMPUTED_VALUE"""),"(10/04) Proses aanwijziing , LOP HOLD FEEDER FULL ACC GO (26/01) Kendala feeder SLA-FA FULL")</f>
        <v>(10/04) Proses aanwijziing , LOP HOLD FEEDER FULL ACC GO (26/01) Kendala feeder SLA-FA FULL</v>
      </c>
      <c r="R1764" s="228"/>
      <c r="S1764" s="11"/>
      <c r="T1764" s="11"/>
      <c r="U1764" s="11"/>
      <c r="V1764" s="229" t="str">
        <f>IFERROR(__xludf.DUMMYFUNCTION("""COMPUTED_VALUE"""),"FABIO RAHMAN")</f>
        <v>FABIO RAHMAN</v>
      </c>
      <c r="W1764" s="229" t="str">
        <f>IFERROR(__xludf.DUMMYFUNCTION("""COMPUTED_VALUE"""),"MELKO NARWADI")</f>
        <v>MELKO NARWADI</v>
      </c>
      <c r="X1764" s="229" t="str">
        <f>IFERROR(__xludf.DUMMYFUNCTION("""COMPUTED_VALUE"""),"BELUM GOLIVE")</f>
        <v>BELUM GOLIVE</v>
      </c>
      <c r="Y1764" s="229"/>
      <c r="Z1764" s="229" t="str">
        <f>IFERROR(__xludf.DUMMYFUNCTION("""COMPUTED_VALUE"""),"#N/A")</f>
        <v>#N/A</v>
      </c>
      <c r="AA1764" s="229"/>
      <c r="AB1764" s="229"/>
      <c r="AC1764" s="229"/>
      <c r="AD1764" s="232"/>
      <c r="AE1764" s="233"/>
      <c r="AF1764" s="54"/>
      <c r="AG1764" s="54"/>
      <c r="AH1764" s="54"/>
      <c r="AI1764" s="55" t="str">
        <f t="shared" si="177"/>
        <v/>
      </c>
      <c r="AW1764" s="234"/>
      <c r="BP1764" s="11"/>
      <c r="BQ1764" s="11"/>
      <c r="BR1764" s="235"/>
      <c r="BV1764" s="158"/>
      <c r="BY1764" s="158"/>
      <c r="CB1764" s="158"/>
    </row>
    <row r="1765" ht="18.0" hidden="1" customHeight="1">
      <c r="A1765" s="222">
        <f>IFERROR(__xludf.DUMMYFUNCTION("""COMPUTED_VALUE"""),2026.0)</f>
        <v>2026</v>
      </c>
      <c r="B1765" s="221">
        <f>IFERROR(__xludf.DUMMYFUNCTION("""COMPUTED_VALUE"""),1.2308113E7)</f>
        <v>12308113</v>
      </c>
      <c r="C1765" s="222" t="str">
        <f>IFERROR(__xludf.DUMMYFUNCTION("""COMPUTED_VALUE"""),"SMU PSP-FAZ D05 CLUST TANOBATO")</f>
        <v>SMU PSP-FAZ D05 CLUST TANOBATO</v>
      </c>
      <c r="D1765" s="222" t="str">
        <f>IFERROR(__xludf.DUMMYFUNCTION("""COMPUTED_VALUE"""),"REGIONAL I")</f>
        <v>REGIONAL I</v>
      </c>
      <c r="E1765" s="222" t="str">
        <f>IFERROR(__xludf.DUMMYFUNCTION("""COMPUTED_VALUE"""),"SUMUT")</f>
        <v>SUMUT</v>
      </c>
      <c r="F1765" s="222" t="str">
        <f>IFERROR(__xludf.DUMMYFUNCTION("""COMPUTED_VALUE"""),"PSP")</f>
        <v>PSP</v>
      </c>
      <c r="G1765" s="222" t="str">
        <f>IFERROR(__xludf.DUMMYFUNCTION("""COMPUTED_VALUE"""),"SUMBAGUT")</f>
        <v>SUMBAGUT</v>
      </c>
      <c r="H1765" s="222" t="str">
        <f>IFERROR(__xludf.DUMMYFUNCTION("""COMPUTED_VALUE"""),"PADANG SIDEMPUAN")</f>
        <v>PADANG SIDEMPUAN</v>
      </c>
      <c r="I1765" s="222" t="str">
        <f>IFERROR(__xludf.DUMMYFUNCTION("""COMPUTED_VALUE"""),"Batch 2")</f>
        <v>Batch 2</v>
      </c>
      <c r="J1765" s="225">
        <f>IFERROR(__xludf.DUMMYFUNCTION("""COMPUTED_VALUE"""),4.0)</f>
        <v>4</v>
      </c>
      <c r="K1765" s="224">
        <f>IFERROR(__xludf.DUMMYFUNCTION("""COMPUTED_VALUE"""),32.0)</f>
        <v>32</v>
      </c>
      <c r="L1765" s="226">
        <f>IFERROR(__xludf.DUMMYFUNCTION("""COMPUTED_VALUE"""),416983.0)</f>
        <v>416983</v>
      </c>
      <c r="M1765" s="227">
        <f>IFERROR(__xludf.DUMMYFUNCTION("""COMPUTED_VALUE"""),1.3343443E7)</f>
        <v>13343443</v>
      </c>
      <c r="N1765" s="222" t="str">
        <f>IFERROR(__xludf.DUMMYFUNCTION("""COMPUTED_VALUE"""),"PT NASRI SEJAHTERA UTAMA")</f>
        <v>PT NASRI SEJAHTERA UTAMA</v>
      </c>
      <c r="O1765" s="222" t="str">
        <f>IFERROR(__xludf.DUMMYFUNCTION("""COMPUTED_VALUE"""),"7. GOLIVE")</f>
        <v>7. GOLIVE</v>
      </c>
      <c r="P1765" s="222" t="str">
        <f>IFERROR(__xludf.DUMMYFUNCTION("""COMPUTED_VALUE"""),"7.2 Golive Full / OA / DONE OTB")</f>
        <v>7.2 Golive Full / OA / DONE OTB</v>
      </c>
      <c r="Q1765" s="222" t="str">
        <f>IFERROR(__xludf.DUMMYFUNCTION("""COMPUTED_VALUE"""),"Golive, 11/3 validasi sdi, 10/3 sisa instal dan termiansi 4 odp, 6/3 proses input alista, 5/3 sudah request material, proses input alista, 4/3  menunggu req matrial, 3/3 Hasil Diskusi ED Area- Region dan TA, pekerjaan Lanjut di eksekusi  2/3 kenaikan nila"&amp;"i di atas 10 %,  27/2 proses req pengantar izin desa, 25/2 plan submit boq kml survey besok 26 feb, 24/2 menunggu boq kml survey, 23/2 menunggu boq kml survey,, 20/2 prepair team untuk suvrey kelokasi, 19/2 Mandor swakelola,  16/2 Mandor swakelola (pengal"&amp;"ihan dari tripola),  13/2 Mandor swakelola, 12/2 Mandor swakelola, 11/2 Mandor swakelola, 10/2 Mandor swakelola, 9/2 Mandor swakelola, 6/2 Mandor swakelola, (pengalihan dari tripola),  5/2 Mandor swakelola, 4/2 Mandor swakelola, (pengalihan dari tripola),"&amp;"  3/2 Mandor swakelola, (pengalihan dari tripola),  2/2 Mandor swakelola, (pengalihan dari tripola),  1/2 Mandor swakelola, (pengalihan dari tripola), 30/1 Mandor swakelola, (pengalihan dari tripola), 28/1 penunjukan mitra ( peralihan dari mitra tripola),"&amp;" 27/1 proses penunjukan mitra ( mitra tripola menolak untuk lanjut), 26/1 menunggu req matrial ,23/1 proses req kebutuhan material, 22/1 proses req kebutuhan material,  21/1 proses req kebutuhan material, 20/1 proses req kebutuhan material, 19/1 proses re"&amp;"q kebutuhan material, 15/1 proses req kebutuhan material,14/01 plan survey besok tgl 14/01, 13/01 plan survey besok tgl 14/01, (07/01) Persiapan")</f>
        <v>Golive, 11/3 validasi sdi, 10/3 sisa instal dan termiansi 4 odp, 6/3 proses input alista, 5/3 sudah request material, proses input alista, 4/3  menunggu req matrial, 3/3 Hasil Diskusi ED Area- Region dan TA, pekerjaan Lanjut di eksekusi  2/3 kenaikan nilai di atas 10 %,  27/2 proses req pengantar izin desa, 25/2 plan submit boq kml survey besok 26 feb, 24/2 menunggu boq kml survey, 23/2 menunggu boq kml survey,, 20/2 prepair team untuk suvrey kelokasi, 19/2 Mandor swakelola,  16/2 Mandor swakelola (pengalihan dari tripola),  13/2 Mandor swakelola, 12/2 Mandor swakelola, 11/2 Mandor swakelola, 10/2 Mandor swakelola, 9/2 Mandor swakelola, 6/2 Mandor swakelola, (pengalihan dari tripola),  5/2 Mandor swakelola, 4/2 Mandor swakelola, (pengalihan dari tripola),  3/2 Mandor swakelola, (pengalihan dari tripola),  2/2 Mandor swakelola, (pengalihan dari tripola),  1/2 Mandor swakelola, (pengalihan dari tripola), 30/1 Mandor swakelola, (pengalihan dari tripola), 28/1 penunjukan mitra ( peralihan dari mitra tripola), 27/1 proses penunjukan mitra ( mitra tripola menolak untuk lanjut), 26/1 menunggu req matrial ,23/1 proses req kebutuhan material, 22/1 proses req kebutuhan material,  21/1 proses req kebutuhan material, 20/1 proses req kebutuhan material, 19/1 proses req kebutuhan material, 15/1 proses req kebutuhan material,14/01 plan survey besok tgl 14/01, 13/01 plan survey besok tgl 14/01, (07/01) Persiapan</v>
      </c>
      <c r="R1765" s="228">
        <f>IFERROR(__xludf.DUMMYFUNCTION("""COMPUTED_VALUE"""),46093.0)</f>
        <v>46093</v>
      </c>
      <c r="S1765" s="11" t="str">
        <f>IFERROR(__xludf.DUMMYFUNCTION("""COMPUTED_VALUE"""),"MAR")</f>
        <v>MAR</v>
      </c>
      <c r="T1765" s="11"/>
      <c r="U1765" s="11" t="str">
        <f>IFERROR(__xludf.DUMMYFUNCTION("""COMPUTED_VALUE"""),"W03-1906/2025")</f>
        <v>W03-1906/2025</v>
      </c>
      <c r="V1765" s="229"/>
      <c r="W1765" s="229"/>
      <c r="X1765" s="229" t="str">
        <f>IFERROR(__xludf.DUMMYFUNCTION("""COMPUTED_VALUE"""),"GOLIVE")</f>
        <v>GOLIVE</v>
      </c>
      <c r="Y1765" s="229" t="str">
        <f>IFERROR(__xludf.DUMMYFUNCTION("""COMPUTED_VALUE"""),"DONE")</f>
        <v>DONE</v>
      </c>
      <c r="Z1765" s="229" t="str">
        <f>IFERROR(__xludf.DUMMYFUNCTION("""COMPUTED_VALUE"""),"#N/A")</f>
        <v>#N/A</v>
      </c>
      <c r="AA1765" s="229">
        <f>IFERROR(__xludf.DUMMYFUNCTION("""COMPUTED_VALUE"""),4.0)</f>
        <v>4</v>
      </c>
      <c r="AB1765" s="229"/>
      <c r="AC1765" s="229" t="str">
        <f>IFERROR(__xludf.DUMMYFUNCTION("""COMPUTED_VALUE"""),"9201169#9201174")</f>
        <v>9201169#9201174</v>
      </c>
      <c r="AD1765" s="232">
        <f>IFERROR(__xludf.DUMMYFUNCTION("""COMPUTED_VALUE"""),32.0)</f>
        <v>32</v>
      </c>
      <c r="AE1765" s="233">
        <f>IFERROR(__xludf.DUMMYFUNCTION("""COMPUTED_VALUE"""),46093.0)</f>
        <v>46093</v>
      </c>
      <c r="AF1765" s="54"/>
      <c r="AG1765" s="54"/>
      <c r="AH1765" s="54">
        <v>46093.0</v>
      </c>
      <c r="AI1765" s="55">
        <f t="shared" si="177"/>
        <v>0</v>
      </c>
      <c r="AW1765" s="234"/>
      <c r="BP1765" s="11"/>
      <c r="BQ1765" s="11"/>
      <c r="BR1765" s="235"/>
      <c r="BV1765" s="158"/>
      <c r="BY1765" s="158"/>
      <c r="CB1765" s="158"/>
    </row>
    <row r="1766" ht="18.0" customHeight="1">
      <c r="A1766" s="222">
        <f>IFERROR(__xludf.DUMMYFUNCTION("""COMPUTED_VALUE"""),2026.0)</f>
        <v>2026</v>
      </c>
      <c r="B1766" s="221">
        <f>IFERROR(__xludf.DUMMYFUNCTION("""COMPUTED_VALUE"""),1.2438032E7)</f>
        <v>12438032</v>
      </c>
      <c r="C1766" s="222" t="str">
        <f>IFERROR(__xludf.DUMMYFUNCTION("""COMPUTED_VALUE"""),"RDR JPP PT3 KOTA PEKANBARU_73177")</f>
        <v>RDR JPP PT3 KOTA PEKANBARU_73177</v>
      </c>
      <c r="D1766" s="222" t="str">
        <f>IFERROR(__xludf.DUMMYFUNCTION("""COMPUTED_VALUE"""),"REGIONAL I")</f>
        <v>REGIONAL I</v>
      </c>
      <c r="E1766" s="222" t="str">
        <f>IFERROR(__xludf.DUMMYFUNCTION("""COMPUTED_VALUE"""),"RIDAR")</f>
        <v>RIDAR</v>
      </c>
      <c r="F1766" s="222" t="str">
        <f>IFERROR(__xludf.DUMMYFUNCTION("""COMPUTED_VALUE"""),"PBB")</f>
        <v>PBB</v>
      </c>
      <c r="G1766" s="222" t="str">
        <f>IFERROR(__xludf.DUMMYFUNCTION("""COMPUTED_VALUE"""),"SUMBAGTENG")</f>
        <v>SUMBAGTENG</v>
      </c>
      <c r="H1766" s="222" t="str">
        <f>IFERROR(__xludf.DUMMYFUNCTION("""COMPUTED_VALUE"""),"PEKANBARU")</f>
        <v>PEKANBARU</v>
      </c>
      <c r="I1766" s="222" t="str">
        <f>IFERROR(__xludf.DUMMYFUNCTION("""COMPUTED_VALUE"""),"Batch 2")</f>
        <v>Batch 2</v>
      </c>
      <c r="J1766" s="225">
        <f>IFERROR(__xludf.DUMMYFUNCTION("""COMPUTED_VALUE"""),10.0)</f>
        <v>10</v>
      </c>
      <c r="K1766" s="224">
        <f>IFERROR(__xludf.DUMMYFUNCTION("""COMPUTED_VALUE"""),80.0)</f>
        <v>80</v>
      </c>
      <c r="L1766" s="226">
        <f>IFERROR(__xludf.DUMMYFUNCTION("""COMPUTED_VALUE"""),413340.0)</f>
        <v>413340</v>
      </c>
      <c r="M1766" s="227">
        <f>IFERROR(__xludf.DUMMYFUNCTION("""COMPUTED_VALUE"""),3.3067144E7)</f>
        <v>33067144</v>
      </c>
      <c r="N1766" s="222" t="str">
        <f>IFERROR(__xludf.DUMMYFUNCTION("""COMPUTED_VALUE"""),"PT LIBER PERSADA MANDIRI")</f>
        <v>PT LIBER PERSADA MANDIRI</v>
      </c>
      <c r="O1766" s="222" t="str">
        <f>IFERROR(__xludf.DUMMYFUNCTION("""COMPUTED_VALUE"""),"0. DROP")</f>
        <v>0. DROP</v>
      </c>
      <c r="P1766" s="222" t="str">
        <f>IFERROR(__xludf.DUMMYFUNCTION("""COMPUTED_VALUE"""),"0.3 Feeder Full")</f>
        <v>0.3 Feeder Full</v>
      </c>
      <c r="Q1766" s="222" t="str">
        <f>IFERROR(__xludf.DUMMYFUNCTION("""COMPUTED_VALUE"""),"30/03 Feeder Full ODC PBB FB 29/01 Ffeeder eksisting rusak  (07/01) Persiapan")</f>
        <v>30/03 Feeder Full ODC PBB FB 29/01 Ffeeder eksisting rusak  (07/01) Persiapan</v>
      </c>
      <c r="R1766" s="228"/>
      <c r="S1766" s="11"/>
      <c r="T1766" s="11"/>
      <c r="U1766" s="11" t="str">
        <f>IFERROR(__xludf.DUMMYFUNCTION("""COMPUTED_VALUE"""),"W08-2115/2025")</f>
        <v>W08-2115/2025</v>
      </c>
      <c r="V1766" s="229" t="str">
        <f>IFERROR(__xludf.DUMMYFUNCTION("""COMPUTED_VALUE"""),"GUSKAR DIYONAL")</f>
        <v>GUSKAR DIYONAL</v>
      </c>
      <c r="W1766" s="229" t="str">
        <f>IFERROR(__xludf.DUMMYFUNCTION("""COMPUTED_VALUE"""),"ANZALA SAKINAH")</f>
        <v>ANZALA SAKINAH</v>
      </c>
      <c r="X1766" s="229" t="str">
        <f>IFERROR(__xludf.DUMMYFUNCTION("""COMPUTED_VALUE"""),"BELUM GOLIVE")</f>
        <v>BELUM GOLIVE</v>
      </c>
      <c r="Y1766" s="229"/>
      <c r="Z1766" s="229" t="str">
        <f>IFERROR(__xludf.DUMMYFUNCTION("""COMPUTED_VALUE"""),"#N/A")</f>
        <v>#N/A</v>
      </c>
      <c r="AA1766" s="229"/>
      <c r="AB1766" s="229"/>
      <c r="AC1766" s="229"/>
      <c r="AD1766" s="232"/>
      <c r="AE1766" s="233"/>
      <c r="AF1766" s="54"/>
      <c r="AG1766" s="54"/>
      <c r="AH1766" s="54"/>
      <c r="AI1766" s="55" t="str">
        <f t="shared" si="177"/>
        <v/>
      </c>
      <c r="AW1766" s="234"/>
      <c r="BP1766" s="11"/>
      <c r="BQ1766" s="11"/>
      <c r="BR1766" s="235"/>
      <c r="BV1766" s="158"/>
      <c r="BY1766" s="158"/>
      <c r="CB1766" s="158"/>
    </row>
    <row r="1767" ht="18.0" customHeight="1">
      <c r="A1767" s="222">
        <f>IFERROR(__xludf.DUMMYFUNCTION("""COMPUTED_VALUE"""),2026.0)</f>
        <v>2026</v>
      </c>
      <c r="B1767" s="221">
        <f>IFERROR(__xludf.DUMMYFUNCTION("""COMPUTED_VALUE"""),1.1499235E7)</f>
        <v>11499235</v>
      </c>
      <c r="C1767" s="222" t="str">
        <f>IFERROR(__xludf.DUMMYFUNCTION("""COMPUTED_VALUE"""),"SMB P3I1 LANJUTAN SMA 2 KNL")</f>
        <v>SMB P3I1 LANJUTAN SMA 2 KNL</v>
      </c>
      <c r="D1767" s="222" t="str">
        <f>IFERROR(__xludf.DUMMYFUNCTION("""COMPUTED_VALUE"""),"REGIONAL I")</f>
        <v>REGIONAL I</v>
      </c>
      <c r="E1767" s="222" t="str">
        <f>IFERROR(__xludf.DUMMYFUNCTION("""COMPUTED_VALUE"""),"SUMBAR")</f>
        <v>SUMBAR</v>
      </c>
      <c r="F1767" s="222" t="str">
        <f>IFERROR(__xludf.DUMMYFUNCTION("""COMPUTED_VALUE"""),"KNL")</f>
        <v>KNL</v>
      </c>
      <c r="G1767" s="222" t="str">
        <f>IFERROR(__xludf.DUMMYFUNCTION("""COMPUTED_VALUE"""),"SUMBAGTENG")</f>
        <v>SUMBAGTENG</v>
      </c>
      <c r="H1767" s="222" t="str">
        <f>IFERROR(__xludf.DUMMYFUNCTION("""COMPUTED_VALUE"""),"BUKIT TINGGI")</f>
        <v>BUKIT TINGGI</v>
      </c>
      <c r="I1767" s="222" t="str">
        <f>IFERROR(__xludf.DUMMYFUNCTION("""COMPUTED_VALUE"""),"Batch 2")</f>
        <v>Batch 2</v>
      </c>
      <c r="J1767" s="225">
        <f>IFERROR(__xludf.DUMMYFUNCTION("""COMPUTED_VALUE"""),8.0)</f>
        <v>8</v>
      </c>
      <c r="K1767" s="224">
        <f>IFERROR(__xludf.DUMMYFUNCTION("""COMPUTED_VALUE"""),64.0)</f>
        <v>64</v>
      </c>
      <c r="L1767" s="226">
        <f>IFERROR(__xludf.DUMMYFUNCTION("""COMPUTED_VALUE"""),1403976.0)</f>
        <v>1403976</v>
      </c>
      <c r="M1767" s="227">
        <f>IFERROR(__xludf.DUMMYFUNCTION("""COMPUTED_VALUE"""),8.9854402E7)</f>
        <v>89854402</v>
      </c>
      <c r="N1767" s="222" t="str">
        <f>IFERROR(__xludf.DUMMYFUNCTION("""COMPUTED_VALUE"""),"PT TRI LESMA INDONESIA")</f>
        <v>PT TRI LESMA INDONESIA</v>
      </c>
      <c r="O1767" s="222" t="str">
        <f>IFERROR(__xludf.DUMMYFUNCTION("""COMPUTED_VALUE"""),"2. DONE AANWIJZING")</f>
        <v>2. DONE AANWIJZING</v>
      </c>
      <c r="P1767" s="222" t="str">
        <f>IFERROR(__xludf.DUMMYFUNCTION("""COMPUTED_VALUE"""),"2.9 Kendala - Distribusi Penuh / Rusak")</f>
        <v>2.9 Kendala - Distribusi Penuh / Rusak</v>
      </c>
      <c r="Q1767" s="222" t="str">
        <f>IFERROR(__xludf.DUMMYFUNCTION("""COMPUTED_VALUE"""),"(27/01) Kendala dist 6 KNL-FA full , butuh new dist, kenaikan di atas 10% ")</f>
        <v>(27/01) Kendala dist 6 KNL-FA full , butuh new dist, kenaikan di atas 10% </v>
      </c>
      <c r="R1767" s="228"/>
      <c r="S1767" s="11"/>
      <c r="T1767" s="11"/>
      <c r="U1767" s="11"/>
      <c r="V1767" s="229"/>
      <c r="W1767" s="229"/>
      <c r="X1767" s="229" t="str">
        <f>IFERROR(__xludf.DUMMYFUNCTION("""COMPUTED_VALUE"""),"BELUM GOLIVE")</f>
        <v>BELUM GOLIVE</v>
      </c>
      <c r="Y1767" s="229"/>
      <c r="Z1767" s="229" t="str">
        <f>IFERROR(__xludf.DUMMYFUNCTION("""COMPUTED_VALUE"""),"#N/A")</f>
        <v>#N/A</v>
      </c>
      <c r="AA1767" s="229"/>
      <c r="AB1767" s="229"/>
      <c r="AC1767" s="229"/>
      <c r="AD1767" s="232"/>
      <c r="AE1767" s="233"/>
      <c r="AF1767" s="54"/>
      <c r="AG1767" s="54"/>
      <c r="AH1767" s="54">
        <v>46126.0</v>
      </c>
      <c r="AI1767" s="55" t="str">
        <f t="shared" si="177"/>
        <v/>
      </c>
      <c r="AJ1767" s="229" t="str">
        <f t="shared" ref="AJ1767:AJ1768" si="178">if(AI1767&gt;=0,"Gl in Komitmen","Gl out komitmen")</f>
        <v>Gl in Komitmen</v>
      </c>
      <c r="AW1767" s="234"/>
      <c r="BP1767" s="11"/>
      <c r="BQ1767" s="11"/>
      <c r="BR1767" s="235"/>
      <c r="BV1767" s="158"/>
      <c r="BY1767" s="158"/>
      <c r="CB1767" s="158"/>
    </row>
    <row r="1768" ht="18.0" customHeight="1">
      <c r="A1768" s="222">
        <f>IFERROR(__xludf.DUMMYFUNCTION("""COMPUTED_VALUE"""),2026.0)</f>
        <v>2026</v>
      </c>
      <c r="B1768" s="221">
        <f>IFERROR(__xludf.DUMMYFUNCTION("""COMPUTED_VALUE"""),1.1278681E7)</f>
        <v>11278681</v>
      </c>
      <c r="C1768" s="222" t="str">
        <f>IFERROR(__xludf.DUMMYFUNCTION("""COMPUTED_VALUE"""),"RKP PT3 TSEL TJT-FL JL. SAWANG KUNDUR")</f>
        <v>RKP PT3 TSEL TJT-FL JL. SAWANG KUNDUR</v>
      </c>
      <c r="D1768" s="222" t="str">
        <f>IFERROR(__xludf.DUMMYFUNCTION("""COMPUTED_VALUE"""),"REGIONAL I")</f>
        <v>REGIONAL I</v>
      </c>
      <c r="E1768" s="222" t="str">
        <f>IFERROR(__xludf.DUMMYFUNCTION("""COMPUTED_VALUE"""),"RIKEP")</f>
        <v>RIKEP</v>
      </c>
      <c r="F1768" s="222" t="str">
        <f>IFERROR(__xludf.DUMMYFUNCTION("""COMPUTED_VALUE"""),"TJT")</f>
        <v>TJT</v>
      </c>
      <c r="G1768" s="222" t="str">
        <f>IFERROR(__xludf.DUMMYFUNCTION("""COMPUTED_VALUE"""),"SUMBAGTENG")</f>
        <v>SUMBAGTENG</v>
      </c>
      <c r="H1768" s="222" t="str">
        <f>IFERROR(__xludf.DUMMYFUNCTION("""COMPUTED_VALUE"""),"BATAM")</f>
        <v>BATAM</v>
      </c>
      <c r="I1768" s="222" t="str">
        <f>IFERROR(__xludf.DUMMYFUNCTION("""COMPUTED_VALUE"""),"Batch 2")</f>
        <v>Batch 2</v>
      </c>
      <c r="J1768" s="225">
        <f>IFERROR(__xludf.DUMMYFUNCTION("""COMPUTED_VALUE"""),1.0)</f>
        <v>1</v>
      </c>
      <c r="K1768" s="224">
        <f>IFERROR(__xludf.DUMMYFUNCTION("""COMPUTED_VALUE"""),8.0)</f>
        <v>8</v>
      </c>
      <c r="L1768" s="226">
        <f>IFERROR(__xludf.DUMMYFUNCTION("""COMPUTED_VALUE"""),923682.0)</f>
        <v>923682</v>
      </c>
      <c r="M1768" s="227">
        <f>IFERROR(__xludf.DUMMYFUNCTION("""COMPUTED_VALUE"""),7389456.0)</f>
        <v>7389456</v>
      </c>
      <c r="N1768" s="222" t="str">
        <f>IFERROR(__xludf.DUMMYFUNCTION("""COMPUTED_VALUE"""),"PT MITRA AKSES INSANI")</f>
        <v>PT MITRA AKSES INSANI</v>
      </c>
      <c r="O1768" s="222" t="str">
        <f>IFERROR(__xludf.DUMMYFUNCTION("""COMPUTED_VALUE"""),"7. GOLIVE")</f>
        <v>7. GOLIVE</v>
      </c>
      <c r="P1768" s="222" t="str">
        <f>IFERROR(__xludf.DUMMYFUNCTION("""COMPUTED_VALUE"""),"7.2 Golive Full / OA / DONE OTB")</f>
        <v>7.2 Golive Full / OA / DONE OTB</v>
      </c>
      <c r="Q1768" s="222" t="str">
        <f>IFERROR(__xludf.DUMMYFUNCTION("""COMPUTED_VALUE"""),"13/04 Plan FI hari ini. 
07/04 penarikan DONE, plan terminasi di pulau tanjung batu serial, target golive sesuai komitmen golive
31/03 Tim terminasi berangkat dari pulau batam ke pualau tanjung batu tanggal 04 april, plan GL 06 apr.27/03 Tim terminasi bel"&amp;"um berangkat dari batam ke Pulau tanjung batu. 16/03 Tim terminasi berangkat ke pulau tanjung batu dari batam setelah lebaran. 
09/03 Terminasi ODP. 
05/ 03 proses Penanaman tiang
26/02 Tanam tiang DONE, proses tarik kabel tim serial. 13/02 Jadwal kapal k"&amp;"e pulau tanjung batu di hari rabu, karena kapal hari minggu sudah penuh. 09/02 LOP belum di survey oleh mitra, komitmen terakhi hari minggu tgl 8 feb tim berangkat ke pulau tanjung batu. 29/01 mitra MAI sudah acc dan plan survey senin 2 Februari. 21/01 Pl"&amp;"an anwijzing Lokasi di pulau outer Tanjung batu")</f>
        <v>13/04 Plan FI hari ini. 
07/04 penarikan DONE, plan terminasi di pulau tanjung batu serial, target golive sesuai komitmen golive
31/03 Tim terminasi berangkat dari pulau batam ke pualau tanjung batu tanggal 04 april, plan GL 06 apr.27/03 Tim terminasi belum berangkat dari batam ke Pulau tanjung batu. 16/03 Tim terminasi berangkat ke pulau tanjung batu dari batam setelah lebaran. 
09/03 Terminasi ODP. 
05/ 03 proses Penanaman tiang
26/02 Tanam tiang DONE, proses tarik kabel tim serial.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1768" s="228">
        <f>IFERROR(__xludf.DUMMYFUNCTION("""COMPUTED_VALUE"""),46126.0)</f>
        <v>46126</v>
      </c>
      <c r="S1768" s="11" t="str">
        <f>IFERROR(__xludf.DUMMYFUNCTION("""COMPUTED_VALUE"""),"APR")</f>
        <v>APR</v>
      </c>
      <c r="T1768" s="73" t="str">
        <f>IFERROR(__xludf.DUMMYFUNCTION("""COMPUTED_VALUE"""),"P1")</f>
        <v>P1</v>
      </c>
      <c r="U1768" s="11" t="str">
        <f>IFERROR(__xludf.DUMMYFUNCTION("""COMPUTED_VALUE"""),"W09-160/2026")</f>
        <v>W09-160/2026</v>
      </c>
      <c r="V1768" s="229" t="str">
        <f>IFERROR(__xludf.DUMMYFUNCTION("""COMPUTED_VALUE"""),"MOHAMMAD FAUZY")</f>
        <v>MOHAMMAD FAUZY</v>
      </c>
      <c r="W1768" s="229" t="str">
        <f>IFERROR(__xludf.DUMMYFUNCTION("""COMPUTED_VALUE"""),"LEVITA INDRIYANI")</f>
        <v>LEVITA INDRIYANI</v>
      </c>
      <c r="X1768" s="229" t="str">
        <f>IFERROR(__xludf.DUMMYFUNCTION("""COMPUTED_VALUE"""),"GOLIVE")</f>
        <v>GOLIVE</v>
      </c>
      <c r="Y1768" s="229" t="str">
        <f>IFERROR(__xludf.DUMMYFUNCTION("""COMPUTED_VALUE"""),"DONE")</f>
        <v>DONE</v>
      </c>
      <c r="Z1768" s="229" t="str">
        <f>IFERROR(__xludf.DUMMYFUNCTION("""COMPUTED_VALUE"""),"#N/A")</f>
        <v>#N/A</v>
      </c>
      <c r="AA1768" s="229">
        <f>IFERROR(__xludf.DUMMYFUNCTION("""COMPUTED_VALUE"""),1.0)</f>
        <v>1</v>
      </c>
      <c r="AB1768" s="229"/>
      <c r="AC1768" s="229" t="str">
        <f>IFERROR(__xludf.DUMMYFUNCTION("""COMPUTED_VALUE"""),"9133380#9133385")</f>
        <v>9133380#9133385</v>
      </c>
      <c r="AD1768" s="232">
        <f>IFERROR(__xludf.DUMMYFUNCTION("""COMPUTED_VALUE"""),8.0)</f>
        <v>8</v>
      </c>
      <c r="AE1768" s="233">
        <f>IFERROR(__xludf.DUMMYFUNCTION("""COMPUTED_VALUE"""),46127.0)</f>
        <v>46127</v>
      </c>
      <c r="AF1768" s="54"/>
      <c r="AG1768" s="54"/>
      <c r="AH1768" s="54">
        <v>46135.0</v>
      </c>
      <c r="AI1768" s="55">
        <f>IF(OR(AH1768="",AE1768=""),"",AH1768-AE1768)</f>
        <v>8</v>
      </c>
      <c r="AJ1768" s="229" t="str">
        <f t="shared" si="178"/>
        <v>Gl in Komitmen</v>
      </c>
      <c r="AK1768" s="231" t="s">
        <v>199</v>
      </c>
      <c r="AW1768" s="234"/>
      <c r="BP1768" s="11"/>
      <c r="BQ1768" s="11"/>
      <c r="BR1768" s="235"/>
      <c r="BV1768" s="158"/>
      <c r="BY1768" s="158"/>
      <c r="CB1768" s="158"/>
    </row>
    <row r="1769" ht="18.0" customHeight="1">
      <c r="A1769" s="222">
        <f>IFERROR(__xludf.DUMMYFUNCTION("""COMPUTED_VALUE"""),2026.0)</f>
        <v>2026</v>
      </c>
      <c r="B1769" s="221">
        <f>IFERROR(__xludf.DUMMYFUNCTION("""COMPUTED_VALUE"""),1.1276641E7)</f>
        <v>11276641</v>
      </c>
      <c r="C1769" s="222" t="str">
        <f>IFERROR(__xludf.DUMMYFUNCTION("""COMPUTED_VALUE"""),"RKP PT3 TSEL LBJ-FCS TANJUNG UMA")</f>
        <v>RKP PT3 TSEL LBJ-FCS TANJUNG UMA</v>
      </c>
      <c r="D1769" s="222" t="str">
        <f>IFERROR(__xludf.DUMMYFUNCTION("""COMPUTED_VALUE"""),"REGIONAL I")</f>
        <v>REGIONAL I</v>
      </c>
      <c r="E1769" s="222" t="str">
        <f>IFERROR(__xludf.DUMMYFUNCTION("""COMPUTED_VALUE"""),"RIKEP")</f>
        <v>RIKEP</v>
      </c>
      <c r="F1769" s="222" t="str">
        <f>IFERROR(__xludf.DUMMYFUNCTION("""COMPUTED_VALUE"""),"LBJ")</f>
        <v>LBJ</v>
      </c>
      <c r="G1769" s="222" t="str">
        <f>IFERROR(__xludf.DUMMYFUNCTION("""COMPUTED_VALUE"""),"SUMBAGTENG")</f>
        <v>SUMBAGTENG</v>
      </c>
      <c r="H1769" s="222" t="str">
        <f>IFERROR(__xludf.DUMMYFUNCTION("""COMPUTED_VALUE"""),"BATAM")</f>
        <v>BATAM</v>
      </c>
      <c r="I1769" s="222" t="str">
        <f>IFERROR(__xludf.DUMMYFUNCTION("""COMPUTED_VALUE"""),"Batch 2")</f>
        <v>Batch 2</v>
      </c>
      <c r="J1769" s="225">
        <f>IFERROR(__xludf.DUMMYFUNCTION("""COMPUTED_VALUE"""),1.0)</f>
        <v>1</v>
      </c>
      <c r="K1769" s="224">
        <f>IFERROR(__xludf.DUMMYFUNCTION("""COMPUTED_VALUE"""),8.0)</f>
        <v>8</v>
      </c>
      <c r="L1769" s="226">
        <f>IFERROR(__xludf.DUMMYFUNCTION("""COMPUTED_VALUE"""),762830.0)</f>
        <v>762830</v>
      </c>
      <c r="M1769" s="227">
        <f>IFERROR(__xludf.DUMMYFUNCTION("""COMPUTED_VALUE"""),6102640.0)</f>
        <v>6102640</v>
      </c>
      <c r="N1769" s="222" t="str">
        <f>IFERROR(__xludf.DUMMYFUNCTION("""COMPUTED_VALUE"""),"PT HDUA PUTRA PRAJODA")</f>
        <v>PT HDUA PUTRA PRAJODA</v>
      </c>
      <c r="O1769" s="222" t="str">
        <f>IFERROR(__xludf.DUMMYFUNCTION("""COMPUTED_VALUE"""),"0. DROP")</f>
        <v>0. DROP</v>
      </c>
      <c r="P1769" s="222" t="str">
        <f>IFERROR(__xludf.DUMMYFUNCTION("""COMPUTED_VALUE"""),"0.2 Tidak Dapat Izin Warga/Kades/Lurah/Developer")</f>
        <v>0.2 Tidak Dapat Izin Warga/Kades/Lurah/Developer</v>
      </c>
      <c r="Q1769" s="222" t="str">
        <f>IFERROR(__xludf.DUMMYFUNCTION("""COMPUTED_VALUE"""),"04/03 RT tidak acc tanam tiang baru karena gang sempit. 
26/02 PIC perizinan fokus di daerah bengkong dan sekitar .
 16/02 Plan anwijzing 17 Feb. 11/02 Peralihan mitra. 28/01 Plan survey 29 Jan. 28/01 Mitra tripola belum ada PIC untuk anwijzing. 23/01 Pla"&amp;"n anwijzing 26 Jan, pic mitra ada pertanggal 25 jan. 21/01 proses penunjukan mitra ")</f>
        <v>04/03 RT tidak acc tanam tiang baru karena gang sempit. 
26/02 PIC perizinan fokus di daerah bengkong dan sekitar .
 16/02 Plan anwijzing 17 Feb. 11/02 Peralihan mitra. 28/01 Plan survey 29 Jan. 28/01 Mitra tripola belum ada PIC untuk anwijzing. 23/01 Plan anwijzing 26 Jan, pic mitra ada pertanggal 25 jan. 21/01 proses penunjukan mitra </v>
      </c>
      <c r="R1769" s="228"/>
      <c r="S1769" s="11"/>
      <c r="T1769" s="11"/>
      <c r="U1769" s="11"/>
      <c r="V1769" s="229" t="str">
        <f>IFERROR(__xludf.DUMMYFUNCTION("""COMPUTED_VALUE"""),"RONALDO LEO INFANTRI")</f>
        <v>RONALDO LEO INFANTRI</v>
      </c>
      <c r="W1769" s="229" t="str">
        <f>IFERROR(__xludf.DUMMYFUNCTION("""COMPUTED_VALUE"""),"LEVITA INDRIYANI")</f>
        <v>LEVITA INDRIYANI</v>
      </c>
      <c r="X1769" s="229" t="str">
        <f>IFERROR(__xludf.DUMMYFUNCTION("""COMPUTED_VALUE"""),"BELUM GOLIVE")</f>
        <v>BELUM GOLIVE</v>
      </c>
      <c r="Y1769" s="229"/>
      <c r="Z1769" s="229" t="str">
        <f>IFERROR(__xludf.DUMMYFUNCTION("""COMPUTED_VALUE"""),"#N/A")</f>
        <v>#N/A</v>
      </c>
      <c r="AA1769" s="229"/>
      <c r="AB1769" s="229"/>
      <c r="AC1769" s="229"/>
      <c r="AD1769" s="232"/>
      <c r="AE1769" s="233"/>
      <c r="AF1769" s="54"/>
      <c r="AG1769" s="54"/>
      <c r="AH1769" s="54"/>
      <c r="AI1769" s="55" t="str">
        <f t="shared" ref="AI1769:AI1808" si="179">IF(OR(R1769="",AE1769=""),"",R1769-AE1769)</f>
        <v/>
      </c>
      <c r="AW1769" s="234"/>
      <c r="BP1769" s="11"/>
      <c r="BQ1769" s="11"/>
      <c r="BR1769" s="235"/>
      <c r="BV1769" s="158"/>
      <c r="BY1769" s="158"/>
      <c r="CB1769" s="158"/>
    </row>
    <row r="1770" ht="18.0" customHeight="1">
      <c r="A1770" s="222">
        <f>IFERROR(__xludf.DUMMYFUNCTION("""COMPUTED_VALUE"""),2026.0)</f>
        <v>2026</v>
      </c>
      <c r="B1770" s="221">
        <f>IFERROR(__xludf.DUMMYFUNCTION("""COMPUTED_VALUE"""),1.1440358E7)</f>
        <v>11440358</v>
      </c>
      <c r="C1770" s="222" t="str">
        <f>IFERROR(__xludf.DUMMYFUNCTION("""COMPUTED_VALUE"""),"SMB LIMA PULUH KOTA_15350_11780")</f>
        <v>SMB LIMA PULUH KOTA_15350_11780</v>
      </c>
      <c r="D1770" s="222" t="str">
        <f>IFERROR(__xludf.DUMMYFUNCTION("""COMPUTED_VALUE"""),"REGIONAL I")</f>
        <v>REGIONAL I</v>
      </c>
      <c r="E1770" s="222" t="str">
        <f>IFERROR(__xludf.DUMMYFUNCTION("""COMPUTED_VALUE"""),"SUMBAR")</f>
        <v>SUMBAR</v>
      </c>
      <c r="F1770" s="222" t="str">
        <f>IFERROR(__xludf.DUMMYFUNCTION("""COMPUTED_VALUE"""),"PDJ")</f>
        <v>PDJ</v>
      </c>
      <c r="G1770" s="222" t="str">
        <f>IFERROR(__xludf.DUMMYFUNCTION("""COMPUTED_VALUE"""),"SUMBAGTENG")</f>
        <v>SUMBAGTENG</v>
      </c>
      <c r="H1770" s="222" t="str">
        <f>IFERROR(__xludf.DUMMYFUNCTION("""COMPUTED_VALUE"""),"BUKIT TINGGI")</f>
        <v>BUKIT TINGGI</v>
      </c>
      <c r="I1770" s="222" t="str">
        <f>IFERROR(__xludf.DUMMYFUNCTION("""COMPUTED_VALUE"""),"Batch 2")</f>
        <v>Batch 2</v>
      </c>
      <c r="J1770" s="225">
        <f>IFERROR(__xludf.DUMMYFUNCTION("""COMPUTED_VALUE"""),5.0)</f>
        <v>5</v>
      </c>
      <c r="K1770" s="224">
        <f>IFERROR(__xludf.DUMMYFUNCTION("""COMPUTED_VALUE"""),40.0)</f>
        <v>40</v>
      </c>
      <c r="L1770" s="226">
        <f>IFERROR(__xludf.DUMMYFUNCTION("""COMPUTED_VALUE"""),412283.0)</f>
        <v>412283</v>
      </c>
      <c r="M1770" s="227">
        <f>IFERROR(__xludf.DUMMYFUNCTION("""COMPUTED_VALUE"""),1.6491286E7)</f>
        <v>16491286</v>
      </c>
      <c r="N1770" s="222" t="str">
        <f>IFERROR(__xludf.DUMMYFUNCTION("""COMPUTED_VALUE"""),"PT RATRI PRIMA MANDIRI")</f>
        <v>PT RATRI PRIMA MANDIRI</v>
      </c>
      <c r="O1770" s="222" t="str">
        <f>IFERROR(__xludf.DUMMYFUNCTION("""COMPUTED_VALUE"""),"2. DONE AANWIJZING")</f>
        <v>2. DONE AANWIJZING</v>
      </c>
      <c r="P1770" s="222" t="str">
        <f>IFERROR(__xludf.DUMMYFUNCTION("""COMPUTED_VALUE"""),"2.9 Kendala - Distribusi Penuh / Rusak")</f>
        <v>2.9 Kendala - Distribusi Penuh / Rusak</v>
      </c>
      <c r="Q1770" s="222" t="str">
        <f>IFERROR(__xludf.DUMMYFUNCTION("""COMPUTED_VALUE"""),"(27/01) kendala dist 5 PDJ-FA FULL")</f>
        <v>(27/01) kendala dist 5 PDJ-FA FULL</v>
      </c>
      <c r="R1770" s="228"/>
      <c r="S1770" s="11"/>
      <c r="T1770" s="11"/>
      <c r="U1770" s="11"/>
      <c r="V1770" s="229"/>
      <c r="W1770" s="229"/>
      <c r="X1770" s="229" t="str">
        <f>IFERROR(__xludf.DUMMYFUNCTION("""COMPUTED_VALUE"""),"BELUM GOLIVE")</f>
        <v>BELUM GOLIVE</v>
      </c>
      <c r="Y1770" s="229"/>
      <c r="Z1770" s="229" t="str">
        <f>IFERROR(__xludf.DUMMYFUNCTION("""COMPUTED_VALUE"""),"#N/A")</f>
        <v>#N/A</v>
      </c>
      <c r="AA1770" s="229"/>
      <c r="AB1770" s="229"/>
      <c r="AC1770" s="229"/>
      <c r="AD1770" s="232"/>
      <c r="AE1770" s="233"/>
      <c r="AF1770" s="54"/>
      <c r="AG1770" s="54"/>
      <c r="AH1770" s="54"/>
      <c r="AI1770" s="55" t="str">
        <f t="shared" si="179"/>
        <v/>
      </c>
      <c r="AW1770" s="234"/>
      <c r="BP1770" s="11"/>
      <c r="BQ1770" s="11"/>
      <c r="BR1770" s="235"/>
      <c r="BV1770" s="158"/>
      <c r="BY1770" s="158"/>
      <c r="CB1770" s="158"/>
    </row>
    <row r="1771" ht="18.0" customHeight="1">
      <c r="A1771" s="222">
        <f>IFERROR(__xludf.DUMMYFUNCTION("""COMPUTED_VALUE"""),2026.0)</f>
        <v>2026</v>
      </c>
      <c r="B1771" s="221">
        <f>IFERROR(__xludf.DUMMYFUNCTION("""COMPUTED_VALUE"""),1.1539577E7)</f>
        <v>11539577</v>
      </c>
      <c r="C1771" s="222" t="str">
        <f>IFERROR(__xludf.DUMMYFUNCTION("""COMPUTED_VALUE"""),"RKP TSEL PT3 LBJ-FB LUCKY VIEW")</f>
        <v>RKP TSEL PT3 LBJ-FB LUCKY VIEW</v>
      </c>
      <c r="D1771" s="222" t="str">
        <f>IFERROR(__xludf.DUMMYFUNCTION("""COMPUTED_VALUE"""),"REGIONAL I")</f>
        <v>REGIONAL I</v>
      </c>
      <c r="E1771" s="222" t="str">
        <f>IFERROR(__xludf.DUMMYFUNCTION("""COMPUTED_VALUE"""),"RIKEP")</f>
        <v>RIKEP</v>
      </c>
      <c r="F1771" s="222" t="str">
        <f>IFERROR(__xludf.DUMMYFUNCTION("""COMPUTED_VALUE"""),"LBJ")</f>
        <v>LBJ</v>
      </c>
      <c r="G1771" s="222" t="str">
        <f>IFERROR(__xludf.DUMMYFUNCTION("""COMPUTED_VALUE"""),"SUMBAGTENG")</f>
        <v>SUMBAGTENG</v>
      </c>
      <c r="H1771" s="222" t="str">
        <f>IFERROR(__xludf.DUMMYFUNCTION("""COMPUTED_VALUE"""),"BATAM")</f>
        <v>BATAM</v>
      </c>
      <c r="I1771" s="222" t="str">
        <f>IFERROR(__xludf.DUMMYFUNCTION("""COMPUTED_VALUE"""),"Batch 2")</f>
        <v>Batch 2</v>
      </c>
      <c r="J1771" s="225">
        <f>IFERROR(__xludf.DUMMYFUNCTION("""COMPUTED_VALUE"""),1.0)</f>
        <v>1</v>
      </c>
      <c r="K1771" s="224">
        <f>IFERROR(__xludf.DUMMYFUNCTION("""COMPUTED_VALUE"""),8.0)</f>
        <v>8</v>
      </c>
      <c r="L1771" s="226">
        <f>IFERROR(__xludf.DUMMYFUNCTION("""COMPUTED_VALUE"""),716200.0)</f>
        <v>716200</v>
      </c>
      <c r="M1771" s="227">
        <f>IFERROR(__xludf.DUMMYFUNCTION("""COMPUTED_VALUE"""),5729597.0)</f>
        <v>5729597</v>
      </c>
      <c r="N1771" s="222" t="str">
        <f>IFERROR(__xludf.DUMMYFUNCTION("""COMPUTED_VALUE"""),"PT. JARI TRIMINDO")</f>
        <v>PT. JARI TRIMINDO</v>
      </c>
      <c r="O1771" s="222" t="str">
        <f>IFERROR(__xludf.DUMMYFUNCTION("""COMPUTED_VALUE"""),"2. DONE AANWIJZING")</f>
        <v>2. DONE AANWIJZING</v>
      </c>
      <c r="P1771" s="222" t="str">
        <f>IFERROR(__xludf.DUMMYFUNCTION("""COMPUTED_VALUE"""),"2.10 Kendala - Feeder Rusak")</f>
        <v>2.10 Kendala - Feeder Rusak</v>
      </c>
      <c r="Q1771" s="222" t="str">
        <f>IFERROR(__xludf.DUMMYFUNCTION("""COMPUTED_VALUE"""),"05/03 repair kabel feeder ( core tidak tembus )
26/01 Proses perizinan ke RW. 23/01 Plan anwijzing 27 Jan, PIC mitra belum sampai. 21/01 proses penunjukan mitra 
")</f>
        <v>05/03 repair kabel feeder ( core tidak tembus )
26/01 Proses perizinan ke RW. 23/01 Plan anwijzing 27 Jan, PIC mitra belum sampai. 21/01 proses penunjukan mitra 
</v>
      </c>
      <c r="R1771" s="228"/>
      <c r="S1771" s="11" t="str">
        <f>IFERROR(__xludf.DUMMYFUNCTION("""COMPUTED_VALUE"""),"MAR")</f>
        <v>MAR</v>
      </c>
      <c r="T1771" s="11"/>
      <c r="U1771" s="11"/>
      <c r="V1771" s="229" t="str">
        <f>IFERROR(__xludf.DUMMYFUNCTION("""COMPUTED_VALUE"""),"RONALDO LEO INFANTRI")</f>
        <v>RONALDO LEO INFANTRI</v>
      </c>
      <c r="W1771" s="229" t="str">
        <f>IFERROR(__xludf.DUMMYFUNCTION("""COMPUTED_VALUE"""),"LEVITA INDRIYANI")</f>
        <v>LEVITA INDRIYANI</v>
      </c>
      <c r="X1771" s="229" t="str">
        <f>IFERROR(__xludf.DUMMYFUNCTION("""COMPUTED_VALUE"""),"BELUM GOLIVE")</f>
        <v>BELUM GOLIVE</v>
      </c>
      <c r="Y1771" s="229"/>
      <c r="Z1771" s="229" t="str">
        <f>IFERROR(__xludf.DUMMYFUNCTION("""COMPUTED_VALUE"""),"#N/A")</f>
        <v>#N/A</v>
      </c>
      <c r="AA1771" s="229"/>
      <c r="AB1771" s="229"/>
      <c r="AC1771" s="229"/>
      <c r="AD1771" s="232"/>
      <c r="AE1771" s="233"/>
      <c r="AF1771" s="54"/>
      <c r="AG1771" s="54"/>
      <c r="AH1771" s="54"/>
      <c r="AI1771" s="55" t="str">
        <f t="shared" si="179"/>
        <v/>
      </c>
      <c r="AW1771" s="234"/>
      <c r="BP1771" s="11"/>
      <c r="BQ1771" s="11"/>
      <c r="BR1771" s="235"/>
      <c r="BV1771" s="158"/>
      <c r="BY1771" s="158"/>
      <c r="CB1771" s="158"/>
    </row>
    <row r="1772" ht="18.0" customHeight="1">
      <c r="A1772" s="222">
        <f>IFERROR(__xludf.DUMMYFUNCTION("""COMPUTED_VALUE"""),2026.0)</f>
        <v>2026</v>
      </c>
      <c r="B1772" s="221">
        <f>IFERROR(__xludf.DUMMYFUNCTION("""COMPUTED_VALUE"""),1.1539639E7)</f>
        <v>11539639</v>
      </c>
      <c r="C1772" s="222" t="str">
        <f>IFERROR(__xludf.DUMMYFUNCTION("""COMPUTED_VALUE"""),"RKP TSEL PT3 LBJ-FAZ KAMPUNG DALAM")</f>
        <v>RKP TSEL PT3 LBJ-FAZ KAMPUNG DALAM</v>
      </c>
      <c r="D1772" s="222" t="str">
        <f>IFERROR(__xludf.DUMMYFUNCTION("""COMPUTED_VALUE"""),"REGIONAL I")</f>
        <v>REGIONAL I</v>
      </c>
      <c r="E1772" s="222" t="str">
        <f>IFERROR(__xludf.DUMMYFUNCTION("""COMPUTED_VALUE"""),"RIKEP")</f>
        <v>RIKEP</v>
      </c>
      <c r="F1772" s="222" t="str">
        <f>IFERROR(__xludf.DUMMYFUNCTION("""COMPUTED_VALUE"""),"LBJ")</f>
        <v>LBJ</v>
      </c>
      <c r="G1772" s="222" t="str">
        <f>IFERROR(__xludf.DUMMYFUNCTION("""COMPUTED_VALUE"""),"SUMBAGTENG")</f>
        <v>SUMBAGTENG</v>
      </c>
      <c r="H1772" s="222" t="str">
        <f>IFERROR(__xludf.DUMMYFUNCTION("""COMPUTED_VALUE"""),"BATAM")</f>
        <v>BATAM</v>
      </c>
      <c r="I1772" s="222" t="str">
        <f>IFERROR(__xludf.DUMMYFUNCTION("""COMPUTED_VALUE"""),"Batch 2")</f>
        <v>Batch 2</v>
      </c>
      <c r="J1772" s="225">
        <f>IFERROR(__xludf.DUMMYFUNCTION("""COMPUTED_VALUE"""),1.0)</f>
        <v>1</v>
      </c>
      <c r="K1772" s="224">
        <f>IFERROR(__xludf.DUMMYFUNCTION("""COMPUTED_VALUE"""),8.0)</f>
        <v>8</v>
      </c>
      <c r="L1772" s="226">
        <f>IFERROR(__xludf.DUMMYFUNCTION("""COMPUTED_VALUE"""),975097.0)</f>
        <v>975097</v>
      </c>
      <c r="M1772" s="227">
        <f>IFERROR(__xludf.DUMMYFUNCTION("""COMPUTED_VALUE"""),7800770.0)</f>
        <v>7800770</v>
      </c>
      <c r="N1772" s="222" t="str">
        <f>IFERROR(__xludf.DUMMYFUNCTION("""COMPUTED_VALUE"""),"PT. JARI TRIMINDO")</f>
        <v>PT. JARI TRIMINDO</v>
      </c>
      <c r="O1772" s="222" t="str">
        <f>IFERROR(__xludf.DUMMYFUNCTION("""COMPUTED_VALUE"""),"0. DROP")</f>
        <v>0. DROP</v>
      </c>
      <c r="P1772" s="222" t="str">
        <f>IFERROR(__xludf.DUMMYFUNCTION("""COMPUTED_VALUE"""),"0.2 Tidak Dapat Izin Warga/Kades/Lurah/Developer")</f>
        <v>0.2 Tidak Dapat Izin Warga/Kades/Lurah/Developer</v>
      </c>
      <c r="Q1772" s="222" t="str">
        <f>IFERROR(__xludf.DUMMYFUNCTION("""COMPUTED_VALUE"""),"12/02 Izin tidak di acc RT karena gang sempit dan tidak ada  space lagi untuk tanam tiang. 23/01 Plan anwijzing 27 Jan, PIC mitra belum sampai. 21/01 proses penunjukan mitra ")</f>
        <v>12/02 Izin tidak di acc RT karena gang sempit dan tidak ada  space lagi untuk tanam tiang. 23/01 Plan anwijzing 27 Jan, PIC mitra belum sampai. 21/01 proses penunjukan mitra </v>
      </c>
      <c r="R1772" s="228"/>
      <c r="S1772" s="11"/>
      <c r="T1772" s="11"/>
      <c r="U1772" s="11"/>
      <c r="V1772" s="229" t="str">
        <f>IFERROR(__xludf.DUMMYFUNCTION("""COMPUTED_VALUE"""),"RONALDO LEO INFANTRI")</f>
        <v>RONALDO LEO INFANTRI</v>
      </c>
      <c r="W1772" s="229" t="str">
        <f>IFERROR(__xludf.DUMMYFUNCTION("""COMPUTED_VALUE"""),"LEVITA INDRIYANI")</f>
        <v>LEVITA INDRIYANI</v>
      </c>
      <c r="X1772" s="229" t="str">
        <f>IFERROR(__xludf.DUMMYFUNCTION("""COMPUTED_VALUE"""),"BELUM GOLIVE")</f>
        <v>BELUM GOLIVE</v>
      </c>
      <c r="Y1772" s="229"/>
      <c r="Z1772" s="229" t="str">
        <f>IFERROR(__xludf.DUMMYFUNCTION("""COMPUTED_VALUE"""),"#N/A")</f>
        <v>#N/A</v>
      </c>
      <c r="AA1772" s="229"/>
      <c r="AB1772" s="229"/>
      <c r="AC1772" s="229"/>
      <c r="AD1772" s="232"/>
      <c r="AE1772" s="233"/>
      <c r="AF1772" s="54" t="str">
        <f>IFERROR(__xludf.DUMMYFUNCTION("""COMPUTED_VALUE"""),"Draft BA DROP")</f>
        <v>Draft BA DROP</v>
      </c>
      <c r="AG1772" s="54"/>
      <c r="AH1772" s="54"/>
      <c r="AI1772" s="55" t="str">
        <f t="shared" si="179"/>
        <v/>
      </c>
      <c r="AW1772" s="234"/>
      <c r="BP1772" s="11"/>
      <c r="BQ1772" s="11"/>
      <c r="BR1772" s="235"/>
      <c r="BV1772" s="158"/>
      <c r="BY1772" s="158"/>
      <c r="CB1772" s="158"/>
    </row>
    <row r="1773" ht="18.0" customHeight="1">
      <c r="A1773" s="222">
        <f>IFERROR(__xludf.DUMMYFUNCTION("""COMPUTED_VALUE"""),2026.0)</f>
        <v>2026</v>
      </c>
      <c r="B1773" s="221">
        <f>IFERROR(__xludf.DUMMYFUNCTION("""COMPUTED_VALUE"""),1.153985E7)</f>
        <v>11539850</v>
      </c>
      <c r="C1773" s="222" t="str">
        <f>IFERROR(__xludf.DUMMYFUNCTION("""COMPUTED_VALUE"""),"RKP PT3 TSEL LBJ-FBE SWADEBI BLK O")</f>
        <v>RKP PT3 TSEL LBJ-FBE SWADEBI BLK O</v>
      </c>
      <c r="D1773" s="222" t="str">
        <f>IFERROR(__xludf.DUMMYFUNCTION("""COMPUTED_VALUE"""),"REGIONAL I")</f>
        <v>REGIONAL I</v>
      </c>
      <c r="E1773" s="222" t="str">
        <f>IFERROR(__xludf.DUMMYFUNCTION("""COMPUTED_VALUE"""),"RIKEP")</f>
        <v>RIKEP</v>
      </c>
      <c r="F1773" s="222" t="str">
        <f>IFERROR(__xludf.DUMMYFUNCTION("""COMPUTED_VALUE"""),"LBJ")</f>
        <v>LBJ</v>
      </c>
      <c r="G1773" s="222" t="str">
        <f>IFERROR(__xludf.DUMMYFUNCTION("""COMPUTED_VALUE"""),"SUMBAGTENG")</f>
        <v>SUMBAGTENG</v>
      </c>
      <c r="H1773" s="222" t="str">
        <f>IFERROR(__xludf.DUMMYFUNCTION("""COMPUTED_VALUE"""),"BATAM")</f>
        <v>BATAM</v>
      </c>
      <c r="I1773" s="222" t="str">
        <f>IFERROR(__xludf.DUMMYFUNCTION("""COMPUTED_VALUE"""),"Batch 2")</f>
        <v>Batch 2</v>
      </c>
      <c r="J1773" s="225">
        <f>IFERROR(__xludf.DUMMYFUNCTION("""COMPUTED_VALUE"""),6.0)</f>
        <v>6</v>
      </c>
      <c r="K1773" s="224">
        <f>IFERROR(__xludf.DUMMYFUNCTION("""COMPUTED_VALUE"""),48.0)</f>
        <v>48</v>
      </c>
      <c r="L1773" s="226">
        <f>IFERROR(__xludf.DUMMYFUNCTION("""COMPUTED_VALUE"""),1090495.0)</f>
        <v>1090495</v>
      </c>
      <c r="M1773" s="227">
        <f>IFERROR(__xludf.DUMMYFUNCTION("""COMPUTED_VALUE"""),5.2343715E7)</f>
        <v>52343715</v>
      </c>
      <c r="N1773" s="222" t="str">
        <f>IFERROR(__xludf.DUMMYFUNCTION("""COMPUTED_VALUE"""),"PT TRIPOLA PANATA")</f>
        <v>PT TRIPOLA PANATA</v>
      </c>
      <c r="O1773" s="222" t="str">
        <f>IFERROR(__xludf.DUMMYFUNCTION("""COMPUTED_VALUE"""),"0. DROP")</f>
        <v>0. DROP</v>
      </c>
      <c r="P1773" s="222" t="str">
        <f>IFERROR(__xludf.DUMMYFUNCTION("""COMPUTED_VALUE"""),"0.2 Tidak Dapat Izin Warga/Kades/Lurah/Developer")</f>
        <v>0.2 Tidak Dapat Izin Warga/Kades/Lurah/Developer</v>
      </c>
      <c r="Q1773" s="222" t="str">
        <f>IFERROR(__xludf.DUMMYFUNCTION("""COMPUTED_VALUE"""),"21/01 RT meminta pindah ODC dan meminta kompensasi")</f>
        <v>21/01 RT meminta pindah ODC dan meminta kompensasi</v>
      </c>
      <c r="R1773" s="228"/>
      <c r="S1773" s="11"/>
      <c r="T1773" s="11"/>
      <c r="U1773" s="11"/>
      <c r="V1773" s="229" t="str">
        <f>IFERROR(__xludf.DUMMYFUNCTION("""COMPUTED_VALUE"""),"RONALDO LEO INFANTRI")</f>
        <v>RONALDO LEO INFANTRI</v>
      </c>
      <c r="W1773" s="229" t="str">
        <f>IFERROR(__xludf.DUMMYFUNCTION("""COMPUTED_VALUE"""),"LEVITA INDRIYANI")</f>
        <v>LEVITA INDRIYANI</v>
      </c>
      <c r="X1773" s="229" t="str">
        <f>IFERROR(__xludf.DUMMYFUNCTION("""COMPUTED_VALUE"""),"BELUM GOLIVE")</f>
        <v>BELUM GOLIVE</v>
      </c>
      <c r="Y1773" s="229"/>
      <c r="Z1773" s="229" t="str">
        <f>IFERROR(__xludf.DUMMYFUNCTION("""COMPUTED_VALUE"""),"#N/A")</f>
        <v>#N/A</v>
      </c>
      <c r="AA1773" s="229"/>
      <c r="AB1773" s="229"/>
      <c r="AC1773" s="229"/>
      <c r="AD1773" s="232"/>
      <c r="AE1773" s="233"/>
      <c r="AF1773" s="54" t="str">
        <f>IFERROR(__xludf.DUMMYFUNCTION("""COMPUTED_VALUE"""),"Draft BA DROP")</f>
        <v>Draft BA DROP</v>
      </c>
      <c r="AG1773" s="54"/>
      <c r="AH1773" s="54"/>
      <c r="AI1773" s="55" t="str">
        <f t="shared" si="179"/>
        <v/>
      </c>
      <c r="AW1773" s="234"/>
      <c r="BP1773" s="11"/>
      <c r="BQ1773" s="11"/>
      <c r="BR1773" s="235"/>
      <c r="BV1773" s="158"/>
      <c r="BY1773" s="158"/>
      <c r="CB1773" s="158"/>
    </row>
    <row r="1774" ht="18.0" hidden="1" customHeight="1">
      <c r="A1774" s="222">
        <f>IFERROR(__xludf.DUMMYFUNCTION("""COMPUTED_VALUE"""),2026.0)</f>
        <v>2026</v>
      </c>
      <c r="B1774" s="221">
        <f>IFERROR(__xludf.DUMMYFUNCTION("""COMPUTED_VALUE"""),1.1264205E7)</f>
        <v>11264205</v>
      </c>
      <c r="C1774" s="222" t="str">
        <f>IFERROR(__xludf.DUMMYFUNCTION("""COMPUTED_VALUE"""),"ACH PT3 SGI-FP BR D03 LAMPOH KRUENG")</f>
        <v>ACH PT3 SGI-FP BR D03 LAMPOH KRUENG</v>
      </c>
      <c r="D1774" s="222" t="str">
        <f>IFERROR(__xludf.DUMMYFUNCTION("""COMPUTED_VALUE"""),"REGIONAL I")</f>
        <v>REGIONAL I</v>
      </c>
      <c r="E1774" s="222" t="str">
        <f>IFERROR(__xludf.DUMMYFUNCTION("""COMPUTED_VALUE"""),"ACEH")</f>
        <v>ACEH</v>
      </c>
      <c r="F1774" s="222" t="str">
        <f>IFERROR(__xludf.DUMMYFUNCTION("""COMPUTED_VALUE"""),"SGI")</f>
        <v>SGI</v>
      </c>
      <c r="G1774" s="222" t="str">
        <f>IFERROR(__xludf.DUMMYFUNCTION("""COMPUTED_VALUE"""),"SUMBAGUT")</f>
        <v>SUMBAGUT</v>
      </c>
      <c r="H1774" s="222" t="str">
        <f>IFERROR(__xludf.DUMMYFUNCTION("""COMPUTED_VALUE"""),"BANDA ACEH")</f>
        <v>BANDA ACEH</v>
      </c>
      <c r="I1774" s="222" t="str">
        <f>IFERROR(__xludf.DUMMYFUNCTION("""COMPUTED_VALUE"""),"Batch 2")</f>
        <v>Batch 2</v>
      </c>
      <c r="J1774" s="225">
        <f>IFERROR(__xludf.DUMMYFUNCTION("""COMPUTED_VALUE"""),8.0)</f>
        <v>8</v>
      </c>
      <c r="K1774" s="224">
        <f>IFERROR(__xludf.DUMMYFUNCTION("""COMPUTED_VALUE"""),64.0)</f>
        <v>64</v>
      </c>
      <c r="L1774" s="226">
        <f>IFERROR(__xludf.DUMMYFUNCTION("""COMPUTED_VALUE"""),409874.0)</f>
        <v>409874</v>
      </c>
      <c r="M1774" s="227">
        <f>IFERROR(__xludf.DUMMYFUNCTION("""COMPUTED_VALUE"""),2.6231914E7)</f>
        <v>26231914</v>
      </c>
      <c r="N1774" s="222" t="str">
        <f>IFERROR(__xludf.DUMMYFUNCTION("""COMPUTED_VALUE"""),"PT NIAGA NUSANTARA DIVA")</f>
        <v>PT NIAGA NUSANTARA DIVA</v>
      </c>
      <c r="O1774" s="222" t="str">
        <f>IFERROR(__xludf.DUMMYFUNCTION("""COMPUTED_VALUE"""),"7. GOLIVE")</f>
        <v>7. GOLIVE</v>
      </c>
      <c r="P1774" s="222" t="str">
        <f>IFERROR(__xludf.DUMMYFUNCTION("""COMPUTED_VALUE"""),"7.2 Golive Full / OA / DONE OTB")</f>
        <v>7.2 Golive Full / OA / DONE OTB</v>
      </c>
      <c r="Q1774" s="222" t="str">
        <f>IFERROR(__xludf.DUMMYFUNCTION("""COMPUTED_VALUE"""),"(04/02) ABD Mancore (02/02) Terminasi (29/01) progres tanam tiang (07/01) Persiapan")</f>
        <v>(04/02) ABD Mancore (02/02) Terminasi (29/01) progres tanam tiang (07/01) Persiapan</v>
      </c>
      <c r="R1774" s="228">
        <f>IFERROR(__xludf.DUMMYFUNCTION("""COMPUTED_VALUE"""),46058.0)</f>
        <v>46058</v>
      </c>
      <c r="S1774" s="11"/>
      <c r="T1774" s="11"/>
      <c r="U1774" s="11" t="str">
        <f>IFERROR(__xludf.DUMMYFUNCTION("""COMPUTED_VALUE"""),"W04-969/2025")</f>
        <v>W04-969/2025</v>
      </c>
      <c r="V1774" s="229"/>
      <c r="W1774" s="229"/>
      <c r="X1774" s="229" t="str">
        <f>IFERROR(__xludf.DUMMYFUNCTION("""COMPUTED_VALUE"""),"GOLIVE")</f>
        <v>GOLIVE</v>
      </c>
      <c r="Y1774" s="229" t="str">
        <f>IFERROR(__xludf.DUMMYFUNCTION("""COMPUTED_VALUE"""),"DONE")</f>
        <v>DONE</v>
      </c>
      <c r="Z1774" s="229" t="str">
        <f>IFERROR(__xludf.DUMMYFUNCTION("""COMPUTED_VALUE"""),"#N/A")</f>
        <v>#N/A</v>
      </c>
      <c r="AA1774" s="229">
        <f>IFERROR(__xludf.DUMMYFUNCTION("""COMPUTED_VALUE"""),8.0)</f>
        <v>8</v>
      </c>
      <c r="AB1774" s="229"/>
      <c r="AC1774" s="229" t="str">
        <f>IFERROR(__xludf.DUMMYFUNCTION("""COMPUTED_VALUE"""),"9060872#9060878")</f>
        <v>9060872#9060878</v>
      </c>
      <c r="AD1774" s="232">
        <f>IFERROR(__xludf.DUMMYFUNCTION("""COMPUTED_VALUE"""),64.0)</f>
        <v>64</v>
      </c>
      <c r="AE1774" s="233">
        <f>IFERROR(__xludf.DUMMYFUNCTION("""COMPUTED_VALUE"""),46058.0)</f>
        <v>46058</v>
      </c>
      <c r="AF1774" s="54"/>
      <c r="AG1774" s="54"/>
      <c r="AH1774" s="54">
        <v>46058.0</v>
      </c>
      <c r="AI1774" s="55">
        <f t="shared" si="179"/>
        <v>0</v>
      </c>
      <c r="AW1774" s="234"/>
      <c r="BP1774" s="11"/>
      <c r="BQ1774" s="11"/>
      <c r="BR1774" s="235"/>
      <c r="BV1774" s="158"/>
      <c r="BY1774" s="158"/>
      <c r="CB1774" s="158"/>
    </row>
    <row r="1775" ht="18.0" hidden="1" customHeight="1">
      <c r="A1775" s="222">
        <f>IFERROR(__xludf.DUMMYFUNCTION("""COMPUTED_VALUE"""),2026.0)</f>
        <v>2026</v>
      </c>
      <c r="B1775" s="221">
        <f>IFERROR(__xludf.DUMMYFUNCTION("""COMPUTED_VALUE"""),1.1535949E7)</f>
        <v>11535949</v>
      </c>
      <c r="C1775" s="222" t="str">
        <f>IFERROR(__xludf.DUMMYFUNCTION("""COMPUTED_VALUE"""),"MDN PT3 PDB-FAC JL.BUNGA ASOKA GG.AMAL")</f>
        <v>MDN PT3 PDB-FAC JL.BUNGA ASOKA GG.AMAL</v>
      </c>
      <c r="D1775" s="222" t="str">
        <f>IFERROR(__xludf.DUMMYFUNCTION("""COMPUTED_VALUE"""),"REGIONAL I")</f>
        <v>REGIONAL I</v>
      </c>
      <c r="E1775" s="222" t="str">
        <f>IFERROR(__xludf.DUMMYFUNCTION("""COMPUTED_VALUE"""),"MEDAN")</f>
        <v>MEDAN</v>
      </c>
      <c r="F1775" s="222" t="str">
        <f>IFERROR(__xludf.DUMMYFUNCTION("""COMPUTED_VALUE"""),"PDB")</f>
        <v>PDB</v>
      </c>
      <c r="G1775" s="222" t="str">
        <f>IFERROR(__xludf.DUMMYFUNCTION("""COMPUTED_VALUE"""),"SUMBAGUT")</f>
        <v>SUMBAGUT</v>
      </c>
      <c r="H1775" s="222" t="str">
        <f>IFERROR(__xludf.DUMMYFUNCTION("""COMPUTED_VALUE"""),"MEDAN")</f>
        <v>MEDAN</v>
      </c>
      <c r="I1775" s="222" t="str">
        <f>IFERROR(__xludf.DUMMYFUNCTION("""COMPUTED_VALUE"""),"Batch 2")</f>
        <v>Batch 2</v>
      </c>
      <c r="J1775" s="225">
        <f>IFERROR(__xludf.DUMMYFUNCTION("""COMPUTED_VALUE"""),2.0)</f>
        <v>2</v>
      </c>
      <c r="K1775" s="224">
        <f>IFERROR(__xludf.DUMMYFUNCTION("""COMPUTED_VALUE"""),16.0)</f>
        <v>16</v>
      </c>
      <c r="L1775" s="226">
        <f>IFERROR(__xludf.DUMMYFUNCTION("""COMPUTED_VALUE"""),578366.0)</f>
        <v>578366</v>
      </c>
      <c r="M1775" s="227">
        <f>IFERROR(__xludf.DUMMYFUNCTION("""COMPUTED_VALUE"""),9253852.0)</f>
        <v>9253852</v>
      </c>
      <c r="N1775" s="222" t="str">
        <f>IFERROR(__xludf.DUMMYFUNCTION("""COMPUTED_VALUE"""),"PT MITRA AKSES INSANI")</f>
        <v>PT MITRA AKSES INSANI</v>
      </c>
      <c r="O1775" s="222" t="str">
        <f>IFERROR(__xludf.DUMMYFUNCTION("""COMPUTED_VALUE"""),"2. DONE AANWIJZING")</f>
        <v>2. DONE AANWIJZING</v>
      </c>
      <c r="P1775" s="222" t="str">
        <f>IFERROR(__xludf.DUMMYFUNCTION("""COMPUTED_VALUE"""),"2.9 Kendala - Distribusi Penuh / Rusak")</f>
        <v>2.9 Kendala - Distribusi Penuh / Rusak</v>
      </c>
      <c r="Q1775" s="222" t="str">
        <f>IFERROR(__xludf.DUMMYFUNCTION("""COMPUTED_VALUE"""),"05/11 Distribusi Habis
(24/09) Perizinan Warga dan Kades / Lurah
(23/09) Perizinan Warga dan Kades / Lurah
15/09 proses aanwijzing")</f>
        <v>05/11 Distribusi Habis
(24/09) Perizinan Warga dan Kades / Lurah
(23/09) Perizinan Warga dan Kades / Lurah
15/09 proses aanwijzing</v>
      </c>
      <c r="R1775" s="228"/>
      <c r="S1775" s="11"/>
      <c r="T1775" s="11"/>
      <c r="U1775" s="11"/>
      <c r="V1775" s="229"/>
      <c r="W1775" s="229"/>
      <c r="X1775" s="229" t="str">
        <f>IFERROR(__xludf.DUMMYFUNCTION("""COMPUTED_VALUE"""),"BELUM GOLIVE")</f>
        <v>BELUM GOLIVE</v>
      </c>
      <c r="Y1775" s="229"/>
      <c r="Z1775" s="229" t="str">
        <f>IFERROR(__xludf.DUMMYFUNCTION("""COMPUTED_VALUE"""),"#N/A")</f>
        <v>#N/A</v>
      </c>
      <c r="AA1775" s="229"/>
      <c r="AB1775" s="229"/>
      <c r="AC1775" s="229"/>
      <c r="AD1775" s="232"/>
      <c r="AE1775" s="233"/>
      <c r="AF1775" s="54"/>
      <c r="AG1775" s="54"/>
      <c r="AH1775" s="54"/>
      <c r="AI1775" s="55" t="str">
        <f t="shared" si="179"/>
        <v/>
      </c>
      <c r="AW1775" s="234"/>
      <c r="BP1775" s="11"/>
      <c r="BQ1775" s="11"/>
      <c r="BR1775" s="235"/>
      <c r="BV1775" s="158"/>
      <c r="BY1775" s="158"/>
      <c r="CB1775" s="158"/>
    </row>
    <row r="1776" ht="18.0" customHeight="1">
      <c r="A1776" s="222">
        <f>IFERROR(__xludf.DUMMYFUNCTION("""COMPUTED_VALUE"""),2026.0)</f>
        <v>2026</v>
      </c>
      <c r="B1776" s="221">
        <f>IFERROR(__xludf.DUMMYFUNCTION("""COMPUTED_VALUE"""),1.1094319E7)</f>
        <v>11094319</v>
      </c>
      <c r="C1776" s="222" t="str">
        <f>IFERROR(__xludf.DUMMYFUNCTION("""COMPUTED_VALUE"""),"RKP PT3 JPPTSEL KMS-FAK PERUM. DUTAMA_NDALEM")</f>
        <v>RKP PT3 JPPTSEL KMS-FAK PERUM. DUTAMA_NDALEM</v>
      </c>
      <c r="D1776" s="222" t="str">
        <f>IFERROR(__xludf.DUMMYFUNCTION("""COMPUTED_VALUE"""),"REGIONAL I")</f>
        <v>REGIONAL I</v>
      </c>
      <c r="E1776" s="222" t="str">
        <f>IFERROR(__xludf.DUMMYFUNCTION("""COMPUTED_VALUE"""),"RIKEP")</f>
        <v>RIKEP</v>
      </c>
      <c r="F1776" s="222" t="str">
        <f>IFERROR(__xludf.DUMMYFUNCTION("""COMPUTED_VALUE"""),"KMS")</f>
        <v>KMS</v>
      </c>
      <c r="G1776" s="222" t="str">
        <f>IFERROR(__xludf.DUMMYFUNCTION("""COMPUTED_VALUE"""),"SUMBAGTENG")</f>
        <v>SUMBAGTENG</v>
      </c>
      <c r="H1776" s="222" t="str">
        <f>IFERROR(__xludf.DUMMYFUNCTION("""COMPUTED_VALUE"""),"BATAM")</f>
        <v>BATAM</v>
      </c>
      <c r="I1776" s="222" t="str">
        <f>IFERROR(__xludf.DUMMYFUNCTION("""COMPUTED_VALUE"""),"Batch 2")</f>
        <v>Batch 2</v>
      </c>
      <c r="J1776" s="225">
        <f>IFERROR(__xludf.DUMMYFUNCTION("""COMPUTED_VALUE"""),2.0)</f>
        <v>2</v>
      </c>
      <c r="K1776" s="224">
        <f>IFERROR(__xludf.DUMMYFUNCTION("""COMPUTED_VALUE"""),16.0)</f>
        <v>16</v>
      </c>
      <c r="L1776" s="226">
        <f>IFERROR(__xludf.DUMMYFUNCTION("""COMPUTED_VALUE"""),406569.0)</f>
        <v>406569</v>
      </c>
      <c r="M1776" s="227">
        <f>IFERROR(__xludf.DUMMYFUNCTION("""COMPUTED_VALUE"""),6505092.0)</f>
        <v>6505092</v>
      </c>
      <c r="N1776" s="222" t="str">
        <f>IFERROR(__xludf.DUMMYFUNCTION("""COMPUTED_VALUE"""),"PT SALTTEK DUMPANG JAYA")</f>
        <v>PT SALTTEK DUMPANG JAYA</v>
      </c>
      <c r="O1776" s="222" t="str">
        <f>IFERROR(__xludf.DUMMYFUNCTION("""COMPUTED_VALUE"""),"0. DROP")</f>
        <v>0. DROP</v>
      </c>
      <c r="P1776" s="222" t="str">
        <f>IFERROR(__xludf.DUMMYFUNCTION("""COMPUTED_VALUE"""),"0.2 Tidak Dapat Izin Warga/Kades/Lurah/Developer")</f>
        <v>0.2 Tidak Dapat Izin Warga/Kades/Lurah/Developer</v>
      </c>
      <c r="Q1776" s="222" t="str">
        <f>IFERROR(__xludf.DUMMYFUNCTION("""COMPUTED_VALUE"""),"21/01 Izin di tolak'")</f>
        <v>21/01 Izin di tolak'</v>
      </c>
      <c r="R1776" s="228"/>
      <c r="S1776" s="11"/>
      <c r="T1776" s="11"/>
      <c r="U1776" s="11"/>
      <c r="V1776" s="229" t="str">
        <f>IFERROR(__xludf.DUMMYFUNCTION("""COMPUTED_VALUE"""),"DEDY IRAWAN")</f>
        <v>DEDY IRAWAN</v>
      </c>
      <c r="W1776" s="229" t="str">
        <f>IFERROR(__xludf.DUMMYFUNCTION("""COMPUTED_VALUE"""),"LEVITA INDRIYANI")</f>
        <v>LEVITA INDRIYANI</v>
      </c>
      <c r="X1776" s="229" t="str">
        <f>IFERROR(__xludf.DUMMYFUNCTION("""COMPUTED_VALUE"""),"BELUM GOLIVE")</f>
        <v>BELUM GOLIVE</v>
      </c>
      <c r="Y1776" s="229"/>
      <c r="Z1776" s="229" t="str">
        <f>IFERROR(__xludf.DUMMYFUNCTION("""COMPUTED_VALUE"""),"#N/A")</f>
        <v>#N/A</v>
      </c>
      <c r="AA1776" s="229"/>
      <c r="AB1776" s="229"/>
      <c r="AC1776" s="229"/>
      <c r="AD1776" s="232"/>
      <c r="AE1776" s="233"/>
      <c r="AF1776" s="54" t="str">
        <f>IFERROR(__xludf.DUMMYFUNCTION("""COMPUTED_VALUE"""),"Draft BA DROP")</f>
        <v>Draft BA DROP</v>
      </c>
      <c r="AG1776" s="54"/>
      <c r="AH1776" s="54"/>
      <c r="AI1776" s="55" t="str">
        <f t="shared" si="179"/>
        <v/>
      </c>
      <c r="AW1776" s="234"/>
      <c r="BP1776" s="11"/>
      <c r="BQ1776" s="11"/>
      <c r="BR1776" s="235"/>
      <c r="BV1776" s="158"/>
      <c r="BY1776" s="158"/>
      <c r="CB1776" s="158"/>
    </row>
    <row r="1777" ht="18.0" hidden="1" customHeight="1">
      <c r="A1777" s="222">
        <f>IFERROR(__xludf.DUMMYFUNCTION("""COMPUTED_VALUE"""),2026.0)</f>
        <v>2026</v>
      </c>
      <c r="B1777" s="221">
        <f>IFERROR(__xludf.DUMMYFUNCTION("""COMPUTED_VALUE"""),1.1407921E7)</f>
        <v>11407921</v>
      </c>
      <c r="C1777" s="222" t="str">
        <f>IFERROR(__xludf.DUMMYFUNCTION("""COMPUTED_VALUE"""),"JBI-PT4 OTN+MINI OLT-MBN-DESA PANCAMULYA")</f>
        <v>JBI-PT4 OTN+MINI OLT-MBN-DESA PANCAMULYA</v>
      </c>
      <c r="D1777" s="222" t="str">
        <f>IFERROR(__xludf.DUMMYFUNCTION("""COMPUTED_VALUE"""),"REGIONAL I")</f>
        <v>REGIONAL I</v>
      </c>
      <c r="E1777" s="222" t="str">
        <f>IFERROR(__xludf.DUMMYFUNCTION("""COMPUTED_VALUE"""),"JAMBI")</f>
        <v>JAMBI</v>
      </c>
      <c r="F1777" s="222" t="str">
        <f>IFERROR(__xludf.DUMMYFUNCTION("""COMPUTED_VALUE"""),"MBN")</f>
        <v>MBN</v>
      </c>
      <c r="G1777" s="222" t="str">
        <f>IFERROR(__xludf.DUMMYFUNCTION("""COMPUTED_VALUE"""),"SUMBAGSEL")</f>
        <v>SUMBAGSEL</v>
      </c>
      <c r="H1777" s="222" t="str">
        <f>IFERROR(__xludf.DUMMYFUNCTION("""COMPUTED_VALUE"""),"JAMBI")</f>
        <v>JAMBI</v>
      </c>
      <c r="I1777" s="222" t="str">
        <f>IFERROR(__xludf.DUMMYFUNCTION("""COMPUTED_VALUE"""),"Batch 2")</f>
        <v>Batch 2</v>
      </c>
      <c r="J1777" s="225">
        <f>IFERROR(__xludf.DUMMYFUNCTION("""COMPUTED_VALUE"""),39.0)</f>
        <v>39</v>
      </c>
      <c r="K1777" s="224">
        <f>IFERROR(__xludf.DUMMYFUNCTION("""COMPUTED_VALUE"""),304.0)</f>
        <v>304</v>
      </c>
      <c r="L1777" s="226">
        <f>IFERROR(__xludf.DUMMYFUNCTION("""COMPUTED_VALUE"""),1408543.0)</f>
        <v>1408543</v>
      </c>
      <c r="M1777" s="227">
        <f>IFERROR(__xludf.DUMMYFUNCTION("""COMPUTED_VALUE"""),4.28196808E8)</f>
        <v>428196808</v>
      </c>
      <c r="N1777" s="222" t="str">
        <f>IFERROR(__xludf.DUMMYFUNCTION("""COMPUTED_VALUE"""),"PT ALAM UTAMA MULIA")</f>
        <v>PT ALAM UTAMA MULIA</v>
      </c>
      <c r="O1777" s="222" t="str">
        <f>IFERROR(__xludf.DUMMYFUNCTION("""COMPUTED_VALUE"""),"0. DROP")</f>
        <v>0. DROP</v>
      </c>
      <c r="P1777" s="222" t="str">
        <f>IFERROR(__xludf.DUMMYFUNCTION("""COMPUTED_VALUE"""),"0.3 Feeder Full")</f>
        <v>0.3 Feeder Full</v>
      </c>
      <c r="Q1777" s="222" t="str">
        <f>IFERROR(__xludf.DUMMYFUNCTION("""COMPUTED_VALUE"""),"(12/1) BA Drop Sirkulir-PERMINTAAN TIF, UPLINK MINOL Feeder habis 6/11 hold (04/11)NEED SUPPORT TSEL PERIJININ LOKASI MARGA MULYA(15/10) UPLINK MINI OLT SUNGAI BAHAR BLM READY 08/10 Done Aanwijzing 06/10 Penjadwalan aanwijzing (16/09) Mapping mitra")</f>
        <v>(12/1) BA Drop Sirkulir-PERMINTAAN TIF, UPLINK MINOL Feeder habis 6/11 hold (04/11)NEED SUPPORT TSEL PERIJININ LOKASI MARGA MULYA(15/10) UPLINK MINI OLT SUNGAI BAHAR BLM READY 08/10 Done Aanwijzing 06/10 Penjadwalan aanwijzing (16/09) Mapping mitra</v>
      </c>
      <c r="R1777" s="228"/>
      <c r="S1777" s="11"/>
      <c r="T1777" s="11"/>
      <c r="U1777" s="11"/>
      <c r="V1777" s="229"/>
      <c r="W1777" s="229"/>
      <c r="X1777" s="229" t="str">
        <f>IFERROR(__xludf.DUMMYFUNCTION("""COMPUTED_VALUE"""),"BELUM GOLIVE")</f>
        <v>BELUM GOLIVE</v>
      </c>
      <c r="Y1777" s="229"/>
      <c r="Z1777" s="229"/>
      <c r="AA1777" s="229"/>
      <c r="AB1777" s="229"/>
      <c r="AC1777" s="229"/>
      <c r="AD1777" s="232"/>
      <c r="AE1777" s="233"/>
      <c r="AF1777" s="54" t="str">
        <f>IFERROR(__xludf.DUMMYFUNCTION("""COMPUTED_VALUE"""),"Draft BA DROP")</f>
        <v>Draft BA DROP</v>
      </c>
      <c r="AG1777" s="54"/>
      <c r="AH1777" s="54"/>
      <c r="AI1777" s="55" t="str">
        <f t="shared" si="179"/>
        <v/>
      </c>
      <c r="AW1777" s="234"/>
      <c r="BP1777" s="11"/>
      <c r="BQ1777" s="11"/>
      <c r="BR1777" s="235"/>
      <c r="BV1777" s="158"/>
      <c r="BY1777" s="158"/>
      <c r="CB1777" s="158"/>
    </row>
    <row r="1778" ht="18.0" customHeight="1">
      <c r="A1778" s="222">
        <f>IFERROR(__xludf.DUMMYFUNCTION("""COMPUTED_VALUE"""),2026.0)</f>
        <v>2026</v>
      </c>
      <c r="B1778" s="221">
        <f>IFERROR(__xludf.DUMMYFUNCTION("""COMPUTED_VALUE"""),1.159015E7)</f>
        <v>11590150</v>
      </c>
      <c r="C1778" s="222" t="str">
        <f>IFERROR(__xludf.DUMMYFUNCTION("""COMPUTED_VALUE"""),"RKP TSEL PT3 SLU-FCM GRAND VICTORIA")</f>
        <v>RKP TSEL PT3 SLU-FCM GRAND VICTORIA</v>
      </c>
      <c r="D1778" s="222" t="str">
        <f>IFERROR(__xludf.DUMMYFUNCTION("""COMPUTED_VALUE"""),"REGIONAL I")</f>
        <v>REGIONAL I</v>
      </c>
      <c r="E1778" s="222" t="str">
        <f>IFERROR(__xludf.DUMMYFUNCTION("""COMPUTED_VALUE"""),"RIKEP")</f>
        <v>RIKEP</v>
      </c>
      <c r="F1778" s="222" t="str">
        <f>IFERROR(__xludf.DUMMYFUNCTION("""COMPUTED_VALUE"""),"SLU")</f>
        <v>SLU</v>
      </c>
      <c r="G1778" s="222" t="str">
        <f>IFERROR(__xludf.DUMMYFUNCTION("""COMPUTED_VALUE"""),"SUMBAGTENG")</f>
        <v>SUMBAGTENG</v>
      </c>
      <c r="H1778" s="222" t="str">
        <f>IFERROR(__xludf.DUMMYFUNCTION("""COMPUTED_VALUE"""),"BATAM")</f>
        <v>BATAM</v>
      </c>
      <c r="I1778" s="222" t="str">
        <f>IFERROR(__xludf.DUMMYFUNCTION("""COMPUTED_VALUE"""),"Batch 2")</f>
        <v>Batch 2</v>
      </c>
      <c r="J1778" s="225">
        <f>IFERROR(__xludf.DUMMYFUNCTION("""COMPUTED_VALUE"""),1.0)</f>
        <v>1</v>
      </c>
      <c r="K1778" s="224">
        <f>IFERROR(__xludf.DUMMYFUNCTION("""COMPUTED_VALUE"""),8.0)</f>
        <v>8</v>
      </c>
      <c r="L1778" s="226">
        <f>IFERROR(__xludf.DUMMYFUNCTION("""COMPUTED_VALUE"""),1026638.0)</f>
        <v>1026638</v>
      </c>
      <c r="M1778" s="227">
        <f>IFERROR(__xludf.DUMMYFUNCTION("""COMPUTED_VALUE"""),8213102.0)</f>
        <v>8213102</v>
      </c>
      <c r="N1778" s="222" t="str">
        <f>IFERROR(__xludf.DUMMYFUNCTION("""COMPUTED_VALUE"""),"PT TRIPOLA PANATA")</f>
        <v>PT TRIPOLA PANATA</v>
      </c>
      <c r="O1778" s="222" t="str">
        <f>IFERROR(__xludf.DUMMYFUNCTION("""COMPUTED_VALUE"""),"0. DROP")</f>
        <v>0. DROP</v>
      </c>
      <c r="P1778" s="222" t="str">
        <f>IFERROR(__xludf.DUMMYFUNCTION("""COMPUTED_VALUE"""),"0.2 Tidak Dapat Izin Warga/Kades/Lurah/Developer")</f>
        <v>0.2 Tidak Dapat Izin Warga/Kades/Lurah/Developer</v>
      </c>
      <c r="Q1778" s="222" t="str">
        <f>IFERROR(__xludf.DUMMYFUNCTION("""COMPUTED_VALUE"""),"28/01 izin di tolak RW, karena ada provider lain. 21/01 Mitra tripola belum ada PIC untuk anwijzing. 21/03 plan survey minggu ini 25 Jan")</f>
        <v>28/01 izin di tolak RW, karena ada provider lain. 21/01 Mitra tripola belum ada PIC untuk anwijzing. 21/03 plan survey minggu ini 25 Jan</v>
      </c>
      <c r="R1778" s="228"/>
      <c r="S1778" s="11"/>
      <c r="T1778" s="11"/>
      <c r="U1778" s="11"/>
      <c r="V1778" s="229" t="str">
        <f>IFERROR(__xludf.DUMMYFUNCTION("""COMPUTED_VALUE"""),"MUHAMMAD RIDHO FALFO")</f>
        <v>MUHAMMAD RIDHO FALFO</v>
      </c>
      <c r="W1778" s="229" t="str">
        <f>IFERROR(__xludf.DUMMYFUNCTION("""COMPUTED_VALUE"""),"LEVITA INDRIYANI")</f>
        <v>LEVITA INDRIYANI</v>
      </c>
      <c r="X1778" s="229" t="str">
        <f>IFERROR(__xludf.DUMMYFUNCTION("""COMPUTED_VALUE"""),"BELUM GOLIVE")</f>
        <v>BELUM GOLIVE</v>
      </c>
      <c r="Y1778" s="229"/>
      <c r="Z1778" s="229" t="str">
        <f>IFERROR(__xludf.DUMMYFUNCTION("""COMPUTED_VALUE"""),"#N/A")</f>
        <v>#N/A</v>
      </c>
      <c r="AA1778" s="229"/>
      <c r="AB1778" s="229"/>
      <c r="AC1778" s="229"/>
      <c r="AD1778" s="232"/>
      <c r="AE1778" s="233"/>
      <c r="AF1778" s="54" t="str">
        <f>IFERROR(__xludf.DUMMYFUNCTION("""COMPUTED_VALUE"""),"Draft BA DROP")</f>
        <v>Draft BA DROP</v>
      </c>
      <c r="AG1778" s="54"/>
      <c r="AH1778" s="54"/>
      <c r="AI1778" s="55" t="str">
        <f t="shared" si="179"/>
        <v/>
      </c>
      <c r="AW1778" s="234"/>
      <c r="BP1778" s="11"/>
      <c r="BQ1778" s="11"/>
      <c r="BR1778" s="235"/>
      <c r="BV1778" s="158"/>
      <c r="BY1778" s="158"/>
      <c r="CB1778" s="158"/>
    </row>
    <row r="1779" ht="18.0" customHeight="1">
      <c r="A1779" s="222">
        <f>IFERROR(__xludf.DUMMYFUNCTION("""COMPUTED_VALUE"""),2026.0)</f>
        <v>2026</v>
      </c>
      <c r="B1779" s="221">
        <f>IFERROR(__xludf.DUMMYFUNCTION("""COMPUTED_VALUE"""),1.1590157E7)</f>
        <v>11590157</v>
      </c>
      <c r="C1779" s="222" t="str">
        <f>IFERROR(__xludf.DUMMYFUNCTION("""COMPUTED_VALUE"""),"RKP TSEL PT3 SLU-FAX MUKA KUNING INDAH 2")</f>
        <v>RKP TSEL PT3 SLU-FAX MUKA KUNING INDAH 2</v>
      </c>
      <c r="D1779" s="222" t="str">
        <f>IFERROR(__xludf.DUMMYFUNCTION("""COMPUTED_VALUE"""),"REGIONAL I")</f>
        <v>REGIONAL I</v>
      </c>
      <c r="E1779" s="222" t="str">
        <f>IFERROR(__xludf.DUMMYFUNCTION("""COMPUTED_VALUE"""),"RIKEP")</f>
        <v>RIKEP</v>
      </c>
      <c r="F1779" s="222" t="str">
        <f>IFERROR(__xludf.DUMMYFUNCTION("""COMPUTED_VALUE"""),"SLU")</f>
        <v>SLU</v>
      </c>
      <c r="G1779" s="222" t="str">
        <f>IFERROR(__xludf.DUMMYFUNCTION("""COMPUTED_VALUE"""),"SUMBAGTENG")</f>
        <v>SUMBAGTENG</v>
      </c>
      <c r="H1779" s="222" t="str">
        <f>IFERROR(__xludf.DUMMYFUNCTION("""COMPUTED_VALUE"""),"BATAM")</f>
        <v>BATAM</v>
      </c>
      <c r="I1779" s="222" t="str">
        <f>IFERROR(__xludf.DUMMYFUNCTION("""COMPUTED_VALUE"""),"Batch 2")</f>
        <v>Batch 2</v>
      </c>
      <c r="J1779" s="225">
        <f>IFERROR(__xludf.DUMMYFUNCTION("""COMPUTED_VALUE"""),2.0)</f>
        <v>2</v>
      </c>
      <c r="K1779" s="224">
        <f>IFERROR(__xludf.DUMMYFUNCTION("""COMPUTED_VALUE"""),16.0)</f>
        <v>16</v>
      </c>
      <c r="L1779" s="226">
        <f>IFERROR(__xludf.DUMMYFUNCTION("""COMPUTED_VALUE"""),860666.0)</f>
        <v>860666</v>
      </c>
      <c r="M1779" s="227">
        <f>IFERROR(__xludf.DUMMYFUNCTION("""COMPUTED_VALUE"""),1.3770647E7)</f>
        <v>13770647</v>
      </c>
      <c r="N1779" s="222" t="str">
        <f>IFERROR(__xludf.DUMMYFUNCTION("""COMPUTED_VALUE"""),"PT TRIPOLA PANATA")</f>
        <v>PT TRIPOLA PANATA</v>
      </c>
      <c r="O1779" s="222" t="str">
        <f>IFERROR(__xludf.DUMMYFUNCTION("""COMPUTED_VALUE"""),"0. DROP")</f>
        <v>0. DROP</v>
      </c>
      <c r="P1779" s="222" t="str">
        <f>IFERROR(__xludf.DUMMYFUNCTION("""COMPUTED_VALUE"""),"0.2 Tidak Dapat Izin Warga/Kades/Lurah/Developer")</f>
        <v>0.2 Tidak Dapat Izin Warga/Kades/Lurah/Developer</v>
      </c>
      <c r="Q1779" s="222" t="str">
        <f>IFERROR(__xludf.DUMMYFUNCTION("""COMPUTED_VALUE"""),"21/01 Izin di tolak'")</f>
        <v>21/01 Izin di tolak'</v>
      </c>
      <c r="R1779" s="228"/>
      <c r="S1779" s="11"/>
      <c r="T1779" s="11"/>
      <c r="U1779" s="11"/>
      <c r="V1779" s="229" t="str">
        <f>IFERROR(__xludf.DUMMYFUNCTION("""COMPUTED_VALUE"""),"MUHAMMAD RIDHO FALFO")</f>
        <v>MUHAMMAD RIDHO FALFO</v>
      </c>
      <c r="W1779" s="229" t="str">
        <f>IFERROR(__xludf.DUMMYFUNCTION("""COMPUTED_VALUE"""),"LEVITA INDRIYANI")</f>
        <v>LEVITA INDRIYANI</v>
      </c>
      <c r="X1779" s="229" t="str">
        <f>IFERROR(__xludf.DUMMYFUNCTION("""COMPUTED_VALUE"""),"BELUM GOLIVE")</f>
        <v>BELUM GOLIVE</v>
      </c>
      <c r="Y1779" s="229"/>
      <c r="Z1779" s="229" t="str">
        <f>IFERROR(__xludf.DUMMYFUNCTION("""COMPUTED_VALUE"""),"#N/A")</f>
        <v>#N/A</v>
      </c>
      <c r="AA1779" s="229"/>
      <c r="AB1779" s="229"/>
      <c r="AC1779" s="229"/>
      <c r="AD1779" s="232"/>
      <c r="AE1779" s="233"/>
      <c r="AF1779" s="54" t="str">
        <f>IFERROR(__xludf.DUMMYFUNCTION("""COMPUTED_VALUE"""),"Draft BA DROP")</f>
        <v>Draft BA DROP</v>
      </c>
      <c r="AG1779" s="54"/>
      <c r="AH1779" s="54"/>
      <c r="AI1779" s="55" t="str">
        <f t="shared" si="179"/>
        <v/>
      </c>
      <c r="AW1779" s="234"/>
      <c r="BP1779" s="11"/>
      <c r="BQ1779" s="11"/>
      <c r="BR1779" s="235"/>
      <c r="BV1779" s="158"/>
      <c r="BY1779" s="158"/>
      <c r="CB1779" s="158"/>
    </row>
    <row r="1780" ht="18.0" customHeight="1">
      <c r="A1780" s="222">
        <f>IFERROR(__xludf.DUMMYFUNCTION("""COMPUTED_VALUE"""),2026.0)</f>
        <v>2026</v>
      </c>
      <c r="B1780" s="221">
        <f>IFERROR(__xludf.DUMMYFUNCTION("""COMPUTED_VALUE"""),1.1901756E7)</f>
        <v>11901756</v>
      </c>
      <c r="C1780" s="222" t="str">
        <f>IFERROR(__xludf.DUMMYFUNCTION("""COMPUTED_VALUE"""),"RKP TSEL PT3 SLU-FQ TAMAN CIPTA INDAH 2")</f>
        <v>RKP TSEL PT3 SLU-FQ TAMAN CIPTA INDAH 2</v>
      </c>
      <c r="D1780" s="222" t="str">
        <f>IFERROR(__xludf.DUMMYFUNCTION("""COMPUTED_VALUE"""),"REGIONAL I")</f>
        <v>REGIONAL I</v>
      </c>
      <c r="E1780" s="222" t="str">
        <f>IFERROR(__xludf.DUMMYFUNCTION("""COMPUTED_VALUE"""),"RIKEP")</f>
        <v>RIKEP</v>
      </c>
      <c r="F1780" s="222" t="str">
        <f>IFERROR(__xludf.DUMMYFUNCTION("""COMPUTED_VALUE"""),"SLU")</f>
        <v>SLU</v>
      </c>
      <c r="G1780" s="222" t="str">
        <f>IFERROR(__xludf.DUMMYFUNCTION("""COMPUTED_VALUE"""),"SUMBAGTENG")</f>
        <v>SUMBAGTENG</v>
      </c>
      <c r="H1780" s="222" t="str">
        <f>IFERROR(__xludf.DUMMYFUNCTION("""COMPUTED_VALUE"""),"BATAM")</f>
        <v>BATAM</v>
      </c>
      <c r="I1780" s="222" t="str">
        <f>IFERROR(__xludf.DUMMYFUNCTION("""COMPUTED_VALUE"""),"Batch 2")</f>
        <v>Batch 2</v>
      </c>
      <c r="J1780" s="225">
        <f>IFERROR(__xludf.DUMMYFUNCTION("""COMPUTED_VALUE"""),9.0)</f>
        <v>9</v>
      </c>
      <c r="K1780" s="224">
        <f>IFERROR(__xludf.DUMMYFUNCTION("""COMPUTED_VALUE"""),72.0)</f>
        <v>72</v>
      </c>
      <c r="L1780" s="226">
        <f>IFERROR(__xludf.DUMMYFUNCTION("""COMPUTED_VALUE"""),1054552.0)</f>
        <v>1054552</v>
      </c>
      <c r="M1780" s="227">
        <f>IFERROR(__xludf.DUMMYFUNCTION("""COMPUTED_VALUE"""),7.5927688E7)</f>
        <v>75927688</v>
      </c>
      <c r="N1780" s="222" t="str">
        <f>IFERROR(__xludf.DUMMYFUNCTION("""COMPUTED_VALUE"""),"PT TRIPOLA PANATA")</f>
        <v>PT TRIPOLA PANATA</v>
      </c>
      <c r="O1780" s="222" t="str">
        <f>IFERROR(__xludf.DUMMYFUNCTION("""COMPUTED_VALUE"""),"0. DROP")</f>
        <v>0. DROP</v>
      </c>
      <c r="P1780" s="222" t="str">
        <f>IFERROR(__xludf.DUMMYFUNCTION("""COMPUTED_VALUE"""),"0.2 Tidak Dapat Izin Warga/Kades/Lurah/Developer")</f>
        <v>0.2 Tidak Dapat Izin Warga/Kades/Lurah/Developer</v>
      </c>
      <c r="Q1780" s="222" t="str">
        <f>IFERROR(__xludf.DUMMYFUNCTION("""COMPUTED_VALUE"""),"21/01 RT RW meminta uang kas bulanan selamanya")</f>
        <v>21/01 RT RW meminta uang kas bulanan selamanya</v>
      </c>
      <c r="R1780" s="228"/>
      <c r="S1780" s="11"/>
      <c r="T1780" s="11"/>
      <c r="U1780" s="11"/>
      <c r="V1780" s="229" t="str">
        <f>IFERROR(__xludf.DUMMYFUNCTION("""COMPUTED_VALUE"""),"MUHAMMAD RIDHO FALFO")</f>
        <v>MUHAMMAD RIDHO FALFO</v>
      </c>
      <c r="W1780" s="229" t="str">
        <f>IFERROR(__xludf.DUMMYFUNCTION("""COMPUTED_VALUE"""),"LEVITA INDRIYANI")</f>
        <v>LEVITA INDRIYANI</v>
      </c>
      <c r="X1780" s="229" t="str">
        <f>IFERROR(__xludf.DUMMYFUNCTION("""COMPUTED_VALUE"""),"BELUM GOLIVE")</f>
        <v>BELUM GOLIVE</v>
      </c>
      <c r="Y1780" s="229"/>
      <c r="Z1780" s="229" t="str">
        <f>IFERROR(__xludf.DUMMYFUNCTION("""COMPUTED_VALUE"""),"#N/A")</f>
        <v>#N/A</v>
      </c>
      <c r="AA1780" s="229"/>
      <c r="AB1780" s="229"/>
      <c r="AC1780" s="229"/>
      <c r="AD1780" s="232"/>
      <c r="AE1780" s="233"/>
      <c r="AF1780" s="54" t="str">
        <f>IFERROR(__xludf.DUMMYFUNCTION("""COMPUTED_VALUE"""),"Draft BA DROP")</f>
        <v>Draft BA DROP</v>
      </c>
      <c r="AG1780" s="54"/>
      <c r="AH1780" s="54"/>
      <c r="AI1780" s="55" t="str">
        <f t="shared" si="179"/>
        <v/>
      </c>
      <c r="AW1780" s="234"/>
      <c r="BP1780" s="11"/>
      <c r="BQ1780" s="11"/>
      <c r="BR1780" s="235"/>
      <c r="BV1780" s="158"/>
      <c r="BY1780" s="158"/>
      <c r="CB1780" s="158"/>
    </row>
    <row r="1781" ht="18.0" customHeight="1">
      <c r="A1781" s="222">
        <f>IFERROR(__xludf.DUMMYFUNCTION("""COMPUTED_VALUE"""),2026.0)</f>
        <v>2026</v>
      </c>
      <c r="B1781" s="221">
        <f>IFERROR(__xludf.DUMMYFUNCTION("""COMPUTED_VALUE"""),1.1901669E7)</f>
        <v>11901669</v>
      </c>
      <c r="C1781" s="222" t="str">
        <f>IFERROR(__xludf.DUMMYFUNCTION("""COMPUTED_VALUE"""),"RKP TSEL PT3 LBJ-FBW KOTA BATAM_8307")</f>
        <v>RKP TSEL PT3 LBJ-FBW KOTA BATAM_8307</v>
      </c>
      <c r="D1781" s="222" t="str">
        <f>IFERROR(__xludf.DUMMYFUNCTION("""COMPUTED_VALUE"""),"REGIONAL I")</f>
        <v>REGIONAL I</v>
      </c>
      <c r="E1781" s="222" t="str">
        <f>IFERROR(__xludf.DUMMYFUNCTION("""COMPUTED_VALUE"""),"RIKEP")</f>
        <v>RIKEP</v>
      </c>
      <c r="F1781" s="222" t="str">
        <f>IFERROR(__xludf.DUMMYFUNCTION("""COMPUTED_VALUE"""),"LBJ")</f>
        <v>LBJ</v>
      </c>
      <c r="G1781" s="222" t="str">
        <f>IFERROR(__xludf.DUMMYFUNCTION("""COMPUTED_VALUE"""),"SUMBAGTENG")</f>
        <v>SUMBAGTENG</v>
      </c>
      <c r="H1781" s="222" t="str">
        <f>IFERROR(__xludf.DUMMYFUNCTION("""COMPUTED_VALUE"""),"BATAM")</f>
        <v>BATAM</v>
      </c>
      <c r="I1781" s="222" t="str">
        <f>IFERROR(__xludf.DUMMYFUNCTION("""COMPUTED_VALUE"""),"Batch 2")</f>
        <v>Batch 2</v>
      </c>
      <c r="J1781" s="225">
        <f>IFERROR(__xludf.DUMMYFUNCTION("""COMPUTED_VALUE"""),1.0)</f>
        <v>1</v>
      </c>
      <c r="K1781" s="224">
        <f>IFERROR(__xludf.DUMMYFUNCTION("""COMPUTED_VALUE"""),8.0)</f>
        <v>8</v>
      </c>
      <c r="L1781" s="226">
        <f>IFERROR(__xludf.DUMMYFUNCTION("""COMPUTED_VALUE"""),405136.0)</f>
        <v>405136</v>
      </c>
      <c r="M1781" s="227">
        <f>IFERROR(__xludf.DUMMYFUNCTION("""COMPUTED_VALUE"""),3241081.0)</f>
        <v>3241081</v>
      </c>
      <c r="N1781" s="222" t="str">
        <f>IFERROR(__xludf.DUMMYFUNCTION("""COMPUTED_VALUE"""),"PT HDUA PUTRA PRAJODA")</f>
        <v>PT HDUA PUTRA PRAJODA</v>
      </c>
      <c r="O1781" s="222" t="str">
        <f>IFERROR(__xludf.DUMMYFUNCTION("""COMPUTED_VALUE"""),"0. DROP")</f>
        <v>0. DROP</v>
      </c>
      <c r="P1781" s="222" t="str">
        <f>IFERROR(__xludf.DUMMYFUNCTION("""COMPUTED_VALUE"""),"0.2 Tidak Dapat Izin Warga/Kades/Lurah/Developer")</f>
        <v>0.2 Tidak Dapat Izin Warga/Kades/Lurah/Developer</v>
      </c>
      <c r="Q1781" s="222" t="str">
        <f>IFERROR(__xludf.DUMMYFUNCTION("""COMPUTED_VALUE"""),"04/03 Izin tanam tiang baru tidak di acc . 
18/02 RT sedang tidak ada dirumah. 
16/02 Plan anwijzing 18 Feb. 11/02 Peralihan mitra. 28/01 Plan survey 29 Jan. 28/01 Mitra tripola belum ada PIC untuk anwijzing. 23/01 Plan anwijzing 26 Jan, pic mitra ada per"&amp;"tanggal 25 jan. 21/01 proses penunjukan mitra ")</f>
        <v>04/03 Izin tanam tiang baru tidak di acc . 
18/02 RT sedang tidak ada dirumah. 
16/02 Plan anwijzing 18 Feb. 11/02 Peralihan mitra. 28/01 Plan survey 29 Jan. 28/01 Mitra tripola belum ada PIC untuk anwijzing. 23/01 Plan anwijzing 26 Jan, pic mitra ada pertanggal 25 jan. 21/01 proses penunjukan mitra </v>
      </c>
      <c r="R1781" s="228"/>
      <c r="S1781" s="11"/>
      <c r="T1781" s="11"/>
      <c r="U1781" s="11"/>
      <c r="V1781" s="229" t="str">
        <f>IFERROR(__xludf.DUMMYFUNCTION("""COMPUTED_VALUE"""),"RONALDO LEO INFANTRI")</f>
        <v>RONALDO LEO INFANTRI</v>
      </c>
      <c r="W1781" s="229" t="str">
        <f>IFERROR(__xludf.DUMMYFUNCTION("""COMPUTED_VALUE"""),"LEVITA INDRIYANI")</f>
        <v>LEVITA INDRIYANI</v>
      </c>
      <c r="X1781" s="229" t="str">
        <f>IFERROR(__xludf.DUMMYFUNCTION("""COMPUTED_VALUE"""),"BELUM GOLIVE")</f>
        <v>BELUM GOLIVE</v>
      </c>
      <c r="Y1781" s="229"/>
      <c r="Z1781" s="229" t="str">
        <f>IFERROR(__xludf.DUMMYFUNCTION("""COMPUTED_VALUE"""),"#N/A")</f>
        <v>#N/A</v>
      </c>
      <c r="AA1781" s="229"/>
      <c r="AB1781" s="229"/>
      <c r="AC1781" s="229"/>
      <c r="AD1781" s="232"/>
      <c r="AE1781" s="233"/>
      <c r="AF1781" s="54"/>
      <c r="AG1781" s="54"/>
      <c r="AH1781" s="54"/>
      <c r="AI1781" s="55" t="str">
        <f t="shared" si="179"/>
        <v/>
      </c>
      <c r="AW1781" s="234"/>
      <c r="BP1781" s="11"/>
      <c r="BQ1781" s="11"/>
      <c r="BR1781" s="235"/>
      <c r="BV1781" s="158"/>
      <c r="BY1781" s="158"/>
      <c r="CB1781" s="158"/>
    </row>
    <row r="1782" ht="18.0" hidden="1" customHeight="1">
      <c r="A1782" s="222">
        <f>IFERROR(__xludf.DUMMYFUNCTION("""COMPUTED_VALUE"""),2026.0)</f>
        <v>2026</v>
      </c>
      <c r="B1782" s="221">
        <f>IFERROR(__xludf.DUMMYFUNCTION("""COMPUTED_VALUE"""),1.1350312E7)</f>
        <v>11350312</v>
      </c>
      <c r="C1782" s="222" t="str">
        <f>IFERROR(__xludf.DUMMYFUNCTION("""COMPUTED_VALUE"""),"ACH PT3 LTM-FK EXP.D06 LAMBATEE_MD")</f>
        <v>ACH PT3 LTM-FK EXP.D06 LAMBATEE_MD</v>
      </c>
      <c r="D1782" s="222" t="str">
        <f>IFERROR(__xludf.DUMMYFUNCTION("""COMPUTED_VALUE"""),"REGIONAL I")</f>
        <v>REGIONAL I</v>
      </c>
      <c r="E1782" s="222" t="str">
        <f>IFERROR(__xludf.DUMMYFUNCTION("""COMPUTED_VALUE"""),"ACEH")</f>
        <v>ACEH</v>
      </c>
      <c r="F1782" s="222" t="str">
        <f>IFERROR(__xludf.DUMMYFUNCTION("""COMPUTED_VALUE"""),"LBR")</f>
        <v>LBR</v>
      </c>
      <c r="G1782" s="222" t="str">
        <f>IFERROR(__xludf.DUMMYFUNCTION("""COMPUTED_VALUE"""),"SUMBAGUT")</f>
        <v>SUMBAGUT</v>
      </c>
      <c r="H1782" s="222" t="str">
        <f>IFERROR(__xludf.DUMMYFUNCTION("""COMPUTED_VALUE"""),"BANDA ACEH")</f>
        <v>BANDA ACEH</v>
      </c>
      <c r="I1782" s="222" t="str">
        <f>IFERROR(__xludf.DUMMYFUNCTION("""COMPUTED_VALUE"""),"Batch 2")</f>
        <v>Batch 2</v>
      </c>
      <c r="J1782" s="225">
        <f>IFERROR(__xludf.DUMMYFUNCTION("""COMPUTED_VALUE"""),5.0)</f>
        <v>5</v>
      </c>
      <c r="K1782" s="224">
        <f>IFERROR(__xludf.DUMMYFUNCTION("""COMPUTED_VALUE"""),40.0)</f>
        <v>40</v>
      </c>
      <c r="L1782" s="226">
        <f>IFERROR(__xludf.DUMMYFUNCTION("""COMPUTED_VALUE"""),1410274.0)</f>
        <v>1410274</v>
      </c>
      <c r="M1782" s="227">
        <f>IFERROR(__xludf.DUMMYFUNCTION("""COMPUTED_VALUE"""),5.6410939E7)</f>
        <v>56410939</v>
      </c>
      <c r="N1782" s="222" t="str">
        <f>IFERROR(__xludf.DUMMYFUNCTION("""COMPUTED_VALUE"""),"PT NURISA JAYA PERKASA")</f>
        <v>PT NURISA JAYA PERKASA</v>
      </c>
      <c r="O1782" s="222" t="str">
        <f>IFERROR(__xludf.DUMMYFUNCTION("""COMPUTED_VALUE"""),"2. DONE AANWIJZING")</f>
        <v>2. DONE AANWIJZING</v>
      </c>
      <c r="P1782" s="222" t="str">
        <f>IFERROR(__xludf.DUMMYFUNCTION("""COMPUTED_VALUE"""),"2.10 Kendala - Feeder Rusak")</f>
        <v>2.10 Kendala - Feeder Rusak</v>
      </c>
      <c r="Q1782" s="222" t="str">
        <f>IFERROR(__xludf.DUMMYFUNCTION("""COMPUTED_VALUE"""),"29/01 Perlu review solusi QE Feeder rusak dengan TIF  (07/01) Persiapan")</f>
        <v>29/01 Perlu review solusi QE Feeder rusak dengan TIF  (07/01) Persiapan</v>
      </c>
      <c r="R1782" s="228"/>
      <c r="S1782" s="11"/>
      <c r="T1782" s="11"/>
      <c r="U1782" s="11"/>
      <c r="V1782" s="229"/>
      <c r="W1782" s="229"/>
      <c r="X1782" s="229" t="str">
        <f>IFERROR(__xludf.DUMMYFUNCTION("""COMPUTED_VALUE"""),"BELUM GOLIVE")</f>
        <v>BELUM GOLIVE</v>
      </c>
      <c r="Y1782" s="229"/>
      <c r="Z1782" s="229" t="str">
        <f>IFERROR(__xludf.DUMMYFUNCTION("""COMPUTED_VALUE"""),"#N/A")</f>
        <v>#N/A</v>
      </c>
      <c r="AA1782" s="229"/>
      <c r="AB1782" s="229"/>
      <c r="AC1782" s="229"/>
      <c r="AD1782" s="232"/>
      <c r="AE1782" s="233"/>
      <c r="AF1782" s="54"/>
      <c r="AG1782" s="54"/>
      <c r="AH1782" s="54"/>
      <c r="AI1782" s="55" t="str">
        <f t="shared" si="179"/>
        <v/>
      </c>
      <c r="AW1782" s="234"/>
      <c r="BP1782" s="11"/>
      <c r="BQ1782" s="11"/>
      <c r="BR1782" s="235"/>
      <c r="BV1782" s="158"/>
      <c r="BY1782" s="158"/>
      <c r="CB1782" s="158"/>
    </row>
    <row r="1783" ht="18.0" hidden="1" customHeight="1">
      <c r="A1783" s="222">
        <f>IFERROR(__xludf.DUMMYFUNCTION("""COMPUTED_VALUE"""),2026.0)</f>
        <v>2026</v>
      </c>
      <c r="B1783" s="221">
        <f>IFERROR(__xludf.DUMMYFUNCTION("""COMPUTED_VALUE"""),1.1393517E7)</f>
        <v>11393517</v>
      </c>
      <c r="C1783" s="222" t="str">
        <f>IFERROR(__xludf.DUMMYFUNCTION("""COMPUTED_VALUE"""),"MDN PT3 STB-FN LANGKAT_9810")</f>
        <v>MDN PT3 STB-FN LANGKAT_9810</v>
      </c>
      <c r="D1783" s="222" t="str">
        <f>IFERROR(__xludf.DUMMYFUNCTION("""COMPUTED_VALUE"""),"REGIONAL I")</f>
        <v>REGIONAL I</v>
      </c>
      <c r="E1783" s="222" t="str">
        <f>IFERROR(__xludf.DUMMYFUNCTION("""COMPUTED_VALUE"""),"MEDAN")</f>
        <v>MEDAN</v>
      </c>
      <c r="F1783" s="222" t="str">
        <f>IFERROR(__xludf.DUMMYFUNCTION("""COMPUTED_VALUE"""),"STB")</f>
        <v>STB</v>
      </c>
      <c r="G1783" s="222" t="str">
        <f>IFERROR(__xludf.DUMMYFUNCTION("""COMPUTED_VALUE"""),"SUMBAGUT")</f>
        <v>SUMBAGUT</v>
      </c>
      <c r="H1783" s="222" t="str">
        <f>IFERROR(__xludf.DUMMYFUNCTION("""COMPUTED_VALUE"""),"BINJAI")</f>
        <v>BINJAI</v>
      </c>
      <c r="I1783" s="222" t="str">
        <f>IFERROR(__xludf.DUMMYFUNCTION("""COMPUTED_VALUE"""),"Batch 2")</f>
        <v>Batch 2</v>
      </c>
      <c r="J1783" s="225">
        <f>IFERROR(__xludf.DUMMYFUNCTION("""COMPUTED_VALUE"""),1.0)</f>
        <v>1</v>
      </c>
      <c r="K1783" s="224">
        <f>IFERROR(__xludf.DUMMYFUNCTION("""COMPUTED_VALUE"""),16.0)</f>
        <v>16</v>
      </c>
      <c r="L1783" s="226">
        <f>IFERROR(__xludf.DUMMYFUNCTION("""COMPUTED_VALUE"""),201702.0)</f>
        <v>201702</v>
      </c>
      <c r="M1783" s="227">
        <f>IFERROR(__xludf.DUMMYFUNCTION("""COMPUTED_VALUE"""),3227224.0)</f>
        <v>3227224</v>
      </c>
      <c r="N1783" s="222" t="str">
        <f>IFERROR(__xludf.DUMMYFUNCTION("""COMPUTED_VALUE"""),"PT KENCANA RAYA INDONESIA")</f>
        <v>PT KENCANA RAYA INDONESIA</v>
      </c>
      <c r="O1783" s="222" t="str">
        <f>IFERROR(__xludf.DUMMYFUNCTION("""COMPUTED_VALUE"""),"5. INSTALASI")</f>
        <v>5. INSTALASI</v>
      </c>
      <c r="P1783" s="222" t="str">
        <f>IFERROR(__xludf.DUMMYFUNCTION("""COMPUTED_VALUE"""),"5.9 Proses Pemasangan/Terminasi ODP/OTB")</f>
        <v>5.9 Proses Pemasangan/Terminasi ODP/OTB</v>
      </c>
      <c r="Q1783" s="222" t="str">
        <f>IFERROR(__xludf.DUMMYFUNCTION("""COMPUTED_VALUE"""),"20/04 OGP instalasi penarikan kabel
08/04 on going req material
(13/02) feeder ready (07/01) Persiapan")</f>
        <v>20/04 OGP instalasi penarikan kabel
08/04 on going req material
(13/02) feeder ready (07/01) Persiapan</v>
      </c>
      <c r="R1783" s="228">
        <f>IFERROR(__xludf.DUMMYFUNCTION("""COMPUTED_VALUE"""),46139.0)</f>
        <v>46139</v>
      </c>
      <c r="S1783" s="11" t="str">
        <f>IFERROR(__xludf.DUMMYFUNCTION("""COMPUTED_VALUE"""),"APR")</f>
        <v>APR</v>
      </c>
      <c r="T1783" s="73"/>
      <c r="U1783" s="11"/>
      <c r="V1783" s="229" t="str">
        <f>IFERROR(__xludf.DUMMYFUNCTION("""COMPUTED_VALUE"""),"28/Apr/2026")</f>
        <v>28/Apr/2026</v>
      </c>
      <c r="W1783" s="229"/>
      <c r="X1783" s="229" t="str">
        <f>IFERROR(__xludf.DUMMYFUNCTION("""COMPUTED_VALUE"""),"BELUM GOLIVE")</f>
        <v>BELUM GOLIVE</v>
      </c>
      <c r="Y1783" s="229"/>
      <c r="Z1783" s="229" t="str">
        <f>IFERROR(__xludf.DUMMYFUNCTION("""COMPUTED_VALUE"""),"#N/A")</f>
        <v>#N/A</v>
      </c>
      <c r="AA1783" s="229"/>
      <c r="AB1783" s="229"/>
      <c r="AC1783" s="229"/>
      <c r="AD1783" s="232"/>
      <c r="AE1783" s="233"/>
      <c r="AF1783" s="54"/>
      <c r="AG1783" s="54"/>
      <c r="AH1783" s="54"/>
      <c r="AI1783" s="55" t="str">
        <f t="shared" si="179"/>
        <v/>
      </c>
      <c r="AW1783" s="234"/>
      <c r="BP1783" s="11"/>
      <c r="BQ1783" s="11"/>
      <c r="BR1783" s="235"/>
      <c r="BV1783" s="158"/>
      <c r="BY1783" s="158"/>
      <c r="CB1783" s="158"/>
    </row>
    <row r="1784" ht="18.0" hidden="1" customHeight="1">
      <c r="A1784" s="222">
        <f>IFERROR(__xludf.DUMMYFUNCTION("""COMPUTED_VALUE"""),2026.0)</f>
        <v>2026</v>
      </c>
      <c r="B1784" s="221">
        <f>IFERROR(__xludf.DUMMYFUNCTION("""COMPUTED_VALUE"""),1.1326153E7)</f>
        <v>11326153</v>
      </c>
      <c r="C1784" s="222" t="str">
        <f>IFERROR(__xludf.DUMMYFUNCTION("""COMPUTED_VALUE"""),"MDN PT3 TMU-FZ ODP PRIORITAS")</f>
        <v>MDN PT3 TMU-FZ ODP PRIORITAS</v>
      </c>
      <c r="D1784" s="222" t="str">
        <f>IFERROR(__xludf.DUMMYFUNCTION("""COMPUTED_VALUE"""),"REGIONAL I")</f>
        <v>REGIONAL I</v>
      </c>
      <c r="E1784" s="222" t="str">
        <f>IFERROR(__xludf.DUMMYFUNCTION("""COMPUTED_VALUE"""),"MEDAN")</f>
        <v>MEDAN</v>
      </c>
      <c r="F1784" s="222" t="str">
        <f>IFERROR(__xludf.DUMMYFUNCTION("""COMPUTED_VALUE"""),"TMU")</f>
        <v>TMU</v>
      </c>
      <c r="G1784" s="222" t="str">
        <f>IFERROR(__xludf.DUMMYFUNCTION("""COMPUTED_VALUE"""),"SUMBAGUT")</f>
        <v>SUMBAGUT</v>
      </c>
      <c r="H1784" s="222" t="str">
        <f>IFERROR(__xludf.DUMMYFUNCTION("""COMPUTED_VALUE"""),"MEDAN")</f>
        <v>MEDAN</v>
      </c>
      <c r="I1784" s="222" t="str">
        <f>IFERROR(__xludf.DUMMYFUNCTION("""COMPUTED_VALUE"""),"Batch 2")</f>
        <v>Batch 2</v>
      </c>
      <c r="J1784" s="225">
        <f>IFERROR(__xludf.DUMMYFUNCTION("""COMPUTED_VALUE"""),14.0)</f>
        <v>14</v>
      </c>
      <c r="K1784" s="224">
        <f>IFERROR(__xludf.DUMMYFUNCTION("""COMPUTED_VALUE"""),112.0)</f>
        <v>112</v>
      </c>
      <c r="L1784" s="226">
        <f>IFERROR(__xludf.DUMMYFUNCTION("""COMPUTED_VALUE"""),778856.0)</f>
        <v>778856</v>
      </c>
      <c r="M1784" s="227">
        <f>IFERROR(__xludf.DUMMYFUNCTION("""COMPUTED_VALUE"""),8.723186E7)</f>
        <v>87231860</v>
      </c>
      <c r="N1784" s="222" t="str">
        <f>IFERROR(__xludf.DUMMYFUNCTION("""COMPUTED_VALUE"""),"PT GLOBAL KARYA WANDA")</f>
        <v>PT GLOBAL KARYA WANDA</v>
      </c>
      <c r="O1784" s="222" t="str">
        <f>IFERROR(__xludf.DUMMYFUNCTION("""COMPUTED_VALUE"""),"7. GOLIVE")</f>
        <v>7. GOLIVE</v>
      </c>
      <c r="P1784" s="222" t="str">
        <f>IFERROR(__xludf.DUMMYFUNCTION("""COMPUTED_VALUE"""),"7.2 Golive Full / OA / DONE OTB")</f>
        <v>7.2 Golive Full / OA / DONE OTB</v>
      </c>
      <c r="Q1784" s="222" t="str">
        <f>IFERROR(__xludf.DUMMYFUNCTION("""COMPUTED_VALUE"""),"05/02 Penanaman tiang 03/02 Pengambilan Material
(07/01) Persiapan")</f>
        <v>05/02 Penanaman tiang 03/02 Pengambilan Material
(07/01) Persiapan</v>
      </c>
      <c r="R1784" s="228">
        <f>IFERROR(__xludf.DUMMYFUNCTION("""COMPUTED_VALUE"""),46066.0)</f>
        <v>46066</v>
      </c>
      <c r="S1784" s="11"/>
      <c r="T1784" s="11"/>
      <c r="U1784" s="11" t="str">
        <f>IFERROR(__xludf.DUMMYFUNCTION("""COMPUTED_VALUE"""),"W01-2329/2025")</f>
        <v>W01-2329/2025</v>
      </c>
      <c r="V1784" s="229"/>
      <c r="W1784" s="229"/>
      <c r="X1784" s="229" t="str">
        <f>IFERROR(__xludf.DUMMYFUNCTION("""COMPUTED_VALUE"""),"GOLIVE")</f>
        <v>GOLIVE</v>
      </c>
      <c r="Y1784" s="229" t="str">
        <f>IFERROR(__xludf.DUMMYFUNCTION("""COMPUTED_VALUE"""),"DONE")</f>
        <v>DONE</v>
      </c>
      <c r="Z1784" s="229" t="str">
        <f>IFERROR(__xludf.DUMMYFUNCTION("""COMPUTED_VALUE"""),"#N/A")</f>
        <v>#N/A</v>
      </c>
      <c r="AA1784" s="229">
        <f>IFERROR(__xludf.DUMMYFUNCTION("""COMPUTED_VALUE"""),7.0)</f>
        <v>7</v>
      </c>
      <c r="AB1784" s="229"/>
      <c r="AC1784" s="229" t="str">
        <f>IFERROR(__xludf.DUMMYFUNCTION("""COMPUTED_VALUE"""),"9111750#9111755")</f>
        <v>9111750#9111755</v>
      </c>
      <c r="AD1784" s="232">
        <f>IFERROR(__xludf.DUMMYFUNCTION("""COMPUTED_VALUE"""),56.0)</f>
        <v>56</v>
      </c>
      <c r="AE1784" s="233">
        <f>IFERROR(__xludf.DUMMYFUNCTION("""COMPUTED_VALUE"""),46066.0)</f>
        <v>46066</v>
      </c>
      <c r="AF1784" s="54"/>
      <c r="AG1784" s="54"/>
      <c r="AH1784" s="54">
        <v>46066.0</v>
      </c>
      <c r="AI1784" s="55">
        <f t="shared" si="179"/>
        <v>0</v>
      </c>
      <c r="AW1784" s="234"/>
      <c r="BP1784" s="11"/>
      <c r="BQ1784" s="11"/>
      <c r="BR1784" s="235"/>
      <c r="BV1784" s="158"/>
      <c r="BY1784" s="158"/>
      <c r="CB1784" s="158"/>
    </row>
    <row r="1785" ht="18.0" hidden="1" customHeight="1">
      <c r="A1785" s="222">
        <f>IFERROR(__xludf.DUMMYFUNCTION("""COMPUTED_VALUE"""),2026.0)</f>
        <v>2026</v>
      </c>
      <c r="B1785" s="221">
        <f>IFERROR(__xludf.DUMMYFUNCTION("""COMPUTED_VALUE"""),1.1535961E7)</f>
        <v>11535961</v>
      </c>
      <c r="C1785" s="222" t="str">
        <f>IFERROR(__xludf.DUMMYFUNCTION("""COMPUTED_VALUE"""),"MDN PT3 SPM-FAA JL.MUARA GG.MAULIATE")</f>
        <v>MDN PT3 SPM-FAA JL.MUARA GG.MAULIATE</v>
      </c>
      <c r="D1785" s="222" t="str">
        <f>IFERROR(__xludf.DUMMYFUNCTION("""COMPUTED_VALUE"""),"REGIONAL I")</f>
        <v>REGIONAL I</v>
      </c>
      <c r="E1785" s="222" t="str">
        <f>IFERROR(__xludf.DUMMYFUNCTION("""COMPUTED_VALUE"""),"MEDAN")</f>
        <v>MEDAN</v>
      </c>
      <c r="F1785" s="222" t="str">
        <f>IFERROR(__xludf.DUMMYFUNCTION("""COMPUTED_VALUE"""),"SPM")</f>
        <v>SPM</v>
      </c>
      <c r="G1785" s="222" t="str">
        <f>IFERROR(__xludf.DUMMYFUNCTION("""COMPUTED_VALUE"""),"SUMBAGUT")</f>
        <v>SUMBAGUT</v>
      </c>
      <c r="H1785" s="222" t="str">
        <f>IFERROR(__xludf.DUMMYFUNCTION("""COMPUTED_VALUE"""),"MEDAN")</f>
        <v>MEDAN</v>
      </c>
      <c r="I1785" s="222" t="str">
        <f>IFERROR(__xludf.DUMMYFUNCTION("""COMPUTED_VALUE"""),"Batch 2")</f>
        <v>Batch 2</v>
      </c>
      <c r="J1785" s="225">
        <f>IFERROR(__xludf.DUMMYFUNCTION("""COMPUTED_VALUE"""),6.0)</f>
        <v>6</v>
      </c>
      <c r="K1785" s="224">
        <f>IFERROR(__xludf.DUMMYFUNCTION("""COMPUTED_VALUE"""),48.0)</f>
        <v>48</v>
      </c>
      <c r="L1785" s="226">
        <f>IFERROR(__xludf.DUMMYFUNCTION("""COMPUTED_VALUE"""),1194509.0)</f>
        <v>1194509</v>
      </c>
      <c r="M1785" s="227">
        <f>IFERROR(__xludf.DUMMYFUNCTION("""COMPUTED_VALUE"""),5.7336431E7)</f>
        <v>57336431</v>
      </c>
      <c r="N1785" s="222" t="str">
        <f>IFERROR(__xludf.DUMMYFUNCTION("""COMPUTED_VALUE"""),"PT WALET SOLUSINDO")</f>
        <v>PT WALET SOLUSINDO</v>
      </c>
      <c r="O1785" s="222" t="str">
        <f>IFERROR(__xludf.DUMMYFUNCTION("""COMPUTED_VALUE"""),"7. GOLIVE")</f>
        <v>7. GOLIVE</v>
      </c>
      <c r="P1785" s="222" t="str">
        <f>IFERROR(__xludf.DUMMYFUNCTION("""COMPUTED_VALUE"""),"7.2 Golive Full / OA / DONE OTB")</f>
        <v>7.2 Golive Full / OA / DONE OTB</v>
      </c>
      <c r="Q1785" s="222" t="str">
        <f>IFERROR(__xludf.DUMMYFUNCTION("""COMPUTED_VALUE"""),"09/02 Pemasangan Aksesoris (07/01) Persiapan")</f>
        <v>09/02 Pemasangan Aksesoris (07/01) Persiapan</v>
      </c>
      <c r="R1785" s="228">
        <f>IFERROR(__xludf.DUMMYFUNCTION("""COMPUTED_VALUE"""),46065.0)</f>
        <v>46065</v>
      </c>
      <c r="S1785" s="11"/>
      <c r="T1785" s="11"/>
      <c r="U1785" s="11" t="str">
        <f>IFERROR(__xludf.DUMMYFUNCTION("""COMPUTED_VALUE"""),"W01-2145/2025")</f>
        <v>W01-2145/2025</v>
      </c>
      <c r="V1785" s="229"/>
      <c r="W1785" s="229"/>
      <c r="X1785" s="229" t="str">
        <f>IFERROR(__xludf.DUMMYFUNCTION("""COMPUTED_VALUE"""),"GOLIVE")</f>
        <v>GOLIVE</v>
      </c>
      <c r="Y1785" s="229" t="str">
        <f>IFERROR(__xludf.DUMMYFUNCTION("""COMPUTED_VALUE"""),"DONE")</f>
        <v>DONE</v>
      </c>
      <c r="Z1785" s="229" t="str">
        <f>IFERROR(__xludf.DUMMYFUNCTION("""COMPUTED_VALUE"""),"#N/A")</f>
        <v>#N/A</v>
      </c>
      <c r="AA1785" s="229">
        <f>IFERROR(__xludf.DUMMYFUNCTION("""COMPUTED_VALUE"""),6.0)</f>
        <v>6</v>
      </c>
      <c r="AB1785" s="229"/>
      <c r="AC1785" s="229" t="str">
        <f>IFERROR(__xludf.DUMMYFUNCTION("""COMPUTED_VALUE"""),"9102363#9102368")</f>
        <v>9102363#9102368</v>
      </c>
      <c r="AD1785" s="232">
        <f>IFERROR(__xludf.DUMMYFUNCTION("""COMPUTED_VALUE"""),48.0)</f>
        <v>48</v>
      </c>
      <c r="AE1785" s="233">
        <f>IFERROR(__xludf.DUMMYFUNCTION("""COMPUTED_VALUE"""),46065.0)</f>
        <v>46065</v>
      </c>
      <c r="AF1785" s="54"/>
      <c r="AG1785" s="54"/>
      <c r="AH1785" s="54">
        <v>46065.0</v>
      </c>
      <c r="AI1785" s="55">
        <f t="shared" si="179"/>
        <v>0</v>
      </c>
      <c r="AW1785" s="234"/>
      <c r="BP1785" s="11"/>
      <c r="BQ1785" s="11"/>
      <c r="BR1785" s="235"/>
      <c r="BV1785" s="158"/>
      <c r="BY1785" s="158"/>
      <c r="CB1785" s="158"/>
    </row>
    <row r="1786" ht="18.0" hidden="1" customHeight="1">
      <c r="A1786" s="222">
        <f>IFERROR(__xludf.DUMMYFUNCTION("""COMPUTED_VALUE"""),2026.0)</f>
        <v>2026</v>
      </c>
      <c r="B1786" s="221">
        <f>IFERROR(__xludf.DUMMYFUNCTION("""COMPUTED_VALUE"""),1.1391797E7)</f>
        <v>11391797</v>
      </c>
      <c r="C1786" s="222" t="str">
        <f>IFERROR(__xludf.DUMMYFUNCTION("""COMPUTED_VALUE"""),"MDN PT3 BJI-FFD KOTA BINJAI_7606")</f>
        <v>MDN PT3 BJI-FFD KOTA BINJAI_7606</v>
      </c>
      <c r="D1786" s="222" t="str">
        <f>IFERROR(__xludf.DUMMYFUNCTION("""COMPUTED_VALUE"""),"REGIONAL I")</f>
        <v>REGIONAL I</v>
      </c>
      <c r="E1786" s="222" t="str">
        <f>IFERROR(__xludf.DUMMYFUNCTION("""COMPUTED_VALUE"""),"MEDAN")</f>
        <v>MEDAN</v>
      </c>
      <c r="F1786" s="222" t="str">
        <f>IFERROR(__xludf.DUMMYFUNCTION("""COMPUTED_VALUE"""),"BJI")</f>
        <v>BJI</v>
      </c>
      <c r="G1786" s="222" t="str">
        <f>IFERROR(__xludf.DUMMYFUNCTION("""COMPUTED_VALUE"""),"SUMBAGUT")</f>
        <v>SUMBAGUT</v>
      </c>
      <c r="H1786" s="222" t="str">
        <f>IFERROR(__xludf.DUMMYFUNCTION("""COMPUTED_VALUE"""),"BINJAI")</f>
        <v>BINJAI</v>
      </c>
      <c r="I1786" s="222" t="str">
        <f>IFERROR(__xludf.DUMMYFUNCTION("""COMPUTED_VALUE"""),"Batch 2")</f>
        <v>Batch 2</v>
      </c>
      <c r="J1786" s="225">
        <f>IFERROR(__xludf.DUMMYFUNCTION("""COMPUTED_VALUE"""),1.0)</f>
        <v>1</v>
      </c>
      <c r="K1786" s="224">
        <f>IFERROR(__xludf.DUMMYFUNCTION("""COMPUTED_VALUE"""),8.0)</f>
        <v>8</v>
      </c>
      <c r="L1786" s="226">
        <f>IFERROR(__xludf.DUMMYFUNCTION("""COMPUTED_VALUE"""),396351.0)</f>
        <v>396351</v>
      </c>
      <c r="M1786" s="227">
        <f>IFERROR(__xludf.DUMMYFUNCTION("""COMPUTED_VALUE"""),3170802.0)</f>
        <v>3170802</v>
      </c>
      <c r="N1786" s="222" t="str">
        <f>IFERROR(__xludf.DUMMYFUNCTION("""COMPUTED_VALUE"""),"PT KENCANA RAYA INDONESIA")</f>
        <v>PT KENCANA RAYA INDONESIA</v>
      </c>
      <c r="O1786" s="222" t="str">
        <f>IFERROR(__xludf.DUMMYFUNCTION("""COMPUTED_VALUE"""),"7. GOLIVE")</f>
        <v>7. GOLIVE</v>
      </c>
      <c r="P1786" s="222" t="str">
        <f>IFERROR(__xludf.DUMMYFUNCTION("""COMPUTED_VALUE"""),"7.2 Golive Full / OA / DONE OTB")</f>
        <v>7.2 Golive Full / OA / DONE OTB</v>
      </c>
      <c r="Q1786" s="222" t="str">
        <f>IFERROR(__xludf.DUMMYFUNCTION("""COMPUTED_VALUE"""),"23/04 submit ABD
20/04 OGP instalasi penarikan kabel
08/04 on going req material
26/09 feeder dist ready, di plan dari D12 di lapangan D11 yang ready")</f>
        <v>23/04 submit ABD
20/04 OGP instalasi penarikan kabel
08/04 on going req material
26/09 feeder dist ready, di plan dari D12 di lapangan D11 yang ready</v>
      </c>
      <c r="R1786" s="228">
        <f>IFERROR(__xludf.DUMMYFUNCTION("""COMPUTED_VALUE"""),46135.0)</f>
        <v>46135</v>
      </c>
      <c r="S1786" s="11" t="str">
        <f>IFERROR(__xludf.DUMMYFUNCTION("""COMPUTED_VALUE"""),"APR")</f>
        <v>APR</v>
      </c>
      <c r="T1786" s="73"/>
      <c r="U1786" s="11"/>
      <c r="V1786" s="229" t="str">
        <f>IFERROR(__xludf.DUMMYFUNCTION("""COMPUTED_VALUE"""),"27/Apr/2026")</f>
        <v>27/Apr/2026</v>
      </c>
      <c r="W1786" s="229"/>
      <c r="X1786" s="229" t="str">
        <f>IFERROR(__xludf.DUMMYFUNCTION("""COMPUTED_VALUE"""),"GOLIVE")</f>
        <v>GOLIVE</v>
      </c>
      <c r="Y1786" s="229" t="str">
        <f>IFERROR(__xludf.DUMMYFUNCTION("""COMPUTED_VALUE"""),"DONE")</f>
        <v>DONE</v>
      </c>
      <c r="Z1786" s="229" t="str">
        <f>IFERROR(__xludf.DUMMYFUNCTION("""COMPUTED_VALUE"""),"#N/A")</f>
        <v>#N/A</v>
      </c>
      <c r="AA1786" s="229">
        <f>IFERROR(__xludf.DUMMYFUNCTION("""COMPUTED_VALUE"""),1.0)</f>
        <v>1</v>
      </c>
      <c r="AB1786" s="229"/>
      <c r="AC1786" s="229" t="str">
        <f>IFERROR(__xludf.DUMMYFUNCTION("""COMPUTED_VALUE"""),"9304164#9304174")</f>
        <v>9304164#9304174</v>
      </c>
      <c r="AD1786" s="232">
        <f>IFERROR(__xludf.DUMMYFUNCTION("""COMPUTED_VALUE"""),8.0)</f>
        <v>8</v>
      </c>
      <c r="AE1786" s="233">
        <f>IFERROR(__xludf.DUMMYFUNCTION("""COMPUTED_VALUE"""),46135.0)</f>
        <v>46135</v>
      </c>
      <c r="AF1786" s="54"/>
      <c r="AG1786" s="54"/>
      <c r="AH1786" s="54"/>
      <c r="AI1786" s="55">
        <f t="shared" si="179"/>
        <v>0</v>
      </c>
      <c r="AW1786" s="234"/>
      <c r="BP1786" s="11"/>
      <c r="BQ1786" s="11"/>
      <c r="BR1786" s="235"/>
      <c r="BV1786" s="158"/>
      <c r="BY1786" s="158"/>
      <c r="CB1786" s="158"/>
    </row>
    <row r="1787" ht="18.0" hidden="1" customHeight="1">
      <c r="A1787" s="222">
        <f>IFERROR(__xludf.DUMMYFUNCTION("""COMPUTED_VALUE"""),2026.0)</f>
        <v>2026</v>
      </c>
      <c r="B1787" s="221">
        <f>IFERROR(__xludf.DUMMYFUNCTION("""COMPUTED_VALUE"""),1.23857E7)</f>
        <v>12385700</v>
      </c>
      <c r="C1787" s="222" t="str">
        <f>IFERROR(__xludf.DUMMYFUNCTION("""COMPUTED_VALUE"""),"ACH PT3 BNN-FL DAYAH TEUNGOH TIRO")</f>
        <v>ACH PT3 BNN-FL DAYAH TEUNGOH TIRO</v>
      </c>
      <c r="D1787" s="222" t="str">
        <f>IFERROR(__xludf.DUMMYFUNCTION("""COMPUTED_VALUE"""),"REGIONAL I")</f>
        <v>REGIONAL I</v>
      </c>
      <c r="E1787" s="222" t="str">
        <f>IFERROR(__xludf.DUMMYFUNCTION("""COMPUTED_VALUE"""),"ACEH")</f>
        <v>ACEH</v>
      </c>
      <c r="F1787" s="222" t="str">
        <f>IFERROR(__xludf.DUMMYFUNCTION("""COMPUTED_VALUE"""),"BNN")</f>
        <v>BNN</v>
      </c>
      <c r="G1787" s="222" t="str">
        <f>IFERROR(__xludf.DUMMYFUNCTION("""COMPUTED_VALUE"""),"SUMBAGUT")</f>
        <v>SUMBAGUT</v>
      </c>
      <c r="H1787" s="222" t="str">
        <f>IFERROR(__xludf.DUMMYFUNCTION("""COMPUTED_VALUE"""),"BANDA ACEH")</f>
        <v>BANDA ACEH</v>
      </c>
      <c r="I1787" s="222" t="str">
        <f>IFERROR(__xludf.DUMMYFUNCTION("""COMPUTED_VALUE"""),"Batch 2")</f>
        <v>Batch 2</v>
      </c>
      <c r="J1787" s="225">
        <f>IFERROR(__xludf.DUMMYFUNCTION("""COMPUTED_VALUE"""),24.0)</f>
        <v>24</v>
      </c>
      <c r="K1787" s="224">
        <f>IFERROR(__xludf.DUMMYFUNCTION("""COMPUTED_VALUE"""),192.0)</f>
        <v>192</v>
      </c>
      <c r="L1787" s="226">
        <f>IFERROR(__xludf.DUMMYFUNCTION("""COMPUTED_VALUE"""),1410677.0)</f>
        <v>1410677</v>
      </c>
      <c r="M1787" s="227">
        <f>IFERROR(__xludf.DUMMYFUNCTION("""COMPUTED_VALUE"""),2.70849862E8)</f>
        <v>270849862</v>
      </c>
      <c r="N1787" s="222" t="str">
        <f>IFERROR(__xludf.DUMMYFUNCTION("""COMPUTED_VALUE"""),"PT TRIPOLA PANATA")</f>
        <v>PT TRIPOLA PANATA</v>
      </c>
      <c r="O1787" s="222" t="str">
        <f>IFERROR(__xludf.DUMMYFUNCTION("""COMPUTED_VALUE"""),"7. GOLIVE")</f>
        <v>7. GOLIVE</v>
      </c>
      <c r="P1787" s="222" t="str">
        <f>IFERROR(__xludf.DUMMYFUNCTION("""COMPUTED_VALUE"""),"7.2 Golive Full / OA / DONE OTB")</f>
        <v>7.2 Golive Full / OA / DONE OTB</v>
      </c>
      <c r="Q1787" s="222" t="str">
        <f>IFERROR(__xludf.DUMMYFUNCTION("""COMPUTED_VALUE"""),"(20/04) Penarikan Kabel (16/04) Tanam Tiang 
(03/03) Proses PO Material (07/01) Persiapan")</f>
        <v>(20/04) Penarikan Kabel (16/04) Tanam Tiang 
(03/03) Proses PO Material (07/01) Persiapan</v>
      </c>
      <c r="R1787" s="228">
        <f>IFERROR(__xludf.DUMMYFUNCTION("""COMPUTED_VALUE"""),46142.0)</f>
        <v>46142</v>
      </c>
      <c r="S1787" s="11" t="str">
        <f>IFERROR(__xludf.DUMMYFUNCTION("""COMPUTED_VALUE"""),"APR")</f>
        <v>APR</v>
      </c>
      <c r="T1787" s="73"/>
      <c r="U1787" s="11"/>
      <c r="V1787" s="229"/>
      <c r="W1787" s="229" t="str">
        <f>IFERROR(__xludf.DUMMYFUNCTION("""COMPUTED_VALUE"""),"#N/A")</f>
        <v>#N/A</v>
      </c>
      <c r="X1787" s="229" t="str">
        <f>IFERROR(__xludf.DUMMYFUNCTION("""COMPUTED_VALUE"""),"GOLIVE")</f>
        <v>GOLIVE</v>
      </c>
      <c r="Y1787" s="229" t="str">
        <f>IFERROR(__xludf.DUMMYFUNCTION("""COMPUTED_VALUE"""),"DONE")</f>
        <v>DONE</v>
      </c>
      <c r="Z1787" s="229" t="str">
        <f>IFERROR(__xludf.DUMMYFUNCTION("""COMPUTED_VALUE"""),"#N/A")</f>
        <v>#N/A</v>
      </c>
      <c r="AA1787" s="229">
        <f>IFERROR(__xludf.DUMMYFUNCTION("""COMPUTED_VALUE"""),23.0)</f>
        <v>23</v>
      </c>
      <c r="AB1787" s="229"/>
      <c r="AC1787" s="229" t="str">
        <f>IFERROR(__xludf.DUMMYFUNCTION("""COMPUTED_VALUE"""),"9317405#9317410")</f>
        <v>9317405#9317410</v>
      </c>
      <c r="AD1787" s="232">
        <f>IFERROR(__xludf.DUMMYFUNCTION("""COMPUTED_VALUE"""),184.0)</f>
        <v>184</v>
      </c>
      <c r="AE1787" s="233">
        <f>IFERROR(__xludf.DUMMYFUNCTION("""COMPUTED_VALUE"""),46139.0)</f>
        <v>46139</v>
      </c>
      <c r="AF1787" s="54"/>
      <c r="AG1787" s="54"/>
      <c r="AH1787" s="54">
        <v>46131.0</v>
      </c>
      <c r="AI1787" s="55">
        <f t="shared" si="179"/>
        <v>3</v>
      </c>
      <c r="AW1787" s="234"/>
      <c r="BP1787" s="11"/>
      <c r="BQ1787" s="11"/>
      <c r="BR1787" s="235"/>
      <c r="BV1787" s="158"/>
      <c r="BY1787" s="158"/>
      <c r="CB1787" s="158"/>
    </row>
    <row r="1788" ht="18.0" hidden="1" customHeight="1">
      <c r="A1788" s="222">
        <f>IFERROR(__xludf.DUMMYFUNCTION("""COMPUTED_VALUE"""),2026.0)</f>
        <v>2026</v>
      </c>
      <c r="B1788" s="221">
        <f>IFERROR(__xludf.DUMMYFUNCTION("""COMPUTED_VALUE"""),1.1364815E7)</f>
        <v>11364815</v>
      </c>
      <c r="C1788" s="222" t="str">
        <f>IFERROR(__xludf.DUMMYFUNCTION("""COMPUTED_VALUE"""),"MDN PT3 SPM-FBZ KOTA MEDAN_13922")</f>
        <v>MDN PT3 SPM-FBZ KOTA MEDAN_13922</v>
      </c>
      <c r="D1788" s="222" t="str">
        <f>IFERROR(__xludf.DUMMYFUNCTION("""COMPUTED_VALUE"""),"REGIONAL I")</f>
        <v>REGIONAL I</v>
      </c>
      <c r="E1788" s="222" t="str">
        <f>IFERROR(__xludf.DUMMYFUNCTION("""COMPUTED_VALUE"""),"MEDAN")</f>
        <v>MEDAN</v>
      </c>
      <c r="F1788" s="222" t="str">
        <f>IFERROR(__xludf.DUMMYFUNCTION("""COMPUTED_VALUE"""),"SPM")</f>
        <v>SPM</v>
      </c>
      <c r="G1788" s="222" t="str">
        <f>IFERROR(__xludf.DUMMYFUNCTION("""COMPUTED_VALUE"""),"SUMBAGUT")</f>
        <v>SUMBAGUT</v>
      </c>
      <c r="H1788" s="222" t="str">
        <f>IFERROR(__xludf.DUMMYFUNCTION("""COMPUTED_VALUE"""),"MEDAN")</f>
        <v>MEDAN</v>
      </c>
      <c r="I1788" s="222" t="str">
        <f>IFERROR(__xludf.DUMMYFUNCTION("""COMPUTED_VALUE"""),"Batch 2")</f>
        <v>Batch 2</v>
      </c>
      <c r="J1788" s="225">
        <f>IFERROR(__xludf.DUMMYFUNCTION("""COMPUTED_VALUE"""),2.0)</f>
        <v>2</v>
      </c>
      <c r="K1788" s="224">
        <f>IFERROR(__xludf.DUMMYFUNCTION("""COMPUTED_VALUE"""),16.0)</f>
        <v>16</v>
      </c>
      <c r="L1788" s="226">
        <f>IFERROR(__xludf.DUMMYFUNCTION("""COMPUTED_VALUE"""),950132.0)</f>
        <v>950132</v>
      </c>
      <c r="M1788" s="227">
        <f>IFERROR(__xludf.DUMMYFUNCTION("""COMPUTED_VALUE"""),1.5202105E7)</f>
        <v>15202105</v>
      </c>
      <c r="N1788" s="222" t="str">
        <f>IFERROR(__xludf.DUMMYFUNCTION("""COMPUTED_VALUE"""),"PT WALET SOLUSINDO")</f>
        <v>PT WALET SOLUSINDO</v>
      </c>
      <c r="O1788" s="222" t="str">
        <f>IFERROR(__xludf.DUMMYFUNCTION("""COMPUTED_VALUE"""),"0. DROP")</f>
        <v>0. DROP</v>
      </c>
      <c r="P1788" s="222" t="str">
        <f>IFERROR(__xludf.DUMMYFUNCTION("""COMPUTED_VALUE"""),"0.3 Feeder Full")</f>
        <v>0.3 Feeder Full</v>
      </c>
      <c r="Q1788" s="222" t="str">
        <f>IFERROR(__xludf.DUMMYFUNCTION("""COMPUTED_VALUE"""),"07/02 Feeder Habis, sisa kaki splitter FE sisa 2")</f>
        <v>07/02 Feeder Habis, sisa kaki splitter FE sisa 2</v>
      </c>
      <c r="R1788" s="228"/>
      <c r="S1788" s="11"/>
      <c r="T1788" s="11"/>
      <c r="U1788" s="11"/>
      <c r="V1788" s="229"/>
      <c r="W1788" s="229"/>
      <c r="X1788" s="229" t="str">
        <f>IFERROR(__xludf.DUMMYFUNCTION("""COMPUTED_VALUE"""),"BELUM GOLIVE")</f>
        <v>BELUM GOLIVE</v>
      </c>
      <c r="Y1788" s="229"/>
      <c r="Z1788" s="229" t="str">
        <f>IFERROR(__xludf.DUMMYFUNCTION("""COMPUTED_VALUE"""),"#N/A")</f>
        <v>#N/A</v>
      </c>
      <c r="AA1788" s="229"/>
      <c r="AB1788" s="229"/>
      <c r="AC1788" s="229"/>
      <c r="AD1788" s="232"/>
      <c r="AE1788" s="233"/>
      <c r="AF1788" s="54"/>
      <c r="AG1788" s="54"/>
      <c r="AH1788" s="54"/>
      <c r="AI1788" s="55" t="str">
        <f t="shared" si="179"/>
        <v/>
      </c>
      <c r="AW1788" s="234"/>
      <c r="BP1788" s="11"/>
      <c r="BQ1788" s="11"/>
      <c r="BR1788" s="235"/>
      <c r="BV1788" s="158"/>
      <c r="BY1788" s="158"/>
      <c r="CB1788" s="158"/>
    </row>
    <row r="1789" ht="18.0" hidden="1" customHeight="1">
      <c r="A1789" s="222">
        <f>IFERROR(__xludf.DUMMYFUNCTION("""COMPUTED_VALUE"""),2026.0)</f>
        <v>2026</v>
      </c>
      <c r="B1789" s="221">
        <f>IFERROR(__xludf.DUMMYFUNCTION("""COMPUTED_VALUE"""),1.1394154E7)</f>
        <v>11394154</v>
      </c>
      <c r="C1789" s="222" t="str">
        <f>IFERROR(__xludf.DUMMYFUNCTION("""COMPUTED_VALUE"""),"MDN PT3 BJI-FFD SUMATERA UTARA_9350_new")</f>
        <v>MDN PT3 BJI-FFD SUMATERA UTARA_9350_new</v>
      </c>
      <c r="D1789" s="222" t="str">
        <f>IFERROR(__xludf.DUMMYFUNCTION("""COMPUTED_VALUE"""),"REGIONAL I")</f>
        <v>REGIONAL I</v>
      </c>
      <c r="E1789" s="222" t="str">
        <f>IFERROR(__xludf.DUMMYFUNCTION("""COMPUTED_VALUE"""),"MEDAN")</f>
        <v>MEDAN</v>
      </c>
      <c r="F1789" s="222" t="str">
        <f>IFERROR(__xludf.DUMMYFUNCTION("""COMPUTED_VALUE"""),"BJI")</f>
        <v>BJI</v>
      </c>
      <c r="G1789" s="222" t="str">
        <f>IFERROR(__xludf.DUMMYFUNCTION("""COMPUTED_VALUE"""),"SUMBAGUT")</f>
        <v>SUMBAGUT</v>
      </c>
      <c r="H1789" s="222" t="str">
        <f>IFERROR(__xludf.DUMMYFUNCTION("""COMPUTED_VALUE"""),"BINJAI")</f>
        <v>BINJAI</v>
      </c>
      <c r="I1789" s="222" t="str">
        <f>IFERROR(__xludf.DUMMYFUNCTION("""COMPUTED_VALUE"""),"Batch 2")</f>
        <v>Batch 2</v>
      </c>
      <c r="J1789" s="225"/>
      <c r="K1789" s="224">
        <f>IFERROR(__xludf.DUMMYFUNCTION("""COMPUTED_VALUE"""),8.0)</f>
        <v>8</v>
      </c>
      <c r="L1789" s="226">
        <f>IFERROR(__xludf.DUMMYFUNCTION("""COMPUTED_VALUE"""),78723.0)</f>
        <v>78723</v>
      </c>
      <c r="M1789" s="227">
        <f>IFERROR(__xludf.DUMMYFUNCTION("""COMPUTED_VALUE"""),629783.0)</f>
        <v>629783</v>
      </c>
      <c r="N1789" s="222" t="str">
        <f>IFERROR(__xludf.DUMMYFUNCTION("""COMPUTED_VALUE"""),"PT FIBERHOME TECHNOLOGIES INDONESIA")</f>
        <v>PT FIBERHOME TECHNOLOGIES INDONESIA</v>
      </c>
      <c r="O1789" s="222" t="str">
        <f>IFERROR(__xludf.DUMMYFUNCTION("""COMPUTED_VALUE"""),"5. INSTALASI")</f>
        <v>5. INSTALASI</v>
      </c>
      <c r="P1789" s="222" t="str">
        <f>IFERROR(__xludf.DUMMYFUNCTION("""COMPUTED_VALUE"""),"5.6 Proses Penarikan Kabel")</f>
        <v>5.6 Proses Penarikan Kabel</v>
      </c>
      <c r="Q1789" s="222" t="str">
        <f>IFERROR(__xludf.DUMMYFUNCTION("""COMPUTED_VALUE"""),"23/04 penarikan KU
20/04 tim tiba di medan, lanjut progress instalasi
10/04 req material
(08/01) feeder dan dist SCC-FA FULL 23/10 : Proses mapping mitra (07/01) Persiapan")</f>
        <v>23/04 penarikan KU
20/04 tim tiba di medan, lanjut progress instalasi
10/04 req material
(08/01) feeder dan dist SCC-FA FULL 23/10 : Proses mapping mitra (07/01) Persiapan</v>
      </c>
      <c r="R1789" s="228">
        <f>IFERROR(__xludf.DUMMYFUNCTION("""COMPUTED_VALUE"""),46142.0)</f>
        <v>46142</v>
      </c>
      <c r="S1789" s="11"/>
      <c r="T1789" s="11"/>
      <c r="U1789" s="11"/>
      <c r="V1789" s="229"/>
      <c r="W1789" s="229"/>
      <c r="X1789" s="229" t="str">
        <f>IFERROR(__xludf.DUMMYFUNCTION("""COMPUTED_VALUE"""),"BELUM GOLIVE")</f>
        <v>BELUM GOLIVE</v>
      </c>
      <c r="Y1789" s="229"/>
      <c r="Z1789" s="229" t="str">
        <f>IFERROR(__xludf.DUMMYFUNCTION("""COMPUTED_VALUE"""),"#N/A")</f>
        <v>#N/A</v>
      </c>
      <c r="AA1789" s="229"/>
      <c r="AB1789" s="229"/>
      <c r="AC1789" s="229"/>
      <c r="AD1789" s="232"/>
      <c r="AE1789" s="233"/>
      <c r="AF1789" s="54"/>
      <c r="AG1789" s="54"/>
      <c r="AH1789" s="54"/>
      <c r="AI1789" s="55" t="str">
        <f t="shared" si="179"/>
        <v/>
      </c>
      <c r="AW1789" s="234"/>
      <c r="BP1789" s="11"/>
      <c r="BQ1789" s="11"/>
      <c r="BR1789" s="235"/>
      <c r="BV1789" s="158"/>
      <c r="BY1789" s="158"/>
      <c r="CB1789" s="158"/>
    </row>
    <row r="1790" ht="18.0" customHeight="1">
      <c r="A1790" s="222">
        <f>IFERROR(__xludf.DUMMYFUNCTION("""COMPUTED_VALUE"""),2026.0)</f>
        <v>2026</v>
      </c>
      <c r="B1790" s="221">
        <f>IFERROR(__xludf.DUMMYFUNCTION("""COMPUTED_VALUE"""),1.1346814E7)</f>
        <v>11346814</v>
      </c>
      <c r="C1790" s="222" t="str">
        <f>IFERROR(__xludf.DUMMYFUNCTION("""COMPUTED_VALUE"""),"SMB P2I2 SCATTER PARIK MALINTANG")</f>
        <v>SMB P2I2 SCATTER PARIK MALINTANG</v>
      </c>
      <c r="D1790" s="222" t="str">
        <f>IFERROR(__xludf.DUMMYFUNCTION("""COMPUTED_VALUE"""),"REGIONAL I")</f>
        <v>REGIONAL I</v>
      </c>
      <c r="E1790" s="222" t="str">
        <f>IFERROR(__xludf.DUMMYFUNCTION("""COMPUTED_VALUE"""),"SUMBAR")</f>
        <v>SUMBAR</v>
      </c>
      <c r="F1790" s="222" t="str">
        <f>IFERROR(__xludf.DUMMYFUNCTION("""COMPUTED_VALUE"""),"SCC")</f>
        <v>SCC</v>
      </c>
      <c r="G1790" s="222" t="str">
        <f>IFERROR(__xludf.DUMMYFUNCTION("""COMPUTED_VALUE"""),"SUMBAGTENG")</f>
        <v>SUMBAGTENG</v>
      </c>
      <c r="H1790" s="222" t="str">
        <f>IFERROR(__xludf.DUMMYFUNCTION("""COMPUTED_VALUE"""),"BUKIT TINGGI")</f>
        <v>BUKIT TINGGI</v>
      </c>
      <c r="I1790" s="222" t="str">
        <f>IFERROR(__xludf.DUMMYFUNCTION("""COMPUTED_VALUE"""),"Batch 2")</f>
        <v>Batch 2</v>
      </c>
      <c r="J1790" s="225">
        <f>IFERROR(__xludf.DUMMYFUNCTION("""COMPUTED_VALUE"""),4.0)</f>
        <v>4</v>
      </c>
      <c r="K1790" s="224">
        <f>IFERROR(__xludf.DUMMYFUNCTION("""COMPUTED_VALUE"""),32.0)</f>
        <v>32</v>
      </c>
      <c r="L1790" s="226">
        <f>IFERROR(__xludf.DUMMYFUNCTION("""COMPUTED_VALUE"""),403504.0)</f>
        <v>403504</v>
      </c>
      <c r="M1790" s="227">
        <f>IFERROR(__xludf.DUMMYFUNCTION("""COMPUTED_VALUE"""),1.2912118E7)</f>
        <v>12912118</v>
      </c>
      <c r="N1790" s="222" t="str">
        <f>IFERROR(__xludf.DUMMYFUNCTION("""COMPUTED_VALUE"""),"PT PUTRI JAYA AKSES")</f>
        <v>PT PUTRI JAYA AKSES</v>
      </c>
      <c r="O1790" s="222" t="str">
        <f>IFERROR(__xludf.DUMMYFUNCTION("""COMPUTED_VALUE"""),"0. DROP")</f>
        <v>0. DROP</v>
      </c>
      <c r="P1790" s="222" t="str">
        <f>IFERROR(__xludf.DUMMYFUNCTION("""COMPUTED_VALUE"""),"0.3 Feeder Full")</f>
        <v>0.3 Feeder Full</v>
      </c>
      <c r="Q1790" s="222" t="str">
        <f>IFERROR(__xludf.DUMMYFUNCTION("""COMPUTED_VALUE"""),"(26/01) feeder dan dist SCC-FA FULL")</f>
        <v>(26/01) feeder dan dist SCC-FA FULL</v>
      </c>
      <c r="R1790" s="228"/>
      <c r="S1790" s="11"/>
      <c r="T1790" s="11"/>
      <c r="U1790" s="11"/>
      <c r="V1790" s="229"/>
      <c r="W1790" s="229"/>
      <c r="X1790" s="229" t="str">
        <f>IFERROR(__xludf.DUMMYFUNCTION("""COMPUTED_VALUE"""),"BELUM GOLIVE")</f>
        <v>BELUM GOLIVE</v>
      </c>
      <c r="Y1790" s="229"/>
      <c r="Z1790" s="229" t="str">
        <f>IFERROR(__xludf.DUMMYFUNCTION("""COMPUTED_VALUE"""),"#N/A")</f>
        <v>#N/A</v>
      </c>
      <c r="AA1790" s="229"/>
      <c r="AB1790" s="229"/>
      <c r="AC1790" s="229"/>
      <c r="AD1790" s="232"/>
      <c r="AE1790" s="233"/>
      <c r="AF1790" s="54" t="str">
        <f>IFERROR(__xludf.DUMMYFUNCTION("""COMPUTED_VALUE"""),"Draft BA DROP")</f>
        <v>Draft BA DROP</v>
      </c>
      <c r="AG1790" s="54"/>
      <c r="AH1790" s="54"/>
      <c r="AI1790" s="55" t="str">
        <f t="shared" si="179"/>
        <v/>
      </c>
      <c r="AW1790" s="234"/>
      <c r="BP1790" s="11"/>
      <c r="BQ1790" s="11"/>
      <c r="BR1790" s="235"/>
      <c r="BV1790" s="158"/>
      <c r="BY1790" s="158"/>
      <c r="CB1790" s="158"/>
    </row>
    <row r="1791" ht="18.0" customHeight="1">
      <c r="A1791" s="222">
        <f>IFERROR(__xludf.DUMMYFUNCTION("""COMPUTED_VALUE"""),2026.0)</f>
        <v>2026</v>
      </c>
      <c r="B1791" s="221">
        <f>IFERROR(__xludf.DUMMYFUNCTION("""COMPUTED_VALUE"""),1.1410381E7)</f>
        <v>11410381</v>
      </c>
      <c r="C1791" s="222" t="str">
        <f>IFERROR(__xludf.DUMMYFUNCTION("""COMPUTED_VALUE"""),"SMB P3I1 Desa Batu Tanjung SWL")</f>
        <v>SMB P3I1 Desa Batu Tanjung SWL</v>
      </c>
      <c r="D1791" s="222" t="str">
        <f>IFERROR(__xludf.DUMMYFUNCTION("""COMPUTED_VALUE"""),"REGIONAL I")</f>
        <v>REGIONAL I</v>
      </c>
      <c r="E1791" s="222" t="str">
        <f>IFERROR(__xludf.DUMMYFUNCTION("""COMPUTED_VALUE"""),"SUMBAR")</f>
        <v>SUMBAR</v>
      </c>
      <c r="F1791" s="222" t="str">
        <f>IFERROR(__xludf.DUMMYFUNCTION("""COMPUTED_VALUE"""),"TWI")</f>
        <v>TWI</v>
      </c>
      <c r="G1791" s="222" t="str">
        <f>IFERROR(__xludf.DUMMYFUNCTION("""COMPUTED_VALUE"""),"SUMBAGTENG")</f>
        <v>SUMBAGTENG</v>
      </c>
      <c r="H1791" s="222" t="str">
        <f>IFERROR(__xludf.DUMMYFUNCTION("""COMPUTED_VALUE"""),"PADANG")</f>
        <v>PADANG</v>
      </c>
      <c r="I1791" s="222" t="str">
        <f>IFERROR(__xludf.DUMMYFUNCTION("""COMPUTED_VALUE"""),"Batch 2")</f>
        <v>Batch 2</v>
      </c>
      <c r="J1791" s="225">
        <f>IFERROR(__xludf.DUMMYFUNCTION("""COMPUTED_VALUE"""),10.0)</f>
        <v>10</v>
      </c>
      <c r="K1791" s="224">
        <f>IFERROR(__xludf.DUMMYFUNCTION("""COMPUTED_VALUE"""),80.0)</f>
        <v>80</v>
      </c>
      <c r="L1791" s="226">
        <f>IFERROR(__xludf.DUMMYFUNCTION("""COMPUTED_VALUE"""),1412232.0)</f>
        <v>1412232</v>
      </c>
      <c r="M1791" s="227">
        <f>IFERROR(__xludf.DUMMYFUNCTION("""COMPUTED_VALUE"""),1.12978558E8)</f>
        <v>112978558</v>
      </c>
      <c r="N1791" s="222" t="str">
        <f>IFERROR(__xludf.DUMMYFUNCTION("""COMPUTED_VALUE"""),"PT TIGA AKSES MANDIRI")</f>
        <v>PT TIGA AKSES MANDIRI</v>
      </c>
      <c r="O1791" s="222" t="str">
        <f>IFERROR(__xludf.DUMMYFUNCTION("""COMPUTED_VALUE"""),"2. DONE AANWIJZING")</f>
        <v>2. DONE AANWIJZING</v>
      </c>
      <c r="P1791" s="222" t="str">
        <f>IFERROR(__xludf.DUMMYFUNCTION("""COMPUTED_VALUE"""),"2.9 Kendala - Distribusi Penuh / Rusak")</f>
        <v>2.9 Kendala - Distribusi Penuh / Rusak</v>
      </c>
      <c r="Q1791" s="222" t="str">
        <f>IFERROR(__xludf.DUMMYFUNCTION("""COMPUTED_VALUE"""),"(27/01) Kendala dist 2 dan 1 butuh qe (07/01) Persiapan")</f>
        <v>(27/01) Kendala dist 2 dan 1 butuh qe (07/01) Persiapan</v>
      </c>
      <c r="R1791" s="228"/>
      <c r="S1791" s="11"/>
      <c r="T1791" s="11"/>
      <c r="U1791" s="11"/>
      <c r="V1791" s="229"/>
      <c r="W1791" s="229"/>
      <c r="X1791" s="229" t="str">
        <f>IFERROR(__xludf.DUMMYFUNCTION("""COMPUTED_VALUE"""),"BELUM GOLIVE")</f>
        <v>BELUM GOLIVE</v>
      </c>
      <c r="Y1791" s="229"/>
      <c r="Z1791" s="229" t="str">
        <f>IFERROR(__xludf.DUMMYFUNCTION("""COMPUTED_VALUE"""),"#N/A")</f>
        <v>#N/A</v>
      </c>
      <c r="AA1791" s="229"/>
      <c r="AB1791" s="229"/>
      <c r="AC1791" s="229"/>
      <c r="AD1791" s="232"/>
      <c r="AE1791" s="233"/>
      <c r="AF1791" s="54"/>
      <c r="AG1791" s="54"/>
      <c r="AH1791" s="54"/>
      <c r="AI1791" s="55" t="str">
        <f t="shared" si="179"/>
        <v/>
      </c>
      <c r="AW1791" s="234"/>
      <c r="BP1791" s="11"/>
      <c r="BQ1791" s="11"/>
      <c r="BR1791" s="235"/>
      <c r="BV1791" s="158"/>
      <c r="BY1791" s="158"/>
      <c r="CB1791" s="158"/>
    </row>
    <row r="1792" ht="18.0" hidden="1" customHeight="1">
      <c r="A1792" s="222">
        <f>IFERROR(__xludf.DUMMYFUNCTION("""COMPUTED_VALUE"""),2026.0)</f>
        <v>2026</v>
      </c>
      <c r="B1792" s="221">
        <f>IFERROR(__xludf.DUMMYFUNCTION("""COMPUTED_VALUE"""),1.1394247E7)</f>
        <v>11394247</v>
      </c>
      <c r="C1792" s="222" t="str">
        <f>IFERROR(__xludf.DUMMYFUNCTION("""COMPUTED_VALUE"""),"MDN PT3 BJI-FGC SUMATERA UTARA_9359_new")</f>
        <v>MDN PT3 BJI-FGC SUMATERA UTARA_9359_new</v>
      </c>
      <c r="D1792" s="222" t="str">
        <f>IFERROR(__xludf.DUMMYFUNCTION("""COMPUTED_VALUE"""),"REGIONAL I")</f>
        <v>REGIONAL I</v>
      </c>
      <c r="E1792" s="222" t="str">
        <f>IFERROR(__xludf.DUMMYFUNCTION("""COMPUTED_VALUE"""),"MEDAN")</f>
        <v>MEDAN</v>
      </c>
      <c r="F1792" s="222" t="str">
        <f>IFERROR(__xludf.DUMMYFUNCTION("""COMPUTED_VALUE"""),"BJI")</f>
        <v>BJI</v>
      </c>
      <c r="G1792" s="222" t="str">
        <f>IFERROR(__xludf.DUMMYFUNCTION("""COMPUTED_VALUE"""),"SUMBAGUT")</f>
        <v>SUMBAGUT</v>
      </c>
      <c r="H1792" s="222" t="str">
        <f>IFERROR(__xludf.DUMMYFUNCTION("""COMPUTED_VALUE"""),"BINJAI")</f>
        <v>BINJAI</v>
      </c>
      <c r="I1792" s="222" t="str">
        <f>IFERROR(__xludf.DUMMYFUNCTION("""COMPUTED_VALUE"""),"Batch 2")</f>
        <v>Batch 2</v>
      </c>
      <c r="J1792" s="225">
        <f>IFERROR(__xludf.DUMMYFUNCTION("""COMPUTED_VALUE"""),3.0)</f>
        <v>3</v>
      </c>
      <c r="K1792" s="224">
        <f>IFERROR(__xludf.DUMMYFUNCTION("""COMPUTED_VALUE"""),24.0)</f>
        <v>24</v>
      </c>
      <c r="L1792" s="226">
        <f>IFERROR(__xludf.DUMMYFUNCTION("""COMPUTED_VALUE"""),788956.0)</f>
        <v>788956</v>
      </c>
      <c r="M1792" s="227">
        <f>IFERROR(__xludf.DUMMYFUNCTION("""COMPUTED_VALUE"""),1.8934928E7)</f>
        <v>18934928</v>
      </c>
      <c r="N1792" s="222" t="str">
        <f>IFERROR(__xludf.DUMMYFUNCTION("""COMPUTED_VALUE"""),"PT FIBERHOME TECHNOLOGIES INDONESIA")</f>
        <v>PT FIBERHOME TECHNOLOGIES INDONESIA</v>
      </c>
      <c r="O1792" s="222" t="str">
        <f>IFERROR(__xludf.DUMMYFUNCTION("""COMPUTED_VALUE"""),"0. DROP")</f>
        <v>0. DROP</v>
      </c>
      <c r="P1792" s="222" t="str">
        <f>IFERROR(__xludf.DUMMYFUNCTION("""COMPUTED_VALUE"""),"0.3 Feeder Full")</f>
        <v>0.3 Feeder Full</v>
      </c>
      <c r="Q1792" s="222" t="str">
        <f>IFERROR(__xludf.DUMMYFUNCTION("""COMPUTED_VALUE"""),"09/04 feeder penuh
(08/01)Kendala feeder LBY-FM FULL, proses eval hasil aanwijziing, plan aanwijziing  , plan selesai annwijziing, aanwijziing HI 19 sept, peralihan mitra krna mitra lama tdk menyanggupi pekerjaan (07/01) Persiapan")</f>
        <v>09/04 feeder penuh
(08/01)Kendala feeder LBY-FM FULL, proses eval hasil aanwijziing, plan aanwijziing  , plan selesai annwijziing, aanwijziing HI 19 sept, peralihan mitra krna mitra lama tdk menyanggupi pekerjaan (07/01) Persiapan</v>
      </c>
      <c r="R1792" s="228"/>
      <c r="S1792" s="11"/>
      <c r="T1792" s="11"/>
      <c r="U1792" s="11"/>
      <c r="V1792" s="229"/>
      <c r="W1792" s="229"/>
      <c r="X1792" s="229" t="str">
        <f>IFERROR(__xludf.DUMMYFUNCTION("""COMPUTED_VALUE"""),"BELUM GOLIVE")</f>
        <v>BELUM GOLIVE</v>
      </c>
      <c r="Y1792" s="229"/>
      <c r="Z1792" s="229" t="str">
        <f>IFERROR(__xludf.DUMMYFUNCTION("""COMPUTED_VALUE"""),"#N/A")</f>
        <v>#N/A</v>
      </c>
      <c r="AA1792" s="229"/>
      <c r="AB1792" s="229"/>
      <c r="AC1792" s="229"/>
      <c r="AD1792" s="232"/>
      <c r="AE1792" s="233"/>
      <c r="AF1792" s="54"/>
      <c r="AG1792" s="54"/>
      <c r="AH1792" s="54"/>
      <c r="AI1792" s="55" t="str">
        <f t="shared" si="179"/>
        <v/>
      </c>
      <c r="AW1792" s="234"/>
      <c r="BP1792" s="11"/>
      <c r="BQ1792" s="11"/>
      <c r="BR1792" s="235"/>
      <c r="BV1792" s="158"/>
      <c r="BY1792" s="158"/>
      <c r="CB1792" s="158"/>
    </row>
    <row r="1793" ht="18.0" customHeight="1">
      <c r="A1793" s="222">
        <f>IFERROR(__xludf.DUMMYFUNCTION("""COMPUTED_VALUE"""),2026.0)</f>
        <v>2026</v>
      </c>
      <c r="B1793" s="221">
        <f>IFERROR(__xludf.DUMMYFUNCTION("""COMPUTED_VALUE"""),1.1852643E7)</f>
        <v>11852643</v>
      </c>
      <c r="C1793" s="222" t="str">
        <f>IFERROR(__xludf.DUMMYFUNCTION("""COMPUTED_VALUE"""),"SMB LBY PT3 250_369_2402 - 250_2404")</f>
        <v>SMB LBY PT3 250_369_2402 - 250_2404</v>
      </c>
      <c r="D1793" s="222" t="str">
        <f>IFERROR(__xludf.DUMMYFUNCTION("""COMPUTED_VALUE"""),"REGIONAL I")</f>
        <v>REGIONAL I</v>
      </c>
      <c r="E1793" s="222" t="str">
        <f>IFERROR(__xludf.DUMMYFUNCTION("""COMPUTED_VALUE"""),"SUMBAR")</f>
        <v>SUMBAR</v>
      </c>
      <c r="F1793" s="222" t="str">
        <f>IFERROR(__xludf.DUMMYFUNCTION("""COMPUTED_VALUE"""),"LBY")</f>
        <v>LBY</v>
      </c>
      <c r="G1793" s="222" t="str">
        <f>IFERROR(__xludf.DUMMYFUNCTION("""COMPUTED_VALUE"""),"SUMBAGTENG")</f>
        <v>SUMBAGTENG</v>
      </c>
      <c r="H1793" s="222" t="str">
        <f>IFERROR(__xludf.DUMMYFUNCTION("""COMPUTED_VALUE"""),"PADANG")</f>
        <v>PADANG</v>
      </c>
      <c r="I1793" s="222" t="str">
        <f>IFERROR(__xludf.DUMMYFUNCTION("""COMPUTED_VALUE"""),"Batch 2")</f>
        <v>Batch 2</v>
      </c>
      <c r="J1793" s="225">
        <f>IFERROR(__xludf.DUMMYFUNCTION("""COMPUTED_VALUE"""),9.0)</f>
        <v>9</v>
      </c>
      <c r="K1793" s="224">
        <f>IFERROR(__xludf.DUMMYFUNCTION("""COMPUTED_VALUE"""),72.0)</f>
        <v>72</v>
      </c>
      <c r="L1793" s="226">
        <f>IFERROR(__xludf.DUMMYFUNCTION("""COMPUTED_VALUE"""),402273.0)</f>
        <v>402273</v>
      </c>
      <c r="M1793" s="227">
        <f>IFERROR(__xludf.DUMMYFUNCTION("""COMPUTED_VALUE"""),2.8963606E7)</f>
        <v>28963606</v>
      </c>
      <c r="N1793" s="222" t="str">
        <f>IFERROR(__xludf.DUMMYFUNCTION("""COMPUTED_VALUE"""),"PT TRI LESMA INDONESIA")</f>
        <v>PT TRI LESMA INDONESIA</v>
      </c>
      <c r="O1793" s="222" t="str">
        <f>IFERROR(__xludf.DUMMYFUNCTION("""COMPUTED_VALUE"""),"0. DROP")</f>
        <v>0. DROP</v>
      </c>
      <c r="P1793" s="222" t="str">
        <f>IFERROR(__xludf.DUMMYFUNCTION("""COMPUTED_VALUE"""),"0.3 Feeder Full")</f>
        <v>0.3 Feeder Full</v>
      </c>
      <c r="Q1793" s="222" t="str">
        <f>IFERROR(__xludf.DUMMYFUNCTION("""COMPUTED_VALUE"""),"(26/01) Kendala feeder LBY-FM FULL")</f>
        <v>(26/01) Kendala feeder LBY-FM FULL</v>
      </c>
      <c r="R1793" s="228"/>
      <c r="S1793" s="11"/>
      <c r="T1793" s="11"/>
      <c r="U1793" s="11" t="str">
        <f>IFERROR(__xludf.DUMMYFUNCTION("""COMPUTED_VALUE"""),"TIF-3054/2026 26KT03R158-0048")</f>
        <v>TIF-3054/2026 26KT03R158-0048</v>
      </c>
      <c r="V1793" s="229"/>
      <c r="W1793" s="229"/>
      <c r="X1793" s="229" t="str">
        <f>IFERROR(__xludf.DUMMYFUNCTION("""COMPUTED_VALUE"""),"BELUM GOLIVE")</f>
        <v>BELUM GOLIVE</v>
      </c>
      <c r="Y1793" s="229"/>
      <c r="Z1793" s="229" t="str">
        <f>IFERROR(__xludf.DUMMYFUNCTION("""COMPUTED_VALUE"""),"#N/A")</f>
        <v>#N/A</v>
      </c>
      <c r="AA1793" s="229"/>
      <c r="AB1793" s="229"/>
      <c r="AC1793" s="229"/>
      <c r="AD1793" s="232"/>
      <c r="AE1793" s="233"/>
      <c r="AF1793" s="54" t="str">
        <f>IFERROR(__xludf.DUMMYFUNCTION("""COMPUTED_VALUE"""),"Draft BA DROP")</f>
        <v>Draft BA DROP</v>
      </c>
      <c r="AG1793" s="54"/>
      <c r="AH1793" s="54"/>
      <c r="AI1793" s="55" t="str">
        <f t="shared" si="179"/>
        <v/>
      </c>
      <c r="AW1793" s="234"/>
      <c r="BP1793" s="11"/>
      <c r="BQ1793" s="11"/>
      <c r="BR1793" s="235"/>
      <c r="BV1793" s="158"/>
      <c r="BY1793" s="158"/>
      <c r="CB1793" s="158"/>
    </row>
    <row r="1794" ht="18.0" customHeight="1">
      <c r="A1794" s="222">
        <f>IFERROR(__xludf.DUMMYFUNCTION("""COMPUTED_VALUE"""),2026.0)</f>
        <v>2026</v>
      </c>
      <c r="B1794" s="221">
        <f>IFERROR(__xludf.DUMMYFUNCTION("""COMPUTED_VALUE"""),1.106774E7)</f>
        <v>11067740</v>
      </c>
      <c r="C1794" s="222" t="str">
        <f>IFERROR(__xludf.DUMMYFUNCTION("""COMPUTED_VALUE"""),"SMB P1I1 PT3 SCATTER TANGAH JUA BKT-FB")</f>
        <v>SMB P1I1 PT3 SCATTER TANGAH JUA BKT-FB</v>
      </c>
      <c r="D1794" s="222" t="str">
        <f>IFERROR(__xludf.DUMMYFUNCTION("""COMPUTED_VALUE"""),"REGIONAL I")</f>
        <v>REGIONAL I</v>
      </c>
      <c r="E1794" s="222" t="str">
        <f>IFERROR(__xludf.DUMMYFUNCTION("""COMPUTED_VALUE"""),"SUMBAR")</f>
        <v>SUMBAR</v>
      </c>
      <c r="F1794" s="222" t="str">
        <f>IFERROR(__xludf.DUMMYFUNCTION("""COMPUTED_VALUE"""),"BKT")</f>
        <v>BKT</v>
      </c>
      <c r="G1794" s="222" t="str">
        <f>IFERROR(__xludf.DUMMYFUNCTION("""COMPUTED_VALUE"""),"SUMBAGTENG")</f>
        <v>SUMBAGTENG</v>
      </c>
      <c r="H1794" s="222" t="str">
        <f>IFERROR(__xludf.DUMMYFUNCTION("""COMPUTED_VALUE"""),"BUKIT TINGGI")</f>
        <v>BUKIT TINGGI</v>
      </c>
      <c r="I1794" s="222" t="str">
        <f>IFERROR(__xludf.DUMMYFUNCTION("""COMPUTED_VALUE"""),"Batch 2")</f>
        <v>Batch 2</v>
      </c>
      <c r="J1794" s="225">
        <f>IFERROR(__xludf.DUMMYFUNCTION("""COMPUTED_VALUE"""),7.0)</f>
        <v>7</v>
      </c>
      <c r="K1794" s="224">
        <f>IFERROR(__xludf.DUMMYFUNCTION("""COMPUTED_VALUE"""),56.0)</f>
        <v>56</v>
      </c>
      <c r="L1794" s="226">
        <f>IFERROR(__xludf.DUMMYFUNCTION("""COMPUTED_VALUE"""),401569.0)</f>
        <v>401569</v>
      </c>
      <c r="M1794" s="227">
        <f>IFERROR(__xludf.DUMMYFUNCTION("""COMPUTED_VALUE"""),2.2487815E7)</f>
        <v>22487815</v>
      </c>
      <c r="N1794" s="222" t="str">
        <f>IFERROR(__xludf.DUMMYFUNCTION("""COMPUTED_VALUE"""),"PT RATRI PRIMA MANDIRI")</f>
        <v>PT RATRI PRIMA MANDIRI</v>
      </c>
      <c r="O1794" s="222" t="str">
        <f>IFERROR(__xludf.DUMMYFUNCTION("""COMPUTED_VALUE"""),"8. UJI TERIMA")</f>
        <v>8. UJI TERIMA</v>
      </c>
      <c r="P1794" s="222" t="str">
        <f>IFERROR(__xludf.DUMMYFUNCTION("""COMPUTED_VALUE"""),"8.1 Proses UT")</f>
        <v>8.1 Proses UT</v>
      </c>
      <c r="Q1794" s="222" t="str">
        <f>IFERROR(__xludf.DUMMYFUNCTION("""COMPUTED_VALUE"""),"(29/01) proses delivery material  (21/01) proses CReate PID (07/01) Persiapan")</f>
        <v>(29/01) proses delivery material  (21/01) proses CReate PID (07/01) Persiapan</v>
      </c>
      <c r="R1794" s="228">
        <f>IFERROR(__xludf.DUMMYFUNCTION("""COMPUTED_VALUE"""),46065.0)</f>
        <v>46065</v>
      </c>
      <c r="S1794" s="11"/>
      <c r="T1794" s="11"/>
      <c r="U1794" s="11" t="str">
        <f>IFERROR(__xludf.DUMMYFUNCTION("""COMPUTED_VALUE"""),"TIF-1910/2026 26KT03R158-0012")</f>
        <v>TIF-1910/2026 26KT03R158-0012</v>
      </c>
      <c r="V1794" s="229" t="str">
        <f>IFERROR(__xludf.DUMMYFUNCTION("""COMPUTED_VALUE"""),"M. ARIF HAMADI")</f>
        <v>M. ARIF HAMADI</v>
      </c>
      <c r="W1794" s="229" t="str">
        <f>IFERROR(__xludf.DUMMYFUNCTION("""COMPUTED_VALUE"""),"MELKO NARWADI")</f>
        <v>MELKO NARWADI</v>
      </c>
      <c r="X1794" s="229" t="str">
        <f>IFERROR(__xludf.DUMMYFUNCTION("""COMPUTED_VALUE"""),"GOLIVE")</f>
        <v>GOLIVE</v>
      </c>
      <c r="Y1794" s="229" t="str">
        <f>IFERROR(__xludf.DUMMYFUNCTION("""COMPUTED_VALUE"""),"Golive Parsial")</f>
        <v>Golive Parsial</v>
      </c>
      <c r="Z1794" s="229" t="str">
        <f>IFERROR(__xludf.DUMMYFUNCTION("""COMPUTED_VALUE"""),"#N/A")</f>
        <v>#N/A</v>
      </c>
      <c r="AA1794" s="229">
        <f>IFERROR(__xludf.DUMMYFUNCTION("""COMPUTED_VALUE"""),7.0)</f>
        <v>7</v>
      </c>
      <c r="AB1794" s="229"/>
      <c r="AC1794" s="229" t="str">
        <f>IFERROR(__xludf.DUMMYFUNCTION("""COMPUTED_VALUE"""),"9106959#9106964")</f>
        <v>9106959#9106964</v>
      </c>
      <c r="AD1794" s="232">
        <f>IFERROR(__xludf.DUMMYFUNCTION("""COMPUTED_VALUE"""),56.0)</f>
        <v>56</v>
      </c>
      <c r="AE1794" s="233">
        <f>IFERROR(__xludf.DUMMYFUNCTION("""COMPUTED_VALUE"""),46066.0)</f>
        <v>46066</v>
      </c>
      <c r="AF1794" s="54"/>
      <c r="AG1794" s="54"/>
      <c r="AH1794" s="54">
        <v>46065.0</v>
      </c>
      <c r="AI1794" s="55">
        <f t="shared" si="179"/>
        <v>-1</v>
      </c>
      <c r="AW1794" s="234"/>
      <c r="BP1794" s="11"/>
      <c r="BQ1794" s="11"/>
      <c r="BR1794" s="235"/>
      <c r="BV1794" s="158"/>
      <c r="BY1794" s="158"/>
      <c r="CB1794" s="158"/>
    </row>
    <row r="1795" ht="18.0" hidden="1" customHeight="1">
      <c r="A1795" s="222">
        <f>IFERROR(__xludf.DUMMYFUNCTION("""COMPUTED_VALUE"""),2026.0)</f>
        <v>2026</v>
      </c>
      <c r="B1795" s="221">
        <f>IFERROR(__xludf.DUMMYFUNCTION("""COMPUTED_VALUE"""),1.2047338E7)</f>
        <v>12047338</v>
      </c>
      <c r="C1795" s="222" t="str">
        <f>IFERROR(__xludf.DUMMYFUNCTION("""COMPUTED_VALUE"""),"SMU PT3 SET-FAA CLUST ASAHAN_54867")</f>
        <v>SMU PT3 SET-FAA CLUST ASAHAN_54867</v>
      </c>
      <c r="D1795" s="222" t="str">
        <f>IFERROR(__xludf.DUMMYFUNCTION("""COMPUTED_VALUE"""),"REGIONAL I")</f>
        <v>REGIONAL I</v>
      </c>
      <c r="E1795" s="222" t="str">
        <f>IFERROR(__xludf.DUMMYFUNCTION("""COMPUTED_VALUE"""),"SUMUT")</f>
        <v>SUMUT</v>
      </c>
      <c r="F1795" s="222" t="str">
        <f>IFERROR(__xludf.DUMMYFUNCTION("""COMPUTED_VALUE"""),"TJB")</f>
        <v>TJB</v>
      </c>
      <c r="G1795" s="222" t="str">
        <f>IFERROR(__xludf.DUMMYFUNCTION("""COMPUTED_VALUE"""),"SUMBAGUT")</f>
        <v>SUMBAGUT</v>
      </c>
      <c r="H1795" s="222" t="str">
        <f>IFERROR(__xludf.DUMMYFUNCTION("""COMPUTED_VALUE"""),"RANTAU PRAPAT")</f>
        <v>RANTAU PRAPAT</v>
      </c>
      <c r="I1795" s="222" t="str">
        <f>IFERROR(__xludf.DUMMYFUNCTION("""COMPUTED_VALUE"""),"Batch 2")</f>
        <v>Batch 2</v>
      </c>
      <c r="J1795" s="225">
        <f>IFERROR(__xludf.DUMMYFUNCTION("""COMPUTED_VALUE"""),5.0)</f>
        <v>5</v>
      </c>
      <c r="K1795" s="224">
        <f>IFERROR(__xludf.DUMMYFUNCTION("""COMPUTED_VALUE"""),40.0)</f>
        <v>40</v>
      </c>
      <c r="L1795" s="226">
        <f>IFERROR(__xludf.DUMMYFUNCTION("""COMPUTED_VALUE"""),401523.0)</f>
        <v>401523</v>
      </c>
      <c r="M1795" s="227">
        <f>IFERROR(__xludf.DUMMYFUNCTION("""COMPUTED_VALUE"""),1.606091E7)</f>
        <v>16060910</v>
      </c>
      <c r="N1795" s="222" t="str">
        <f>IFERROR(__xludf.DUMMYFUNCTION("""COMPUTED_VALUE"""),"PT MITRA SETIA INDONESIA")</f>
        <v>PT MITRA SETIA INDONESIA</v>
      </c>
      <c r="O1795" s="222" t="str">
        <f>IFERROR(__xludf.DUMMYFUNCTION("""COMPUTED_VALUE"""),"7. GOLIVE")</f>
        <v>7. GOLIVE</v>
      </c>
      <c r="P1795" s="222" t="str">
        <f>IFERROR(__xludf.DUMMYFUNCTION("""COMPUTED_VALUE"""),"7.2 Golive Full / OA / DONE OTB")</f>
        <v>7.2 Golive Full / OA / DONE OTB</v>
      </c>
      <c r="Q1795" s="222" t="str">
        <f>IFERROR(__xludf.DUMMYFUNCTION("""COMPUTED_VALUE"""),"15/4 Golive full, 14/4 proses abd mancore,(2 odp tdk tembus), 13/4 proses valins 4 odp sisa 2 odp tidak tembus, 9/4 penarikan ku 12 (200  selesai) odp 4 selesai, plan bsk jumper dan valins, 8/4 team turun kelokasi 8 april setelah sentang sleesai, 6/4 team"&amp;" turun kelokasi 8 april setelah sentang sleesai, 5/4 plan progres setlah kis fbg selesa,  (estimasi paling lambat hari rabu tgl 1 april kalau tim tidak turun lop di alihkan ke mitra lain), 31/3 plan progres setlah kis fbg selesa,  (estimasi paling lambat "&amp;"hari rabu tgl 1 april kalau tim tidak turun lop di alihkan ke mitra lain), 30/3 plan progres setlah kis fbg selesa,  27/3 plan progres setlah kis fbg selesai, 26/3 prepair team untuk lanjut progres instalasi, 22/3 prepair team untuk lanjut progres instala"&amp;"si, 18/3 plan progres setelah lebaran, 16/3 plan progres setelah lebaran,  13/3 tim partial di lop kis-fbg,  11/3 tim partial di lop kis-fbg, 10/3 tim partial di lop kis-fbg, 6/3 prepair tim untuk pengambilan material , 4/3 prepair tim untuk pengambilan m"&amp;"aterial , 3/3 prepair tim untuk pengambilan material 2/3 proses req matrial mitra ,  27/2 plan fu kembali terkait izin desa senin 2 maret, 25/2 plan team besok 26 feb fu pengajuan izin ke desa ,24/2 plan team besok fu pengajuan izin ke desa ,23/2 prepair "&amp;"team untuk fu pengajuan izin ke desa , 20/2 proses req matrial, 19/2 prepair team untuk pengajuan izin ke desa, 18/2 prepair team untuk pengajuan izin ke desa, 16/2 proses req matrial paralel pengantar izin desa, 13/2 proses req matrial paralel pengantar "&amp;"izin desa, 12/2 proses req matrial paralel pengantar izin desa, 11/2 proses req matrial paralel pengantar izin desa, 10/2 proses req matrial paralel pengantar izin desa, 9/2 proses req matrial paralel pengantar izin desa, 6/2 menunggu boq kml survey, 5/2 "&amp;"menunggu boq kml survey, 3/2 menunggu boq kml survey, 2/2 menunggu boq kml survey, 1/2 menunggu boq kml survey, 30/1 menunggu boq kml survey,  28/1 menunggu boq kml survey,  27/1 menunggu boq kml survey, 26/1 menunggu boq kml survey,23/1 ogp survey, 22/1 "&amp;"plan survey 23/1 , 21/1 plan survey 22/1, 20/1 plan survey 21/1,19/1 plan survey 20/1, 15/1 plan survey tanggal 20/1, 14/01 plan survey tanggal 22/01, 13/01 plan survey tanggal 22/01, (12/01) tidak dpt izin dari warga, (07/01) Persiapan")</f>
        <v>15/4 Golive full, 14/4 proses abd mancore,(2 odp tdk tembus), 13/4 proses valins 4 odp sisa 2 odp tidak tembus, 9/4 penarikan ku 12 (200  selesai) odp 4 selesai, plan bsk jumper dan valins, 8/4 team turun kelokasi 8 april setelah sentang sleesai, 6/4 team turun kelokasi 8 april setelah sentang sleesai, 5/4 plan progres setlah kis fbg selesa,  (estimasi paling lambat hari rabu tgl 1 april kalau tim tidak turun lop di alihkan ke mitra lain), 31/3 plan progres setlah kis fbg selesa,  (estimasi paling lambat hari rabu tgl 1 april kalau tim tidak turun lop di alihkan ke mitra lain), 30/3 plan progres setlah kis fbg selesa,  27/3 plan progres setlah kis fbg selesai, 26/3 prepair team untuk lanjut progres instalasi, 22/3 prepair team untuk lanjut progres instalasi, 18/3 plan progres setelah lebaran, 16/3 plan progres setelah lebaran,  13/3 tim partial di lop kis-fbg,  11/3 tim partial di lop kis-fbg, 10/3 tim partial di lop kis-fbg, 6/3 prepair tim untuk pengambilan material , 4/3 prepair tim untuk pengambilan material , 3/3 prepair tim untuk pengambilan material 2/3 proses req matrial mitra ,  27/2 plan fu kembali terkait izin desa senin 2 maret, 25/2 plan team besok 26 feb fu pengajuan izin ke desa ,24/2 plan team besok fu pengajuan izin ke desa ,23/2 prepair team untuk fu pengajuan izin ke desa , 20/2 proses req matrial, 19/2 prepair team untuk pengajuan izin ke desa, 18/2 prepair team untuk pengajuan izin ke desa, 16/2 proses req matrial paralel pengantar izin desa, 13/2 proses req matrial paralel pengantar izin desa, 12/2 proses req matrial paralel pengantar izin desa, 11/2 proses req matrial paralel pengantar izin desa, 10/2 proses req matrial paralel pengantar izin desa, 9/2 proses req matrial paralel pengantar izin desa, 6/2 menunggu boq kml survey, 5/2 menunggu boq kml survey, 3/2 menunggu boq kml survey, 2/2 menunggu boq kml survey, 1/2 menunggu boq kml survey, 30/1 menunggu boq kml survey,  28/1 menunggu boq kml survey,  27/1 menunggu boq kml survey, 26/1 menunggu boq kml survey,23/1 ogp survey, 22/1 plan survey 23/1 , 21/1 plan survey 22/1, 20/1 plan survey 21/1,19/1 plan survey 20/1, 15/1 plan survey tanggal 20/1, 14/01 plan survey tanggal 22/01, 13/01 plan survey tanggal 22/01, (12/01) tidak dpt izin dari warga, (07/01) Persiapan</v>
      </c>
      <c r="R1795" s="228">
        <f>IFERROR(__xludf.DUMMYFUNCTION("""COMPUTED_VALUE"""),46127.0)</f>
        <v>46127</v>
      </c>
      <c r="S1795" s="11" t="str">
        <f>IFERROR(__xludf.DUMMYFUNCTION("""COMPUTED_VALUE"""),"MAR")</f>
        <v>MAR</v>
      </c>
      <c r="T1795" s="73"/>
      <c r="U1795" s="11" t="str">
        <f>IFERROR(__xludf.DUMMYFUNCTION("""COMPUTED_VALUE"""),"TIF-909/2026")</f>
        <v>TIF-909/2026</v>
      </c>
      <c r="V1795" s="229"/>
      <c r="W1795" s="229" t="str">
        <f>IFERROR(__xludf.DUMMYFUNCTION("""COMPUTED_VALUE"""),"#N/A")</f>
        <v>#N/A</v>
      </c>
      <c r="X1795" s="229" t="str">
        <f>IFERROR(__xludf.DUMMYFUNCTION("""COMPUTED_VALUE"""),"GOLIVE")</f>
        <v>GOLIVE</v>
      </c>
      <c r="Y1795" s="229" t="str">
        <f>IFERROR(__xludf.DUMMYFUNCTION("""COMPUTED_VALUE"""),"DONE")</f>
        <v>DONE</v>
      </c>
      <c r="Z1795" s="229" t="str">
        <f>IFERROR(__xludf.DUMMYFUNCTION("""COMPUTED_VALUE"""),"#N/A")</f>
        <v>#N/A</v>
      </c>
      <c r="AA1795" s="229">
        <f>IFERROR(__xludf.DUMMYFUNCTION("""COMPUTED_VALUE"""),2.0)</f>
        <v>2</v>
      </c>
      <c r="AB1795" s="229"/>
      <c r="AC1795" s="229" t="str">
        <f>IFERROR(__xludf.DUMMYFUNCTION("""COMPUTED_VALUE"""),"9275220#9275225")</f>
        <v>9275220#9275225</v>
      </c>
      <c r="AD1795" s="232">
        <f>IFERROR(__xludf.DUMMYFUNCTION("""COMPUTED_VALUE"""),16.0)</f>
        <v>16</v>
      </c>
      <c r="AE1795" s="233">
        <f>IFERROR(__xludf.DUMMYFUNCTION("""COMPUTED_VALUE"""),46127.0)</f>
        <v>46127</v>
      </c>
      <c r="AF1795" s="54"/>
      <c r="AG1795" s="54"/>
      <c r="AH1795" s="54">
        <v>46136.0</v>
      </c>
      <c r="AI1795" s="55">
        <f t="shared" si="179"/>
        <v>0</v>
      </c>
      <c r="AW1795" s="234"/>
      <c r="BP1795" s="11"/>
      <c r="BQ1795" s="11"/>
      <c r="BR1795" s="235"/>
      <c r="BV1795" s="158"/>
      <c r="BY1795" s="158"/>
      <c r="CB1795" s="158"/>
    </row>
    <row r="1796" ht="18.0" hidden="1" customHeight="1">
      <c r="A1796" s="222">
        <f>IFERROR(__xludf.DUMMYFUNCTION("""COMPUTED_VALUE"""),2026.0)</f>
        <v>2026</v>
      </c>
      <c r="B1796" s="221">
        <f>IFERROR(__xludf.DUMMYFUNCTION("""COMPUTED_VALUE"""),1.1288432E7)</f>
        <v>11288432</v>
      </c>
      <c r="C1796" s="222" t="str">
        <f>IFERROR(__xludf.DUMMYFUNCTION("""COMPUTED_VALUE"""),"SMS P4I2 PT3 PLJ FAK D02 PALEMBANG_8567")</f>
        <v>SMS P4I2 PT3 PLJ FAK D02 PALEMBANG_8567</v>
      </c>
      <c r="D1796" s="222" t="str">
        <f>IFERROR(__xludf.DUMMYFUNCTION("""COMPUTED_VALUE"""),"REGIONAL I")</f>
        <v>REGIONAL I</v>
      </c>
      <c r="E1796" s="222" t="str">
        <f>IFERROR(__xludf.DUMMYFUNCTION("""COMPUTED_VALUE"""),"SUMSEL")</f>
        <v>SUMSEL</v>
      </c>
      <c r="F1796" s="222" t="str">
        <f>IFERROR(__xludf.DUMMYFUNCTION("""COMPUTED_VALUE"""),"PLJ")</f>
        <v>PLJ</v>
      </c>
      <c r="G1796" s="222" t="str">
        <f>IFERROR(__xludf.DUMMYFUNCTION("""COMPUTED_VALUE"""),"SUMBAGSEL")</f>
        <v>SUMBAGSEL</v>
      </c>
      <c r="H1796" s="222" t="str">
        <f>IFERROR(__xludf.DUMMYFUNCTION("""COMPUTED_VALUE"""),"PALEMBANG")</f>
        <v>PALEMBANG</v>
      </c>
      <c r="I1796" s="222" t="str">
        <f>IFERROR(__xludf.DUMMYFUNCTION("""COMPUTED_VALUE"""),"Batch 2")</f>
        <v>Batch 2</v>
      </c>
      <c r="J1796" s="225">
        <f>IFERROR(__xludf.DUMMYFUNCTION("""COMPUTED_VALUE"""),2.0)</f>
        <v>2</v>
      </c>
      <c r="K1796" s="224">
        <f>IFERROR(__xludf.DUMMYFUNCTION("""COMPUTED_VALUE"""),72.0)</f>
        <v>72</v>
      </c>
      <c r="L1796" s="226">
        <f>IFERROR(__xludf.DUMMYFUNCTION("""COMPUTED_VALUE"""),400105.0)</f>
        <v>400105</v>
      </c>
      <c r="M1796" s="227">
        <f>IFERROR(__xludf.DUMMYFUNCTION("""COMPUTED_VALUE"""),2.8807492E7)</f>
        <v>28807492</v>
      </c>
      <c r="N1796" s="222" t="str">
        <f>IFERROR(__xludf.DUMMYFUNCTION("""COMPUTED_VALUE"""),"PT ACERO CETHA METALINDO")</f>
        <v>PT ACERO CETHA METALINDO</v>
      </c>
      <c r="O1796" s="222" t="str">
        <f>IFERROR(__xludf.DUMMYFUNCTION("""COMPUTED_VALUE"""),"0. DROP")</f>
        <v>0. DROP</v>
      </c>
      <c r="P1796" s="222" t="str">
        <f>IFERROR(__xludf.DUMMYFUNCTION("""COMPUTED_VALUE"""),"0.2 Tidak Dapat Izin Warga/Kades/Lurah/Developer")</f>
        <v>0.2 Tidak Dapat Izin Warga/Kades/Lurah/Developer</v>
      </c>
      <c r="Q1796" s="222" t="str">
        <f>IFERROR(__xludf.DUMMYFUNCTION("""COMPUTED_VALUE"""),"06/02 TSEL KONFIRM DROP, 07/01 DROP tidak dpt izin dari warga (21/01) DROP, tidak dpt izin warga setempat, (15/1) ORDER DITERIMA MITRA 14/1, plan Aanwijdzing 19 Jan 23/12 DROP, 20/11 tidak dapat izin dari warga, 18/11 tidak dapat izin dari warga, (15/11) "&amp;"kunjungan dengan tim sales , untuk tanam tiang dan tarik kabel tidak dapat izin karena dilokasi sudah banyak tiang provider lain (14/11) plan kunjungan bersama tim sales 15 nov (12/11) masih kendala perizinan 11/11 masih menunggu perizinan (08/11) core id"&amp;"le ready , proses izin lanjut senin 10 nov (5/11) baru selesai aanwidzjing 23/10 penunjukan mitra")</f>
        <v>06/02 TSEL KONFIRM DROP, 07/01 DROP tidak dpt izin dari warga (21/01) DROP, tidak dpt izin warga setempat, (15/1) ORDER DITERIMA MITRA 14/1, plan Aanwijdzing 19 Jan 23/12 DROP, 20/11 tidak dapat izin dari warga, 18/11 tidak dapat izin dari warga, (15/11) kunjungan dengan tim sales , untuk tanam tiang dan tarik kabel tidak dapat izin karena dilokasi sudah banyak tiang provider lain (14/11) plan kunjungan bersama tim sales 15 nov (12/11) masih kendala perizinan 11/11 masih menunggu perizinan (08/11) core idle ready , proses izin lanjut senin 10 nov (5/11) baru selesai aanwidzjing 23/10 penunjukan mitra</v>
      </c>
      <c r="R1796" s="228"/>
      <c r="S1796" s="11"/>
      <c r="T1796" s="11"/>
      <c r="U1796" s="11"/>
      <c r="V1796" s="229" t="str">
        <f>IFERROR(__xludf.DUMMYFUNCTION("""COMPUTED_VALUE"""),"PRIGUS")</f>
        <v>PRIGUS</v>
      </c>
      <c r="W1796" s="229"/>
      <c r="X1796" s="229" t="str">
        <f>IFERROR(__xludf.DUMMYFUNCTION("""COMPUTED_VALUE"""),"BELUM GOLIVE")</f>
        <v>BELUM GOLIVE</v>
      </c>
      <c r="Y1796" s="229"/>
      <c r="Z1796" s="229" t="str">
        <f>IFERROR(__xludf.DUMMYFUNCTION("""COMPUTED_VALUE"""),"#N/A")</f>
        <v>#N/A</v>
      </c>
      <c r="AA1796" s="229"/>
      <c r="AB1796" s="229"/>
      <c r="AC1796" s="229"/>
      <c r="AD1796" s="232"/>
      <c r="AE1796" s="233"/>
      <c r="AF1796" s="54" t="str">
        <f>IFERROR(__xludf.DUMMYFUNCTION("""COMPUTED_VALUE"""),"Draft BA DROP")</f>
        <v>Draft BA DROP</v>
      </c>
      <c r="AG1796" s="54"/>
      <c r="AH1796" s="54"/>
      <c r="AI1796" s="55" t="str">
        <f t="shared" si="179"/>
        <v/>
      </c>
      <c r="AW1796" s="234"/>
      <c r="BP1796" s="11"/>
      <c r="BQ1796" s="11"/>
      <c r="BR1796" s="235"/>
      <c r="BV1796" s="158"/>
      <c r="BY1796" s="158"/>
      <c r="CB1796" s="158"/>
    </row>
    <row r="1797" ht="18.0" hidden="1" customHeight="1">
      <c r="A1797" s="222">
        <f>IFERROR(__xludf.DUMMYFUNCTION("""COMPUTED_VALUE"""),2026.0)</f>
        <v>2026</v>
      </c>
      <c r="B1797" s="221">
        <f>IFERROR(__xludf.DUMMYFUNCTION("""COMPUTED_VALUE"""),1.1097353E7)</f>
        <v>11097353</v>
      </c>
      <c r="C1797" s="222" t="str">
        <f>IFERROR(__xludf.DUMMYFUNCTION("""COMPUTED_VALUE"""),"MDN PT3 P7I6 TMU-FAB JL.PENDIDIKAN")</f>
        <v>MDN PT3 P7I6 TMU-FAB JL.PENDIDIKAN</v>
      </c>
      <c r="D1797" s="222" t="str">
        <f>IFERROR(__xludf.DUMMYFUNCTION("""COMPUTED_VALUE"""),"REGIONAL I")</f>
        <v>REGIONAL I</v>
      </c>
      <c r="E1797" s="222" t="str">
        <f>IFERROR(__xludf.DUMMYFUNCTION("""COMPUTED_VALUE"""),"MEDAN")</f>
        <v>MEDAN</v>
      </c>
      <c r="F1797" s="222" t="str">
        <f>IFERROR(__xludf.DUMMYFUNCTION("""COMPUTED_VALUE"""),"TMU")</f>
        <v>TMU</v>
      </c>
      <c r="G1797" s="222" t="str">
        <f>IFERROR(__xludf.DUMMYFUNCTION("""COMPUTED_VALUE"""),"SUMBAGUT")</f>
        <v>SUMBAGUT</v>
      </c>
      <c r="H1797" s="222" t="str">
        <f>IFERROR(__xludf.DUMMYFUNCTION("""COMPUTED_VALUE"""),"MEDAN")</f>
        <v>MEDAN</v>
      </c>
      <c r="I1797" s="222" t="str">
        <f>IFERROR(__xludf.DUMMYFUNCTION("""COMPUTED_VALUE"""),"Batch 2")</f>
        <v>Batch 2</v>
      </c>
      <c r="J1797" s="225">
        <f>IFERROR(__xludf.DUMMYFUNCTION("""COMPUTED_VALUE"""),3.0)</f>
        <v>3</v>
      </c>
      <c r="K1797" s="224">
        <f>IFERROR(__xludf.DUMMYFUNCTION("""COMPUTED_VALUE"""),24.0)</f>
        <v>24</v>
      </c>
      <c r="L1797" s="226">
        <f>IFERROR(__xludf.DUMMYFUNCTION("""COMPUTED_VALUE"""),1189184.0)</f>
        <v>1189184</v>
      </c>
      <c r="M1797" s="227">
        <f>IFERROR(__xludf.DUMMYFUNCTION("""COMPUTED_VALUE"""),2.8540393E7)</f>
        <v>28540393</v>
      </c>
      <c r="N1797" s="222" t="str">
        <f>IFERROR(__xludf.DUMMYFUNCTION("""COMPUTED_VALUE"""),"PT DUL JAYA TAMA")</f>
        <v>PT DUL JAYA TAMA</v>
      </c>
      <c r="O1797" s="222" t="str">
        <f>IFERROR(__xludf.DUMMYFUNCTION("""COMPUTED_VALUE"""),"7. GOLIVE")</f>
        <v>7. GOLIVE</v>
      </c>
      <c r="P1797" s="222" t="str">
        <f>IFERROR(__xludf.DUMMYFUNCTION("""COMPUTED_VALUE"""),"7.2 Golive Full / OA / DONE OTB")</f>
        <v>7.2 Golive Full / OA / DONE OTB</v>
      </c>
      <c r="Q1797" s="222" t="str">
        <f>IFERROR(__xludf.DUMMYFUNCTION("""COMPUTED_VALUE"""),"09/03 penarikan KU 03/02 ambil material 25/02 cek perizinan ada sisa kaki feeder 13/02 menunggu LoP MDN PT4 TMU-FAB ODP PRIORITAS 02/02 Feeder Tidak Tembus")</f>
        <v>09/03 penarikan KU 03/02 ambil material 25/02 cek perizinan ada sisa kaki feeder 13/02 menunggu LoP MDN PT4 TMU-FAB ODP PRIORITAS 02/02 Feeder Tidak Tembus</v>
      </c>
      <c r="R1797" s="228">
        <f>IFERROR(__xludf.DUMMYFUNCTION("""COMPUTED_VALUE"""),46120.0)</f>
        <v>46120</v>
      </c>
      <c r="S1797" s="11"/>
      <c r="T1797" s="73"/>
      <c r="U1797" s="11"/>
      <c r="V1797" s="229"/>
      <c r="W1797" s="229" t="str">
        <f>IFERROR(__xludf.DUMMYFUNCTION("""COMPUTED_VALUE"""),"#N/A")</f>
        <v>#N/A</v>
      </c>
      <c r="X1797" s="229" t="str">
        <f>IFERROR(__xludf.DUMMYFUNCTION("""COMPUTED_VALUE"""),"GOLIVE")</f>
        <v>GOLIVE</v>
      </c>
      <c r="Y1797" s="229" t="str">
        <f>IFERROR(__xludf.DUMMYFUNCTION("""COMPUTED_VALUE"""),"DONE")</f>
        <v>DONE</v>
      </c>
      <c r="Z1797" s="229" t="str">
        <f>IFERROR(__xludf.DUMMYFUNCTION("""COMPUTED_VALUE"""),"#N/A")</f>
        <v>#N/A</v>
      </c>
      <c r="AA1797" s="229">
        <f>IFERROR(__xludf.DUMMYFUNCTION("""COMPUTED_VALUE"""),3.0)</f>
        <v>3</v>
      </c>
      <c r="AB1797" s="229"/>
      <c r="AC1797" s="229" t="str">
        <f>IFERROR(__xludf.DUMMYFUNCTION("""COMPUTED_VALUE"""),"9252110#9252115")</f>
        <v>9252110#9252115</v>
      </c>
      <c r="AD1797" s="232">
        <f>IFERROR(__xludf.DUMMYFUNCTION("""COMPUTED_VALUE"""),24.0)</f>
        <v>24</v>
      </c>
      <c r="AE1797" s="233">
        <f>IFERROR(__xludf.DUMMYFUNCTION("""COMPUTED_VALUE"""),46120.0)</f>
        <v>46120</v>
      </c>
      <c r="AF1797" s="54"/>
      <c r="AG1797" s="54"/>
      <c r="AH1797" s="54">
        <v>46120.0</v>
      </c>
      <c r="AI1797" s="55">
        <f t="shared" si="179"/>
        <v>0</v>
      </c>
      <c r="AW1797" s="234"/>
      <c r="BP1797" s="11"/>
      <c r="BQ1797" s="11"/>
      <c r="BR1797" s="235"/>
      <c r="BV1797" s="158"/>
      <c r="BY1797" s="158"/>
      <c r="CB1797" s="158"/>
    </row>
    <row r="1798" ht="18.0" hidden="1" customHeight="1">
      <c r="A1798" s="222">
        <f>IFERROR(__xludf.DUMMYFUNCTION("""COMPUTED_VALUE"""),2026.0)</f>
        <v>2026</v>
      </c>
      <c r="B1798" s="221">
        <f>IFERROR(__xludf.DUMMYFUNCTION("""COMPUTED_VALUE"""),1.1323706E7)</f>
        <v>11323706</v>
      </c>
      <c r="C1798" s="222" t="str">
        <f>IFERROR(__xludf.DUMMYFUNCTION("""COMPUTED_VALUE"""),"MDN PT3 CTD-FBY JL.AMPERA GG.SADAR")</f>
        <v>MDN PT3 CTD-FBY JL.AMPERA GG.SADAR</v>
      </c>
      <c r="D1798" s="222" t="str">
        <f>IFERROR(__xludf.DUMMYFUNCTION("""COMPUTED_VALUE"""),"REGIONAL I")</f>
        <v>REGIONAL I</v>
      </c>
      <c r="E1798" s="222" t="str">
        <f>IFERROR(__xludf.DUMMYFUNCTION("""COMPUTED_VALUE"""),"MEDAN")</f>
        <v>MEDAN</v>
      </c>
      <c r="F1798" s="222" t="str">
        <f>IFERROR(__xludf.DUMMYFUNCTION("""COMPUTED_VALUE"""),"CTD")</f>
        <v>CTD</v>
      </c>
      <c r="G1798" s="222" t="str">
        <f>IFERROR(__xludf.DUMMYFUNCTION("""COMPUTED_VALUE"""),"SUMBAGUT")</f>
        <v>SUMBAGUT</v>
      </c>
      <c r="H1798" s="222" t="str">
        <f>IFERROR(__xludf.DUMMYFUNCTION("""COMPUTED_VALUE"""),"MEDAN")</f>
        <v>MEDAN</v>
      </c>
      <c r="I1798" s="222" t="str">
        <f>IFERROR(__xludf.DUMMYFUNCTION("""COMPUTED_VALUE"""),"Batch 2")</f>
        <v>Batch 2</v>
      </c>
      <c r="J1798" s="225">
        <f>IFERROR(__xludf.DUMMYFUNCTION("""COMPUTED_VALUE"""),4.0)</f>
        <v>4</v>
      </c>
      <c r="K1798" s="224">
        <f>IFERROR(__xludf.DUMMYFUNCTION("""COMPUTED_VALUE"""),32.0)</f>
        <v>32</v>
      </c>
      <c r="L1798" s="226">
        <f>IFERROR(__xludf.DUMMYFUNCTION("""COMPUTED_VALUE"""),570500.0)</f>
        <v>570500</v>
      </c>
      <c r="M1798" s="227">
        <f>IFERROR(__xludf.DUMMYFUNCTION("""COMPUTED_VALUE"""),1.8255981E7)</f>
        <v>18255981</v>
      </c>
      <c r="N1798" s="222" t="str">
        <f>IFERROR(__xludf.DUMMYFUNCTION("""COMPUTED_VALUE"""),"PT GLOBAL KARYA WANDA")</f>
        <v>PT GLOBAL KARYA WANDA</v>
      </c>
      <c r="O1798" s="222" t="str">
        <f>IFERROR(__xludf.DUMMYFUNCTION("""COMPUTED_VALUE"""),"7. GOLIVE")</f>
        <v>7. GOLIVE</v>
      </c>
      <c r="P1798" s="222" t="str">
        <f>IFERROR(__xludf.DUMMYFUNCTION("""COMPUTED_VALUE"""),"7.2 Golive Full / OA / DONE OTB")</f>
        <v>7.2 Golive Full / OA / DONE OTB</v>
      </c>
      <c r="Q1798" s="222" t="str">
        <f>IFERROR(__xludf.DUMMYFUNCTION("""COMPUTED_VALUE"""),"19/02 ABD Submit 12/02 Penarikan kabel
10/02 Comcase approved 30/01 pengajuan comecase 
28/01 Done Order, lnjut Aanwidzing")</f>
        <v>19/02 ABD Submit 12/02 Penarikan kabel
10/02 Comcase approved 30/01 pengajuan comecase 
28/01 Done Order, lnjut Aanwidzing</v>
      </c>
      <c r="R1798" s="228">
        <f>IFERROR(__xludf.DUMMYFUNCTION("""COMPUTED_VALUE"""),46072.0)</f>
        <v>46072</v>
      </c>
      <c r="S1798" s="11"/>
      <c r="T1798" s="11"/>
      <c r="U1798" s="11" t="str">
        <f>IFERROR(__xludf.DUMMYFUNCTION("""COMPUTED_VALUE"""),"W01-2150/2025")</f>
        <v>W01-2150/2025</v>
      </c>
      <c r="V1798" s="229"/>
      <c r="W1798" s="229"/>
      <c r="X1798" s="229" t="str">
        <f>IFERROR(__xludf.DUMMYFUNCTION("""COMPUTED_VALUE"""),"GOLIVE")</f>
        <v>GOLIVE</v>
      </c>
      <c r="Y1798" s="229" t="str">
        <f>IFERROR(__xludf.DUMMYFUNCTION("""COMPUTED_VALUE"""),"DONE")</f>
        <v>DONE</v>
      </c>
      <c r="Z1798" s="229" t="str">
        <f>IFERROR(__xludf.DUMMYFUNCTION("""COMPUTED_VALUE"""),"#N/A")</f>
        <v>#N/A</v>
      </c>
      <c r="AA1798" s="229">
        <f>IFERROR(__xludf.DUMMYFUNCTION("""COMPUTED_VALUE"""),4.0)</f>
        <v>4</v>
      </c>
      <c r="AB1798" s="229"/>
      <c r="AC1798" s="229" t="str">
        <f>IFERROR(__xludf.DUMMYFUNCTION("""COMPUTED_VALUE"""),"9125236#9125241")</f>
        <v>9125236#9125241</v>
      </c>
      <c r="AD1798" s="232">
        <f>IFERROR(__xludf.DUMMYFUNCTION("""COMPUTED_VALUE"""),32.0)</f>
        <v>32</v>
      </c>
      <c r="AE1798" s="233">
        <f>IFERROR(__xludf.DUMMYFUNCTION("""COMPUTED_VALUE"""),46072.0)</f>
        <v>46072</v>
      </c>
      <c r="AF1798" s="54"/>
      <c r="AG1798" s="54"/>
      <c r="AH1798" s="54">
        <v>46072.0</v>
      </c>
      <c r="AI1798" s="55">
        <f t="shared" si="179"/>
        <v>0</v>
      </c>
      <c r="AW1798" s="234"/>
      <c r="BP1798" s="11"/>
      <c r="BQ1798" s="11"/>
      <c r="BR1798" s="235"/>
      <c r="BV1798" s="158"/>
      <c r="BY1798" s="158"/>
      <c r="CB1798" s="158"/>
    </row>
    <row r="1799" ht="18.0" hidden="1" customHeight="1">
      <c r="A1799" s="222">
        <f>IFERROR(__xludf.DUMMYFUNCTION("""COMPUTED_VALUE"""),2026.0)</f>
        <v>2026</v>
      </c>
      <c r="B1799" s="221">
        <f>IFERROR(__xludf.DUMMYFUNCTION("""COMPUTED_VALUE"""),1.1264417E7)</f>
        <v>11264417</v>
      </c>
      <c r="C1799" s="222" t="str">
        <f>IFERROR(__xludf.DUMMYFUNCTION("""COMPUTED_VALUE"""),"ACH PT3 SGI-FA BR.D09 COT TEUNGEH")</f>
        <v>ACH PT3 SGI-FA BR.D09 COT TEUNGEH</v>
      </c>
      <c r="D1799" s="222" t="str">
        <f>IFERROR(__xludf.DUMMYFUNCTION("""COMPUTED_VALUE"""),"REGIONAL I")</f>
        <v>REGIONAL I</v>
      </c>
      <c r="E1799" s="222" t="str">
        <f>IFERROR(__xludf.DUMMYFUNCTION("""COMPUTED_VALUE"""),"ACEH")</f>
        <v>ACEH</v>
      </c>
      <c r="F1799" s="222" t="str">
        <f>IFERROR(__xludf.DUMMYFUNCTION("""COMPUTED_VALUE"""),"SGI")</f>
        <v>SGI</v>
      </c>
      <c r="G1799" s="222" t="str">
        <f>IFERROR(__xludf.DUMMYFUNCTION("""COMPUTED_VALUE"""),"SUMBAGUT")</f>
        <v>SUMBAGUT</v>
      </c>
      <c r="H1799" s="222" t="str">
        <f>IFERROR(__xludf.DUMMYFUNCTION("""COMPUTED_VALUE"""),"BANDA ACEH")</f>
        <v>BANDA ACEH</v>
      </c>
      <c r="I1799" s="222" t="str">
        <f>IFERROR(__xludf.DUMMYFUNCTION("""COMPUTED_VALUE"""),"Batch 2")</f>
        <v>Batch 2</v>
      </c>
      <c r="J1799" s="225">
        <f>IFERROR(__xludf.DUMMYFUNCTION("""COMPUTED_VALUE"""),2.0)</f>
        <v>2</v>
      </c>
      <c r="K1799" s="224">
        <f>IFERROR(__xludf.DUMMYFUNCTION("""COMPUTED_VALUE"""),16.0)</f>
        <v>16</v>
      </c>
      <c r="L1799" s="226">
        <f>IFERROR(__xludf.DUMMYFUNCTION("""COMPUTED_VALUE"""),398504.0)</f>
        <v>398504</v>
      </c>
      <c r="M1799" s="227">
        <f>IFERROR(__xludf.DUMMYFUNCTION("""COMPUTED_VALUE"""),6376051.0)</f>
        <v>6376051</v>
      </c>
      <c r="N1799" s="222" t="str">
        <f>IFERROR(__xludf.DUMMYFUNCTION("""COMPUTED_VALUE"""),"PT NIAGA NUSANTARA DIVA")</f>
        <v>PT NIAGA NUSANTARA DIVA</v>
      </c>
      <c r="O1799" s="222" t="str">
        <f>IFERROR(__xludf.DUMMYFUNCTION("""COMPUTED_VALUE"""),"7. GOLIVE")</f>
        <v>7. GOLIVE</v>
      </c>
      <c r="P1799" s="222" t="str">
        <f>IFERROR(__xludf.DUMMYFUNCTION("""COMPUTED_VALUE"""),"7.2 Golive Full / OA / DONE OTB")</f>
        <v>7.2 Golive Full / OA / DONE OTB</v>
      </c>
      <c r="Q1799" s="222" t="str">
        <f>IFERROR(__xludf.DUMMYFUNCTION("""COMPUTED_VALUE"""),"(02/02) ABD Mancore (29/01) Penarikan Kabel (07/01) Persiapan")</f>
        <v>(02/02) ABD Mancore (29/01) Penarikan Kabel (07/01) Persiapan</v>
      </c>
      <c r="R1799" s="228">
        <f>IFERROR(__xludf.DUMMYFUNCTION("""COMPUTED_VALUE"""),46059.0)</f>
        <v>46059</v>
      </c>
      <c r="S1799" s="11"/>
      <c r="T1799" s="11"/>
      <c r="U1799" s="11" t="str">
        <f>IFERROR(__xludf.DUMMYFUNCTION("""COMPUTED_VALUE"""),"W04-1010/2025")</f>
        <v>W04-1010/2025</v>
      </c>
      <c r="V1799" s="229"/>
      <c r="W1799" s="229"/>
      <c r="X1799" s="229" t="str">
        <f>IFERROR(__xludf.DUMMYFUNCTION("""COMPUTED_VALUE"""),"GOLIVE")</f>
        <v>GOLIVE</v>
      </c>
      <c r="Y1799" s="229" t="str">
        <f>IFERROR(__xludf.DUMMYFUNCTION("""COMPUTED_VALUE"""),"DONE")</f>
        <v>DONE</v>
      </c>
      <c r="Z1799" s="229" t="str">
        <f>IFERROR(__xludf.DUMMYFUNCTION("""COMPUTED_VALUE"""),"#N/A")</f>
        <v>#N/A</v>
      </c>
      <c r="AA1799" s="229">
        <f>IFERROR(__xludf.DUMMYFUNCTION("""COMPUTED_VALUE"""),2.0)</f>
        <v>2</v>
      </c>
      <c r="AB1799" s="229"/>
      <c r="AC1799" s="229" t="str">
        <f>IFERROR(__xludf.DUMMYFUNCTION("""COMPUTED_VALUE"""),"9066318#9066329")</f>
        <v>9066318#9066329</v>
      </c>
      <c r="AD1799" s="232">
        <f>IFERROR(__xludf.DUMMYFUNCTION("""COMPUTED_VALUE"""),16.0)</f>
        <v>16</v>
      </c>
      <c r="AE1799" s="233">
        <f>IFERROR(__xludf.DUMMYFUNCTION("""COMPUTED_VALUE"""),46059.0)</f>
        <v>46059</v>
      </c>
      <c r="AF1799" s="54"/>
      <c r="AG1799" s="54"/>
      <c r="AH1799" s="54">
        <v>46059.0</v>
      </c>
      <c r="AI1799" s="55">
        <f t="shared" si="179"/>
        <v>0</v>
      </c>
      <c r="AW1799" s="234"/>
      <c r="BP1799" s="11"/>
      <c r="BQ1799" s="11"/>
      <c r="BR1799" s="235"/>
      <c r="BV1799" s="158"/>
      <c r="BY1799" s="158"/>
      <c r="CB1799" s="158"/>
    </row>
    <row r="1800" ht="18.0" hidden="1" customHeight="1">
      <c r="A1800" s="222">
        <f>IFERROR(__xludf.DUMMYFUNCTION("""COMPUTED_VALUE"""),2026.0)</f>
        <v>2026</v>
      </c>
      <c r="B1800" s="221">
        <f>IFERROR(__xludf.DUMMYFUNCTION("""COMPUTED_VALUE"""),1.1237179E7)</f>
        <v>11237179</v>
      </c>
      <c r="C1800" s="222" t="str">
        <f>IFERROR(__xludf.DUMMYFUNCTION("""COMPUTED_VALUE"""),"MDN PT3 P7I13 DLT-FAC JORDAN CITY")</f>
        <v>MDN PT3 P7I13 DLT-FAC JORDAN CITY</v>
      </c>
      <c r="D1800" s="222" t="str">
        <f>IFERROR(__xludf.DUMMYFUNCTION("""COMPUTED_VALUE"""),"REGIONAL I")</f>
        <v>REGIONAL I</v>
      </c>
      <c r="E1800" s="222" t="str">
        <f>IFERROR(__xludf.DUMMYFUNCTION("""COMPUTED_VALUE"""),"MEDAN")</f>
        <v>MEDAN</v>
      </c>
      <c r="F1800" s="222" t="str">
        <f>IFERROR(__xludf.DUMMYFUNCTION("""COMPUTED_VALUE"""),"DLT")</f>
        <v>DLT</v>
      </c>
      <c r="G1800" s="222" t="str">
        <f>IFERROR(__xludf.DUMMYFUNCTION("""COMPUTED_VALUE"""),"SUMBAGUT")</f>
        <v>SUMBAGUT</v>
      </c>
      <c r="H1800" s="222" t="str">
        <f>IFERROR(__xludf.DUMMYFUNCTION("""COMPUTED_VALUE"""),"MEDAN")</f>
        <v>MEDAN</v>
      </c>
      <c r="I1800" s="222" t="str">
        <f>IFERROR(__xludf.DUMMYFUNCTION("""COMPUTED_VALUE"""),"Batch 2")</f>
        <v>Batch 2</v>
      </c>
      <c r="J1800" s="225">
        <f>IFERROR(__xludf.DUMMYFUNCTION("""COMPUTED_VALUE"""),11.0)</f>
        <v>11</v>
      </c>
      <c r="K1800" s="224">
        <f>IFERROR(__xludf.DUMMYFUNCTION("""COMPUTED_VALUE"""),88.0)</f>
        <v>88</v>
      </c>
      <c r="L1800" s="226">
        <f>IFERROR(__xludf.DUMMYFUNCTION("""COMPUTED_VALUE"""),1672492.0)</f>
        <v>1672492</v>
      </c>
      <c r="M1800" s="227">
        <f>IFERROR(__xludf.DUMMYFUNCTION("""COMPUTED_VALUE"""),1.47179219E8)</f>
        <v>147179219</v>
      </c>
      <c r="N1800" s="222" t="str">
        <f>IFERROR(__xludf.DUMMYFUNCTION("""COMPUTED_VALUE"""),"PT FIBERHOME TECHNOLOGIES INDONESIA")</f>
        <v>PT FIBERHOME TECHNOLOGIES INDONESIA</v>
      </c>
      <c r="O1800" s="222" t="str">
        <f>IFERROR(__xludf.DUMMYFUNCTION("""COMPUTED_VALUE"""),"0. DROP")</f>
        <v>0. DROP</v>
      </c>
      <c r="P1800" s="222" t="str">
        <f>IFERROR(__xludf.DUMMYFUNCTION("""COMPUTED_VALUE"""),"0.4 CPP Tinggi Acc ED TIF")</f>
        <v>0.4 CPP Tinggi Acc ED TIF</v>
      </c>
      <c r="Q1800" s="222" t="str">
        <f>IFERROR(__xludf.DUMMYFUNCTION("""COMPUTED_VALUE"""),"05/02 Dis ex tidak sampai putus 1,7km")</f>
        <v>05/02 Dis ex tidak sampai putus 1,7km</v>
      </c>
      <c r="R1800" s="228"/>
      <c r="S1800" s="11"/>
      <c r="T1800" s="11"/>
      <c r="U1800" s="11"/>
      <c r="V1800" s="229"/>
      <c r="W1800" s="229"/>
      <c r="X1800" s="229" t="str">
        <f>IFERROR(__xludf.DUMMYFUNCTION("""COMPUTED_VALUE"""),"BELUM GOLIVE")</f>
        <v>BELUM GOLIVE</v>
      </c>
      <c r="Y1800" s="229"/>
      <c r="Z1800" s="229" t="str">
        <f>IFERROR(__xludf.DUMMYFUNCTION("""COMPUTED_VALUE"""),"#N/A")</f>
        <v>#N/A</v>
      </c>
      <c r="AA1800" s="229"/>
      <c r="AB1800" s="229"/>
      <c r="AC1800" s="229"/>
      <c r="AD1800" s="232"/>
      <c r="AE1800" s="233"/>
      <c r="AF1800" s="54" t="str">
        <f>IFERROR(__xludf.DUMMYFUNCTION("""COMPUTED_VALUE"""),"Draft BA DROP")</f>
        <v>Draft BA DROP</v>
      </c>
      <c r="AG1800" s="54"/>
      <c r="AH1800" s="54"/>
      <c r="AI1800" s="55" t="str">
        <f t="shared" si="179"/>
        <v/>
      </c>
      <c r="AW1800" s="234"/>
      <c r="BP1800" s="11"/>
      <c r="BQ1800" s="11"/>
      <c r="BR1800" s="235"/>
      <c r="BV1800" s="158"/>
      <c r="BY1800" s="158"/>
      <c r="CB1800" s="158"/>
    </row>
    <row r="1801" ht="18.0" hidden="1" customHeight="1">
      <c r="A1801" s="222">
        <f>IFERROR(__xludf.DUMMYFUNCTION("""COMPUTED_VALUE"""),2026.0)</f>
        <v>2026</v>
      </c>
      <c r="B1801" s="221">
        <f>IFERROR(__xludf.DUMMYFUNCTION("""COMPUTED_VALUE"""),1.1467506E7)</f>
        <v>11467506</v>
      </c>
      <c r="C1801" s="222" t="str">
        <f>IFERROR(__xludf.DUMMYFUNCTION("""COMPUTED_VALUE"""),"LPG JPP PT3 GANG SAKURA TJK")</f>
        <v>LPG JPP PT3 GANG SAKURA TJK</v>
      </c>
      <c r="D1801" s="222" t="str">
        <f>IFERROR(__xludf.DUMMYFUNCTION("""COMPUTED_VALUE"""),"REGIONAL I")</f>
        <v>REGIONAL I</v>
      </c>
      <c r="E1801" s="222" t="str">
        <f>IFERROR(__xludf.DUMMYFUNCTION("""COMPUTED_VALUE"""),"LAMPUNG")</f>
        <v>LAMPUNG</v>
      </c>
      <c r="F1801" s="222" t="str">
        <f>IFERROR(__xludf.DUMMYFUNCTION("""COMPUTED_VALUE"""),"TJK")</f>
        <v>TJK</v>
      </c>
      <c r="G1801" s="222" t="str">
        <f>IFERROR(__xludf.DUMMYFUNCTION("""COMPUTED_VALUE"""),"SUMBAGSEL")</f>
        <v>SUMBAGSEL</v>
      </c>
      <c r="H1801" s="222" t="str">
        <f>IFERROR(__xludf.DUMMYFUNCTION("""COMPUTED_VALUE"""),"LAMPUNG")</f>
        <v>LAMPUNG</v>
      </c>
      <c r="I1801" s="222" t="str">
        <f>IFERROR(__xludf.DUMMYFUNCTION("""COMPUTED_VALUE"""),"Batch 2")</f>
        <v>Batch 2</v>
      </c>
      <c r="J1801" s="225">
        <f>IFERROR(__xludf.DUMMYFUNCTION("""COMPUTED_VALUE"""),6.0)</f>
        <v>6</v>
      </c>
      <c r="K1801" s="224">
        <f>IFERROR(__xludf.DUMMYFUNCTION("""COMPUTED_VALUE"""),48.0)</f>
        <v>48</v>
      </c>
      <c r="L1801" s="226">
        <f>IFERROR(__xludf.DUMMYFUNCTION("""COMPUTED_VALUE"""),1418039.0)</f>
        <v>1418039</v>
      </c>
      <c r="M1801" s="227">
        <f>IFERROR(__xludf.DUMMYFUNCTION("""COMPUTED_VALUE"""),6.8065838E7)</f>
        <v>68065838</v>
      </c>
      <c r="N1801" s="222" t="str">
        <f>IFERROR(__xludf.DUMMYFUNCTION("""COMPUTED_VALUE"""),"SWAKELOLA")</f>
        <v>SWAKELOLA</v>
      </c>
      <c r="O1801" s="222" t="str">
        <f>IFERROR(__xludf.DUMMYFUNCTION("""COMPUTED_VALUE"""),"0. DROP")</f>
        <v>0. DROP</v>
      </c>
      <c r="P1801" s="222" t="str">
        <f>IFERROR(__xludf.DUMMYFUNCTION("""COMPUTED_VALUE"""),"0.2 Tidak Dapat Izin Warga/Kades/Lurah/Developer")</f>
        <v>0.2 Tidak Dapat Izin Warga/Kades/Lurah/Developer</v>
      </c>
      <c r="Q1801" s="222" t="str">
        <f>IFERROR(__xludf.DUMMYFUNCTION("""COMPUTED_VALUE"""),"14/1 tidak di izinkan dengan warga")</f>
        <v>14/1 tidak di izinkan dengan warga</v>
      </c>
      <c r="R1801" s="228"/>
      <c r="S1801" s="11"/>
      <c r="T1801" s="11"/>
      <c r="U1801" s="11"/>
      <c r="V1801" s="229"/>
      <c r="W1801" s="229"/>
      <c r="X1801" s="229" t="str">
        <f>IFERROR(__xludf.DUMMYFUNCTION("""COMPUTED_VALUE"""),"BELUM GOLIVE")</f>
        <v>BELUM GOLIVE</v>
      </c>
      <c r="Y1801" s="229"/>
      <c r="Z1801" s="229" t="str">
        <f>IFERROR(__xludf.DUMMYFUNCTION("""COMPUTED_VALUE"""),"#N/A")</f>
        <v>#N/A</v>
      </c>
      <c r="AA1801" s="229"/>
      <c r="AB1801" s="229"/>
      <c r="AC1801" s="229"/>
      <c r="AD1801" s="232"/>
      <c r="AE1801" s="233"/>
      <c r="AF1801" s="54" t="str">
        <f>IFERROR(__xludf.DUMMYFUNCTION("""COMPUTED_VALUE"""),"Draft BA DROP")</f>
        <v>Draft BA DROP</v>
      </c>
      <c r="AG1801" s="54"/>
      <c r="AH1801" s="54"/>
      <c r="AI1801" s="55" t="str">
        <f t="shared" si="179"/>
        <v/>
      </c>
      <c r="AW1801" s="234"/>
      <c r="BP1801" s="11"/>
      <c r="BQ1801" s="11"/>
      <c r="BR1801" s="235"/>
      <c r="BV1801" s="158"/>
      <c r="BY1801" s="158"/>
      <c r="CB1801" s="158"/>
    </row>
    <row r="1802" ht="18.0" hidden="1" customHeight="1">
      <c r="A1802" s="222">
        <f>IFERROR(__xludf.DUMMYFUNCTION("""COMPUTED_VALUE"""),2026.0)</f>
        <v>2026</v>
      </c>
      <c r="B1802" s="221">
        <f>IFERROR(__xludf.DUMMYFUNCTION("""COMPUTED_VALUE"""),1.2258062E7)</f>
        <v>12258062</v>
      </c>
      <c r="C1802" s="222" t="str">
        <f>IFERROR(__xludf.DUMMYFUNCTION("""COMPUTED_VALUE"""),"ACH PT3 LSM-FW D04 HAGU SELATAN")</f>
        <v>ACH PT3 LSM-FW D04 HAGU SELATAN</v>
      </c>
      <c r="D1802" s="222" t="str">
        <f>IFERROR(__xludf.DUMMYFUNCTION("""COMPUTED_VALUE"""),"REGIONAL I")</f>
        <v>REGIONAL I</v>
      </c>
      <c r="E1802" s="222" t="str">
        <f>IFERROR(__xludf.DUMMYFUNCTION("""COMPUTED_VALUE"""),"ACEH")</f>
        <v>ACEH</v>
      </c>
      <c r="F1802" s="222" t="str">
        <f>IFERROR(__xludf.DUMMYFUNCTION("""COMPUTED_VALUE"""),"LSM")</f>
        <v>LSM</v>
      </c>
      <c r="G1802" s="222" t="str">
        <f>IFERROR(__xludf.DUMMYFUNCTION("""COMPUTED_VALUE"""),"SUMBAGUT")</f>
        <v>SUMBAGUT</v>
      </c>
      <c r="H1802" s="222" t="str">
        <f>IFERROR(__xludf.DUMMYFUNCTION("""COMPUTED_VALUE"""),"BINJAI")</f>
        <v>BINJAI</v>
      </c>
      <c r="I1802" s="222" t="str">
        <f>IFERROR(__xludf.DUMMYFUNCTION("""COMPUTED_VALUE"""),"Batch 2")</f>
        <v>Batch 2</v>
      </c>
      <c r="J1802" s="225">
        <f>IFERROR(__xludf.DUMMYFUNCTION("""COMPUTED_VALUE"""),4.0)</f>
        <v>4</v>
      </c>
      <c r="K1802" s="224">
        <f>IFERROR(__xludf.DUMMYFUNCTION("""COMPUTED_VALUE"""),32.0)</f>
        <v>32</v>
      </c>
      <c r="L1802" s="226">
        <f>IFERROR(__xludf.DUMMYFUNCTION("""COMPUTED_VALUE"""),398251.0)</f>
        <v>398251</v>
      </c>
      <c r="M1802" s="227">
        <f>IFERROR(__xludf.DUMMYFUNCTION("""COMPUTED_VALUE"""),1.2744023E7)</f>
        <v>12744023</v>
      </c>
      <c r="N1802" s="222" t="str">
        <f>IFERROR(__xludf.DUMMYFUNCTION("""COMPUTED_VALUE"""),"PT TRIPOLA PANATA")</f>
        <v>PT TRIPOLA PANATA</v>
      </c>
      <c r="O1802" s="222" t="str">
        <f>IFERROR(__xludf.DUMMYFUNCTION("""COMPUTED_VALUE"""),"7. GOLIVE")</f>
        <v>7. GOLIVE</v>
      </c>
      <c r="P1802" s="222" t="str">
        <f>IFERROR(__xludf.DUMMYFUNCTION("""COMPUTED_VALUE"""),"7.2 Golive Full / OA / DONE OTB")</f>
        <v>7.2 Golive Full / OA / DONE OTB</v>
      </c>
      <c r="Q1802" s="222" t="str">
        <f>IFERROR(__xludf.DUMMYFUNCTION("""COMPUTED_VALUE"""),"(02/03) ABD Mancore (27/02) Terminasi ODP (18/02) Penarikan Kabel (12/02) Tanam Tiang (07/01) Persiapan")</f>
        <v>(02/03) ABD Mancore (27/02) Terminasi ODP (18/02) Penarikan Kabel (12/02) Tanam Tiang (07/01) Persiapan</v>
      </c>
      <c r="R1802" s="228">
        <f>IFERROR(__xludf.DUMMYFUNCTION("""COMPUTED_VALUE"""),46081.0)</f>
        <v>46081</v>
      </c>
      <c r="S1802" s="11"/>
      <c r="T1802" s="11"/>
      <c r="U1802" s="11" t="str">
        <f>IFERROR(__xludf.DUMMYFUNCTION("""COMPUTED_VALUE"""),"W04-923/2025")</f>
        <v>W04-923/2025</v>
      </c>
      <c r="V1802" s="229"/>
      <c r="W1802" s="229"/>
      <c r="X1802" s="229" t="str">
        <f>IFERROR(__xludf.DUMMYFUNCTION("""COMPUTED_VALUE"""),"GOLIVE")</f>
        <v>GOLIVE</v>
      </c>
      <c r="Y1802" s="229" t="str">
        <f>IFERROR(__xludf.DUMMYFUNCTION("""COMPUTED_VALUE"""),"DONE")</f>
        <v>DONE</v>
      </c>
      <c r="Z1802" s="229" t="str">
        <f>IFERROR(__xludf.DUMMYFUNCTION("""COMPUTED_VALUE"""),"#N/A")</f>
        <v>#N/A</v>
      </c>
      <c r="AA1802" s="229">
        <f>IFERROR(__xludf.DUMMYFUNCTION("""COMPUTED_VALUE"""),4.0)</f>
        <v>4</v>
      </c>
      <c r="AB1802" s="229"/>
      <c r="AC1802" s="229" t="str">
        <f>IFERROR(__xludf.DUMMYFUNCTION("""COMPUTED_VALUE"""),"9160948#9160953")</f>
        <v>9160948#9160953</v>
      </c>
      <c r="AD1802" s="232">
        <f>IFERROR(__xludf.DUMMYFUNCTION("""COMPUTED_VALUE"""),32.0)</f>
        <v>32</v>
      </c>
      <c r="AE1802" s="233">
        <f>IFERROR(__xludf.DUMMYFUNCTION("""COMPUTED_VALUE"""),46083.0)</f>
        <v>46083</v>
      </c>
      <c r="AF1802" s="54"/>
      <c r="AG1802" s="54"/>
      <c r="AH1802" s="54">
        <v>46081.0</v>
      </c>
      <c r="AI1802" s="55">
        <f t="shared" si="179"/>
        <v>-2</v>
      </c>
      <c r="AW1802" s="234"/>
      <c r="BP1802" s="11"/>
      <c r="BQ1802" s="11"/>
      <c r="BR1802" s="235"/>
      <c r="BV1802" s="158"/>
      <c r="BY1802" s="158"/>
      <c r="CB1802" s="158"/>
    </row>
    <row r="1803" ht="18.0" hidden="1" customHeight="1">
      <c r="A1803" s="222">
        <f>IFERROR(__xludf.DUMMYFUNCTION("""COMPUTED_VALUE"""),2026.0)</f>
        <v>2026</v>
      </c>
      <c r="B1803" s="221">
        <f>IFERROR(__xludf.DUMMYFUNCTION("""COMPUTED_VALUE"""),1.1272481E7)</f>
        <v>11272481</v>
      </c>
      <c r="C1803" s="222" t="str">
        <f>IFERROR(__xludf.DUMMYFUNCTION("""COMPUTED_VALUE"""),"MDN PT3 TMU-FS RAY PONDOK PLATINUM 2")</f>
        <v>MDN PT3 TMU-FS RAY PONDOK PLATINUM 2</v>
      </c>
      <c r="D1803" s="222" t="str">
        <f>IFERROR(__xludf.DUMMYFUNCTION("""COMPUTED_VALUE"""),"REGIONAL I")</f>
        <v>REGIONAL I</v>
      </c>
      <c r="E1803" s="222" t="str">
        <f>IFERROR(__xludf.DUMMYFUNCTION("""COMPUTED_VALUE"""),"MEDAN")</f>
        <v>MEDAN</v>
      </c>
      <c r="F1803" s="222" t="str">
        <f>IFERROR(__xludf.DUMMYFUNCTION("""COMPUTED_VALUE"""),"TMU")</f>
        <v>TMU</v>
      </c>
      <c r="G1803" s="222" t="str">
        <f>IFERROR(__xludf.DUMMYFUNCTION("""COMPUTED_VALUE"""),"SUMBAGUT")</f>
        <v>SUMBAGUT</v>
      </c>
      <c r="H1803" s="222" t="str">
        <f>IFERROR(__xludf.DUMMYFUNCTION("""COMPUTED_VALUE"""),"MEDAN")</f>
        <v>MEDAN</v>
      </c>
      <c r="I1803" s="222" t="str">
        <f>IFERROR(__xludf.DUMMYFUNCTION("""COMPUTED_VALUE"""),"Batch 2")</f>
        <v>Batch 2</v>
      </c>
      <c r="J1803" s="225">
        <f>IFERROR(__xludf.DUMMYFUNCTION("""COMPUTED_VALUE"""),7.0)</f>
        <v>7</v>
      </c>
      <c r="K1803" s="224">
        <f>IFERROR(__xludf.DUMMYFUNCTION("""COMPUTED_VALUE"""),56.0)</f>
        <v>56</v>
      </c>
      <c r="L1803" s="226">
        <f>IFERROR(__xludf.DUMMYFUNCTION("""COMPUTED_VALUE"""),1148189.0)</f>
        <v>1148189</v>
      </c>
      <c r="M1803" s="227">
        <f>IFERROR(__xludf.DUMMYFUNCTION("""COMPUTED_VALUE"""),6.4298537E7)</f>
        <v>64298537</v>
      </c>
      <c r="N1803" s="222" t="str">
        <f>IFERROR(__xludf.DUMMYFUNCTION("""COMPUTED_VALUE"""),"PT DUL JAYA TAMA")</f>
        <v>PT DUL JAYA TAMA</v>
      </c>
      <c r="O1803" s="222" t="str">
        <f>IFERROR(__xludf.DUMMYFUNCTION("""COMPUTED_VALUE"""),"0. DROP")</f>
        <v>0. DROP</v>
      </c>
      <c r="P1803" s="222" t="str">
        <f>IFERROR(__xludf.DUMMYFUNCTION("""COMPUTED_VALUE"""),"0.4 CPP Tinggi Acc ED TIF")</f>
        <v>0.4 CPP Tinggi Acc ED TIF</v>
      </c>
      <c r="Q1803" s="222" t="str">
        <f>IFERROR(__xludf.DUMMYFUNCTION("""COMPUTED_VALUE"""),"29/01 Done Order, lnjut Aanwidzing")</f>
        <v>29/01 Done Order, lnjut Aanwidzing</v>
      </c>
      <c r="R1803" s="228"/>
      <c r="S1803" s="11"/>
      <c r="T1803" s="11"/>
      <c r="U1803" s="11"/>
      <c r="V1803" s="229"/>
      <c r="W1803" s="229"/>
      <c r="X1803" s="229" t="str">
        <f>IFERROR(__xludf.DUMMYFUNCTION("""COMPUTED_VALUE"""),"BELUM GOLIVE")</f>
        <v>BELUM GOLIVE</v>
      </c>
      <c r="Y1803" s="229"/>
      <c r="Z1803" s="229" t="str">
        <f>IFERROR(__xludf.DUMMYFUNCTION("""COMPUTED_VALUE"""),"#N/A")</f>
        <v>#N/A</v>
      </c>
      <c r="AA1803" s="229"/>
      <c r="AB1803" s="229"/>
      <c r="AC1803" s="229"/>
      <c r="AD1803" s="232"/>
      <c r="AE1803" s="233"/>
      <c r="AF1803" s="54" t="str">
        <f>IFERROR(__xludf.DUMMYFUNCTION("""COMPUTED_VALUE"""),"Draft BA DROP")</f>
        <v>Draft BA DROP</v>
      </c>
      <c r="AG1803" s="54"/>
      <c r="AH1803" s="54"/>
      <c r="AI1803" s="55" t="str">
        <f t="shared" si="179"/>
        <v/>
      </c>
      <c r="AW1803" s="234"/>
      <c r="BP1803" s="11"/>
      <c r="BQ1803" s="11"/>
      <c r="BR1803" s="235"/>
      <c r="BV1803" s="158"/>
      <c r="BY1803" s="158"/>
      <c r="CB1803" s="158"/>
    </row>
    <row r="1804" ht="18.0" customHeight="1">
      <c r="A1804" s="222">
        <f>IFERROR(__xludf.DUMMYFUNCTION("""COMPUTED_VALUE"""),2026.0)</f>
        <v>2026</v>
      </c>
      <c r="B1804" s="221">
        <f>IFERROR(__xludf.DUMMYFUNCTION("""COMPUTED_VALUE"""),1.1867956E7)</f>
        <v>11867956</v>
      </c>
      <c r="C1804" s="222" t="str">
        <f>IFERROR(__xludf.DUMMYFUNCTION("""COMPUTED_VALUE"""),"SMB-PT3-ODC-PDJ-FE-LIMA PULUH K_107738")</f>
        <v>SMB-PT3-ODC-PDJ-FE-LIMA PULUH K_107738</v>
      </c>
      <c r="D1804" s="222" t="str">
        <f>IFERROR(__xludf.DUMMYFUNCTION("""COMPUTED_VALUE"""),"REGIONAL I")</f>
        <v>REGIONAL I</v>
      </c>
      <c r="E1804" s="222" t="str">
        <f>IFERROR(__xludf.DUMMYFUNCTION("""COMPUTED_VALUE"""),"SUMBAR")</f>
        <v>SUMBAR</v>
      </c>
      <c r="F1804" s="222" t="str">
        <f>IFERROR(__xludf.DUMMYFUNCTION("""COMPUTED_VALUE"""),"PDJ")</f>
        <v>PDJ</v>
      </c>
      <c r="G1804" s="222" t="str">
        <f>IFERROR(__xludf.DUMMYFUNCTION("""COMPUTED_VALUE"""),"SUMBAGTENG")</f>
        <v>SUMBAGTENG</v>
      </c>
      <c r="H1804" s="222" t="str">
        <f>IFERROR(__xludf.DUMMYFUNCTION("""COMPUTED_VALUE"""),"BUKIT TINGGI")</f>
        <v>BUKIT TINGGI</v>
      </c>
      <c r="I1804" s="222" t="str">
        <f>IFERROR(__xludf.DUMMYFUNCTION("""COMPUTED_VALUE"""),"Batch 2")</f>
        <v>Batch 2</v>
      </c>
      <c r="J1804" s="225">
        <f>IFERROR(__xludf.DUMMYFUNCTION("""COMPUTED_VALUE"""),2.0)</f>
        <v>2</v>
      </c>
      <c r="K1804" s="224">
        <f>IFERROR(__xludf.DUMMYFUNCTION("""COMPUTED_VALUE"""),16.0)</f>
        <v>16</v>
      </c>
      <c r="L1804" s="226">
        <f>IFERROR(__xludf.DUMMYFUNCTION("""COMPUTED_VALUE"""),398245.0)</f>
        <v>398245</v>
      </c>
      <c r="M1804" s="227">
        <f>IFERROR(__xludf.DUMMYFUNCTION("""COMPUTED_VALUE"""),6371906.0)</f>
        <v>6371906</v>
      </c>
      <c r="N1804" s="222" t="str">
        <f>IFERROR(__xludf.DUMMYFUNCTION("""COMPUTED_VALUE"""),"PT TSUIKA BERKAH RAYA")</f>
        <v>PT TSUIKA BERKAH RAYA</v>
      </c>
      <c r="O1804" s="222" t="str">
        <f>IFERROR(__xludf.DUMMYFUNCTION("""COMPUTED_VALUE"""),"2. DONE AANWIJZING")</f>
        <v>2. DONE AANWIJZING</v>
      </c>
      <c r="P1804" s="222" t="str">
        <f>IFERROR(__xludf.DUMMYFUNCTION("""COMPUTED_VALUE"""),"2.9 Kendala - Distribusi Penuh / Rusak")</f>
        <v>2.9 Kendala - Distribusi Penuh / Rusak</v>
      </c>
      <c r="Q1804" s="222" t="str">
        <f>IFERROR(__xludf.DUMMYFUNCTION("""COMPUTED_VALUE"""),"(27/01) kendala feeder PDJ-FE fullbutuh tambah KU 1,1km untuk mengejar dist baru yg masih ada core idle")</f>
        <v>(27/01) kendala feeder PDJ-FE fullbutuh tambah KU 1,1km untuk mengejar dist baru yg masih ada core idle</v>
      </c>
      <c r="R1804" s="228"/>
      <c r="S1804" s="11"/>
      <c r="T1804" s="11"/>
      <c r="U1804" s="11"/>
      <c r="V1804" s="229"/>
      <c r="W1804" s="229"/>
      <c r="X1804" s="229" t="str">
        <f>IFERROR(__xludf.DUMMYFUNCTION("""COMPUTED_VALUE"""),"BELUM GOLIVE")</f>
        <v>BELUM GOLIVE</v>
      </c>
      <c r="Y1804" s="229"/>
      <c r="Z1804" s="229" t="str">
        <f>IFERROR(__xludf.DUMMYFUNCTION("""COMPUTED_VALUE"""),"#N/A")</f>
        <v>#N/A</v>
      </c>
      <c r="AA1804" s="229"/>
      <c r="AB1804" s="229"/>
      <c r="AC1804" s="229"/>
      <c r="AD1804" s="232"/>
      <c r="AE1804" s="233"/>
      <c r="AF1804" s="54"/>
      <c r="AG1804" s="54"/>
      <c r="AH1804" s="54"/>
      <c r="AI1804" s="55" t="str">
        <f t="shared" si="179"/>
        <v/>
      </c>
      <c r="AW1804" s="234"/>
      <c r="BP1804" s="11"/>
      <c r="BQ1804" s="11"/>
      <c r="BR1804" s="235"/>
      <c r="BV1804" s="158"/>
      <c r="BY1804" s="158"/>
      <c r="CB1804" s="158"/>
    </row>
    <row r="1805" ht="18.0" hidden="1" customHeight="1">
      <c r="A1805" s="222">
        <f>IFERROR(__xludf.DUMMYFUNCTION("""COMPUTED_VALUE"""),2026.0)</f>
        <v>2026</v>
      </c>
      <c r="B1805" s="221">
        <f>IFERROR(__xludf.DUMMYFUNCTION("""COMPUTED_VALUE"""),1.2416718E7)</f>
        <v>12416718</v>
      </c>
      <c r="C1805" s="222" t="str">
        <f>IFERROR(__xludf.DUMMYFUNCTION("""COMPUTED_VALUE"""),"JBI-PT3 BRANCH-MAB-FE-ALKAUTZAR 7")</f>
        <v>JBI-PT3 BRANCH-MAB-FE-ALKAUTZAR 7</v>
      </c>
      <c r="D1805" s="222" t="str">
        <f>IFERROR(__xludf.DUMMYFUNCTION("""COMPUTED_VALUE"""),"REGIONAL I")</f>
        <v>REGIONAL I</v>
      </c>
      <c r="E1805" s="222" t="str">
        <f>IFERROR(__xludf.DUMMYFUNCTION("""COMPUTED_VALUE"""),"JAMBI")</f>
        <v>JAMBI</v>
      </c>
      <c r="F1805" s="222" t="str">
        <f>IFERROR(__xludf.DUMMYFUNCTION("""COMPUTED_VALUE"""),"MAB")</f>
        <v>MAB</v>
      </c>
      <c r="G1805" s="222" t="str">
        <f>IFERROR(__xludf.DUMMYFUNCTION("""COMPUTED_VALUE"""),"SUMBAGSEL")</f>
        <v>SUMBAGSEL</v>
      </c>
      <c r="H1805" s="222" t="str">
        <f>IFERROR(__xludf.DUMMYFUNCTION("""COMPUTED_VALUE"""),"JAMBI")</f>
        <v>JAMBI</v>
      </c>
      <c r="I1805" s="222" t="str">
        <f>IFERROR(__xludf.DUMMYFUNCTION("""COMPUTED_VALUE"""),"Batch 2")</f>
        <v>Batch 2</v>
      </c>
      <c r="J1805" s="225">
        <f>IFERROR(__xludf.DUMMYFUNCTION("""COMPUTED_VALUE"""),3.0)</f>
        <v>3</v>
      </c>
      <c r="K1805" s="224">
        <f>IFERROR(__xludf.DUMMYFUNCTION("""COMPUTED_VALUE"""),24.0)</f>
        <v>24</v>
      </c>
      <c r="L1805" s="226">
        <f>IFERROR(__xludf.DUMMYFUNCTION("""COMPUTED_VALUE"""),396056.0)</f>
        <v>396056</v>
      </c>
      <c r="M1805" s="227">
        <f>IFERROR(__xludf.DUMMYFUNCTION("""COMPUTED_VALUE"""),9505330.0)</f>
        <v>9505330</v>
      </c>
      <c r="N1805" s="222" t="str">
        <f>IFERROR(__xludf.DUMMYFUNCTION("""COMPUTED_VALUE"""),"PT HAN SUNG INDONESIA")</f>
        <v>PT HAN SUNG INDONESIA</v>
      </c>
      <c r="O1805" s="222" t="str">
        <f>IFERROR(__xludf.DUMMYFUNCTION("""COMPUTED_VALUE"""),"7. GOLIVE")</f>
        <v>7. GOLIVE</v>
      </c>
      <c r="P1805" s="222" t="str">
        <f>IFERROR(__xludf.DUMMYFUNCTION("""COMPUTED_VALUE"""),"7.2 Golive Full / OA / DONE OTB")</f>
        <v>7.2 Golive Full / OA / DONE OTB</v>
      </c>
      <c r="Q1805" s="222" t="str">
        <f>IFERROR(__xludf.DUMMYFUNCTION("""COMPUTED_VALUE"""),"(12/2)golive sdi 12 feb (6/2) Mitra belum mengirim ABD (5/2) SDH FI, OGP JUMPER (29/1) MATDEL (22/01) PID Done ogp Apv PM Area (12/1) Proses aanwidjizing 7/1 DRM  17/11 create PID 10/11 mapping mitra")</f>
        <v>(12/2)golive sdi 12 feb (6/2) Mitra belum mengirim ABD (5/2) SDH FI, OGP JUMPER (29/1) MATDEL (22/01) PID Done ogp Apv PM Area (12/1) Proses aanwidjizing 7/1 DRM  17/11 create PID 10/11 mapping mitra</v>
      </c>
      <c r="R1805" s="228">
        <f>IFERROR(__xludf.DUMMYFUNCTION("""COMPUTED_VALUE"""),46066.0)</f>
        <v>46066</v>
      </c>
      <c r="S1805" s="11"/>
      <c r="T1805" s="11"/>
      <c r="U1805" s="11"/>
      <c r="V1805" s="229"/>
      <c r="W1805" s="229"/>
      <c r="X1805" s="229" t="str">
        <f>IFERROR(__xludf.DUMMYFUNCTION("""COMPUTED_VALUE"""),"GOLIVE")</f>
        <v>GOLIVE</v>
      </c>
      <c r="Y1805" s="229" t="str">
        <f>IFERROR(__xludf.DUMMYFUNCTION("""COMPUTED_VALUE"""),"DONE")</f>
        <v>DONE</v>
      </c>
      <c r="Z1805" s="229" t="str">
        <f>IFERROR(__xludf.DUMMYFUNCTION("""COMPUTED_VALUE"""),"#N/A")</f>
        <v>#N/A</v>
      </c>
      <c r="AA1805" s="229">
        <f>IFERROR(__xludf.DUMMYFUNCTION("""COMPUTED_VALUE"""),3.0)</f>
        <v>3</v>
      </c>
      <c r="AB1805" s="229"/>
      <c r="AC1805" s="229" t="str">
        <f>IFERROR(__xludf.DUMMYFUNCTION("""COMPUTED_VALUE"""),"9105147#9105152")</f>
        <v>9105147#9105152</v>
      </c>
      <c r="AD1805" s="232">
        <f>IFERROR(__xludf.DUMMYFUNCTION("""COMPUTED_VALUE"""),24.0)</f>
        <v>24</v>
      </c>
      <c r="AE1805" s="233">
        <f>IFERROR(__xludf.DUMMYFUNCTION("""COMPUTED_VALUE"""),46065.0)</f>
        <v>46065</v>
      </c>
      <c r="AF1805" s="54"/>
      <c r="AG1805" s="54"/>
      <c r="AH1805" s="54">
        <v>46066.0</v>
      </c>
      <c r="AI1805" s="55">
        <f t="shared" si="179"/>
        <v>1</v>
      </c>
      <c r="AW1805" s="234"/>
      <c r="BP1805" s="11"/>
      <c r="BQ1805" s="11"/>
      <c r="BR1805" s="235"/>
      <c r="BV1805" s="158"/>
      <c r="BY1805" s="158"/>
      <c r="CB1805" s="158"/>
    </row>
    <row r="1806" ht="18.0" hidden="1" customHeight="1">
      <c r="A1806" s="222">
        <f>IFERROR(__xludf.DUMMYFUNCTION("""COMPUTED_VALUE"""),2026.0)</f>
        <v>2026</v>
      </c>
      <c r="B1806" s="221">
        <f>IFERROR(__xludf.DUMMYFUNCTION("""COMPUTED_VALUE"""),1.1187403E7)</f>
        <v>11187403</v>
      </c>
      <c r="C1806" s="222" t="str">
        <f>IFERROR(__xludf.DUMMYFUNCTION("""COMPUTED_VALUE"""),"MDN PT3 P7I11 TMU-FQ GG.ANSANA")</f>
        <v>MDN PT3 P7I11 TMU-FQ GG.ANSANA</v>
      </c>
      <c r="D1806" s="222" t="str">
        <f>IFERROR(__xludf.DUMMYFUNCTION("""COMPUTED_VALUE"""),"REGIONAL I")</f>
        <v>REGIONAL I</v>
      </c>
      <c r="E1806" s="222" t="str">
        <f>IFERROR(__xludf.DUMMYFUNCTION("""COMPUTED_VALUE"""),"MEDAN")</f>
        <v>MEDAN</v>
      </c>
      <c r="F1806" s="222" t="str">
        <f>IFERROR(__xludf.DUMMYFUNCTION("""COMPUTED_VALUE"""),"TMU")</f>
        <v>TMU</v>
      </c>
      <c r="G1806" s="222" t="str">
        <f>IFERROR(__xludf.DUMMYFUNCTION("""COMPUTED_VALUE"""),"SUMBAGUT")</f>
        <v>SUMBAGUT</v>
      </c>
      <c r="H1806" s="222" t="str">
        <f>IFERROR(__xludf.DUMMYFUNCTION("""COMPUTED_VALUE"""),"MEDAN")</f>
        <v>MEDAN</v>
      </c>
      <c r="I1806" s="222" t="str">
        <f>IFERROR(__xludf.DUMMYFUNCTION("""COMPUTED_VALUE"""),"Batch 2")</f>
        <v>Batch 2</v>
      </c>
      <c r="J1806" s="225">
        <f>IFERROR(__xludf.DUMMYFUNCTION("""COMPUTED_VALUE"""),3.0)</f>
        <v>3</v>
      </c>
      <c r="K1806" s="224">
        <f>IFERROR(__xludf.DUMMYFUNCTION("""COMPUTED_VALUE"""),24.0)</f>
        <v>24</v>
      </c>
      <c r="L1806" s="226">
        <f>IFERROR(__xludf.DUMMYFUNCTION("""COMPUTED_VALUE"""),778025.0)</f>
        <v>778025</v>
      </c>
      <c r="M1806" s="227">
        <f>IFERROR(__xludf.DUMMYFUNCTION("""COMPUTED_VALUE"""),1.8672587E7)</f>
        <v>18672587</v>
      </c>
      <c r="N1806" s="222" t="str">
        <f>IFERROR(__xludf.DUMMYFUNCTION("""COMPUTED_VALUE"""),"PT DUL JAYA TAMA")</f>
        <v>PT DUL JAYA TAMA</v>
      </c>
      <c r="O1806" s="222" t="str">
        <f>IFERROR(__xludf.DUMMYFUNCTION("""COMPUTED_VALUE"""),"2. DONE AANWIJZING")</f>
        <v>2. DONE AANWIJZING</v>
      </c>
      <c r="P1806" s="222" t="str">
        <f>IFERROR(__xludf.DUMMYFUNCTION("""COMPUTED_VALUE"""),"2.9 Kendala - Distribusi Penuh / Rusak")</f>
        <v>2.9 Kendala - Distribusi Penuh / Rusak</v>
      </c>
      <c r="Q1806" s="222" t="str">
        <f>IFERROR(__xludf.DUMMYFUNCTION("""COMPUTED_VALUE"""),"21/04 menunggu hasil redign dist 
31/03 DS Tidak Tembus, 1 putus di 2km 1 putus di 700m 24/02 pengajuan insert feeder 10/02 Feeder Penuh 29/01 Done Order, lnjut Aanwidzing")</f>
        <v>21/04 menunggu hasil redign dist 
31/03 DS Tidak Tembus, 1 putus di 2km 1 putus di 700m 24/02 pengajuan insert feeder 10/02 Feeder Penuh 29/01 Done Order, lnjut Aanwidzing</v>
      </c>
      <c r="R1806" s="228"/>
      <c r="S1806" s="11"/>
      <c r="T1806" s="11"/>
      <c r="U1806" s="11"/>
      <c r="V1806" s="229"/>
      <c r="W1806" s="229"/>
      <c r="X1806" s="229" t="str">
        <f>IFERROR(__xludf.DUMMYFUNCTION("""COMPUTED_VALUE"""),"BELUM GOLIVE")</f>
        <v>BELUM GOLIVE</v>
      </c>
      <c r="Y1806" s="229"/>
      <c r="Z1806" s="229" t="str">
        <f>IFERROR(__xludf.DUMMYFUNCTION("""COMPUTED_VALUE"""),"#N/A")</f>
        <v>#N/A</v>
      </c>
      <c r="AA1806" s="229"/>
      <c r="AB1806" s="229"/>
      <c r="AC1806" s="229"/>
      <c r="AD1806" s="232"/>
      <c r="AE1806" s="233"/>
      <c r="AF1806" s="54"/>
      <c r="AG1806" s="54"/>
      <c r="AH1806" s="54"/>
      <c r="AI1806" s="55" t="str">
        <f t="shared" si="179"/>
        <v/>
      </c>
      <c r="AW1806" s="234"/>
      <c r="BP1806" s="11"/>
      <c r="BQ1806" s="11"/>
      <c r="BR1806" s="235"/>
      <c r="BV1806" s="158"/>
      <c r="BY1806" s="158"/>
      <c r="CB1806" s="158"/>
    </row>
    <row r="1807" ht="18.0" customHeight="1">
      <c r="A1807" s="222">
        <f>IFERROR(__xludf.DUMMYFUNCTION("""COMPUTED_VALUE"""),2026.0)</f>
        <v>2026</v>
      </c>
      <c r="B1807" s="221">
        <f>IFERROR(__xludf.DUMMYFUNCTION("""COMPUTED_VALUE"""),1.1512864E7)</f>
        <v>11512864</v>
      </c>
      <c r="C1807" s="222" t="str">
        <f>IFERROR(__xludf.DUMMYFUNCTION("""COMPUTED_VALUE"""),"SMB MD - AGAM_7203")</f>
        <v>SMB MD - AGAM_7203</v>
      </c>
      <c r="D1807" s="222" t="str">
        <f>IFERROR(__xludf.DUMMYFUNCTION("""COMPUTED_VALUE"""),"REGIONAL I")</f>
        <v>REGIONAL I</v>
      </c>
      <c r="E1807" s="222" t="str">
        <f>IFERROR(__xludf.DUMMYFUNCTION("""COMPUTED_VALUE"""),"SUMBAR")</f>
        <v>SUMBAR</v>
      </c>
      <c r="F1807" s="222" t="str">
        <f>IFERROR(__xludf.DUMMYFUNCTION("""COMPUTED_VALUE"""),"BSO")</f>
        <v>BSO</v>
      </c>
      <c r="G1807" s="222" t="str">
        <f>IFERROR(__xludf.DUMMYFUNCTION("""COMPUTED_VALUE"""),"SUMBAGTENG")</f>
        <v>SUMBAGTENG</v>
      </c>
      <c r="H1807" s="222" t="str">
        <f>IFERROR(__xludf.DUMMYFUNCTION("""COMPUTED_VALUE"""),"BUKIT TINGGI")</f>
        <v>BUKIT TINGGI</v>
      </c>
      <c r="I1807" s="222" t="str">
        <f>IFERROR(__xludf.DUMMYFUNCTION("""COMPUTED_VALUE"""),"Batch 2")</f>
        <v>Batch 2</v>
      </c>
      <c r="J1807" s="225">
        <f>IFERROR(__xludf.DUMMYFUNCTION("""COMPUTED_VALUE"""),4.0)</f>
        <v>4</v>
      </c>
      <c r="K1807" s="224">
        <f>IFERROR(__xludf.DUMMYFUNCTION("""COMPUTED_VALUE"""),32.0)</f>
        <v>32</v>
      </c>
      <c r="L1807" s="226">
        <f>IFERROR(__xludf.DUMMYFUNCTION("""COMPUTED_VALUE"""),395348.0)</f>
        <v>395348</v>
      </c>
      <c r="M1807" s="227">
        <f>IFERROR(__xludf.DUMMYFUNCTION("""COMPUTED_VALUE"""),1.2651123E7)</f>
        <v>12651123</v>
      </c>
      <c r="N1807" s="222" t="str">
        <f>IFERROR(__xludf.DUMMYFUNCTION("""COMPUTED_VALUE"""),"PT GARINDO TECHNO MANDIRI")</f>
        <v>PT GARINDO TECHNO MANDIRI</v>
      </c>
      <c r="O1807" s="222" t="str">
        <f>IFERROR(__xludf.DUMMYFUNCTION("""COMPUTED_VALUE"""),"0. DROP")</f>
        <v>0. DROP</v>
      </c>
      <c r="P1807" s="222" t="str">
        <f>IFERROR(__xludf.DUMMYFUNCTION("""COMPUTED_VALUE"""),"0.3 Feeder Full")</f>
        <v>0.3 Feeder Full</v>
      </c>
      <c r="Q1807" s="222" t="str">
        <f>IFERROR(__xludf.DUMMYFUNCTION("""COMPUTED_VALUE"""),"(27/01) KENDALA FEEDER BSO-FB FULL (07/01) Persiapan")</f>
        <v>(27/01) KENDALA FEEDER BSO-FB FULL (07/01) Persiapan</v>
      </c>
      <c r="R1807" s="228"/>
      <c r="S1807" s="11"/>
      <c r="T1807" s="11"/>
      <c r="U1807" s="11"/>
      <c r="V1807" s="229"/>
      <c r="W1807" s="229"/>
      <c r="X1807" s="229" t="str">
        <f>IFERROR(__xludf.DUMMYFUNCTION("""COMPUTED_VALUE"""),"BELUM GOLIVE")</f>
        <v>BELUM GOLIVE</v>
      </c>
      <c r="Y1807" s="229"/>
      <c r="Z1807" s="229" t="str">
        <f>IFERROR(__xludf.DUMMYFUNCTION("""COMPUTED_VALUE"""),"#N/A")</f>
        <v>#N/A</v>
      </c>
      <c r="AA1807" s="229"/>
      <c r="AB1807" s="229"/>
      <c r="AC1807" s="229"/>
      <c r="AD1807" s="232"/>
      <c r="AE1807" s="233"/>
      <c r="AF1807" s="54"/>
      <c r="AG1807" s="54"/>
      <c r="AH1807" s="54"/>
      <c r="AI1807" s="55" t="str">
        <f t="shared" si="179"/>
        <v/>
      </c>
      <c r="AW1807" s="234"/>
      <c r="BP1807" s="11"/>
      <c r="BQ1807" s="11"/>
      <c r="BR1807" s="235"/>
      <c r="BV1807" s="158"/>
      <c r="BY1807" s="158"/>
      <c r="CB1807" s="158"/>
    </row>
    <row r="1808" ht="18.0" hidden="1" customHeight="1">
      <c r="A1808" s="222">
        <f>IFERROR(__xludf.DUMMYFUNCTION("""COMPUTED_VALUE"""),2026.0)</f>
        <v>2026</v>
      </c>
      <c r="B1808" s="221">
        <f>IFERROR(__xludf.DUMMYFUNCTION("""COMPUTED_VALUE"""),1.1187967E7)</f>
        <v>11187967</v>
      </c>
      <c r="C1808" s="222" t="str">
        <f>IFERROR(__xludf.DUMMYFUNCTION("""COMPUTED_VALUE"""),"MDN PT3 P7I10 TMU-FK PERUM ASRI INDAH 2")</f>
        <v>MDN PT3 P7I10 TMU-FK PERUM ASRI INDAH 2</v>
      </c>
      <c r="D1808" s="222" t="str">
        <f>IFERROR(__xludf.DUMMYFUNCTION("""COMPUTED_VALUE"""),"REGIONAL I")</f>
        <v>REGIONAL I</v>
      </c>
      <c r="E1808" s="222" t="str">
        <f>IFERROR(__xludf.DUMMYFUNCTION("""COMPUTED_VALUE"""),"MEDAN")</f>
        <v>MEDAN</v>
      </c>
      <c r="F1808" s="222" t="str">
        <f>IFERROR(__xludf.DUMMYFUNCTION("""COMPUTED_VALUE"""),"TMU")</f>
        <v>TMU</v>
      </c>
      <c r="G1808" s="222" t="str">
        <f>IFERROR(__xludf.DUMMYFUNCTION("""COMPUTED_VALUE"""),"SUMBAGUT")</f>
        <v>SUMBAGUT</v>
      </c>
      <c r="H1808" s="222" t="str">
        <f>IFERROR(__xludf.DUMMYFUNCTION("""COMPUTED_VALUE"""),"MEDAN")</f>
        <v>MEDAN</v>
      </c>
      <c r="I1808" s="222" t="str">
        <f>IFERROR(__xludf.DUMMYFUNCTION("""COMPUTED_VALUE"""),"Batch 2")</f>
        <v>Batch 2</v>
      </c>
      <c r="J1808" s="225">
        <f>IFERROR(__xludf.DUMMYFUNCTION("""COMPUTED_VALUE"""),4.0)</f>
        <v>4</v>
      </c>
      <c r="K1808" s="224">
        <f>IFERROR(__xludf.DUMMYFUNCTION("""COMPUTED_VALUE"""),32.0)</f>
        <v>32</v>
      </c>
      <c r="L1808" s="226">
        <f>IFERROR(__xludf.DUMMYFUNCTION("""COMPUTED_VALUE"""),833980.0)</f>
        <v>833980</v>
      </c>
      <c r="M1808" s="227">
        <f>IFERROR(__xludf.DUMMYFUNCTION("""COMPUTED_VALUE"""),2.668735E7)</f>
        <v>26687350</v>
      </c>
      <c r="N1808" s="222" t="str">
        <f>IFERROR(__xludf.DUMMYFUNCTION("""COMPUTED_VALUE"""),"PT DUL JAYA TAMA")</f>
        <v>PT DUL JAYA TAMA</v>
      </c>
      <c r="O1808" s="222" t="str">
        <f>IFERROR(__xludf.DUMMYFUNCTION("""COMPUTED_VALUE"""),"2. DONE AANWIJZING")</f>
        <v>2. DONE AANWIJZING</v>
      </c>
      <c r="P1808" s="222" t="str">
        <f>IFERROR(__xludf.DUMMYFUNCTION("""COMPUTED_VALUE"""),"2.10 Kendala - Feeder Rusak")</f>
        <v>2.10 Kendala - Feeder Rusak</v>
      </c>
      <c r="Q1808" s="222" t="str">
        <f>IFERROR(__xludf.DUMMYFUNCTION("""COMPUTED_VALUE"""),"21/04 pengecekan tipus / butuh qe
16/04 take over ke mitra DJT
(07/01) Persiapan")</f>
        <v>21/04 pengecekan tipus / butuh qe
16/04 take over ke mitra DJT
(07/01) Persiapan</v>
      </c>
      <c r="R1808" s="228"/>
      <c r="S1808" s="11"/>
      <c r="T1808" s="11"/>
      <c r="U1808" s="11"/>
      <c r="V1808" s="229"/>
      <c r="W1808" s="229"/>
      <c r="X1808" s="229" t="str">
        <f>IFERROR(__xludf.DUMMYFUNCTION("""COMPUTED_VALUE"""),"BELUM GOLIVE")</f>
        <v>BELUM GOLIVE</v>
      </c>
      <c r="Y1808" s="229"/>
      <c r="Z1808" s="229" t="str">
        <f>IFERROR(__xludf.DUMMYFUNCTION("""COMPUTED_VALUE"""),"#N/A")</f>
        <v>#N/A</v>
      </c>
      <c r="AA1808" s="229"/>
      <c r="AB1808" s="229"/>
      <c r="AC1808" s="229"/>
      <c r="AD1808" s="232"/>
      <c r="AE1808" s="233"/>
      <c r="AF1808" s="54"/>
      <c r="AG1808" s="54"/>
      <c r="AH1808" s="54"/>
      <c r="AI1808" s="55" t="str">
        <f t="shared" si="179"/>
        <v/>
      </c>
      <c r="AW1808" s="234"/>
      <c r="BP1808" s="11"/>
      <c r="BQ1808" s="11"/>
      <c r="BR1808" s="235"/>
      <c r="BV1808" s="158"/>
      <c r="BY1808" s="158"/>
      <c r="CB1808" s="158"/>
    </row>
    <row r="1809" ht="18.0" hidden="1" customHeight="1">
      <c r="A1809" s="222">
        <f>IFERROR(__xludf.DUMMYFUNCTION("""COMPUTED_VALUE"""),2026.0)</f>
        <v>2026</v>
      </c>
      <c r="B1809" s="221">
        <f>IFERROR(__xludf.DUMMYFUNCTION("""COMPUTED_VALUE"""),1.1843247E7)</f>
        <v>11843247</v>
      </c>
      <c r="C1809" s="222" t="str">
        <f>IFERROR(__xludf.DUMMYFUNCTION("""COMPUTED_VALUE"""),"MDN PT3 PDB-FD JL.BSR TJ.ANOM_MD25")</f>
        <v>MDN PT3 PDB-FD JL.BSR TJ.ANOM_MD25</v>
      </c>
      <c r="D1809" s="222" t="str">
        <f>IFERROR(__xludf.DUMMYFUNCTION("""COMPUTED_VALUE"""),"REGIONAL I")</f>
        <v>REGIONAL I</v>
      </c>
      <c r="E1809" s="222" t="str">
        <f>IFERROR(__xludf.DUMMYFUNCTION("""COMPUTED_VALUE"""),"MEDAN")</f>
        <v>MEDAN</v>
      </c>
      <c r="F1809" s="222" t="str">
        <f>IFERROR(__xludf.DUMMYFUNCTION("""COMPUTED_VALUE"""),"PDB")</f>
        <v>PDB</v>
      </c>
      <c r="G1809" s="222" t="str">
        <f>IFERROR(__xludf.DUMMYFUNCTION("""COMPUTED_VALUE"""),"SUMBAGUT")</f>
        <v>SUMBAGUT</v>
      </c>
      <c r="H1809" s="222" t="str">
        <f>IFERROR(__xludf.DUMMYFUNCTION("""COMPUTED_VALUE"""),"MEDAN")</f>
        <v>MEDAN</v>
      </c>
      <c r="I1809" s="222" t="str">
        <f>IFERROR(__xludf.DUMMYFUNCTION("""COMPUTED_VALUE"""),"Batch 2")</f>
        <v>Batch 2</v>
      </c>
      <c r="J1809" s="225">
        <f>IFERROR(__xludf.DUMMYFUNCTION("""COMPUTED_VALUE"""),3.0)</f>
        <v>3</v>
      </c>
      <c r="K1809" s="224">
        <f>IFERROR(__xludf.DUMMYFUNCTION("""COMPUTED_VALUE"""),24.0)</f>
        <v>24</v>
      </c>
      <c r="L1809" s="226">
        <f>IFERROR(__xludf.DUMMYFUNCTION("""COMPUTED_VALUE"""),558417.0)</f>
        <v>558417</v>
      </c>
      <c r="M1809" s="227">
        <f>IFERROR(__xludf.DUMMYFUNCTION("""COMPUTED_VALUE"""),1.3401988E7)</f>
        <v>13401988</v>
      </c>
      <c r="N1809" s="222" t="str">
        <f>IFERROR(__xludf.DUMMYFUNCTION("""COMPUTED_VALUE"""),"PT BANGUN PRIMA SEMESTA")</f>
        <v>PT BANGUN PRIMA SEMESTA</v>
      </c>
      <c r="O1809" s="222" t="str">
        <f>IFERROR(__xludf.DUMMYFUNCTION("""COMPUTED_VALUE"""),"2. DONE AANWIJZING")</f>
        <v>2. DONE AANWIJZING</v>
      </c>
      <c r="P1809" s="222" t="str">
        <f>IFERROR(__xludf.DUMMYFUNCTION("""COMPUTED_VALUE"""),"2.10 Kendala - Feeder Rusak")</f>
        <v>2.10 Kendala - Feeder Rusak</v>
      </c>
      <c r="Q1809" s="222" t="str">
        <f>IFERROR(__xludf.DUMMYFUNCTION("""COMPUTED_VALUE"""),"13/02 Menunggu LoP MDN PT4 P7I3 PDB-FD PRUM GRY MUTIARA4 01/11 Feeder Loss
(24/09) Perizinan Warga dan Kades / Lurah
(23/09) Perizinan Warga dan Kades / Lurah
15/09 proses aanwijzing")</f>
        <v>13/02 Menunggu LoP MDN PT4 P7I3 PDB-FD PRUM GRY MUTIARA4 01/11 Feeder Loss
(24/09) Perizinan Warga dan Kades / Lurah
(23/09) Perizinan Warga dan Kades / Lurah
15/09 proses aanwijzing</v>
      </c>
      <c r="R1809" s="228"/>
      <c r="S1809" s="11"/>
      <c r="T1809" s="11"/>
      <c r="U1809" s="11"/>
      <c r="V1809" s="229"/>
      <c r="W1809" s="229"/>
      <c r="X1809" s="229" t="str">
        <f>IFERROR(__xludf.DUMMYFUNCTION("""COMPUTED_VALUE"""),"BELUM GOLIVE")</f>
        <v>BELUM GOLIVE</v>
      </c>
      <c r="Y1809" s="229"/>
      <c r="Z1809" s="229" t="str">
        <f>IFERROR(__xludf.DUMMYFUNCTION("""COMPUTED_VALUE"""),"#N/A")</f>
        <v>#N/A</v>
      </c>
      <c r="AA1809" s="229"/>
      <c r="AB1809" s="229"/>
      <c r="AC1809" s="229"/>
      <c r="AD1809" s="232"/>
      <c r="AE1809" s="233"/>
      <c r="AF1809" s="54"/>
      <c r="AG1809" s="54"/>
      <c r="AH1809" s="54">
        <v>46127.0</v>
      </c>
      <c r="AI1809" s="237">
        <f>AH1809-NOW()</f>
        <v>-13.37798994</v>
      </c>
      <c r="AJ1809" s="229" t="str">
        <f>if(AI1809&gt;=0,"in Komitmen","Out komitmen")</f>
        <v>Out komitmen</v>
      </c>
      <c r="AK1809" s="229" t="s">
        <v>199</v>
      </c>
      <c r="AW1809" s="234"/>
      <c r="BP1809" s="11"/>
      <c r="BQ1809" s="11"/>
      <c r="BR1809" s="235"/>
      <c r="BV1809" s="158"/>
      <c r="BY1809" s="158"/>
      <c r="CB1809" s="158"/>
    </row>
    <row r="1810" ht="18.0" customHeight="1">
      <c r="A1810" s="222">
        <f>IFERROR(__xludf.DUMMYFUNCTION("""COMPUTED_VALUE"""),2026.0)</f>
        <v>2026</v>
      </c>
      <c r="B1810" s="221">
        <f>IFERROR(__xludf.DUMMYFUNCTION("""COMPUTED_VALUE"""),1.2090959E7)</f>
        <v>12090959</v>
      </c>
      <c r="C1810" s="222" t="str">
        <f>IFERROR(__xludf.DUMMYFUNCTION("""COMPUTED_VALUE"""),"SMB PT3-ODC-MIN-FC AGAM_159731_H2_2025")</f>
        <v>SMB PT3-ODC-MIN-FC AGAM_159731_H2_2025</v>
      </c>
      <c r="D1810" s="222" t="str">
        <f>IFERROR(__xludf.DUMMYFUNCTION("""COMPUTED_VALUE"""),"REGIONAL I")</f>
        <v>REGIONAL I</v>
      </c>
      <c r="E1810" s="222" t="str">
        <f>IFERROR(__xludf.DUMMYFUNCTION("""COMPUTED_VALUE"""),"SUMBAR")</f>
        <v>SUMBAR</v>
      </c>
      <c r="F1810" s="222" t="str">
        <f>IFERROR(__xludf.DUMMYFUNCTION("""COMPUTED_VALUE"""),"MIN")</f>
        <v>MIN</v>
      </c>
      <c r="G1810" s="222" t="str">
        <f>IFERROR(__xludf.DUMMYFUNCTION("""COMPUTED_VALUE"""),"SUMBAGTENG")</f>
        <v>SUMBAGTENG</v>
      </c>
      <c r="H1810" s="222" t="str">
        <f>IFERROR(__xludf.DUMMYFUNCTION("""COMPUTED_VALUE"""),"BUKIT TINGGI")</f>
        <v>BUKIT TINGGI</v>
      </c>
      <c r="I1810" s="222" t="str">
        <f>IFERROR(__xludf.DUMMYFUNCTION("""COMPUTED_VALUE"""),"Batch 2")</f>
        <v>Batch 2</v>
      </c>
      <c r="J1810" s="225">
        <f>IFERROR(__xludf.DUMMYFUNCTION("""COMPUTED_VALUE"""),6.0)</f>
        <v>6</v>
      </c>
      <c r="K1810" s="224">
        <f>IFERROR(__xludf.DUMMYFUNCTION("""COMPUTED_VALUE"""),48.0)</f>
        <v>48</v>
      </c>
      <c r="L1810" s="226">
        <f>IFERROR(__xludf.DUMMYFUNCTION("""COMPUTED_VALUE"""),390493.0)</f>
        <v>390493</v>
      </c>
      <c r="M1810" s="227">
        <f>IFERROR(__xludf.DUMMYFUNCTION("""COMPUTED_VALUE"""),1.8743617E7)</f>
        <v>18743617</v>
      </c>
      <c r="N1810" s="222" t="str">
        <f>IFERROR(__xludf.DUMMYFUNCTION("""COMPUTED_VALUE"""),"PT GARINDO TECHNO MANDIRI")</f>
        <v>PT GARINDO TECHNO MANDIRI</v>
      </c>
      <c r="O1810" s="222" t="str">
        <f>IFERROR(__xludf.DUMMYFUNCTION("""COMPUTED_VALUE"""),"7. GOLIVE")</f>
        <v>7. GOLIVE</v>
      </c>
      <c r="P1810" s="222" t="str">
        <f>IFERROR(__xludf.DUMMYFUNCTION("""COMPUTED_VALUE"""),"7.2 Golive Full / OA / DONE OTB")</f>
        <v>7.2 Golive Full / OA / DONE OTB</v>
      </c>
      <c r="Q1810" s="222"/>
      <c r="R1810" s="228">
        <f>IFERROR(__xludf.DUMMYFUNCTION("""COMPUTED_VALUE"""),46127.0)</f>
        <v>46127</v>
      </c>
      <c r="S1810" s="11"/>
      <c r="T1810" s="73"/>
      <c r="U1810" s="11" t="str">
        <f>IFERROR(__xludf.DUMMYFUNCTION("""COMPUTED_VALUE"""),"TIF-5953/2026  26KT03R107-0029")</f>
        <v>TIF-5953/2026  26KT03R107-0029</v>
      </c>
      <c r="V1810" s="229" t="str">
        <f>IFERROR(__xludf.DUMMYFUNCTION("""COMPUTED_VALUE"""),"DELPA YANDA")</f>
        <v>DELPA YANDA</v>
      </c>
      <c r="W1810" s="229" t="str">
        <f>IFERROR(__xludf.DUMMYFUNCTION("""COMPUTED_VALUE"""),"MELKO NARWADI")</f>
        <v>MELKO NARWADI</v>
      </c>
      <c r="X1810" s="229" t="str">
        <f>IFERROR(__xludf.DUMMYFUNCTION("""COMPUTED_VALUE"""),"GOLIVE")</f>
        <v>GOLIVE</v>
      </c>
      <c r="Y1810" s="229" t="str">
        <f>IFERROR(__xludf.DUMMYFUNCTION("""COMPUTED_VALUE"""),"DONE")</f>
        <v>DONE</v>
      </c>
      <c r="Z1810" s="229" t="str">
        <f>IFERROR(__xludf.DUMMYFUNCTION("""COMPUTED_VALUE"""),"#N/A")</f>
        <v>#N/A</v>
      </c>
      <c r="AA1810" s="229">
        <f>IFERROR(__xludf.DUMMYFUNCTION("""COMPUTED_VALUE"""),3.0)</f>
        <v>3</v>
      </c>
      <c r="AB1810" s="229"/>
      <c r="AC1810" s="229" t="str">
        <f>IFERROR(__xludf.DUMMYFUNCTION("""COMPUTED_VALUE"""),"9278904#9278909")</f>
        <v>9278904#9278909</v>
      </c>
      <c r="AD1810" s="232">
        <f>IFERROR(__xludf.DUMMYFUNCTION("""COMPUTED_VALUE"""),24.0)</f>
        <v>24</v>
      </c>
      <c r="AE1810" s="233">
        <f>IFERROR(__xludf.DUMMYFUNCTION("""COMPUTED_VALUE"""),46129.0)</f>
        <v>46129</v>
      </c>
      <c r="AF1810" s="54"/>
      <c r="AG1810" s="54"/>
      <c r="AH1810" s="54">
        <v>46127.0</v>
      </c>
      <c r="AI1810" s="55">
        <f>IF(OR(AH1810="",AE1810=""),"",AH1810-AE1810)</f>
        <v>-2</v>
      </c>
      <c r="AJ1810" s="229" t="str">
        <f>if(AI1810&gt;=0,"Gl in Komitmen","Gl out komitmen")</f>
        <v>Gl out komitmen</v>
      </c>
      <c r="AK1810" s="231" t="s">
        <v>199</v>
      </c>
      <c r="AW1810" s="234"/>
      <c r="BP1810" s="11"/>
      <c r="BQ1810" s="11"/>
      <c r="BR1810" s="235"/>
      <c r="BV1810" s="158"/>
      <c r="BY1810" s="158"/>
      <c r="CB1810" s="158"/>
    </row>
    <row r="1811" ht="18.0" hidden="1" customHeight="1">
      <c r="A1811" s="222">
        <f>IFERROR(__xludf.DUMMYFUNCTION("""COMPUTED_VALUE"""),2026.0)</f>
        <v>2026</v>
      </c>
      <c r="B1811" s="221">
        <f>IFERROR(__xludf.DUMMYFUNCTION("""COMPUTED_VALUE"""),1.1272662E7)</f>
        <v>11272662</v>
      </c>
      <c r="C1811" s="222" t="str">
        <f>IFERROR(__xludf.DUMMYFUNCTION("""COMPUTED_VALUE"""),"MDN PT4 BJI-FYD JL.SETIA DS PERDAMAIAN")</f>
        <v>MDN PT4 BJI-FYD JL.SETIA DS PERDAMAIAN</v>
      </c>
      <c r="D1811" s="222" t="str">
        <f>IFERROR(__xludf.DUMMYFUNCTION("""COMPUTED_VALUE"""),"REGIONAL I")</f>
        <v>REGIONAL I</v>
      </c>
      <c r="E1811" s="222" t="str">
        <f>IFERROR(__xludf.DUMMYFUNCTION("""COMPUTED_VALUE"""),"MEDAN")</f>
        <v>MEDAN</v>
      </c>
      <c r="F1811" s="222" t="str">
        <f>IFERROR(__xludf.DUMMYFUNCTION("""COMPUTED_VALUE"""),"BJI")</f>
        <v>BJI</v>
      </c>
      <c r="G1811" s="222" t="str">
        <f>IFERROR(__xludf.DUMMYFUNCTION("""COMPUTED_VALUE"""),"SUMBAGUT")</f>
        <v>SUMBAGUT</v>
      </c>
      <c r="H1811" s="222" t="str">
        <f>IFERROR(__xludf.DUMMYFUNCTION("""COMPUTED_VALUE"""),"BINJAI")</f>
        <v>BINJAI</v>
      </c>
      <c r="I1811" s="222" t="str">
        <f>IFERROR(__xludf.DUMMYFUNCTION("""COMPUTED_VALUE"""),"Batch 2")</f>
        <v>Batch 2</v>
      </c>
      <c r="J1811" s="225">
        <f>IFERROR(__xludf.DUMMYFUNCTION("""COMPUTED_VALUE"""),11.0)</f>
        <v>11</v>
      </c>
      <c r="K1811" s="224">
        <f>IFERROR(__xludf.DUMMYFUNCTION("""COMPUTED_VALUE"""),88.0)</f>
        <v>88</v>
      </c>
      <c r="L1811" s="226">
        <f>IFERROR(__xludf.DUMMYFUNCTION("""COMPUTED_VALUE"""),1608117.0)</f>
        <v>1608117</v>
      </c>
      <c r="M1811" s="227">
        <f>IFERROR(__xludf.DUMMYFUNCTION("""COMPUTED_VALUE"""),1.41514286E8)</f>
        <v>141514286</v>
      </c>
      <c r="N1811" s="222" t="str">
        <f>IFERROR(__xludf.DUMMYFUNCTION("""COMPUTED_VALUE"""),"PT FIBERHOME TECHNOLOGIES INDONESIA")</f>
        <v>PT FIBERHOME TECHNOLOGIES INDONESIA</v>
      </c>
      <c r="O1811" s="222" t="str">
        <f>IFERROR(__xludf.DUMMYFUNCTION("""COMPUTED_VALUE"""),"0. DROP")</f>
        <v>0. DROP</v>
      </c>
      <c r="P1811" s="222" t="str">
        <f>IFERROR(__xludf.DUMMYFUNCTION("""COMPUTED_VALUE"""),"0.4 CPP Tinggi Acc ED TIF")</f>
        <v>0.4 CPP Tinggi Acc ED TIF</v>
      </c>
      <c r="Q1811" s="222" t="str">
        <f>IFERROR(__xludf.DUMMYFUNCTION("""COMPUTED_VALUE"""),"(07/01) Persiapan")</f>
        <v>(07/01) Persiapan</v>
      </c>
      <c r="R1811" s="228"/>
      <c r="S1811" s="11"/>
      <c r="T1811" s="11"/>
      <c r="U1811" s="11"/>
      <c r="V1811" s="229"/>
      <c r="W1811" s="229"/>
      <c r="X1811" s="229" t="str">
        <f>IFERROR(__xludf.DUMMYFUNCTION("""COMPUTED_VALUE"""),"BELUM GOLIVE")</f>
        <v>BELUM GOLIVE</v>
      </c>
      <c r="Y1811" s="229"/>
      <c r="Z1811" s="229" t="str">
        <f>IFERROR(__xludf.DUMMYFUNCTION("""COMPUTED_VALUE"""),"#N/A")</f>
        <v>#N/A</v>
      </c>
      <c r="AA1811" s="229"/>
      <c r="AB1811" s="229"/>
      <c r="AC1811" s="229"/>
      <c r="AD1811" s="232"/>
      <c r="AE1811" s="233"/>
      <c r="AF1811" s="54" t="str">
        <f>IFERROR(__xludf.DUMMYFUNCTION("""COMPUTED_VALUE"""),"Draft BA DROP")</f>
        <v>Draft BA DROP</v>
      </c>
      <c r="AG1811" s="54"/>
      <c r="AH1811" s="54"/>
      <c r="AI1811" s="55" t="str">
        <f t="shared" ref="AI1811:AI1815" si="180">IF(OR(R1811="",AE1811=""),"",R1811-AE1811)</f>
        <v/>
      </c>
      <c r="AW1811" s="234"/>
      <c r="BP1811" s="11"/>
      <c r="BQ1811" s="11"/>
      <c r="BR1811" s="235"/>
      <c r="BV1811" s="158"/>
      <c r="BY1811" s="158"/>
      <c r="CB1811" s="158"/>
    </row>
    <row r="1812" ht="18.0" hidden="1" customHeight="1">
      <c r="A1812" s="222">
        <f>IFERROR(__xludf.DUMMYFUNCTION("""COMPUTED_VALUE"""),2026.0)</f>
        <v>2026</v>
      </c>
      <c r="B1812" s="221">
        <f>IFERROR(__xludf.DUMMYFUNCTION("""COMPUTED_VALUE"""),1.1192631E7)</f>
        <v>11192631</v>
      </c>
      <c r="C1812" s="222" t="str">
        <f>IFERROR(__xludf.DUMMYFUNCTION("""COMPUTED_VALUE"""),"MDN PT3 P7I8 TMU-FCB GG.MANYAR")</f>
        <v>MDN PT3 P7I8 TMU-FCB GG.MANYAR</v>
      </c>
      <c r="D1812" s="222" t="str">
        <f>IFERROR(__xludf.DUMMYFUNCTION("""COMPUTED_VALUE"""),"REGIONAL I")</f>
        <v>REGIONAL I</v>
      </c>
      <c r="E1812" s="222" t="str">
        <f>IFERROR(__xludf.DUMMYFUNCTION("""COMPUTED_VALUE"""),"MEDAN")</f>
        <v>MEDAN</v>
      </c>
      <c r="F1812" s="222" t="str">
        <f>IFERROR(__xludf.DUMMYFUNCTION("""COMPUTED_VALUE"""),"TMU")</f>
        <v>TMU</v>
      </c>
      <c r="G1812" s="222" t="str">
        <f>IFERROR(__xludf.DUMMYFUNCTION("""COMPUTED_VALUE"""),"SUMBAGUT")</f>
        <v>SUMBAGUT</v>
      </c>
      <c r="H1812" s="222" t="str">
        <f>IFERROR(__xludf.DUMMYFUNCTION("""COMPUTED_VALUE"""),"MEDAN")</f>
        <v>MEDAN</v>
      </c>
      <c r="I1812" s="222" t="str">
        <f>IFERROR(__xludf.DUMMYFUNCTION("""COMPUTED_VALUE"""),"Batch 2")</f>
        <v>Batch 2</v>
      </c>
      <c r="J1812" s="225">
        <f>IFERROR(__xludf.DUMMYFUNCTION("""COMPUTED_VALUE"""),2.0)</f>
        <v>2</v>
      </c>
      <c r="K1812" s="224">
        <f>IFERROR(__xludf.DUMMYFUNCTION("""COMPUTED_VALUE"""),16.0)</f>
        <v>16</v>
      </c>
      <c r="L1812" s="226">
        <f>IFERROR(__xludf.DUMMYFUNCTION("""COMPUTED_VALUE"""),832879.0)</f>
        <v>832879</v>
      </c>
      <c r="M1812" s="227">
        <f>IFERROR(__xludf.DUMMYFUNCTION("""COMPUTED_VALUE"""),1.332606E7)</f>
        <v>13326060</v>
      </c>
      <c r="N1812" s="222" t="str">
        <f>IFERROR(__xludf.DUMMYFUNCTION("""COMPUTED_VALUE"""),"PT GLOBAL KARYA WANDA")</f>
        <v>PT GLOBAL KARYA WANDA</v>
      </c>
      <c r="O1812" s="222" t="str">
        <f>IFERROR(__xludf.DUMMYFUNCTION("""COMPUTED_VALUE"""),"0. DROP")</f>
        <v>0. DROP</v>
      </c>
      <c r="P1812" s="222" t="str">
        <f>IFERROR(__xludf.DUMMYFUNCTION("""COMPUTED_VALUE"""),"0.3 Feeder Full")</f>
        <v>0.3 Feeder Full</v>
      </c>
      <c r="Q1812" s="222" t="str">
        <f>IFERROR(__xludf.DUMMYFUNCTION("""COMPUTED_VALUE"""),"21/04 depedensi lop drop MDN PT4 P7I3 TMU-FCB COVER DISTRIBUSI 2
11/02 Feeder LOS (07/01) Persiapan")</f>
        <v>21/04 depedensi lop drop MDN PT4 P7I3 TMU-FCB COVER DISTRIBUSI 2
11/02 Feeder LOS (07/01) Persiapan</v>
      </c>
      <c r="R1812" s="228"/>
      <c r="S1812" s="11"/>
      <c r="T1812" s="11"/>
      <c r="U1812" s="11"/>
      <c r="V1812" s="229"/>
      <c r="W1812" s="229"/>
      <c r="X1812" s="229" t="str">
        <f>IFERROR(__xludf.DUMMYFUNCTION("""COMPUTED_VALUE"""),"BELUM GOLIVE")</f>
        <v>BELUM GOLIVE</v>
      </c>
      <c r="Y1812" s="229"/>
      <c r="Z1812" s="229" t="str">
        <f>IFERROR(__xludf.DUMMYFUNCTION("""COMPUTED_VALUE"""),"#N/A")</f>
        <v>#N/A</v>
      </c>
      <c r="AA1812" s="229"/>
      <c r="AB1812" s="229"/>
      <c r="AC1812" s="229"/>
      <c r="AD1812" s="232"/>
      <c r="AE1812" s="233"/>
      <c r="AF1812" s="54"/>
      <c r="AG1812" s="54"/>
      <c r="AH1812" s="54"/>
      <c r="AI1812" s="55" t="str">
        <f t="shared" si="180"/>
        <v/>
      </c>
      <c r="AW1812" s="234"/>
      <c r="BP1812" s="11"/>
      <c r="BQ1812" s="11"/>
      <c r="BR1812" s="235"/>
      <c r="BV1812" s="158"/>
      <c r="BY1812" s="158"/>
      <c r="CB1812" s="158"/>
    </row>
    <row r="1813" ht="18.0" hidden="1" customHeight="1">
      <c r="A1813" s="222">
        <f>IFERROR(__xludf.DUMMYFUNCTION("""COMPUTED_VALUE"""),2026.0)</f>
        <v>2026</v>
      </c>
      <c r="B1813" s="221">
        <f>IFERROR(__xludf.DUMMYFUNCTION("""COMPUTED_VALUE"""),1.1391267E7)</f>
        <v>11391267</v>
      </c>
      <c r="C1813" s="222" t="str">
        <f>IFERROR(__xludf.DUMMYFUNCTION("""COMPUTED_VALUE"""),"LPG PT3 JPP PRINGSEWU_8694 PRW")</f>
        <v>LPG PT3 JPP PRINGSEWU_8694 PRW</v>
      </c>
      <c r="D1813" s="222" t="str">
        <f>IFERROR(__xludf.DUMMYFUNCTION("""COMPUTED_VALUE"""),"REGIONAL I")</f>
        <v>REGIONAL I</v>
      </c>
      <c r="E1813" s="222" t="str">
        <f>IFERROR(__xludf.DUMMYFUNCTION("""COMPUTED_VALUE"""),"LAMPUNG")</f>
        <v>LAMPUNG</v>
      </c>
      <c r="F1813" s="222" t="str">
        <f>IFERROR(__xludf.DUMMYFUNCTION("""COMPUTED_VALUE"""),"PRW")</f>
        <v>PRW</v>
      </c>
      <c r="G1813" s="222" t="str">
        <f>IFERROR(__xludf.DUMMYFUNCTION("""COMPUTED_VALUE"""),"SUMBAGSEL")</f>
        <v>SUMBAGSEL</v>
      </c>
      <c r="H1813" s="222" t="str">
        <f>IFERROR(__xludf.DUMMYFUNCTION("""COMPUTED_VALUE"""),"LAMPUNG")</f>
        <v>LAMPUNG</v>
      </c>
      <c r="I1813" s="222" t="str">
        <f>IFERROR(__xludf.DUMMYFUNCTION("""COMPUTED_VALUE"""),"Batch 2")</f>
        <v>Batch 2</v>
      </c>
      <c r="J1813" s="225">
        <f>IFERROR(__xludf.DUMMYFUNCTION("""COMPUTED_VALUE"""),8.0)</f>
        <v>8</v>
      </c>
      <c r="K1813" s="224">
        <f>IFERROR(__xludf.DUMMYFUNCTION("""COMPUTED_VALUE"""),64.0)</f>
        <v>64</v>
      </c>
      <c r="L1813" s="226">
        <f>IFERROR(__xludf.DUMMYFUNCTION("""COMPUTED_VALUE"""),384312.0)</f>
        <v>384312</v>
      </c>
      <c r="M1813" s="227">
        <f>IFERROR(__xludf.DUMMYFUNCTION("""COMPUTED_VALUE"""),2.4595965E7)</f>
        <v>24595965</v>
      </c>
      <c r="N1813" s="222" t="str">
        <f>IFERROR(__xludf.DUMMYFUNCTION("""COMPUTED_VALUE"""),"PT TEKNOLOGI KARYA MANDIRI")</f>
        <v>PT TEKNOLOGI KARYA MANDIRI</v>
      </c>
      <c r="O1813" s="222" t="str">
        <f>IFERROR(__xludf.DUMMYFUNCTION("""COMPUTED_VALUE"""),"7. GOLIVE")</f>
        <v>7. GOLIVE</v>
      </c>
      <c r="P1813" s="222" t="str">
        <f>IFERROR(__xludf.DUMMYFUNCTION("""COMPUTED_VALUE"""),"7.2 Golive Full / OA / DONE OTB")</f>
        <v>7.2 Golive Full / OA / DONE OTB</v>
      </c>
      <c r="Q1813" s="222" t="str">
        <f>IFERROR(__xludf.DUMMYFUNCTION("""COMPUTED_VALUE"""),"9/2 KENDALA PERLU 5/2 intalasi odp done ,repair cable eksisting 7/2 
3/2 proses repair kabel exsisting")</f>
        <v>9/2 KENDALA PERLU 5/2 intalasi odp done ,repair cable eksisting 7/2 
3/2 proses repair kabel exsisting</v>
      </c>
      <c r="R1813" s="228">
        <f>IFERROR(__xludf.DUMMYFUNCTION("""COMPUTED_VALUE"""),46077.0)</f>
        <v>46077</v>
      </c>
      <c r="S1813" s="11"/>
      <c r="T1813" s="11"/>
      <c r="U1813" s="11" t="str">
        <f>IFERROR(__xludf.DUMMYFUNCTION("""COMPUTED_VALUE"""),"W02-520/2025")</f>
        <v>W02-520/2025</v>
      </c>
      <c r="V1813" s="229"/>
      <c r="W1813" s="229"/>
      <c r="X1813" s="229" t="str">
        <f>IFERROR(__xludf.DUMMYFUNCTION("""COMPUTED_VALUE"""),"GOLIVE")</f>
        <v>GOLIVE</v>
      </c>
      <c r="Y1813" s="229" t="str">
        <f>IFERROR(__xludf.DUMMYFUNCTION("""COMPUTED_VALUE"""),"DONE")</f>
        <v>DONE</v>
      </c>
      <c r="Z1813" s="229" t="str">
        <f>IFERROR(__xludf.DUMMYFUNCTION("""COMPUTED_VALUE"""),"#N/A")</f>
        <v>#N/A</v>
      </c>
      <c r="AA1813" s="229">
        <f>IFERROR(__xludf.DUMMYFUNCTION("""COMPUTED_VALUE"""),8.0)</f>
        <v>8</v>
      </c>
      <c r="AB1813" s="229"/>
      <c r="AC1813" s="229" t="str">
        <f>IFERROR(__xludf.DUMMYFUNCTION("""COMPUTED_VALUE"""),"9120820#9120825")</f>
        <v>9120820#9120825</v>
      </c>
      <c r="AD1813" s="232">
        <f>IFERROR(__xludf.DUMMYFUNCTION("""COMPUTED_VALUE"""),64.0)</f>
        <v>64</v>
      </c>
      <c r="AE1813" s="233">
        <f>IFERROR(__xludf.DUMMYFUNCTION("""COMPUTED_VALUE"""),46077.0)</f>
        <v>46077</v>
      </c>
      <c r="AF1813" s="54"/>
      <c r="AG1813" s="54"/>
      <c r="AH1813" s="54">
        <v>46077.0</v>
      </c>
      <c r="AI1813" s="55">
        <f t="shared" si="180"/>
        <v>0</v>
      </c>
      <c r="AW1813" s="234"/>
      <c r="BP1813" s="11"/>
      <c r="BQ1813" s="11"/>
      <c r="BR1813" s="235"/>
      <c r="BV1813" s="158"/>
      <c r="BY1813" s="158"/>
      <c r="CB1813" s="158"/>
    </row>
    <row r="1814" ht="18.0" hidden="1" customHeight="1">
      <c r="A1814" s="222">
        <f>IFERROR(__xludf.DUMMYFUNCTION("""COMPUTED_VALUE"""),2026.0)</f>
        <v>2026</v>
      </c>
      <c r="B1814" s="221">
        <f>IFERROR(__xludf.DUMMYFUNCTION("""COMPUTED_VALUE"""),1.1192659E7)</f>
        <v>11192659</v>
      </c>
      <c r="C1814" s="222" t="str">
        <f>IFERROR(__xludf.DUMMYFUNCTION("""COMPUTED_VALUE"""),"MDN PT3 P7I8 TMU-FQ JL.BENTENG HULU")</f>
        <v>MDN PT3 P7I8 TMU-FQ JL.BENTENG HULU</v>
      </c>
      <c r="D1814" s="222" t="str">
        <f>IFERROR(__xludf.DUMMYFUNCTION("""COMPUTED_VALUE"""),"REGIONAL I")</f>
        <v>REGIONAL I</v>
      </c>
      <c r="E1814" s="222" t="str">
        <f>IFERROR(__xludf.DUMMYFUNCTION("""COMPUTED_VALUE"""),"MEDAN")</f>
        <v>MEDAN</v>
      </c>
      <c r="F1814" s="222" t="str">
        <f>IFERROR(__xludf.DUMMYFUNCTION("""COMPUTED_VALUE"""),"TMU")</f>
        <v>TMU</v>
      </c>
      <c r="G1814" s="222" t="str">
        <f>IFERROR(__xludf.DUMMYFUNCTION("""COMPUTED_VALUE"""),"SUMBAGUT")</f>
        <v>SUMBAGUT</v>
      </c>
      <c r="H1814" s="222" t="str">
        <f>IFERROR(__xludf.DUMMYFUNCTION("""COMPUTED_VALUE"""),"MEDAN")</f>
        <v>MEDAN</v>
      </c>
      <c r="I1814" s="222" t="str">
        <f>IFERROR(__xludf.DUMMYFUNCTION("""COMPUTED_VALUE"""),"Batch 2")</f>
        <v>Batch 2</v>
      </c>
      <c r="J1814" s="225">
        <f>IFERROR(__xludf.DUMMYFUNCTION("""COMPUTED_VALUE"""),3.0)</f>
        <v>3</v>
      </c>
      <c r="K1814" s="224">
        <f>IFERROR(__xludf.DUMMYFUNCTION("""COMPUTED_VALUE"""),24.0)</f>
        <v>24</v>
      </c>
      <c r="L1814" s="226">
        <f>IFERROR(__xludf.DUMMYFUNCTION("""COMPUTED_VALUE"""),1118828.0)</f>
        <v>1118828</v>
      </c>
      <c r="M1814" s="227">
        <f>IFERROR(__xludf.DUMMYFUNCTION("""COMPUTED_VALUE"""),2.6851853E7)</f>
        <v>26851853</v>
      </c>
      <c r="N1814" s="222" t="str">
        <f>IFERROR(__xludf.DUMMYFUNCTION("""COMPUTED_VALUE"""),"PT DUL JAYA TAMA")</f>
        <v>PT DUL JAYA TAMA</v>
      </c>
      <c r="O1814" s="222" t="str">
        <f>IFERROR(__xludf.DUMMYFUNCTION("""COMPUTED_VALUE"""),"3. PERIZINAN")</f>
        <v>3. PERIZINAN</v>
      </c>
      <c r="P1814" s="222" t="str">
        <f>IFERROR(__xludf.DUMMYFUNCTION("""COMPUTED_VALUE"""),"3.9 Izin Kades / Lurah / RTRW")</f>
        <v>3.9 Izin Kades / Lurah / RTRW</v>
      </c>
      <c r="Q1814" s="222" t="str">
        <f>IFERROR(__xludf.DUMMYFUNCTION("""COMPUTED_VALUE"""),"21/04 OGP perizinan 
09/04 kunjungan kelokasi rumah kadus 31/03 kunjungan ke rumah kepling belum jumpa 12/02 Proses izin 29/01 Done Order, lnjut Aanwidzing")</f>
        <v>21/04 OGP perizinan 
09/04 kunjungan kelokasi rumah kadus 31/03 kunjungan ke rumah kepling belum jumpa 12/02 Proses izin 29/01 Done Order, lnjut Aanwidzing</v>
      </c>
      <c r="R1814" s="228"/>
      <c r="S1814" s="11"/>
      <c r="T1814" s="73"/>
      <c r="U1814" s="11"/>
      <c r="V1814" s="229" t="str">
        <f>IFERROR(__xludf.DUMMYFUNCTION("""COMPUTED_VALUE"""),"28/Apr/2026")</f>
        <v>28/Apr/2026</v>
      </c>
      <c r="W1814" s="229"/>
      <c r="X1814" s="229" t="str">
        <f>IFERROR(__xludf.DUMMYFUNCTION("""COMPUTED_VALUE"""),"BELUM GOLIVE")</f>
        <v>BELUM GOLIVE</v>
      </c>
      <c r="Y1814" s="229"/>
      <c r="Z1814" s="229" t="str">
        <f>IFERROR(__xludf.DUMMYFUNCTION("""COMPUTED_VALUE"""),"#N/A")</f>
        <v>#N/A</v>
      </c>
      <c r="AA1814" s="229"/>
      <c r="AB1814" s="229"/>
      <c r="AC1814" s="229"/>
      <c r="AD1814" s="232"/>
      <c r="AE1814" s="233"/>
      <c r="AF1814" s="54"/>
      <c r="AG1814" s="54"/>
      <c r="AH1814" s="54"/>
      <c r="AI1814" s="55" t="str">
        <f t="shared" si="180"/>
        <v/>
      </c>
      <c r="AW1814" s="234"/>
      <c r="BP1814" s="11"/>
      <c r="BQ1814" s="11"/>
      <c r="BR1814" s="235"/>
      <c r="BV1814" s="158"/>
      <c r="BY1814" s="158"/>
      <c r="CB1814" s="158"/>
    </row>
    <row r="1815" ht="18.0" customHeight="1">
      <c r="A1815" s="222">
        <f>IFERROR(__xludf.DUMMYFUNCTION("""COMPUTED_VALUE"""),2026.0)</f>
        <v>2026</v>
      </c>
      <c r="B1815" s="221">
        <f>IFERROR(__xludf.DUMMYFUNCTION("""COMPUTED_VALUE"""),1.1517774E7)</f>
        <v>11517774</v>
      </c>
      <c r="C1815" s="222" t="str">
        <f>IFERROR(__xludf.DUMMYFUNCTION("""COMPUTED_VALUE"""),"SMB MD - EVA YULIA")</f>
        <v>SMB MD - EVA YULIA</v>
      </c>
      <c r="D1815" s="222" t="str">
        <f>IFERROR(__xludf.DUMMYFUNCTION("""COMPUTED_VALUE"""),"REGIONAL I")</f>
        <v>REGIONAL I</v>
      </c>
      <c r="E1815" s="222" t="str">
        <f>IFERROR(__xludf.DUMMYFUNCTION("""COMPUTED_VALUE"""),"SUMBAR")</f>
        <v>SUMBAR</v>
      </c>
      <c r="F1815" s="222" t="str">
        <f>IFERROR(__xludf.DUMMYFUNCTION("""COMPUTED_VALUE"""),"SLN")</f>
        <v>SLN</v>
      </c>
      <c r="G1815" s="222" t="str">
        <f>IFERROR(__xludf.DUMMYFUNCTION("""COMPUTED_VALUE"""),"SUMBAGTENG")</f>
        <v>SUMBAGTENG</v>
      </c>
      <c r="H1815" s="222" t="str">
        <f>IFERROR(__xludf.DUMMYFUNCTION("""COMPUTED_VALUE"""),"PADANG")</f>
        <v>PADANG</v>
      </c>
      <c r="I1815" s="222" t="str">
        <f>IFERROR(__xludf.DUMMYFUNCTION("""COMPUTED_VALUE"""),"Batch 2")</f>
        <v>Batch 2</v>
      </c>
      <c r="J1815" s="225">
        <f>IFERROR(__xludf.DUMMYFUNCTION("""COMPUTED_VALUE"""),1.0)</f>
        <v>1</v>
      </c>
      <c r="K1815" s="224">
        <f>IFERROR(__xludf.DUMMYFUNCTION("""COMPUTED_VALUE"""),8.0)</f>
        <v>8</v>
      </c>
      <c r="L1815" s="226">
        <f>IFERROR(__xludf.DUMMYFUNCTION("""COMPUTED_VALUE"""),382171.0)</f>
        <v>382171</v>
      </c>
      <c r="M1815" s="227">
        <f>IFERROR(__xludf.DUMMYFUNCTION("""COMPUTED_VALUE"""),3057364.0)</f>
        <v>3057364</v>
      </c>
      <c r="N1815" s="222" t="str">
        <f>IFERROR(__xludf.DUMMYFUNCTION("""COMPUTED_VALUE"""),"PT TANJUNG PUTRA PRIMA")</f>
        <v>PT TANJUNG PUTRA PRIMA</v>
      </c>
      <c r="O1815" s="222" t="str">
        <f>IFERROR(__xludf.DUMMYFUNCTION("""COMPUTED_VALUE"""),"0. DROP")</f>
        <v>0. DROP</v>
      </c>
      <c r="P1815" s="222" t="str">
        <f>IFERROR(__xludf.DUMMYFUNCTION("""COMPUTED_VALUE"""),"0.3 Feeder Full")</f>
        <v>0.3 Feeder Full</v>
      </c>
      <c r="Q1815" s="222" t="str">
        <f>IFERROR(__xludf.DUMMYFUNCTION("""COMPUTED_VALUE"""),"(26/01) Kendala feeder penuh. KENDALA FEEDER FULL, DAN UP ODC SLN-FB 48 KE 144")</f>
        <v>(26/01) Kendala feeder penuh. KENDALA FEEDER FULL, DAN UP ODC SLN-FB 48 KE 144</v>
      </c>
      <c r="R1815" s="228"/>
      <c r="S1815" s="11"/>
      <c r="T1815" s="11"/>
      <c r="U1815" s="11"/>
      <c r="V1815" s="229"/>
      <c r="W1815" s="229"/>
      <c r="X1815" s="229" t="str">
        <f>IFERROR(__xludf.DUMMYFUNCTION("""COMPUTED_VALUE"""),"BELUM GOLIVE")</f>
        <v>BELUM GOLIVE</v>
      </c>
      <c r="Y1815" s="229"/>
      <c r="Z1815" s="229" t="str">
        <f>IFERROR(__xludf.DUMMYFUNCTION("""COMPUTED_VALUE"""),"#N/A")</f>
        <v>#N/A</v>
      </c>
      <c r="AA1815" s="229"/>
      <c r="AB1815" s="229"/>
      <c r="AC1815" s="229"/>
      <c r="AD1815" s="232"/>
      <c r="AE1815" s="233"/>
      <c r="AF1815" s="54" t="str">
        <f>IFERROR(__xludf.DUMMYFUNCTION("""COMPUTED_VALUE"""),"Draft BA DROP")</f>
        <v>Draft BA DROP</v>
      </c>
      <c r="AG1815" s="54"/>
      <c r="AH1815" s="54"/>
      <c r="AI1815" s="55" t="str">
        <f t="shared" si="180"/>
        <v/>
      </c>
      <c r="AW1815" s="234"/>
      <c r="BP1815" s="11"/>
      <c r="BQ1815" s="11"/>
      <c r="BR1815" s="235"/>
      <c r="BV1815" s="158"/>
      <c r="BY1815" s="158"/>
      <c r="CB1815" s="158"/>
    </row>
    <row r="1816" ht="18.0" customHeight="1">
      <c r="A1816" s="222">
        <f>IFERROR(__xludf.DUMMYFUNCTION("""COMPUTED_VALUE"""),2026.0)</f>
        <v>2026</v>
      </c>
      <c r="B1816" s="221">
        <f>IFERROR(__xludf.DUMMYFUNCTION("""COMPUTED_VALUE"""),1.1612406E7)</f>
        <v>11612406</v>
      </c>
      <c r="C1816" s="222" t="str">
        <f>IFERROR(__xludf.DUMMYFUNCTION("""COMPUTED_VALUE"""),"SMB STTF-ADRINALDI")</f>
        <v>SMB STTF-ADRINALDI</v>
      </c>
      <c r="D1816" s="222" t="str">
        <f>IFERROR(__xludf.DUMMYFUNCTION("""COMPUTED_VALUE"""),"REGIONAL I")</f>
        <v>REGIONAL I</v>
      </c>
      <c r="E1816" s="222" t="str">
        <f>IFERROR(__xludf.DUMMYFUNCTION("""COMPUTED_VALUE"""),"SUMBAR")</f>
        <v>SUMBAR</v>
      </c>
      <c r="F1816" s="222" t="str">
        <f>IFERROR(__xludf.DUMMYFUNCTION("""COMPUTED_VALUE"""),"SUM")</f>
        <v>SUM</v>
      </c>
      <c r="G1816" s="222" t="str">
        <f>IFERROR(__xludf.DUMMYFUNCTION("""COMPUTED_VALUE"""),"SUMBAGTENG")</f>
        <v>SUMBAGTENG</v>
      </c>
      <c r="H1816" s="222" t="str">
        <f>IFERROR(__xludf.DUMMYFUNCTION("""COMPUTED_VALUE"""),"PADANG")</f>
        <v>PADANG</v>
      </c>
      <c r="I1816" s="222" t="str">
        <f>IFERROR(__xludf.DUMMYFUNCTION("""COMPUTED_VALUE"""),"Batch 2")</f>
        <v>Batch 2</v>
      </c>
      <c r="J1816" s="225">
        <f>IFERROR(__xludf.DUMMYFUNCTION("""COMPUTED_VALUE"""),1.0)</f>
        <v>1</v>
      </c>
      <c r="K1816" s="224">
        <f>IFERROR(__xludf.DUMMYFUNCTION("""COMPUTED_VALUE"""),8.0)</f>
        <v>8</v>
      </c>
      <c r="L1816" s="226">
        <f>IFERROR(__xludf.DUMMYFUNCTION("""COMPUTED_VALUE"""),382171.0)</f>
        <v>382171</v>
      </c>
      <c r="M1816" s="227">
        <f>IFERROR(__xludf.DUMMYFUNCTION("""COMPUTED_VALUE"""),3057364.0)</f>
        <v>3057364</v>
      </c>
      <c r="N1816" s="222" t="str">
        <f>IFERROR(__xludf.DUMMYFUNCTION("""COMPUTED_VALUE"""),"PT TRI PENAMAS")</f>
        <v>PT TRI PENAMAS</v>
      </c>
      <c r="O1816" s="222" t="str">
        <f>IFERROR(__xludf.DUMMYFUNCTION("""COMPUTED_VALUE"""),"7. GOLIVE")</f>
        <v>7. GOLIVE</v>
      </c>
      <c r="P1816" s="222" t="str">
        <f>IFERROR(__xludf.DUMMYFUNCTION("""COMPUTED_VALUE"""),"7.2 Golive Full / OA / DONE OTB")</f>
        <v>7.2 Golive Full / OA / DONE OTB</v>
      </c>
      <c r="Q1816" s="222" t="str">
        <f>IFERROR(__xludf.DUMMYFUNCTION("""COMPUTED_VALUE"""),"(30/03) ABD done KE SDI, Plan UT besok 30/03/2026  (16/03) proses matdel KE SITE (12/03) Proses create PID  (27/01) kendala distribusi penuh Dist 3 SUM-FA")</f>
        <v>(30/03) ABD done KE SDI, Plan UT besok 30/03/2026  (16/03) proses matdel KE SITE (12/03) Proses create PID  (27/01) kendala distribusi penuh Dist 3 SUM-FA</v>
      </c>
      <c r="R1816" s="228"/>
      <c r="S1816" s="11"/>
      <c r="T1816" s="11"/>
      <c r="U1816" s="11" t="str">
        <f>IFERROR(__xludf.DUMMYFUNCTION("""COMPUTED_VALUE"""),"TIF-5989/2026  26KT03R158-0075 ")</f>
        <v>TIF-5989/2026  26KT03R158-0075 </v>
      </c>
      <c r="V1816" s="229" t="str">
        <f>IFERROR(__xludf.DUMMYFUNCTION("""COMPUTED_VALUE"""),"FABIO RAHMAN")</f>
        <v>FABIO RAHMAN</v>
      </c>
      <c r="W1816" s="229" t="str">
        <f>IFERROR(__xludf.DUMMYFUNCTION("""COMPUTED_VALUE"""),"MELKO NARWADI")</f>
        <v>MELKO NARWADI</v>
      </c>
      <c r="X1816" s="229" t="str">
        <f>IFERROR(__xludf.DUMMYFUNCTION("""COMPUTED_VALUE"""),"GOLIVE")</f>
        <v>GOLIVE</v>
      </c>
      <c r="Y1816" s="229" t="str">
        <f>IFERROR(__xludf.DUMMYFUNCTION("""COMPUTED_VALUE"""),"DONE")</f>
        <v>DONE</v>
      </c>
      <c r="Z1816" s="229" t="str">
        <f>IFERROR(__xludf.DUMMYFUNCTION("""COMPUTED_VALUE"""),"#N/A")</f>
        <v>#N/A</v>
      </c>
      <c r="AA1816" s="229">
        <f>IFERROR(__xludf.DUMMYFUNCTION("""COMPUTED_VALUE"""),2.0)</f>
        <v>2</v>
      </c>
      <c r="AB1816" s="229"/>
      <c r="AC1816" s="229" t="str">
        <f>IFERROR(__xludf.DUMMYFUNCTION("""COMPUTED_VALUE"""),"9229040#9229045")</f>
        <v>9229040#9229045</v>
      </c>
      <c r="AD1816" s="232">
        <f>IFERROR(__xludf.DUMMYFUNCTION("""COMPUTED_VALUE"""),16.0)</f>
        <v>16</v>
      </c>
      <c r="AE1816" s="233">
        <f>IFERROR(__xludf.DUMMYFUNCTION("""COMPUTED_VALUE"""),46112.0)</f>
        <v>46112</v>
      </c>
      <c r="AF1816" s="54"/>
      <c r="AG1816" s="54"/>
      <c r="AH1816" s="54">
        <v>46120.0</v>
      </c>
      <c r="AI1816" s="55">
        <f t="shared" ref="AI1816:AI1817" si="181">IF(OR(AH1816="",AE1816=""),"",AH1816-AE1816)</f>
        <v>8</v>
      </c>
      <c r="AJ1816" s="229" t="str">
        <f t="shared" ref="AJ1816:AJ1817" si="182">if(AI1816&gt;=0,"Gl in Komitmen","Gl out komitmen")</f>
        <v>Gl in Komitmen</v>
      </c>
      <c r="AW1816" s="234"/>
      <c r="BP1816" s="11"/>
      <c r="BQ1816" s="11"/>
      <c r="BR1816" s="235"/>
      <c r="BV1816" s="158"/>
      <c r="BY1816" s="158"/>
      <c r="CB1816" s="158"/>
    </row>
    <row r="1817" ht="18.0" customHeight="1">
      <c r="A1817" s="222">
        <f>IFERROR(__xludf.DUMMYFUNCTION("""COMPUTED_VALUE"""),2026.0)</f>
        <v>2026</v>
      </c>
      <c r="B1817" s="221">
        <f>IFERROR(__xludf.DUMMYFUNCTION("""COMPUTED_VALUE"""),1.1147518E7)</f>
        <v>11147518</v>
      </c>
      <c r="C1817" s="222" t="str">
        <f>IFERROR(__xludf.DUMMYFUNCTION("""COMPUTED_VALUE"""),"SMB Jl. Minangkabau Dekat Surau Lakuak")</f>
        <v>SMB Jl. Minangkabau Dekat Surau Lakuak</v>
      </c>
      <c r="D1817" s="222" t="str">
        <f>IFERROR(__xludf.DUMMYFUNCTION("""COMPUTED_VALUE"""),"REGIONAL I")</f>
        <v>REGIONAL I</v>
      </c>
      <c r="E1817" s="222" t="str">
        <f>IFERROR(__xludf.DUMMYFUNCTION("""COMPUTED_VALUE"""),"SUMBAR")</f>
        <v>SUMBAR</v>
      </c>
      <c r="F1817" s="222" t="str">
        <f>IFERROR(__xludf.DUMMYFUNCTION("""COMPUTED_VALUE"""),"LBB")</f>
        <v>LBB</v>
      </c>
      <c r="G1817" s="222" t="str">
        <f>IFERROR(__xludf.DUMMYFUNCTION("""COMPUTED_VALUE"""),"SUMBAGTENG")</f>
        <v>SUMBAGTENG</v>
      </c>
      <c r="H1817" s="222" t="str">
        <f>IFERROR(__xludf.DUMMYFUNCTION("""COMPUTED_VALUE"""),"BUKIT TINGGI")</f>
        <v>BUKIT TINGGI</v>
      </c>
      <c r="I1817" s="222" t="str">
        <f>IFERROR(__xludf.DUMMYFUNCTION("""COMPUTED_VALUE"""),"Batch 2")</f>
        <v>Batch 2</v>
      </c>
      <c r="J1817" s="225">
        <f>IFERROR(__xludf.DUMMYFUNCTION("""COMPUTED_VALUE"""),1.0)</f>
        <v>1</v>
      </c>
      <c r="K1817" s="224">
        <f>IFERROR(__xludf.DUMMYFUNCTION("""COMPUTED_VALUE"""),8.0)</f>
        <v>8</v>
      </c>
      <c r="L1817" s="226">
        <f>IFERROR(__xludf.DUMMYFUNCTION("""COMPUTED_VALUE"""),382171.0)</f>
        <v>382171</v>
      </c>
      <c r="M1817" s="227">
        <f>IFERROR(__xludf.DUMMYFUNCTION("""COMPUTED_VALUE"""),3057364.0)</f>
        <v>3057364</v>
      </c>
      <c r="N1817" s="222" t="str">
        <f>IFERROR(__xludf.DUMMYFUNCTION("""COMPUTED_VALUE"""),"PT TIGA AKSES MANDIRI")</f>
        <v>PT TIGA AKSES MANDIRI</v>
      </c>
      <c r="O1817" s="222" t="str">
        <f>IFERROR(__xludf.DUMMYFUNCTION("""COMPUTED_VALUE"""),"7. GOLIVE")</f>
        <v>7. GOLIVE</v>
      </c>
      <c r="P1817" s="222" t="str">
        <f>IFERROR(__xludf.DUMMYFUNCTION("""COMPUTED_VALUE"""),"7.2 Golive Full / OA / DONE OTB")</f>
        <v>7.2 Golive Full / OA / DONE OTB</v>
      </c>
      <c r="Q1817" s="222" t="str">
        <f>IFERROR(__xludf.DUMMYFUNCTION("""COMPUTED_VALUE"""),"(06/04) ABD done ke SDI (02/04) terminasi odp  (30/03) material onsite  (16/03) proses PO ke mitra dan menunggu kabel 12 ADSS (27/01) PT2, FEEDER LBB-FH BUTUH REPAIR , TIPUS DI 2 KM (07/01) Persiapan")</f>
        <v>(06/04) ABD done ke SDI (02/04) terminasi odp  (30/03) material onsite  (16/03) proses PO ke mitra dan menunggu kabel 12 ADSS (27/01) PT2, FEEDER LBB-FH BUTUH REPAIR , TIPUS DI 2 KM (07/01) Persiapan</v>
      </c>
      <c r="R1817" s="228">
        <f>IFERROR(__xludf.DUMMYFUNCTION("""COMPUTED_VALUE"""),46120.0)</f>
        <v>46120</v>
      </c>
      <c r="S1817" s="11"/>
      <c r="T1817" s="73"/>
      <c r="U1817" s="11" t="str">
        <f>IFERROR(__xludf.DUMMYFUNCTION("""COMPUTED_VALUE"""),"TIF-6121/2026  26KT03R107-0033")</f>
        <v>TIF-6121/2026  26KT03R107-0033</v>
      </c>
      <c r="V1817" s="229" t="str">
        <f>IFERROR(__xludf.DUMMYFUNCTION("""COMPUTED_VALUE"""),"JANUAR RIZAL")</f>
        <v>JANUAR RIZAL</v>
      </c>
      <c r="W1817" s="229" t="str">
        <f>IFERROR(__xludf.DUMMYFUNCTION("""COMPUTED_VALUE"""),"MELKO NARWADI")</f>
        <v>MELKO NARWADI</v>
      </c>
      <c r="X1817" s="229" t="str">
        <f>IFERROR(__xludf.DUMMYFUNCTION("""COMPUTED_VALUE"""),"GOLIVE")</f>
        <v>GOLIVE</v>
      </c>
      <c r="Y1817" s="229" t="str">
        <f>IFERROR(__xludf.DUMMYFUNCTION("""COMPUTED_VALUE"""),"DONE")</f>
        <v>DONE</v>
      </c>
      <c r="Z1817" s="229" t="str">
        <f>IFERROR(__xludf.DUMMYFUNCTION("""COMPUTED_VALUE"""),"#N/A")</f>
        <v>#N/A</v>
      </c>
      <c r="AA1817" s="229">
        <f>IFERROR(__xludf.DUMMYFUNCTION("""COMPUTED_VALUE"""),1.0)</f>
        <v>1</v>
      </c>
      <c r="AB1817" s="229"/>
      <c r="AC1817" s="229" t="str">
        <f>IFERROR(__xludf.DUMMYFUNCTION("""COMPUTED_VALUE"""),"9247112#9247117")</f>
        <v>9247112#9247117</v>
      </c>
      <c r="AD1817" s="232">
        <f>IFERROR(__xludf.DUMMYFUNCTION("""COMPUTED_VALUE"""),8.0)</f>
        <v>8</v>
      </c>
      <c r="AE1817" s="233">
        <f>IFERROR(__xludf.DUMMYFUNCTION("""COMPUTED_VALUE"""),46120.0)</f>
        <v>46120</v>
      </c>
      <c r="AF1817" s="54"/>
      <c r="AG1817" s="54"/>
      <c r="AH1817" s="54">
        <v>46120.0</v>
      </c>
      <c r="AI1817" s="55">
        <f t="shared" si="181"/>
        <v>0</v>
      </c>
      <c r="AJ1817" s="229" t="str">
        <f t="shared" si="182"/>
        <v>Gl in Komitmen</v>
      </c>
      <c r="AK1817" s="231" t="s">
        <v>199</v>
      </c>
      <c r="AW1817" s="234"/>
      <c r="BP1817" s="11"/>
      <c r="BQ1817" s="11"/>
      <c r="BR1817" s="235"/>
      <c r="BV1817" s="158"/>
      <c r="BY1817" s="158"/>
      <c r="CB1817" s="158"/>
    </row>
    <row r="1818" ht="18.0" hidden="1" customHeight="1">
      <c r="A1818" s="222">
        <f>IFERROR(__xludf.DUMMYFUNCTION("""COMPUTED_VALUE"""),2026.0)</f>
        <v>2026</v>
      </c>
      <c r="B1818" s="221">
        <f>IFERROR(__xludf.DUMMYFUNCTION("""COMPUTED_VALUE"""),1.1163974E7)</f>
        <v>11163974</v>
      </c>
      <c r="C1818" s="222" t="str">
        <f>IFERROR(__xludf.DUMMYFUNCTION("""COMPUTED_VALUE"""),"MDN PT3 P7I5 CTD-FBU PADMA VILLAGE")</f>
        <v>MDN PT3 P7I5 CTD-FBU PADMA VILLAGE</v>
      </c>
      <c r="D1818" s="222" t="str">
        <f>IFERROR(__xludf.DUMMYFUNCTION("""COMPUTED_VALUE"""),"REGIONAL I")</f>
        <v>REGIONAL I</v>
      </c>
      <c r="E1818" s="222" t="str">
        <f>IFERROR(__xludf.DUMMYFUNCTION("""COMPUTED_VALUE"""),"MEDAN")</f>
        <v>MEDAN</v>
      </c>
      <c r="F1818" s="222" t="str">
        <f>IFERROR(__xludf.DUMMYFUNCTION("""COMPUTED_VALUE"""),"CTD")</f>
        <v>CTD</v>
      </c>
      <c r="G1818" s="222" t="str">
        <f>IFERROR(__xludf.DUMMYFUNCTION("""COMPUTED_VALUE"""),"SUMBAGUT")</f>
        <v>SUMBAGUT</v>
      </c>
      <c r="H1818" s="222" t="str">
        <f>IFERROR(__xludf.DUMMYFUNCTION("""COMPUTED_VALUE"""),"MEDAN")</f>
        <v>MEDAN</v>
      </c>
      <c r="I1818" s="222" t="str">
        <f>IFERROR(__xludf.DUMMYFUNCTION("""COMPUTED_VALUE"""),"Batch 2")</f>
        <v>Batch 2</v>
      </c>
      <c r="J1818" s="225">
        <f>IFERROR(__xludf.DUMMYFUNCTION("""COMPUTED_VALUE"""),4.0)</f>
        <v>4</v>
      </c>
      <c r="K1818" s="224">
        <f>IFERROR(__xludf.DUMMYFUNCTION("""COMPUTED_VALUE"""),32.0)</f>
        <v>32</v>
      </c>
      <c r="L1818" s="226">
        <f>IFERROR(__xludf.DUMMYFUNCTION("""COMPUTED_VALUE"""),457776.0)</f>
        <v>457776</v>
      </c>
      <c r="M1818" s="227">
        <f>IFERROR(__xludf.DUMMYFUNCTION("""COMPUTED_VALUE"""),1.4648831E7)</f>
        <v>14648831</v>
      </c>
      <c r="N1818" s="222" t="str">
        <f>IFERROR(__xludf.DUMMYFUNCTION("""COMPUTED_VALUE"""),"PT TRIPOLA PANATA")</f>
        <v>PT TRIPOLA PANATA</v>
      </c>
      <c r="O1818" s="222" t="str">
        <f>IFERROR(__xludf.DUMMYFUNCTION("""COMPUTED_VALUE"""),"0. DROP")</f>
        <v>0. DROP</v>
      </c>
      <c r="P1818" s="222" t="str">
        <f>IFERROR(__xludf.DUMMYFUNCTION("""COMPUTED_VALUE"""),"0.2 Tidak Dapat Izin Warga/Kades/Lurah/Developer")</f>
        <v>0.2 Tidak Dapat Izin Warga/Kades/Lurah/Developer</v>
      </c>
      <c r="Q1818" s="222" t="str">
        <f>IFERROR(__xludf.DUMMYFUNCTION("""COMPUTED_VALUE"""),"Tidak diberi izin masuk komplek")</f>
        <v>Tidak diberi izin masuk komplek</v>
      </c>
      <c r="R1818" s="228"/>
      <c r="S1818" s="11"/>
      <c r="T1818" s="11"/>
      <c r="U1818" s="11"/>
      <c r="V1818" s="229"/>
      <c r="W1818" s="229"/>
      <c r="X1818" s="229" t="str">
        <f>IFERROR(__xludf.DUMMYFUNCTION("""COMPUTED_VALUE"""),"BELUM GOLIVE")</f>
        <v>BELUM GOLIVE</v>
      </c>
      <c r="Y1818" s="229"/>
      <c r="Z1818" s="229" t="str">
        <f>IFERROR(__xludf.DUMMYFUNCTION("""COMPUTED_VALUE"""),"#N/A")</f>
        <v>#N/A</v>
      </c>
      <c r="AA1818" s="229"/>
      <c r="AB1818" s="229"/>
      <c r="AC1818" s="229"/>
      <c r="AD1818" s="232"/>
      <c r="AE1818" s="233"/>
      <c r="AF1818" s="54" t="str">
        <f>IFERROR(__xludf.DUMMYFUNCTION("""COMPUTED_VALUE"""),"Draft BA DROP")</f>
        <v>Draft BA DROP</v>
      </c>
      <c r="AG1818" s="54"/>
      <c r="AH1818" s="54"/>
      <c r="AI1818" s="55" t="str">
        <f t="shared" ref="AI1818:AI1834" si="183">IF(OR(R1818="",AE1818=""),"",R1818-AE1818)</f>
        <v/>
      </c>
      <c r="AW1818" s="234"/>
      <c r="BP1818" s="11"/>
      <c r="BQ1818" s="11"/>
      <c r="BR1818" s="235"/>
      <c r="BV1818" s="158"/>
      <c r="BY1818" s="158"/>
      <c r="CB1818" s="158"/>
    </row>
    <row r="1819" ht="18.0" hidden="1" customHeight="1">
      <c r="A1819" s="222">
        <f>IFERROR(__xludf.DUMMYFUNCTION("""COMPUTED_VALUE"""),2026.0)</f>
        <v>2026</v>
      </c>
      <c r="B1819" s="221">
        <f>IFERROR(__xludf.DUMMYFUNCTION("""COMPUTED_VALUE"""),1.1187249E7)</f>
        <v>11187249</v>
      </c>
      <c r="C1819" s="222" t="str">
        <f>IFERROR(__xludf.DUMMYFUNCTION("""COMPUTED_VALUE"""),"MDN PT3 SPM-FBY JL.TURI TIMBANG DELI")</f>
        <v>MDN PT3 SPM-FBY JL.TURI TIMBANG DELI</v>
      </c>
      <c r="D1819" s="222" t="str">
        <f>IFERROR(__xludf.DUMMYFUNCTION("""COMPUTED_VALUE"""),"REGIONAL I")</f>
        <v>REGIONAL I</v>
      </c>
      <c r="E1819" s="222" t="str">
        <f>IFERROR(__xludf.DUMMYFUNCTION("""COMPUTED_VALUE"""),"MEDAN")</f>
        <v>MEDAN</v>
      </c>
      <c r="F1819" s="222" t="str">
        <f>IFERROR(__xludf.DUMMYFUNCTION("""COMPUTED_VALUE"""),"SPM")</f>
        <v>SPM</v>
      </c>
      <c r="G1819" s="222" t="str">
        <f>IFERROR(__xludf.DUMMYFUNCTION("""COMPUTED_VALUE"""),"SUMBAGUT")</f>
        <v>SUMBAGUT</v>
      </c>
      <c r="H1819" s="222" t="str">
        <f>IFERROR(__xludf.DUMMYFUNCTION("""COMPUTED_VALUE"""),"MEDAN")</f>
        <v>MEDAN</v>
      </c>
      <c r="I1819" s="222" t="str">
        <f>IFERROR(__xludf.DUMMYFUNCTION("""COMPUTED_VALUE"""),"Batch 2")</f>
        <v>Batch 2</v>
      </c>
      <c r="J1819" s="225">
        <f>IFERROR(__xludf.DUMMYFUNCTION("""COMPUTED_VALUE"""),3.0)</f>
        <v>3</v>
      </c>
      <c r="K1819" s="224">
        <f>IFERROR(__xludf.DUMMYFUNCTION("""COMPUTED_VALUE"""),24.0)</f>
        <v>24</v>
      </c>
      <c r="L1819" s="226">
        <f>IFERROR(__xludf.DUMMYFUNCTION("""COMPUTED_VALUE"""),1513330.0)</f>
        <v>1513330</v>
      </c>
      <c r="M1819" s="227">
        <f>IFERROR(__xludf.DUMMYFUNCTION("""COMPUTED_VALUE"""),3.6319913E7)</f>
        <v>36319913</v>
      </c>
      <c r="N1819" s="222" t="str">
        <f>IFERROR(__xludf.DUMMYFUNCTION("""COMPUTED_VALUE"""),"PT WALET SOLUSINDO")</f>
        <v>PT WALET SOLUSINDO</v>
      </c>
      <c r="O1819" s="222" t="str">
        <f>IFERROR(__xludf.DUMMYFUNCTION("""COMPUTED_VALUE"""),"0. DROP")</f>
        <v>0. DROP</v>
      </c>
      <c r="P1819" s="222" t="str">
        <f>IFERROR(__xludf.DUMMYFUNCTION("""COMPUTED_VALUE"""),"0.4 CPP Tinggi Acc ED TIF")</f>
        <v>0.4 CPP Tinggi Acc ED TIF</v>
      </c>
      <c r="Q1819" s="222" t="str">
        <f>IFERROR(__xludf.DUMMYFUNCTION("""COMPUTED_VALUE"""),"12/02 Feeder habis 21/01 Done Order, lnjut Aanwidzing")</f>
        <v>12/02 Feeder habis 21/01 Done Order, lnjut Aanwidzing</v>
      </c>
      <c r="R1819" s="228"/>
      <c r="S1819" s="11"/>
      <c r="T1819" s="11"/>
      <c r="U1819" s="11"/>
      <c r="V1819" s="229"/>
      <c r="W1819" s="229"/>
      <c r="X1819" s="229" t="str">
        <f>IFERROR(__xludf.DUMMYFUNCTION("""COMPUTED_VALUE"""),"BELUM GOLIVE")</f>
        <v>BELUM GOLIVE</v>
      </c>
      <c r="Y1819" s="229"/>
      <c r="Z1819" s="229" t="str">
        <f>IFERROR(__xludf.DUMMYFUNCTION("""COMPUTED_VALUE"""),"#N/A")</f>
        <v>#N/A</v>
      </c>
      <c r="AA1819" s="229"/>
      <c r="AB1819" s="229"/>
      <c r="AC1819" s="229"/>
      <c r="AD1819" s="232"/>
      <c r="AE1819" s="233"/>
      <c r="AF1819" s="54" t="str">
        <f>IFERROR(__xludf.DUMMYFUNCTION("""COMPUTED_VALUE"""),"Draft BA DROP")</f>
        <v>Draft BA DROP</v>
      </c>
      <c r="AG1819" s="54"/>
      <c r="AH1819" s="54"/>
      <c r="AI1819" s="55" t="str">
        <f t="shared" si="183"/>
        <v/>
      </c>
      <c r="AW1819" s="234"/>
      <c r="BP1819" s="11"/>
      <c r="BQ1819" s="11"/>
      <c r="BR1819" s="235"/>
      <c r="BV1819" s="158"/>
      <c r="BY1819" s="158"/>
      <c r="CB1819" s="158"/>
    </row>
    <row r="1820" ht="18.0" hidden="1" customHeight="1">
      <c r="A1820" s="222">
        <f>IFERROR(__xludf.DUMMYFUNCTION("""COMPUTED_VALUE"""),2026.0)</f>
        <v>2026</v>
      </c>
      <c r="B1820" s="221">
        <f>IFERROR(__xludf.DUMMYFUNCTION("""COMPUTED_VALUE"""),1.2114246E7)</f>
        <v>12114246</v>
      </c>
      <c r="C1820" s="222" t="str">
        <f>IFERROR(__xludf.DUMMYFUNCTION("""COMPUTED_VALUE"""),"SMU ODC-PMY-FAD D05 TAMBA SARIBU.")</f>
        <v>SMU ODC-PMY-FAD D05 TAMBA SARIBU.</v>
      </c>
      <c r="D1820" s="222" t="str">
        <f>IFERROR(__xludf.DUMMYFUNCTION("""COMPUTED_VALUE"""),"REGIONAL I")</f>
        <v>REGIONAL I</v>
      </c>
      <c r="E1820" s="222" t="str">
        <f>IFERROR(__xludf.DUMMYFUNCTION("""COMPUTED_VALUE"""),"SUMUT")</f>
        <v>SUMUT</v>
      </c>
      <c r="F1820" s="222" t="str">
        <f>IFERROR(__xludf.DUMMYFUNCTION("""COMPUTED_VALUE"""),"PMY")</f>
        <v>PMY</v>
      </c>
      <c r="G1820" s="222" t="str">
        <f>IFERROR(__xludf.DUMMYFUNCTION("""COMPUTED_VALUE"""),"SUMBAGUT")</f>
        <v>SUMBAGUT</v>
      </c>
      <c r="H1820" s="222" t="str">
        <f>IFERROR(__xludf.DUMMYFUNCTION("""COMPUTED_VALUE"""),"PEMATANG SIANTAR")</f>
        <v>PEMATANG SIANTAR</v>
      </c>
      <c r="I1820" s="222" t="str">
        <f>IFERROR(__xludf.DUMMYFUNCTION("""COMPUTED_VALUE"""),"Batch 2")</f>
        <v>Batch 2</v>
      </c>
      <c r="J1820" s="225">
        <f>IFERROR(__xludf.DUMMYFUNCTION("""COMPUTED_VALUE"""),16.0)</f>
        <v>16</v>
      </c>
      <c r="K1820" s="224">
        <f>IFERROR(__xludf.DUMMYFUNCTION("""COMPUTED_VALUE"""),128.0)</f>
        <v>128</v>
      </c>
      <c r="L1820" s="226">
        <f>IFERROR(__xludf.DUMMYFUNCTION("""COMPUTED_VALUE"""),3747862.0)</f>
        <v>3747862</v>
      </c>
      <c r="M1820" s="227">
        <f>IFERROR(__xludf.DUMMYFUNCTION("""COMPUTED_VALUE"""),4.79726309E8)</f>
        <v>479726309</v>
      </c>
      <c r="N1820" s="222" t="str">
        <f>IFERROR(__xludf.DUMMYFUNCTION("""COMPUTED_VALUE"""),"PT GARINDO TECHNO MANDIRI")</f>
        <v>PT GARINDO TECHNO MANDIRI</v>
      </c>
      <c r="O1820" s="222" t="str">
        <f>IFERROR(__xludf.DUMMYFUNCTION("""COMPUTED_VALUE"""),"5. INSTALASI")</f>
        <v>5. INSTALASI</v>
      </c>
      <c r="P1820" s="222" t="str">
        <f>IFERROR(__xludf.DUMMYFUNCTION("""COMPUTED_VALUE"""),"5.9 Proses Pemasangan/Terminasi ODP/OTB")</f>
        <v>5.9 Proses Pemasangan/Terminasi ODP/OTB</v>
      </c>
      <c r="Q1820" s="222" t="str">
        <f>IFERROR(__xludf.DUMMYFUNCTION("""COMPUTED_VALUE"""),"27/4 plan hari ini team ke lokasi untuk proses pembangaun odc 144 , Penarikan kabel 24 (10300 selesai, ku12(2143 selesai), tiang 144 selesai, odp 35 selesai,
22/4 proses terminasi 35 odp , Penarikan kabel 24 (10300 selesai, ku12(2143 selesai), odc 144 bel"&amp;"um progres, tiang 144 selesai, odp 35 selesai, 21/4 proses terminasi 10 odp, Penarikan kabel 24 (10300 selesai, ku12(2143 selesai), odc 144 belum progres, tiang 144 selesai, odp 35 selesai, 20/4 Penarikan kabel 24 (10300 selesai, ku12(2143 selesai), odc 1"&amp;"44 belum progres, tiang 144 selesai, odp 35 sisa 8, 14/4 Penarikan kabel 24 (10300 selesai, ku12(2143 selesai), odc 144 belum progres, tiang 144 selesai, odp 35 belum progres, 13/4 Penarikan kabel 24 (10300 selesai, ku12(2143 selesai), odc 144 belum progr"&amp;"es, tiang 144 selesai, odp 35 belum progres, 9/4 Penarikan kabel 24 (10300 selesai, ku12(2143 selesai), odc 144 belum progres, tiang 144 selesai, odp 35 belum progres, 8/4 Penarikan kabel 24 (10300 selesai, ku12(2143 selesai), odc 144 belum progres, tiang"&amp;" 144 selesai, odp 35 belum progres, 6/4 Penarikan kabel 24 (10300 sisa 1950, ku12(2143 belum progres, odc 144 belum progres, tiang 144 sisa 18, odp 35 belum progres, 5/4 Penarikan kabel 24 (10300 sisa 2700, ku12(2143 belum progres, odc 144 belum progres, "&amp;"tiang 144 sisa 18, odp 35 belum progres, 1/4 Penarikan kabel 24 (10300 sisa 2700, ku12(2143 belum progres, odc 144 belum progres, tiang 144 sisa 18, odp 35 belum progres, 31/3 Penarikan kabel 24 (10300 sisa 5300, ku12(2143 belum progres, odc 144 belum pro"&amp;"gres, tiang 144 sisa 49, odp 35 belum progres, 30/3 Penarikan kabel 24 (10300 sisa 6300, ku12(2143 belum progrea, odc 144 belum progrea, tiang 144 sisa 49, odp 35 bunga progres, 27/3 Penarikan kabel 24 (10300 sisa 6300, ku12(2143 belum progrea, odc 144 be"&amp;"lum progrea, tiang 144 sisa 119, odp 35 bunga progres, 22/3 penarikan kabel 24 (10300 sisa 8600), ku 12 (2143 belum progres, odc 144 belum progres, odp 35 belum progres, tiang 144 belum progres,  18/3 penarikan kabel 24 (10300 sisa 8600), ku 12 (2143 belu"&amp;"m progres, odc 144 belum progres, odp 35 belum progres, tiang 144 belum progres, 16/3 proses tanam tiang 114 batang , odc belum progres, ku 12 (2143) belum progres, ku24 (10.300) belum progres,  13/3 prepair tim untuk pengambilan material plan tgl 14 mare"&amp;"t,  11/3 prepair tim untuk pengambilan material plan tgl 14 maret, 10/3 prepair team untuk pengambilan matrial, 6/3 prepair team untuk pengambilan matrial, , 5/3 hari ini sudah input material ke alista, 4/3 proses req matrial,  3/3 meeting ED1-ED-RSBU-TA1"&amp;": drop cpp tinggi 2/3  cpp tinggi 1,4,   27/2 cpp tinggi 1,4,  25/2 cpp tinggi 1,4,  24/2 cpp tinggi 1,4, 23/2 Butuh perijinan PU Nasional 80 btg, 20/2 Butuh perijinan PU Nasional 80 btg, 19/2 prepair team untuk pengurusan ijin ke desa ,   18/2 prepair te"&amp;"am untuk pengurusan ijin ke desa ,  16/2 prepair team untuk pengurusan ijin ke desa ,  12/2 prepair team untuk pengurusan ijin ke desa , 11/2 prepair team untuk pengurusan ijin ke desa ,  10/2 prepair team untuk pengurusan ijin ke desa ,  9/2 prepair team"&amp;" untuk pengurusan ijin ke desa 6/2 prepair team untuk pengurusan ijin ke desa,  5/2 prepair team untuk pengurusan ijin ke desa,  4/2 prepair team untuk pengurusan ijin ke desa,  3/2 prepair team untuk pengurusan ijin ke desa, 2/2 prepair team untuk pengur"&amp;"usan ijin ke desa, 1/2 prepair team untuk pengurusan ijin ke desa, 30/1 prepair team untuk pengurusan ijin ke desa, 28/1 prepair team untuk pengurusan ijin ke desa, 27/1 plan besok 28/1 team kelokasi untuk progres perizinan ke desa, 26/1 proses  pembuatan"&amp;" berkas ijin ke desa, 23/1 menunggu boq kml survey 22/1 prepair team untuk survey ulang hasil redesign,  21/1 prepair team untuk survey ulang hasil redesign, 20/1 prepair team untuk survey ulang hasil redesign, 19/1 plan survey ulang redesign, ,15/1 prose"&amp;"s survey dilapangan, 14/01 plan survey tanggal 16/01, 13/01 plan survey tanggal 16/01, (08/01) Kendala feeder LBY-FL FULL, proses eval hasil aanwijziing, plan aanwijziing , plan selesai annwijziing  ,aanwijziing HI 19 sept, peralihan mitra krna mitra lama"&amp;" tdk menyanggupi pekerjaan (07/01) Persiapan")</f>
        <v>27/4 plan hari ini team ke lokasi untuk proses pembangaun odc 144 , Penarikan kabel 24 (10300 selesai, ku12(2143 selesai), tiang 144 selesai, odp 35 selesai,
22/4 proses terminasi 35 odp , Penarikan kabel 24 (10300 selesai, ku12(2143 selesai), odc 144 belum progres, tiang 144 selesai, odp 35 selesai, 21/4 proses terminasi 10 odp, Penarikan kabel 24 (10300 selesai, ku12(2143 selesai), odc 144 belum progres, tiang 144 selesai, odp 35 selesai, 20/4 Penarikan kabel 24 (10300 selesai, ku12(2143 selesai), odc 144 belum progres, tiang 144 selesai, odp 35 sisa 8, 14/4 Penarikan kabel 24 (10300 selesai, ku12(2143 selesai), odc 144 belum progres, tiang 144 selesai, odp 35 belum progres, 13/4 Penarikan kabel 24 (10300 selesai, ku12(2143 selesai), odc 144 belum progres, tiang 144 selesai, odp 35 belum progres, 9/4 Penarikan kabel 24 (10300 selesai, ku12(2143 selesai), odc 144 belum progres, tiang 144 selesai, odp 35 belum progres, 8/4 Penarikan kabel 24 (10300 selesai, ku12(2143 selesai), odc 144 belum progres, tiang 144 selesai, odp 35 belum progres, 6/4 Penarikan kabel 24 (10300 sisa 1950, ku12(2143 belum progres, odc 144 belum progres, tiang 144 sisa 18, odp 35 belum progres, 5/4 Penarikan kabel 24 (10300 sisa 2700, ku12(2143 belum progres, odc 144 belum progres, tiang 144 sisa 18, odp 35 belum progres, 1/4 Penarikan kabel 24 (10300 sisa 2700, ku12(2143 belum progres, odc 144 belum progres, tiang 144 sisa 18, odp 35 belum progres, 31/3 Penarikan kabel 24 (10300 sisa 5300, ku12(2143 belum progres, odc 144 belum progres, tiang 144 sisa 49, odp 35 belum progres, 30/3 Penarikan kabel 24 (10300 sisa 6300, ku12(2143 belum progrea, odc 144 belum progrea, tiang 144 sisa 49, odp 35 bunga progres, 27/3 Penarikan kabel 24 (10300 sisa 6300, ku12(2143 belum progrea, odc 144 belum progrea, tiang 144 sisa 119, odp 35 bunga progres, 22/3 penarikan kabel 24 (10300 sisa 8600), ku 12 (2143 belum progres, odc 144 belum progres, odp 35 belum progres, tiang 144 belum progres,  18/3 penarikan kabel 24 (10300 sisa 8600), ku 12 (2143 belum progres, odc 144 belum progres, odp 35 belum progres, tiang 144 belum progres, 16/3 proses tanam tiang 114 batang , odc belum progres, ku 12 (2143) belum progres, ku24 (10.300) belum progres,  13/3 prepair tim untuk pengambilan material plan tgl 14 maret,  11/3 prepair tim untuk pengambilan material plan tgl 14 maret, 10/3 prepair team untuk pengambilan matrial, 6/3 prepair team untuk pengambilan matrial, , 5/3 hari ini sudah input material ke alista, 4/3 proses req matrial,  3/3 meeting ED1-ED-RSBU-TA1: drop cpp tinggi 2/3  cpp tinggi 1,4,   27/2 cpp tinggi 1,4,  25/2 cpp tinggi 1,4,  24/2 cpp tinggi 1,4, 23/2 Butuh perijinan PU Nasional 80 btg, 20/2 Butuh perijinan PU Nasional 80 btg, 19/2 prepair team untuk pengurusan ijin ke desa ,   18/2 prepair team untuk pengurusan ijin ke desa ,  16/2 prepair team untuk pengurusan ijin ke desa ,  12/2 prepair team untuk pengurusan ijin ke desa , 11/2 prepair team untuk pengurusan ijin ke desa ,  10/2 prepair team untuk pengurusan ijin ke desa ,  9/2 prepair team untuk pengurusan ijin ke desa 6/2 prepair team untuk pengurusan ijin ke desa,  5/2 prepair team untuk pengurusan ijin ke desa,  4/2 prepair team untuk pengurusan ijin ke desa,  3/2 prepair team untuk pengurusan ijin ke desa, 2/2 prepair team untuk pengurusan ijin ke desa, 1/2 prepair team untuk pengurusan ijin ke desa, 30/1 prepair team untuk pengurusan ijin ke desa, 28/1 prepair team untuk pengurusan ijin ke desa, 27/1 plan besok 28/1 team kelokasi untuk progres perizinan ke desa, 26/1 proses  pembuatan berkas ijin ke desa, 23/1 menunggu boq kml survey 22/1 prepair team untuk survey ulang hasil redesign,  21/1 prepair team untuk survey ulang hasil redesign, 20/1 prepair team untuk survey ulang hasil redesign, 19/1 plan survey ulang redesign, ,15/1 proses survey dilapangan, 14/01 plan survey tanggal 16/01, 13/01 plan survey tanggal 16/01, (08/01) Kendala feeder LBY-FL FULL, proses eval hasil aanwijziing, plan aanwijziing , plan selesai annwijziing  ,aanwijziing HI 19 sept, peralihan mitra krna mitra lama tdk menyanggupi pekerjaan (07/01) Persiapan</v>
      </c>
      <c r="R1820" s="228">
        <f>IFERROR(__xludf.DUMMYFUNCTION("""COMPUTED_VALUE"""),46138.0)</f>
        <v>46138</v>
      </c>
      <c r="S1820" s="11" t="str">
        <f>IFERROR(__xludf.DUMMYFUNCTION("""COMPUTED_VALUE"""),"APR")</f>
        <v>APR</v>
      </c>
      <c r="T1820" s="73"/>
      <c r="U1820" s="11" t="str">
        <f>IFERROR(__xludf.DUMMYFUNCTION("""COMPUTED_VALUE"""),"W03-1616/2025")</f>
        <v>W03-1616/2025</v>
      </c>
      <c r="V1820" s="229"/>
      <c r="W1820" s="229" t="str">
        <f>IFERROR(__xludf.DUMMYFUNCTION("""COMPUTED_VALUE"""),"#N/A")</f>
        <v>#N/A</v>
      </c>
      <c r="X1820" s="229" t="str">
        <f>IFERROR(__xludf.DUMMYFUNCTION("""COMPUTED_VALUE"""),"BELUM GOLIVE")</f>
        <v>BELUM GOLIVE</v>
      </c>
      <c r="Y1820" s="229"/>
      <c r="Z1820" s="229" t="str">
        <f>IFERROR(__xludf.DUMMYFUNCTION("""COMPUTED_VALUE"""),"#N/A")</f>
        <v>#N/A</v>
      </c>
      <c r="AA1820" s="229"/>
      <c r="AB1820" s="229"/>
      <c r="AC1820" s="229"/>
      <c r="AD1820" s="232"/>
      <c r="AE1820" s="233"/>
      <c r="AF1820" s="54"/>
      <c r="AG1820" s="54"/>
      <c r="AH1820" s="54">
        <v>46131.0</v>
      </c>
      <c r="AI1820" s="55" t="str">
        <f t="shared" si="183"/>
        <v/>
      </c>
      <c r="AW1820" s="234"/>
      <c r="BP1820" s="11"/>
      <c r="BQ1820" s="11"/>
      <c r="BR1820" s="235"/>
      <c r="BV1820" s="158"/>
      <c r="BY1820" s="158"/>
      <c r="CB1820" s="158"/>
    </row>
    <row r="1821" ht="18.0" customHeight="1">
      <c r="A1821" s="222">
        <f>IFERROR(__xludf.DUMMYFUNCTION("""COMPUTED_VALUE"""),2026.0)</f>
        <v>2026</v>
      </c>
      <c r="B1821" s="221">
        <f>IFERROR(__xludf.DUMMYFUNCTION("""COMPUTED_VALUE"""),1.1852732E7)</f>
        <v>11852732</v>
      </c>
      <c r="C1821" s="222" t="str">
        <f>IFERROR(__xludf.DUMMYFUNCTION("""COMPUTED_VALUE"""),"SMB LBY PT3-250_-363_2382")</f>
        <v>SMB LBY PT3-250_-363_2382</v>
      </c>
      <c r="D1821" s="222" t="str">
        <f>IFERROR(__xludf.DUMMYFUNCTION("""COMPUTED_VALUE"""),"REGIONAL I")</f>
        <v>REGIONAL I</v>
      </c>
      <c r="E1821" s="222" t="str">
        <f>IFERROR(__xludf.DUMMYFUNCTION("""COMPUTED_VALUE"""),"SUMBAR")</f>
        <v>SUMBAR</v>
      </c>
      <c r="F1821" s="222" t="str">
        <f>IFERROR(__xludf.DUMMYFUNCTION("""COMPUTED_VALUE"""),"LBY")</f>
        <v>LBY</v>
      </c>
      <c r="G1821" s="222" t="str">
        <f>IFERROR(__xludf.DUMMYFUNCTION("""COMPUTED_VALUE"""),"SUMBAGTENG")</f>
        <v>SUMBAGTENG</v>
      </c>
      <c r="H1821" s="222" t="str">
        <f>IFERROR(__xludf.DUMMYFUNCTION("""COMPUTED_VALUE"""),"PADANG")</f>
        <v>PADANG</v>
      </c>
      <c r="I1821" s="222" t="str">
        <f>IFERROR(__xludf.DUMMYFUNCTION("""COMPUTED_VALUE"""),"Batch 2")</f>
        <v>Batch 2</v>
      </c>
      <c r="J1821" s="225">
        <f>IFERROR(__xludf.DUMMYFUNCTION("""COMPUTED_VALUE"""),1.0)</f>
        <v>1</v>
      </c>
      <c r="K1821" s="224">
        <f>IFERROR(__xludf.DUMMYFUNCTION("""COMPUTED_VALUE"""),8.0)</f>
        <v>8</v>
      </c>
      <c r="L1821" s="226">
        <f>IFERROR(__xludf.DUMMYFUNCTION("""COMPUTED_VALUE"""),382171.0)</f>
        <v>382171</v>
      </c>
      <c r="M1821" s="227">
        <f>IFERROR(__xludf.DUMMYFUNCTION("""COMPUTED_VALUE"""),3057364.0)</f>
        <v>3057364</v>
      </c>
      <c r="N1821" s="222" t="str">
        <f>IFERROR(__xludf.DUMMYFUNCTION("""COMPUTED_VALUE"""),"PT TRI LESMA INDONESIA")</f>
        <v>PT TRI LESMA INDONESIA</v>
      </c>
      <c r="O1821" s="222" t="str">
        <f>IFERROR(__xludf.DUMMYFUNCTION("""COMPUTED_VALUE"""),"0. DROP")</f>
        <v>0. DROP</v>
      </c>
      <c r="P1821" s="222" t="str">
        <f>IFERROR(__xludf.DUMMYFUNCTION("""COMPUTED_VALUE"""),"0.3 Feeder Full")</f>
        <v>0.3 Feeder Full</v>
      </c>
      <c r="Q1821" s="222" t="str">
        <f>IFERROR(__xludf.DUMMYFUNCTION("""COMPUTED_VALUE"""),"(27/01) Kendala feeder LBY-FL FULL")</f>
        <v>(27/01) Kendala feeder LBY-FL FULL</v>
      </c>
      <c r="R1821" s="228"/>
      <c r="S1821" s="11"/>
      <c r="T1821" s="11"/>
      <c r="U1821" s="11"/>
      <c r="V1821" s="229"/>
      <c r="W1821" s="229"/>
      <c r="X1821" s="229" t="str">
        <f>IFERROR(__xludf.DUMMYFUNCTION("""COMPUTED_VALUE"""),"BELUM GOLIVE")</f>
        <v>BELUM GOLIVE</v>
      </c>
      <c r="Y1821" s="229"/>
      <c r="Z1821" s="229" t="str">
        <f>IFERROR(__xludf.DUMMYFUNCTION("""COMPUTED_VALUE"""),"#N/A")</f>
        <v>#N/A</v>
      </c>
      <c r="AA1821" s="229"/>
      <c r="AB1821" s="229"/>
      <c r="AC1821" s="229"/>
      <c r="AD1821" s="232"/>
      <c r="AE1821" s="233"/>
      <c r="AF1821" s="54" t="str">
        <f>IFERROR(__xludf.DUMMYFUNCTION("""COMPUTED_VALUE"""),"Draft BA DROP")</f>
        <v>Draft BA DROP</v>
      </c>
      <c r="AG1821" s="54"/>
      <c r="AH1821" s="54"/>
      <c r="AI1821" s="55" t="str">
        <f t="shared" si="183"/>
        <v/>
      </c>
      <c r="AW1821" s="234"/>
      <c r="BP1821" s="11"/>
      <c r="BQ1821" s="11"/>
      <c r="BR1821" s="235"/>
      <c r="BV1821" s="158"/>
      <c r="BY1821" s="158"/>
      <c r="CB1821" s="158"/>
    </row>
    <row r="1822" ht="18.0" customHeight="1">
      <c r="A1822" s="222">
        <f>IFERROR(__xludf.DUMMYFUNCTION("""COMPUTED_VALUE"""),2026.0)</f>
        <v>2026</v>
      </c>
      <c r="B1822" s="221">
        <f>IFERROR(__xludf.DUMMYFUNCTION("""COMPUTED_VALUE"""),1.2062743E7)</f>
        <v>12062743</v>
      </c>
      <c r="C1822" s="222" t="str">
        <f>IFERROR(__xludf.DUMMYFUNCTION("""COMPUTED_VALUE"""),"SMB Nasya Residence 2 Durian Tarung")</f>
        <v>SMB Nasya Residence 2 Durian Tarung</v>
      </c>
      <c r="D1822" s="222" t="str">
        <f>IFERROR(__xludf.DUMMYFUNCTION("""COMPUTED_VALUE"""),"REGIONAL I")</f>
        <v>REGIONAL I</v>
      </c>
      <c r="E1822" s="222" t="str">
        <f>IFERROR(__xludf.DUMMYFUNCTION("""COMPUTED_VALUE"""),"SUMBAR")</f>
        <v>SUMBAR</v>
      </c>
      <c r="F1822" s="222" t="str">
        <f>IFERROR(__xludf.DUMMYFUNCTION("""COMPUTED_VALUE"""),"BDT")</f>
        <v>BDT</v>
      </c>
      <c r="G1822" s="222" t="str">
        <f>IFERROR(__xludf.DUMMYFUNCTION("""COMPUTED_VALUE"""),"SUMBAGTENG")</f>
        <v>SUMBAGTENG</v>
      </c>
      <c r="H1822" s="222" t="str">
        <f>IFERROR(__xludf.DUMMYFUNCTION("""COMPUTED_VALUE"""),"PADANG")</f>
        <v>PADANG</v>
      </c>
      <c r="I1822" s="222" t="str">
        <f>IFERROR(__xludf.DUMMYFUNCTION("""COMPUTED_VALUE"""),"Batch 2")</f>
        <v>Batch 2</v>
      </c>
      <c r="J1822" s="225">
        <f>IFERROR(__xludf.DUMMYFUNCTION("""COMPUTED_VALUE"""),3.0)</f>
        <v>3</v>
      </c>
      <c r="K1822" s="224">
        <f>IFERROR(__xludf.DUMMYFUNCTION("""COMPUTED_VALUE"""),24.0)</f>
        <v>24</v>
      </c>
      <c r="L1822" s="226">
        <f>IFERROR(__xludf.DUMMYFUNCTION("""COMPUTED_VALUE"""),381641.0)</f>
        <v>381641</v>
      </c>
      <c r="M1822" s="227">
        <f>IFERROR(__xludf.DUMMYFUNCTION("""COMPUTED_VALUE"""),9159373.0)</f>
        <v>9159373</v>
      </c>
      <c r="N1822" s="222" t="str">
        <f>IFERROR(__xludf.DUMMYFUNCTION("""COMPUTED_VALUE"""),"PT TRI PENAMAS")</f>
        <v>PT TRI PENAMAS</v>
      </c>
      <c r="O1822" s="222" t="str">
        <f>IFERROR(__xludf.DUMMYFUNCTION("""COMPUTED_VALUE"""),"0. DROP")</f>
        <v>0. DROP</v>
      </c>
      <c r="P1822" s="222" t="str">
        <f>IFERROR(__xludf.DUMMYFUNCTION("""COMPUTED_VALUE"""),"0.3 Feeder Full")</f>
        <v>0.3 Feeder Full</v>
      </c>
      <c r="Q1822" s="222" t="str">
        <f>IFERROR(__xludf.DUMMYFUNCTION("""COMPUTED_VALUE"""),"(26/01) kendala feeder BDT-FA full  ")</f>
        <v>(26/01) kendala feeder BDT-FA full  </v>
      </c>
      <c r="R1822" s="228"/>
      <c r="S1822" s="11"/>
      <c r="T1822" s="11"/>
      <c r="U1822" s="11"/>
      <c r="V1822" s="229"/>
      <c r="W1822" s="229"/>
      <c r="X1822" s="229" t="str">
        <f>IFERROR(__xludf.DUMMYFUNCTION("""COMPUTED_VALUE"""),"BELUM GOLIVE")</f>
        <v>BELUM GOLIVE</v>
      </c>
      <c r="Y1822" s="229"/>
      <c r="Z1822" s="229" t="str">
        <f>IFERROR(__xludf.DUMMYFUNCTION("""COMPUTED_VALUE"""),"#N/A")</f>
        <v>#N/A</v>
      </c>
      <c r="AA1822" s="229"/>
      <c r="AB1822" s="229"/>
      <c r="AC1822" s="229"/>
      <c r="AD1822" s="232"/>
      <c r="AE1822" s="233"/>
      <c r="AF1822" s="54" t="str">
        <f>IFERROR(__xludf.DUMMYFUNCTION("""COMPUTED_VALUE"""),"Draft BA DROP")</f>
        <v>Draft BA DROP</v>
      </c>
      <c r="AG1822" s="54"/>
      <c r="AH1822" s="54"/>
      <c r="AI1822" s="55" t="str">
        <f t="shared" si="183"/>
        <v/>
      </c>
      <c r="AW1822" s="234"/>
      <c r="BP1822" s="11"/>
      <c r="BQ1822" s="11"/>
      <c r="BR1822" s="235"/>
      <c r="BV1822" s="158"/>
      <c r="BY1822" s="158"/>
      <c r="CB1822" s="158"/>
    </row>
    <row r="1823" ht="18.0" hidden="1" customHeight="1">
      <c r="A1823" s="222">
        <f>IFERROR(__xludf.DUMMYFUNCTION("""COMPUTED_VALUE"""),2026.0)</f>
        <v>2026</v>
      </c>
      <c r="B1823" s="221">
        <f>IFERROR(__xludf.DUMMYFUNCTION("""COMPUTED_VALUE"""),1.1922916E7)</f>
        <v>11922916</v>
      </c>
      <c r="C1823" s="222" t="str">
        <f>IFERROR(__xludf.DUMMYFUNCTION("""COMPUTED_VALUE"""),"SMU PT3 KPI-FAL D01 CLUST LABUSEL_9502")</f>
        <v>SMU PT3 KPI-FAL D01 CLUST LABUSEL_9502</v>
      </c>
      <c r="D1823" s="222" t="str">
        <f>IFERROR(__xludf.DUMMYFUNCTION("""COMPUTED_VALUE"""),"REGIONAL I")</f>
        <v>REGIONAL I</v>
      </c>
      <c r="E1823" s="222" t="str">
        <f>IFERROR(__xludf.DUMMYFUNCTION("""COMPUTED_VALUE"""),"SUMUT")</f>
        <v>SUMUT</v>
      </c>
      <c r="F1823" s="222" t="str">
        <f>IFERROR(__xludf.DUMMYFUNCTION("""COMPUTED_VALUE"""),"KPI")</f>
        <v>KPI</v>
      </c>
      <c r="G1823" s="222" t="str">
        <f>IFERROR(__xludf.DUMMYFUNCTION("""COMPUTED_VALUE"""),"SUMBAGUT")</f>
        <v>SUMBAGUT</v>
      </c>
      <c r="H1823" s="222" t="str">
        <f>IFERROR(__xludf.DUMMYFUNCTION("""COMPUTED_VALUE"""),"RANTAU PRAPAT")</f>
        <v>RANTAU PRAPAT</v>
      </c>
      <c r="I1823" s="222" t="str">
        <f>IFERROR(__xludf.DUMMYFUNCTION("""COMPUTED_VALUE"""),"Batch 2")</f>
        <v>Batch 2</v>
      </c>
      <c r="J1823" s="225">
        <f>IFERROR(__xludf.DUMMYFUNCTION("""COMPUTED_VALUE"""),5.0)</f>
        <v>5</v>
      </c>
      <c r="K1823" s="224">
        <f>IFERROR(__xludf.DUMMYFUNCTION("""COMPUTED_VALUE"""),40.0)</f>
        <v>40</v>
      </c>
      <c r="L1823" s="226">
        <f>IFERROR(__xludf.DUMMYFUNCTION("""COMPUTED_VALUE"""),1434149.0)</f>
        <v>1434149</v>
      </c>
      <c r="M1823" s="227">
        <f>IFERROR(__xludf.DUMMYFUNCTION("""COMPUTED_VALUE"""),5.7365926E7)</f>
        <v>57365926</v>
      </c>
      <c r="N1823" s="222" t="str">
        <f>IFERROR(__xludf.DUMMYFUNCTION("""COMPUTED_VALUE"""),"PT FIBERHOME TECHNOLOGIES INDONESIA")</f>
        <v>PT FIBERHOME TECHNOLOGIES INDONESIA</v>
      </c>
      <c r="O1823" s="222" t="str">
        <f>IFERROR(__xludf.DUMMYFUNCTION("""COMPUTED_VALUE"""),"7. GOLIVE")</f>
        <v>7. GOLIVE</v>
      </c>
      <c r="P1823" s="222" t="str">
        <f>IFERROR(__xludf.DUMMYFUNCTION("""COMPUTED_VALUE"""),"7.2 Golive Full / OA / DONE OTB")</f>
        <v>7.2 Golive Full / OA / DONE OTB</v>
      </c>
      <c r="Q1823" s="222" t="str">
        <f>IFERROR(__xludf.DUMMYFUNCTION("""COMPUTED_VALUE"""),"GOLIVE 11/3 validasi sdi, 9/3 terminasi 4 odp sisa 1 odp masih proses pencarian tipus, ku 12 (1370 selesai, tiang 1 selesai, 5/3 terminasi 4 odp sisa 1 odp masih proses pencarian tipus, ku 12 (1370 selesai, tiang 1 selesai, 4/3 terminasi 4 odp sisa 1 odp "&amp;"masih proses pencarian tipus, ku 12 (1370 selesai, tiang 1 selesai, 3/3 sisa terminasi 5 odp, ku 12 (1370 selesai, tiang 1 selesai, 2/3 sisa terminasi 5 odp, ku 12 (1370 selesai, tiang 1 selesai, 25/2 sisa instal 5 odp, ku 12 (1370 selesai, tiang 1 selesa"&amp;"i,  22/2 instal tiang dan penarikan kabel, 20/2 plan delivery besok 21 feb,19/2 proses req matrial mitra, 18/2 menunggu approv regional mengenai kendala prelim dan cpp, 13/2 menunggu approv regional mengenai kendala prelim dan cpp, 13/2 menunggu approv re"&amp;"ginal mengenai kendala prelim dan cpp, 12/2 proses request material, 11/2 proses request material, 10/2 proses request material,  9/2 proses req material, 6/2 menunggu revisi boq kml survey dan kebutuhan qe distribusi, 5/2 menunggu revisi boq kml survey d"&amp;"an kebutuhan qe distribusi, 3/2 menunggu revisi boq kml survey dan kebutuhan qe distribusi, 2/2 menunggu revisi boq kml survey dan kebutuhan qe distribusi, 1/2 menunggu revisi boq kml survey dan kebutuhan qe distribusi, 30/1 menunggu revisi boq kml survey"&amp;" dan kebutuhan qe distribusi, 28/1 menunggu revisi boq kml survey dan kebutuhan qe distribusi, 27/1 menunggu revisi boq kml survey dan kebutuhan qe distribusi, 26/1 menunggu boq kml survey dan kebutuhan qe distribusi, 23/1 menuggu boq kml incloude kebutua"&amp;"hn qe, 22/1 menuggu boq kml incloude kebutuahn qe, 21/1 menuggu boq kml incloude kebutuahn qe, 20/1 plan survey 23/1 , 19/1 plan survey 23/1 ,  15/1 plan survey 23/1 ,  13/1 menunggu info kelanjutan mitra, (07/01) Persiapan")</f>
        <v>GOLIVE 11/3 validasi sdi, 9/3 terminasi 4 odp sisa 1 odp masih proses pencarian tipus, ku 12 (1370 selesai, tiang 1 selesai, 5/3 terminasi 4 odp sisa 1 odp masih proses pencarian tipus, ku 12 (1370 selesai, tiang 1 selesai, 4/3 terminasi 4 odp sisa 1 odp masih proses pencarian tipus, ku 12 (1370 selesai, tiang 1 selesai, 3/3 sisa terminasi 5 odp, ku 12 (1370 selesai, tiang 1 selesai, 2/3 sisa terminasi 5 odp, ku 12 (1370 selesai, tiang 1 selesai, 25/2 sisa instal 5 odp, ku 12 (1370 selesai, tiang 1 selesai,  22/2 instal tiang dan penarikan kabel, 20/2 plan delivery besok 21 feb,19/2 proses req matrial mitra, 18/2 menunggu approv regional mengenai kendala prelim dan cpp, 13/2 menunggu approv regional mengenai kendala prelim dan cpp, 13/2 menunggu approv reginal mengenai kendala prelim dan cpp, 12/2 proses request material, 11/2 proses request material, 10/2 proses request material,  9/2 proses req material, 6/2 menunggu revisi boq kml survey dan kebutuhan qe distribusi, 5/2 menunggu revisi boq kml survey dan kebutuhan qe distribusi, 3/2 menunggu revisi boq kml survey dan kebutuhan qe distribusi, 2/2 menunggu revisi boq kml survey dan kebutuhan qe distribusi, 1/2 menunggu revisi boq kml survey dan kebutuhan qe distribusi, 30/1 menunggu revisi boq kml survey dan kebutuhan qe distribusi, 28/1 menunggu revisi boq kml survey dan kebutuhan qe distribusi, 27/1 menunggu revisi boq kml survey dan kebutuhan qe distribusi, 26/1 menunggu boq kml survey dan kebutuhan qe distribusi, 23/1 menuggu boq kml incloude kebutuahn qe, 22/1 menuggu boq kml incloude kebutuahn qe, 21/1 menuggu boq kml incloude kebutuahn qe, 20/1 plan survey 23/1 , 19/1 plan survey 23/1 ,  15/1 plan survey 23/1 ,  13/1 menunggu info kelanjutan mitra, (07/01) Persiapan</v>
      </c>
      <c r="R1823" s="228">
        <f>IFERROR(__xludf.DUMMYFUNCTION("""COMPUTED_VALUE"""),46091.0)</f>
        <v>46091</v>
      </c>
      <c r="S1823" s="11" t="str">
        <f>IFERROR(__xludf.DUMMYFUNCTION("""COMPUTED_VALUE"""),"MAR")</f>
        <v>MAR</v>
      </c>
      <c r="T1823" s="11"/>
      <c r="U1823" s="11" t="str">
        <f>IFERROR(__xludf.DUMMYFUNCTION("""COMPUTED_VALUE"""),"W03-1624/2025")</f>
        <v>W03-1624/2025</v>
      </c>
      <c r="V1823" s="229"/>
      <c r="W1823" s="229"/>
      <c r="X1823" s="229" t="str">
        <f>IFERROR(__xludf.DUMMYFUNCTION("""COMPUTED_VALUE"""),"GOLIVE")</f>
        <v>GOLIVE</v>
      </c>
      <c r="Y1823" s="229" t="str">
        <f>IFERROR(__xludf.DUMMYFUNCTION("""COMPUTED_VALUE"""),"DONE")</f>
        <v>DONE</v>
      </c>
      <c r="Z1823" s="229" t="str">
        <f>IFERROR(__xludf.DUMMYFUNCTION("""COMPUTED_VALUE"""),"#N/A")</f>
        <v>#N/A</v>
      </c>
      <c r="AA1823" s="229">
        <f>IFERROR(__xludf.DUMMYFUNCTION("""COMPUTED_VALUE"""),5.0)</f>
        <v>5</v>
      </c>
      <c r="AB1823" s="229"/>
      <c r="AC1823" s="229" t="str">
        <f>IFERROR(__xludf.DUMMYFUNCTION("""COMPUTED_VALUE"""),"9200572#9200577")</f>
        <v>9200572#9200577</v>
      </c>
      <c r="AD1823" s="232">
        <f>IFERROR(__xludf.DUMMYFUNCTION("""COMPUTED_VALUE"""),40.0)</f>
        <v>40</v>
      </c>
      <c r="AE1823" s="233">
        <f>IFERROR(__xludf.DUMMYFUNCTION("""COMPUTED_VALUE"""),46092.0)</f>
        <v>46092</v>
      </c>
      <c r="AF1823" s="54"/>
      <c r="AG1823" s="54"/>
      <c r="AH1823" s="54">
        <v>46091.0</v>
      </c>
      <c r="AI1823" s="55">
        <f t="shared" si="183"/>
        <v>-1</v>
      </c>
      <c r="AW1823" s="234"/>
      <c r="BP1823" s="11"/>
      <c r="BQ1823" s="11"/>
      <c r="BR1823" s="235"/>
      <c r="BV1823" s="158"/>
      <c r="BY1823" s="158"/>
      <c r="CB1823" s="158"/>
    </row>
    <row r="1824" ht="18.0" hidden="1" customHeight="1">
      <c r="A1824" s="222">
        <f>IFERROR(__xludf.DUMMYFUNCTION("""COMPUTED_VALUE"""),2026.0)</f>
        <v>2026</v>
      </c>
      <c r="B1824" s="221">
        <f>IFERROR(__xludf.DUMMYFUNCTION("""COMPUTED_VALUE"""),1.123759E7)</f>
        <v>11237590</v>
      </c>
      <c r="C1824" s="222" t="str">
        <f>IFERROR(__xludf.DUMMYFUNCTION("""COMPUTED_VALUE"""),"MDN PT3 P7I13 LBP-FT JL.PUTRA DENAI")</f>
        <v>MDN PT3 P7I13 LBP-FT JL.PUTRA DENAI</v>
      </c>
      <c r="D1824" s="222" t="str">
        <f>IFERROR(__xludf.DUMMYFUNCTION("""COMPUTED_VALUE"""),"REGIONAL I")</f>
        <v>REGIONAL I</v>
      </c>
      <c r="E1824" s="222" t="str">
        <f>IFERROR(__xludf.DUMMYFUNCTION("""COMPUTED_VALUE"""),"MEDAN")</f>
        <v>MEDAN</v>
      </c>
      <c r="F1824" s="222" t="str">
        <f>IFERROR(__xludf.DUMMYFUNCTION("""COMPUTED_VALUE"""),"LBP")</f>
        <v>LBP</v>
      </c>
      <c r="G1824" s="222" t="str">
        <f>IFERROR(__xludf.DUMMYFUNCTION("""COMPUTED_VALUE"""),"SUMBAGUT")</f>
        <v>SUMBAGUT</v>
      </c>
      <c r="H1824" s="222" t="str">
        <f>IFERROR(__xludf.DUMMYFUNCTION("""COMPUTED_VALUE"""),"MEDAN")</f>
        <v>MEDAN</v>
      </c>
      <c r="I1824" s="222" t="str">
        <f>IFERROR(__xludf.DUMMYFUNCTION("""COMPUTED_VALUE"""),"Batch 2")</f>
        <v>Batch 2</v>
      </c>
      <c r="J1824" s="225">
        <f>IFERROR(__xludf.DUMMYFUNCTION("""COMPUTED_VALUE"""),12.0)</f>
        <v>12</v>
      </c>
      <c r="K1824" s="224">
        <f>IFERROR(__xludf.DUMMYFUNCTION("""COMPUTED_VALUE"""),96.0)</f>
        <v>96</v>
      </c>
      <c r="L1824" s="226">
        <f>IFERROR(__xludf.DUMMYFUNCTION("""COMPUTED_VALUE"""),1714534.0)</f>
        <v>1714534</v>
      </c>
      <c r="M1824" s="227">
        <f>IFERROR(__xludf.DUMMYFUNCTION("""COMPUTED_VALUE"""),1.64595203E8)</f>
        <v>164595203</v>
      </c>
      <c r="N1824" s="222" t="str">
        <f>IFERROR(__xludf.DUMMYFUNCTION("""COMPUTED_VALUE"""),"PT BONGKAR SEJATI ANDALAN")</f>
        <v>PT BONGKAR SEJATI ANDALAN</v>
      </c>
      <c r="O1824" s="222" t="str">
        <f>IFERROR(__xludf.DUMMYFUNCTION("""COMPUTED_VALUE"""),"7. GOLIVE")</f>
        <v>7. GOLIVE</v>
      </c>
      <c r="P1824" s="222" t="str">
        <f>IFERROR(__xludf.DUMMYFUNCTION("""COMPUTED_VALUE"""),"7.2 Golive Full / OA / DONE OTB")</f>
        <v>7.2 Golive Full / OA / DONE OTB</v>
      </c>
      <c r="Q1824" s="222" t="str">
        <f>IFERROR(__xludf.DUMMYFUNCTION("""COMPUTED_VALUE"""),"23/02 pengecekan abd mancore
21/02 proses repair tilen LBP-FU to LBP-FT
(07/01) Persiapan")</f>
        <v>23/02 pengecekan abd mancore
21/02 proses repair tilen LBP-FU to LBP-FT
(07/01) Persiapan</v>
      </c>
      <c r="R1824" s="228">
        <f>IFERROR(__xludf.DUMMYFUNCTION("""COMPUTED_VALUE"""),46072.0)</f>
        <v>46072</v>
      </c>
      <c r="S1824" s="11"/>
      <c r="T1824" s="11"/>
      <c r="U1824" s="11" t="str">
        <f>IFERROR(__xludf.DUMMYFUNCTION("""COMPUTED_VALUE"""),"W01-1757/2025")</f>
        <v>W01-1757/2025</v>
      </c>
      <c r="V1824" s="229"/>
      <c r="W1824" s="229"/>
      <c r="X1824" s="229" t="str">
        <f>IFERROR(__xludf.DUMMYFUNCTION("""COMPUTED_VALUE"""),"GOLIVE")</f>
        <v>GOLIVE</v>
      </c>
      <c r="Y1824" s="229" t="str">
        <f>IFERROR(__xludf.DUMMYFUNCTION("""COMPUTED_VALUE"""),"DONE")</f>
        <v>DONE</v>
      </c>
      <c r="Z1824" s="229" t="str">
        <f>IFERROR(__xludf.DUMMYFUNCTION("""COMPUTED_VALUE"""),"#N/A")</f>
        <v>#N/A</v>
      </c>
      <c r="AA1824" s="229">
        <f>IFERROR(__xludf.DUMMYFUNCTION("""COMPUTED_VALUE"""),12.0)</f>
        <v>12</v>
      </c>
      <c r="AB1824" s="229"/>
      <c r="AC1824" s="229" t="str">
        <f>IFERROR(__xludf.DUMMYFUNCTION("""COMPUTED_VALUE"""),"9140391#9140396")</f>
        <v>9140391#9140396</v>
      </c>
      <c r="AD1824" s="232">
        <f>IFERROR(__xludf.DUMMYFUNCTION("""COMPUTED_VALUE"""),96.0)</f>
        <v>96</v>
      </c>
      <c r="AE1824" s="233">
        <f>IFERROR(__xludf.DUMMYFUNCTION("""COMPUTED_VALUE"""),46077.0)</f>
        <v>46077</v>
      </c>
      <c r="AF1824" s="54"/>
      <c r="AG1824" s="54"/>
      <c r="AH1824" s="54">
        <v>46072.0</v>
      </c>
      <c r="AI1824" s="55">
        <f t="shared" si="183"/>
        <v>-5</v>
      </c>
      <c r="AW1824" s="234"/>
      <c r="BP1824" s="11"/>
      <c r="BQ1824" s="11"/>
      <c r="BR1824" s="235"/>
      <c r="BV1824" s="158"/>
      <c r="BY1824" s="158"/>
      <c r="CB1824" s="158"/>
    </row>
    <row r="1825" ht="18.0" customHeight="1">
      <c r="A1825" s="222">
        <f>IFERROR(__xludf.DUMMYFUNCTION("""COMPUTED_VALUE"""),2026.0)</f>
        <v>2026</v>
      </c>
      <c r="B1825" s="221">
        <f>IFERROR(__xludf.DUMMYFUNCTION("""COMPUTED_VALUE"""),1.088671E7)</f>
        <v>10886710</v>
      </c>
      <c r="C1825" s="222" t="str">
        <f>IFERROR(__xludf.DUMMYFUNCTION("""COMPUTED_VALUE"""),"SMB P7I2 REQ APC FIRDAUS PARK PDJ ODP PEDESTAL")</f>
        <v>SMB P7I2 REQ APC FIRDAUS PARK PDJ ODP PEDESTAL</v>
      </c>
      <c r="D1825" s="222" t="str">
        <f>IFERROR(__xludf.DUMMYFUNCTION("""COMPUTED_VALUE"""),"REGIONAL I")</f>
        <v>REGIONAL I</v>
      </c>
      <c r="E1825" s="222" t="str">
        <f>IFERROR(__xludf.DUMMYFUNCTION("""COMPUTED_VALUE"""),"SUMBAR")</f>
        <v>SUMBAR</v>
      </c>
      <c r="F1825" s="222" t="str">
        <f>IFERROR(__xludf.DUMMYFUNCTION("""COMPUTED_VALUE"""),"PPJ")</f>
        <v>PPJ</v>
      </c>
      <c r="G1825" s="222" t="str">
        <f>IFERROR(__xludf.DUMMYFUNCTION("""COMPUTED_VALUE"""),"SUMBAGTENG")</f>
        <v>SUMBAGTENG</v>
      </c>
      <c r="H1825" s="222" t="str">
        <f>IFERROR(__xludf.DUMMYFUNCTION("""COMPUTED_VALUE"""),"BUKIT TINGGI")</f>
        <v>BUKIT TINGGI</v>
      </c>
      <c r="I1825" s="222" t="str">
        <f>IFERROR(__xludf.DUMMYFUNCTION("""COMPUTED_VALUE"""),"Batch 2")</f>
        <v>Batch 2</v>
      </c>
      <c r="J1825" s="225">
        <f>IFERROR(__xludf.DUMMYFUNCTION("""COMPUTED_VALUE"""),3.0)</f>
        <v>3</v>
      </c>
      <c r="K1825" s="224">
        <f>IFERROR(__xludf.DUMMYFUNCTION("""COMPUTED_VALUE"""),24.0)</f>
        <v>24</v>
      </c>
      <c r="L1825" s="226">
        <f>IFERROR(__xludf.DUMMYFUNCTION("""COMPUTED_VALUE"""),379340.0)</f>
        <v>379340</v>
      </c>
      <c r="M1825" s="227">
        <f>IFERROR(__xludf.DUMMYFUNCTION("""COMPUTED_VALUE"""),9104148.0)</f>
        <v>9104148</v>
      </c>
      <c r="N1825" s="222" t="str">
        <f>IFERROR(__xludf.DUMMYFUNCTION("""COMPUTED_VALUE"""),"PT RATRI PRIMA MANDIRI")</f>
        <v>PT RATRI PRIMA MANDIRI</v>
      </c>
      <c r="O1825" s="222" t="str">
        <f>IFERROR(__xludf.DUMMYFUNCTION("""COMPUTED_VALUE"""),"0. DROP")</f>
        <v>0. DROP</v>
      </c>
      <c r="P1825" s="222" t="str">
        <f>IFERROR(__xludf.DUMMYFUNCTION("""COMPUTED_VALUE"""),"0.2 Tidak Dapat Izin Warga/Kades/Lurah/Developer")</f>
        <v>0.2 Tidak Dapat Izin Warga/Kades/Lurah/Developer</v>
      </c>
      <c r="Q1825" s="222" t="str">
        <f>IFERROR(__xludf.DUMMYFUNCTION("""COMPUTED_VALUE"""),"(05/03) menunggu perumahan selesai  10/03   (02/03) proses aanwijziing (26/01) DROP, permintaan tsel (tidak potensial) ")</f>
        <v>(05/03) menunggu perumahan selesai  10/03   (02/03) proses aanwijziing (26/01) DROP, permintaan tsel (tidak potensial) </v>
      </c>
      <c r="R1825" s="228"/>
      <c r="S1825" s="11"/>
      <c r="T1825" s="11"/>
      <c r="U1825" s="11"/>
      <c r="V1825" s="229" t="str">
        <f>IFERROR(__xludf.DUMMYFUNCTION("""COMPUTED_VALUE"""),"M. ARIF HAMADI")</f>
        <v>M. ARIF HAMADI</v>
      </c>
      <c r="W1825" s="229" t="str">
        <f>IFERROR(__xludf.DUMMYFUNCTION("""COMPUTED_VALUE"""),"MELKO NARWADI")</f>
        <v>MELKO NARWADI</v>
      </c>
      <c r="X1825" s="229" t="str">
        <f>IFERROR(__xludf.DUMMYFUNCTION("""COMPUTED_VALUE"""),"BELUM GOLIVE")</f>
        <v>BELUM GOLIVE</v>
      </c>
      <c r="Y1825" s="229"/>
      <c r="Z1825" s="229" t="str">
        <f>IFERROR(__xludf.DUMMYFUNCTION("""COMPUTED_VALUE"""),"#N/A")</f>
        <v>#N/A</v>
      </c>
      <c r="AA1825" s="229"/>
      <c r="AB1825" s="229"/>
      <c r="AC1825" s="229"/>
      <c r="AD1825" s="232"/>
      <c r="AE1825" s="233"/>
      <c r="AF1825" s="54"/>
      <c r="AG1825" s="54"/>
      <c r="AH1825" s="54"/>
      <c r="AI1825" s="55" t="str">
        <f t="shared" si="183"/>
        <v/>
      </c>
      <c r="AW1825" s="234"/>
      <c r="BP1825" s="11"/>
      <c r="BQ1825" s="11"/>
      <c r="BR1825" s="235"/>
      <c r="BV1825" s="158"/>
      <c r="BY1825" s="158"/>
      <c r="CB1825" s="158"/>
    </row>
    <row r="1826" ht="18.0" customHeight="1">
      <c r="A1826" s="222">
        <f>IFERROR(__xludf.DUMMYFUNCTION("""COMPUTED_VALUE"""),2026.0)</f>
        <v>2026</v>
      </c>
      <c r="B1826" s="221">
        <f>IFERROR(__xludf.DUMMYFUNCTION("""COMPUTED_VALUE"""),1.1891589E7)</f>
        <v>11891589</v>
      </c>
      <c r="C1826" s="222" t="str">
        <f>IFERROR(__xludf.DUMMYFUNCTION("""COMPUTED_VALUE"""),"RDR JPP PT4 DESA SUNGAI BULUH 2")</f>
        <v>RDR JPP PT4 DESA SUNGAI BULUH 2</v>
      </c>
      <c r="D1826" s="222" t="str">
        <f>IFERROR(__xludf.DUMMYFUNCTION("""COMPUTED_VALUE"""),"REGIONAL I")</f>
        <v>REGIONAL I</v>
      </c>
      <c r="E1826" s="222" t="str">
        <f>IFERROR(__xludf.DUMMYFUNCTION("""COMPUTED_VALUE"""),"RIDAR")</f>
        <v>RIDAR</v>
      </c>
      <c r="F1826" s="222" t="str">
        <f>IFERROR(__xludf.DUMMYFUNCTION("""COMPUTED_VALUE"""),"TAK")</f>
        <v>TAK</v>
      </c>
      <c r="G1826" s="222" t="str">
        <f>IFERROR(__xludf.DUMMYFUNCTION("""COMPUTED_VALUE"""),"SUMBAGTENG")</f>
        <v>SUMBAGTENG</v>
      </c>
      <c r="H1826" s="222" t="str">
        <f>IFERROR(__xludf.DUMMYFUNCTION("""COMPUTED_VALUE"""),"DUMAI")</f>
        <v>DUMAI</v>
      </c>
      <c r="I1826" s="222" t="str">
        <f>IFERROR(__xludf.DUMMYFUNCTION("""COMPUTED_VALUE"""),"Batch 2")</f>
        <v>Batch 2</v>
      </c>
      <c r="J1826" s="225">
        <f>IFERROR(__xludf.DUMMYFUNCTION("""COMPUTED_VALUE"""),62.0)</f>
        <v>62</v>
      </c>
      <c r="K1826" s="224">
        <f>IFERROR(__xludf.DUMMYFUNCTION("""COMPUTED_VALUE"""),488.0)</f>
        <v>488</v>
      </c>
      <c r="L1826" s="226">
        <f>IFERROR(__xludf.DUMMYFUNCTION("""COMPUTED_VALUE"""),1435365.0)</f>
        <v>1435365</v>
      </c>
      <c r="M1826" s="227">
        <f>IFERROR(__xludf.DUMMYFUNCTION("""COMPUTED_VALUE"""),7.00457698E8)</f>
        <v>700457698</v>
      </c>
      <c r="N1826" s="222" t="str">
        <f>IFERROR(__xludf.DUMMYFUNCTION("""COMPUTED_VALUE"""),"PT SAMUDERA PUTRA KENCANA")</f>
        <v>PT SAMUDERA PUTRA KENCANA</v>
      </c>
      <c r="O1826" s="222" t="str">
        <f>IFERROR(__xludf.DUMMYFUNCTION("""COMPUTED_VALUE"""),"0. DROP")</f>
        <v>0. DROP</v>
      </c>
      <c r="P1826" s="222" t="str">
        <f>IFERROR(__xludf.DUMMYFUNCTION("""COMPUTED_VALUE"""),"0.2 Tidak Dapat Izin Warga/Kades/Lurah/Developer")</f>
        <v>0.2 Tidak Dapat Izin Warga/Kades/Lurah/Developer</v>
      </c>
      <c r="Q1826" s="222" t="str">
        <f>IFERROR(__xludf.DUMMYFUNCTION("""COMPUTED_VALUE"""),"20/01 Comcase kepala desa, tidak mengizinkan penanaman tiang (07/01) Persiapan")</f>
        <v>20/01 Comcase kepala desa, tidak mengizinkan penanaman tiang (07/01) Persiapan</v>
      </c>
      <c r="R1826" s="228"/>
      <c r="S1826" s="11"/>
      <c r="T1826" s="11"/>
      <c r="U1826" s="11"/>
      <c r="V1826" s="229" t="str">
        <f>IFERROR(__xludf.DUMMYFUNCTION("""COMPUTED_VALUE"""),"TEGUH IMAM PERDANA")</f>
        <v>TEGUH IMAM PERDANA</v>
      </c>
      <c r="W1826" s="229" t="str">
        <f>IFERROR(__xludf.DUMMYFUNCTION("""COMPUTED_VALUE"""),"DESLITA RAHMADANI")</f>
        <v>DESLITA RAHMADANI</v>
      </c>
      <c r="X1826" s="229" t="str">
        <f>IFERROR(__xludf.DUMMYFUNCTION("""COMPUTED_VALUE"""),"BELUM GOLIVE")</f>
        <v>BELUM GOLIVE</v>
      </c>
      <c r="Y1826" s="229"/>
      <c r="Z1826" s="229"/>
      <c r="AA1826" s="229"/>
      <c r="AB1826" s="229"/>
      <c r="AC1826" s="229"/>
      <c r="AD1826" s="232"/>
      <c r="AE1826" s="233"/>
      <c r="AF1826" s="54" t="str">
        <f>IFERROR(__xludf.DUMMYFUNCTION("""COMPUTED_VALUE"""),"Draft BA DROP")</f>
        <v>Draft BA DROP</v>
      </c>
      <c r="AG1826" s="54"/>
      <c r="AH1826" s="54"/>
      <c r="AI1826" s="55" t="str">
        <f t="shared" si="183"/>
        <v/>
      </c>
      <c r="AW1826" s="234"/>
      <c r="BP1826" s="11"/>
      <c r="BQ1826" s="11"/>
      <c r="BR1826" s="235"/>
      <c r="BV1826" s="158"/>
      <c r="BY1826" s="158"/>
      <c r="CB1826" s="158"/>
    </row>
    <row r="1827" ht="18.0" hidden="1" customHeight="1">
      <c r="A1827" s="222">
        <f>IFERROR(__xludf.DUMMYFUNCTION("""COMPUTED_VALUE"""),2026.0)</f>
        <v>2026</v>
      </c>
      <c r="B1827" s="221">
        <f>IFERROR(__xludf.DUMMYFUNCTION("""COMPUTED_VALUE"""),1.2036776E7)</f>
        <v>12036776</v>
      </c>
      <c r="C1827" s="222" t="str">
        <f>IFERROR(__xludf.DUMMYFUNCTION("""COMPUTED_VALUE"""),"SMU PT3 ANP-FAT CLUST LABURA_27251")</f>
        <v>SMU PT3 ANP-FAT CLUST LABURA_27251</v>
      </c>
      <c r="D1827" s="222" t="str">
        <f>IFERROR(__xludf.DUMMYFUNCTION("""COMPUTED_VALUE"""),"REGIONAL I")</f>
        <v>REGIONAL I</v>
      </c>
      <c r="E1827" s="222" t="str">
        <f>IFERROR(__xludf.DUMMYFUNCTION("""COMPUTED_VALUE"""),"SUMUT")</f>
        <v>SUMUT</v>
      </c>
      <c r="F1827" s="222" t="str">
        <f>IFERROR(__xludf.DUMMYFUNCTION("""COMPUTED_VALUE"""),"ANP")</f>
        <v>ANP</v>
      </c>
      <c r="G1827" s="222" t="str">
        <f>IFERROR(__xludf.DUMMYFUNCTION("""COMPUTED_VALUE"""),"SUMBAGUT")</f>
        <v>SUMBAGUT</v>
      </c>
      <c r="H1827" s="222" t="str">
        <f>IFERROR(__xludf.DUMMYFUNCTION("""COMPUTED_VALUE"""),"RANTAU PRAPAT")</f>
        <v>RANTAU PRAPAT</v>
      </c>
      <c r="I1827" s="222" t="str">
        <f>IFERROR(__xludf.DUMMYFUNCTION("""COMPUTED_VALUE"""),"Batch 2")</f>
        <v>Batch 2</v>
      </c>
      <c r="J1827" s="225">
        <f>IFERROR(__xludf.DUMMYFUNCTION("""COMPUTED_VALUE"""),3.0)</f>
        <v>3</v>
      </c>
      <c r="K1827" s="224">
        <f>IFERROR(__xludf.DUMMYFUNCTION("""COMPUTED_VALUE"""),24.0)</f>
        <v>24</v>
      </c>
      <c r="L1827" s="226">
        <f>IFERROR(__xludf.DUMMYFUNCTION("""COMPUTED_VALUE"""),584600.0)</f>
        <v>584600</v>
      </c>
      <c r="M1827" s="227">
        <f>IFERROR(__xludf.DUMMYFUNCTION("""COMPUTED_VALUE"""),1.403038E7)</f>
        <v>14030380</v>
      </c>
      <c r="N1827" s="222" t="str">
        <f>IFERROR(__xludf.DUMMYFUNCTION("""COMPUTED_VALUE"""),"PT MITRA AKSES INSANI")</f>
        <v>PT MITRA AKSES INSANI</v>
      </c>
      <c r="O1827" s="222" t="str">
        <f>IFERROR(__xludf.DUMMYFUNCTION("""COMPUTED_VALUE"""),"5. INSTALASI")</f>
        <v>5. INSTALASI</v>
      </c>
      <c r="P1827" s="222" t="str">
        <f>IFERROR(__xludf.DUMMYFUNCTION("""COMPUTED_VALUE"""),"5.9 Proses Pemasangan/Terminasi ODP/OTB")</f>
        <v>5.9 Proses Pemasangan/Terminasi ODP/OTB</v>
      </c>
      <c r="Q1827" s="222" t="str">
        <f>IFERROR(__xludf.DUMMYFUNCTION("""COMPUTED_VALUE"""),"27/4 tim partial di lop anr fah,  23/4 tim partial di lop anr fah, 22/4 team partial di lop anr fah, sisa instal 3 odp,  21/4 team partial di lop anr fah, sisa instal 3 odp, 20/4 team partial di lop anr fah, sisa instal 3 odp, 14/4 team partial di lop anr"&amp;" fah, sisa instal 3 odp, 13/4 team partial di lop anr fah, sisa instal 3 odp,  9/4 team partial di lop anr fah, sisa instal 3 odp, 6/4 team hari ini gerak ke lokasi untuk lanjut progres instal 3 odp, 5/4 prepair tim untuk lanjut instal dan terminasi 3 odp"&amp;", 1/4 prepair tim untuk lanjut instal dan terminasi 3 odp, 31/3 prepair team untuk lanjut instal dan terminasi 3 odp, 27/3 prepair team untuk lanjut instal dan terminasi 3 odp, 26/3 prepair team untuk lanjut instal dan terminasi 3 odp,  22/3 prepair team "&amp;"untuk lanjut instal dan terminasi 3 odp, 18/3 plan  instal dan terminasi 3 odp setelah team selesai dari lop sidorukun, 
16/3 plan  instal dan terminasi 3 odp 18 maret, 13/3 sisa instal dan terminasi 3 odp,  11/3 sisa instal dan terminasi 3 odp, 10/3 pena"&amp;"rikan ku 12(250 selesai), tanam tiang (5 btg selesai) odp 3 blm ada progres, 9/3 plan tanam tiang, 6/3 prepair team untuk delivery matrial dari wh ke site,  5/3 prepair team untuk delivery matrial dari wh ke site, 4/3 prepair team untuk delivery matrial d"&amp;"ari wh ke site, 3/3 prepair team untuk delivery matrial dari wh ke site, 2/3 prepair team untuk delivery matrial dari wh ke site, 25/2 prepair team untuk delivery matrial dari wh ke site, 20/2 plan ambil matrial 24 feb, 19/2 prepair tim serial di lop anr "&amp;"fa, m18/2 prepair tim serial di lop anr fa, 16/2 prepair tim partial di lop anr fa, 13/2 prepair tim partial di lop anr fa, 22/3 prepair team untuk lanjut terminasi 3 odp, 12/2 prepair pengiriman matrial dari wh ke site,  11/2 prepair pengiriman matrial d"&amp;"ari wh ke site, 10/2 prepair pengiriman matrial dari wh ke site, 9/2 menunggu report survey dan otdr paralel boq kml survey, 6/2 proses input matrial, 5/2 proses req matrial, , 3/2 proses req matrial, , 2/2 boq sudah submit sisa menunggu hasil otdr core e"&amp;"xis,  1/2 boq sudah submit sisa menunggu hasil otdr core exis, 30/1 boq sudah submit sisa menunggu hasil otdr core exis,  28/1 boq sudah submit sisa menunggu hasil otdr core exis,  27/1 boq sudah submit sisa menunggu hasil otdr core exis, 26/1 boq sudah s"&amp;"ubmit sisa menunggu hasil otdr core exis, 23/1 menunggu boq kml hasil survey, 22/1 menunggu boq kml hasil survey, 21/1 menunggu report hasil survey paralel boq kml survey, 20/1 menunggu report hasil survey paralel boq kml survey, 19/1 plan survey 20/1,  1"&amp;"5/1 plan survey 20/1, 14/1 plan survey tanggal 19/1, 13/1 menunggu info kelanjutan dari mitra est besok 14/1, (07/01) Persiapan")</f>
        <v>27/4 tim partial di lop anr fah,  23/4 tim partial di lop anr fah, 22/4 team partial di lop anr fah, sisa instal 3 odp,  21/4 team partial di lop anr fah, sisa instal 3 odp, 20/4 team partial di lop anr fah, sisa instal 3 odp, 14/4 team partial di lop anr fah, sisa instal 3 odp, 13/4 team partial di lop anr fah, sisa instal 3 odp,  9/4 team partial di lop anr fah, sisa instal 3 odp, 6/4 team hari ini gerak ke lokasi untuk lanjut progres instal 3 odp, 5/4 prepair tim untuk lanjut instal dan terminasi 3 odp, 1/4 prepair tim untuk lanjut instal dan terminasi 3 odp, 31/3 prepair team untuk lanjut instal dan terminasi 3 odp, 27/3 prepair team untuk lanjut instal dan terminasi 3 odp, 26/3 prepair team untuk lanjut instal dan terminasi 3 odp,  22/3 prepair team untuk lanjut instal dan terminasi 3 odp, 18/3 plan  instal dan terminasi 3 odp setelah team selesai dari lop sidorukun, 
16/3 plan  instal dan terminasi 3 odp 18 maret, 13/3 sisa instal dan terminasi 3 odp,  11/3 sisa instal dan terminasi 3 odp, 10/3 penarikan ku 12(250 selesai), tanam tiang (5 btg selesai) odp 3 blm ada progres, 9/3 plan tanam tiang, 6/3 prepair team untuk delivery matrial dari wh ke site,  5/3 prepair team untuk delivery matrial dari wh ke site, 4/3 prepair team untuk delivery matrial dari wh ke site, 3/3 prepair team untuk delivery matrial dari wh ke site, 2/3 prepair team untuk delivery matrial dari wh ke site, 25/2 prepair team untuk delivery matrial dari wh ke site, 20/2 plan ambil matrial 24 feb, 19/2 prepair tim serial di lop anr fa, m18/2 prepair tim serial di lop anr fa, 16/2 prepair tim partial di lop anr fa, 13/2 prepair tim partial di lop anr fa, 22/3 prepair team untuk lanjut terminasi 3 odp, 12/2 prepair pengiriman matrial dari wh ke site,  11/2 prepair pengiriman matrial dari wh ke site, 10/2 prepair pengiriman matrial dari wh ke site, 9/2 menunggu report survey dan otdr paralel boq kml survey, 6/2 proses input matrial, 5/2 proses req matrial, , 3/2 proses req matrial, , 2/2 boq sudah submit sisa menunggu hasil otdr core exis,  1/2 boq sudah submit sisa menunggu hasil otdr core exis, 30/1 boq sudah submit sisa menunggu hasil otdr core exis,  28/1 boq sudah submit sisa menunggu hasil otdr core exis,  27/1 boq sudah submit sisa menunggu hasil otdr core exis, 26/1 boq sudah submit sisa menunggu hasil otdr core exis, 23/1 menunggu boq kml hasil survey, 22/1 menunggu boq kml hasil survey, 21/1 menunggu report hasil survey paralel boq kml survey, 20/1 menunggu report hasil survey paralel boq kml survey, 19/1 plan survey 20/1,  15/1 plan survey 20/1, 14/1 plan survey tanggal 19/1, 13/1 menunggu info kelanjutan dari mitra est besok 14/1, (07/01) Persiapan</v>
      </c>
      <c r="R1827" s="228">
        <f>IFERROR(__xludf.DUMMYFUNCTION("""COMPUTED_VALUE"""),46138.0)</f>
        <v>46138</v>
      </c>
      <c r="S1827" s="11" t="str">
        <f>IFERROR(__xludf.DUMMYFUNCTION("""COMPUTED_VALUE"""),"APR")</f>
        <v>APR</v>
      </c>
      <c r="T1827" s="73"/>
      <c r="U1827" s="11" t="str">
        <f>IFERROR(__xludf.DUMMYFUNCTION("""COMPUTED_VALUE"""),"TIF-2858/2026")</f>
        <v>TIF-2858/2026</v>
      </c>
      <c r="V1827" s="229"/>
      <c r="W1827" s="229" t="str">
        <f>IFERROR(__xludf.DUMMYFUNCTION("""COMPUTED_VALUE"""),"#N/A")</f>
        <v>#N/A</v>
      </c>
      <c r="X1827" s="229" t="str">
        <f>IFERROR(__xludf.DUMMYFUNCTION("""COMPUTED_VALUE"""),"BELUM GOLIVE")</f>
        <v>BELUM GOLIVE</v>
      </c>
      <c r="Y1827" s="229"/>
      <c r="Z1827" s="229" t="str">
        <f>IFERROR(__xludf.DUMMYFUNCTION("""COMPUTED_VALUE"""),"#N/A")</f>
        <v>#N/A</v>
      </c>
      <c r="AA1827" s="229"/>
      <c r="AB1827" s="229"/>
      <c r="AC1827" s="229"/>
      <c r="AD1827" s="232"/>
      <c r="AE1827" s="233"/>
      <c r="AF1827" s="54"/>
      <c r="AG1827" s="54"/>
      <c r="AH1827" s="54">
        <v>46131.0</v>
      </c>
      <c r="AI1827" s="55" t="str">
        <f t="shared" si="183"/>
        <v/>
      </c>
      <c r="AW1827" s="234"/>
      <c r="BP1827" s="11"/>
      <c r="BQ1827" s="11"/>
      <c r="BR1827" s="235"/>
      <c r="BV1827" s="158"/>
      <c r="BY1827" s="158"/>
      <c r="CB1827" s="158"/>
    </row>
    <row r="1828" ht="18.0" hidden="1" customHeight="1">
      <c r="A1828" s="222">
        <f>IFERROR(__xludf.DUMMYFUNCTION("""COMPUTED_VALUE"""),2026.0)</f>
        <v>2026</v>
      </c>
      <c r="B1828" s="221">
        <f>IFERROR(__xludf.DUMMYFUNCTION("""COMPUTED_VALUE"""),1.2385875E7)</f>
        <v>12385875</v>
      </c>
      <c r="C1828" s="222" t="str">
        <f>IFERROR(__xludf.DUMMYFUNCTION("""COMPUTED_VALUE"""),"ACH PT3 SGI-FN PULO RAYA")</f>
        <v>ACH PT3 SGI-FN PULO RAYA</v>
      </c>
      <c r="D1828" s="222" t="str">
        <f>IFERROR(__xludf.DUMMYFUNCTION("""COMPUTED_VALUE"""),"REGIONAL I")</f>
        <v>REGIONAL I</v>
      </c>
      <c r="E1828" s="222" t="str">
        <f>IFERROR(__xludf.DUMMYFUNCTION("""COMPUTED_VALUE"""),"ACEH")</f>
        <v>ACEH</v>
      </c>
      <c r="F1828" s="222" t="str">
        <f>IFERROR(__xludf.DUMMYFUNCTION("""COMPUTED_VALUE"""),"SGI")</f>
        <v>SGI</v>
      </c>
      <c r="G1828" s="222" t="str">
        <f>IFERROR(__xludf.DUMMYFUNCTION("""COMPUTED_VALUE"""),"SUMBAGUT")</f>
        <v>SUMBAGUT</v>
      </c>
      <c r="H1828" s="222" t="str">
        <f>IFERROR(__xludf.DUMMYFUNCTION("""COMPUTED_VALUE"""),"BANDA ACEH")</f>
        <v>BANDA ACEH</v>
      </c>
      <c r="I1828" s="222" t="str">
        <f>IFERROR(__xludf.DUMMYFUNCTION("""COMPUTED_VALUE"""),"Batch 2")</f>
        <v>Batch 2</v>
      </c>
      <c r="J1828" s="225">
        <f>IFERROR(__xludf.DUMMYFUNCTION("""COMPUTED_VALUE"""),9.0)</f>
        <v>9</v>
      </c>
      <c r="K1828" s="224">
        <f>IFERROR(__xludf.DUMMYFUNCTION("""COMPUTED_VALUE"""),72.0)</f>
        <v>72</v>
      </c>
      <c r="L1828" s="226">
        <f>IFERROR(__xludf.DUMMYFUNCTION("""COMPUTED_VALUE"""),378677.0)</f>
        <v>378677</v>
      </c>
      <c r="M1828" s="227">
        <f>IFERROR(__xludf.DUMMYFUNCTION("""COMPUTED_VALUE"""),2.7264705E7)</f>
        <v>27264705</v>
      </c>
      <c r="N1828" s="222" t="str">
        <f>IFERROR(__xludf.DUMMYFUNCTION("""COMPUTED_VALUE"""),"PT TRIPOLA PANATA")</f>
        <v>PT TRIPOLA PANATA</v>
      </c>
      <c r="O1828" s="222" t="str">
        <f>IFERROR(__xludf.DUMMYFUNCTION("""COMPUTED_VALUE"""),"7. GOLIVE")</f>
        <v>7. GOLIVE</v>
      </c>
      <c r="P1828" s="222" t="str">
        <f>IFERROR(__xludf.DUMMYFUNCTION("""COMPUTED_VALUE"""),"7.2 Golive Full / OA / DONE OTB")</f>
        <v>7.2 Golive Full / OA / DONE OTB</v>
      </c>
      <c r="Q1828" s="222" t="str">
        <f>IFERROR(__xludf.DUMMYFUNCTION("""COMPUTED_VALUE"""),"(03/03) PO Material (11/02)mapping material (07/01) Persiapan")</f>
        <v>(03/03) PO Material (11/02)mapping material (07/01) Persiapan</v>
      </c>
      <c r="R1828" s="228">
        <f>IFERROR(__xludf.DUMMYFUNCTION("""COMPUTED_VALUE"""),46112.0)</f>
        <v>46112</v>
      </c>
      <c r="S1828" s="11" t="str">
        <f>IFERROR(__xludf.DUMMYFUNCTION("""COMPUTED_VALUE"""),"MAR")</f>
        <v>MAR</v>
      </c>
      <c r="T1828" s="11"/>
      <c r="U1828" s="11"/>
      <c r="V1828" s="229"/>
      <c r="W1828" s="229"/>
      <c r="X1828" s="229" t="str">
        <f>IFERROR(__xludf.DUMMYFUNCTION("""COMPUTED_VALUE"""),"GOLIVE")</f>
        <v>GOLIVE</v>
      </c>
      <c r="Y1828" s="229" t="str">
        <f>IFERROR(__xludf.DUMMYFUNCTION("""COMPUTED_VALUE"""),"DONE")</f>
        <v>DONE</v>
      </c>
      <c r="Z1828" s="229" t="str">
        <f>IFERROR(__xludf.DUMMYFUNCTION("""COMPUTED_VALUE"""),"#N/A")</f>
        <v>#N/A</v>
      </c>
      <c r="AA1828" s="229">
        <f>IFERROR(__xludf.DUMMYFUNCTION("""COMPUTED_VALUE"""),9.0)</f>
        <v>9</v>
      </c>
      <c r="AB1828" s="229"/>
      <c r="AC1828" s="229" t="str">
        <f>IFERROR(__xludf.DUMMYFUNCTION("""COMPUTED_VALUE"""),"9225763#9225768")</f>
        <v>9225763#9225768</v>
      </c>
      <c r="AD1828" s="232">
        <f>IFERROR(__xludf.DUMMYFUNCTION("""COMPUTED_VALUE"""),72.0)</f>
        <v>72</v>
      </c>
      <c r="AE1828" s="233">
        <f>IFERROR(__xludf.DUMMYFUNCTION("""COMPUTED_VALUE"""),46109.0)</f>
        <v>46109</v>
      </c>
      <c r="AF1828" s="54"/>
      <c r="AG1828" s="54"/>
      <c r="AH1828" s="54">
        <v>46112.0</v>
      </c>
      <c r="AI1828" s="55">
        <f t="shared" si="183"/>
        <v>3</v>
      </c>
      <c r="AW1828" s="234"/>
      <c r="BP1828" s="11"/>
      <c r="BQ1828" s="11"/>
      <c r="BR1828" s="235"/>
      <c r="BV1828" s="158"/>
      <c r="BY1828" s="158"/>
      <c r="CB1828" s="158"/>
    </row>
    <row r="1829" ht="18.0" hidden="1" customHeight="1">
      <c r="A1829" s="222">
        <f>IFERROR(__xludf.DUMMYFUNCTION("""COMPUTED_VALUE"""),2026.0)</f>
        <v>2026</v>
      </c>
      <c r="B1829" s="221">
        <f>IFERROR(__xludf.DUMMYFUNCTION("""COMPUTED_VALUE"""),1.1970718E7)</f>
        <v>11970718</v>
      </c>
      <c r="C1829" s="222" t="str">
        <f>IFERROR(__xludf.DUMMYFUNCTION("""COMPUTED_VALUE"""),"SMU NGB-FAB CLUST LABUHANBATU_150571")</f>
        <v>SMU NGB-FAB CLUST LABUHANBATU_150571</v>
      </c>
      <c r="D1829" s="222" t="str">
        <f>IFERROR(__xludf.DUMMYFUNCTION("""COMPUTED_VALUE"""),"REGIONAL I")</f>
        <v>REGIONAL I</v>
      </c>
      <c r="E1829" s="222" t="str">
        <f>IFERROR(__xludf.DUMMYFUNCTION("""COMPUTED_VALUE"""),"SUMUT")</f>
        <v>SUMUT</v>
      </c>
      <c r="F1829" s="222" t="str">
        <f>IFERROR(__xludf.DUMMYFUNCTION("""COMPUTED_VALUE"""),"NGB")</f>
        <v>NGB</v>
      </c>
      <c r="G1829" s="222" t="str">
        <f>IFERROR(__xludf.DUMMYFUNCTION("""COMPUTED_VALUE"""),"SUMBAGUT")</f>
        <v>SUMBAGUT</v>
      </c>
      <c r="H1829" s="222" t="str">
        <f>IFERROR(__xludf.DUMMYFUNCTION("""COMPUTED_VALUE"""),"RANTAU PRAPAT")</f>
        <v>RANTAU PRAPAT</v>
      </c>
      <c r="I1829" s="222" t="str">
        <f>IFERROR(__xludf.DUMMYFUNCTION("""COMPUTED_VALUE"""),"Batch 2")</f>
        <v>Batch 2</v>
      </c>
      <c r="J1829" s="225">
        <f>IFERROR(__xludf.DUMMYFUNCTION("""COMPUTED_VALUE"""),4.0)</f>
        <v>4</v>
      </c>
      <c r="K1829" s="224">
        <f>IFERROR(__xludf.DUMMYFUNCTION("""COMPUTED_VALUE"""),32.0)</f>
        <v>32</v>
      </c>
      <c r="L1829" s="226">
        <f>IFERROR(__xludf.DUMMYFUNCTION("""COMPUTED_VALUE"""),656717.0)</f>
        <v>656717</v>
      </c>
      <c r="M1829" s="227">
        <f>IFERROR(__xludf.DUMMYFUNCTION("""COMPUTED_VALUE"""),2.1014918E7)</f>
        <v>21014918</v>
      </c>
      <c r="N1829" s="222" t="str">
        <f>IFERROR(__xludf.DUMMYFUNCTION("""COMPUTED_VALUE"""),"PT UPAYA TEKNIK")</f>
        <v>PT UPAYA TEKNIK</v>
      </c>
      <c r="O1829" s="222" t="str">
        <f>IFERROR(__xludf.DUMMYFUNCTION("""COMPUTED_VALUE"""),"7. GOLIVE")</f>
        <v>7. GOLIVE</v>
      </c>
      <c r="P1829" s="222" t="str">
        <f>IFERROR(__xludf.DUMMYFUNCTION("""COMPUTED_VALUE"""),"7.2 Golive Full / OA / DONE OTB")</f>
        <v>7.2 Golive Full / OA / DONE OTB</v>
      </c>
      <c r="Q1829" s="222" t="str">
        <f>IFERROR(__xludf.DUMMYFUNCTION("""COMPUTED_VALUE"""),"16/3 validasi sdi, 13/3 plan bsk lanjut untuk terminasi 3 odp, 12/3 penarikan KU 12 (1500 selesai), odp 3 blm ada progres, , 11/3 hari ini team proses delivery matrial dari wh ke site, 10/3 prepair tim untuk pengambilan material, 6/3 menunggu req material"&amp;", 5/3 plan pengurangan 1 odp dari plan 4 odp, proses boq kml survey, 4/3 plan pengurangan 1 odp dari plan 4 odp, proses boq kml survey, 3/3 plan pengurangan 1 odp dari plan 4 odp, proses boq kml survey,  2/3 mitra tidak bersedia untuk progres repair qe , "&amp;"menunggu boq kml survey incloude kebutuhan qe , 27/2 mitra tidak bersedia untuk progres repair qe , menunggu boq kml survey incloude kebutuhan qe ,   25/2 mitra tidak bersedia untuk progres repair qe , menunggu boq kml survey incloude kebutuhan qe ,  24/2"&amp;" mitra tidak bersedia untuk progres repair qe , menunggu boq kml survey incloude kebutuhan qe , 23/2 mitra tidak bersedia untuk progres repair qe , menunggu boq kml survey incloude kebutuhan qe , 20/2 menunggu boq kml survey incloude kebutuhan qe est subm"&amp;"it senin 23 feb, 19/2 menunggu boq kml survey incloude kebutuhan qe,18/2 menunggu boq kml survey incloude kebutuhan qe 16/2 menunggu boq kml survey incloude kebutuhan qe, 13/2 plan survey 15 feb est submit boq kml 16 feb, 12/2 plan survey est paling lamba"&amp;"t 13 feb, 11/2 plan survey est paling lambat 13 feb,  10/2 plan survey est paling lambat 13 feb,  9/2 plan survey est paling lambat 13 feb, 6/2 team hari ini menuju lokasi untuk survey est selesai 7 feb, 5/2 prepair team untuk survey kelokasi  est 13 feb,"&amp;" 3/2 prepair team untuk survey kelokasi  ( mitra balik kanan dikarnakan kendaraan rusak tidak bisa melintasi jalan rusak), 2/2 prepair team untuk survey kelokasi  ( mitra balik kanan dikarnakan kendaraan rusak tidak bisa melintasi jalan rusak), 1/2 prepai"&amp;"r team untuk survey kelokasi  ( mitra balik kanan dikarnakan kendaraan rusak tidak bisa melintasi jalan rusak),  30/1 prepair team untuk survey kelokasi  ( mitra balik kanan dikarnakan kendaraan rusak tidak bisa melintasi jalan rusak),  28/1 prepair team "&amp;"untuk survey kelokasi  ( mitra balik kanan dikarnakan kendaraan rusak tidak bisa melintasi jalan rusak), 27/1 prepair team untuk survey kelokasi  ( mitra balik kanan dikarnakan kendaraan rusak tidak bisa melintasi jalan rusak), 26/1 prepair team untuk sur"&amp;"vey kelokasi  ( mitra balik kanan dikarnakan kendaraan rusak tidak bisa melintasi jalan rusak), 23/1 ogp survey, 22/1 plan survey 23/1 , 21/1 plan survey 22/1, 20/1 plan survey 22/1, 19/1 plan survey  22/1,  15/1 plan survey  22/1, 13/1 menunggu info kela"&amp;"njutan mitra, (07/01) Persiapan")</f>
        <v>16/3 validasi sdi, 13/3 plan bsk lanjut untuk terminasi 3 odp, 12/3 penarikan KU 12 (1500 selesai), odp 3 blm ada progres, , 11/3 hari ini team proses delivery matrial dari wh ke site, 10/3 prepair tim untuk pengambilan material, 6/3 menunggu req material, 5/3 plan pengurangan 1 odp dari plan 4 odp, proses boq kml survey, 4/3 plan pengurangan 1 odp dari plan 4 odp, proses boq kml survey, 3/3 plan pengurangan 1 odp dari plan 4 odp, proses boq kml survey,  2/3 mitra tidak bersedia untuk progres repair qe , menunggu boq kml survey incloude kebutuhan qe , 27/2 mitra tidak bersedia untuk progres repair qe , menunggu boq kml survey incloude kebutuhan qe ,   25/2 mitra tidak bersedia untuk progres repair qe , menunggu boq kml survey incloude kebutuhan qe ,  24/2 mitra tidak bersedia untuk progres repair qe , menunggu boq kml survey incloude kebutuhan qe , 23/2 mitra tidak bersedia untuk progres repair qe , menunggu boq kml survey incloude kebutuhan qe , 20/2 menunggu boq kml survey incloude kebutuhan qe est submit senin 23 feb, 19/2 menunggu boq kml survey incloude kebutuhan qe,18/2 menunggu boq kml survey incloude kebutuhan qe 16/2 menunggu boq kml survey incloude kebutuhan qe, 13/2 plan survey 15 feb est submit boq kml 16 feb, 12/2 plan survey est paling lambat 13 feb, 11/2 plan survey est paling lambat 13 feb,  10/2 plan survey est paling lambat 13 feb,  9/2 plan survey est paling lambat 13 feb, 6/2 team hari ini menuju lokasi untuk survey est selesai 7 feb, 5/2 prepair team untuk survey kelokasi  est 13 feb, 3/2 prepair team untuk survey kelokasi  ( mitra balik kanan dikarnakan kendaraan rusak tidak bisa melintasi jalan rusak), 2/2 prepair team untuk survey kelokasi  ( mitra balik kanan dikarnakan kendaraan rusak tidak bisa melintasi jalan rusak), 1/2 prepair team untuk survey kelokasi  ( mitra balik kanan dikarnakan kendaraan rusak tidak bisa melintasi jalan rusak),  30/1 prepair team untuk survey kelokasi  ( mitra balik kanan dikarnakan kendaraan rusak tidak bisa melintasi jalan rusak),  28/1 prepair team untuk survey kelokasi  ( mitra balik kanan dikarnakan kendaraan rusak tidak bisa melintasi jalan rusak), 27/1 prepair team untuk survey kelokasi  ( mitra balik kanan dikarnakan kendaraan rusak tidak bisa melintasi jalan rusak), 26/1 prepair team untuk survey kelokasi  ( mitra balik kanan dikarnakan kendaraan rusak tidak bisa melintasi jalan rusak), 23/1 ogp survey, 22/1 plan survey 23/1 , 21/1 plan survey 22/1, 20/1 plan survey 22/1, 19/1 plan survey  22/1,  15/1 plan survey  22/1, 13/1 menunggu info kelanjutan mitra, (07/01) Persiapan</v>
      </c>
      <c r="R1829" s="228">
        <f>IFERROR(__xludf.DUMMYFUNCTION("""COMPUTED_VALUE"""),46097.0)</f>
        <v>46097</v>
      </c>
      <c r="S1829" s="11" t="str">
        <f>IFERROR(__xludf.DUMMYFUNCTION("""COMPUTED_VALUE"""),"MAR")</f>
        <v>MAR</v>
      </c>
      <c r="T1829" s="11"/>
      <c r="U1829" s="11" t="str">
        <f>IFERROR(__xludf.DUMMYFUNCTION("""COMPUTED_VALUE"""),"TIF-1388/2026")</f>
        <v>TIF-1388/2026</v>
      </c>
      <c r="V1829" s="229"/>
      <c r="W1829" s="229"/>
      <c r="X1829" s="229" t="str">
        <f>IFERROR(__xludf.DUMMYFUNCTION("""COMPUTED_VALUE"""),"GOLIVE")</f>
        <v>GOLIVE</v>
      </c>
      <c r="Y1829" s="229" t="str">
        <f>IFERROR(__xludf.DUMMYFUNCTION("""COMPUTED_VALUE"""),"DONE")</f>
        <v>DONE</v>
      </c>
      <c r="Z1829" s="229" t="str">
        <f>IFERROR(__xludf.DUMMYFUNCTION("""COMPUTED_VALUE"""),"#N/A")</f>
        <v>#N/A</v>
      </c>
      <c r="AA1829" s="229">
        <f>IFERROR(__xludf.DUMMYFUNCTION("""COMPUTED_VALUE"""),3.0)</f>
        <v>3</v>
      </c>
      <c r="AB1829" s="229"/>
      <c r="AC1829" s="229" t="str">
        <f>IFERROR(__xludf.DUMMYFUNCTION("""COMPUTED_VALUE"""),"9211036#9211041")</f>
        <v>9211036#9211041</v>
      </c>
      <c r="AD1829" s="232">
        <f>IFERROR(__xludf.DUMMYFUNCTION("""COMPUTED_VALUE"""),24.0)</f>
        <v>24</v>
      </c>
      <c r="AE1829" s="233">
        <f>IFERROR(__xludf.DUMMYFUNCTION("""COMPUTED_VALUE"""),46097.0)</f>
        <v>46097</v>
      </c>
      <c r="AF1829" s="54"/>
      <c r="AG1829" s="54"/>
      <c r="AH1829" s="54">
        <v>46097.0</v>
      </c>
      <c r="AI1829" s="55">
        <f t="shared" si="183"/>
        <v>0</v>
      </c>
      <c r="AW1829" s="234"/>
      <c r="BP1829" s="11"/>
      <c r="BQ1829" s="11"/>
      <c r="BR1829" s="235"/>
      <c r="BV1829" s="158"/>
      <c r="BY1829" s="158"/>
      <c r="CB1829" s="158"/>
    </row>
    <row r="1830" ht="18.0" hidden="1" customHeight="1">
      <c r="A1830" s="222">
        <f>IFERROR(__xludf.DUMMYFUNCTION("""COMPUTED_VALUE"""),2026.0)</f>
        <v>2026</v>
      </c>
      <c r="B1830" s="221">
        <f>IFERROR(__xludf.DUMMYFUNCTION("""COMPUTED_VALUE"""),1.2079582E7)</f>
        <v>12079582</v>
      </c>
      <c r="C1830" s="222" t="str">
        <f>IFERROR(__xludf.DUMMYFUNCTION("""COMPUTED_VALUE"""),"SMU PT3 NGB-FAD CLUST 250_1028_2282")</f>
        <v>SMU PT3 NGB-FAD CLUST 250_1028_2282</v>
      </c>
      <c r="D1830" s="222" t="str">
        <f>IFERROR(__xludf.DUMMYFUNCTION("""COMPUTED_VALUE"""),"REGIONAL I")</f>
        <v>REGIONAL I</v>
      </c>
      <c r="E1830" s="222" t="str">
        <f>IFERROR(__xludf.DUMMYFUNCTION("""COMPUTED_VALUE"""),"SUMUT")</f>
        <v>SUMUT</v>
      </c>
      <c r="F1830" s="222" t="str">
        <f>IFERROR(__xludf.DUMMYFUNCTION("""COMPUTED_VALUE"""),"NGB")</f>
        <v>NGB</v>
      </c>
      <c r="G1830" s="222" t="str">
        <f>IFERROR(__xludf.DUMMYFUNCTION("""COMPUTED_VALUE"""),"SUMBAGUT")</f>
        <v>SUMBAGUT</v>
      </c>
      <c r="H1830" s="222" t="str">
        <f>IFERROR(__xludf.DUMMYFUNCTION("""COMPUTED_VALUE"""),"RANTAU PRAPAT")</f>
        <v>RANTAU PRAPAT</v>
      </c>
      <c r="I1830" s="222" t="str">
        <f>IFERROR(__xludf.DUMMYFUNCTION("""COMPUTED_VALUE"""),"Batch 2")</f>
        <v>Batch 2</v>
      </c>
      <c r="J1830" s="225">
        <f>IFERROR(__xludf.DUMMYFUNCTION("""COMPUTED_VALUE"""),5.0)</f>
        <v>5</v>
      </c>
      <c r="K1830" s="224">
        <f>IFERROR(__xludf.DUMMYFUNCTION("""COMPUTED_VALUE"""),40.0)</f>
        <v>40</v>
      </c>
      <c r="L1830" s="226">
        <f>IFERROR(__xludf.DUMMYFUNCTION("""COMPUTED_VALUE"""),502905.0)</f>
        <v>502905</v>
      </c>
      <c r="M1830" s="227">
        <f>IFERROR(__xludf.DUMMYFUNCTION("""COMPUTED_VALUE"""),2.0116173E7)</f>
        <v>20116173</v>
      </c>
      <c r="N1830" s="222" t="str">
        <f>IFERROR(__xludf.DUMMYFUNCTION("""COMPUTED_VALUE"""),"PT UPAYA TEKNIK")</f>
        <v>PT UPAYA TEKNIK</v>
      </c>
      <c r="O1830" s="222" t="str">
        <f>IFERROR(__xludf.DUMMYFUNCTION("""COMPUTED_VALUE"""),"7. GOLIVE")</f>
        <v>7. GOLIVE</v>
      </c>
      <c r="P1830" s="222" t="str">
        <f>IFERROR(__xludf.DUMMYFUNCTION("""COMPUTED_VALUE"""),"7.2 Golive Full / OA / DONE OTB")</f>
        <v>7.2 Golive Full / OA / DONE OTB</v>
      </c>
      <c r="Q1830" s="222" t="str">
        <f>IFERROR(__xludf.DUMMYFUNCTION("""COMPUTED_VALUE"""),"GOLIVE 27/2 validasi sdi,  25/2 sisa terminansi 2 odp paralel valins 5 odp,  22/2 sisa terminansi 2 odp paralel valins 5 odp, 20/2 proses instal dan terminasi 5 odp, ku 12 (625 selesai), 19/2 plan progres malam ini sisa instal 5 odp, ku 12 (625 selesai),1"&amp;"8/2 sisa instal 5 odp, ku 12 (625 selesai), 16/2 sisa instal 5 odp, ku 12 (625 selesai),13/2 sisa instal 5 odp, penarikan ku 12 (625 selesai) est FI senin 16 feb, 12/2 penarikan ku 12 (625 selesai) odp (5 blm ada progres), 11/2 prepair tim parsial di lop "&amp;"anr fah, 10/2 prepair tim parsial di lop anr fah, 9/2 prepair pengiriman matrial kelokasi, 6/2 prepair pengiriman matrial kelokasi, 5/2 menunggu req matrial dari mitra, 3/2 menunggu req matrial dari mitra, 2/2 menunggu req matrial dari mitra,1/2 menunggu "&amp;"req matrial dari mitra, 30/1 menunggu req matrial, 28/1 menunggu req matrial, 27/1 menunggu  boq kml survey paralel hasil cek otdr, 26/1 menunggu  boq kml survey, 23/1 menunggu boq kml survey.22/1 menunggu boq dan kml dari mitra,  21/1 menunggu boq dan km"&amp;"l dari mitra, 20/1 plan survey 22/1, 19/1 plan survey 22/1,  15/1 plan survey 22/1, 13/1 menunggu info kelanjutan mitra, (07/01) Persiapan")</f>
        <v>GOLIVE 27/2 validasi sdi,  25/2 sisa terminansi 2 odp paralel valins 5 odp,  22/2 sisa terminansi 2 odp paralel valins 5 odp, 20/2 proses instal dan terminasi 5 odp, ku 12 (625 selesai), 19/2 plan progres malam ini sisa instal 5 odp, ku 12 (625 selesai),18/2 sisa instal 5 odp, ku 12 (625 selesai), 16/2 sisa instal 5 odp, ku 12 (625 selesai),13/2 sisa instal 5 odp, penarikan ku 12 (625 selesai) est FI senin 16 feb, 12/2 penarikan ku 12 (625 selesai) odp (5 blm ada progres), 11/2 prepair tim parsial di lop anr fah, 10/2 prepair tim parsial di lop anr fah, 9/2 prepair pengiriman matrial kelokasi, 6/2 prepair pengiriman matrial kelokasi, 5/2 menunggu req matrial dari mitra, 3/2 menunggu req matrial dari mitra, 2/2 menunggu req matrial dari mitra,1/2 menunggu req matrial dari mitra, 30/1 menunggu req matrial, 28/1 menunggu req matrial, 27/1 menunggu  boq kml survey paralel hasil cek otdr, 26/1 menunggu  boq kml survey, 23/1 menunggu boq kml survey.22/1 menunggu boq dan kml dari mitra,  21/1 menunggu boq dan kml dari mitra, 20/1 plan survey 22/1, 19/1 plan survey 22/1,  15/1 plan survey 22/1, 13/1 menunggu info kelanjutan mitra, (07/01) Persiapan</v>
      </c>
      <c r="R1830" s="228"/>
      <c r="S1830" s="11"/>
      <c r="T1830" s="11"/>
      <c r="U1830" s="11" t="str">
        <f>IFERROR(__xludf.DUMMYFUNCTION("""COMPUTED_VALUE"""),"W03-1646/2025")</f>
        <v>W03-1646/2025</v>
      </c>
      <c r="V1830" s="229"/>
      <c r="W1830" s="229"/>
      <c r="X1830" s="229" t="str">
        <f>IFERROR(__xludf.DUMMYFUNCTION("""COMPUTED_VALUE"""),"GOLIVE")</f>
        <v>GOLIVE</v>
      </c>
      <c r="Y1830" s="229" t="str">
        <f>IFERROR(__xludf.DUMMYFUNCTION("""COMPUTED_VALUE"""),"DONE")</f>
        <v>DONE</v>
      </c>
      <c r="Z1830" s="229" t="str">
        <f>IFERROR(__xludf.DUMMYFUNCTION("""COMPUTED_VALUE"""),"#N/A")</f>
        <v>#N/A</v>
      </c>
      <c r="AA1830" s="229">
        <f>IFERROR(__xludf.DUMMYFUNCTION("""COMPUTED_VALUE"""),5.0)</f>
        <v>5</v>
      </c>
      <c r="AB1830" s="229"/>
      <c r="AC1830" s="229" t="str">
        <f>IFERROR(__xludf.DUMMYFUNCTION("""COMPUTED_VALUE"""),"9163904#9163909")</f>
        <v>9163904#9163909</v>
      </c>
      <c r="AD1830" s="232">
        <f>IFERROR(__xludf.DUMMYFUNCTION("""COMPUTED_VALUE"""),40.0)</f>
        <v>40</v>
      </c>
      <c r="AE1830" s="233">
        <f>IFERROR(__xludf.DUMMYFUNCTION("""COMPUTED_VALUE"""),46081.0)</f>
        <v>46081</v>
      </c>
      <c r="AF1830" s="54"/>
      <c r="AG1830" s="54"/>
      <c r="AH1830" s="54"/>
      <c r="AI1830" s="55" t="str">
        <f t="shared" si="183"/>
        <v/>
      </c>
      <c r="AW1830" s="234"/>
      <c r="BP1830" s="11"/>
      <c r="BQ1830" s="11"/>
      <c r="BR1830" s="235"/>
      <c r="BV1830" s="158"/>
      <c r="BY1830" s="158"/>
      <c r="CB1830" s="158"/>
    </row>
    <row r="1831" ht="18.0" hidden="1" customHeight="1">
      <c r="A1831" s="222">
        <f>IFERROR(__xludf.DUMMYFUNCTION("""COMPUTED_VALUE"""),2026.0)</f>
        <v>2026</v>
      </c>
      <c r="B1831" s="221">
        <f>IFERROR(__xludf.DUMMYFUNCTION("""COMPUTED_VALUE"""),1.2524652E7)</f>
        <v>12524652</v>
      </c>
      <c r="C1831" s="222" t="str">
        <f>IFERROR(__xludf.DUMMYFUNCTION("""COMPUTED_VALUE"""),"MDN PT3 LBP-FJ 250_1585_1741")</f>
        <v>MDN PT3 LBP-FJ 250_1585_1741</v>
      </c>
      <c r="D1831" s="222" t="str">
        <f>IFERROR(__xludf.DUMMYFUNCTION("""COMPUTED_VALUE"""),"REGIONAL I")</f>
        <v>REGIONAL I</v>
      </c>
      <c r="E1831" s="222" t="str">
        <f>IFERROR(__xludf.DUMMYFUNCTION("""COMPUTED_VALUE"""),"MEDAN")</f>
        <v>MEDAN</v>
      </c>
      <c r="F1831" s="222" t="str">
        <f>IFERROR(__xludf.DUMMYFUNCTION("""COMPUTED_VALUE"""),"LBP")</f>
        <v>LBP</v>
      </c>
      <c r="G1831" s="222" t="str">
        <f>IFERROR(__xludf.DUMMYFUNCTION("""COMPUTED_VALUE"""),"SUMBAGUT")</f>
        <v>SUMBAGUT</v>
      </c>
      <c r="H1831" s="222" t="str">
        <f>IFERROR(__xludf.DUMMYFUNCTION("""COMPUTED_VALUE"""),"MEDAN")</f>
        <v>MEDAN</v>
      </c>
      <c r="I1831" s="222" t="str">
        <f>IFERROR(__xludf.DUMMYFUNCTION("""COMPUTED_VALUE"""),"Batch 2")</f>
        <v>Batch 2</v>
      </c>
      <c r="J1831" s="225">
        <f>IFERROR(__xludf.DUMMYFUNCTION("""COMPUTED_VALUE"""),1.0)</f>
        <v>1</v>
      </c>
      <c r="K1831" s="224">
        <f>IFERROR(__xludf.DUMMYFUNCTION("""COMPUTED_VALUE"""),16.0)</f>
        <v>16</v>
      </c>
      <c r="L1831" s="226">
        <f>IFERROR(__xludf.DUMMYFUNCTION("""COMPUTED_VALUE"""),378412.0)</f>
        <v>378412</v>
      </c>
      <c r="M1831" s="227">
        <f>IFERROR(__xludf.DUMMYFUNCTION("""COMPUTED_VALUE"""),6054592.0)</f>
        <v>6054592</v>
      </c>
      <c r="N1831" s="222" t="str">
        <f>IFERROR(__xludf.DUMMYFUNCTION("""COMPUTED_VALUE"""),"PT NIAGA NUSANTARA DIVA")</f>
        <v>PT NIAGA NUSANTARA DIVA</v>
      </c>
      <c r="O1831" s="222" t="str">
        <f>IFERROR(__xludf.DUMMYFUNCTION("""COMPUTED_VALUE"""),"0. DROP")</f>
        <v>0. DROP</v>
      </c>
      <c r="P1831" s="222" t="str">
        <f>IFERROR(__xludf.DUMMYFUNCTION("""COMPUTED_VALUE"""),"0.1 Double Order")</f>
        <v>0.1 Double Order</v>
      </c>
      <c r="Q1831" s="222" t="str">
        <f>IFERROR(__xludf.DUMMYFUNCTION("""COMPUTED_VALUE"""),"12/02 double KML dgn MDN PT3 LBP-FJ JL.SUNDA SIMPANG
(07/01) Persiapan")</f>
        <v>12/02 double KML dgn MDN PT3 LBP-FJ JL.SUNDA SIMPANG
(07/01) Persiapan</v>
      </c>
      <c r="R1831" s="228"/>
      <c r="S1831" s="11"/>
      <c r="T1831" s="11"/>
      <c r="U1831" s="11"/>
      <c r="V1831" s="229"/>
      <c r="W1831" s="229"/>
      <c r="X1831" s="229" t="str">
        <f>IFERROR(__xludf.DUMMYFUNCTION("""COMPUTED_VALUE"""),"BELUM GOLIVE")</f>
        <v>BELUM GOLIVE</v>
      </c>
      <c r="Y1831" s="229"/>
      <c r="Z1831" s="229" t="str">
        <f>IFERROR(__xludf.DUMMYFUNCTION("""COMPUTED_VALUE"""),"#N/A")</f>
        <v>#N/A</v>
      </c>
      <c r="AA1831" s="229"/>
      <c r="AB1831" s="229"/>
      <c r="AC1831" s="229"/>
      <c r="AD1831" s="232"/>
      <c r="AE1831" s="233"/>
      <c r="AF1831" s="54" t="str">
        <f>IFERROR(__xludf.DUMMYFUNCTION("""COMPUTED_VALUE"""),"Draft BA DROP")</f>
        <v>Draft BA DROP</v>
      </c>
      <c r="AG1831" s="54"/>
      <c r="AH1831" s="54"/>
      <c r="AI1831" s="55" t="str">
        <f t="shared" si="183"/>
        <v/>
      </c>
      <c r="AW1831" s="234"/>
      <c r="BP1831" s="11"/>
      <c r="BQ1831" s="11"/>
      <c r="BR1831" s="235"/>
      <c r="BV1831" s="158"/>
      <c r="BY1831" s="158"/>
      <c r="CB1831" s="158"/>
    </row>
    <row r="1832" ht="18.0" customHeight="1">
      <c r="A1832" s="222">
        <f>IFERROR(__xludf.DUMMYFUNCTION("""COMPUTED_VALUE"""),2026.0)</f>
        <v>2026</v>
      </c>
      <c r="B1832" s="221">
        <f>IFERROR(__xludf.DUMMYFUNCTION("""COMPUTED_VALUE"""),1.1861011E7)</f>
        <v>11861011</v>
      </c>
      <c r="C1832" s="222" t="str">
        <f>IFERROR(__xludf.DUMMYFUNCTION("""COMPUTED_VALUE"""),"RDR JPP PT3 JL KINANTI")</f>
        <v>RDR JPP PT3 JL KINANTI</v>
      </c>
      <c r="D1832" s="222" t="str">
        <f>IFERROR(__xludf.DUMMYFUNCTION("""COMPUTED_VALUE"""),"REGIONAL I")</f>
        <v>REGIONAL I</v>
      </c>
      <c r="E1832" s="222" t="str">
        <f>IFERROR(__xludf.DUMMYFUNCTION("""COMPUTED_VALUE"""),"RIDAR")</f>
        <v>RIDAR</v>
      </c>
      <c r="F1832" s="222" t="str">
        <f>IFERROR(__xludf.DUMMYFUNCTION("""COMPUTED_VALUE"""),"DRI")</f>
        <v>DRI</v>
      </c>
      <c r="G1832" s="222" t="str">
        <f>IFERROR(__xludf.DUMMYFUNCTION("""COMPUTED_VALUE"""),"SUMBAGTENG")</f>
        <v>SUMBAGTENG</v>
      </c>
      <c r="H1832" s="222" t="str">
        <f>IFERROR(__xludf.DUMMYFUNCTION("""COMPUTED_VALUE"""),"DUMAI")</f>
        <v>DUMAI</v>
      </c>
      <c r="I1832" s="222" t="str">
        <f>IFERROR(__xludf.DUMMYFUNCTION("""COMPUTED_VALUE"""),"Batch 2")</f>
        <v>Batch 2</v>
      </c>
      <c r="J1832" s="225">
        <f>IFERROR(__xludf.DUMMYFUNCTION("""COMPUTED_VALUE"""),12.0)</f>
        <v>12</v>
      </c>
      <c r="K1832" s="224">
        <f>IFERROR(__xludf.DUMMYFUNCTION("""COMPUTED_VALUE"""),96.0)</f>
        <v>96</v>
      </c>
      <c r="L1832" s="226">
        <f>IFERROR(__xludf.DUMMYFUNCTION("""COMPUTED_VALUE"""),1435996.0)</f>
        <v>1435996</v>
      </c>
      <c r="M1832" s="227">
        <f>IFERROR(__xludf.DUMMYFUNCTION("""COMPUTED_VALUE"""),1.37855601E8)</f>
        <v>137855601</v>
      </c>
      <c r="N1832" s="222" t="str">
        <f>IFERROR(__xludf.DUMMYFUNCTION("""COMPUTED_VALUE"""),"PT UPAYA TEKNIK")</f>
        <v>PT UPAYA TEKNIK</v>
      </c>
      <c r="O1832" s="222" t="str">
        <f>IFERROR(__xludf.DUMMYFUNCTION("""COMPUTED_VALUE"""),"2. DONE AANWIJZING")</f>
        <v>2. DONE AANWIJZING</v>
      </c>
      <c r="P1832" s="222" t="str">
        <f>IFERROR(__xludf.DUMMYFUNCTION("""COMPUTED_VALUE"""),"2.10 Kendala - Feeder Rusak")</f>
        <v>2.10 Kendala - Feeder Rusak</v>
      </c>
      <c r="Q1832" s="222" t="str">
        <f>IFERROR(__xludf.DUMMYFUNCTION("""COMPUTED_VALUE"""),"20/04 Pengambilan ulang hasil ukur OTDR 13/04 Pengambilan ulang OTDR utk kebutuhan QE 20/01 Kendala feeder rusak (07/01) Persiapan")</f>
        <v>20/04 Pengambilan ulang hasil ukur OTDR 13/04 Pengambilan ulang OTDR utk kebutuhan QE 20/01 Kendala feeder rusak (07/01) Persiapan</v>
      </c>
      <c r="R1832" s="228"/>
      <c r="S1832" s="11"/>
      <c r="T1832" s="11"/>
      <c r="U1832" s="11"/>
      <c r="V1832" s="229" t="str">
        <f>IFERROR(__xludf.DUMMYFUNCTION("""COMPUTED_VALUE"""),"GUSKAR DIYONAL")</f>
        <v>GUSKAR DIYONAL</v>
      </c>
      <c r="W1832" s="229" t="str">
        <f>IFERROR(__xludf.DUMMYFUNCTION("""COMPUTED_VALUE"""),"ANZALA SAKINAH")</f>
        <v>ANZALA SAKINAH</v>
      </c>
      <c r="X1832" s="229" t="str">
        <f>IFERROR(__xludf.DUMMYFUNCTION("""COMPUTED_VALUE"""),"BELUM GOLIVE")</f>
        <v>BELUM GOLIVE</v>
      </c>
      <c r="Y1832" s="229"/>
      <c r="Z1832" s="229" t="str">
        <f>IFERROR(__xludf.DUMMYFUNCTION("""COMPUTED_VALUE"""),"#N/A")</f>
        <v>#N/A</v>
      </c>
      <c r="AA1832" s="229"/>
      <c r="AB1832" s="229"/>
      <c r="AC1832" s="229"/>
      <c r="AD1832" s="232"/>
      <c r="AE1832" s="233"/>
      <c r="AF1832" s="54"/>
      <c r="AG1832" s="54"/>
      <c r="AH1832" s="54"/>
      <c r="AI1832" s="55" t="str">
        <f t="shared" si="183"/>
        <v/>
      </c>
      <c r="AW1832" s="234"/>
      <c r="BP1832" s="11"/>
      <c r="BQ1832" s="11"/>
      <c r="BR1832" s="235"/>
      <c r="BV1832" s="158"/>
      <c r="BY1832" s="158"/>
      <c r="CB1832" s="158"/>
    </row>
    <row r="1833" ht="18.0" hidden="1" customHeight="1">
      <c r="A1833" s="222">
        <f>IFERROR(__xludf.DUMMYFUNCTION("""COMPUTED_VALUE"""),2026.0)</f>
        <v>2026</v>
      </c>
      <c r="B1833" s="221">
        <f>IFERROR(__xludf.DUMMYFUNCTION("""COMPUTED_VALUE"""),1.1923563E7)</f>
        <v>11923563</v>
      </c>
      <c r="C1833" s="222" t="str">
        <f>IFERROR(__xludf.DUMMYFUNCTION("""COMPUTED_VALUE"""),"SMU PT3 RAP-FAA D10 CLUST 250_924_2174")</f>
        <v>SMU PT3 RAP-FAA D10 CLUST 250_924_2174</v>
      </c>
      <c r="D1833" s="222" t="str">
        <f>IFERROR(__xludf.DUMMYFUNCTION("""COMPUTED_VALUE"""),"REGIONAL I")</f>
        <v>REGIONAL I</v>
      </c>
      <c r="E1833" s="222" t="str">
        <f>IFERROR(__xludf.DUMMYFUNCTION("""COMPUTED_VALUE"""),"SUMUT")</f>
        <v>SUMUT</v>
      </c>
      <c r="F1833" s="222" t="str">
        <f>IFERROR(__xludf.DUMMYFUNCTION("""COMPUTED_VALUE"""),"RAP")</f>
        <v>RAP</v>
      </c>
      <c r="G1833" s="222" t="str">
        <f>IFERROR(__xludf.DUMMYFUNCTION("""COMPUTED_VALUE"""),"SUMBAGUT")</f>
        <v>SUMBAGUT</v>
      </c>
      <c r="H1833" s="222" t="str">
        <f>IFERROR(__xludf.DUMMYFUNCTION("""COMPUTED_VALUE"""),"RANTAU PRAPAT")</f>
        <v>RANTAU PRAPAT</v>
      </c>
      <c r="I1833" s="222" t="str">
        <f>IFERROR(__xludf.DUMMYFUNCTION("""COMPUTED_VALUE"""),"Batch 2")</f>
        <v>Batch 2</v>
      </c>
      <c r="J1833" s="225">
        <f>IFERROR(__xludf.DUMMYFUNCTION("""COMPUTED_VALUE"""),4.0)</f>
        <v>4</v>
      </c>
      <c r="K1833" s="224">
        <f>IFERROR(__xludf.DUMMYFUNCTION("""COMPUTED_VALUE"""),32.0)</f>
        <v>32</v>
      </c>
      <c r="L1833" s="226">
        <f>IFERROR(__xludf.DUMMYFUNCTION("""COMPUTED_VALUE"""),818705.0)</f>
        <v>818705</v>
      </c>
      <c r="M1833" s="227">
        <f>IFERROR(__xludf.DUMMYFUNCTION("""COMPUTED_VALUE"""),2.6198552E7)</f>
        <v>26198552</v>
      </c>
      <c r="N1833" s="222" t="str">
        <f>IFERROR(__xludf.DUMMYFUNCTION("""COMPUTED_VALUE"""),"PT FIBERHOME TECHNOLOGIES INDONESIA")</f>
        <v>PT FIBERHOME TECHNOLOGIES INDONESIA</v>
      </c>
      <c r="O1833" s="222" t="str">
        <f>IFERROR(__xludf.DUMMYFUNCTION("""COMPUTED_VALUE"""),"7. GOLIVE")</f>
        <v>7. GOLIVE</v>
      </c>
      <c r="P1833" s="222" t="str">
        <f>IFERROR(__xludf.DUMMYFUNCTION("""COMPUTED_VALUE"""),"7.2 Golive Full / OA / DONE OTB")</f>
        <v>7.2 Golive Full / OA / DONE OTB</v>
      </c>
      <c r="Q1833" s="222" t="str">
        <f>IFERROR(__xludf.DUMMYFUNCTION("""COMPUTED_VALUE"""),"GOLIVE 2/3 validasi sdi, 25/2 sisa instal 4 odp, ku 12 (875 selesai, tiang 5 sisa 1, 24/2 proses delivery matrial dri gudang ke site, 23/2 prepair team untuk delivery matrial dari gudang ke site,  20/2 proses req matrial, paralel input alista, 19/2 proses"&amp;" req matrial mitra,18/2 proses cek cpp dan pengajuan prelim, 16/2 proses cek cpp dan pengajuan prelim, 13/2 proses req material paralel ijin ke desa, 12/2 proses req material paralel ijin ke desa, 11/2 proses req material paralel ijin ke desa, 10/2 proses"&amp;" req material paralel ijin ke desa, 9/2 proses req material paralel ijin ke desa, 6/2 proses req material paralel ijin ke desa,  5/2 proses req material paralel ijin ke desa,  3/2 proses req material paralel ijin ke desa, 2/2 proses req material paralel i"&amp;"jin ke desa, 1/2 proses req material paralel ijin ke desa, 30/1 proses req material paralel ijin ke desa,   28/1 proses req material paralel ijin ke desa,  27/1 proses req material paralel ijin ke desa, 26/1 proses req material paralel ijin ke desa, 23/11"&amp;" menunggu update boq dan kml dari mitra,  22/11 menunggu update boq dan kml dari mitra, 21/1 plan survey tanggal 22/1,  20/1 plan survey tanggal 22/1, 19/1 plan survey tanggal 22/1,  15/1 plan survey tanggal 22/1, 13/1 menunggu info kelanjutan mitra, (07/"&amp;"01) Persiapan")</f>
        <v>GOLIVE 2/3 validasi sdi, 25/2 sisa instal 4 odp, ku 12 (875 selesai, tiang 5 sisa 1, 24/2 proses delivery matrial dri gudang ke site, 23/2 prepair team untuk delivery matrial dari gudang ke site,  20/2 proses req matrial, paralel input alista, 19/2 proses req matrial mitra,18/2 proses cek cpp dan pengajuan prelim, 16/2 proses cek cpp dan pengajuan prelim, 13/2 proses req material paralel ijin ke desa, 12/2 proses req material paralel ijin ke desa, 11/2 proses req material paralel ijin ke desa, 10/2 proses req material paralel ijin ke desa, 9/2 proses req material paralel ijin ke desa, 6/2 proses req material paralel ijin ke desa,  5/2 proses req material paralel ijin ke desa,  3/2 proses req material paralel ijin ke desa, 2/2 proses req material paralel ijin ke desa, 1/2 proses req material paralel ijin ke desa, 30/1 proses req material paralel ijin ke desa,   28/1 proses req material paralel ijin ke desa,  27/1 proses req material paralel ijin ke desa, 26/1 proses req material paralel ijin ke desa, 23/11 menunggu update boq dan kml dari mitra,  22/11 menunggu update boq dan kml dari mitra, 21/1 plan survey tanggal 22/1,  20/1 plan survey tanggal 22/1, 19/1 plan survey tanggal 22/1,  15/1 plan survey tanggal 22/1, 13/1 menunggu info kelanjutan mitra, (07/01) Persiapan</v>
      </c>
      <c r="R1833" s="228">
        <f>IFERROR(__xludf.DUMMYFUNCTION("""COMPUTED_VALUE"""),46083.0)</f>
        <v>46083</v>
      </c>
      <c r="S1833" s="11" t="str">
        <f>IFERROR(__xludf.DUMMYFUNCTION("""COMPUTED_VALUE"""),"MAR")</f>
        <v>MAR</v>
      </c>
      <c r="T1833" s="11"/>
      <c r="U1833" s="11" t="str">
        <f>IFERROR(__xludf.DUMMYFUNCTION("""COMPUTED_VALUE"""),"W03-1625/2025")</f>
        <v>W03-1625/2025</v>
      </c>
      <c r="V1833" s="229"/>
      <c r="W1833" s="229"/>
      <c r="X1833" s="229" t="str">
        <f>IFERROR(__xludf.DUMMYFUNCTION("""COMPUTED_VALUE"""),"GOLIVE")</f>
        <v>GOLIVE</v>
      </c>
      <c r="Y1833" s="229" t="str">
        <f>IFERROR(__xludf.DUMMYFUNCTION("""COMPUTED_VALUE"""),"DONE")</f>
        <v>DONE</v>
      </c>
      <c r="Z1833" s="229" t="str">
        <f>IFERROR(__xludf.DUMMYFUNCTION("""COMPUTED_VALUE"""),"#N/A")</f>
        <v>#N/A</v>
      </c>
      <c r="AA1833" s="229">
        <f>IFERROR(__xludf.DUMMYFUNCTION("""COMPUTED_VALUE"""),4.0)</f>
        <v>4</v>
      </c>
      <c r="AB1833" s="229"/>
      <c r="AC1833" s="229" t="str">
        <f>IFERROR(__xludf.DUMMYFUNCTION("""COMPUTED_VALUE"""),"9165593#9165598")</f>
        <v>9165593#9165598</v>
      </c>
      <c r="AD1833" s="232">
        <f>IFERROR(__xludf.DUMMYFUNCTION("""COMPUTED_VALUE"""),32.0)</f>
        <v>32</v>
      </c>
      <c r="AE1833" s="233">
        <f>IFERROR(__xludf.DUMMYFUNCTION("""COMPUTED_VALUE"""),46083.0)</f>
        <v>46083</v>
      </c>
      <c r="AF1833" s="54"/>
      <c r="AG1833" s="54"/>
      <c r="AH1833" s="54">
        <v>46083.0</v>
      </c>
      <c r="AI1833" s="55">
        <f t="shared" si="183"/>
        <v>0</v>
      </c>
      <c r="AW1833" s="234"/>
      <c r="BP1833" s="11"/>
      <c r="BQ1833" s="11"/>
      <c r="BR1833" s="235"/>
      <c r="BV1833" s="158"/>
      <c r="BY1833" s="158"/>
      <c r="CB1833" s="158"/>
    </row>
    <row r="1834" ht="18.0" hidden="1" customHeight="1">
      <c r="A1834" s="222">
        <f>IFERROR(__xludf.DUMMYFUNCTION("""COMPUTED_VALUE"""),2026.0)</f>
        <v>2026</v>
      </c>
      <c r="B1834" s="221">
        <f>IFERROR(__xludf.DUMMYFUNCTION("""COMPUTED_VALUE"""),1.1512047E7)</f>
        <v>11512047</v>
      </c>
      <c r="C1834" s="222" t="str">
        <f>IFERROR(__xludf.DUMMYFUNCTION("""COMPUTED_VALUE"""),"LPG PT3 JPP MET_GNS027 KLR")</f>
        <v>LPG PT3 JPP MET_GNS027 KLR</v>
      </c>
      <c r="D1834" s="222" t="str">
        <f>IFERROR(__xludf.DUMMYFUNCTION("""COMPUTED_VALUE"""),"REGIONAL I")</f>
        <v>REGIONAL I</v>
      </c>
      <c r="E1834" s="222" t="str">
        <f>IFERROR(__xludf.DUMMYFUNCTION("""COMPUTED_VALUE"""),"LAMPUNG")</f>
        <v>LAMPUNG</v>
      </c>
      <c r="F1834" s="222" t="str">
        <f>IFERROR(__xludf.DUMMYFUNCTION("""COMPUTED_VALUE"""),"KLR")</f>
        <v>KLR</v>
      </c>
      <c r="G1834" s="222" t="str">
        <f>IFERROR(__xludf.DUMMYFUNCTION("""COMPUTED_VALUE"""),"SUMBAGSEL")</f>
        <v>SUMBAGSEL</v>
      </c>
      <c r="H1834" s="222" t="str">
        <f>IFERROR(__xludf.DUMMYFUNCTION("""COMPUTED_VALUE"""),"LAMPUNG")</f>
        <v>LAMPUNG</v>
      </c>
      <c r="I1834" s="222" t="str">
        <f>IFERROR(__xludf.DUMMYFUNCTION("""COMPUTED_VALUE"""),"Batch 2")</f>
        <v>Batch 2</v>
      </c>
      <c r="J1834" s="225">
        <f>IFERROR(__xludf.DUMMYFUNCTION("""COMPUTED_VALUE"""),1.0)</f>
        <v>1</v>
      </c>
      <c r="K1834" s="224">
        <f>IFERROR(__xludf.DUMMYFUNCTION("""COMPUTED_VALUE"""),8.0)</f>
        <v>8</v>
      </c>
      <c r="L1834" s="226">
        <f>IFERROR(__xludf.DUMMYFUNCTION("""COMPUTED_VALUE"""),376511.0)</f>
        <v>376511</v>
      </c>
      <c r="M1834" s="227">
        <f>IFERROR(__xludf.DUMMYFUNCTION("""COMPUTED_VALUE"""),3012082.0)</f>
        <v>3012082</v>
      </c>
      <c r="N1834" s="222" t="str">
        <f>IFERROR(__xludf.DUMMYFUNCTION("""COMPUTED_VALUE"""),"SWAKELOLA")</f>
        <v>SWAKELOLA</v>
      </c>
      <c r="O1834" s="222" t="str">
        <f>IFERROR(__xludf.DUMMYFUNCTION("""COMPUTED_VALUE"""),"0. DROP")</f>
        <v>0. DROP</v>
      </c>
      <c r="P1834" s="222" t="str">
        <f>IFERROR(__xludf.DUMMYFUNCTION("""COMPUTED_VALUE"""),"0.2 Tidak Dapat Izin Warga/Kades/Lurah/Developer")</f>
        <v>0.2 Tidak Dapat Izin Warga/Kades/Lurah/Developer</v>
      </c>
      <c r="Q1834" s="222" t="str">
        <f>IFERROR(__xludf.DUMMYFUNCTION("""COMPUTED_VALUE"""),"30/1 tidak dapat izin dari lurah
21/01 MEMASTIKAN FEEDER DI ODC DAN STO ")</f>
        <v>30/1 tidak dapat izin dari lurah
21/01 MEMASTIKAN FEEDER DI ODC DAN STO </v>
      </c>
      <c r="R1834" s="228"/>
      <c r="S1834" s="11"/>
      <c r="T1834" s="11"/>
      <c r="U1834" s="11"/>
      <c r="V1834" s="229"/>
      <c r="W1834" s="229"/>
      <c r="X1834" s="229" t="str">
        <f>IFERROR(__xludf.DUMMYFUNCTION("""COMPUTED_VALUE"""),"BELUM GOLIVE")</f>
        <v>BELUM GOLIVE</v>
      </c>
      <c r="Y1834" s="229"/>
      <c r="Z1834" s="229" t="str">
        <f>IFERROR(__xludf.DUMMYFUNCTION("""COMPUTED_VALUE"""),"#N/A")</f>
        <v>#N/A</v>
      </c>
      <c r="AA1834" s="229"/>
      <c r="AB1834" s="229"/>
      <c r="AC1834" s="229"/>
      <c r="AD1834" s="232"/>
      <c r="AE1834" s="233"/>
      <c r="AF1834" s="54" t="str">
        <f>IFERROR(__xludf.DUMMYFUNCTION("""COMPUTED_VALUE"""),"Draft BA DROP")</f>
        <v>Draft BA DROP</v>
      </c>
      <c r="AG1834" s="54"/>
      <c r="AH1834" s="54"/>
      <c r="AI1834" s="55" t="str">
        <f t="shared" si="183"/>
        <v/>
      </c>
      <c r="AW1834" s="234"/>
      <c r="BP1834" s="11"/>
      <c r="BQ1834" s="11"/>
      <c r="BR1834" s="235"/>
      <c r="BV1834" s="158"/>
      <c r="BY1834" s="158"/>
      <c r="CB1834" s="158"/>
    </row>
    <row r="1835" ht="18.0" customHeight="1">
      <c r="A1835" s="222">
        <f>IFERROR(__xludf.DUMMYFUNCTION("""COMPUTED_VALUE"""),2026.0)</f>
        <v>2026</v>
      </c>
      <c r="B1835" s="221">
        <f>IFERROR(__xludf.DUMMYFUNCTION("""COMPUTED_VALUE"""),1.1437034E7)</f>
        <v>11437034</v>
      </c>
      <c r="C1835" s="222" t="str">
        <f>IFERROR(__xludf.DUMMYFUNCTION("""COMPUTED_VALUE"""),"RDR BKR PT3 P3I1 EXPAND BKR FKC")</f>
        <v>RDR BKR PT3 P3I1 EXPAND BKR FKC</v>
      </c>
      <c r="D1835" s="222" t="str">
        <f>IFERROR(__xludf.DUMMYFUNCTION("""COMPUTED_VALUE"""),"REGIONAL I")</f>
        <v>REGIONAL I</v>
      </c>
      <c r="E1835" s="222" t="str">
        <f>IFERROR(__xludf.DUMMYFUNCTION("""COMPUTED_VALUE"""),"RIDAR")</f>
        <v>RIDAR</v>
      </c>
      <c r="F1835" s="222" t="str">
        <f>IFERROR(__xludf.DUMMYFUNCTION("""COMPUTED_VALUE"""),"BKR")</f>
        <v>BKR</v>
      </c>
      <c r="G1835" s="222" t="str">
        <f>IFERROR(__xludf.DUMMYFUNCTION("""COMPUTED_VALUE"""),"SUMBAGTENG")</f>
        <v>SUMBAGTENG</v>
      </c>
      <c r="H1835" s="222" t="str">
        <f>IFERROR(__xludf.DUMMYFUNCTION("""COMPUTED_VALUE"""),"PEKANBARU")</f>
        <v>PEKANBARU</v>
      </c>
      <c r="I1835" s="222" t="str">
        <f>IFERROR(__xludf.DUMMYFUNCTION("""COMPUTED_VALUE"""),"Batch 2")</f>
        <v>Batch 2</v>
      </c>
      <c r="J1835" s="225">
        <f>IFERROR(__xludf.DUMMYFUNCTION("""COMPUTED_VALUE"""),11.0)</f>
        <v>11</v>
      </c>
      <c r="K1835" s="224">
        <f>IFERROR(__xludf.DUMMYFUNCTION("""COMPUTED_VALUE"""),88.0)</f>
        <v>88</v>
      </c>
      <c r="L1835" s="226">
        <f>IFERROR(__xludf.DUMMYFUNCTION("""COMPUTED_VALUE"""),968286.0)</f>
        <v>968286</v>
      </c>
      <c r="M1835" s="227">
        <f>IFERROR(__xludf.DUMMYFUNCTION("""COMPUTED_VALUE"""),8.5209142E7)</f>
        <v>85209142</v>
      </c>
      <c r="N1835" s="222" t="str">
        <f>IFERROR(__xludf.DUMMYFUNCTION("""COMPUTED_VALUE"""),"PT SAMUDERA PUTRA KENCANA")</f>
        <v>PT SAMUDERA PUTRA KENCANA</v>
      </c>
      <c r="O1835" s="222" t="str">
        <f>IFERROR(__xludf.DUMMYFUNCTION("""COMPUTED_VALUE"""),"7. GOLIVE")</f>
        <v>7. GOLIVE</v>
      </c>
      <c r="P1835" s="222" t="str">
        <f>IFERROR(__xludf.DUMMYFUNCTION("""COMPUTED_VALUE"""),"7.2 Golive Full / OA / DONE OTB")</f>
        <v>7.2 Golive Full / OA / DONE OTB</v>
      </c>
      <c r="Q1835" s="222" t="str">
        <f>IFERROR(__xludf.DUMMYFUNCTION("""COMPUTED_VALUE"""),"16/03 Prroses redraw SDI 09/03 Menunggu kiriman Modul Huawei 04/04 Menunggu kiriman modul OLR Huawei 13/02 Modul Mini OLT Sei Pagar Full, butuh insert Modul 12/02 Proses Valins 10/02 Pemasangan ODP 29/01 Penarikan kabel (07/01) Persiapan")</f>
        <v>16/03 Prroses redraw SDI 09/03 Menunggu kiriman Modul Huawei 04/04 Menunggu kiriman modul OLR Huawei 13/02 Modul Mini OLT Sei Pagar Full, butuh insert Modul 12/02 Proses Valins 10/02 Pemasangan ODP 29/01 Penarikan kabel (07/01) Persiapan</v>
      </c>
      <c r="R1835" s="228">
        <f>IFERROR(__xludf.DUMMYFUNCTION("""COMPUTED_VALUE"""),46109.0)</f>
        <v>46109</v>
      </c>
      <c r="S1835" s="11" t="str">
        <f>IFERROR(__xludf.DUMMYFUNCTION("""COMPUTED_VALUE"""),"MAR")</f>
        <v>MAR</v>
      </c>
      <c r="T1835" s="11"/>
      <c r="U1835" s="11"/>
      <c r="V1835" s="229" t="str">
        <f>IFERROR(__xludf.DUMMYFUNCTION("""COMPUTED_VALUE"""),"TEGUH IMAM PERDANA")</f>
        <v>TEGUH IMAM PERDANA</v>
      </c>
      <c r="W1835" s="229" t="str">
        <f>IFERROR(__xludf.DUMMYFUNCTION("""COMPUTED_VALUE"""),"DESLITA RAHMADANI")</f>
        <v>DESLITA RAHMADANI</v>
      </c>
      <c r="X1835" s="229" t="str">
        <f>IFERROR(__xludf.DUMMYFUNCTION("""COMPUTED_VALUE"""),"GOLIVE")</f>
        <v>GOLIVE</v>
      </c>
      <c r="Y1835" s="229" t="str">
        <f>IFERROR(__xludf.DUMMYFUNCTION("""COMPUTED_VALUE"""),"DONE")</f>
        <v>DONE</v>
      </c>
      <c r="Z1835" s="229" t="str">
        <f>IFERROR(__xludf.DUMMYFUNCTION("""COMPUTED_VALUE"""),"#N/A")</f>
        <v>#N/A</v>
      </c>
      <c r="AA1835" s="229">
        <f>IFERROR(__xludf.DUMMYFUNCTION("""COMPUTED_VALUE"""),11.0)</f>
        <v>11</v>
      </c>
      <c r="AB1835" s="229"/>
      <c r="AC1835" s="229" t="str">
        <f>IFERROR(__xludf.DUMMYFUNCTION("""COMPUTED_VALUE"""),"9213477#9213482")</f>
        <v>9213477#9213482</v>
      </c>
      <c r="AD1835" s="232">
        <f>IFERROR(__xludf.DUMMYFUNCTION("""COMPUTED_VALUE"""),88.0)</f>
        <v>88</v>
      </c>
      <c r="AE1835" s="233">
        <f>IFERROR(__xludf.DUMMYFUNCTION("""COMPUTED_VALUE"""),46098.0)</f>
        <v>46098</v>
      </c>
      <c r="AF1835" s="54"/>
      <c r="AG1835" s="54"/>
      <c r="AH1835" s="54">
        <v>46109.0</v>
      </c>
      <c r="AI1835" s="55">
        <f>IF(OR(AH1835="",AE1835=""),"",AH1835-AE1835)</f>
        <v>11</v>
      </c>
      <c r="AW1835" s="234"/>
      <c r="BP1835" s="11"/>
      <c r="BQ1835" s="11"/>
      <c r="BR1835" s="235"/>
      <c r="BV1835" s="158"/>
      <c r="BY1835" s="158"/>
      <c r="CB1835" s="158"/>
    </row>
    <row r="1836" ht="18.0" hidden="1" customHeight="1">
      <c r="A1836" s="222">
        <f>IFERROR(__xludf.DUMMYFUNCTION("""COMPUTED_VALUE"""),2026.0)</f>
        <v>2026</v>
      </c>
      <c r="B1836" s="221">
        <f>IFERROR(__xludf.DUMMYFUNCTION("""COMPUTED_VALUE"""),1.2227191E7)</f>
        <v>12227191</v>
      </c>
      <c r="C1836" s="222" t="str">
        <f>IFERROR(__xludf.DUMMYFUNCTION("""COMPUTED_VALUE"""),"ACH PT3 LSM-FAB MON GEUDONG")</f>
        <v>ACH PT3 LSM-FAB MON GEUDONG</v>
      </c>
      <c r="D1836" s="222" t="str">
        <f>IFERROR(__xludf.DUMMYFUNCTION("""COMPUTED_VALUE"""),"REGIONAL I")</f>
        <v>REGIONAL I</v>
      </c>
      <c r="E1836" s="222" t="str">
        <f>IFERROR(__xludf.DUMMYFUNCTION("""COMPUTED_VALUE"""),"ACEH")</f>
        <v>ACEH</v>
      </c>
      <c r="F1836" s="222" t="str">
        <f>IFERROR(__xludf.DUMMYFUNCTION("""COMPUTED_VALUE"""),"LSM")</f>
        <v>LSM</v>
      </c>
      <c r="G1836" s="222" t="str">
        <f>IFERROR(__xludf.DUMMYFUNCTION("""COMPUTED_VALUE"""),"SUMBAGUT")</f>
        <v>SUMBAGUT</v>
      </c>
      <c r="H1836" s="222" t="str">
        <f>IFERROR(__xludf.DUMMYFUNCTION("""COMPUTED_VALUE"""),"BINJAI")</f>
        <v>BINJAI</v>
      </c>
      <c r="I1836" s="222" t="str">
        <f>IFERROR(__xludf.DUMMYFUNCTION("""COMPUTED_VALUE"""),"Batch 2")</f>
        <v>Batch 2</v>
      </c>
      <c r="J1836" s="225">
        <f>IFERROR(__xludf.DUMMYFUNCTION("""COMPUTED_VALUE"""),3.0)</f>
        <v>3</v>
      </c>
      <c r="K1836" s="224">
        <f>IFERROR(__xludf.DUMMYFUNCTION("""COMPUTED_VALUE"""),24.0)</f>
        <v>24</v>
      </c>
      <c r="L1836" s="226">
        <f>IFERROR(__xludf.DUMMYFUNCTION("""COMPUTED_VALUE"""),375059.0)</f>
        <v>375059</v>
      </c>
      <c r="M1836" s="227">
        <f>IFERROR(__xludf.DUMMYFUNCTION("""COMPUTED_VALUE"""),9001408.0)</f>
        <v>9001408</v>
      </c>
      <c r="N1836" s="222" t="str">
        <f>IFERROR(__xludf.DUMMYFUNCTION("""COMPUTED_VALUE"""),"PT MITRA AKSES INSANI")</f>
        <v>PT MITRA AKSES INSANI</v>
      </c>
      <c r="O1836" s="222" t="str">
        <f>IFERROR(__xludf.DUMMYFUNCTION("""COMPUTED_VALUE"""),"7. GOLIVE")</f>
        <v>7. GOLIVE</v>
      </c>
      <c r="P1836" s="222" t="str">
        <f>IFERROR(__xludf.DUMMYFUNCTION("""COMPUTED_VALUE"""),"7.2 Golive Full / OA / DONE OTB")</f>
        <v>7.2 Golive Full / OA / DONE OTB</v>
      </c>
      <c r="Q1836" s="222" t="str">
        <f>IFERROR(__xludf.DUMMYFUNCTION("""COMPUTED_VALUE"""),"(08/01) kendala feeder penuh.  KENDALA FEEDER LBY-FL FULL (07/01) Persiapan")</f>
        <v>(08/01) kendala feeder penuh.  KENDALA FEEDER LBY-FL FULL (07/01) Persiapan</v>
      </c>
      <c r="R1836" s="228">
        <f>IFERROR(__xludf.DUMMYFUNCTION("""COMPUTED_VALUE"""),46029.0)</f>
        <v>46029</v>
      </c>
      <c r="S1836" s="11"/>
      <c r="T1836" s="11"/>
      <c r="U1836" s="11" t="str">
        <f>IFERROR(__xludf.DUMMYFUNCTION("""COMPUTED_VALUE"""),"W04-927/2025")</f>
        <v>W04-927/2025</v>
      </c>
      <c r="V1836" s="229"/>
      <c r="W1836" s="229"/>
      <c r="X1836" s="229" t="str">
        <f>IFERROR(__xludf.DUMMYFUNCTION("""COMPUTED_VALUE"""),"GOLIVE")</f>
        <v>GOLIVE</v>
      </c>
      <c r="Y1836" s="229" t="str">
        <f>IFERROR(__xludf.DUMMYFUNCTION("""COMPUTED_VALUE"""),"DONE")</f>
        <v>DONE</v>
      </c>
      <c r="Z1836" s="229" t="str">
        <f>IFERROR(__xludf.DUMMYFUNCTION("""COMPUTED_VALUE"""),"#N/A")</f>
        <v>#N/A</v>
      </c>
      <c r="AA1836" s="229">
        <f>IFERROR(__xludf.DUMMYFUNCTION("""COMPUTED_VALUE"""),3.0)</f>
        <v>3</v>
      </c>
      <c r="AB1836" s="229"/>
      <c r="AC1836" s="229" t="str">
        <f>IFERROR(__xludf.DUMMYFUNCTION("""COMPUTED_VALUE"""),"8931163#8931168")</f>
        <v>8931163#8931168</v>
      </c>
      <c r="AD1836" s="232">
        <f>IFERROR(__xludf.DUMMYFUNCTION("""COMPUTED_VALUE"""),24.0)</f>
        <v>24</v>
      </c>
      <c r="AE1836" s="233">
        <f>IFERROR(__xludf.DUMMYFUNCTION("""COMPUTED_VALUE"""),46029.0)</f>
        <v>46029</v>
      </c>
      <c r="AF1836" s="54"/>
      <c r="AG1836" s="54"/>
      <c r="AH1836" s="54">
        <v>46029.0</v>
      </c>
      <c r="AI1836" s="55">
        <f t="shared" ref="AI1836:AI1841" si="184">IF(OR(R1836="",AE1836=""),"",R1836-AE1836)</f>
        <v>0</v>
      </c>
      <c r="AW1836" s="234"/>
      <c r="BP1836" s="11"/>
      <c r="BQ1836" s="11"/>
      <c r="BR1836" s="235"/>
      <c r="BV1836" s="158"/>
      <c r="BY1836" s="158"/>
      <c r="CB1836" s="158"/>
    </row>
    <row r="1837" ht="18.0" customHeight="1">
      <c r="A1837" s="222">
        <f>IFERROR(__xludf.DUMMYFUNCTION("""COMPUTED_VALUE"""),2026.0)</f>
        <v>2026</v>
      </c>
      <c r="B1837" s="221">
        <f>IFERROR(__xludf.DUMMYFUNCTION("""COMPUTED_VALUE"""),1.1384183E7)</f>
        <v>11384183</v>
      </c>
      <c r="C1837" s="222" t="str">
        <f>IFERROR(__xludf.DUMMYFUNCTION("""COMPUTED_VALUE"""),"SMB MD KOTA PADANG_10386")</f>
        <v>SMB MD KOTA PADANG_10386</v>
      </c>
      <c r="D1837" s="222" t="str">
        <f>IFERROR(__xludf.DUMMYFUNCTION("""COMPUTED_VALUE"""),"REGIONAL I")</f>
        <v>REGIONAL I</v>
      </c>
      <c r="E1837" s="222" t="str">
        <f>IFERROR(__xludf.DUMMYFUNCTION("""COMPUTED_VALUE"""),"SUMBAR")</f>
        <v>SUMBAR</v>
      </c>
      <c r="F1837" s="222" t="str">
        <f>IFERROR(__xludf.DUMMYFUNCTION("""COMPUTED_VALUE"""),"LBY")</f>
        <v>LBY</v>
      </c>
      <c r="G1837" s="222" t="str">
        <f>IFERROR(__xludf.DUMMYFUNCTION("""COMPUTED_VALUE"""),"SUMBAGTENG")</f>
        <v>SUMBAGTENG</v>
      </c>
      <c r="H1837" s="222" t="str">
        <f>IFERROR(__xludf.DUMMYFUNCTION("""COMPUTED_VALUE"""),"PADANG")</f>
        <v>PADANG</v>
      </c>
      <c r="I1837" s="222" t="str">
        <f>IFERROR(__xludf.DUMMYFUNCTION("""COMPUTED_VALUE"""),"Batch 2")</f>
        <v>Batch 2</v>
      </c>
      <c r="J1837" s="225">
        <f>IFERROR(__xludf.DUMMYFUNCTION("""COMPUTED_VALUE"""),3.0)</f>
        <v>3</v>
      </c>
      <c r="K1837" s="224">
        <f>IFERROR(__xludf.DUMMYFUNCTION("""COMPUTED_VALUE"""),24.0)</f>
        <v>24</v>
      </c>
      <c r="L1837" s="226">
        <f>IFERROR(__xludf.DUMMYFUNCTION("""COMPUTED_VALUE"""),372915.0)</f>
        <v>372915</v>
      </c>
      <c r="M1837" s="227">
        <f>IFERROR(__xludf.DUMMYFUNCTION("""COMPUTED_VALUE"""),8949942.0)</f>
        <v>8949942</v>
      </c>
      <c r="N1837" s="222" t="str">
        <f>IFERROR(__xludf.DUMMYFUNCTION("""COMPUTED_VALUE"""),"PT SANGKURIANG CIPTA JAYA TEKNINDO")</f>
        <v>PT SANGKURIANG CIPTA JAYA TEKNINDO</v>
      </c>
      <c r="O1837" s="222" t="str">
        <f>IFERROR(__xludf.DUMMYFUNCTION("""COMPUTED_VALUE"""),"0. DROP")</f>
        <v>0. DROP</v>
      </c>
      <c r="P1837" s="222" t="str">
        <f>IFERROR(__xludf.DUMMYFUNCTION("""COMPUTED_VALUE"""),"0.3 Feeder Full")</f>
        <v>0.3 Feeder Full</v>
      </c>
      <c r="Q1837" s="222" t="str">
        <f>IFERROR(__xludf.DUMMYFUNCTION("""COMPUTED_VALUE"""),"(26/01) KENDALA FEEDER LBY-FL FULL")</f>
        <v>(26/01) KENDALA FEEDER LBY-FL FULL</v>
      </c>
      <c r="R1837" s="228"/>
      <c r="S1837" s="11"/>
      <c r="T1837" s="11"/>
      <c r="U1837" s="11"/>
      <c r="V1837" s="229"/>
      <c r="W1837" s="229"/>
      <c r="X1837" s="229" t="str">
        <f>IFERROR(__xludf.DUMMYFUNCTION("""COMPUTED_VALUE"""),"BELUM GOLIVE")</f>
        <v>BELUM GOLIVE</v>
      </c>
      <c r="Y1837" s="229"/>
      <c r="Z1837" s="229" t="str">
        <f>IFERROR(__xludf.DUMMYFUNCTION("""COMPUTED_VALUE"""),"#N/A")</f>
        <v>#N/A</v>
      </c>
      <c r="AA1837" s="229"/>
      <c r="AB1837" s="229"/>
      <c r="AC1837" s="229"/>
      <c r="AD1837" s="232"/>
      <c r="AE1837" s="233"/>
      <c r="AF1837" s="54" t="str">
        <f>IFERROR(__xludf.DUMMYFUNCTION("""COMPUTED_VALUE"""),"Draft BA DROP")</f>
        <v>Draft BA DROP</v>
      </c>
      <c r="AG1837" s="54"/>
      <c r="AH1837" s="54"/>
      <c r="AI1837" s="55" t="str">
        <f t="shared" si="184"/>
        <v/>
      </c>
      <c r="AW1837" s="234"/>
      <c r="BP1837" s="11"/>
      <c r="BQ1837" s="11"/>
      <c r="BR1837" s="235"/>
      <c r="BV1837" s="158"/>
      <c r="BY1837" s="158"/>
      <c r="CB1837" s="158"/>
    </row>
    <row r="1838" ht="18.0" customHeight="1">
      <c r="A1838" s="222">
        <f>IFERROR(__xludf.DUMMYFUNCTION("""COMPUTED_VALUE"""),2026.0)</f>
        <v>2026</v>
      </c>
      <c r="B1838" s="221">
        <f>IFERROR(__xludf.DUMMYFUNCTION("""COMPUTED_VALUE"""),1.2143401E7)</f>
        <v>12143401</v>
      </c>
      <c r="C1838" s="222" t="str">
        <f>IFERROR(__xludf.DUMMYFUNCTION("""COMPUTED_VALUE"""),"RDR JPP PT3 PERUMAHAN HARMONI")</f>
        <v>RDR JPP PT3 PERUMAHAN HARMONI</v>
      </c>
      <c r="D1838" s="222" t="str">
        <f>IFERROR(__xludf.DUMMYFUNCTION("""COMPUTED_VALUE"""),"REGIONAL I")</f>
        <v>REGIONAL I</v>
      </c>
      <c r="E1838" s="222" t="str">
        <f>IFERROR(__xludf.DUMMYFUNCTION("""COMPUTED_VALUE"""),"RIDAR")</f>
        <v>RIDAR</v>
      </c>
      <c r="F1838" s="222" t="str">
        <f>IFERROR(__xludf.DUMMYFUNCTION("""COMPUTED_VALUE"""),"BKR")</f>
        <v>BKR</v>
      </c>
      <c r="G1838" s="222" t="str">
        <f>IFERROR(__xludf.DUMMYFUNCTION("""COMPUTED_VALUE"""),"SUMBAGTENG")</f>
        <v>SUMBAGTENG</v>
      </c>
      <c r="H1838" s="222" t="str">
        <f>IFERROR(__xludf.DUMMYFUNCTION("""COMPUTED_VALUE"""),"PEKANBARU")</f>
        <v>PEKANBARU</v>
      </c>
      <c r="I1838" s="222" t="str">
        <f>IFERROR(__xludf.DUMMYFUNCTION("""COMPUTED_VALUE"""),"Batch 2")</f>
        <v>Batch 2</v>
      </c>
      <c r="J1838" s="225">
        <f>IFERROR(__xludf.DUMMYFUNCTION("""COMPUTED_VALUE"""),16.0)</f>
        <v>16</v>
      </c>
      <c r="K1838" s="224">
        <f>IFERROR(__xludf.DUMMYFUNCTION("""COMPUTED_VALUE"""),128.0)</f>
        <v>128</v>
      </c>
      <c r="L1838" s="226">
        <f>IFERROR(__xludf.DUMMYFUNCTION("""COMPUTED_VALUE"""),1031722.0)</f>
        <v>1031722</v>
      </c>
      <c r="M1838" s="227">
        <f>IFERROR(__xludf.DUMMYFUNCTION("""COMPUTED_VALUE"""),1.32060371E8)</f>
        <v>132060371</v>
      </c>
      <c r="N1838" s="222" t="str">
        <f>IFERROR(__xludf.DUMMYFUNCTION("""COMPUTED_VALUE"""),"PT SABANA BABARE SEJAHTERA")</f>
        <v>PT SABANA BABARE SEJAHTERA</v>
      </c>
      <c r="O1838" s="222" t="str">
        <f>IFERROR(__xludf.DUMMYFUNCTION("""COMPUTED_VALUE"""),"0. DROP")</f>
        <v>0. DROP</v>
      </c>
      <c r="P1838" s="222" t="str">
        <f>IFERROR(__xludf.DUMMYFUNCTION("""COMPUTED_VALUE"""),"0.2 Tidak Dapat Izin Warga/Kades/Lurah/Developer")</f>
        <v>0.2 Tidak Dapat Izin Warga/Kades/Lurah/Developer</v>
      </c>
      <c r="Q1838" s="222" t="str">
        <f>IFERROR(__xludf.DUMMYFUNCTION("""COMPUTED_VALUE"""),"20/01 Drop tidak dapat izin RT/RW (08/01) Kendala feeder BGS-FC FULL Dan ODC 48 butuh UP ke 144, proses aanwijziing, Proses mapping mitra (07/01) Persiapan")</f>
        <v>20/01 Drop tidak dapat izin RT/RW (08/01) Kendala feeder BGS-FC FULL Dan ODC 48 butuh UP ke 144, proses aanwijziing, Proses mapping mitra (07/01) Persiapan</v>
      </c>
      <c r="R1838" s="228"/>
      <c r="S1838" s="11"/>
      <c r="T1838" s="11"/>
      <c r="U1838" s="11"/>
      <c r="V1838" s="229" t="str">
        <f>IFERROR(__xludf.DUMMYFUNCTION("""COMPUTED_VALUE"""),"SYAFRIAL")</f>
        <v>SYAFRIAL</v>
      </c>
      <c r="W1838" s="229" t="str">
        <f>IFERROR(__xludf.DUMMYFUNCTION("""COMPUTED_VALUE"""),"DESLITA RAHMADANI")</f>
        <v>DESLITA RAHMADANI</v>
      </c>
      <c r="X1838" s="229" t="str">
        <f>IFERROR(__xludf.DUMMYFUNCTION("""COMPUTED_VALUE"""),"BELUM GOLIVE")</f>
        <v>BELUM GOLIVE</v>
      </c>
      <c r="Y1838" s="229"/>
      <c r="Z1838" s="229" t="str">
        <f>IFERROR(__xludf.DUMMYFUNCTION("""COMPUTED_VALUE"""),"#N/A")</f>
        <v>#N/A</v>
      </c>
      <c r="AA1838" s="229"/>
      <c r="AB1838" s="229"/>
      <c r="AC1838" s="229"/>
      <c r="AD1838" s="232"/>
      <c r="AE1838" s="233"/>
      <c r="AF1838" s="54" t="str">
        <f>IFERROR(__xludf.DUMMYFUNCTION("""COMPUTED_VALUE"""),"Draft BA DROP")</f>
        <v>Draft BA DROP</v>
      </c>
      <c r="AG1838" s="54"/>
      <c r="AH1838" s="54"/>
      <c r="AI1838" s="55" t="str">
        <f t="shared" si="184"/>
        <v/>
      </c>
      <c r="AW1838" s="234"/>
      <c r="BP1838" s="11"/>
      <c r="BQ1838" s="11"/>
      <c r="BR1838" s="235"/>
      <c r="BV1838" s="158"/>
      <c r="BY1838" s="158"/>
      <c r="CB1838" s="158"/>
    </row>
    <row r="1839" ht="18.0" customHeight="1">
      <c r="A1839" s="222">
        <f>IFERROR(__xludf.DUMMYFUNCTION("""COMPUTED_VALUE"""),2026.0)</f>
        <v>2026</v>
      </c>
      <c r="B1839" s="221">
        <f>IFERROR(__xludf.DUMMYFUNCTION("""COMPUTED_VALUE"""),1.1037263E7)</f>
        <v>11037263</v>
      </c>
      <c r="C1839" s="222" t="str">
        <f>IFERROR(__xludf.DUMMYFUNCTION("""COMPUTED_VALUE"""),"SMB P3I7 STTF PT3 JI. Sungai Pisang Tlk.Kabung")</f>
        <v>SMB P3I7 STTF PT3 JI. Sungai Pisang Tlk.Kabung</v>
      </c>
      <c r="D1839" s="222" t="str">
        <f>IFERROR(__xludf.DUMMYFUNCTION("""COMPUTED_VALUE"""),"REGIONAL I")</f>
        <v>REGIONAL I</v>
      </c>
      <c r="E1839" s="222" t="str">
        <f>IFERROR(__xludf.DUMMYFUNCTION("""COMPUTED_VALUE"""),"SUMBAR")</f>
        <v>SUMBAR</v>
      </c>
      <c r="F1839" s="222" t="str">
        <f>IFERROR(__xludf.DUMMYFUNCTION("""COMPUTED_VALUE"""),"BGS")</f>
        <v>BGS</v>
      </c>
      <c r="G1839" s="222" t="str">
        <f>IFERROR(__xludf.DUMMYFUNCTION("""COMPUTED_VALUE"""),"SUMBAGTENG")</f>
        <v>SUMBAGTENG</v>
      </c>
      <c r="H1839" s="222" t="str">
        <f>IFERROR(__xludf.DUMMYFUNCTION("""COMPUTED_VALUE"""),"PADANG")</f>
        <v>PADANG</v>
      </c>
      <c r="I1839" s="222" t="str">
        <f>IFERROR(__xludf.DUMMYFUNCTION("""COMPUTED_VALUE"""),"Batch 2")</f>
        <v>Batch 2</v>
      </c>
      <c r="J1839" s="225">
        <f>IFERROR(__xludf.DUMMYFUNCTION("""COMPUTED_VALUE"""),6.0)</f>
        <v>6</v>
      </c>
      <c r="K1839" s="224">
        <f>IFERROR(__xludf.DUMMYFUNCTION("""COMPUTED_VALUE"""),48.0)</f>
        <v>48</v>
      </c>
      <c r="L1839" s="226">
        <f>IFERROR(__xludf.DUMMYFUNCTION("""COMPUTED_VALUE"""),372392.0)</f>
        <v>372392</v>
      </c>
      <c r="M1839" s="227">
        <f>IFERROR(__xludf.DUMMYFUNCTION("""COMPUTED_VALUE"""),1.7874799E7)</f>
        <v>17874799</v>
      </c>
      <c r="N1839" s="222" t="str">
        <f>IFERROR(__xludf.DUMMYFUNCTION("""COMPUTED_VALUE"""),"PT ACERO CETHA METALINDO")</f>
        <v>PT ACERO CETHA METALINDO</v>
      </c>
      <c r="O1839" s="222" t="str">
        <f>IFERROR(__xludf.DUMMYFUNCTION("""COMPUTED_VALUE"""),"0. DROP")</f>
        <v>0. DROP</v>
      </c>
      <c r="P1839" s="222" t="str">
        <f>IFERROR(__xludf.DUMMYFUNCTION("""COMPUTED_VALUE"""),"0.1 Double Order")</f>
        <v>0.1 Double Order</v>
      </c>
      <c r="Q1839" s="222" t="str">
        <f>IFERROR(__xludf.DUMMYFUNCTION("""COMPUTED_VALUE"""),"(20/04) sudah aanwijziing, proses eval  (10/04) Proses aanwijziing , LOP HOLD FEEDER FULL ACC GO (27/01) Kendala feeder BGS-FC FULL Dan ODC 48 butuh UP ke 144")</f>
        <v>(20/04) sudah aanwijziing, proses eval  (10/04) Proses aanwijziing , LOP HOLD FEEDER FULL ACC GO (27/01) Kendala feeder BGS-FC FULL Dan ODC 48 butuh UP ke 144</v>
      </c>
      <c r="R1839" s="228"/>
      <c r="S1839" s="11"/>
      <c r="T1839" s="11"/>
      <c r="U1839" s="11"/>
      <c r="V1839" s="229" t="str">
        <f>IFERROR(__xludf.DUMMYFUNCTION("""COMPUTED_VALUE"""),"PRAMADIO SEPWILMAN")</f>
        <v>PRAMADIO SEPWILMAN</v>
      </c>
      <c r="W1839" s="229" t="str">
        <f>IFERROR(__xludf.DUMMYFUNCTION("""COMPUTED_VALUE"""),"MELKO NARWADI")</f>
        <v>MELKO NARWADI</v>
      </c>
      <c r="X1839" s="229" t="str">
        <f>IFERROR(__xludf.DUMMYFUNCTION("""COMPUTED_VALUE"""),"BELUM GOLIVE")</f>
        <v>BELUM GOLIVE</v>
      </c>
      <c r="Y1839" s="229"/>
      <c r="Z1839" s="229" t="str">
        <f>IFERROR(__xludf.DUMMYFUNCTION("""COMPUTED_VALUE"""),"#N/A")</f>
        <v>#N/A</v>
      </c>
      <c r="AA1839" s="229"/>
      <c r="AB1839" s="229"/>
      <c r="AC1839" s="229"/>
      <c r="AD1839" s="232"/>
      <c r="AE1839" s="233"/>
      <c r="AF1839" s="54" t="str">
        <f>IFERROR(__xludf.DUMMYFUNCTION("""COMPUTED_VALUE"""),"Draft BA DROP")</f>
        <v>Draft BA DROP</v>
      </c>
      <c r="AG1839" s="54"/>
      <c r="AH1839" s="54"/>
      <c r="AI1839" s="55" t="str">
        <f t="shared" si="184"/>
        <v/>
      </c>
      <c r="AW1839" s="234"/>
      <c r="BP1839" s="11"/>
      <c r="BQ1839" s="11"/>
      <c r="BR1839" s="235"/>
      <c r="BV1839" s="158"/>
      <c r="BY1839" s="158"/>
      <c r="CB1839" s="158"/>
    </row>
    <row r="1840" ht="18.0" customHeight="1">
      <c r="A1840" s="222">
        <f>IFERROR(__xludf.DUMMYFUNCTION("""COMPUTED_VALUE"""),2026.0)</f>
        <v>2026</v>
      </c>
      <c r="B1840" s="221">
        <f>IFERROR(__xludf.DUMMYFUNCTION("""COMPUTED_VALUE"""),1.1011858E7)</f>
        <v>11011858</v>
      </c>
      <c r="C1840" s="222" t="str">
        <f>IFERROR(__xludf.DUMMYFUNCTION("""COMPUTED_VALUE"""),"SMB P7I3 Paragon House")</f>
        <v>SMB P7I3 Paragon House</v>
      </c>
      <c r="D1840" s="222" t="str">
        <f>IFERROR(__xludf.DUMMYFUNCTION("""COMPUTED_VALUE"""),"REGIONAL I")</f>
        <v>REGIONAL I</v>
      </c>
      <c r="E1840" s="222" t="str">
        <f>IFERROR(__xludf.DUMMYFUNCTION("""COMPUTED_VALUE"""),"SUMBAR")</f>
        <v>SUMBAR</v>
      </c>
      <c r="F1840" s="222" t="str">
        <f>IFERROR(__xludf.DUMMYFUNCTION("""COMPUTED_VALUE"""),"KJI")</f>
        <v>KJI</v>
      </c>
      <c r="G1840" s="222" t="str">
        <f>IFERROR(__xludf.DUMMYFUNCTION("""COMPUTED_VALUE"""),"SUMBAGTENG")</f>
        <v>SUMBAGTENG</v>
      </c>
      <c r="H1840" s="222" t="str">
        <f>IFERROR(__xludf.DUMMYFUNCTION("""COMPUTED_VALUE"""),"PADANG")</f>
        <v>PADANG</v>
      </c>
      <c r="I1840" s="222" t="str">
        <f>IFERROR(__xludf.DUMMYFUNCTION("""COMPUTED_VALUE"""),"Batch 2")</f>
        <v>Batch 2</v>
      </c>
      <c r="J1840" s="225">
        <f>IFERROR(__xludf.DUMMYFUNCTION("""COMPUTED_VALUE"""),4.0)</f>
        <v>4</v>
      </c>
      <c r="K1840" s="224">
        <f>IFERROR(__xludf.DUMMYFUNCTION("""COMPUTED_VALUE"""),32.0)</f>
        <v>32</v>
      </c>
      <c r="L1840" s="226">
        <f>IFERROR(__xludf.DUMMYFUNCTION("""COMPUTED_VALUE"""),370221.0)</f>
        <v>370221</v>
      </c>
      <c r="M1840" s="227">
        <f>IFERROR(__xludf.DUMMYFUNCTION("""COMPUTED_VALUE"""),1.1847064E7)</f>
        <v>11847064</v>
      </c>
      <c r="N1840" s="222" t="str">
        <f>IFERROR(__xludf.DUMMYFUNCTION("""COMPUTED_VALUE"""),"PT TRI PENAMAS")</f>
        <v>PT TRI PENAMAS</v>
      </c>
      <c r="O1840" s="222" t="str">
        <f>IFERROR(__xludf.DUMMYFUNCTION("""COMPUTED_VALUE"""),"4. MATDEL")</f>
        <v>4. MATDEL</v>
      </c>
      <c r="P1840" s="222" t="str">
        <f>IFERROR(__xludf.DUMMYFUNCTION("""COMPUTED_VALUE"""),"4.4 Proses Pengiriman Pabribak ke WH")</f>
        <v>4.4 Proses Pengiriman Pabribak ke WH</v>
      </c>
      <c r="Q1840" s="222" t="str">
        <f>IFERROR(__xludf.DUMMYFUNCTION("""COMPUTED_VALUE"""),"(27/04) menunggu PO kabel 24 ADSS (20/04) sudah aanwijziing, proses eval  (10/04) Proses aanwijziing , LOP HOLD FEEDER FULL ACC GO (26/01) Kendala feeder KJI-FL FULL")</f>
        <v>(27/04) menunggu PO kabel 24 ADSS (20/04) sudah aanwijziing, proses eval  (10/04) Proses aanwijziing , LOP HOLD FEEDER FULL ACC GO (26/01) Kendala feeder KJI-FL FULL</v>
      </c>
      <c r="R1840" s="228"/>
      <c r="S1840" s="11"/>
      <c r="T1840" s="11"/>
      <c r="U1840" s="11"/>
      <c r="V1840" s="229" t="str">
        <f>IFERROR(__xludf.DUMMYFUNCTION("""COMPUTED_VALUE"""),"FABIO RAHMAN")</f>
        <v>FABIO RAHMAN</v>
      </c>
      <c r="W1840" s="229" t="str">
        <f>IFERROR(__xludf.DUMMYFUNCTION("""COMPUTED_VALUE"""),"MELKO NARWADI")</f>
        <v>MELKO NARWADI</v>
      </c>
      <c r="X1840" s="229" t="str">
        <f>IFERROR(__xludf.DUMMYFUNCTION("""COMPUTED_VALUE"""),"BELUM GOLIVE")</f>
        <v>BELUM GOLIVE</v>
      </c>
      <c r="Y1840" s="229"/>
      <c r="Z1840" s="229" t="str">
        <f>IFERROR(__xludf.DUMMYFUNCTION("""COMPUTED_VALUE"""),"#N/A")</f>
        <v>#N/A</v>
      </c>
      <c r="AA1840" s="229"/>
      <c r="AB1840" s="229"/>
      <c r="AC1840" s="229"/>
      <c r="AD1840" s="232"/>
      <c r="AE1840" s="233"/>
      <c r="AF1840" s="54"/>
      <c r="AG1840" s="54"/>
      <c r="AH1840" s="54"/>
      <c r="AI1840" s="55" t="str">
        <f t="shared" si="184"/>
        <v/>
      </c>
      <c r="AW1840" s="234"/>
      <c r="BP1840" s="11"/>
      <c r="BQ1840" s="11"/>
      <c r="BR1840" s="235"/>
      <c r="BV1840" s="158"/>
      <c r="BY1840" s="158"/>
      <c r="CB1840" s="158"/>
    </row>
    <row r="1841" ht="18.0" hidden="1" customHeight="1">
      <c r="A1841" s="222">
        <f>IFERROR(__xludf.DUMMYFUNCTION("""COMPUTED_VALUE"""),2026.0)</f>
        <v>2026</v>
      </c>
      <c r="B1841" s="221">
        <f>IFERROR(__xludf.DUMMYFUNCTION("""COMPUTED_VALUE"""),1.1541136E7)</f>
        <v>11541136</v>
      </c>
      <c r="C1841" s="222" t="str">
        <f>IFERROR(__xludf.DUMMYFUNCTION("""COMPUTED_VALUE"""),"SMS P3I1 PT4 BET FXX DESA GAJAH MATI 1")</f>
        <v>SMS P3I1 PT4 BET FXX DESA GAJAH MATI 1</v>
      </c>
      <c r="D1841" s="222" t="str">
        <f>IFERROR(__xludf.DUMMYFUNCTION("""COMPUTED_VALUE"""),"REGIONAL I")</f>
        <v>REGIONAL I</v>
      </c>
      <c r="E1841" s="222" t="str">
        <f>IFERROR(__xludf.DUMMYFUNCTION("""COMPUTED_VALUE"""),"SUMSEL")</f>
        <v>SUMSEL</v>
      </c>
      <c r="F1841" s="222" t="str">
        <f>IFERROR(__xludf.DUMMYFUNCTION("""COMPUTED_VALUE"""),"BET")</f>
        <v>BET</v>
      </c>
      <c r="G1841" s="222" t="str">
        <f>IFERROR(__xludf.DUMMYFUNCTION("""COMPUTED_VALUE"""),"SUMBAGSEL")</f>
        <v>SUMBAGSEL</v>
      </c>
      <c r="H1841" s="222" t="str">
        <f>IFERROR(__xludf.DUMMYFUNCTION("""COMPUTED_VALUE"""),"PALEMBANG")</f>
        <v>PALEMBANG</v>
      </c>
      <c r="I1841" s="222" t="str">
        <f>IFERROR(__xludf.DUMMYFUNCTION("""COMPUTED_VALUE"""),"Batch 2")</f>
        <v>Batch 2</v>
      </c>
      <c r="J1841" s="225">
        <f>IFERROR(__xludf.DUMMYFUNCTION("""COMPUTED_VALUE"""),31.0)</f>
        <v>31</v>
      </c>
      <c r="K1841" s="224">
        <f>IFERROR(__xludf.DUMMYFUNCTION("""COMPUTED_VALUE"""),240.0)</f>
        <v>240</v>
      </c>
      <c r="L1841" s="226">
        <f>IFERROR(__xludf.DUMMYFUNCTION("""COMPUTED_VALUE"""),1439601.0)</f>
        <v>1439601</v>
      </c>
      <c r="M1841" s="227">
        <f>IFERROR(__xludf.DUMMYFUNCTION("""COMPUTED_VALUE"""),3.45504178E8)</f>
        <v>345504178</v>
      </c>
      <c r="N1841" s="222" t="str">
        <f>IFERROR(__xludf.DUMMYFUNCTION("""COMPUTED_VALUE"""),"PT MAJU JAYA TEKNOLOGI")</f>
        <v>PT MAJU JAYA TEKNOLOGI</v>
      </c>
      <c r="O1841" s="222" t="str">
        <f>IFERROR(__xludf.DUMMYFUNCTION("""COMPUTED_VALUE"""),"3. PERIZINAN")</f>
        <v>3. PERIZINAN</v>
      </c>
      <c r="P1841" s="222" t="str">
        <f>IFERROR(__xludf.DUMMYFUNCTION("""COMPUTED_VALUE"""),"3.1 Submit permohon ke PU")</f>
        <v>3.1 Submit permohon ke PU</v>
      </c>
      <c r="Q1841" s="222" t="str">
        <f>IFERROR(__xludf.DUMMYFUNCTION("""COMPUTED_VALUE"""),"27/04 MASIH MENUNGGU BERKAS SURAT PU YG DI RILIS TIF, 24/04 berkas surat pu nasional belum rilis dari tif (bang arif HAI), 09/04 KOORDINASI DG PAK ARIF (TIF HAI)TERKAIT PEMBERKASAN PERIZINAN PU,  08/04 KOORDINASI DG PAK ARIF TERKAIT PERIZINAN PU, 06/04 PL"&amp;"AN HARI INI BERTEMU PAK ARIF - KOORDINASI MENGENAI PERIZINAN PU, 01/04 MASIH MELENGKAPI DOKUMEN, 30/03 MASIH MELENGKAPI DOKUMEN, 27/03 BLM ADA INFO TSEL (PAK ARIF) TERKAIT KELANJUTAN PERIZINAN, 25/03 BLM ADA INFO TSEL TERKAIT KELANJUTAN PERIZINAN, 21/03 S"&amp;"DH SUBMIT PERIZINAN KE TSEL TINGGAL MENUNGGU KONFIRMASI KELANJUTANNYA, 17/03 MASIH MENUNGGU KONFIRMASI DARI TSEL, 13/03 MASIH MENUNGGU KONFIRMASI DARI TSEL, 11/03 SUDAH SUBMIT PERIZINAN KE TSEL, 10/03 OGP MELENGKAPI DOKUMEN PERIZINAN, 03/03 MASIH BERTANYA"&amp;" TERKAIT SYARAT PERIZINAN - BLM ADA INFO, 02/03 LAGI MENANYAKAN SYARAT PERIZINANNYA APA SAJA, 27/02 MASIH MENUNGGU PU, 25/02 MASIH MENUNGGU PU,22/2 perizinan PU NAS 06/02 HASIL REVIEW TSEL ADA NYA PENURUNAN BOQ DRI PLAN SEBESAR 14% DAN CPP 1,2, MASUK KERU"&amp;"AS PU NASIONAL DAN PERTAGAS,30/01 DONE AANWIDJZING, 28/01 OGP AANWIDJZING, (26/1) tim TIF belum bisa EVAL hasil anwijzing karena lagi diluar kota , estimasi 29 jan baru kembali ke Palembang(24/1) plan aawijdizng 27/1 (20/01) menunggu antiran aanwizjing mi"&amp;"tra, (20/1) MJT setuju (15/1) ORDER DITERIMA 14/1 ,PLAN AANWIJDZING 21 JAN 26 (26/11) ORDER HOLD , FLAGGING ""TIDAK LANJUT DARI PED"" (25/11 MJT setuju, 24/11 penunjukkan mitra MJT, (14/11) MItra MJS blm ambil pekerjaan baru terkait close pekerjaan lama ("&amp;"13/11 Masih Penunjukkan MITRA (11/11) Penunjukkan MITRA  oleh Procurement 23/10 mitra triputra menolak ambil lop ini, saat ini lagi penunjukan mitra baru 
15/10 belum ada jadwal aanwizjing
(08/10) menunggu jadwal aanwizjing
(01/10) menunggu jadwal aanwizj"&amp;"ing
(19/09) penjadwalan untuk aanizjing
14/01 Surat lanjut kerja oleh procurement")</f>
        <v>27/04 MASIH MENUNGGU BERKAS SURAT PU YG DI RILIS TIF, 24/04 berkas surat pu nasional belum rilis dari tif (bang arif HAI), 09/04 KOORDINASI DG PAK ARIF (TIF HAI)TERKAIT PEMBERKASAN PERIZINAN PU,  08/04 KOORDINASI DG PAK ARIF TERKAIT PERIZINAN PU, 06/04 PLAN HARI INI BERTEMU PAK ARIF - KOORDINASI MENGENAI PERIZINAN PU, 01/04 MASIH MELENGKAPI DOKUMEN, 30/03 MASIH MELENGKAPI DOKUMEN, 27/03 BLM ADA INFO TSEL (PAK ARIF) TERKAIT KELANJUTAN PERIZINAN, 25/03 BLM ADA INFO TSEL TERKAIT KELANJUTAN PERIZINAN, 21/03 SDH SUBMIT PERIZINAN KE TSEL TINGGAL MENUNGGU KONFIRMASI KELANJUTANNYA, 17/03 MASIH MENUNGGU KONFIRMASI DARI TSEL, 13/03 MASIH MENUNGGU KONFIRMASI DARI TSEL, 11/03 SUDAH SUBMIT PERIZINAN KE TSEL, 10/03 OGP MELENGKAPI DOKUMEN PERIZINAN, 03/03 MASIH BERTANYA TERKAIT SYARAT PERIZINAN - BLM ADA INFO, 02/03 LAGI MENANYAKAN SYARAT PERIZINANNYA APA SAJA, 27/02 MASIH MENUNGGU PU, 25/02 MASIH MENUNGGU PU,22/2 perizinan PU NAS 06/02 HASIL REVIEW TSEL ADA NYA PENURUNAN BOQ DRI PLAN SEBESAR 14% DAN CPP 1,2, MASUK KERUAS PU NASIONAL DAN PERTAGAS,30/01 DONE AANWIDJZING, 28/01 OGP AANWIDJZING, (26/1) tim TIF belum bisa EVAL hasil anwijzing karena lagi diluar kota , estimasi 29 jan baru kembali ke Palembang(24/1) plan aawijdizng 27/1 (20/01) menunggu antiran aanwizjing mitra, (20/1) MJT setuju (15/1) ORDER DITERIMA 14/1 ,PLAN AANWIJDZING 21 JAN 26 (26/11) ORDER HOLD , FLAGGING "TIDAK LANJUT DARI PED" (25/11 MJT setuju, 24/11 penunjukkan mitra MJT, (14/11) MItra MJS blm ambil pekerjaan baru terkait close pekerjaan lama (13/11 Masih Penunjukkan MITRA (11/11) Penunjukkan MITRA  oleh Procurement 23/10 mitra triputra menolak ambil lop ini, saat ini lagi penunjukan mitra baru 
15/10 belum ada jadwal aanwizjing
(08/10) menunggu jadwal aanwizjing
(01/10) menunggu jadwal aanwizjing
(19/09) penjadwalan untuk aanizjing
14/01 Surat lanjut kerja oleh procurement</v>
      </c>
      <c r="R1841" s="228"/>
      <c r="S1841" s="11"/>
      <c r="T1841" s="11" t="str">
        <f>IFERROR(__xludf.DUMMYFUNCTION("""COMPUTED_VALUE"""),"P1")</f>
        <v>P1</v>
      </c>
      <c r="U1841" s="11"/>
      <c r="V1841" s="229" t="str">
        <f>IFERROR(__xludf.DUMMYFUNCTION("""COMPUTED_VALUE"""),"TEGAR")</f>
        <v>TEGAR</v>
      </c>
      <c r="W1841" s="229"/>
      <c r="X1841" s="229" t="str">
        <f>IFERROR(__xludf.DUMMYFUNCTION("""COMPUTED_VALUE"""),"BELUM GOLIVE")</f>
        <v>BELUM GOLIVE</v>
      </c>
      <c r="Y1841" s="229"/>
      <c r="Z1841" s="229"/>
      <c r="AA1841" s="229"/>
      <c r="AB1841" s="229"/>
      <c r="AC1841" s="229"/>
      <c r="AD1841" s="232"/>
      <c r="AE1841" s="233"/>
      <c r="AF1841" s="54"/>
      <c r="AG1841" s="54"/>
      <c r="AH1841" s="54"/>
      <c r="AI1841" s="55" t="str">
        <f t="shared" si="184"/>
        <v/>
      </c>
      <c r="AW1841" s="234"/>
      <c r="BP1841" s="11"/>
      <c r="BQ1841" s="11"/>
      <c r="BR1841" s="235"/>
      <c r="BV1841" s="158"/>
      <c r="BY1841" s="158"/>
      <c r="CB1841" s="158"/>
    </row>
    <row r="1842" ht="18.0" customHeight="1">
      <c r="A1842" s="222">
        <f>IFERROR(__xludf.DUMMYFUNCTION("""COMPUTED_VALUE"""),2026.0)</f>
        <v>2026</v>
      </c>
      <c r="B1842" s="221">
        <f>IFERROR(__xludf.DUMMYFUNCTION("""COMPUTED_VALUE"""),1.221976E7)</f>
        <v>12219760</v>
      </c>
      <c r="C1842" s="222" t="str">
        <f>IFERROR(__xludf.DUMMYFUNCTION("""COMPUTED_VALUE"""),"RDR JPP PT3 INDRAGIRI HULU_143079")</f>
        <v>RDR JPP PT3 INDRAGIRI HULU_143079</v>
      </c>
      <c r="D1842" s="222" t="str">
        <f>IFERROR(__xludf.DUMMYFUNCTION("""COMPUTED_VALUE"""),"REGIONAL I")</f>
        <v>REGIONAL I</v>
      </c>
      <c r="E1842" s="222" t="str">
        <f>IFERROR(__xludf.DUMMYFUNCTION("""COMPUTED_VALUE"""),"RIDAR")</f>
        <v>RIDAR</v>
      </c>
      <c r="F1842" s="222" t="str">
        <f>IFERROR(__xludf.DUMMYFUNCTION("""COMPUTED_VALUE"""),"AMK")</f>
        <v>AMK</v>
      </c>
      <c r="G1842" s="222" t="str">
        <f>IFERROR(__xludf.DUMMYFUNCTION("""COMPUTED_VALUE"""),"SUMBAGTENG")</f>
        <v>SUMBAGTENG</v>
      </c>
      <c r="H1842" s="222" t="str">
        <f>IFERROR(__xludf.DUMMYFUNCTION("""COMPUTED_VALUE"""),"PEKANBARU")</f>
        <v>PEKANBARU</v>
      </c>
      <c r="I1842" s="222" t="str">
        <f>IFERROR(__xludf.DUMMYFUNCTION("""COMPUTED_VALUE"""),"Batch 2")</f>
        <v>Batch 2</v>
      </c>
      <c r="J1842" s="225">
        <f>IFERROR(__xludf.DUMMYFUNCTION("""COMPUTED_VALUE"""),15.0)</f>
        <v>15</v>
      </c>
      <c r="K1842" s="224">
        <f>IFERROR(__xludf.DUMMYFUNCTION("""COMPUTED_VALUE"""),120.0)</f>
        <v>120</v>
      </c>
      <c r="L1842" s="226">
        <f>IFERROR(__xludf.DUMMYFUNCTION("""COMPUTED_VALUE"""),983105.0)</f>
        <v>983105</v>
      </c>
      <c r="M1842" s="227">
        <f>IFERROR(__xludf.DUMMYFUNCTION("""COMPUTED_VALUE"""),1.17972581E8)</f>
        <v>117972581</v>
      </c>
      <c r="N1842" s="222" t="str">
        <f>IFERROR(__xludf.DUMMYFUNCTION("""COMPUTED_VALUE"""),"PT KENCANA RAYA INDONESIA")</f>
        <v>PT KENCANA RAYA INDONESIA</v>
      </c>
      <c r="O1842" s="222" t="str">
        <f>IFERROR(__xludf.DUMMYFUNCTION("""COMPUTED_VALUE"""),"7. GOLIVE")</f>
        <v>7. GOLIVE</v>
      </c>
      <c r="P1842" s="222" t="str">
        <f>IFERROR(__xludf.DUMMYFUNCTION("""COMPUTED_VALUE"""),"7.2 Golive Full / OA / DONE OTB")</f>
        <v>7.2 Golive Full / OA / DONE OTB</v>
      </c>
      <c r="Q1842" s="222" t="str">
        <f>IFERROR(__xludf.DUMMYFUNCTION("""COMPUTED_VALUE"""),"29/01 Repair kabel eksiting 21/01 Repair kabel dist eksisting (07/01) Persiapan")</f>
        <v>29/01 Repair kabel eksiting 21/01 Repair kabel dist eksisting (07/01) Persiapan</v>
      </c>
      <c r="R1842" s="228">
        <f>IFERROR(__xludf.DUMMYFUNCTION("""COMPUTED_VALUE"""),46081.0)</f>
        <v>46081</v>
      </c>
      <c r="S1842" s="11"/>
      <c r="T1842" s="11"/>
      <c r="U1842" s="11" t="str">
        <f>IFERROR(__xludf.DUMMYFUNCTION("""COMPUTED_VALUE"""),"W08-1752/2025")</f>
        <v>W08-1752/2025</v>
      </c>
      <c r="V1842" s="229" t="str">
        <f>IFERROR(__xludf.DUMMYFUNCTION("""COMPUTED_VALUE"""),"PIKI NOFRI SAPUTRA")</f>
        <v>PIKI NOFRI SAPUTRA</v>
      </c>
      <c r="W1842" s="229" t="str">
        <f>IFERROR(__xludf.DUMMYFUNCTION("""COMPUTED_VALUE"""),"ANZALA SAKINAH")</f>
        <v>ANZALA SAKINAH</v>
      </c>
      <c r="X1842" s="229" t="str">
        <f>IFERROR(__xludf.DUMMYFUNCTION("""COMPUTED_VALUE"""),"GOLIVE")</f>
        <v>GOLIVE</v>
      </c>
      <c r="Y1842" s="229" t="str">
        <f>IFERROR(__xludf.DUMMYFUNCTION("""COMPUTED_VALUE"""),"DONE")</f>
        <v>DONE</v>
      </c>
      <c r="Z1842" s="229" t="str">
        <f>IFERROR(__xludf.DUMMYFUNCTION("""COMPUTED_VALUE"""),"#N/A")</f>
        <v>#N/A</v>
      </c>
      <c r="AA1842" s="229">
        <f>IFERROR(__xludf.DUMMYFUNCTION("""COMPUTED_VALUE"""),15.0)</f>
        <v>15</v>
      </c>
      <c r="AB1842" s="229"/>
      <c r="AC1842" s="229" t="str">
        <f>IFERROR(__xludf.DUMMYFUNCTION("""COMPUTED_VALUE"""),"9081293#9081298")</f>
        <v>9081293#9081298</v>
      </c>
      <c r="AD1842" s="232">
        <f>IFERROR(__xludf.DUMMYFUNCTION("""COMPUTED_VALUE"""),120.0)</f>
        <v>120</v>
      </c>
      <c r="AE1842" s="233">
        <f>IFERROR(__xludf.DUMMYFUNCTION("""COMPUTED_VALUE"""),46061.0)</f>
        <v>46061</v>
      </c>
      <c r="AF1842" s="54"/>
      <c r="AG1842" s="54"/>
      <c r="AH1842" s="54">
        <v>46130.0</v>
      </c>
      <c r="AI1842" s="237">
        <f>AH1842-NOW()</f>
        <v>-10.37798994</v>
      </c>
      <c r="AJ1842" s="229" t="str">
        <f>if(AI1842&gt;=0,"In Komitmen","Out Komitmen")</f>
        <v>Out Komitmen</v>
      </c>
      <c r="AW1842" s="234"/>
      <c r="BP1842" s="11"/>
      <c r="BQ1842" s="11"/>
      <c r="BR1842" s="235"/>
      <c r="BV1842" s="158"/>
      <c r="BY1842" s="158"/>
      <c r="CB1842" s="158"/>
    </row>
    <row r="1843" ht="18.0" customHeight="1">
      <c r="A1843" s="222">
        <f>IFERROR(__xludf.DUMMYFUNCTION("""COMPUTED_VALUE"""),2026.0)</f>
        <v>2026</v>
      </c>
      <c r="B1843" s="221">
        <f>IFERROR(__xludf.DUMMYFUNCTION("""COMPUTED_VALUE"""),1.2219347E7)</f>
        <v>12219347</v>
      </c>
      <c r="C1843" s="222" t="str">
        <f>IFERROR(__xludf.DUMMYFUNCTION("""COMPUTED_VALUE"""),"RDR JPP PT3 BTN GRIYA PULAI SAKINAH")</f>
        <v>RDR JPP PT3 BTN GRIYA PULAI SAKINAH</v>
      </c>
      <c r="D1843" s="222" t="str">
        <f>IFERROR(__xludf.DUMMYFUNCTION("""COMPUTED_VALUE"""),"REGIONAL I")</f>
        <v>REGIONAL I</v>
      </c>
      <c r="E1843" s="222" t="str">
        <f>IFERROR(__xludf.DUMMYFUNCTION("""COMPUTED_VALUE"""),"RIDAR")</f>
        <v>RIDAR</v>
      </c>
      <c r="F1843" s="222" t="str">
        <f>IFERROR(__xludf.DUMMYFUNCTION("""COMPUTED_VALUE"""),"DUM")</f>
        <v>DUM</v>
      </c>
      <c r="G1843" s="222" t="str">
        <f>IFERROR(__xludf.DUMMYFUNCTION("""COMPUTED_VALUE"""),"SUMBAGTENG")</f>
        <v>SUMBAGTENG</v>
      </c>
      <c r="H1843" s="222" t="str">
        <f>IFERROR(__xludf.DUMMYFUNCTION("""COMPUTED_VALUE"""),"DUMAI")</f>
        <v>DUMAI</v>
      </c>
      <c r="I1843" s="222" t="str">
        <f>IFERROR(__xludf.DUMMYFUNCTION("""COMPUTED_VALUE"""),"Batch 2")</f>
        <v>Batch 2</v>
      </c>
      <c r="J1843" s="225">
        <f>IFERROR(__xludf.DUMMYFUNCTION("""COMPUTED_VALUE"""),8.0)</f>
        <v>8</v>
      </c>
      <c r="K1843" s="224">
        <f>IFERROR(__xludf.DUMMYFUNCTION("""COMPUTED_VALUE"""),64.0)</f>
        <v>64</v>
      </c>
      <c r="L1843" s="226">
        <f>IFERROR(__xludf.DUMMYFUNCTION("""COMPUTED_VALUE"""),798135.0)</f>
        <v>798135</v>
      </c>
      <c r="M1843" s="227">
        <f>IFERROR(__xludf.DUMMYFUNCTION("""COMPUTED_VALUE"""),5.1080608E7)</f>
        <v>51080608</v>
      </c>
      <c r="N1843" s="222" t="str">
        <f>IFERROR(__xludf.DUMMYFUNCTION("""COMPUTED_VALUE"""),"PT TRIPOLA PANATA")</f>
        <v>PT TRIPOLA PANATA</v>
      </c>
      <c r="O1843" s="222" t="str">
        <f>IFERROR(__xludf.DUMMYFUNCTION("""COMPUTED_VALUE"""),"7. GOLIVE")</f>
        <v>7. GOLIVE</v>
      </c>
      <c r="P1843" s="222" t="str">
        <f>IFERROR(__xludf.DUMMYFUNCTION("""COMPUTED_VALUE"""),"7.2 Golive Full / OA / DONE OTB")</f>
        <v>7.2 Golive Full / OA / DONE OTB</v>
      </c>
      <c r="Q1843" s="222" t="str">
        <f>IFERROR(__xludf.DUMMYFUNCTION("""COMPUTED_VALUE"""),"20/04 Pemasangan ODP 13/04 Penanaman tiang  06/04 Pengiriman mateiral ke Lokasi 30/03 Pengambialn material tgl 02 April 2026 27/03 Pekerjaan mulai progres senin 30 Mar 16/03 Pekerjaan dilanjut setelah RAFI 05/03 Menunggu PO Kabel ADSS sampai di WH Pekanba"&amp;"ru 10/02 Antrian Tim Mitra 29/01 Antrian review hasil anwidzing 21/01 Terget selesai survey 24 Jan (07/01) Persiapan")</f>
        <v>20/04 Pemasangan ODP 13/04 Penanaman tiang  06/04 Pengiriman mateiral ke Lokasi 30/03 Pengambialn material tgl 02 April 2026 27/03 Pekerjaan mulai progres senin 30 Mar 16/03 Pekerjaan dilanjut setelah RAFI 05/03 Menunggu PO Kabel ADSS sampai di WH Pekanbaru 10/02 Antrian Tim Mitra 29/01 Antrian review hasil anwidzing 21/01 Terget selesai survey 24 Jan (07/01) Persiapan</v>
      </c>
      <c r="R1843" s="228">
        <f>IFERROR(__xludf.DUMMYFUNCTION("""COMPUTED_VALUE"""),46134.0)</f>
        <v>46134</v>
      </c>
      <c r="S1843" s="11" t="str">
        <f>IFERROR(__xludf.DUMMYFUNCTION("""COMPUTED_VALUE"""),"APR")</f>
        <v>APR</v>
      </c>
      <c r="T1843" s="73" t="str">
        <f>IFERROR(__xludf.DUMMYFUNCTION("""COMPUTED_VALUE"""),"P1")</f>
        <v>P1</v>
      </c>
      <c r="U1843" s="11" t="str">
        <f>IFERROR(__xludf.DUMMYFUNCTION("""COMPUTED_VALUE"""),"W08-1751/2025")</f>
        <v>W08-1751/2025</v>
      </c>
      <c r="V1843" s="229" t="str">
        <f>IFERROR(__xludf.DUMMYFUNCTION("""COMPUTED_VALUE"""),"SYAFRIAL")</f>
        <v>SYAFRIAL</v>
      </c>
      <c r="W1843" s="229" t="str">
        <f>IFERROR(__xludf.DUMMYFUNCTION("""COMPUTED_VALUE"""),"DESLITA RAHMADANI")</f>
        <v>DESLITA RAHMADANI</v>
      </c>
      <c r="X1843" s="229" t="str">
        <f>IFERROR(__xludf.DUMMYFUNCTION("""COMPUTED_VALUE"""),"GOLIVE")</f>
        <v>GOLIVE</v>
      </c>
      <c r="Y1843" s="229"/>
      <c r="Z1843" s="229" t="str">
        <f>IFERROR(__xludf.DUMMYFUNCTION("""COMPUTED_VALUE"""),"#N/A")</f>
        <v>#N/A</v>
      </c>
      <c r="AA1843" s="229">
        <f>IFERROR(__xludf.DUMMYFUNCTION("""COMPUTED_VALUE"""),8.0)</f>
        <v>8</v>
      </c>
      <c r="AB1843" s="229"/>
      <c r="AC1843" s="229"/>
      <c r="AD1843" s="232">
        <f>IFERROR(__xludf.DUMMYFUNCTION("""COMPUTED_VALUE"""),64.0)</f>
        <v>64</v>
      </c>
      <c r="AE1843" s="233">
        <f>IFERROR(__xludf.DUMMYFUNCTION("""COMPUTED_VALUE"""),46134.0)</f>
        <v>46134</v>
      </c>
      <c r="AF1843" s="54"/>
      <c r="AG1843" s="54"/>
      <c r="AH1843" s="54">
        <v>46133.0</v>
      </c>
      <c r="AI1843" s="55">
        <f t="shared" ref="AI1843:AI1844" si="185">IF(OR(AH1843="",AE1843=""),"",AH1843-AE1843)</f>
        <v>-1</v>
      </c>
      <c r="AJ1843" s="229" t="str">
        <f t="shared" ref="AJ1843:AJ1844" si="186">if(AI1843&gt;=0,"Gl in Komitmen","Gl out komitmen")</f>
        <v>Gl out komitmen</v>
      </c>
      <c r="AK1843" s="231" t="s">
        <v>199</v>
      </c>
      <c r="AW1843" s="234"/>
      <c r="BP1843" s="11"/>
      <c r="BQ1843" s="11"/>
      <c r="BR1843" s="235"/>
      <c r="BV1843" s="158"/>
      <c r="BY1843" s="158"/>
      <c r="CB1843" s="158"/>
    </row>
    <row r="1844" ht="18.0" customHeight="1">
      <c r="A1844" s="222">
        <f>IFERROR(__xludf.DUMMYFUNCTION("""COMPUTED_VALUE"""),2026.0)</f>
        <v>2026</v>
      </c>
      <c r="B1844" s="221">
        <f>IFERROR(__xludf.DUMMYFUNCTION("""COMPUTED_VALUE"""),1.2250428E7)</f>
        <v>12250428</v>
      </c>
      <c r="C1844" s="222" t="str">
        <f>IFERROR(__xludf.DUMMYFUNCTION("""COMPUTED_VALUE"""),"RDR JPP PT3 RUMAH GM MOBILE")</f>
        <v>RDR JPP PT3 RUMAH GM MOBILE</v>
      </c>
      <c r="D1844" s="222" t="str">
        <f>IFERROR(__xludf.DUMMYFUNCTION("""COMPUTED_VALUE"""),"REGIONAL I")</f>
        <v>REGIONAL I</v>
      </c>
      <c r="E1844" s="222" t="str">
        <f>IFERROR(__xludf.DUMMYFUNCTION("""COMPUTED_VALUE"""),"RIDAR")</f>
        <v>RIDAR</v>
      </c>
      <c r="F1844" s="222" t="str">
        <f>IFERROR(__xludf.DUMMYFUNCTION("""COMPUTED_VALUE"""),"DUM")</f>
        <v>DUM</v>
      </c>
      <c r="G1844" s="222" t="str">
        <f>IFERROR(__xludf.DUMMYFUNCTION("""COMPUTED_VALUE"""),"SUMBAGTENG")</f>
        <v>SUMBAGTENG</v>
      </c>
      <c r="H1844" s="222" t="str">
        <f>IFERROR(__xludf.DUMMYFUNCTION("""COMPUTED_VALUE"""),"DUMAI")</f>
        <v>DUMAI</v>
      </c>
      <c r="I1844" s="222" t="str">
        <f>IFERROR(__xludf.DUMMYFUNCTION("""COMPUTED_VALUE"""),"Batch 2")</f>
        <v>Batch 2</v>
      </c>
      <c r="J1844" s="225">
        <f>IFERROR(__xludf.DUMMYFUNCTION("""COMPUTED_VALUE"""),10.0)</f>
        <v>10</v>
      </c>
      <c r="K1844" s="224">
        <f>IFERROR(__xludf.DUMMYFUNCTION("""COMPUTED_VALUE"""),80.0)</f>
        <v>80</v>
      </c>
      <c r="L1844" s="226">
        <f>IFERROR(__xludf.DUMMYFUNCTION("""COMPUTED_VALUE"""),761171.0)</f>
        <v>761171</v>
      </c>
      <c r="M1844" s="227">
        <f>IFERROR(__xludf.DUMMYFUNCTION("""COMPUTED_VALUE"""),6.089362E7)</f>
        <v>60893620</v>
      </c>
      <c r="N1844" s="222" t="str">
        <f>IFERROR(__xludf.DUMMYFUNCTION("""COMPUTED_VALUE"""),"PT TIGA AKSES MANDIRI")</f>
        <v>PT TIGA AKSES MANDIRI</v>
      </c>
      <c r="O1844" s="222" t="str">
        <f>IFERROR(__xludf.DUMMYFUNCTION("""COMPUTED_VALUE"""),"7. GOLIVE")</f>
        <v>7. GOLIVE</v>
      </c>
      <c r="P1844" s="222" t="str">
        <f>IFERROR(__xludf.DUMMYFUNCTION("""COMPUTED_VALUE"""),"7.2 Golive Full / OA / DONE OTB")</f>
        <v>7.2 Golive Full / OA / DONE OTB</v>
      </c>
      <c r="Q1844" s="222" t="str">
        <f>IFERROR(__xludf.DUMMYFUNCTION("""COMPUTED_VALUE"""),"13/04 Pemasangan odp08/04 Penarikan kabel 06/04 Penanaman tiang 30/03 Prepare pengambilan material 20/01 Feeder butuh repair (07/01) Persiapan")</f>
        <v>13/04 Pemasangan odp08/04 Penarikan kabel 06/04 Penanaman tiang 30/03 Prepare pengambilan material 20/01 Feeder butuh repair (07/01) Persiapan</v>
      </c>
      <c r="R1844" s="228">
        <f>IFERROR(__xludf.DUMMYFUNCTION("""COMPUTED_VALUE"""),46133.0)</f>
        <v>46133</v>
      </c>
      <c r="S1844" s="11"/>
      <c r="T1844" s="73"/>
      <c r="U1844" s="11" t="str">
        <f>IFERROR(__xludf.DUMMYFUNCTION("""COMPUTED_VALUE"""),"W08-81/2026")</f>
        <v>W08-81/2026</v>
      </c>
      <c r="V1844" s="229" t="str">
        <f>IFERROR(__xludf.DUMMYFUNCTION("""COMPUTED_VALUE"""),"PIKI NOFRI SAPUTRA")</f>
        <v>PIKI NOFRI SAPUTRA</v>
      </c>
      <c r="W1844" s="229" t="str">
        <f>IFERROR(__xludf.DUMMYFUNCTION("""COMPUTED_VALUE"""),"DESLITA RAHMADANI")</f>
        <v>DESLITA RAHMADANI</v>
      </c>
      <c r="X1844" s="229" t="str">
        <f>IFERROR(__xludf.DUMMYFUNCTION("""COMPUTED_VALUE"""),"GOLIVE")</f>
        <v>GOLIVE</v>
      </c>
      <c r="Y1844" s="229" t="str">
        <f>IFERROR(__xludf.DUMMYFUNCTION("""COMPUTED_VALUE"""),"DONE")</f>
        <v>DONE</v>
      </c>
      <c r="Z1844" s="229" t="str">
        <f>IFERROR(__xludf.DUMMYFUNCTION("""COMPUTED_VALUE"""),"#N/A")</f>
        <v>#N/A</v>
      </c>
      <c r="AA1844" s="229">
        <f>IFERROR(__xludf.DUMMYFUNCTION("""COMPUTED_VALUE"""),10.0)</f>
        <v>10</v>
      </c>
      <c r="AB1844" s="229"/>
      <c r="AC1844" s="229" t="str">
        <f>IFERROR(__xludf.DUMMYFUNCTION("""COMPUTED_VALUE"""),"9283727#9283732")</f>
        <v>9283727#9283732</v>
      </c>
      <c r="AD1844" s="232">
        <f>IFERROR(__xludf.DUMMYFUNCTION("""COMPUTED_VALUE"""),80.0)</f>
        <v>80</v>
      </c>
      <c r="AE1844" s="233">
        <f>IFERROR(__xludf.DUMMYFUNCTION("""COMPUTED_VALUE"""),46133.0)</f>
        <v>46133</v>
      </c>
      <c r="AF1844" s="54"/>
      <c r="AG1844" s="54"/>
      <c r="AH1844" s="54">
        <v>46127.0</v>
      </c>
      <c r="AI1844" s="55">
        <f t="shared" si="185"/>
        <v>-6</v>
      </c>
      <c r="AJ1844" s="229" t="str">
        <f t="shared" si="186"/>
        <v>Gl out komitmen</v>
      </c>
      <c r="AK1844" s="231" t="s">
        <v>199</v>
      </c>
      <c r="AW1844" s="234"/>
      <c r="BP1844" s="11"/>
      <c r="BQ1844" s="11"/>
      <c r="BR1844" s="235"/>
      <c r="BV1844" s="158"/>
      <c r="BY1844" s="158"/>
      <c r="CB1844" s="158"/>
    </row>
    <row r="1845" ht="18.0" customHeight="1">
      <c r="A1845" s="222">
        <f>IFERROR(__xludf.DUMMYFUNCTION("""COMPUTED_VALUE"""),2026.0)</f>
        <v>2026</v>
      </c>
      <c r="B1845" s="221">
        <f>IFERROR(__xludf.DUMMYFUNCTION("""COMPUTED_VALUE"""),1.225051E7)</f>
        <v>12250510</v>
      </c>
      <c r="C1845" s="222" t="str">
        <f>IFERROR(__xludf.DUMMYFUNCTION("""COMPUTED_VALUE"""),"RDR JPP PT3 JL. SIDOMULYO")</f>
        <v>RDR JPP PT3 JL. SIDOMULYO</v>
      </c>
      <c r="D1845" s="222" t="str">
        <f>IFERROR(__xludf.DUMMYFUNCTION("""COMPUTED_VALUE"""),"REGIONAL I")</f>
        <v>REGIONAL I</v>
      </c>
      <c r="E1845" s="222" t="str">
        <f>IFERROR(__xludf.DUMMYFUNCTION("""COMPUTED_VALUE"""),"RIDAR")</f>
        <v>RIDAR</v>
      </c>
      <c r="F1845" s="222" t="str">
        <f>IFERROR(__xludf.DUMMYFUNCTION("""COMPUTED_VALUE"""),"DUM")</f>
        <v>DUM</v>
      </c>
      <c r="G1845" s="222" t="str">
        <f>IFERROR(__xludf.DUMMYFUNCTION("""COMPUTED_VALUE"""),"SUMBAGTENG")</f>
        <v>SUMBAGTENG</v>
      </c>
      <c r="H1845" s="222" t="str">
        <f>IFERROR(__xludf.DUMMYFUNCTION("""COMPUTED_VALUE"""),"DUMAI")</f>
        <v>DUMAI</v>
      </c>
      <c r="I1845" s="222" t="str">
        <f>IFERROR(__xludf.DUMMYFUNCTION("""COMPUTED_VALUE"""),"Batch 2")</f>
        <v>Batch 2</v>
      </c>
      <c r="J1845" s="225">
        <f>IFERROR(__xludf.DUMMYFUNCTION("""COMPUTED_VALUE"""),8.0)</f>
        <v>8</v>
      </c>
      <c r="K1845" s="224">
        <f>IFERROR(__xludf.DUMMYFUNCTION("""COMPUTED_VALUE"""),64.0)</f>
        <v>64</v>
      </c>
      <c r="L1845" s="226">
        <f>IFERROR(__xludf.DUMMYFUNCTION("""COMPUTED_VALUE"""),855547.0)</f>
        <v>855547</v>
      </c>
      <c r="M1845" s="227">
        <f>IFERROR(__xludf.DUMMYFUNCTION("""COMPUTED_VALUE"""),5.475495E7)</f>
        <v>54754950</v>
      </c>
      <c r="N1845" s="222" t="str">
        <f>IFERROR(__xludf.DUMMYFUNCTION("""COMPUTED_VALUE"""),"PT LIBER PERSADA MANDIRI")</f>
        <v>PT LIBER PERSADA MANDIRI</v>
      </c>
      <c r="O1845" s="222" t="str">
        <f>IFERROR(__xludf.DUMMYFUNCTION("""COMPUTED_VALUE"""),"0. DROP")</f>
        <v>0. DROP</v>
      </c>
      <c r="P1845" s="222" t="str">
        <f>IFERROR(__xludf.DUMMYFUNCTION("""COMPUTED_VALUE"""),"0.3 Feeder Full")</f>
        <v>0.3 Feeder Full</v>
      </c>
      <c r="Q1845" s="222" t="str">
        <f>IFERROR(__xludf.DUMMYFUNCTION("""COMPUTED_VALUE"""),"20/01 Feeder Full (07/01) Persiapan")</f>
        <v>20/01 Feeder Full (07/01) Persiapan</v>
      </c>
      <c r="R1845" s="228"/>
      <c r="S1845" s="11"/>
      <c r="T1845" s="11"/>
      <c r="U1845" s="11" t="str">
        <f>IFERROR(__xludf.DUMMYFUNCTION("""COMPUTED_VALUE"""),"W08-82/2026")</f>
        <v>W08-82/2026</v>
      </c>
      <c r="V1845" s="229" t="str">
        <f>IFERROR(__xludf.DUMMYFUNCTION("""COMPUTED_VALUE"""),"ONDI EKA SAPUTRA")</f>
        <v>ONDI EKA SAPUTRA</v>
      </c>
      <c r="W1845" s="229" t="str">
        <f>IFERROR(__xludf.DUMMYFUNCTION("""COMPUTED_VALUE"""),"DESLITA RAHMADANI")</f>
        <v>DESLITA RAHMADANI</v>
      </c>
      <c r="X1845" s="229" t="str">
        <f>IFERROR(__xludf.DUMMYFUNCTION("""COMPUTED_VALUE"""),"BELUM GOLIVE")</f>
        <v>BELUM GOLIVE</v>
      </c>
      <c r="Y1845" s="229"/>
      <c r="Z1845" s="229" t="str">
        <f>IFERROR(__xludf.DUMMYFUNCTION("""COMPUTED_VALUE"""),"#N/A")</f>
        <v>#N/A</v>
      </c>
      <c r="AA1845" s="229"/>
      <c r="AB1845" s="229"/>
      <c r="AC1845" s="229"/>
      <c r="AD1845" s="232"/>
      <c r="AE1845" s="233"/>
      <c r="AF1845" s="54" t="str">
        <f>IFERROR(__xludf.DUMMYFUNCTION("""COMPUTED_VALUE"""),"Draft BA DROP")</f>
        <v>Draft BA DROP</v>
      </c>
      <c r="AG1845" s="54"/>
      <c r="AH1845" s="54"/>
      <c r="AI1845" s="55" t="str">
        <f t="shared" ref="AI1845:AI1854" si="187">IF(OR(R1845="",AE1845=""),"",R1845-AE1845)</f>
        <v/>
      </c>
      <c r="AW1845" s="234"/>
      <c r="BP1845" s="11"/>
      <c r="BQ1845" s="11"/>
      <c r="BR1845" s="235"/>
      <c r="BV1845" s="158"/>
      <c r="BY1845" s="158"/>
      <c r="CB1845" s="158"/>
    </row>
    <row r="1846" ht="18.0" hidden="1" customHeight="1">
      <c r="A1846" s="222">
        <f>IFERROR(__xludf.DUMMYFUNCTION("""COMPUTED_VALUE"""),2026.0)</f>
        <v>2026</v>
      </c>
      <c r="B1846" s="221">
        <f>IFERROR(__xludf.DUMMYFUNCTION("""COMPUTED_VALUE"""),1.2128989E7)</f>
        <v>12128989</v>
      </c>
      <c r="C1846" s="222" t="str">
        <f>IFERROR(__xludf.DUMMYFUNCTION("""COMPUTED_VALUE"""),"LPG PT3 JPP PERUM SAKURA LAND LKP")</f>
        <v>LPG PT3 JPP PERUM SAKURA LAND LKP</v>
      </c>
      <c r="D1846" s="222" t="str">
        <f>IFERROR(__xludf.DUMMYFUNCTION("""COMPUTED_VALUE"""),"REGIONAL I")</f>
        <v>REGIONAL I</v>
      </c>
      <c r="E1846" s="222" t="str">
        <f>IFERROR(__xludf.DUMMYFUNCTION("""COMPUTED_VALUE"""),"LAMPUNG")</f>
        <v>LAMPUNG</v>
      </c>
      <c r="F1846" s="222" t="str">
        <f>IFERROR(__xludf.DUMMYFUNCTION("""COMPUTED_VALUE"""),"LKP")</f>
        <v>LKP</v>
      </c>
      <c r="G1846" s="222" t="str">
        <f>IFERROR(__xludf.DUMMYFUNCTION("""COMPUTED_VALUE"""),"SUMBAGSEL")</f>
        <v>SUMBAGSEL</v>
      </c>
      <c r="H1846" s="222" t="str">
        <f>IFERROR(__xludf.DUMMYFUNCTION("""COMPUTED_VALUE"""),"LAMPUNG")</f>
        <v>LAMPUNG</v>
      </c>
      <c r="I1846" s="222" t="str">
        <f>IFERROR(__xludf.DUMMYFUNCTION("""COMPUTED_VALUE"""),"Batch 2")</f>
        <v>Batch 2</v>
      </c>
      <c r="J1846" s="225">
        <f>IFERROR(__xludf.DUMMYFUNCTION("""COMPUTED_VALUE"""),7.0)</f>
        <v>7</v>
      </c>
      <c r="K1846" s="224">
        <f>IFERROR(__xludf.DUMMYFUNCTION("""COMPUTED_VALUE"""),56.0)</f>
        <v>56</v>
      </c>
      <c r="L1846" s="226">
        <f>IFERROR(__xludf.DUMMYFUNCTION("""COMPUTED_VALUE"""),948373.0)</f>
        <v>948373</v>
      </c>
      <c r="M1846" s="227">
        <f>IFERROR(__xludf.DUMMYFUNCTION("""COMPUTED_VALUE"""),5.3108847E7)</f>
        <v>53108847</v>
      </c>
      <c r="N1846" s="222" t="str">
        <f>IFERROR(__xludf.DUMMYFUNCTION("""COMPUTED_VALUE"""),"SWAKELOLA")</f>
        <v>SWAKELOLA</v>
      </c>
      <c r="O1846" s="222" t="str">
        <f>IFERROR(__xludf.DUMMYFUNCTION("""COMPUTED_VALUE"""),"0. DROP")</f>
        <v>0. DROP</v>
      </c>
      <c r="P1846" s="222" t="str">
        <f>IFERROR(__xludf.DUMMYFUNCTION("""COMPUTED_VALUE"""),"0.2 Tidak Dapat Izin Warga/Kades/Lurah/Developer")</f>
        <v>0.2 Tidak Dapat Izin Warga/Kades/Lurah/Developer</v>
      </c>
      <c r="Q1846" s="222" t="str">
        <f>IFERROR(__xludf.DUMMYFUNCTION("""COMPUTED_VALUE"""),"14/1 tidak di ijinkan dengan masyarakat untuk pembangunan")</f>
        <v>14/1 tidak di ijinkan dengan masyarakat untuk pembangunan</v>
      </c>
      <c r="R1846" s="228"/>
      <c r="S1846" s="11"/>
      <c r="T1846" s="11"/>
      <c r="U1846" s="11"/>
      <c r="V1846" s="229"/>
      <c r="W1846" s="229"/>
      <c r="X1846" s="229" t="str">
        <f>IFERROR(__xludf.DUMMYFUNCTION("""COMPUTED_VALUE"""),"BELUM GOLIVE")</f>
        <v>BELUM GOLIVE</v>
      </c>
      <c r="Y1846" s="229"/>
      <c r="Z1846" s="229" t="str">
        <f>IFERROR(__xludf.DUMMYFUNCTION("""COMPUTED_VALUE"""),"#N/A")</f>
        <v>#N/A</v>
      </c>
      <c r="AA1846" s="229"/>
      <c r="AB1846" s="229"/>
      <c r="AC1846" s="229"/>
      <c r="AD1846" s="232"/>
      <c r="AE1846" s="233"/>
      <c r="AF1846" s="54" t="str">
        <f>IFERROR(__xludf.DUMMYFUNCTION("""COMPUTED_VALUE"""),"Draft BA DROP")</f>
        <v>Draft BA DROP</v>
      </c>
      <c r="AG1846" s="54"/>
      <c r="AH1846" s="54"/>
      <c r="AI1846" s="55" t="str">
        <f t="shared" si="187"/>
        <v/>
      </c>
      <c r="AW1846" s="234"/>
      <c r="BP1846" s="11"/>
      <c r="BQ1846" s="11"/>
      <c r="BR1846" s="235"/>
      <c r="BV1846" s="158"/>
      <c r="BY1846" s="158"/>
      <c r="CB1846" s="158"/>
    </row>
    <row r="1847" ht="18.0" customHeight="1">
      <c r="A1847" s="222">
        <f>IFERROR(__xludf.DUMMYFUNCTION("""COMPUTED_VALUE"""),2026.0)</f>
        <v>2026</v>
      </c>
      <c r="B1847" s="221">
        <f>IFERROR(__xludf.DUMMYFUNCTION("""COMPUTED_VALUE"""),1.1677564E7)</f>
        <v>11677564</v>
      </c>
      <c r="C1847" s="222" t="str">
        <f>IFERROR(__xludf.DUMMYFUNCTION("""COMPUTED_VALUE"""),"SMB PDC PT3-PT4 Batang Arau Pembayan P")</f>
        <v>SMB PDC PT3-PT4 Batang Arau Pembayan P</v>
      </c>
      <c r="D1847" s="222" t="str">
        <f>IFERROR(__xludf.DUMMYFUNCTION("""COMPUTED_VALUE"""),"REGIONAL I")</f>
        <v>REGIONAL I</v>
      </c>
      <c r="E1847" s="222" t="str">
        <f>IFERROR(__xludf.DUMMYFUNCTION("""COMPUTED_VALUE"""),"SUMBAR")</f>
        <v>SUMBAR</v>
      </c>
      <c r="F1847" s="222" t="str">
        <f>IFERROR(__xludf.DUMMYFUNCTION("""COMPUTED_VALUE"""),"PDC")</f>
        <v>PDC</v>
      </c>
      <c r="G1847" s="222" t="str">
        <f>IFERROR(__xludf.DUMMYFUNCTION("""COMPUTED_VALUE"""),"SUMBAGTENG")</f>
        <v>SUMBAGTENG</v>
      </c>
      <c r="H1847" s="222" t="str">
        <f>IFERROR(__xludf.DUMMYFUNCTION("""COMPUTED_VALUE"""),"PADANG")</f>
        <v>PADANG</v>
      </c>
      <c r="I1847" s="222" t="str">
        <f>IFERROR(__xludf.DUMMYFUNCTION("""COMPUTED_VALUE"""),"Batch 2")</f>
        <v>Batch 2</v>
      </c>
      <c r="J1847" s="225">
        <f>IFERROR(__xludf.DUMMYFUNCTION("""COMPUTED_VALUE"""),3.0)</f>
        <v>3</v>
      </c>
      <c r="K1847" s="224">
        <f>IFERROR(__xludf.DUMMYFUNCTION("""COMPUTED_VALUE"""),24.0)</f>
        <v>24</v>
      </c>
      <c r="L1847" s="226">
        <f>IFERROR(__xludf.DUMMYFUNCTION("""COMPUTED_VALUE"""),369918.0)</f>
        <v>369918</v>
      </c>
      <c r="M1847" s="227">
        <f>IFERROR(__xludf.DUMMYFUNCTION("""COMPUTED_VALUE"""),8878026.0)</f>
        <v>8878026</v>
      </c>
      <c r="N1847" s="222" t="str">
        <f>IFERROR(__xludf.DUMMYFUNCTION("""COMPUTED_VALUE"""),"PT GARINDO TECHNO MANDIRI")</f>
        <v>PT GARINDO TECHNO MANDIRI</v>
      </c>
      <c r="O1847" s="222" t="str">
        <f>IFERROR(__xludf.DUMMYFUNCTION("""COMPUTED_VALUE"""),"0. DROP")</f>
        <v>0. DROP</v>
      </c>
      <c r="P1847" s="222" t="str">
        <f>IFERROR(__xludf.DUMMYFUNCTION("""COMPUTED_VALUE"""),"0.2 Tidak Dapat Izin Warga/Kades/Lurah/Developer")</f>
        <v>0.2 Tidak Dapat Izin Warga/Kades/Lurah/Developer</v>
      </c>
      <c r="Q1847" s="222"/>
      <c r="R1847" s="228"/>
      <c r="S1847" s="11"/>
      <c r="T1847" s="11"/>
      <c r="U1847" s="11"/>
      <c r="V1847" s="229" t="str">
        <f>IFERROR(__xludf.DUMMYFUNCTION("""COMPUTED_VALUE"""),"FABIO RAHMAN")</f>
        <v>FABIO RAHMAN</v>
      </c>
      <c r="W1847" s="229" t="str">
        <f>IFERROR(__xludf.DUMMYFUNCTION("""COMPUTED_VALUE"""),"MELKO NARWADI")</f>
        <v>MELKO NARWADI</v>
      </c>
      <c r="X1847" s="229" t="str">
        <f>IFERROR(__xludf.DUMMYFUNCTION("""COMPUTED_VALUE"""),"BELUM GOLIVE")</f>
        <v>BELUM GOLIVE</v>
      </c>
      <c r="Y1847" s="229"/>
      <c r="Z1847" s="229" t="str">
        <f>IFERROR(__xludf.DUMMYFUNCTION("""COMPUTED_VALUE"""),"#N/A")</f>
        <v>#N/A</v>
      </c>
      <c r="AA1847" s="229"/>
      <c r="AB1847" s="229"/>
      <c r="AC1847" s="229"/>
      <c r="AD1847" s="232"/>
      <c r="AE1847" s="233"/>
      <c r="AF1847" s="54" t="str">
        <f>IFERROR(__xludf.DUMMYFUNCTION("""COMPUTED_VALUE"""),"Draft BA DROP")</f>
        <v>Draft BA DROP</v>
      </c>
      <c r="AG1847" s="54"/>
      <c r="AH1847" s="54"/>
      <c r="AI1847" s="55" t="str">
        <f t="shared" si="187"/>
        <v/>
      </c>
      <c r="AW1847" s="234"/>
      <c r="BP1847" s="11"/>
      <c r="BQ1847" s="11"/>
      <c r="BR1847" s="235"/>
      <c r="BV1847" s="158"/>
      <c r="BY1847" s="158"/>
      <c r="CB1847" s="158"/>
    </row>
    <row r="1848" ht="18.0" hidden="1" customHeight="1">
      <c r="A1848" s="222">
        <f>IFERROR(__xludf.DUMMYFUNCTION("""COMPUTED_VALUE"""),2026.0)</f>
        <v>2026</v>
      </c>
      <c r="B1848" s="221">
        <f>IFERROR(__xludf.DUMMYFUNCTION("""COMPUTED_VALUE"""),1.2416371E7)</f>
        <v>12416371</v>
      </c>
      <c r="C1848" s="222" t="str">
        <f>IFERROR(__xludf.DUMMYFUNCTION("""COMPUTED_VALUE"""),"MDN PT3 TTG-FGE 250_1568_1645")</f>
        <v>MDN PT3 TTG-FGE 250_1568_1645</v>
      </c>
      <c r="D1848" s="222" t="str">
        <f>IFERROR(__xludf.DUMMYFUNCTION("""COMPUTED_VALUE"""),"REGIONAL I")</f>
        <v>REGIONAL I</v>
      </c>
      <c r="E1848" s="222" t="str">
        <f>IFERROR(__xludf.DUMMYFUNCTION("""COMPUTED_VALUE"""),"MEDAN")</f>
        <v>MEDAN</v>
      </c>
      <c r="F1848" s="222" t="str">
        <f>IFERROR(__xludf.DUMMYFUNCTION("""COMPUTED_VALUE"""),"TTG")</f>
        <v>TTG</v>
      </c>
      <c r="G1848" s="222" t="str">
        <f>IFERROR(__xludf.DUMMYFUNCTION("""COMPUTED_VALUE"""),"SUMBAGUT")</f>
        <v>SUMBAGUT</v>
      </c>
      <c r="H1848" s="222" t="str">
        <f>IFERROR(__xludf.DUMMYFUNCTION("""COMPUTED_VALUE"""),"MEDAN")</f>
        <v>MEDAN</v>
      </c>
      <c r="I1848" s="222" t="str">
        <f>IFERROR(__xludf.DUMMYFUNCTION("""COMPUTED_VALUE"""),"Batch 2")</f>
        <v>Batch 2</v>
      </c>
      <c r="J1848" s="225">
        <f>IFERROR(__xludf.DUMMYFUNCTION("""COMPUTED_VALUE"""),2.0)</f>
        <v>2</v>
      </c>
      <c r="K1848" s="224">
        <f>IFERROR(__xludf.DUMMYFUNCTION("""COMPUTED_VALUE"""),16.0)</f>
        <v>16</v>
      </c>
      <c r="L1848" s="226">
        <f>IFERROR(__xludf.DUMMYFUNCTION("""COMPUTED_VALUE"""),369005.0)</f>
        <v>369005</v>
      </c>
      <c r="M1848" s="227">
        <f>IFERROR(__xludf.DUMMYFUNCTION("""COMPUTED_VALUE"""),5904080.0)</f>
        <v>5904080</v>
      </c>
      <c r="N1848" s="222" t="str">
        <f>IFERROR(__xludf.DUMMYFUNCTION("""COMPUTED_VALUE"""),"PT FAJAR MITRA KRIDA ABADI")</f>
        <v>PT FAJAR MITRA KRIDA ABADI</v>
      </c>
      <c r="O1848" s="222" t="str">
        <f>IFERROR(__xludf.DUMMYFUNCTION("""COMPUTED_VALUE"""),"0. DROP")</f>
        <v>0. DROP</v>
      </c>
      <c r="P1848" s="222" t="str">
        <f>IFERROR(__xludf.DUMMYFUNCTION("""COMPUTED_VALUE"""),"0.3 Feeder Full")</f>
        <v>0.3 Feeder Full</v>
      </c>
      <c r="Q1848" s="222" t="str">
        <f>IFERROR(__xludf.DUMMYFUNCTION("""COMPUTED_VALUE"""),"09/02 Feeder Tidak Tembus")</f>
        <v>09/02 Feeder Tidak Tembus</v>
      </c>
      <c r="R1848" s="228"/>
      <c r="S1848" s="11"/>
      <c r="T1848" s="11"/>
      <c r="U1848" s="11"/>
      <c r="V1848" s="229"/>
      <c r="W1848" s="229"/>
      <c r="X1848" s="229" t="str">
        <f>IFERROR(__xludf.DUMMYFUNCTION("""COMPUTED_VALUE"""),"BELUM GOLIVE")</f>
        <v>BELUM GOLIVE</v>
      </c>
      <c r="Y1848" s="229"/>
      <c r="Z1848" s="229" t="str">
        <f>IFERROR(__xludf.DUMMYFUNCTION("""COMPUTED_VALUE"""),"#N/A")</f>
        <v>#N/A</v>
      </c>
      <c r="AA1848" s="229"/>
      <c r="AB1848" s="229"/>
      <c r="AC1848" s="229"/>
      <c r="AD1848" s="232"/>
      <c r="AE1848" s="233"/>
      <c r="AF1848" s="54"/>
      <c r="AG1848" s="54"/>
      <c r="AH1848" s="54"/>
      <c r="AI1848" s="55" t="str">
        <f t="shared" si="187"/>
        <v/>
      </c>
      <c r="AW1848" s="234"/>
      <c r="BP1848" s="11"/>
      <c r="BQ1848" s="11"/>
      <c r="BR1848" s="235"/>
      <c r="BV1848" s="158"/>
      <c r="BY1848" s="158"/>
      <c r="CB1848" s="158"/>
    </row>
    <row r="1849" ht="18.0" customHeight="1">
      <c r="A1849" s="222">
        <f>IFERROR(__xludf.DUMMYFUNCTION("""COMPUTED_VALUE"""),2026.0)</f>
        <v>2026</v>
      </c>
      <c r="B1849" s="221">
        <f>IFERROR(__xludf.DUMMYFUNCTION("""COMPUTED_VALUE"""),1.138012E7)</f>
        <v>11380120</v>
      </c>
      <c r="C1849" s="222" t="str">
        <f>IFERROR(__xludf.DUMMYFUNCTION("""COMPUTED_VALUE"""),"SMB P2I2 MD SOLOK_10431")</f>
        <v>SMB P2I2 MD SOLOK_10431</v>
      </c>
      <c r="D1849" s="222" t="str">
        <f>IFERROR(__xludf.DUMMYFUNCTION("""COMPUTED_VALUE"""),"REGIONAL I")</f>
        <v>REGIONAL I</v>
      </c>
      <c r="E1849" s="222" t="str">
        <f>IFERROR(__xludf.DUMMYFUNCTION("""COMPUTED_VALUE"""),"SUMBAR")</f>
        <v>SUMBAR</v>
      </c>
      <c r="F1849" s="222" t="str">
        <f>IFERROR(__xludf.DUMMYFUNCTION("""COMPUTED_VALUE"""),"SUM")</f>
        <v>SUM</v>
      </c>
      <c r="G1849" s="222" t="str">
        <f>IFERROR(__xludf.DUMMYFUNCTION("""COMPUTED_VALUE"""),"SUMBAGTENG")</f>
        <v>SUMBAGTENG</v>
      </c>
      <c r="H1849" s="222" t="str">
        <f>IFERROR(__xludf.DUMMYFUNCTION("""COMPUTED_VALUE"""),"PADANG")</f>
        <v>PADANG</v>
      </c>
      <c r="I1849" s="222" t="str">
        <f>IFERROR(__xludf.DUMMYFUNCTION("""COMPUTED_VALUE"""),"Batch 2")</f>
        <v>Batch 2</v>
      </c>
      <c r="J1849" s="225">
        <f>IFERROR(__xludf.DUMMYFUNCTION("""COMPUTED_VALUE"""),4.0)</f>
        <v>4</v>
      </c>
      <c r="K1849" s="224">
        <f>IFERROR(__xludf.DUMMYFUNCTION("""COMPUTED_VALUE"""),32.0)</f>
        <v>32</v>
      </c>
      <c r="L1849" s="226">
        <f>IFERROR(__xludf.DUMMYFUNCTION("""COMPUTED_VALUE"""),368957.0)</f>
        <v>368957</v>
      </c>
      <c r="M1849" s="227">
        <f>IFERROR(__xludf.DUMMYFUNCTION("""COMPUTED_VALUE"""),1.1806611E7)</f>
        <v>11806611</v>
      </c>
      <c r="N1849" s="222" t="str">
        <f>IFERROR(__xludf.DUMMYFUNCTION("""COMPUTED_VALUE"""),"PT TRI PENAMAS")</f>
        <v>PT TRI PENAMAS</v>
      </c>
      <c r="O1849" s="222" t="str">
        <f>IFERROR(__xludf.DUMMYFUNCTION("""COMPUTED_VALUE"""),"4. MATDEL")</f>
        <v>4. MATDEL</v>
      </c>
      <c r="P1849" s="222" t="str">
        <f>IFERROR(__xludf.DUMMYFUNCTION("""COMPUTED_VALUE"""),"4.4 Proses Pengiriman Pabribak ke WH")</f>
        <v>4.4 Proses Pengiriman Pabribak ke WH</v>
      </c>
      <c r="Q1849" s="222" t="str">
        <f>IFERROR(__xludf.DUMMYFUNCTION("""COMPUTED_VALUE"""),"(27/04) menunggu PO kabel 24 ADSS (23/04) : done aanwijziing proses eval")</f>
        <v>(27/04) menunggu PO kabel 24 ADSS (23/04) : done aanwijziing proses eval</v>
      </c>
      <c r="R1849" s="228"/>
      <c r="S1849" s="11"/>
      <c r="T1849" s="11"/>
      <c r="U1849" s="11"/>
      <c r="V1849" s="229" t="str">
        <f>IFERROR(__xludf.DUMMYFUNCTION("""COMPUTED_VALUE"""),"FABIO RAHMAN")</f>
        <v>FABIO RAHMAN</v>
      </c>
      <c r="W1849" s="229" t="str">
        <f>IFERROR(__xludf.DUMMYFUNCTION("""COMPUTED_VALUE"""),"MELKO NARWADI")</f>
        <v>MELKO NARWADI</v>
      </c>
      <c r="X1849" s="229" t="str">
        <f>IFERROR(__xludf.DUMMYFUNCTION("""COMPUTED_VALUE"""),"BELUM GOLIVE")</f>
        <v>BELUM GOLIVE</v>
      </c>
      <c r="Y1849" s="229"/>
      <c r="Z1849" s="229" t="str">
        <f>IFERROR(__xludf.DUMMYFUNCTION("""COMPUTED_VALUE"""),"#N/A")</f>
        <v>#N/A</v>
      </c>
      <c r="AA1849" s="229"/>
      <c r="AB1849" s="229"/>
      <c r="AC1849" s="229"/>
      <c r="AD1849" s="232"/>
      <c r="AE1849" s="233"/>
      <c r="AF1849" s="54" t="str">
        <f>IFERROR(__xludf.DUMMYFUNCTION("""COMPUTED_VALUE"""),"Draft BA DROP")</f>
        <v>Draft BA DROP</v>
      </c>
      <c r="AG1849" s="54"/>
      <c r="AH1849" s="54"/>
      <c r="AI1849" s="55" t="str">
        <f t="shared" si="187"/>
        <v/>
      </c>
      <c r="AW1849" s="234"/>
      <c r="BP1849" s="11"/>
      <c r="BQ1849" s="11"/>
      <c r="BR1849" s="235"/>
      <c r="BV1849" s="158"/>
      <c r="BY1849" s="158"/>
      <c r="CB1849" s="158"/>
    </row>
    <row r="1850" ht="18.0" hidden="1" customHeight="1">
      <c r="A1850" s="222">
        <f>IFERROR(__xludf.DUMMYFUNCTION("""COMPUTED_VALUE"""),2026.0)</f>
        <v>2026</v>
      </c>
      <c r="B1850" s="221">
        <f>IFERROR(__xludf.DUMMYFUNCTION("""COMPUTED_VALUE"""),1.2261521E7)</f>
        <v>12261521</v>
      </c>
      <c r="C1850" s="222" t="str">
        <f>IFERROR(__xludf.DUMMYFUNCTION("""COMPUTED_VALUE"""),"LPG PT3 MESUJI_109072_H2_2025 UNT")</f>
        <v>LPG PT3 MESUJI_109072_H2_2025 UNT</v>
      </c>
      <c r="D1850" s="222" t="str">
        <f>IFERROR(__xludf.DUMMYFUNCTION("""COMPUTED_VALUE"""),"REGIONAL I")</f>
        <v>REGIONAL I</v>
      </c>
      <c r="E1850" s="222" t="str">
        <f>IFERROR(__xludf.DUMMYFUNCTION("""COMPUTED_VALUE"""),"LAMPUNG")</f>
        <v>LAMPUNG</v>
      </c>
      <c r="F1850" s="222" t="str">
        <f>IFERROR(__xludf.DUMMYFUNCTION("""COMPUTED_VALUE"""),"UNT")</f>
        <v>UNT</v>
      </c>
      <c r="G1850" s="222" t="str">
        <f>IFERROR(__xludf.DUMMYFUNCTION("""COMPUTED_VALUE"""),"SUMBAGSEL")</f>
        <v>SUMBAGSEL</v>
      </c>
      <c r="H1850" s="222" t="str">
        <f>IFERROR(__xludf.DUMMYFUNCTION("""COMPUTED_VALUE"""),"PALEMBANG")</f>
        <v>PALEMBANG</v>
      </c>
      <c r="I1850" s="222" t="str">
        <f>IFERROR(__xludf.DUMMYFUNCTION("""COMPUTED_VALUE"""),"Batch 2")</f>
        <v>Batch 2</v>
      </c>
      <c r="J1850" s="225">
        <f>IFERROR(__xludf.DUMMYFUNCTION("""COMPUTED_VALUE"""),8.0)</f>
        <v>8</v>
      </c>
      <c r="K1850" s="224">
        <f>IFERROR(__xludf.DUMMYFUNCTION("""COMPUTED_VALUE"""),64.0)</f>
        <v>64</v>
      </c>
      <c r="L1850" s="226">
        <f>IFERROR(__xludf.DUMMYFUNCTION("""COMPUTED_VALUE"""),954026.0)</f>
        <v>954026</v>
      </c>
      <c r="M1850" s="227">
        <f>IFERROR(__xludf.DUMMYFUNCTION("""COMPUTED_VALUE"""),6.1057634E7)</f>
        <v>61057634</v>
      </c>
      <c r="N1850" s="222" t="str">
        <f>IFERROR(__xludf.DUMMYFUNCTION("""COMPUTED_VALUE"""),"SWAKELOLA")</f>
        <v>SWAKELOLA</v>
      </c>
      <c r="O1850" s="222" t="str">
        <f>IFERROR(__xludf.DUMMYFUNCTION("""COMPUTED_VALUE"""),"0. DROP")</f>
        <v>0. DROP</v>
      </c>
      <c r="P1850" s="222" t="str">
        <f>IFERROR(__xludf.DUMMYFUNCTION("""COMPUTED_VALUE"""),"0.4 CPP Tinggi Acc ED TIF")</f>
        <v>0.4 CPP Tinggi Acc ED TIF</v>
      </c>
      <c r="Q1850" s="222" t="str">
        <f>IFERROR(__xludf.DUMMYFUNCTION("""COMPUTED_VALUE"""),"01/04 HASIL EVAL DROP MINI OLT HABIS CATUAN KE MINI OLT LOKASI MESUJI_28473_H2_2025, 31/03 PLAN HARI INI LANJUT EVAL DG TIF, 27/03 LANJUT EVAL DG TIF EST TGL 30 MAR, 26/3 DONE AANWIJDZING , MENUNGGU HASIL EVAL  25/03 LANJUT EVAL DG TIF EST TGL 30 MAR ,21/"&amp;"03 MENUNGGU EVAL SETELAH LEBARAN, 13/03 DONE AANWIDJZING - PROPOSED DROP KRNA CORE DAN MODUL  PENUH DI MINI OLT, 5/3 masuk area sumsel,, 23/2 hold kendala OLT di status Terakhir  (18/2) konfirmasi ke tif  terkait penambahan mini OLT (11/2) masuk lop sumse"&amp;"l14/1 butuh penambahan port  modul olt")</f>
        <v>01/04 HASIL EVAL DROP MINI OLT HABIS CATUAN KE MINI OLT LOKASI MESUJI_28473_H2_2025, 31/03 PLAN HARI INI LANJUT EVAL DG TIF, 27/03 LANJUT EVAL DG TIF EST TGL 30 MAR, 26/3 DONE AANWIJDZING , MENUNGGU HASIL EVAL  25/03 LANJUT EVAL DG TIF EST TGL 30 MAR ,21/03 MENUNGGU EVAL SETELAH LEBARAN, 13/03 DONE AANWIDJZING - PROPOSED DROP KRNA CORE DAN MODUL  PENUH DI MINI OLT, 5/3 masuk area sumsel,, 23/2 hold kendala OLT di status Terakhir  (18/2) konfirmasi ke tif  terkait penambahan mini OLT (11/2) masuk lop sumsel14/1 butuh penambahan port  modul olt</v>
      </c>
      <c r="R1850" s="228"/>
      <c r="S1850" s="11"/>
      <c r="T1850" s="11"/>
      <c r="U1850" s="11"/>
      <c r="V1850" s="229"/>
      <c r="W1850" s="229"/>
      <c r="X1850" s="229" t="str">
        <f>IFERROR(__xludf.DUMMYFUNCTION("""COMPUTED_VALUE"""),"BELUM GOLIVE")</f>
        <v>BELUM GOLIVE</v>
      </c>
      <c r="Y1850" s="229" t="str">
        <f>IFERROR(__xludf.DUMMYFUNCTION("""COMPUTED_VALUE"""),"PORT OLT Penuh")</f>
        <v>PORT OLT Penuh</v>
      </c>
      <c r="Z1850" s="229" t="str">
        <f>IFERROR(__xludf.DUMMYFUNCTION("""COMPUTED_VALUE"""),"#N/A")</f>
        <v>#N/A</v>
      </c>
      <c r="AA1850" s="229"/>
      <c r="AB1850" s="229"/>
      <c r="AC1850" s="229"/>
      <c r="AD1850" s="232"/>
      <c r="AE1850" s="233"/>
      <c r="AF1850" s="54"/>
      <c r="AG1850" s="54"/>
      <c r="AH1850" s="54"/>
      <c r="AI1850" s="55" t="str">
        <f t="shared" si="187"/>
        <v/>
      </c>
      <c r="AW1850" s="234"/>
      <c r="BP1850" s="11"/>
      <c r="BQ1850" s="11"/>
      <c r="BR1850" s="235"/>
      <c r="BV1850" s="158"/>
      <c r="BY1850" s="158"/>
      <c r="CB1850" s="158"/>
    </row>
    <row r="1851" ht="18.0" customHeight="1">
      <c r="A1851" s="222">
        <f>IFERROR(__xludf.DUMMYFUNCTION("""COMPUTED_VALUE"""),2026.0)</f>
        <v>2026</v>
      </c>
      <c r="B1851" s="221">
        <f>IFERROR(__xludf.DUMMYFUNCTION("""COMPUTED_VALUE"""),1.1389325E7)</f>
        <v>11389325</v>
      </c>
      <c r="C1851" s="222" t="str">
        <f>IFERROR(__xludf.DUMMYFUNCTION("""COMPUTED_VALUE"""),"SMB MD KOTA PADANG_16515")</f>
        <v>SMB MD KOTA PADANG_16515</v>
      </c>
      <c r="D1851" s="222" t="str">
        <f>IFERROR(__xludf.DUMMYFUNCTION("""COMPUTED_VALUE"""),"REGIONAL I")</f>
        <v>REGIONAL I</v>
      </c>
      <c r="E1851" s="222" t="str">
        <f>IFERROR(__xludf.DUMMYFUNCTION("""COMPUTED_VALUE"""),"SUMBAR")</f>
        <v>SUMBAR</v>
      </c>
      <c r="F1851" s="222" t="str">
        <f>IFERROR(__xludf.DUMMYFUNCTION("""COMPUTED_VALUE"""),"TLB")</f>
        <v>TLB</v>
      </c>
      <c r="G1851" s="222" t="str">
        <f>IFERROR(__xludf.DUMMYFUNCTION("""COMPUTED_VALUE"""),"SUMBAGTENG")</f>
        <v>SUMBAGTENG</v>
      </c>
      <c r="H1851" s="222" t="str">
        <f>IFERROR(__xludf.DUMMYFUNCTION("""COMPUTED_VALUE"""),"PADANG")</f>
        <v>PADANG</v>
      </c>
      <c r="I1851" s="222" t="str">
        <f>IFERROR(__xludf.DUMMYFUNCTION("""COMPUTED_VALUE"""),"Batch 2")</f>
        <v>Batch 2</v>
      </c>
      <c r="J1851" s="225">
        <f>IFERROR(__xludf.DUMMYFUNCTION("""COMPUTED_VALUE"""),3.0)</f>
        <v>3</v>
      </c>
      <c r="K1851" s="224">
        <f>IFERROR(__xludf.DUMMYFUNCTION("""COMPUTED_VALUE"""),24.0)</f>
        <v>24</v>
      </c>
      <c r="L1851" s="226">
        <f>IFERROR(__xludf.DUMMYFUNCTION("""COMPUTED_VALUE"""),365736.0)</f>
        <v>365736</v>
      </c>
      <c r="M1851" s="227">
        <f>IFERROR(__xludf.DUMMYFUNCTION("""COMPUTED_VALUE"""),8777662.0)</f>
        <v>8777662</v>
      </c>
      <c r="N1851" s="222" t="str">
        <f>IFERROR(__xludf.DUMMYFUNCTION("""COMPUTED_VALUE"""),"PT TIGA AKSES MANDIRI")</f>
        <v>PT TIGA AKSES MANDIRI</v>
      </c>
      <c r="O1851" s="222" t="str">
        <f>IFERROR(__xludf.DUMMYFUNCTION("""COMPUTED_VALUE"""),"2. DONE AANWIJZING")</f>
        <v>2. DONE AANWIJZING</v>
      </c>
      <c r="P1851" s="222" t="str">
        <f>IFERROR(__xludf.DUMMYFUNCTION("""COMPUTED_VALUE"""),"2.10 Kendala - Feeder Rusak")</f>
        <v>2.10 Kendala - Feeder Rusak</v>
      </c>
      <c r="Q1851" s="222" t="str">
        <f>IFERROR(__xludf.DUMMYFUNCTION("""COMPUTED_VALUE"""),"(20/04Proses identifikasi QE feeder  (12/03) proses pengukuran tipus feeder TLB-FE (27/01) BUTUH REPAIR FEEDER TLB-FE (07/01) Persiapan")</f>
        <v>(20/04Proses identifikasi QE feeder  (12/03) proses pengukuran tipus feeder TLB-FE (27/01) BUTUH REPAIR FEEDER TLB-FE (07/01) Persiapan</v>
      </c>
      <c r="R1851" s="228"/>
      <c r="S1851" s="11"/>
      <c r="T1851" s="11"/>
      <c r="U1851" s="11"/>
      <c r="V1851" s="229"/>
      <c r="W1851" s="229"/>
      <c r="X1851" s="229" t="str">
        <f>IFERROR(__xludf.DUMMYFUNCTION("""COMPUTED_VALUE"""),"BELUM GOLIVE")</f>
        <v>BELUM GOLIVE</v>
      </c>
      <c r="Y1851" s="229"/>
      <c r="Z1851" s="229" t="str">
        <f>IFERROR(__xludf.DUMMYFUNCTION("""COMPUTED_VALUE"""),"#N/A")</f>
        <v>#N/A</v>
      </c>
      <c r="AA1851" s="229"/>
      <c r="AB1851" s="229"/>
      <c r="AC1851" s="229"/>
      <c r="AD1851" s="232"/>
      <c r="AE1851" s="233"/>
      <c r="AF1851" s="54"/>
      <c r="AG1851" s="54"/>
      <c r="AH1851" s="54"/>
      <c r="AI1851" s="55" t="str">
        <f t="shared" si="187"/>
        <v/>
      </c>
      <c r="AW1851" s="234"/>
      <c r="BP1851" s="11"/>
      <c r="BQ1851" s="11"/>
      <c r="BR1851" s="235"/>
      <c r="BV1851" s="158"/>
      <c r="BY1851" s="158"/>
      <c r="CB1851" s="158"/>
    </row>
    <row r="1852" ht="18.0" hidden="1" customHeight="1">
      <c r="A1852" s="222">
        <f>IFERROR(__xludf.DUMMYFUNCTION("""COMPUTED_VALUE"""),2026.0)</f>
        <v>2026</v>
      </c>
      <c r="B1852" s="221">
        <f>IFERROR(__xludf.DUMMYFUNCTION("""COMPUTED_VALUE"""),1.214968E7)</f>
        <v>12149680</v>
      </c>
      <c r="C1852" s="222" t="str">
        <f>IFERROR(__xludf.DUMMYFUNCTION("""COMPUTED_VALUE"""),"BNK-PDW-JPPTSEL-PERUM PUTRA RESIDENCE")</f>
        <v>BNK-PDW-JPPTSEL-PERUM PUTRA RESIDENCE</v>
      </c>
      <c r="D1852" s="222" t="str">
        <f>IFERROR(__xludf.DUMMYFUNCTION("""COMPUTED_VALUE"""),"REGIONAL I")</f>
        <v>REGIONAL I</v>
      </c>
      <c r="E1852" s="222" t="str">
        <f>IFERROR(__xludf.DUMMYFUNCTION("""COMPUTED_VALUE"""),"BENGKULU")</f>
        <v>BENGKULU</v>
      </c>
      <c r="F1852" s="222" t="str">
        <f>IFERROR(__xludf.DUMMYFUNCTION("""COMPUTED_VALUE"""),"PDW")</f>
        <v>PDW</v>
      </c>
      <c r="G1852" s="222" t="str">
        <f>IFERROR(__xludf.DUMMYFUNCTION("""COMPUTED_VALUE"""),"SUMBAGSEL")</f>
        <v>SUMBAGSEL</v>
      </c>
      <c r="H1852" s="222" t="str">
        <f>IFERROR(__xludf.DUMMYFUNCTION("""COMPUTED_VALUE"""),"BENGKULU")</f>
        <v>BENGKULU</v>
      </c>
      <c r="I1852" s="222" t="str">
        <f>IFERROR(__xludf.DUMMYFUNCTION("""COMPUTED_VALUE"""),"Batch 2")</f>
        <v>Batch 2</v>
      </c>
      <c r="J1852" s="225">
        <f>IFERROR(__xludf.DUMMYFUNCTION("""COMPUTED_VALUE"""),6.0)</f>
        <v>6</v>
      </c>
      <c r="K1852" s="224">
        <f>IFERROR(__xludf.DUMMYFUNCTION("""COMPUTED_VALUE"""),48.0)</f>
        <v>48</v>
      </c>
      <c r="L1852" s="226">
        <f>IFERROR(__xludf.DUMMYFUNCTION("""COMPUTED_VALUE"""),425627.0)</f>
        <v>425627</v>
      </c>
      <c r="M1852" s="227">
        <f>IFERROR(__xludf.DUMMYFUNCTION("""COMPUTED_VALUE"""),2.0430058E7)</f>
        <v>20430058</v>
      </c>
      <c r="N1852" s="222" t="str">
        <f>IFERROR(__xludf.DUMMYFUNCTION("""COMPUTED_VALUE"""),"PT TELAGA RESTU ABADI")</f>
        <v>PT TELAGA RESTU ABADI</v>
      </c>
      <c r="O1852" s="222" t="str">
        <f>IFERROR(__xludf.DUMMYFUNCTION("""COMPUTED_VALUE"""),"0. DROP")</f>
        <v>0. DROP</v>
      </c>
      <c r="P1852" s="222" t="str">
        <f>IFERROR(__xludf.DUMMYFUNCTION("""COMPUTED_VALUE"""),"0.2 Tidak Dapat Izin Warga/Kades/Lurah/Developer")</f>
        <v>0.2 Tidak Dapat Izin Warga/Kades/Lurah/Developer</v>
      </c>
      <c r="Q1852" s="222" t="str">
        <f>IFERROR(__xludf.DUMMYFUNCTION("""COMPUTED_VALUE"""),"22/01 : pihak TSEL Salah mengajukan lokasi dan kendala perizinan RT RW dan warga, BA drop sudah di serahkan")</f>
        <v>22/01 : pihak TSEL Salah mengajukan lokasi dan kendala perizinan RT RW dan warga, BA drop sudah di serahkan</v>
      </c>
      <c r="R1852" s="228"/>
      <c r="S1852" s="11"/>
      <c r="T1852" s="11"/>
      <c r="U1852" s="11"/>
      <c r="V1852" s="229"/>
      <c r="W1852" s="229"/>
      <c r="X1852" s="229" t="str">
        <f>IFERROR(__xludf.DUMMYFUNCTION("""COMPUTED_VALUE"""),"BELUM GOLIVE")</f>
        <v>BELUM GOLIVE</v>
      </c>
      <c r="Y1852" s="229"/>
      <c r="Z1852" s="229" t="str">
        <f>IFERROR(__xludf.DUMMYFUNCTION("""COMPUTED_VALUE"""),"#N/A")</f>
        <v>#N/A</v>
      </c>
      <c r="AA1852" s="229"/>
      <c r="AB1852" s="229"/>
      <c r="AC1852" s="229"/>
      <c r="AD1852" s="232"/>
      <c r="AE1852" s="233"/>
      <c r="AF1852" s="54" t="str">
        <f>IFERROR(__xludf.DUMMYFUNCTION("""COMPUTED_VALUE"""),"Draft BA DROP")</f>
        <v>Draft BA DROP</v>
      </c>
      <c r="AG1852" s="54"/>
      <c r="AH1852" s="54"/>
      <c r="AI1852" s="55" t="str">
        <f t="shared" si="187"/>
        <v/>
      </c>
      <c r="AW1852" s="234"/>
      <c r="BP1852" s="11"/>
      <c r="BQ1852" s="11"/>
      <c r="BR1852" s="235"/>
      <c r="BV1852" s="158"/>
      <c r="BY1852" s="158"/>
      <c r="CB1852" s="158"/>
    </row>
    <row r="1853" ht="18.0" hidden="1" customHeight="1">
      <c r="A1853" s="222">
        <f>IFERROR(__xludf.DUMMYFUNCTION("""COMPUTED_VALUE"""),2026.0)</f>
        <v>2026</v>
      </c>
      <c r="B1853" s="221">
        <f>IFERROR(__xludf.DUMMYFUNCTION("""COMPUTED_VALUE"""),1.2133509E7)</f>
        <v>12133509</v>
      </c>
      <c r="C1853" s="222" t="str">
        <f>IFERROR(__xludf.DUMMYFUNCTION("""COMPUTED_VALUE"""),"LPG PT3 JPP JL PESISIR WAYMULI KLA")</f>
        <v>LPG PT3 JPP JL PESISIR WAYMULI KLA</v>
      </c>
      <c r="D1853" s="222" t="str">
        <f>IFERROR(__xludf.DUMMYFUNCTION("""COMPUTED_VALUE"""),"REGIONAL I")</f>
        <v>REGIONAL I</v>
      </c>
      <c r="E1853" s="222" t="str">
        <f>IFERROR(__xludf.DUMMYFUNCTION("""COMPUTED_VALUE"""),"LAMPUNG")</f>
        <v>LAMPUNG</v>
      </c>
      <c r="F1853" s="222" t="str">
        <f>IFERROR(__xludf.DUMMYFUNCTION("""COMPUTED_VALUE"""),"KLA")</f>
        <v>KLA</v>
      </c>
      <c r="G1853" s="222" t="str">
        <f>IFERROR(__xludf.DUMMYFUNCTION("""COMPUTED_VALUE"""),"SUMBAGSEL")</f>
        <v>SUMBAGSEL</v>
      </c>
      <c r="H1853" s="222" t="str">
        <f>IFERROR(__xludf.DUMMYFUNCTION("""COMPUTED_VALUE"""),"LAMPUNG")</f>
        <v>LAMPUNG</v>
      </c>
      <c r="I1853" s="222" t="str">
        <f>IFERROR(__xludf.DUMMYFUNCTION("""COMPUTED_VALUE"""),"Batch 2")</f>
        <v>Batch 2</v>
      </c>
      <c r="J1853" s="225">
        <f>IFERROR(__xludf.DUMMYFUNCTION("""COMPUTED_VALUE"""),9.0)</f>
        <v>9</v>
      </c>
      <c r="K1853" s="224">
        <f>IFERROR(__xludf.DUMMYFUNCTION("""COMPUTED_VALUE"""),72.0)</f>
        <v>72</v>
      </c>
      <c r="L1853" s="226">
        <f>IFERROR(__xludf.DUMMYFUNCTION("""COMPUTED_VALUE"""),365581.0)</f>
        <v>365581</v>
      </c>
      <c r="M1853" s="227">
        <f>IFERROR(__xludf.DUMMYFUNCTION("""COMPUTED_VALUE"""),2.6321816E7)</f>
        <v>26321816</v>
      </c>
      <c r="N1853" s="222" t="str">
        <f>IFERROR(__xludf.DUMMYFUNCTION("""COMPUTED_VALUE"""),"PT ACERO CETHA METALINDO")</f>
        <v>PT ACERO CETHA METALINDO</v>
      </c>
      <c r="O1853" s="222" t="str">
        <f>IFERROR(__xludf.DUMMYFUNCTION("""COMPUTED_VALUE"""),"7. GOLIVE")</f>
        <v>7. GOLIVE</v>
      </c>
      <c r="P1853" s="222" t="str">
        <f>IFERROR(__xludf.DUMMYFUNCTION("""COMPUTED_VALUE"""),"7.2 Golive Full / OA / DONE OTB")</f>
        <v>7.2 Golive Full / OA / DONE OTB</v>
      </c>
      <c r="Q1853" s="222" t="str">
        <f>IFERROR(__xludf.DUMMYFUNCTION("""COMPUTED_VALUE"""),"13/4 Kabel di Putus OTK, sudah di laporkan ke TIF Districk - kabel 24 300 meter 2/4 proses valins, 31/3 proses terminasi odp plan fi 2/4, golive 3/4 25/3 Proses Tarik kabel 13/3 plan Matdel HI,, proses pr/po plan matdel ,plan matdel 9/2 (paralel menunggu "&amp;"disgn baru) 2/3 proses pr/po plan matdel ,plan matdel 5/2 27/2 MASI MENUNGGU KONFIRMASI DARI TSEL 23/2 proses perizinan dan pengecekan core 18/2 Butuh survet ulang bersama TSEL 11/2 msh menunggu KML realisasi, perlu aanwidzing ulang 6/2 sore ini hbgi by t"&amp;"sel rian , 8/2 terima redesain new dari tsel 4/2 belum dapet info dari tsel terkait ,desain ,tiang tidak bisa di tanam spree tempat kecil 28/1 perubabahn titik odp karna space tanam tiang tidak ada sper tempat 19/1 BUTUH REDISGN23/1 perubabahn titik odp k"&amp;"arna space tanam tiang tidak ada sper tempat 19/1 BUTUH REDISGN """"")</f>
        <v>13/4 Kabel di Putus OTK, sudah di laporkan ke TIF Districk - kabel 24 300 meter 2/4 proses valins, 31/3 proses terminasi odp plan fi 2/4, golive 3/4 25/3 Proses Tarik kabel 13/3 plan Matdel HI,, proses pr/po plan matdel ,plan matdel 9/2 (paralel menunggu disgn baru) 2/3 proses pr/po plan matdel ,plan matdel 5/2 27/2 MASI MENUNGGU KONFIRMASI DARI TSEL 23/2 proses perizinan dan pengecekan core 18/2 Butuh survet ulang bersama TSEL 11/2 msh menunggu KML realisasi, perlu aanwidzing ulang 6/2 sore ini hbgi by tsel rian , 8/2 terima redesain new dari tsel 4/2 belum dapet info dari tsel terkait ,desain ,tiang tidak bisa di tanam spree tempat kecil 28/1 perubabahn titik odp karna space tanam tiang tidak ada sper tempat 19/1 BUTUH REDISGN23/1 perubabahn titik odp karna space tanam tiang tidak ada sper tempat 19/1 BUTUH REDISGN ""</v>
      </c>
      <c r="R1853" s="228">
        <f>IFERROR(__xludf.DUMMYFUNCTION("""COMPUTED_VALUE"""),46125.0)</f>
        <v>46125</v>
      </c>
      <c r="S1853" s="11" t="str">
        <f>IFERROR(__xludf.DUMMYFUNCTION("""COMPUTED_VALUE"""),"APR")</f>
        <v>APR</v>
      </c>
      <c r="T1853" s="73" t="str">
        <f>IFERROR(__xludf.DUMMYFUNCTION("""COMPUTED_VALUE"""),"P1")</f>
        <v>P1</v>
      </c>
      <c r="U1853" s="11" t="str">
        <f>IFERROR(__xludf.DUMMYFUNCTION("""COMPUTED_VALUE"""),"TIF-5879/2026")</f>
        <v>TIF-5879/2026</v>
      </c>
      <c r="V1853" s="229"/>
      <c r="W1853" s="229"/>
      <c r="X1853" s="229" t="str">
        <f>IFERROR(__xludf.DUMMYFUNCTION("""COMPUTED_VALUE"""),"GOLIVE")</f>
        <v>GOLIVE</v>
      </c>
      <c r="Y1853" s="229" t="str">
        <f>IFERROR(__xludf.DUMMYFUNCTION("""COMPUTED_VALUE"""),"DONE")</f>
        <v>DONE</v>
      </c>
      <c r="Z1853" s="229" t="str">
        <f>IFERROR(__xludf.DUMMYFUNCTION("""COMPUTED_VALUE"""),"#N/A")</f>
        <v>#N/A</v>
      </c>
      <c r="AA1853" s="229">
        <f>IFERROR(__xludf.DUMMYFUNCTION("""COMPUTED_VALUE"""),9.0)</f>
        <v>9</v>
      </c>
      <c r="AB1853" s="229"/>
      <c r="AC1853" s="229" t="str">
        <f>IFERROR(__xludf.DUMMYFUNCTION("""COMPUTED_VALUE"""),"9194069#9194074")</f>
        <v>9194069#9194074</v>
      </c>
      <c r="AD1853" s="232">
        <f>IFERROR(__xludf.DUMMYFUNCTION("""COMPUTED_VALUE"""),72.0)</f>
        <v>72</v>
      </c>
      <c r="AE1853" s="233">
        <f>IFERROR(__xludf.DUMMYFUNCTION("""COMPUTED_VALUE"""),46125.0)</f>
        <v>46125</v>
      </c>
      <c r="AF1853" s="54"/>
      <c r="AG1853" s="54"/>
      <c r="AH1853" s="54">
        <v>46125.0</v>
      </c>
      <c r="AI1853" s="55">
        <f t="shared" si="187"/>
        <v>0</v>
      </c>
      <c r="AW1853" s="234"/>
      <c r="BP1853" s="11"/>
      <c r="BQ1853" s="11"/>
      <c r="BR1853" s="235"/>
      <c r="BV1853" s="158"/>
      <c r="BY1853" s="158"/>
      <c r="CB1853" s="158"/>
    </row>
    <row r="1854" ht="18.0" customHeight="1">
      <c r="A1854" s="222">
        <f>IFERROR(__xludf.DUMMYFUNCTION("""COMPUTED_VALUE"""),2026.0)</f>
        <v>2026</v>
      </c>
      <c r="B1854" s="221">
        <f>IFERROR(__xludf.DUMMYFUNCTION("""COMPUTED_VALUE"""),1.2101564E7)</f>
        <v>12101564</v>
      </c>
      <c r="C1854" s="222" t="str">
        <f>IFERROR(__xludf.DUMMYFUNCTION("""COMPUTED_VALUE"""),"SMB-PT3-ODC-SIR-FB-250_-177_2511")</f>
        <v>SMB-PT3-ODC-SIR-FB-250_-177_2511</v>
      </c>
      <c r="D1854" s="222" t="str">
        <f>IFERROR(__xludf.DUMMYFUNCTION("""COMPUTED_VALUE"""),"REGIONAL I")</f>
        <v>REGIONAL I</v>
      </c>
      <c r="E1854" s="222" t="str">
        <f>IFERROR(__xludf.DUMMYFUNCTION("""COMPUTED_VALUE"""),"SUMBAR")</f>
        <v>SUMBAR</v>
      </c>
      <c r="F1854" s="222" t="str">
        <f>IFERROR(__xludf.DUMMYFUNCTION("""COMPUTED_VALUE"""),"SIR")</f>
        <v>SIR</v>
      </c>
      <c r="G1854" s="222" t="str">
        <f>IFERROR(__xludf.DUMMYFUNCTION("""COMPUTED_VALUE"""),"SUMBAGTENG")</f>
        <v>SUMBAGTENG</v>
      </c>
      <c r="H1854" s="222" t="str">
        <f>IFERROR(__xludf.DUMMYFUNCTION("""COMPUTED_VALUE"""),"BUKIT TINGGI")</f>
        <v>BUKIT TINGGI</v>
      </c>
      <c r="I1854" s="222" t="str">
        <f>IFERROR(__xludf.DUMMYFUNCTION("""COMPUTED_VALUE"""),"Batch 2")</f>
        <v>Batch 2</v>
      </c>
      <c r="J1854" s="225">
        <f>IFERROR(__xludf.DUMMYFUNCTION("""COMPUTED_VALUE"""),4.0)</f>
        <v>4</v>
      </c>
      <c r="K1854" s="224">
        <f>IFERROR(__xludf.DUMMYFUNCTION("""COMPUTED_VALUE"""),32.0)</f>
        <v>32</v>
      </c>
      <c r="L1854" s="226">
        <f>IFERROR(__xludf.DUMMYFUNCTION("""COMPUTED_VALUE"""),365006.0)</f>
        <v>365006</v>
      </c>
      <c r="M1854" s="227">
        <f>IFERROR(__xludf.DUMMYFUNCTION("""COMPUTED_VALUE"""),1.1680187E7)</f>
        <v>11680187</v>
      </c>
      <c r="N1854" s="222" t="str">
        <f>IFERROR(__xludf.DUMMYFUNCTION("""COMPUTED_VALUE"""),"PT RATRI PRIMA MANDIRI")</f>
        <v>PT RATRI PRIMA MANDIRI</v>
      </c>
      <c r="O1854" s="222" t="str">
        <f>IFERROR(__xludf.DUMMYFUNCTION("""COMPUTED_VALUE"""),"0. DROP")</f>
        <v>0. DROP</v>
      </c>
      <c r="P1854" s="222" t="str">
        <f>IFERROR(__xludf.DUMMYFUNCTION("""COMPUTED_VALUE"""),"0.3 Feeder Full")</f>
        <v>0.3 Feeder Full</v>
      </c>
      <c r="Q1854" s="222" t="str">
        <f>IFERROR(__xludf.DUMMYFUNCTION("""COMPUTED_VALUE"""),"(12/03) proses pengukuran tipus feeder SIR-FB (27/01) butuh repair feeder SIR-FB (07/01) Persiapan")</f>
        <v>(12/03) proses pengukuran tipus feeder SIR-FB (27/01) butuh repair feeder SIR-FB (07/01) Persiapan</v>
      </c>
      <c r="R1854" s="228"/>
      <c r="S1854" s="11"/>
      <c r="T1854" s="11"/>
      <c r="U1854" s="11"/>
      <c r="V1854" s="229"/>
      <c r="W1854" s="229"/>
      <c r="X1854" s="229" t="str">
        <f>IFERROR(__xludf.DUMMYFUNCTION("""COMPUTED_VALUE"""),"BELUM GOLIVE")</f>
        <v>BELUM GOLIVE</v>
      </c>
      <c r="Y1854" s="229"/>
      <c r="Z1854" s="229" t="str">
        <f>IFERROR(__xludf.DUMMYFUNCTION("""COMPUTED_VALUE"""),"#N/A")</f>
        <v>#N/A</v>
      </c>
      <c r="AA1854" s="229"/>
      <c r="AB1854" s="229"/>
      <c r="AC1854" s="229"/>
      <c r="AD1854" s="232"/>
      <c r="AE1854" s="233"/>
      <c r="AF1854" s="54"/>
      <c r="AG1854" s="54"/>
      <c r="AH1854" s="54"/>
      <c r="AI1854" s="55" t="str">
        <f t="shared" si="187"/>
        <v/>
      </c>
      <c r="AW1854" s="234"/>
      <c r="BP1854" s="11"/>
      <c r="BQ1854" s="11"/>
      <c r="BR1854" s="235"/>
      <c r="BV1854" s="158"/>
      <c r="BY1854" s="158"/>
      <c r="CB1854" s="158"/>
    </row>
    <row r="1855" ht="18.0" hidden="1" customHeight="1">
      <c r="A1855" s="222">
        <f>IFERROR(__xludf.DUMMYFUNCTION("""COMPUTED_VALUE"""),2026.0)</f>
        <v>2026</v>
      </c>
      <c r="B1855" s="221">
        <f>IFERROR(__xludf.DUMMYFUNCTION("""COMPUTED_VALUE"""),1.2227442E7)</f>
        <v>12227442</v>
      </c>
      <c r="C1855" s="222" t="str">
        <f>IFERROR(__xludf.DUMMYFUNCTION("""COMPUTED_VALUE"""),"ACH PT3 LSM-FAF TUMPOK TEUNGOH")</f>
        <v>ACH PT3 LSM-FAF TUMPOK TEUNGOH</v>
      </c>
      <c r="D1855" s="222" t="str">
        <f>IFERROR(__xludf.DUMMYFUNCTION("""COMPUTED_VALUE"""),"REGIONAL I")</f>
        <v>REGIONAL I</v>
      </c>
      <c r="E1855" s="222" t="str">
        <f>IFERROR(__xludf.DUMMYFUNCTION("""COMPUTED_VALUE"""),"ACEH")</f>
        <v>ACEH</v>
      </c>
      <c r="F1855" s="222" t="str">
        <f>IFERROR(__xludf.DUMMYFUNCTION("""COMPUTED_VALUE"""),"LSM")</f>
        <v>LSM</v>
      </c>
      <c r="G1855" s="222" t="str">
        <f>IFERROR(__xludf.DUMMYFUNCTION("""COMPUTED_VALUE"""),"SUMBAGUT")</f>
        <v>SUMBAGUT</v>
      </c>
      <c r="H1855" s="222" t="str">
        <f>IFERROR(__xludf.DUMMYFUNCTION("""COMPUTED_VALUE"""),"BINJAI")</f>
        <v>BINJAI</v>
      </c>
      <c r="I1855" s="222" t="str">
        <f>IFERROR(__xludf.DUMMYFUNCTION("""COMPUTED_VALUE"""),"Batch 2")</f>
        <v>Batch 2</v>
      </c>
      <c r="J1855" s="225">
        <f>IFERROR(__xludf.DUMMYFUNCTION("""COMPUTED_VALUE"""),9.0)</f>
        <v>9</v>
      </c>
      <c r="K1855" s="224">
        <f>IFERROR(__xludf.DUMMYFUNCTION("""COMPUTED_VALUE"""),72.0)</f>
        <v>72</v>
      </c>
      <c r="L1855" s="226">
        <f>IFERROR(__xludf.DUMMYFUNCTION("""COMPUTED_VALUE"""),364561.0)</f>
        <v>364561</v>
      </c>
      <c r="M1855" s="227">
        <f>IFERROR(__xludf.DUMMYFUNCTION("""COMPUTED_VALUE"""),2.6248383E7)</f>
        <v>26248383</v>
      </c>
      <c r="N1855" s="222" t="str">
        <f>IFERROR(__xludf.DUMMYFUNCTION("""COMPUTED_VALUE"""),"PT TRIPOLA PANATA")</f>
        <v>PT TRIPOLA PANATA</v>
      </c>
      <c r="O1855" s="222" t="str">
        <f>IFERROR(__xludf.DUMMYFUNCTION("""COMPUTED_VALUE"""),"7. GOLIVE")</f>
        <v>7. GOLIVE</v>
      </c>
      <c r="P1855" s="222" t="str">
        <f>IFERROR(__xludf.DUMMYFUNCTION("""COMPUTED_VALUE"""),"7.2 Golive Full / OA / DONE OTB")</f>
        <v>7.2 Golive Full / OA / DONE OTB</v>
      </c>
      <c r="Q1855" s="222" t="str">
        <f>IFERROR(__xludf.DUMMYFUNCTION("""COMPUTED_VALUE"""),"(11/03) Validasi (03/03)terminasi (27/02) Penarikan Kabel (18/02) Tanam Tiang (07/01) Persiapan")</f>
        <v>(11/03) Validasi (03/03)terminasi (27/02) Penarikan Kabel (18/02) Tanam Tiang (07/01) Persiapan</v>
      </c>
      <c r="R1855" s="228">
        <f>IFERROR(__xludf.DUMMYFUNCTION("""COMPUTED_VALUE"""),46097.0)</f>
        <v>46097</v>
      </c>
      <c r="S1855" s="11" t="str">
        <f>IFERROR(__xludf.DUMMYFUNCTION("""COMPUTED_VALUE"""),"MAR")</f>
        <v>MAR</v>
      </c>
      <c r="T1855" s="11"/>
      <c r="U1855" s="11"/>
      <c r="V1855" s="229"/>
      <c r="W1855" s="229"/>
      <c r="X1855" s="229" t="str">
        <f>IFERROR(__xludf.DUMMYFUNCTION("""COMPUTED_VALUE"""),"GOLIVE")</f>
        <v>GOLIVE</v>
      </c>
      <c r="Y1855" s="229" t="str">
        <f>IFERROR(__xludf.DUMMYFUNCTION("""COMPUTED_VALUE"""),"DONE")</f>
        <v>DONE</v>
      </c>
      <c r="Z1855" s="229" t="str">
        <f>IFERROR(__xludf.DUMMYFUNCTION("""COMPUTED_VALUE"""),"#N/A")</f>
        <v>#N/A</v>
      </c>
      <c r="AA1855" s="229">
        <f>IFERROR(__xludf.DUMMYFUNCTION("""COMPUTED_VALUE"""),9.0)</f>
        <v>9</v>
      </c>
      <c r="AB1855" s="229"/>
      <c r="AC1855" s="229" t="str">
        <f>IFERROR(__xludf.DUMMYFUNCTION("""COMPUTED_VALUE"""),"9197264#9197269")</f>
        <v>9197264#9197269</v>
      </c>
      <c r="AD1855" s="232">
        <f>IFERROR(__xludf.DUMMYFUNCTION("""COMPUTED_VALUE"""),72.0)</f>
        <v>72</v>
      </c>
      <c r="AE1855" s="233">
        <f>IFERROR(__xludf.DUMMYFUNCTION("""COMPUTED_VALUE"""),46093.0)</f>
        <v>46093</v>
      </c>
      <c r="AF1855" s="54"/>
      <c r="AG1855" s="54"/>
      <c r="AH1855" s="54">
        <v>46138.0</v>
      </c>
      <c r="AI1855" s="237">
        <f>AH1855-NOW()</f>
        <v>-2.377989942</v>
      </c>
      <c r="AJ1855" s="229" t="str">
        <f>if(AI1855&gt;=0,"Gl in Komitmen","Gl out Komitmen")</f>
        <v>Gl out Komitmen</v>
      </c>
      <c r="AK1855" s="229" t="s">
        <v>199</v>
      </c>
      <c r="AW1855" s="234"/>
      <c r="BP1855" s="11"/>
      <c r="BQ1855" s="11"/>
      <c r="BR1855" s="235"/>
      <c r="BV1855" s="158"/>
      <c r="BY1855" s="158"/>
      <c r="CB1855" s="158"/>
    </row>
    <row r="1856" ht="18.0" customHeight="1">
      <c r="A1856" s="222">
        <f>IFERROR(__xludf.DUMMYFUNCTION("""COMPUTED_VALUE"""),2026.0)</f>
        <v>2026</v>
      </c>
      <c r="B1856" s="221">
        <f>IFERROR(__xludf.DUMMYFUNCTION("""COMPUTED_VALUE"""),1.111164E7)</f>
        <v>11111640</v>
      </c>
      <c r="C1856" s="222" t="str">
        <f>IFERROR(__xludf.DUMMYFUNCTION("""COMPUTED_VALUE"""),"SMB P1I1 STTF NEW DIST-SCATTER ALANA R")</f>
        <v>SMB P1I1 STTF NEW DIST-SCATTER ALANA R</v>
      </c>
      <c r="D1856" s="222" t="str">
        <f>IFERROR(__xludf.DUMMYFUNCTION("""COMPUTED_VALUE"""),"REGIONAL I")</f>
        <v>REGIONAL I</v>
      </c>
      <c r="E1856" s="222" t="str">
        <f>IFERROR(__xludf.DUMMYFUNCTION("""COMPUTED_VALUE"""),"SUMBAR")</f>
        <v>SUMBAR</v>
      </c>
      <c r="F1856" s="222" t="str">
        <f>IFERROR(__xludf.DUMMYFUNCTION("""COMPUTED_VALUE"""),"PRS")</f>
        <v>PRS</v>
      </c>
      <c r="G1856" s="222" t="str">
        <f>IFERROR(__xludf.DUMMYFUNCTION("""COMPUTED_VALUE"""),"SUMBAGTENG")</f>
        <v>SUMBAGTENG</v>
      </c>
      <c r="H1856" s="222" t="str">
        <f>IFERROR(__xludf.DUMMYFUNCTION("""COMPUTED_VALUE"""),"BUKIT TINGGI")</f>
        <v>BUKIT TINGGI</v>
      </c>
      <c r="I1856" s="222" t="str">
        <f>IFERROR(__xludf.DUMMYFUNCTION("""COMPUTED_VALUE"""),"Batch 2")</f>
        <v>Batch 2</v>
      </c>
      <c r="J1856" s="225">
        <f>IFERROR(__xludf.DUMMYFUNCTION("""COMPUTED_VALUE"""),14.0)</f>
        <v>14</v>
      </c>
      <c r="K1856" s="224">
        <f>IFERROR(__xludf.DUMMYFUNCTION("""COMPUTED_VALUE"""),112.0)</f>
        <v>112</v>
      </c>
      <c r="L1856" s="226">
        <f>IFERROR(__xludf.DUMMYFUNCTION("""COMPUTED_VALUE"""),1444318.0)</f>
        <v>1444318</v>
      </c>
      <c r="M1856" s="227">
        <f>IFERROR(__xludf.DUMMYFUNCTION("""COMPUTED_VALUE"""),1.61763513E8)</f>
        <v>161763513</v>
      </c>
      <c r="N1856" s="222" t="str">
        <f>IFERROR(__xludf.DUMMYFUNCTION("""COMPUTED_VALUE"""),"PT TRI LESMA INDONESIA")</f>
        <v>PT TRI LESMA INDONESIA</v>
      </c>
      <c r="O1856" s="222" t="str">
        <f>IFERROR(__xludf.DUMMYFUNCTION("""COMPUTED_VALUE"""),"5. INSTALASI")</f>
        <v>5. INSTALASI</v>
      </c>
      <c r="P1856" s="222" t="str">
        <f>IFERROR(__xludf.DUMMYFUNCTION("""COMPUTED_VALUE"""),"5.1 Kendala - Comcase")</f>
        <v>5.1 Kendala - Comcase</v>
      </c>
      <c r="Q1856" s="222" t="str">
        <f>IFERROR(__xludf.DUMMYFUNCTION("""COMPUTED_VALUE"""),"(27/04) terminasi ODP, menunggu dana comcase dari mitra, comcase sudah di acc tif dan ed  (20/04) terminasi ODP, menunggu dana comcase dari mitra, comcase sudah di acc tif dan ed (13/04) terminasi ODP, menunggu dana comcase dari mitra, comcase sudah di ac"&amp;"c tif dan ed (06/04) terminasi ODP, menunggu dana comcase dari mitra, comcase sudah di acc tif dan ed (30/03) terminasi ODP, menunggu dana comcase dari mitra, comcase sudah di acc tif dan ed (16/03) terminasi ODP, menunggu dana comcase dari mitra, comcase"&amp;" sudah di acc tif dan ed (05/03) terminasi ODP, menunggu dana comcase  (02/03) terminasi ODP, menunggu dana comcase (29/01) terminasi ODP, menunggu dana comcase  (07/01) Persiapan")</f>
        <v>(27/04) terminasi ODP, menunggu dana comcase dari mitra, comcase sudah di acc tif dan ed  (20/04) terminasi ODP, menunggu dana comcase dari mitra, comcase sudah di acc tif dan ed (13/04) terminasi ODP, menunggu dana comcase dari mitra, comcase sudah di acc tif dan ed (06/04) terminasi ODP, menunggu dana comcase dari mitra, comcase sudah di acc tif dan ed (30/03) terminasi ODP, menunggu dana comcase dari mitra, comcase sudah di acc tif dan ed (16/03) terminasi ODP, menunggu dana comcase dari mitra, comcase sudah di acc tif dan ed (05/03) terminasi ODP, menunggu dana comcase  (02/03) terminasi ODP, menunggu dana comcase (29/01) terminasi ODP, menunggu dana comcase  (07/01) Persiapan</v>
      </c>
      <c r="R1856" s="228">
        <f>IFERROR(__xludf.DUMMYFUNCTION("""COMPUTED_VALUE"""),46141.0)</f>
        <v>46141</v>
      </c>
      <c r="S1856" s="11" t="str">
        <f>IFERROR(__xludf.DUMMYFUNCTION("""COMPUTED_VALUE"""),"MAR")</f>
        <v>MAR</v>
      </c>
      <c r="T1856" s="73"/>
      <c r="U1856" s="11" t="str">
        <f>IFERROR(__xludf.DUMMYFUNCTION("""COMPUTED_VALUE"""),"W10-921/2025 25KT03R158-0230")</f>
        <v>W10-921/2025 25KT03R158-0230</v>
      </c>
      <c r="V1856" s="229" t="str">
        <f>IFERROR(__xludf.DUMMYFUNCTION("""COMPUTED_VALUE"""),"ALDI EFENDI")</f>
        <v>ALDI EFENDI</v>
      </c>
      <c r="W1856" s="229" t="str">
        <f>IFERROR(__xludf.DUMMYFUNCTION("""COMPUTED_VALUE"""),"MELKO NARWADI")</f>
        <v>MELKO NARWADI</v>
      </c>
      <c r="X1856" s="229" t="str">
        <f>IFERROR(__xludf.DUMMYFUNCTION("""COMPUTED_VALUE"""),"BELUM GOLIVE")</f>
        <v>BELUM GOLIVE</v>
      </c>
      <c r="Y1856" s="229"/>
      <c r="Z1856" s="229" t="str">
        <f>IFERROR(__xludf.DUMMYFUNCTION("""COMPUTED_VALUE"""),"#N/A")</f>
        <v>#N/A</v>
      </c>
      <c r="AA1856" s="229"/>
      <c r="AB1856" s="229"/>
      <c r="AC1856" s="229"/>
      <c r="AD1856" s="232"/>
      <c r="AE1856" s="233"/>
      <c r="AF1856" s="54"/>
      <c r="AG1856" s="54"/>
      <c r="AH1856" s="54">
        <v>46138.0</v>
      </c>
      <c r="AI1856" s="55">
        <f>AH1856-TODAY()</f>
        <v>-2</v>
      </c>
      <c r="AJ1856" s="229" t="str">
        <f>if(AI1856&gt;=0,"In Komitmen","Out Komitmen")</f>
        <v>Out Komitmen</v>
      </c>
      <c r="AK1856" s="231" t="s">
        <v>199</v>
      </c>
      <c r="AW1856" s="234"/>
      <c r="BP1856" s="11"/>
      <c r="BQ1856" s="11"/>
      <c r="BR1856" s="235"/>
      <c r="BV1856" s="158"/>
      <c r="BY1856" s="158"/>
      <c r="CB1856" s="158"/>
    </row>
    <row r="1857" ht="18.0" hidden="1" customHeight="1">
      <c r="A1857" s="222">
        <f>IFERROR(__xludf.DUMMYFUNCTION("""COMPUTED_VALUE"""),2026.0)</f>
        <v>2026</v>
      </c>
      <c r="B1857" s="221">
        <f>IFERROR(__xludf.DUMMYFUNCTION("""COMPUTED_VALUE"""),1.2258299E7)</f>
        <v>12258299</v>
      </c>
      <c r="C1857" s="222" t="str">
        <f>IFERROR(__xludf.DUMMYFUNCTION("""COMPUTED_VALUE"""),"ACH PT3 LSM-FT KAMPUNG JAWA")</f>
        <v>ACH PT3 LSM-FT KAMPUNG JAWA</v>
      </c>
      <c r="D1857" s="222" t="str">
        <f>IFERROR(__xludf.DUMMYFUNCTION("""COMPUTED_VALUE"""),"REGIONAL I")</f>
        <v>REGIONAL I</v>
      </c>
      <c r="E1857" s="222" t="str">
        <f>IFERROR(__xludf.DUMMYFUNCTION("""COMPUTED_VALUE"""),"ACEH")</f>
        <v>ACEH</v>
      </c>
      <c r="F1857" s="222" t="str">
        <f>IFERROR(__xludf.DUMMYFUNCTION("""COMPUTED_VALUE"""),"LSM")</f>
        <v>LSM</v>
      </c>
      <c r="G1857" s="222" t="str">
        <f>IFERROR(__xludf.DUMMYFUNCTION("""COMPUTED_VALUE"""),"SUMBAGUT")</f>
        <v>SUMBAGUT</v>
      </c>
      <c r="H1857" s="222" t="str">
        <f>IFERROR(__xludf.DUMMYFUNCTION("""COMPUTED_VALUE"""),"BINJAI")</f>
        <v>BINJAI</v>
      </c>
      <c r="I1857" s="222" t="str">
        <f>IFERROR(__xludf.DUMMYFUNCTION("""COMPUTED_VALUE"""),"Batch 2")</f>
        <v>Batch 2</v>
      </c>
      <c r="J1857" s="225">
        <f>IFERROR(__xludf.DUMMYFUNCTION("""COMPUTED_VALUE"""),4.0)</f>
        <v>4</v>
      </c>
      <c r="K1857" s="224">
        <f>IFERROR(__xludf.DUMMYFUNCTION("""COMPUTED_VALUE"""),32.0)</f>
        <v>32</v>
      </c>
      <c r="L1857" s="226">
        <f>IFERROR(__xludf.DUMMYFUNCTION("""COMPUTED_VALUE"""),358201.0)</f>
        <v>358201</v>
      </c>
      <c r="M1857" s="227">
        <f>IFERROR(__xludf.DUMMYFUNCTION("""COMPUTED_VALUE"""),1.1462416E7)</f>
        <v>11462416</v>
      </c>
      <c r="N1857" s="222" t="str">
        <f>IFERROR(__xludf.DUMMYFUNCTION("""COMPUTED_VALUE"""),"PT TRIPOLA PANATA")</f>
        <v>PT TRIPOLA PANATA</v>
      </c>
      <c r="O1857" s="222" t="str">
        <f>IFERROR(__xludf.DUMMYFUNCTION("""COMPUTED_VALUE"""),"7. GOLIVE")</f>
        <v>7. GOLIVE</v>
      </c>
      <c r="P1857" s="222" t="str">
        <f>IFERROR(__xludf.DUMMYFUNCTION("""COMPUTED_VALUE"""),"7.2 Golive Full / OA / DONE OTB")</f>
        <v>7.2 Golive Full / OA / DONE OTB</v>
      </c>
      <c r="Q1857" s="222" t="str">
        <f>IFERROR(__xludf.DUMMYFUNCTION("""COMPUTED_VALUE"""),"(16/03) Terminasi (12/03) Penarikan Kabel (05/03) Tanam Tiang (03/03) MATDEL ke site  menunggu PID, Menunggu PID untuk matdel, Menunggu PID untuk matdel, matdel ke site , matdel ke site, proses delivery material ke site, Menunggu Material dari Pabrik ke W"&amp;"H, proses aanwijzing selesai hari ini (07/01) Persiapan")</f>
        <v>(16/03) Terminasi (12/03) Penarikan Kabel (05/03) Tanam Tiang (03/03) MATDEL ke site  menunggu PID, Menunggu PID untuk matdel, Menunggu PID untuk matdel, matdel ke site , matdel ke site, proses delivery material ke site, Menunggu Material dari Pabrik ke WH, proses aanwijzing selesai hari ini (07/01) Persiapan</v>
      </c>
      <c r="R1857" s="228">
        <f>IFERROR(__xludf.DUMMYFUNCTION("""COMPUTED_VALUE"""),46112.0)</f>
        <v>46112</v>
      </c>
      <c r="S1857" s="11" t="str">
        <f>IFERROR(__xludf.DUMMYFUNCTION("""COMPUTED_VALUE"""),"MAR")</f>
        <v>MAR</v>
      </c>
      <c r="T1857" s="11"/>
      <c r="U1857" s="11"/>
      <c r="V1857" s="229"/>
      <c r="W1857" s="229"/>
      <c r="X1857" s="229" t="str">
        <f>IFERROR(__xludf.DUMMYFUNCTION("""COMPUTED_VALUE"""),"GOLIVE")</f>
        <v>GOLIVE</v>
      </c>
      <c r="Y1857" s="229" t="str">
        <f>IFERROR(__xludf.DUMMYFUNCTION("""COMPUTED_VALUE"""),"DONE")</f>
        <v>DONE</v>
      </c>
      <c r="Z1857" s="229" t="str">
        <f>IFERROR(__xludf.DUMMYFUNCTION("""COMPUTED_VALUE"""),"#N/A")</f>
        <v>#N/A</v>
      </c>
      <c r="AA1857" s="229">
        <f>IFERROR(__xludf.DUMMYFUNCTION("""COMPUTED_VALUE"""),4.0)</f>
        <v>4</v>
      </c>
      <c r="AB1857" s="229"/>
      <c r="AC1857" s="229" t="str">
        <f>IFERROR(__xludf.DUMMYFUNCTION("""COMPUTED_VALUE"""),"9201532#9201537")</f>
        <v>9201532#9201537</v>
      </c>
      <c r="AD1857" s="232">
        <f>IFERROR(__xludf.DUMMYFUNCTION("""COMPUTED_VALUE"""),32.0)</f>
        <v>32</v>
      </c>
      <c r="AE1857" s="233">
        <f>IFERROR(__xludf.DUMMYFUNCTION("""COMPUTED_VALUE"""),46106.0)</f>
        <v>46106</v>
      </c>
      <c r="AF1857" s="54"/>
      <c r="AG1857" s="54"/>
      <c r="AH1857" s="54">
        <v>46112.0</v>
      </c>
      <c r="AI1857" s="55">
        <f t="shared" ref="AI1857:AI1875" si="188">IF(OR(R1857="",AE1857=""),"",R1857-AE1857)</f>
        <v>6</v>
      </c>
      <c r="AW1857" s="234"/>
      <c r="BP1857" s="11"/>
      <c r="BQ1857" s="11"/>
      <c r="BR1857" s="235"/>
      <c r="BV1857" s="158"/>
      <c r="BY1857" s="158"/>
      <c r="CB1857" s="158"/>
    </row>
    <row r="1858" ht="18.0" customHeight="1">
      <c r="A1858" s="222">
        <f>IFERROR(__xludf.DUMMYFUNCTION("""COMPUTED_VALUE"""),2026.0)</f>
        <v>2026</v>
      </c>
      <c r="B1858" s="221">
        <f>IFERROR(__xludf.DUMMYFUNCTION("""COMPUTED_VALUE"""),1.1393498E7)</f>
        <v>11393498</v>
      </c>
      <c r="C1858" s="222" t="str">
        <f>IFERROR(__xludf.DUMMYFUNCTION("""COMPUTED_VALUE"""),"SMB MD KOTA PADANG_13573")</f>
        <v>SMB MD KOTA PADANG_13573</v>
      </c>
      <c r="D1858" s="222" t="str">
        <f>IFERROR(__xludf.DUMMYFUNCTION("""COMPUTED_VALUE"""),"REGIONAL I")</f>
        <v>REGIONAL I</v>
      </c>
      <c r="E1858" s="222" t="str">
        <f>IFERROR(__xludf.DUMMYFUNCTION("""COMPUTED_VALUE"""),"SUMBAR")</f>
        <v>SUMBAR</v>
      </c>
      <c r="F1858" s="222" t="str">
        <f>IFERROR(__xludf.DUMMYFUNCTION("""COMPUTED_VALUE"""),"KJI")</f>
        <v>KJI</v>
      </c>
      <c r="G1858" s="222" t="str">
        <f>IFERROR(__xludf.DUMMYFUNCTION("""COMPUTED_VALUE"""),"SUMBAGTENG")</f>
        <v>SUMBAGTENG</v>
      </c>
      <c r="H1858" s="222" t="str">
        <f>IFERROR(__xludf.DUMMYFUNCTION("""COMPUTED_VALUE"""),"PADANG")</f>
        <v>PADANG</v>
      </c>
      <c r="I1858" s="222" t="str">
        <f>IFERROR(__xludf.DUMMYFUNCTION("""COMPUTED_VALUE"""),"Batch 2")</f>
        <v>Batch 2</v>
      </c>
      <c r="J1858" s="225">
        <f>IFERROR(__xludf.DUMMYFUNCTION("""COMPUTED_VALUE"""),2.0)</f>
        <v>2</v>
      </c>
      <c r="K1858" s="224">
        <f>IFERROR(__xludf.DUMMYFUNCTION("""COMPUTED_VALUE"""),16.0)</f>
        <v>16</v>
      </c>
      <c r="L1858" s="226">
        <f>IFERROR(__xludf.DUMMYFUNCTION("""COMPUTED_VALUE"""),357653.0)</f>
        <v>357653</v>
      </c>
      <c r="M1858" s="227">
        <f>IFERROR(__xludf.DUMMYFUNCTION("""COMPUTED_VALUE"""),5722437.0)</f>
        <v>5722437</v>
      </c>
      <c r="N1858" s="222" t="str">
        <f>IFERROR(__xludf.DUMMYFUNCTION("""COMPUTED_VALUE"""),"PT TRI PENAMAS")</f>
        <v>PT TRI PENAMAS</v>
      </c>
      <c r="O1858" s="222" t="str">
        <f>IFERROR(__xludf.DUMMYFUNCTION("""COMPUTED_VALUE"""),"0. DROP")</f>
        <v>0. DROP</v>
      </c>
      <c r="P1858" s="222" t="str">
        <f>IFERROR(__xludf.DUMMYFUNCTION("""COMPUTED_VALUE"""),"0.3 Feeder Full")</f>
        <v>0.3 Feeder Full</v>
      </c>
      <c r="Q1858" s="222" t="str">
        <f>IFERROR(__xludf.DUMMYFUNCTION("""COMPUTED_VALUE"""),"(21/01) KENDALA FEEDER KJI-FL FULL (07/01) Persiapan")</f>
        <v>(21/01) KENDALA FEEDER KJI-FL FULL (07/01) Persiapan</v>
      </c>
      <c r="R1858" s="228"/>
      <c r="S1858" s="11"/>
      <c r="T1858" s="11"/>
      <c r="U1858" s="11"/>
      <c r="V1858" s="229" t="str">
        <f>IFERROR(__xludf.DUMMYFUNCTION("""COMPUTED_VALUE"""),"FABIO RAHMAN")</f>
        <v>FABIO RAHMAN</v>
      </c>
      <c r="W1858" s="229" t="str">
        <f>IFERROR(__xludf.DUMMYFUNCTION("""COMPUTED_VALUE"""),"MELKO NARWADI")</f>
        <v>MELKO NARWADI</v>
      </c>
      <c r="X1858" s="229" t="str">
        <f>IFERROR(__xludf.DUMMYFUNCTION("""COMPUTED_VALUE"""),"BELUM GOLIVE")</f>
        <v>BELUM GOLIVE</v>
      </c>
      <c r="Y1858" s="229"/>
      <c r="Z1858" s="229" t="str">
        <f>IFERROR(__xludf.DUMMYFUNCTION("""COMPUTED_VALUE"""),"#N/A")</f>
        <v>#N/A</v>
      </c>
      <c r="AA1858" s="229"/>
      <c r="AB1858" s="229"/>
      <c r="AC1858" s="229"/>
      <c r="AD1858" s="232"/>
      <c r="AE1858" s="233"/>
      <c r="AF1858" s="54" t="str">
        <f>IFERROR(__xludf.DUMMYFUNCTION("""COMPUTED_VALUE"""),"Draft BA DROP")</f>
        <v>Draft BA DROP</v>
      </c>
      <c r="AG1858" s="54"/>
      <c r="AH1858" s="54"/>
      <c r="AI1858" s="55" t="str">
        <f t="shared" si="188"/>
        <v/>
      </c>
      <c r="AW1858" s="234"/>
      <c r="BP1858" s="11"/>
      <c r="BQ1858" s="11"/>
      <c r="BR1858" s="235"/>
      <c r="BV1858" s="158"/>
      <c r="BY1858" s="158"/>
      <c r="CB1858" s="158"/>
    </row>
    <row r="1859" ht="18.0" hidden="1" customHeight="1">
      <c r="A1859" s="222">
        <f>IFERROR(__xludf.DUMMYFUNCTION("""COMPUTED_VALUE"""),2026.0)</f>
        <v>2026</v>
      </c>
      <c r="B1859" s="221">
        <f>IFERROR(__xludf.DUMMYFUNCTION("""COMPUTED_VALUE"""),1.1409388E7)</f>
        <v>11409388</v>
      </c>
      <c r="C1859" s="222" t="str">
        <f>IFERROR(__xludf.DUMMYFUNCTION("""COMPUTED_VALUE"""),"BNK-PT3-BRC-CRP-KEPAHIANG_17488")</f>
        <v>BNK-PT3-BRC-CRP-KEPAHIANG_17488</v>
      </c>
      <c r="D1859" s="222" t="str">
        <f>IFERROR(__xludf.DUMMYFUNCTION("""COMPUTED_VALUE"""),"REGIONAL I")</f>
        <v>REGIONAL I</v>
      </c>
      <c r="E1859" s="222" t="str">
        <f>IFERROR(__xludf.DUMMYFUNCTION("""COMPUTED_VALUE"""),"BENGKULU")</f>
        <v>BENGKULU</v>
      </c>
      <c r="F1859" s="222" t="str">
        <f>IFERROR(__xludf.DUMMYFUNCTION("""COMPUTED_VALUE"""),"CRP")</f>
        <v>CRP</v>
      </c>
      <c r="G1859" s="222" t="str">
        <f>IFERROR(__xludf.DUMMYFUNCTION("""COMPUTED_VALUE"""),"SUMBAGSEL")</f>
        <v>SUMBAGSEL</v>
      </c>
      <c r="H1859" s="222" t="str">
        <f>IFERROR(__xludf.DUMMYFUNCTION("""COMPUTED_VALUE"""),"BENGKULU")</f>
        <v>BENGKULU</v>
      </c>
      <c r="I1859" s="222" t="str">
        <f>IFERROR(__xludf.DUMMYFUNCTION("""COMPUTED_VALUE"""),"Batch 2")</f>
        <v>Batch 2</v>
      </c>
      <c r="J1859" s="225">
        <f>IFERROR(__xludf.DUMMYFUNCTION("""COMPUTED_VALUE"""),5.0)</f>
        <v>5</v>
      </c>
      <c r="K1859" s="224">
        <f>IFERROR(__xludf.DUMMYFUNCTION("""COMPUTED_VALUE"""),40.0)</f>
        <v>40</v>
      </c>
      <c r="L1859" s="226">
        <f>IFERROR(__xludf.DUMMYFUNCTION("""COMPUTED_VALUE"""),1037458.0)</f>
        <v>1037458</v>
      </c>
      <c r="M1859" s="227">
        <f>IFERROR(__xludf.DUMMYFUNCTION("""COMPUTED_VALUE"""),4.1498291E7)</f>
        <v>41498291</v>
      </c>
      <c r="N1859" s="222" t="str">
        <f>IFERROR(__xludf.DUMMYFUNCTION("""COMPUTED_VALUE"""),"PT TELAGA RESTU ABADI")</f>
        <v>PT TELAGA RESTU ABADI</v>
      </c>
      <c r="O1859" s="222" t="str">
        <f>IFERROR(__xludf.DUMMYFUNCTION("""COMPUTED_VALUE"""),"0. DROP")</f>
        <v>0. DROP</v>
      </c>
      <c r="P1859" s="222" t="str">
        <f>IFERROR(__xludf.DUMMYFUNCTION("""COMPUTED_VALUE"""),"0.2 Tidak Dapat Izin Warga/Kades/Lurah/Developer")</f>
        <v>0.2 Tidak Dapat Izin Warga/Kades/Lurah/Developer</v>
      </c>
      <c r="Q1859" s="222" t="str">
        <f>IFERROR(__xludf.DUMMYFUNCTION("""COMPUTED_VALUE"""),"22/01 : KENDALA IZIN RT RW")</f>
        <v>22/01 : KENDALA IZIN RT RW</v>
      </c>
      <c r="R1859" s="228"/>
      <c r="S1859" s="11"/>
      <c r="T1859" s="11"/>
      <c r="U1859" s="11"/>
      <c r="V1859" s="229"/>
      <c r="W1859" s="229"/>
      <c r="X1859" s="229" t="str">
        <f>IFERROR(__xludf.DUMMYFUNCTION("""COMPUTED_VALUE"""),"BELUM GOLIVE")</f>
        <v>BELUM GOLIVE</v>
      </c>
      <c r="Y1859" s="229"/>
      <c r="Z1859" s="229" t="str">
        <f>IFERROR(__xludf.DUMMYFUNCTION("""COMPUTED_VALUE"""),"#N/A")</f>
        <v>#N/A</v>
      </c>
      <c r="AA1859" s="229"/>
      <c r="AB1859" s="229"/>
      <c r="AC1859" s="229"/>
      <c r="AD1859" s="232"/>
      <c r="AE1859" s="233"/>
      <c r="AF1859" s="54" t="str">
        <f>IFERROR(__xludf.DUMMYFUNCTION("""COMPUTED_VALUE"""),"Draft BA DROP")</f>
        <v>Draft BA DROP</v>
      </c>
      <c r="AG1859" s="54"/>
      <c r="AH1859" s="54"/>
      <c r="AI1859" s="55" t="str">
        <f t="shared" si="188"/>
        <v/>
      </c>
      <c r="AW1859" s="234"/>
      <c r="BP1859" s="11"/>
      <c r="BQ1859" s="11"/>
      <c r="BR1859" s="235"/>
      <c r="BV1859" s="158"/>
      <c r="BY1859" s="158"/>
      <c r="CB1859" s="158"/>
    </row>
    <row r="1860" ht="18.0" hidden="1" customHeight="1">
      <c r="A1860" s="222">
        <f>IFERROR(__xludf.DUMMYFUNCTION("""COMPUTED_VALUE"""),2026.0)</f>
        <v>2026</v>
      </c>
      <c r="B1860" s="221">
        <f>IFERROR(__xludf.DUMMYFUNCTION("""COMPUTED_VALUE"""),1.1410872E7)</f>
        <v>11410872</v>
      </c>
      <c r="C1860" s="222" t="str">
        <f>IFERROR(__xludf.DUMMYFUNCTION("""COMPUTED_VALUE"""),"BNK-PT3-BRC-REJANG LEBONG_12791")</f>
        <v>BNK-PT3-BRC-REJANG LEBONG_12791</v>
      </c>
      <c r="D1860" s="222" t="str">
        <f>IFERROR(__xludf.DUMMYFUNCTION("""COMPUTED_VALUE"""),"REGIONAL I")</f>
        <v>REGIONAL I</v>
      </c>
      <c r="E1860" s="222" t="str">
        <f>IFERROR(__xludf.DUMMYFUNCTION("""COMPUTED_VALUE"""),"BENGKULU")</f>
        <v>BENGKULU</v>
      </c>
      <c r="F1860" s="222" t="str">
        <f>IFERROR(__xludf.DUMMYFUNCTION("""COMPUTED_VALUE"""),"CRP")</f>
        <v>CRP</v>
      </c>
      <c r="G1860" s="222" t="str">
        <f>IFERROR(__xludf.DUMMYFUNCTION("""COMPUTED_VALUE"""),"SUMBAGSEL")</f>
        <v>SUMBAGSEL</v>
      </c>
      <c r="H1860" s="222" t="str">
        <f>IFERROR(__xludf.DUMMYFUNCTION("""COMPUTED_VALUE"""),"BENGKULU")</f>
        <v>BENGKULU</v>
      </c>
      <c r="I1860" s="222" t="str">
        <f>IFERROR(__xludf.DUMMYFUNCTION("""COMPUTED_VALUE"""),"Batch 2")</f>
        <v>Batch 2</v>
      </c>
      <c r="J1860" s="225">
        <f>IFERROR(__xludf.DUMMYFUNCTION("""COMPUTED_VALUE"""),2.0)</f>
        <v>2</v>
      </c>
      <c r="K1860" s="224">
        <f>IFERROR(__xludf.DUMMYFUNCTION("""COMPUTED_VALUE"""),16.0)</f>
        <v>16</v>
      </c>
      <c r="L1860" s="226">
        <f>IFERROR(__xludf.DUMMYFUNCTION("""COMPUTED_VALUE"""),806474.0)</f>
        <v>806474</v>
      </c>
      <c r="M1860" s="227">
        <f>IFERROR(__xludf.DUMMYFUNCTION("""COMPUTED_VALUE"""),1.2903581E7)</f>
        <v>12903581</v>
      </c>
      <c r="N1860" s="222" t="str">
        <f>IFERROR(__xludf.DUMMYFUNCTION("""COMPUTED_VALUE"""),"PT TELAGA RESTU ABADI")</f>
        <v>PT TELAGA RESTU ABADI</v>
      </c>
      <c r="O1860" s="222" t="str">
        <f>IFERROR(__xludf.DUMMYFUNCTION("""COMPUTED_VALUE"""),"0. DROP")</f>
        <v>0. DROP</v>
      </c>
      <c r="P1860" s="222" t="str">
        <f>IFERROR(__xludf.DUMMYFUNCTION("""COMPUTED_VALUE"""),"0.2 Tidak Dapat Izin Warga/Kades/Lurah/Developer")</f>
        <v>0.2 Tidak Dapat Izin Warga/Kades/Lurah/Developer</v>
      </c>
      <c r="Q1860" s="222" t="str">
        <f>IFERROR(__xludf.DUMMYFUNCTION("""COMPUTED_VALUE"""),"22/01 : Kendala izin kades")</f>
        <v>22/01 : Kendala izin kades</v>
      </c>
      <c r="R1860" s="228"/>
      <c r="S1860" s="11"/>
      <c r="T1860" s="11"/>
      <c r="U1860" s="11"/>
      <c r="V1860" s="229"/>
      <c r="W1860" s="229"/>
      <c r="X1860" s="229" t="str">
        <f>IFERROR(__xludf.DUMMYFUNCTION("""COMPUTED_VALUE"""),"BELUM GOLIVE")</f>
        <v>BELUM GOLIVE</v>
      </c>
      <c r="Y1860" s="229"/>
      <c r="Z1860" s="229" t="str">
        <f>IFERROR(__xludf.DUMMYFUNCTION("""COMPUTED_VALUE"""),"#N/A")</f>
        <v>#N/A</v>
      </c>
      <c r="AA1860" s="229"/>
      <c r="AB1860" s="229"/>
      <c r="AC1860" s="229"/>
      <c r="AD1860" s="232"/>
      <c r="AE1860" s="233"/>
      <c r="AF1860" s="54" t="str">
        <f>IFERROR(__xludf.DUMMYFUNCTION("""COMPUTED_VALUE"""),"Draft BA DROP")</f>
        <v>Draft BA DROP</v>
      </c>
      <c r="AG1860" s="54"/>
      <c r="AH1860" s="54"/>
      <c r="AI1860" s="55" t="str">
        <f t="shared" si="188"/>
        <v/>
      </c>
      <c r="AW1860" s="234"/>
      <c r="BP1860" s="11"/>
      <c r="BQ1860" s="11"/>
      <c r="BR1860" s="235"/>
      <c r="BV1860" s="158"/>
      <c r="BY1860" s="158"/>
      <c r="CB1860" s="158"/>
    </row>
    <row r="1861" ht="18.0" hidden="1" customHeight="1">
      <c r="A1861" s="222">
        <f>IFERROR(__xludf.DUMMYFUNCTION("""COMPUTED_VALUE"""),2026.0)</f>
        <v>2026</v>
      </c>
      <c r="B1861" s="221">
        <f>IFERROR(__xludf.DUMMYFUNCTION("""COMPUTED_VALUE"""),1.136015E7)</f>
        <v>11360150</v>
      </c>
      <c r="C1861" s="222" t="str">
        <f>IFERROR(__xludf.DUMMYFUNCTION("""COMPUTED_VALUE"""),"MDN PT3 P7I7 TMU-FAC JL.TAMBAK BAYAN")</f>
        <v>MDN PT3 P7I7 TMU-FAC JL.TAMBAK BAYAN</v>
      </c>
      <c r="D1861" s="222" t="str">
        <f>IFERROR(__xludf.DUMMYFUNCTION("""COMPUTED_VALUE"""),"REGIONAL I")</f>
        <v>REGIONAL I</v>
      </c>
      <c r="E1861" s="222" t="str">
        <f>IFERROR(__xludf.DUMMYFUNCTION("""COMPUTED_VALUE"""),"MEDAN")</f>
        <v>MEDAN</v>
      </c>
      <c r="F1861" s="222" t="str">
        <f>IFERROR(__xludf.DUMMYFUNCTION("""COMPUTED_VALUE"""),"PUB")</f>
        <v>PUB</v>
      </c>
      <c r="G1861" s="222" t="str">
        <f>IFERROR(__xludf.DUMMYFUNCTION("""COMPUTED_VALUE"""),"SUMBAGUT")</f>
        <v>SUMBAGUT</v>
      </c>
      <c r="H1861" s="222" t="str">
        <f>IFERROR(__xludf.DUMMYFUNCTION("""COMPUTED_VALUE"""),"MEDAN")</f>
        <v>MEDAN</v>
      </c>
      <c r="I1861" s="222" t="str">
        <f>IFERROR(__xludf.DUMMYFUNCTION("""COMPUTED_VALUE"""),"Batch 2")</f>
        <v>Batch 2</v>
      </c>
      <c r="J1861" s="225">
        <f>IFERROR(__xludf.DUMMYFUNCTION("""COMPUTED_VALUE"""),6.0)</f>
        <v>6</v>
      </c>
      <c r="K1861" s="224">
        <f>IFERROR(__xludf.DUMMYFUNCTION("""COMPUTED_VALUE"""),48.0)</f>
        <v>48</v>
      </c>
      <c r="L1861" s="226">
        <f>IFERROR(__xludf.DUMMYFUNCTION("""COMPUTED_VALUE"""),1697772.0)</f>
        <v>1697772</v>
      </c>
      <c r="M1861" s="227">
        <f>IFERROR(__xludf.DUMMYFUNCTION("""COMPUTED_VALUE"""),8.1493052E7)</f>
        <v>81493052</v>
      </c>
      <c r="N1861" s="222" t="str">
        <f>IFERROR(__xludf.DUMMYFUNCTION("""COMPUTED_VALUE"""),"PT BENWA  MITRA PRATAMA")</f>
        <v>PT BENWA  MITRA PRATAMA</v>
      </c>
      <c r="O1861" s="222" t="str">
        <f>IFERROR(__xludf.DUMMYFUNCTION("""COMPUTED_VALUE"""),"0. DROP")</f>
        <v>0. DROP</v>
      </c>
      <c r="P1861" s="222" t="str">
        <f>IFERROR(__xludf.DUMMYFUNCTION("""COMPUTED_VALUE"""),"0.4 CPP Tinggi Acc ED TIF")</f>
        <v>0.4 CPP Tinggi Acc ED TIF</v>
      </c>
      <c r="Q1861" s="222" t="str">
        <f>IFERROR(__xludf.DUMMYFUNCTION("""COMPUTED_VALUE"""),"10/02 Komitmen Aanwidzing 13/02/2026")</f>
        <v>10/02 Komitmen Aanwidzing 13/02/2026</v>
      </c>
      <c r="R1861" s="228"/>
      <c r="S1861" s="11"/>
      <c r="T1861" s="11"/>
      <c r="U1861" s="11"/>
      <c r="V1861" s="229"/>
      <c r="W1861" s="229"/>
      <c r="X1861" s="229" t="str">
        <f>IFERROR(__xludf.DUMMYFUNCTION("""COMPUTED_VALUE"""),"BELUM GOLIVE")</f>
        <v>BELUM GOLIVE</v>
      </c>
      <c r="Y1861" s="229"/>
      <c r="Z1861" s="229" t="str">
        <f>IFERROR(__xludf.DUMMYFUNCTION("""COMPUTED_VALUE"""),"#N/A")</f>
        <v>#N/A</v>
      </c>
      <c r="AA1861" s="229"/>
      <c r="AB1861" s="229"/>
      <c r="AC1861" s="229"/>
      <c r="AD1861" s="232"/>
      <c r="AE1861" s="233"/>
      <c r="AF1861" s="54" t="str">
        <f>IFERROR(__xludf.DUMMYFUNCTION("""COMPUTED_VALUE"""),"Draft BA DROP")</f>
        <v>Draft BA DROP</v>
      </c>
      <c r="AG1861" s="54"/>
      <c r="AH1861" s="54"/>
      <c r="AI1861" s="55" t="str">
        <f t="shared" si="188"/>
        <v/>
      </c>
      <c r="AW1861" s="234"/>
      <c r="BP1861" s="11"/>
      <c r="BQ1861" s="11"/>
      <c r="BR1861" s="235"/>
      <c r="BV1861" s="158"/>
      <c r="BY1861" s="158"/>
      <c r="CB1861" s="158"/>
    </row>
    <row r="1862" ht="18.0" hidden="1" customHeight="1">
      <c r="A1862" s="222">
        <f>IFERROR(__xludf.DUMMYFUNCTION("""COMPUTED_VALUE"""),2026.0)</f>
        <v>2026</v>
      </c>
      <c r="B1862" s="221">
        <f>IFERROR(__xludf.DUMMYFUNCTION("""COMPUTED_VALUE"""),1.1396333E7)</f>
        <v>11396333</v>
      </c>
      <c r="C1862" s="222" t="str">
        <f>IFERROR(__xludf.DUMMYFUNCTION("""COMPUTED_VALUE"""),"BNK-PT3-BRC-MUA-FXX-JPPTSEL-PAGAR AGUNG")</f>
        <v>BNK-PT3-BRC-MUA-FXX-JPPTSEL-PAGAR AGUNG</v>
      </c>
      <c r="D1862" s="222" t="str">
        <f>IFERROR(__xludf.DUMMYFUNCTION("""COMPUTED_VALUE"""),"REGIONAL I")</f>
        <v>REGIONAL I</v>
      </c>
      <c r="E1862" s="222" t="str">
        <f>IFERROR(__xludf.DUMMYFUNCTION("""COMPUTED_VALUE"""),"BENGKULU")</f>
        <v>BENGKULU</v>
      </c>
      <c r="F1862" s="222" t="str">
        <f>IFERROR(__xludf.DUMMYFUNCTION("""COMPUTED_VALUE"""),"MUA")</f>
        <v>MUA</v>
      </c>
      <c r="G1862" s="222" t="str">
        <f>IFERROR(__xludf.DUMMYFUNCTION("""COMPUTED_VALUE"""),"SUMBAGSEL")</f>
        <v>SUMBAGSEL</v>
      </c>
      <c r="H1862" s="222" t="str">
        <f>IFERROR(__xludf.DUMMYFUNCTION("""COMPUTED_VALUE"""),"BENGKULU")</f>
        <v>BENGKULU</v>
      </c>
      <c r="I1862" s="222" t="str">
        <f>IFERROR(__xludf.DUMMYFUNCTION("""COMPUTED_VALUE"""),"Batch 2")</f>
        <v>Batch 2</v>
      </c>
      <c r="J1862" s="225">
        <f>IFERROR(__xludf.DUMMYFUNCTION("""COMPUTED_VALUE"""),14.0)</f>
        <v>14</v>
      </c>
      <c r="K1862" s="224">
        <f>IFERROR(__xludf.DUMMYFUNCTION("""COMPUTED_VALUE"""),112.0)</f>
        <v>112</v>
      </c>
      <c r="L1862" s="226">
        <f>IFERROR(__xludf.DUMMYFUNCTION("""COMPUTED_VALUE"""),1021138.0)</f>
        <v>1021138</v>
      </c>
      <c r="M1862" s="227">
        <f>IFERROR(__xludf.DUMMYFUNCTION("""COMPUTED_VALUE"""),1.14367394E8)</f>
        <v>114367394</v>
      </c>
      <c r="N1862" s="222" t="str">
        <f>IFERROR(__xludf.DUMMYFUNCTION("""COMPUTED_VALUE"""),"PT SARANA MITRA PERSADA")</f>
        <v>PT SARANA MITRA PERSADA</v>
      </c>
      <c r="O1862" s="222" t="str">
        <f>IFERROR(__xludf.DUMMYFUNCTION("""COMPUTED_VALUE"""),"0. DROP")</f>
        <v>0. DROP</v>
      </c>
      <c r="P1862" s="222" t="str">
        <f>IFERROR(__xludf.DUMMYFUNCTION("""COMPUTED_VALUE"""),"0.2 Tidak Dapat Izin Warga/Kades/Lurah/Developer")</f>
        <v>0.2 Tidak Dapat Izin Warga/Kades/Lurah/Developer</v>
      </c>
      <c r="Q1862" s="222" t="str">
        <f>IFERROR(__xludf.DUMMYFUNCTION("""COMPUTED_VALUE"""),"09/01 : kendala izin tanam tiang, di loaksi tidak ada space, comcase kades, core eksisting tidak tembus (07/01) Persiapan")</f>
        <v>09/01 : kendala izin tanam tiang, di loaksi tidak ada space, comcase kades, core eksisting tidak tembus (07/01) Persiapan</v>
      </c>
      <c r="R1862" s="228"/>
      <c r="S1862" s="11"/>
      <c r="T1862" s="11"/>
      <c r="U1862" s="11"/>
      <c r="V1862" s="229"/>
      <c r="W1862" s="229"/>
      <c r="X1862" s="229" t="str">
        <f>IFERROR(__xludf.DUMMYFUNCTION("""COMPUTED_VALUE"""),"BELUM GOLIVE")</f>
        <v>BELUM GOLIVE</v>
      </c>
      <c r="Y1862" s="229"/>
      <c r="Z1862" s="229" t="str">
        <f>IFERROR(__xludf.DUMMYFUNCTION("""COMPUTED_VALUE"""),"#N/A")</f>
        <v>#N/A</v>
      </c>
      <c r="AA1862" s="229"/>
      <c r="AB1862" s="229"/>
      <c r="AC1862" s="229"/>
      <c r="AD1862" s="232"/>
      <c r="AE1862" s="233"/>
      <c r="AF1862" s="54" t="str">
        <f>IFERROR(__xludf.DUMMYFUNCTION("""COMPUTED_VALUE"""),"Draft BA DROP")</f>
        <v>Draft BA DROP</v>
      </c>
      <c r="AG1862" s="54"/>
      <c r="AH1862" s="54"/>
      <c r="AI1862" s="55" t="str">
        <f t="shared" si="188"/>
        <v/>
      </c>
      <c r="AW1862" s="234"/>
      <c r="BP1862" s="11"/>
      <c r="BQ1862" s="11"/>
      <c r="BR1862" s="235"/>
      <c r="BV1862" s="158"/>
      <c r="BY1862" s="158"/>
      <c r="CB1862" s="158"/>
    </row>
    <row r="1863" ht="18.0" hidden="1" customHeight="1">
      <c r="A1863" s="222">
        <f>IFERROR(__xludf.DUMMYFUNCTION("""COMPUTED_VALUE"""),2026.0)</f>
        <v>2026</v>
      </c>
      <c r="B1863" s="221">
        <f>IFERROR(__xludf.DUMMYFUNCTION("""COMPUTED_VALUE"""),1.2252827E7)</f>
        <v>12252827</v>
      </c>
      <c r="C1863" s="222" t="str">
        <f>IFERROR(__xludf.DUMMYFUNCTION("""COMPUTED_VALUE"""),"SMS PT3 LLG FAB D07 DWI RIYADI")</f>
        <v>SMS PT3 LLG FAB D07 DWI RIYADI</v>
      </c>
      <c r="D1863" s="222" t="str">
        <f>IFERROR(__xludf.DUMMYFUNCTION("""COMPUTED_VALUE"""),"REGIONAL I")</f>
        <v>REGIONAL I</v>
      </c>
      <c r="E1863" s="222" t="str">
        <f>IFERROR(__xludf.DUMMYFUNCTION("""COMPUTED_VALUE"""),"SUMSEL")</f>
        <v>SUMSEL</v>
      </c>
      <c r="F1863" s="222" t="str">
        <f>IFERROR(__xludf.DUMMYFUNCTION("""COMPUTED_VALUE"""),"LLG")</f>
        <v>LLG</v>
      </c>
      <c r="G1863" s="222" t="str">
        <f>IFERROR(__xludf.DUMMYFUNCTION("""COMPUTED_VALUE"""),"SUMBAGSEL")</f>
        <v>SUMBAGSEL</v>
      </c>
      <c r="H1863" s="222" t="str">
        <f>IFERROR(__xludf.DUMMYFUNCTION("""COMPUTED_VALUE"""),"BENGKULU")</f>
        <v>BENGKULU</v>
      </c>
      <c r="I1863" s="222" t="str">
        <f>IFERROR(__xludf.DUMMYFUNCTION("""COMPUTED_VALUE"""),"Batch 2")</f>
        <v>Batch 2</v>
      </c>
      <c r="J1863" s="225">
        <f>IFERROR(__xludf.DUMMYFUNCTION("""COMPUTED_VALUE"""),4.0)</f>
        <v>4</v>
      </c>
      <c r="K1863" s="224">
        <f>IFERROR(__xludf.DUMMYFUNCTION("""COMPUTED_VALUE"""),32.0)</f>
        <v>32</v>
      </c>
      <c r="L1863" s="226">
        <f>IFERROR(__xludf.DUMMYFUNCTION("""COMPUTED_VALUE"""),357139.0)</f>
        <v>357139</v>
      </c>
      <c r="M1863" s="227">
        <f>IFERROR(__xludf.DUMMYFUNCTION("""COMPUTED_VALUE"""),1.1428424E7)</f>
        <v>11428424</v>
      </c>
      <c r="N1863" s="222" t="str">
        <f>IFERROR(__xludf.DUMMYFUNCTION("""COMPUTED_VALUE"""),"PT HAN SUNG INDONESIA")</f>
        <v>PT HAN SUNG INDONESIA</v>
      </c>
      <c r="O1863" s="222" t="str">
        <f>IFERROR(__xludf.DUMMYFUNCTION("""COMPUTED_VALUE"""),"8. UJI TERIMA")</f>
        <v>8. UJI TERIMA</v>
      </c>
      <c r="P1863" s="222" t="str">
        <f>IFERROR(__xludf.DUMMYFUNCTION("""COMPUTED_VALUE"""),"8.1 Proses UT")</f>
        <v>8.1 Proses UT</v>
      </c>
      <c r="Q1863" s="222" t="str">
        <f>IFERROR(__xludf.DUMMYFUNCTION("""COMPUTED_VALUE"""),"(31/1) SUdah selesai Valins, eviden FTM bellum dikirim  (24/1) kendala Big OLT, rak sudah sampai di sto  menunggu instlasi (21/01) selesai fisik, kendala port OLT STO LLG habis, butuh BIG OLT baru, (19/11) Matdel (14/11) SUDAH ANWIJZING (11/11) Penunjukka"&amp;"n MITRA  oleh Procurement (09/11) update kml anwijzing - mitra hansung 23/10 penunjukan mitra")</f>
        <v>(31/1) SUdah selesai Valins, eviden FTM bellum dikirim  (24/1) kendala Big OLT, rak sudah sampai di sto  menunggu instlasi (21/01) selesai fisik, kendala port OLT STO LLG habis, butuh BIG OLT baru, (19/11) Matdel (14/11) SUDAH ANWIJZING (11/11) Penunjukkan MITRA  oleh Procurement (09/11) update kml anwijzing - mitra hansung 23/10 penunjukan mitra</v>
      </c>
      <c r="R1863" s="228"/>
      <c r="S1863" s="11"/>
      <c r="T1863" s="11"/>
      <c r="U1863" s="11"/>
      <c r="V1863" s="229" t="str">
        <f>IFERROR(__xludf.DUMMYFUNCTION("""COMPUTED_VALUE"""),"PUTRA")</f>
        <v>PUTRA</v>
      </c>
      <c r="W1863" s="229"/>
      <c r="X1863" s="229" t="str">
        <f>IFERROR(__xludf.DUMMYFUNCTION("""COMPUTED_VALUE"""),"GOLIVE")</f>
        <v>GOLIVE</v>
      </c>
      <c r="Y1863" s="229" t="str">
        <f>IFERROR(__xludf.DUMMYFUNCTION("""COMPUTED_VALUE"""),"DONE")</f>
        <v>DONE</v>
      </c>
      <c r="Z1863" s="229" t="str">
        <f>IFERROR(__xludf.DUMMYFUNCTION("""COMPUTED_VALUE"""),"#N/A")</f>
        <v>#N/A</v>
      </c>
      <c r="AA1863" s="229">
        <f>IFERROR(__xludf.DUMMYFUNCTION("""COMPUTED_VALUE"""),4.0)</f>
        <v>4</v>
      </c>
      <c r="AB1863" s="229"/>
      <c r="AC1863" s="229" t="str">
        <f>IFERROR(__xludf.DUMMYFUNCTION("""COMPUTED_VALUE"""),"8532199#8532204")</f>
        <v>8532199#8532204</v>
      </c>
      <c r="AD1863" s="232">
        <f>IFERROR(__xludf.DUMMYFUNCTION("""COMPUTED_VALUE"""),32.0)</f>
        <v>32</v>
      </c>
      <c r="AE1863" s="233">
        <f>IFERROR(__xludf.DUMMYFUNCTION("""COMPUTED_VALUE"""),46053.0)</f>
        <v>46053</v>
      </c>
      <c r="AF1863" s="54"/>
      <c r="AG1863" s="54"/>
      <c r="AH1863" s="54"/>
      <c r="AI1863" s="55" t="str">
        <f t="shared" si="188"/>
        <v/>
      </c>
      <c r="AW1863" s="234"/>
      <c r="BP1863" s="11"/>
      <c r="BQ1863" s="11"/>
      <c r="BR1863" s="235"/>
      <c r="BV1863" s="158"/>
      <c r="BY1863" s="158"/>
      <c r="CB1863" s="158"/>
    </row>
    <row r="1864" ht="18.0" hidden="1" customHeight="1">
      <c r="A1864" s="222">
        <f>IFERROR(__xludf.DUMMYFUNCTION("""COMPUTED_VALUE"""),2026.0)</f>
        <v>2026</v>
      </c>
      <c r="B1864" s="221">
        <f>IFERROR(__xludf.DUMMYFUNCTION("""COMPUTED_VALUE"""),1.2092267E7)</f>
        <v>12092267</v>
      </c>
      <c r="C1864" s="222" t="str">
        <f>IFERROR(__xludf.DUMMYFUNCTION("""COMPUTED_VALUE"""),"BNK PT3 BNC FBG JPPTSEL 9989_H2_2025")</f>
        <v>BNK PT3 BNC FBG JPPTSEL 9989_H2_2025</v>
      </c>
      <c r="D1864" s="222" t="str">
        <f>IFERROR(__xludf.DUMMYFUNCTION("""COMPUTED_VALUE"""),"REGIONAL I")</f>
        <v>REGIONAL I</v>
      </c>
      <c r="E1864" s="222" t="str">
        <f>IFERROR(__xludf.DUMMYFUNCTION("""COMPUTED_VALUE"""),"BENGKULU")</f>
        <v>BENGKULU</v>
      </c>
      <c r="F1864" s="222" t="str">
        <f>IFERROR(__xludf.DUMMYFUNCTION("""COMPUTED_VALUE"""),"BNC")</f>
        <v>BNC</v>
      </c>
      <c r="G1864" s="222" t="str">
        <f>IFERROR(__xludf.DUMMYFUNCTION("""COMPUTED_VALUE"""),"SUMBAGSEL")</f>
        <v>SUMBAGSEL</v>
      </c>
      <c r="H1864" s="222" t="str">
        <f>IFERROR(__xludf.DUMMYFUNCTION("""COMPUTED_VALUE"""),"BENGKULU")</f>
        <v>BENGKULU</v>
      </c>
      <c r="I1864" s="222" t="str">
        <f>IFERROR(__xludf.DUMMYFUNCTION("""COMPUTED_VALUE"""),"Batch 2")</f>
        <v>Batch 2</v>
      </c>
      <c r="J1864" s="225">
        <f>IFERROR(__xludf.DUMMYFUNCTION("""COMPUTED_VALUE"""),2.0)</f>
        <v>2</v>
      </c>
      <c r="K1864" s="224">
        <f>IFERROR(__xludf.DUMMYFUNCTION("""COMPUTED_VALUE"""),16.0)</f>
        <v>16</v>
      </c>
      <c r="L1864" s="226">
        <f>IFERROR(__xludf.DUMMYFUNCTION("""COMPUTED_VALUE"""),661562.0)</f>
        <v>661562</v>
      </c>
      <c r="M1864" s="227">
        <f>IFERROR(__xludf.DUMMYFUNCTION("""COMPUTED_VALUE"""),1.0584981E7)</f>
        <v>10584981</v>
      </c>
      <c r="N1864" s="222" t="str">
        <f>IFERROR(__xludf.DUMMYFUNCTION("""COMPUTED_VALUE"""),"PT HASSANAH MULIA JAYA")</f>
        <v>PT HASSANAH MULIA JAYA</v>
      </c>
      <c r="O1864" s="222" t="str">
        <f>IFERROR(__xludf.DUMMYFUNCTION("""COMPUTED_VALUE"""),"0. DROP")</f>
        <v>0. DROP</v>
      </c>
      <c r="P1864" s="222" t="str">
        <f>IFERROR(__xludf.DUMMYFUNCTION("""COMPUTED_VALUE"""),"0.2 Tidak Dapat Izin Warga/Kades/Lurah/Developer")</f>
        <v>0.2 Tidak Dapat Izin Warga/Kades/Lurah/Developer</v>
      </c>
      <c r="Q1864" s="222" t="str">
        <f>IFERROR(__xludf.DUMMYFUNCTION("""COMPUTED_VALUE"""),"22/01 : terkendala perizinan RT dan warga tidak mengizinkan tanam tiang.")</f>
        <v>22/01 : terkendala perizinan RT dan warga tidak mengizinkan tanam tiang.</v>
      </c>
      <c r="R1864" s="228"/>
      <c r="S1864" s="11"/>
      <c r="T1864" s="11"/>
      <c r="U1864" s="11"/>
      <c r="V1864" s="229"/>
      <c r="W1864" s="229"/>
      <c r="X1864" s="229" t="str">
        <f>IFERROR(__xludf.DUMMYFUNCTION("""COMPUTED_VALUE"""),"BELUM GOLIVE")</f>
        <v>BELUM GOLIVE</v>
      </c>
      <c r="Y1864" s="229"/>
      <c r="Z1864" s="229" t="str">
        <f>IFERROR(__xludf.DUMMYFUNCTION("""COMPUTED_VALUE"""),"#N/A")</f>
        <v>#N/A</v>
      </c>
      <c r="AA1864" s="229"/>
      <c r="AB1864" s="229"/>
      <c r="AC1864" s="229"/>
      <c r="AD1864" s="232"/>
      <c r="AE1864" s="233"/>
      <c r="AF1864" s="54" t="str">
        <f>IFERROR(__xludf.DUMMYFUNCTION("""COMPUTED_VALUE"""),"Draft BA DROP")</f>
        <v>Draft BA DROP</v>
      </c>
      <c r="AG1864" s="54"/>
      <c r="AH1864" s="54"/>
      <c r="AI1864" s="55" t="str">
        <f t="shared" si="188"/>
        <v/>
      </c>
      <c r="AW1864" s="234"/>
      <c r="BP1864" s="11"/>
      <c r="BQ1864" s="11"/>
      <c r="BR1864" s="235"/>
      <c r="BV1864" s="158"/>
      <c r="BY1864" s="158"/>
      <c r="CB1864" s="158"/>
    </row>
    <row r="1865" ht="18.0" hidden="1" customHeight="1">
      <c r="A1865" s="222">
        <f>IFERROR(__xludf.DUMMYFUNCTION("""COMPUTED_VALUE"""),2026.0)</f>
        <v>2026</v>
      </c>
      <c r="B1865" s="221">
        <f>IFERROR(__xludf.DUMMYFUNCTION("""COMPUTED_VALUE"""),1.151146E7)</f>
        <v>11511460</v>
      </c>
      <c r="C1865" s="222" t="str">
        <f>IFERROR(__xludf.DUMMYFUNCTION("""COMPUTED_VALUE"""),"ACH PT3 LTM-FZ EXP.D04 LAM AWEE")</f>
        <v>ACH PT3 LTM-FZ EXP.D04 LAM AWEE</v>
      </c>
      <c r="D1865" s="222" t="str">
        <f>IFERROR(__xludf.DUMMYFUNCTION("""COMPUTED_VALUE"""),"REGIONAL I")</f>
        <v>REGIONAL I</v>
      </c>
      <c r="E1865" s="222" t="str">
        <f>IFERROR(__xludf.DUMMYFUNCTION("""COMPUTED_VALUE"""),"ACEH")</f>
        <v>ACEH</v>
      </c>
      <c r="F1865" s="222" t="str">
        <f>IFERROR(__xludf.DUMMYFUNCTION("""COMPUTED_VALUE"""),"LTM")</f>
        <v>LTM</v>
      </c>
      <c r="G1865" s="222" t="str">
        <f>IFERROR(__xludf.DUMMYFUNCTION("""COMPUTED_VALUE"""),"SUMBAGUT")</f>
        <v>SUMBAGUT</v>
      </c>
      <c r="H1865" s="222" t="str">
        <f>IFERROR(__xludf.DUMMYFUNCTION("""COMPUTED_VALUE"""),"BANDA ACEH")</f>
        <v>BANDA ACEH</v>
      </c>
      <c r="I1865" s="222" t="str">
        <f>IFERROR(__xludf.DUMMYFUNCTION("""COMPUTED_VALUE"""),"Batch 2")</f>
        <v>Batch 2</v>
      </c>
      <c r="J1865" s="225">
        <f>IFERROR(__xludf.DUMMYFUNCTION("""COMPUTED_VALUE"""),8.0)</f>
        <v>8</v>
      </c>
      <c r="K1865" s="224">
        <f>IFERROR(__xludf.DUMMYFUNCTION("""COMPUTED_VALUE"""),64.0)</f>
        <v>64</v>
      </c>
      <c r="L1865" s="226">
        <f>IFERROR(__xludf.DUMMYFUNCTION("""COMPUTED_VALUE"""),897967.0)</f>
        <v>897967</v>
      </c>
      <c r="M1865" s="227">
        <f>IFERROR(__xludf.DUMMYFUNCTION("""COMPUTED_VALUE"""),5.7469836E7)</f>
        <v>57469836</v>
      </c>
      <c r="N1865" s="222" t="str">
        <f>IFERROR(__xludf.DUMMYFUNCTION("""COMPUTED_VALUE"""),"PT ARA PAYA INTAN")</f>
        <v>PT ARA PAYA INTAN</v>
      </c>
      <c r="O1865" s="222" t="str">
        <f>IFERROR(__xludf.DUMMYFUNCTION("""COMPUTED_VALUE"""),"7. GOLIVE")</f>
        <v>7. GOLIVE</v>
      </c>
      <c r="P1865" s="222" t="str">
        <f>IFERROR(__xludf.DUMMYFUNCTION("""COMPUTED_VALUE"""),"7.2 Golive Full / OA / DONE OTB")</f>
        <v>7.2 Golive Full / OA / DONE OTB</v>
      </c>
      <c r="Q1865" s="222" t="str">
        <f>IFERROR(__xludf.DUMMYFUNCTION("""COMPUTED_VALUE"""),"(02/03) Proses Valins (27/02) Persiapan Valins (12/02) Persiapan Terminasi (09/02) Penarikan Kabel (05/02) delmat (22/01) Done Aanwijzing (07/01) Persiapan")</f>
        <v>(02/03) Proses Valins (27/02) Persiapan Valins (12/02) Persiapan Terminasi (09/02) Penarikan Kabel (05/02) delmat (22/01) Done Aanwijzing (07/01) Persiapan</v>
      </c>
      <c r="R1865" s="228">
        <f>IFERROR(__xludf.DUMMYFUNCTION("""COMPUTED_VALUE"""),46085.0)</f>
        <v>46085</v>
      </c>
      <c r="S1865" s="11" t="str">
        <f>IFERROR(__xludf.DUMMYFUNCTION("""COMPUTED_VALUE"""),"MAR")</f>
        <v>MAR</v>
      </c>
      <c r="T1865" s="11"/>
      <c r="U1865" s="11" t="str">
        <f>IFERROR(__xludf.DUMMYFUNCTION("""COMPUTED_VALUE"""),"W04-705/2025")</f>
        <v>W04-705/2025</v>
      </c>
      <c r="V1865" s="229"/>
      <c r="W1865" s="229"/>
      <c r="X1865" s="229" t="str">
        <f>IFERROR(__xludf.DUMMYFUNCTION("""COMPUTED_VALUE"""),"GOLIVE")</f>
        <v>GOLIVE</v>
      </c>
      <c r="Y1865" s="229" t="str">
        <f>IFERROR(__xludf.DUMMYFUNCTION("""COMPUTED_VALUE"""),"DONE")</f>
        <v>DONE</v>
      </c>
      <c r="Z1865" s="229" t="str">
        <f>IFERROR(__xludf.DUMMYFUNCTION("""COMPUTED_VALUE"""),"#N/A")</f>
        <v>#N/A</v>
      </c>
      <c r="AA1865" s="229">
        <f>IFERROR(__xludf.DUMMYFUNCTION("""COMPUTED_VALUE"""),8.0)</f>
        <v>8</v>
      </c>
      <c r="AB1865" s="229"/>
      <c r="AC1865" s="229" t="str">
        <f>IFERROR(__xludf.DUMMYFUNCTION("""COMPUTED_VALUE"""),"9146707#9146712")</f>
        <v>9146707#9146712</v>
      </c>
      <c r="AD1865" s="232">
        <f>IFERROR(__xludf.DUMMYFUNCTION("""COMPUTED_VALUE"""),64.0)</f>
        <v>64</v>
      </c>
      <c r="AE1865" s="233">
        <f>IFERROR(__xludf.DUMMYFUNCTION("""COMPUTED_VALUE"""),46085.0)</f>
        <v>46085</v>
      </c>
      <c r="AF1865" s="54"/>
      <c r="AG1865" s="54"/>
      <c r="AH1865" s="54">
        <v>46085.0</v>
      </c>
      <c r="AI1865" s="55">
        <f t="shared" si="188"/>
        <v>0</v>
      </c>
      <c r="AW1865" s="234"/>
      <c r="BP1865" s="11"/>
      <c r="BQ1865" s="11"/>
      <c r="BR1865" s="235"/>
      <c r="BV1865" s="158"/>
      <c r="BY1865" s="158"/>
      <c r="CB1865" s="158"/>
    </row>
    <row r="1866" ht="18.0" hidden="1" customHeight="1">
      <c r="A1866" s="222">
        <f>IFERROR(__xludf.DUMMYFUNCTION("""COMPUTED_VALUE"""),2026.0)</f>
        <v>2026</v>
      </c>
      <c r="B1866" s="221">
        <f>IFERROR(__xludf.DUMMYFUNCTION("""COMPUTED_VALUE"""),1.2109844E7)</f>
        <v>12109844</v>
      </c>
      <c r="C1866" s="222" t="str">
        <f>IFERROR(__xludf.DUMMYFUNCTION("""COMPUTED_VALUE"""),"ACH PT4 SUS-FC SUBULUSSALAM UTARA")</f>
        <v>ACH PT4 SUS-FC SUBULUSSALAM UTARA</v>
      </c>
      <c r="D1866" s="222" t="str">
        <f>IFERROR(__xludf.DUMMYFUNCTION("""COMPUTED_VALUE"""),"REGIONAL I")</f>
        <v>REGIONAL I</v>
      </c>
      <c r="E1866" s="222" t="str">
        <f>IFERROR(__xludf.DUMMYFUNCTION("""COMPUTED_VALUE"""),"ACEH")</f>
        <v>ACEH</v>
      </c>
      <c r="F1866" s="222" t="str">
        <f>IFERROR(__xludf.DUMMYFUNCTION("""COMPUTED_VALUE"""),"SUS")</f>
        <v>SUS</v>
      </c>
      <c r="G1866" s="222" t="str">
        <f>IFERROR(__xludf.DUMMYFUNCTION("""COMPUTED_VALUE"""),"SUMBAGUT")</f>
        <v>SUMBAGUT</v>
      </c>
      <c r="H1866" s="222" t="str">
        <f>IFERROR(__xludf.DUMMYFUNCTION("""COMPUTED_VALUE"""),"BANDA ACEH")</f>
        <v>BANDA ACEH</v>
      </c>
      <c r="I1866" s="222" t="str">
        <f>IFERROR(__xludf.DUMMYFUNCTION("""COMPUTED_VALUE"""),"Batch 2")</f>
        <v>Batch 2</v>
      </c>
      <c r="J1866" s="225">
        <f>IFERROR(__xludf.DUMMYFUNCTION("""COMPUTED_VALUE"""),16.0)</f>
        <v>16</v>
      </c>
      <c r="K1866" s="224">
        <f>IFERROR(__xludf.DUMMYFUNCTION("""COMPUTED_VALUE"""),176.0)</f>
        <v>176</v>
      </c>
      <c r="L1866" s="226">
        <f>IFERROR(__xludf.DUMMYFUNCTION("""COMPUTED_VALUE"""),870582.0)</f>
        <v>870582</v>
      </c>
      <c r="M1866" s="227">
        <f>IFERROR(__xludf.DUMMYFUNCTION("""COMPUTED_VALUE"""),1.53222334E8)</f>
        <v>153222334</v>
      </c>
      <c r="N1866" s="222" t="str">
        <f>IFERROR(__xludf.DUMMYFUNCTION("""COMPUTED_VALUE"""),"PT ARA PAYA INTAN")</f>
        <v>PT ARA PAYA INTAN</v>
      </c>
      <c r="O1866" s="222" t="str">
        <f>IFERROR(__xludf.DUMMYFUNCTION("""COMPUTED_VALUE"""),"5. INSTALASI")</f>
        <v>5. INSTALASI</v>
      </c>
      <c r="P1866" s="222" t="str">
        <f>IFERROR(__xludf.DUMMYFUNCTION("""COMPUTED_VALUE"""),"5.4 Proses Penanaman Tiang")</f>
        <v>5.4 Proses Penanaman Tiang</v>
      </c>
      <c r="Q1866" s="222" t="str">
        <f>IFERROR(__xludf.DUMMYFUNCTION("""COMPUTED_VALUE"""),"(21/04) Tanam Tiang, Material belum lengkap (10/03) Menunggu Material Ready (06/02) po material (29/01) Done Aanwijzing (07/01) Persiapan")</f>
        <v>(21/04) Tanam Tiang, Material belum lengkap (10/03) Menunggu Material Ready (06/02) po material (29/01) Done Aanwijzing (07/01) Persiapan</v>
      </c>
      <c r="R1866" s="228">
        <f>IFERROR(__xludf.DUMMYFUNCTION("""COMPUTED_VALUE"""),46139.0)</f>
        <v>46139</v>
      </c>
      <c r="S1866" s="11" t="str">
        <f>IFERROR(__xludf.DUMMYFUNCTION("""COMPUTED_VALUE"""),"APR")</f>
        <v>APR</v>
      </c>
      <c r="T1866" s="73"/>
      <c r="U1866" s="11" t="str">
        <f>IFERROR(__xludf.DUMMYFUNCTION("""COMPUTED_VALUE"""),"W04-832/2025")</f>
        <v>W04-832/2025</v>
      </c>
      <c r="V1866" s="229"/>
      <c r="W1866" s="229" t="str">
        <f>IFERROR(__xludf.DUMMYFUNCTION("""COMPUTED_VALUE"""),"#N/A")</f>
        <v>#N/A</v>
      </c>
      <c r="X1866" s="229" t="str">
        <f>IFERROR(__xludf.DUMMYFUNCTION("""COMPUTED_VALUE"""),"BELUM GOLIVE")</f>
        <v>BELUM GOLIVE</v>
      </c>
      <c r="Y1866" s="229"/>
      <c r="Z1866" s="229" t="str">
        <f>IFERROR(__xludf.DUMMYFUNCTION("""COMPUTED_VALUE"""),"#N/A")</f>
        <v>#N/A</v>
      </c>
      <c r="AA1866" s="229"/>
      <c r="AB1866" s="229"/>
      <c r="AC1866" s="229"/>
      <c r="AD1866" s="232"/>
      <c r="AE1866" s="233"/>
      <c r="AF1866" s="54"/>
      <c r="AG1866" s="54"/>
      <c r="AH1866" s="54">
        <v>46139.0</v>
      </c>
      <c r="AI1866" s="55" t="str">
        <f t="shared" si="188"/>
        <v/>
      </c>
      <c r="AW1866" s="234"/>
      <c r="BP1866" s="11"/>
      <c r="BQ1866" s="11"/>
      <c r="BR1866" s="235"/>
      <c r="BV1866" s="158"/>
      <c r="BY1866" s="158"/>
      <c r="CB1866" s="158"/>
    </row>
    <row r="1867" ht="18.0" customHeight="1">
      <c r="A1867" s="222">
        <f>IFERROR(__xludf.DUMMYFUNCTION("""COMPUTED_VALUE"""),2026.0)</f>
        <v>2026</v>
      </c>
      <c r="B1867" s="221">
        <f>IFERROR(__xludf.DUMMYFUNCTION("""COMPUTED_VALUE"""),1.1620193E7)</f>
        <v>11620193</v>
      </c>
      <c r="C1867" s="222" t="str">
        <f>IFERROR(__xludf.DUMMYFUNCTION("""COMPUTED_VALUE"""),"SMB SLK PT3-PT4 AINAL ABIDIN")</f>
        <v>SMB SLK PT3-PT4 AINAL ABIDIN</v>
      </c>
      <c r="D1867" s="222" t="str">
        <f>IFERROR(__xludf.DUMMYFUNCTION("""COMPUTED_VALUE"""),"REGIONAL I")</f>
        <v>REGIONAL I</v>
      </c>
      <c r="E1867" s="222" t="str">
        <f>IFERROR(__xludf.DUMMYFUNCTION("""COMPUTED_VALUE"""),"SUMBAR")</f>
        <v>SUMBAR</v>
      </c>
      <c r="F1867" s="222" t="str">
        <f>IFERROR(__xludf.DUMMYFUNCTION("""COMPUTED_VALUE"""),"SLK")</f>
        <v>SLK</v>
      </c>
      <c r="G1867" s="222" t="str">
        <f>IFERROR(__xludf.DUMMYFUNCTION("""COMPUTED_VALUE"""),"SUMBAGTENG")</f>
        <v>SUMBAGTENG</v>
      </c>
      <c r="H1867" s="222" t="str">
        <f>IFERROR(__xludf.DUMMYFUNCTION("""COMPUTED_VALUE"""),"PADANG")</f>
        <v>PADANG</v>
      </c>
      <c r="I1867" s="222" t="str">
        <f>IFERROR(__xludf.DUMMYFUNCTION("""COMPUTED_VALUE"""),"Batch 2")</f>
        <v>Batch 2</v>
      </c>
      <c r="J1867" s="225">
        <f>IFERROR(__xludf.DUMMYFUNCTION("""COMPUTED_VALUE"""),2.0)</f>
        <v>2</v>
      </c>
      <c r="K1867" s="224">
        <f>IFERROR(__xludf.DUMMYFUNCTION("""COMPUTED_VALUE"""),16.0)</f>
        <v>16</v>
      </c>
      <c r="L1867" s="226">
        <f>IFERROR(__xludf.DUMMYFUNCTION("""COMPUTED_VALUE"""),351429.0)</f>
        <v>351429</v>
      </c>
      <c r="M1867" s="227">
        <f>IFERROR(__xludf.DUMMYFUNCTION("""COMPUTED_VALUE"""),5622849.0)</f>
        <v>5622849</v>
      </c>
      <c r="N1867" s="222" t="str">
        <f>IFERROR(__xludf.DUMMYFUNCTION("""COMPUTED_VALUE"""),"PT TRI PENAMAS")</f>
        <v>PT TRI PENAMAS</v>
      </c>
      <c r="O1867" s="222" t="str">
        <f>IFERROR(__xludf.DUMMYFUNCTION("""COMPUTED_VALUE"""),"0. DROP")</f>
        <v>0. DROP</v>
      </c>
      <c r="P1867" s="222" t="str">
        <f>IFERROR(__xludf.DUMMYFUNCTION("""COMPUTED_VALUE"""),"0.3 Feeder Full")</f>
        <v>0.3 Feeder Full</v>
      </c>
      <c r="Q1867" s="222" t="str">
        <f>IFERROR(__xludf.DUMMYFUNCTION("""COMPUTED_VALUE"""),"(26/01) kendala feeder penuh. KENDALA FEEDER SLK-FE FULL, BUTUH NEW FEEDER (07/01) Persiapan")</f>
        <v>(26/01) kendala feeder penuh. KENDALA FEEDER SLK-FE FULL, BUTUH NEW FEEDER (07/01) Persiapan</v>
      </c>
      <c r="R1867" s="228"/>
      <c r="S1867" s="11"/>
      <c r="T1867" s="11"/>
      <c r="U1867" s="11"/>
      <c r="V1867" s="229"/>
      <c r="W1867" s="229"/>
      <c r="X1867" s="229" t="str">
        <f>IFERROR(__xludf.DUMMYFUNCTION("""COMPUTED_VALUE"""),"BELUM GOLIVE")</f>
        <v>BELUM GOLIVE</v>
      </c>
      <c r="Y1867" s="229"/>
      <c r="Z1867" s="229" t="str">
        <f>IFERROR(__xludf.DUMMYFUNCTION("""COMPUTED_VALUE"""),"#N/A")</f>
        <v>#N/A</v>
      </c>
      <c r="AA1867" s="229"/>
      <c r="AB1867" s="229"/>
      <c r="AC1867" s="229"/>
      <c r="AD1867" s="232"/>
      <c r="AE1867" s="233"/>
      <c r="AF1867" s="54" t="str">
        <f>IFERROR(__xludf.DUMMYFUNCTION("""COMPUTED_VALUE"""),"Draft BA DROP")</f>
        <v>Draft BA DROP</v>
      </c>
      <c r="AG1867" s="54"/>
      <c r="AH1867" s="54"/>
      <c r="AI1867" s="55" t="str">
        <f t="shared" si="188"/>
        <v/>
      </c>
      <c r="AW1867" s="234"/>
      <c r="BP1867" s="11"/>
      <c r="BQ1867" s="11"/>
      <c r="BR1867" s="235"/>
      <c r="BV1867" s="158"/>
      <c r="BY1867" s="158"/>
      <c r="CB1867" s="158"/>
    </row>
    <row r="1868" ht="18.0" customHeight="1">
      <c r="A1868" s="222">
        <f>IFERROR(__xludf.DUMMYFUNCTION("""COMPUTED_VALUE"""),2026.0)</f>
        <v>2026</v>
      </c>
      <c r="B1868" s="221">
        <f>IFERROR(__xludf.DUMMYFUNCTION("""COMPUTED_VALUE"""),1.1620218E7)</f>
        <v>11620218</v>
      </c>
      <c r="C1868" s="222" t="str">
        <f>IFERROR(__xludf.DUMMYFUNCTION("""COMPUTED_VALUE"""),"SMB SLK PT3-PT4 oktofi andres")</f>
        <v>SMB SLK PT3-PT4 oktofi andres</v>
      </c>
      <c r="D1868" s="222" t="str">
        <f>IFERROR(__xludf.DUMMYFUNCTION("""COMPUTED_VALUE"""),"REGIONAL I")</f>
        <v>REGIONAL I</v>
      </c>
      <c r="E1868" s="222" t="str">
        <f>IFERROR(__xludf.DUMMYFUNCTION("""COMPUTED_VALUE"""),"SUMBAR")</f>
        <v>SUMBAR</v>
      </c>
      <c r="F1868" s="222" t="str">
        <f>IFERROR(__xludf.DUMMYFUNCTION("""COMPUTED_VALUE"""),"SLK")</f>
        <v>SLK</v>
      </c>
      <c r="G1868" s="222" t="str">
        <f>IFERROR(__xludf.DUMMYFUNCTION("""COMPUTED_VALUE"""),"SUMBAGTENG")</f>
        <v>SUMBAGTENG</v>
      </c>
      <c r="H1868" s="222" t="str">
        <f>IFERROR(__xludf.DUMMYFUNCTION("""COMPUTED_VALUE"""),"PADANG")</f>
        <v>PADANG</v>
      </c>
      <c r="I1868" s="222" t="str">
        <f>IFERROR(__xludf.DUMMYFUNCTION("""COMPUTED_VALUE"""),"Batch 2")</f>
        <v>Batch 2</v>
      </c>
      <c r="J1868" s="225">
        <f>IFERROR(__xludf.DUMMYFUNCTION("""COMPUTED_VALUE"""),2.0)</f>
        <v>2</v>
      </c>
      <c r="K1868" s="224">
        <f>IFERROR(__xludf.DUMMYFUNCTION("""COMPUTED_VALUE"""),16.0)</f>
        <v>16</v>
      </c>
      <c r="L1868" s="226">
        <f>IFERROR(__xludf.DUMMYFUNCTION("""COMPUTED_VALUE"""),351429.0)</f>
        <v>351429</v>
      </c>
      <c r="M1868" s="227">
        <f>IFERROR(__xludf.DUMMYFUNCTION("""COMPUTED_VALUE"""),5622849.0)</f>
        <v>5622849</v>
      </c>
      <c r="N1868" s="222" t="str">
        <f>IFERROR(__xludf.DUMMYFUNCTION("""COMPUTED_VALUE"""),"PT TRI PENAMAS")</f>
        <v>PT TRI PENAMAS</v>
      </c>
      <c r="O1868" s="222" t="str">
        <f>IFERROR(__xludf.DUMMYFUNCTION("""COMPUTED_VALUE"""),"0. DROP")</f>
        <v>0. DROP</v>
      </c>
      <c r="P1868" s="222" t="str">
        <f>IFERROR(__xludf.DUMMYFUNCTION("""COMPUTED_VALUE"""),"0.3 Feeder Full")</f>
        <v>0.3 Feeder Full</v>
      </c>
      <c r="Q1868" s="222" t="str">
        <f>IFERROR(__xludf.DUMMYFUNCTION("""COMPUTED_VALUE"""),"(26/01) kendala feeder penuh. KENDALA FEEDER SLK-FE FULL, BUTUH NEW FEEDER (07/01) Persiapan")</f>
        <v>(26/01) kendala feeder penuh. KENDALA FEEDER SLK-FE FULL, BUTUH NEW FEEDER (07/01) Persiapan</v>
      </c>
      <c r="R1868" s="228"/>
      <c r="S1868" s="11"/>
      <c r="T1868" s="11"/>
      <c r="U1868" s="11"/>
      <c r="V1868" s="229"/>
      <c r="W1868" s="229"/>
      <c r="X1868" s="229" t="str">
        <f>IFERROR(__xludf.DUMMYFUNCTION("""COMPUTED_VALUE"""),"BELUM GOLIVE")</f>
        <v>BELUM GOLIVE</v>
      </c>
      <c r="Y1868" s="229"/>
      <c r="Z1868" s="229" t="str">
        <f>IFERROR(__xludf.DUMMYFUNCTION("""COMPUTED_VALUE"""),"#N/A")</f>
        <v>#N/A</v>
      </c>
      <c r="AA1868" s="229"/>
      <c r="AB1868" s="229"/>
      <c r="AC1868" s="229"/>
      <c r="AD1868" s="232"/>
      <c r="AE1868" s="233"/>
      <c r="AF1868" s="54" t="str">
        <f>IFERROR(__xludf.DUMMYFUNCTION("""COMPUTED_VALUE"""),"Draft BA DROP")</f>
        <v>Draft BA DROP</v>
      </c>
      <c r="AG1868" s="54"/>
      <c r="AH1868" s="54"/>
      <c r="AI1868" s="55" t="str">
        <f t="shared" si="188"/>
        <v/>
      </c>
      <c r="AW1868" s="234"/>
      <c r="BP1868" s="11"/>
      <c r="BQ1868" s="11"/>
      <c r="BR1868" s="235"/>
      <c r="BV1868" s="158"/>
      <c r="BY1868" s="158"/>
      <c r="CB1868" s="158"/>
    </row>
    <row r="1869" ht="18.0" customHeight="1">
      <c r="A1869" s="222">
        <f>IFERROR(__xludf.DUMMYFUNCTION("""COMPUTED_VALUE"""),2026.0)</f>
        <v>2026</v>
      </c>
      <c r="B1869" s="221">
        <f>IFERROR(__xludf.DUMMYFUNCTION("""COMPUTED_VALUE"""),1.1563136E7)</f>
        <v>11563136</v>
      </c>
      <c r="C1869" s="222" t="str">
        <f>IFERROR(__xludf.DUMMYFUNCTION("""COMPUTED_VALUE"""),"SMB - STTF SIJUNJUNG_8347")</f>
        <v>SMB - STTF SIJUNJUNG_8347</v>
      </c>
      <c r="D1869" s="222" t="str">
        <f>IFERROR(__xludf.DUMMYFUNCTION("""COMPUTED_VALUE"""),"REGIONAL I")</f>
        <v>REGIONAL I</v>
      </c>
      <c r="E1869" s="222" t="str">
        <f>IFERROR(__xludf.DUMMYFUNCTION("""COMPUTED_VALUE"""),"SUMBAR")</f>
        <v>SUMBAR</v>
      </c>
      <c r="F1869" s="222" t="str">
        <f>IFERROR(__xludf.DUMMYFUNCTION("""COMPUTED_VALUE"""),"SGD")</f>
        <v>SGD</v>
      </c>
      <c r="G1869" s="222" t="str">
        <f>IFERROR(__xludf.DUMMYFUNCTION("""COMPUTED_VALUE"""),"SUMBAGTENG")</f>
        <v>SUMBAGTENG</v>
      </c>
      <c r="H1869" s="222" t="str">
        <f>IFERROR(__xludf.DUMMYFUNCTION("""COMPUTED_VALUE"""),"PADANG")</f>
        <v>PADANG</v>
      </c>
      <c r="I1869" s="222" t="str">
        <f>IFERROR(__xludf.DUMMYFUNCTION("""COMPUTED_VALUE"""),"Batch 2")</f>
        <v>Batch 2</v>
      </c>
      <c r="J1869" s="225">
        <f>IFERROR(__xludf.DUMMYFUNCTION("""COMPUTED_VALUE"""),2.0)</f>
        <v>2</v>
      </c>
      <c r="K1869" s="224">
        <f>IFERROR(__xludf.DUMMYFUNCTION("""COMPUTED_VALUE"""),16.0)</f>
        <v>16</v>
      </c>
      <c r="L1869" s="226">
        <f>IFERROR(__xludf.DUMMYFUNCTION("""COMPUTED_VALUE"""),351429.0)</f>
        <v>351429</v>
      </c>
      <c r="M1869" s="227">
        <f>IFERROR(__xludf.DUMMYFUNCTION("""COMPUTED_VALUE"""),5622849.0)</f>
        <v>5622849</v>
      </c>
      <c r="N1869" s="222" t="str">
        <f>IFERROR(__xludf.DUMMYFUNCTION("""COMPUTED_VALUE"""),"PT TIGA AKSES MANDIRI")</f>
        <v>PT TIGA AKSES MANDIRI</v>
      </c>
      <c r="O1869" s="222" t="str">
        <f>IFERROR(__xludf.DUMMYFUNCTION("""COMPUTED_VALUE"""),"2. DONE AANWIJZING")</f>
        <v>2. DONE AANWIJZING</v>
      </c>
      <c r="P1869" s="222" t="str">
        <f>IFERROR(__xludf.DUMMYFUNCTION("""COMPUTED_VALUE"""),"2.10 Kendala - Feeder Rusak")</f>
        <v>2.10 Kendala - Feeder Rusak</v>
      </c>
      <c r="Q1869" s="222" t="str">
        <f>IFERROR(__xludf.DUMMYFUNCTION("""COMPUTED_VALUE"""),"(20/04Proses identifikasi QE feeder  (12/03) proses pengukuran tipus feeder SGD-FL (27/01) BUTUH REPAIR FEEDER SGD-FL")</f>
        <v>(20/04Proses identifikasi QE feeder  (12/03) proses pengukuran tipus feeder SGD-FL (27/01) BUTUH REPAIR FEEDER SGD-FL</v>
      </c>
      <c r="R1869" s="228"/>
      <c r="S1869" s="11"/>
      <c r="T1869" s="11"/>
      <c r="U1869" s="11"/>
      <c r="V1869" s="229"/>
      <c r="W1869" s="229"/>
      <c r="X1869" s="229" t="str">
        <f>IFERROR(__xludf.DUMMYFUNCTION("""COMPUTED_VALUE"""),"BELUM GOLIVE")</f>
        <v>BELUM GOLIVE</v>
      </c>
      <c r="Y1869" s="229"/>
      <c r="Z1869" s="229" t="str">
        <f>IFERROR(__xludf.DUMMYFUNCTION("""COMPUTED_VALUE"""),"#N/A")</f>
        <v>#N/A</v>
      </c>
      <c r="AA1869" s="229"/>
      <c r="AB1869" s="229"/>
      <c r="AC1869" s="229"/>
      <c r="AD1869" s="232"/>
      <c r="AE1869" s="233"/>
      <c r="AF1869" s="54"/>
      <c r="AG1869" s="54"/>
      <c r="AH1869" s="54"/>
      <c r="AI1869" s="55" t="str">
        <f t="shared" si="188"/>
        <v/>
      </c>
      <c r="AW1869" s="234"/>
      <c r="BP1869" s="11"/>
      <c r="BQ1869" s="11"/>
      <c r="BR1869" s="235"/>
      <c r="BV1869" s="158"/>
      <c r="BY1869" s="158"/>
      <c r="CB1869" s="158"/>
    </row>
    <row r="1870" ht="18.0" customHeight="1">
      <c r="A1870" s="222">
        <f>IFERROR(__xludf.DUMMYFUNCTION("""COMPUTED_VALUE"""),2026.0)</f>
        <v>2026</v>
      </c>
      <c r="B1870" s="221">
        <f>IFERROR(__xludf.DUMMYFUNCTION("""COMPUTED_VALUE"""),1.1164556E7)</f>
        <v>11164556</v>
      </c>
      <c r="C1870" s="222" t="str">
        <f>IFERROR(__xludf.DUMMYFUNCTION("""COMPUTED_VALUE"""),"SMB P1I2 Jalan Binuang, Simpang SD N 9")</f>
        <v>SMB P1I2 Jalan Binuang, Simpang SD N 9</v>
      </c>
      <c r="D1870" s="222" t="str">
        <f>IFERROR(__xludf.DUMMYFUNCTION("""COMPUTED_VALUE"""),"REGIONAL I")</f>
        <v>REGIONAL I</v>
      </c>
      <c r="E1870" s="222" t="str">
        <f>IFERROR(__xludf.DUMMYFUNCTION("""COMPUTED_VALUE"""),"SUMBAR")</f>
        <v>SUMBAR</v>
      </c>
      <c r="F1870" s="222" t="str">
        <f>IFERROR(__xludf.DUMMYFUNCTION("""COMPUTED_VALUE"""),"BKT")</f>
        <v>BKT</v>
      </c>
      <c r="G1870" s="222" t="str">
        <f>IFERROR(__xludf.DUMMYFUNCTION("""COMPUTED_VALUE"""),"SUMBAGTENG")</f>
        <v>SUMBAGTENG</v>
      </c>
      <c r="H1870" s="222" t="str">
        <f>IFERROR(__xludf.DUMMYFUNCTION("""COMPUTED_VALUE"""),"BUKIT TINGGI")</f>
        <v>BUKIT TINGGI</v>
      </c>
      <c r="I1870" s="222" t="str">
        <f>IFERROR(__xludf.DUMMYFUNCTION("""COMPUTED_VALUE"""),"Batch 2")</f>
        <v>Batch 2</v>
      </c>
      <c r="J1870" s="225">
        <f>IFERROR(__xludf.DUMMYFUNCTION("""COMPUTED_VALUE"""),2.0)</f>
        <v>2</v>
      </c>
      <c r="K1870" s="224">
        <f>IFERROR(__xludf.DUMMYFUNCTION("""COMPUTED_VALUE"""),16.0)</f>
        <v>16</v>
      </c>
      <c r="L1870" s="226">
        <f>IFERROR(__xludf.DUMMYFUNCTION("""COMPUTED_VALUE"""),351429.0)</f>
        <v>351429</v>
      </c>
      <c r="M1870" s="227">
        <f>IFERROR(__xludf.DUMMYFUNCTION("""COMPUTED_VALUE"""),5622849.0)</f>
        <v>5622849</v>
      </c>
      <c r="N1870" s="222" t="str">
        <f>IFERROR(__xludf.DUMMYFUNCTION("""COMPUTED_VALUE"""),"PT RATRI PRIMA MANDIRI")</f>
        <v>PT RATRI PRIMA MANDIRI</v>
      </c>
      <c r="O1870" s="222" t="str">
        <f>IFERROR(__xludf.DUMMYFUNCTION("""COMPUTED_VALUE"""),"0. DROP")</f>
        <v>0. DROP</v>
      </c>
      <c r="P1870" s="222" t="str">
        <f>IFERROR(__xludf.DUMMYFUNCTION("""COMPUTED_VALUE"""),"0.3 Feeder Full")</f>
        <v>0.3 Feeder Full</v>
      </c>
      <c r="Q1870" s="222" t="str">
        <f>IFERROR(__xludf.DUMMYFUNCTION("""COMPUTED_VALUE"""),"(27/01) kendala feeder penuh. FEEDER PENUH (BKT FAC)")</f>
        <v>(27/01) kendala feeder penuh. FEEDER PENUH (BKT FAC)</v>
      </c>
      <c r="R1870" s="228"/>
      <c r="S1870" s="11"/>
      <c r="T1870" s="11"/>
      <c r="U1870" s="11"/>
      <c r="V1870" s="229"/>
      <c r="W1870" s="229"/>
      <c r="X1870" s="229" t="str">
        <f>IFERROR(__xludf.DUMMYFUNCTION("""COMPUTED_VALUE"""),"BELUM GOLIVE")</f>
        <v>BELUM GOLIVE</v>
      </c>
      <c r="Y1870" s="229"/>
      <c r="Z1870" s="229" t="str">
        <f>IFERROR(__xludf.DUMMYFUNCTION("""COMPUTED_VALUE"""),"#N/A")</f>
        <v>#N/A</v>
      </c>
      <c r="AA1870" s="229"/>
      <c r="AB1870" s="229"/>
      <c r="AC1870" s="229"/>
      <c r="AD1870" s="232"/>
      <c r="AE1870" s="233"/>
      <c r="AF1870" s="54" t="str">
        <f>IFERROR(__xludf.DUMMYFUNCTION("""COMPUTED_VALUE"""),"Draft BA DROP")</f>
        <v>Draft BA DROP</v>
      </c>
      <c r="AG1870" s="54"/>
      <c r="AH1870" s="54"/>
      <c r="AI1870" s="55" t="str">
        <f t="shared" si="188"/>
        <v/>
      </c>
      <c r="AW1870" s="234"/>
      <c r="BP1870" s="11"/>
      <c r="BQ1870" s="11"/>
      <c r="BR1870" s="235"/>
      <c r="BV1870" s="158"/>
      <c r="BY1870" s="158"/>
      <c r="CB1870" s="158"/>
    </row>
    <row r="1871" ht="18.0" hidden="1" customHeight="1">
      <c r="A1871" s="222">
        <f>IFERROR(__xludf.DUMMYFUNCTION("""COMPUTED_VALUE"""),2026.0)</f>
        <v>2026</v>
      </c>
      <c r="B1871" s="221">
        <f>IFERROR(__xludf.DUMMYFUNCTION("""COMPUTED_VALUE"""),1.1316343E7)</f>
        <v>11316343</v>
      </c>
      <c r="C1871" s="222" t="str">
        <f>IFERROR(__xludf.DUMMYFUNCTION("""COMPUTED_VALUE"""),"SMS P2I2 PT3 MUB FD D04 SERASAN LINGGO 2")</f>
        <v>SMS P2I2 PT3 MUB FD D04 SERASAN LINGGO 2</v>
      </c>
      <c r="D1871" s="222" t="str">
        <f>IFERROR(__xludf.DUMMYFUNCTION("""COMPUTED_VALUE"""),"REGIONAL I")</f>
        <v>REGIONAL I</v>
      </c>
      <c r="E1871" s="222" t="str">
        <f>IFERROR(__xludf.DUMMYFUNCTION("""COMPUTED_VALUE"""),"SUMSEL")</f>
        <v>SUMSEL</v>
      </c>
      <c r="F1871" s="222" t="str">
        <f>IFERROR(__xludf.DUMMYFUNCTION("""COMPUTED_VALUE"""),"MUB")</f>
        <v>MUB</v>
      </c>
      <c r="G1871" s="222" t="str">
        <f>IFERROR(__xludf.DUMMYFUNCTION("""COMPUTED_VALUE"""),"SUMBAGSEL")</f>
        <v>SUMBAGSEL</v>
      </c>
      <c r="H1871" s="222" t="str">
        <f>IFERROR(__xludf.DUMMYFUNCTION("""COMPUTED_VALUE"""),"PALEMBANG")</f>
        <v>PALEMBANG</v>
      </c>
      <c r="I1871" s="222" t="str">
        <f>IFERROR(__xludf.DUMMYFUNCTION("""COMPUTED_VALUE"""),"Batch 2")</f>
        <v>Batch 2</v>
      </c>
      <c r="J1871" s="225">
        <f>IFERROR(__xludf.DUMMYFUNCTION("""COMPUTED_VALUE"""),9.0)</f>
        <v>9</v>
      </c>
      <c r="K1871" s="224">
        <f>IFERROR(__xludf.DUMMYFUNCTION("""COMPUTED_VALUE"""),72.0)</f>
        <v>72</v>
      </c>
      <c r="L1871" s="226">
        <f>IFERROR(__xludf.DUMMYFUNCTION("""COMPUTED_VALUE"""),550665.0)</f>
        <v>550665</v>
      </c>
      <c r="M1871" s="227">
        <f>IFERROR(__xludf.DUMMYFUNCTION("""COMPUTED_VALUE"""),3.9647845E7)</f>
        <v>39647845</v>
      </c>
      <c r="N1871" s="222" t="str">
        <f>IFERROR(__xludf.DUMMYFUNCTION("""COMPUTED_VALUE"""),"PT MAJU JAYA TEKNOLOGI")</f>
        <v>PT MAJU JAYA TEKNOLOGI</v>
      </c>
      <c r="O1871" s="222" t="str">
        <f>IFERROR(__xludf.DUMMYFUNCTION("""COMPUTED_VALUE"""),"7. GOLIVE")</f>
        <v>7. GOLIVE</v>
      </c>
      <c r="P1871" s="222" t="str">
        <f>IFERROR(__xludf.DUMMYFUNCTION("""COMPUTED_VALUE"""),"7.2 Golive Full / OA / DONE OTB")</f>
        <v>7.2 Golive Full / OA / DONE OTB</v>
      </c>
      <c r="Q1871" s="222" t="str">
        <f>IFERROR(__xludf.DUMMYFUNCTION("""COMPUTED_VALUE"""),"30/03 GOLIVE, 27/03 MENUNGGU GOLIVE, 26/03 DONE REVISI ABD, 25/03 REVISI ABD,  20/03 DONE SUBMIT REVISI ABD, 18/03 DONE SUBMIT ABD KE SDI, 17/03 MENUNGGU DATA ABD UTK DI SUBMIT KE SDI, 16/03 DONE VALINS, 13/03 OGP VALINS, 12/03 PROGRESS PEMASANGAN ODP, 06"&amp;"/03 MENUNGGU ANTRIAN PEKERJAAN BERLIAN MAKMUR, 05/03 MATERIAL ONSITE, 04/03 HARI INI AMBIL MATERIAL, 03/03 OGP AMBIL MATERIAL, 27/02 OGP AMBIL MATERIAL, 25/02 MASIH MENUNGGU TIANG, 22/2 menunggu material TIANG  18/02 DONE INPUT MATERIAL, 12/02 PROSES INPU"&amp;"T MATERIAL - KENDALA OVER BUDGET, OGP AMD BUDGET, 09/02 CREATE PID,  7/2 mitra  sudah mengirim kan DRM 06/02 DRM MITRA, 04/02 DONE EVAL, LANJUT PROGRES LAPANGAN, 30/12 PROSES AANWIDJZING - TIDAK ADA PERUBAHAN DI KML, 26/1 tim TIF belum bisa EVAL hasil anw"&amp;"ijzing karena lagi diluar kota , estimasi 29 jan baru kembali ke Palembang(24/1) plan aawijdizng 28/1 (21/01) menunggu antrian untuk aanwizjing lapangan, ( 20/1) MJT setuju (15/1) ORDER DITERIMA 14/1 ,PLAN AANWIJDZING 21 JAN 26 (26/11) ORDER HOLD , FLAGGI"&amp;"NG ""TIDAK LANJUT DARI PED"" (25/11 MJT setuju, 24/11 penunjukkan mitra MJT, (14/11) MItra MJS blm ambil pekerjaan baru terkait close pekerjaan lama , LOP juga tidak masuk list optimis close 2025 ( 4/11) masih menunggu acc mitra, 13/11 sudah aanwijzing da"&amp;"n mengurus perizinan PU Nasional, (11/11) Penunjukkan MITRA  oleh Procurement  23/10 mitra triputra menolak ambil lop ini, saat ini lagi penunjukan mitra baru 
15/10 dri pihak pu nasional belum kasih izin untuk progres di lapangan 08/10 untuk konfirm ED o"&amp;"k, sisa koordinasi dg pihak pu nasional untuk izin under table
(01/10) menunggu update dri ED karena nilai CPP naik
(19/09) update perubahan design permintaan sales
16/9 PERIJINAN PU NASIONAL15/09 proses matdel wh ke site (10/09) revisi kml dan boq karena"&amp;" ada permintaan dari sales untuk penambahan volume dan jalur
14/01 Surat lanjut kerja oleh procurement")</f>
        <v>30/03 GOLIVE, 27/03 MENUNGGU GOLIVE, 26/03 DONE REVISI ABD, 25/03 REVISI ABD,  20/03 DONE SUBMIT REVISI ABD, 18/03 DONE SUBMIT ABD KE SDI, 17/03 MENUNGGU DATA ABD UTK DI SUBMIT KE SDI, 16/03 DONE VALINS, 13/03 OGP VALINS, 12/03 PROGRESS PEMASANGAN ODP, 06/03 MENUNGGU ANTRIAN PEKERJAAN BERLIAN MAKMUR, 05/03 MATERIAL ONSITE, 04/03 HARI INI AMBIL MATERIAL, 03/03 OGP AMBIL MATERIAL, 27/02 OGP AMBIL MATERIAL, 25/02 MASIH MENUNGGU TIANG, 22/2 menunggu material TIANG  18/02 DONE INPUT MATERIAL, 12/02 PROSES INPUT MATERIAL - KENDALA OVER BUDGET, OGP AMD BUDGET, 09/02 CREATE PID,  7/2 mitra  sudah mengirim kan DRM 06/02 DRM MITRA, 04/02 DONE EVAL, LANJUT PROGRES LAPANGAN, 30/12 PROSES AANWIDJZING - TIDAK ADA PERUBAHAN DI KML, 26/1 tim TIF belum bisa EVAL hasil anwijzing karena lagi diluar kota , estimasi 29 jan baru kembali ke Palembang(24/1) plan aawijdizng 28/1 (21/01) menunggu antrian untuk aanwizjing lapangan, ( 20/1) MJT setuju (15/1) ORDER DITERIMA 14/1 ,PLAN AANWIJDZING 21 JAN 26 (26/11) ORDER HOLD , FLAGGING "TIDAK LANJUT DARI PED" (25/11 MJT setuju, 24/11 penunjukkan mitra MJT, (14/11) MItra MJS blm ambil pekerjaan baru terkait close pekerjaan lama , LOP juga tidak masuk list optimis close 2025 ( 4/11) masih menunggu acc mitra, 13/11 sudah aanwijzing dan mengurus perizinan PU Nasional, (11/11) Penunjukkan MITRA  oleh Procurement  23/10 mitra triputra menolak ambil lop ini, saat ini lagi penunjukan mitra baru 
15/10 dri pihak pu nasional belum kasih izin untuk progres di lapangan 08/10 untuk konfirm ED ok, sisa koordinasi dg pihak pu nasional untuk izin under table
(01/10) menunggu update dri ED karena nilai CPP naik
(19/09) update perubahan design permintaan sales
16/9 PERIJINAN PU NASIONAL15/09 proses matdel wh ke site (10/09) revisi kml dan boq karena ada permintaan dari sales untuk penambahan volume dan jalur
14/01 Surat lanjut kerja oleh procurement</v>
      </c>
      <c r="R1871" s="228">
        <f>IFERROR(__xludf.DUMMYFUNCTION("""COMPUTED_VALUE"""),46093.0)</f>
        <v>46093</v>
      </c>
      <c r="S1871" s="11" t="str">
        <f>IFERROR(__xludf.DUMMYFUNCTION("""COMPUTED_VALUE"""),"MAR")</f>
        <v>MAR</v>
      </c>
      <c r="T1871" s="11" t="str">
        <f>IFERROR(__xludf.DUMMYFUNCTION("""COMPUTED_VALUE"""),"P1")</f>
        <v>P1</v>
      </c>
      <c r="U1871" s="11"/>
      <c r="V1871" s="229" t="str">
        <f>IFERROR(__xludf.DUMMYFUNCTION("""COMPUTED_VALUE"""),"TEGAR")</f>
        <v>TEGAR</v>
      </c>
      <c r="W1871" s="229"/>
      <c r="X1871" s="229" t="str">
        <f>IFERROR(__xludf.DUMMYFUNCTION("""COMPUTED_VALUE"""),"GOLIVE")</f>
        <v>GOLIVE</v>
      </c>
      <c r="Y1871" s="229" t="str">
        <f>IFERROR(__xludf.DUMMYFUNCTION("""COMPUTED_VALUE"""),"DONE")</f>
        <v>DONE</v>
      </c>
      <c r="Z1871" s="229" t="str">
        <f>IFERROR(__xludf.DUMMYFUNCTION("""COMPUTED_VALUE"""),"#N/A")</f>
        <v>#N/A</v>
      </c>
      <c r="AA1871" s="229">
        <f>IFERROR(__xludf.DUMMYFUNCTION("""COMPUTED_VALUE"""),9.0)</f>
        <v>9</v>
      </c>
      <c r="AB1871" s="229"/>
      <c r="AC1871" s="229" t="str">
        <f>IFERROR(__xludf.DUMMYFUNCTION("""COMPUTED_VALUE"""),"8938065#8938070")</f>
        <v>8938065#8938070</v>
      </c>
      <c r="AD1871" s="232">
        <f>IFERROR(__xludf.DUMMYFUNCTION("""COMPUTED_VALUE"""),72.0)</f>
        <v>72</v>
      </c>
      <c r="AE1871" s="233">
        <f>IFERROR(__xludf.DUMMYFUNCTION("""COMPUTED_VALUE"""),46099.0)</f>
        <v>46099</v>
      </c>
      <c r="AF1871" s="54"/>
      <c r="AG1871" s="54"/>
      <c r="AH1871" s="54">
        <v>46093.0</v>
      </c>
      <c r="AI1871" s="55">
        <f t="shared" si="188"/>
        <v>-6</v>
      </c>
      <c r="AW1871" s="234"/>
      <c r="BP1871" s="11"/>
      <c r="BQ1871" s="11"/>
      <c r="BR1871" s="235"/>
      <c r="BV1871" s="158"/>
      <c r="BY1871" s="158"/>
      <c r="CB1871" s="158"/>
    </row>
    <row r="1872" ht="18.0" customHeight="1">
      <c r="A1872" s="222">
        <f>IFERROR(__xludf.DUMMYFUNCTION("""COMPUTED_VALUE"""),2026.0)</f>
        <v>2026</v>
      </c>
      <c r="B1872" s="221">
        <f>IFERROR(__xludf.DUMMYFUNCTION("""COMPUTED_VALUE"""),1.1512835E7)</f>
        <v>11512835</v>
      </c>
      <c r="C1872" s="222" t="str">
        <f>IFERROR(__xludf.DUMMYFUNCTION("""COMPUTED_VALUE"""),"SMB MD - AGAM_9899")</f>
        <v>SMB MD - AGAM_9899</v>
      </c>
      <c r="D1872" s="222" t="str">
        <f>IFERROR(__xludf.DUMMYFUNCTION("""COMPUTED_VALUE"""),"REGIONAL I")</f>
        <v>REGIONAL I</v>
      </c>
      <c r="E1872" s="222" t="str">
        <f>IFERROR(__xludf.DUMMYFUNCTION("""COMPUTED_VALUE"""),"SUMBAR")</f>
        <v>SUMBAR</v>
      </c>
      <c r="F1872" s="222" t="str">
        <f>IFERROR(__xludf.DUMMYFUNCTION("""COMPUTED_VALUE"""),"SUP")</f>
        <v>SUP</v>
      </c>
      <c r="G1872" s="222" t="str">
        <f>IFERROR(__xludf.DUMMYFUNCTION("""COMPUTED_VALUE"""),"SUMBAGTENG")</f>
        <v>SUMBAGTENG</v>
      </c>
      <c r="H1872" s="222" t="str">
        <f>IFERROR(__xludf.DUMMYFUNCTION("""COMPUTED_VALUE"""),"BUKIT TINGGI")</f>
        <v>BUKIT TINGGI</v>
      </c>
      <c r="I1872" s="222" t="str">
        <f>IFERROR(__xludf.DUMMYFUNCTION("""COMPUTED_VALUE"""),"Batch 2")</f>
        <v>Batch 2</v>
      </c>
      <c r="J1872" s="225">
        <f>IFERROR(__xludf.DUMMYFUNCTION("""COMPUTED_VALUE"""),2.0)</f>
        <v>2</v>
      </c>
      <c r="K1872" s="224">
        <f>IFERROR(__xludf.DUMMYFUNCTION("""COMPUTED_VALUE"""),16.0)</f>
        <v>16</v>
      </c>
      <c r="L1872" s="226">
        <f>IFERROR(__xludf.DUMMYFUNCTION("""COMPUTED_VALUE"""),351429.0)</f>
        <v>351429</v>
      </c>
      <c r="M1872" s="227">
        <f>IFERROR(__xludf.DUMMYFUNCTION("""COMPUTED_VALUE"""),5622849.0)</f>
        <v>5622849</v>
      </c>
      <c r="N1872" s="222" t="str">
        <f>IFERROR(__xludf.DUMMYFUNCTION("""COMPUTED_VALUE"""),"PT GARINDO TECHNO MANDIRI")</f>
        <v>PT GARINDO TECHNO MANDIRI</v>
      </c>
      <c r="O1872" s="222" t="str">
        <f>IFERROR(__xludf.DUMMYFUNCTION("""COMPUTED_VALUE"""),"4. MATDEL")</f>
        <v>4. MATDEL</v>
      </c>
      <c r="P1872" s="222" t="str">
        <f>IFERROR(__xludf.DUMMYFUNCTION("""COMPUTED_VALUE"""),"4.4 Proses Pengiriman Pabribak ke WH")</f>
        <v>4.4 Proses Pengiriman Pabribak ke WH</v>
      </c>
      <c r="Q1872"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1872" s="228"/>
      <c r="S1872" s="11"/>
      <c r="T1872" s="11"/>
      <c r="U1872" s="11"/>
      <c r="V1872" s="229" t="str">
        <f>IFERROR(__xludf.DUMMYFUNCTION("""COMPUTED_VALUE"""),"DELPA YANDA")</f>
        <v>DELPA YANDA</v>
      </c>
      <c r="W1872" s="229" t="str">
        <f>IFERROR(__xludf.DUMMYFUNCTION("""COMPUTED_VALUE"""),"MELKO NARWADI")</f>
        <v>MELKO NARWADI</v>
      </c>
      <c r="X1872" s="229" t="str">
        <f>IFERROR(__xludf.DUMMYFUNCTION("""COMPUTED_VALUE"""),"BELUM GOLIVE")</f>
        <v>BELUM GOLIVE</v>
      </c>
      <c r="Y1872" s="229"/>
      <c r="Z1872" s="229" t="str">
        <f>IFERROR(__xludf.DUMMYFUNCTION("""COMPUTED_VALUE"""),"#N/A")</f>
        <v>#N/A</v>
      </c>
      <c r="AA1872" s="229"/>
      <c r="AB1872" s="229"/>
      <c r="AC1872" s="229"/>
      <c r="AD1872" s="232"/>
      <c r="AE1872" s="233"/>
      <c r="AF1872" s="54" t="str">
        <f>IFERROR(__xludf.DUMMYFUNCTION("""COMPUTED_VALUE"""),"Draft BA DROP")</f>
        <v>Draft BA DROP</v>
      </c>
      <c r="AG1872" s="54"/>
      <c r="AH1872" s="54"/>
      <c r="AI1872" s="55" t="str">
        <f t="shared" si="188"/>
        <v/>
      </c>
      <c r="AW1872" s="234"/>
      <c r="BP1872" s="11"/>
      <c r="BQ1872" s="11"/>
      <c r="BR1872" s="235"/>
      <c r="BV1872" s="158"/>
      <c r="BY1872" s="158"/>
      <c r="CB1872" s="158"/>
    </row>
    <row r="1873" ht="18.0" customHeight="1">
      <c r="A1873" s="222">
        <f>IFERROR(__xludf.DUMMYFUNCTION("""COMPUTED_VALUE"""),2026.0)</f>
        <v>2026</v>
      </c>
      <c r="B1873" s="221">
        <f>IFERROR(__xludf.DUMMYFUNCTION("""COMPUTED_VALUE"""),1.2276776E7)</f>
        <v>12276776</v>
      </c>
      <c r="C1873" s="222" t="str">
        <f>IFERROR(__xludf.DUMMYFUNCTION("""COMPUTED_VALUE"""),"SMB-PT3-ODC-SUP-FA-AGAM_134774")</f>
        <v>SMB-PT3-ODC-SUP-FA-AGAM_134774</v>
      </c>
      <c r="D1873" s="222" t="str">
        <f>IFERROR(__xludf.DUMMYFUNCTION("""COMPUTED_VALUE"""),"REGIONAL I")</f>
        <v>REGIONAL I</v>
      </c>
      <c r="E1873" s="222" t="str">
        <f>IFERROR(__xludf.DUMMYFUNCTION("""COMPUTED_VALUE"""),"SUMBAR")</f>
        <v>SUMBAR</v>
      </c>
      <c r="F1873" s="222" t="str">
        <f>IFERROR(__xludf.DUMMYFUNCTION("""COMPUTED_VALUE"""),"SUP")</f>
        <v>SUP</v>
      </c>
      <c r="G1873" s="222" t="str">
        <f>IFERROR(__xludf.DUMMYFUNCTION("""COMPUTED_VALUE"""),"SUMBAGTENG")</f>
        <v>SUMBAGTENG</v>
      </c>
      <c r="H1873" s="222" t="str">
        <f>IFERROR(__xludf.DUMMYFUNCTION("""COMPUTED_VALUE"""),"BUKIT TINGGI")</f>
        <v>BUKIT TINGGI</v>
      </c>
      <c r="I1873" s="222" t="str">
        <f>IFERROR(__xludf.DUMMYFUNCTION("""COMPUTED_VALUE"""),"Batch 2")</f>
        <v>Batch 2</v>
      </c>
      <c r="J1873" s="225">
        <f>IFERROR(__xludf.DUMMYFUNCTION("""COMPUTED_VALUE"""),2.0)</f>
        <v>2</v>
      </c>
      <c r="K1873" s="224">
        <f>IFERROR(__xludf.DUMMYFUNCTION("""COMPUTED_VALUE"""),16.0)</f>
        <v>16</v>
      </c>
      <c r="L1873" s="226">
        <f>IFERROR(__xludf.DUMMYFUNCTION("""COMPUTED_VALUE"""),369344.0)</f>
        <v>369344</v>
      </c>
      <c r="M1873" s="227">
        <f>IFERROR(__xludf.DUMMYFUNCTION("""COMPUTED_VALUE"""),5909504.0)</f>
        <v>5909504</v>
      </c>
      <c r="N1873" s="222" t="str">
        <f>IFERROR(__xludf.DUMMYFUNCTION("""COMPUTED_VALUE"""),"PT GARINDO TECHNO MANDIRI")</f>
        <v>PT GARINDO TECHNO MANDIRI</v>
      </c>
      <c r="O1873" s="222" t="str">
        <f>IFERROR(__xludf.DUMMYFUNCTION("""COMPUTED_VALUE"""),"4. MATDEL")</f>
        <v>4. MATDEL</v>
      </c>
      <c r="P1873" s="222" t="str">
        <f>IFERROR(__xludf.DUMMYFUNCTION("""COMPUTED_VALUE"""),"4.4 Proses Pengiriman Pabribak ke WH")</f>
        <v>4.4 Proses Pengiriman Pabribak ke WH</v>
      </c>
      <c r="Q1873"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1873" s="228"/>
      <c r="S1873" s="11"/>
      <c r="T1873" s="11"/>
      <c r="U1873" s="11"/>
      <c r="V1873" s="229" t="str">
        <f>IFERROR(__xludf.DUMMYFUNCTION("""COMPUTED_VALUE"""),"DELPA YANDA")</f>
        <v>DELPA YANDA</v>
      </c>
      <c r="W1873" s="229" t="str">
        <f>IFERROR(__xludf.DUMMYFUNCTION("""COMPUTED_VALUE"""),"MELKO NARWADI")</f>
        <v>MELKO NARWADI</v>
      </c>
      <c r="X1873" s="229" t="str">
        <f>IFERROR(__xludf.DUMMYFUNCTION("""COMPUTED_VALUE"""),"BELUM GOLIVE")</f>
        <v>BELUM GOLIVE</v>
      </c>
      <c r="Y1873" s="229"/>
      <c r="Z1873" s="229" t="str">
        <f>IFERROR(__xludf.DUMMYFUNCTION("""COMPUTED_VALUE"""),"#N/A")</f>
        <v>#N/A</v>
      </c>
      <c r="AA1873" s="229"/>
      <c r="AB1873" s="229"/>
      <c r="AC1873" s="229"/>
      <c r="AD1873" s="232"/>
      <c r="AE1873" s="233"/>
      <c r="AF1873" s="54" t="str">
        <f>IFERROR(__xludf.DUMMYFUNCTION("""COMPUTED_VALUE"""),"Draft BA DROP")</f>
        <v>Draft BA DROP</v>
      </c>
      <c r="AG1873" s="54"/>
      <c r="AH1873" s="54"/>
      <c r="AI1873" s="55" t="str">
        <f t="shared" si="188"/>
        <v/>
      </c>
      <c r="AW1873" s="234"/>
      <c r="BP1873" s="11"/>
      <c r="BQ1873" s="11"/>
      <c r="BR1873" s="235"/>
      <c r="BV1873" s="158"/>
      <c r="BY1873" s="158"/>
      <c r="CB1873" s="158"/>
    </row>
    <row r="1874" ht="18.0" customHeight="1">
      <c r="A1874" s="222">
        <f>IFERROR(__xludf.DUMMYFUNCTION("""COMPUTED_VALUE"""),2026.0)</f>
        <v>2026</v>
      </c>
      <c r="B1874" s="221">
        <f>IFERROR(__xludf.DUMMYFUNCTION("""COMPUTED_VALUE"""),1.2276803E7)</f>
        <v>12276803</v>
      </c>
      <c r="C1874" s="222" t="str">
        <f>IFERROR(__xludf.DUMMYFUNCTION("""COMPUTED_VALUE"""),"SMB-PT3-ODC-SUP-FA-AGAM_265")</f>
        <v>SMB-PT3-ODC-SUP-FA-AGAM_265</v>
      </c>
      <c r="D1874" s="222" t="str">
        <f>IFERROR(__xludf.DUMMYFUNCTION("""COMPUTED_VALUE"""),"REGIONAL I")</f>
        <v>REGIONAL I</v>
      </c>
      <c r="E1874" s="222" t="str">
        <f>IFERROR(__xludf.DUMMYFUNCTION("""COMPUTED_VALUE"""),"SUMBAR")</f>
        <v>SUMBAR</v>
      </c>
      <c r="F1874" s="222" t="str">
        <f>IFERROR(__xludf.DUMMYFUNCTION("""COMPUTED_VALUE"""),"SUP")</f>
        <v>SUP</v>
      </c>
      <c r="G1874" s="222" t="str">
        <f>IFERROR(__xludf.DUMMYFUNCTION("""COMPUTED_VALUE"""),"SUMBAGTENG")</f>
        <v>SUMBAGTENG</v>
      </c>
      <c r="H1874" s="222" t="str">
        <f>IFERROR(__xludf.DUMMYFUNCTION("""COMPUTED_VALUE"""),"BUKIT TINGGI")</f>
        <v>BUKIT TINGGI</v>
      </c>
      <c r="I1874" s="222" t="str">
        <f>IFERROR(__xludf.DUMMYFUNCTION("""COMPUTED_VALUE"""),"Batch 2")</f>
        <v>Batch 2</v>
      </c>
      <c r="J1874" s="225">
        <f>IFERROR(__xludf.DUMMYFUNCTION("""COMPUTED_VALUE"""),3.0)</f>
        <v>3</v>
      </c>
      <c r="K1874" s="224">
        <f>IFERROR(__xludf.DUMMYFUNCTION("""COMPUTED_VALUE"""),24.0)</f>
        <v>24</v>
      </c>
      <c r="L1874" s="226">
        <f>IFERROR(__xludf.DUMMYFUNCTION("""COMPUTED_VALUE"""),452118.0)</f>
        <v>452118</v>
      </c>
      <c r="M1874" s="227">
        <f>IFERROR(__xludf.DUMMYFUNCTION("""COMPUTED_VALUE"""),1.0850832E7)</f>
        <v>10850832</v>
      </c>
      <c r="N1874" s="222" t="str">
        <f>IFERROR(__xludf.DUMMYFUNCTION("""COMPUTED_VALUE"""),"PT GARINDO TECHNO MANDIRI")</f>
        <v>PT GARINDO TECHNO MANDIRI</v>
      </c>
      <c r="O1874" s="222" t="str">
        <f>IFERROR(__xludf.DUMMYFUNCTION("""COMPUTED_VALUE"""),"4. MATDEL")</f>
        <v>4. MATDEL</v>
      </c>
      <c r="P1874" s="222" t="str">
        <f>IFERROR(__xludf.DUMMYFUNCTION("""COMPUTED_VALUE"""),"4.4 Proses Pengiriman Pabribak ke WH")</f>
        <v>4.4 Proses Pengiriman Pabribak ke WH</v>
      </c>
      <c r="Q1874"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1874" s="228"/>
      <c r="S1874" s="11"/>
      <c r="T1874" s="11"/>
      <c r="U1874" s="11"/>
      <c r="V1874" s="229" t="str">
        <f>IFERROR(__xludf.DUMMYFUNCTION("""COMPUTED_VALUE"""),"DELPA YANDA")</f>
        <v>DELPA YANDA</v>
      </c>
      <c r="W1874" s="229" t="str">
        <f>IFERROR(__xludf.DUMMYFUNCTION("""COMPUTED_VALUE"""),"MELKO NARWADI")</f>
        <v>MELKO NARWADI</v>
      </c>
      <c r="X1874" s="229" t="str">
        <f>IFERROR(__xludf.DUMMYFUNCTION("""COMPUTED_VALUE"""),"BELUM GOLIVE")</f>
        <v>BELUM GOLIVE</v>
      </c>
      <c r="Y1874" s="229"/>
      <c r="Z1874" s="229" t="str">
        <f>IFERROR(__xludf.DUMMYFUNCTION("""COMPUTED_VALUE"""),"#N/A")</f>
        <v>#N/A</v>
      </c>
      <c r="AA1874" s="229"/>
      <c r="AB1874" s="229"/>
      <c r="AC1874" s="229"/>
      <c r="AD1874" s="232"/>
      <c r="AE1874" s="233"/>
      <c r="AF1874" s="54" t="str">
        <f>IFERROR(__xludf.DUMMYFUNCTION("""COMPUTED_VALUE"""),"Draft BA DROP")</f>
        <v>Draft BA DROP</v>
      </c>
      <c r="AG1874" s="54"/>
      <c r="AH1874" s="54"/>
      <c r="AI1874" s="55" t="str">
        <f t="shared" si="188"/>
        <v/>
      </c>
      <c r="AW1874" s="234"/>
      <c r="BP1874" s="11"/>
      <c r="BQ1874" s="11"/>
      <c r="BR1874" s="235"/>
      <c r="BV1874" s="158"/>
      <c r="BY1874" s="158"/>
      <c r="CB1874" s="158"/>
    </row>
    <row r="1875" ht="18.0" customHeight="1">
      <c r="A1875" s="222">
        <f>IFERROR(__xludf.DUMMYFUNCTION("""COMPUTED_VALUE"""),2026.0)</f>
        <v>2026</v>
      </c>
      <c r="B1875" s="221">
        <f>IFERROR(__xludf.DUMMYFUNCTION("""COMPUTED_VALUE"""),1.2276833E7)</f>
        <v>12276833</v>
      </c>
      <c r="C1875" s="222" t="str">
        <f>IFERROR(__xludf.DUMMYFUNCTION("""COMPUTED_VALUE"""),"SMB-PT3-ODC-SUP-FA-AGAM 143159 -3Clustr")</f>
        <v>SMB-PT3-ODC-SUP-FA-AGAM 143159 -3Clustr</v>
      </c>
      <c r="D1875" s="222" t="str">
        <f>IFERROR(__xludf.DUMMYFUNCTION("""COMPUTED_VALUE"""),"REGIONAL I")</f>
        <v>REGIONAL I</v>
      </c>
      <c r="E1875" s="222" t="str">
        <f>IFERROR(__xludf.DUMMYFUNCTION("""COMPUTED_VALUE"""),"SUMBAR")</f>
        <v>SUMBAR</v>
      </c>
      <c r="F1875" s="222" t="str">
        <f>IFERROR(__xludf.DUMMYFUNCTION("""COMPUTED_VALUE"""),"SUP")</f>
        <v>SUP</v>
      </c>
      <c r="G1875" s="222" t="str">
        <f>IFERROR(__xludf.DUMMYFUNCTION("""COMPUTED_VALUE"""),"SUMBAGTENG")</f>
        <v>SUMBAGTENG</v>
      </c>
      <c r="H1875" s="222" t="str">
        <f>IFERROR(__xludf.DUMMYFUNCTION("""COMPUTED_VALUE"""),"BUKIT TINGGI")</f>
        <v>BUKIT TINGGI</v>
      </c>
      <c r="I1875" s="222" t="str">
        <f>IFERROR(__xludf.DUMMYFUNCTION("""COMPUTED_VALUE"""),"Batch 2")</f>
        <v>Batch 2</v>
      </c>
      <c r="J1875" s="225">
        <f>IFERROR(__xludf.DUMMYFUNCTION("""COMPUTED_VALUE"""),10.0)</f>
        <v>10</v>
      </c>
      <c r="K1875" s="224">
        <f>IFERROR(__xludf.DUMMYFUNCTION("""COMPUTED_VALUE"""),80.0)</f>
        <v>80</v>
      </c>
      <c r="L1875" s="226">
        <f>IFERROR(__xludf.DUMMYFUNCTION("""COMPUTED_VALUE"""),619898.0)</f>
        <v>619898</v>
      </c>
      <c r="M1875" s="227">
        <f>IFERROR(__xludf.DUMMYFUNCTION("""COMPUTED_VALUE"""),4.9591804E7)</f>
        <v>49591804</v>
      </c>
      <c r="N1875" s="222" t="str">
        <f>IFERROR(__xludf.DUMMYFUNCTION("""COMPUTED_VALUE"""),"PT GARINDO TECHNO MANDIRI")</f>
        <v>PT GARINDO TECHNO MANDIRI</v>
      </c>
      <c r="O1875" s="222" t="str">
        <f>IFERROR(__xludf.DUMMYFUNCTION("""COMPUTED_VALUE"""),"4. MATDEL")</f>
        <v>4. MATDEL</v>
      </c>
      <c r="P1875" s="222" t="str">
        <f>IFERROR(__xludf.DUMMYFUNCTION("""COMPUTED_VALUE"""),"4.4 Proses Pengiriman Pabribak ke WH")</f>
        <v>4.4 Proses Pengiriman Pabribak ke WH</v>
      </c>
      <c r="Q1875"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1875" s="228"/>
      <c r="S1875" s="11"/>
      <c r="T1875" s="11"/>
      <c r="U1875" s="11"/>
      <c r="V1875" s="229" t="str">
        <f>IFERROR(__xludf.DUMMYFUNCTION("""COMPUTED_VALUE"""),"DELPA YANDA")</f>
        <v>DELPA YANDA</v>
      </c>
      <c r="W1875" s="229" t="str">
        <f>IFERROR(__xludf.DUMMYFUNCTION("""COMPUTED_VALUE"""),"MELKO NARWADI")</f>
        <v>MELKO NARWADI</v>
      </c>
      <c r="X1875" s="229" t="str">
        <f>IFERROR(__xludf.DUMMYFUNCTION("""COMPUTED_VALUE"""),"BELUM GOLIVE")</f>
        <v>BELUM GOLIVE</v>
      </c>
      <c r="Y1875" s="229"/>
      <c r="Z1875" s="229" t="str">
        <f>IFERROR(__xludf.DUMMYFUNCTION("""COMPUTED_VALUE"""),"#N/A")</f>
        <v>#N/A</v>
      </c>
      <c r="AA1875" s="229"/>
      <c r="AB1875" s="229"/>
      <c r="AC1875" s="229"/>
      <c r="AD1875" s="232"/>
      <c r="AE1875" s="233"/>
      <c r="AF1875" s="54" t="str">
        <f>IFERROR(__xludf.DUMMYFUNCTION("""COMPUTED_VALUE"""),"Draft BA DROP")</f>
        <v>Draft BA DROP</v>
      </c>
      <c r="AG1875" s="54"/>
      <c r="AH1875" s="54">
        <v>46124.0</v>
      </c>
      <c r="AI1875" s="55" t="str">
        <f t="shared" si="188"/>
        <v/>
      </c>
      <c r="AJ1875" s="229" t="str">
        <f t="shared" ref="AJ1875:AJ1876" si="189">if(AI1875&gt;=0,"Gl in Komitmen","Gl out komitmen")</f>
        <v>Gl in Komitmen</v>
      </c>
      <c r="AW1875" s="234"/>
      <c r="BP1875" s="11"/>
      <c r="BQ1875" s="11"/>
      <c r="BR1875" s="235"/>
      <c r="BV1875" s="158"/>
      <c r="BY1875" s="158"/>
      <c r="CB1875" s="158"/>
    </row>
    <row r="1876" ht="18.0" customHeight="1">
      <c r="A1876" s="222">
        <f>IFERROR(__xludf.DUMMYFUNCTION("""COMPUTED_VALUE"""),2026.0)</f>
        <v>2026</v>
      </c>
      <c r="B1876" s="221">
        <f>IFERROR(__xludf.DUMMYFUNCTION("""COMPUTED_VALUE"""),1.229912E7)</f>
        <v>12299120</v>
      </c>
      <c r="C1876" s="222" t="str">
        <f>IFERROR(__xludf.DUMMYFUNCTION("""COMPUTED_VALUE"""),"SMB-PT3-ODC-SUP-FB-AGAM_168285 - 134846")</f>
        <v>SMB-PT3-ODC-SUP-FB-AGAM_168285 - 134846</v>
      </c>
      <c r="D1876" s="222" t="str">
        <f>IFERROR(__xludf.DUMMYFUNCTION("""COMPUTED_VALUE"""),"REGIONAL I")</f>
        <v>REGIONAL I</v>
      </c>
      <c r="E1876" s="222" t="str">
        <f>IFERROR(__xludf.DUMMYFUNCTION("""COMPUTED_VALUE"""),"SUMBAR")</f>
        <v>SUMBAR</v>
      </c>
      <c r="F1876" s="222" t="str">
        <f>IFERROR(__xludf.DUMMYFUNCTION("""COMPUTED_VALUE"""),"SUP")</f>
        <v>SUP</v>
      </c>
      <c r="G1876" s="222" t="str">
        <f>IFERROR(__xludf.DUMMYFUNCTION("""COMPUTED_VALUE"""),"SUMBAGTENG")</f>
        <v>SUMBAGTENG</v>
      </c>
      <c r="H1876" s="222" t="str">
        <f>IFERROR(__xludf.DUMMYFUNCTION("""COMPUTED_VALUE"""),"BUKIT TINGGI")</f>
        <v>BUKIT TINGGI</v>
      </c>
      <c r="I1876" s="222" t="str">
        <f>IFERROR(__xludf.DUMMYFUNCTION("""COMPUTED_VALUE"""),"Batch 2")</f>
        <v>Batch 2</v>
      </c>
      <c r="J1876" s="225">
        <f>IFERROR(__xludf.DUMMYFUNCTION("""COMPUTED_VALUE"""),3.0)</f>
        <v>3</v>
      </c>
      <c r="K1876" s="224">
        <f>IFERROR(__xludf.DUMMYFUNCTION("""COMPUTED_VALUE"""),24.0)</f>
        <v>24</v>
      </c>
      <c r="L1876" s="226">
        <f>IFERROR(__xludf.DUMMYFUNCTION("""COMPUTED_VALUE"""),451417.0)</f>
        <v>451417</v>
      </c>
      <c r="M1876" s="227">
        <f>IFERROR(__xludf.DUMMYFUNCTION("""COMPUTED_VALUE"""),1.0833995E7)</f>
        <v>10833995</v>
      </c>
      <c r="N1876" s="222" t="str">
        <f>IFERROR(__xludf.DUMMYFUNCTION("""COMPUTED_VALUE"""),"PT GARINDO TECHNO MANDIRI")</f>
        <v>PT GARINDO TECHNO MANDIRI</v>
      </c>
      <c r="O1876" s="222" t="str">
        <f>IFERROR(__xludf.DUMMYFUNCTION("""COMPUTED_VALUE"""),"7. GOLIVE")</f>
        <v>7. GOLIVE</v>
      </c>
      <c r="P1876" s="222" t="str">
        <f>IFERROR(__xludf.DUMMYFUNCTION("""COMPUTED_VALUE"""),"7.2 Golive Full / OA / DONE OTB")</f>
        <v>7.2 Golive Full / OA / DONE OTB</v>
      </c>
      <c r="Q1876" s="222" t="str">
        <f>IFERROR(__xludf.DUMMYFUNCTION("""COMPUTED_VALUE"""),"(06/04) penarikan kabel (30/03) penarikan kabel   (16/03) proses matdel KE SITE (05/03) proses aanwijziing plan selesai 07/03 (02/03) proses aanwijziing (26/01) DROP, permintaan tsel (tidak potensial) ")</f>
        <v>(06/04) penarikan kabel (30/03) penarikan kabel   (16/03) proses matdel KE SITE (05/03) proses aanwijziing plan selesai 07/03 (02/03) proses aanwijziing (26/01) DROP, permintaan tsel (tidak potensial) </v>
      </c>
      <c r="R1876" s="228">
        <f>IFERROR(__xludf.DUMMYFUNCTION("""COMPUTED_VALUE"""),46124.0)</f>
        <v>46124</v>
      </c>
      <c r="S1876" s="11"/>
      <c r="T1876" s="73"/>
      <c r="U1876" s="11" t="str">
        <f>IFERROR(__xludf.DUMMYFUNCTION("""COMPUTED_VALUE"""),"IF-5955/2026  26KT03R107-0028 ")</f>
        <v>IF-5955/2026  26KT03R107-0028 </v>
      </c>
      <c r="V1876" s="229" t="str">
        <f>IFERROR(__xludf.DUMMYFUNCTION("""COMPUTED_VALUE"""),"DELPA YANDA")</f>
        <v>DELPA YANDA</v>
      </c>
      <c r="W1876" s="229" t="str">
        <f>IFERROR(__xludf.DUMMYFUNCTION("""COMPUTED_VALUE"""),"MELKO NARWADI")</f>
        <v>MELKO NARWADI</v>
      </c>
      <c r="X1876" s="229" t="str">
        <f>IFERROR(__xludf.DUMMYFUNCTION("""COMPUTED_VALUE"""),"GOLIVE")</f>
        <v>GOLIVE</v>
      </c>
      <c r="Y1876" s="229" t="str">
        <f>IFERROR(__xludf.DUMMYFUNCTION("""COMPUTED_VALUE"""),"DONE")</f>
        <v>DONE</v>
      </c>
      <c r="Z1876" s="229" t="str">
        <f>IFERROR(__xludf.DUMMYFUNCTION("""COMPUTED_VALUE"""),"#N/A")</f>
        <v>#N/A</v>
      </c>
      <c r="AA1876" s="229">
        <f>IFERROR(__xludf.DUMMYFUNCTION("""COMPUTED_VALUE"""),3.0)</f>
        <v>3</v>
      </c>
      <c r="AB1876" s="229"/>
      <c r="AC1876" s="229" t="str">
        <f>IFERROR(__xludf.DUMMYFUNCTION("""COMPUTED_VALUE"""),"9264122#9264127")</f>
        <v>9264122#9264127</v>
      </c>
      <c r="AD1876" s="232">
        <f>IFERROR(__xludf.DUMMYFUNCTION("""COMPUTED_VALUE"""),24.0)</f>
        <v>24</v>
      </c>
      <c r="AE1876" s="233">
        <f>IFERROR(__xludf.DUMMYFUNCTION("""COMPUTED_VALUE"""),46124.0)</f>
        <v>46124</v>
      </c>
      <c r="AF1876" s="54"/>
      <c r="AG1876" s="54"/>
      <c r="AH1876" s="54">
        <v>46124.0</v>
      </c>
      <c r="AI1876" s="55">
        <f>IF(OR(AH1876="",AE1876=""),"",AH1876-AE1876)</f>
        <v>0</v>
      </c>
      <c r="AJ1876" s="229" t="str">
        <f t="shared" si="189"/>
        <v>Gl in Komitmen</v>
      </c>
      <c r="AK1876" s="231" t="s">
        <v>199</v>
      </c>
      <c r="AW1876" s="234"/>
      <c r="BP1876" s="11"/>
      <c r="BQ1876" s="11"/>
      <c r="BR1876" s="235"/>
      <c r="BV1876" s="158"/>
      <c r="BY1876" s="158"/>
      <c r="CB1876" s="158"/>
    </row>
    <row r="1877" ht="18.0" hidden="1" customHeight="1">
      <c r="A1877" s="222">
        <f>IFERROR(__xludf.DUMMYFUNCTION("""COMPUTED_VALUE"""),2026.0)</f>
        <v>2026</v>
      </c>
      <c r="B1877" s="221">
        <f>IFERROR(__xludf.DUMMYFUNCTION("""COMPUTED_VALUE"""),1.1407787E7)</f>
        <v>11407787</v>
      </c>
      <c r="C1877" s="222" t="str">
        <f>IFERROR(__xludf.DUMMYFUNCTION("""COMPUTED_VALUE"""),"ACH PT3 SKL-FJ BR.D01 RIMO_MD")</f>
        <v>ACH PT3 SKL-FJ BR.D01 RIMO_MD</v>
      </c>
      <c r="D1877" s="222" t="str">
        <f>IFERROR(__xludf.DUMMYFUNCTION("""COMPUTED_VALUE"""),"REGIONAL I")</f>
        <v>REGIONAL I</v>
      </c>
      <c r="E1877" s="222" t="str">
        <f>IFERROR(__xludf.DUMMYFUNCTION("""COMPUTED_VALUE"""),"ACEH")</f>
        <v>ACEH</v>
      </c>
      <c r="F1877" s="222" t="str">
        <f>IFERROR(__xludf.DUMMYFUNCTION("""COMPUTED_VALUE"""),"SKL")</f>
        <v>SKL</v>
      </c>
      <c r="G1877" s="222" t="str">
        <f>IFERROR(__xludf.DUMMYFUNCTION("""COMPUTED_VALUE"""),"SUMBAGUT")</f>
        <v>SUMBAGUT</v>
      </c>
      <c r="H1877" s="222" t="str">
        <f>IFERROR(__xludf.DUMMYFUNCTION("""COMPUTED_VALUE"""),"BANDA ACEH")</f>
        <v>BANDA ACEH</v>
      </c>
      <c r="I1877" s="222" t="str">
        <f>IFERROR(__xludf.DUMMYFUNCTION("""COMPUTED_VALUE"""),"Batch 2")</f>
        <v>Batch 2</v>
      </c>
      <c r="J1877" s="225">
        <f>IFERROR(__xludf.DUMMYFUNCTION("""COMPUTED_VALUE"""),8.0)</f>
        <v>8</v>
      </c>
      <c r="K1877" s="224">
        <f>IFERROR(__xludf.DUMMYFUNCTION("""COMPUTED_VALUE"""),64.0)</f>
        <v>64</v>
      </c>
      <c r="L1877" s="226">
        <f>IFERROR(__xludf.DUMMYFUNCTION("""COMPUTED_VALUE"""),1450027.0)</f>
        <v>1450027</v>
      </c>
      <c r="M1877" s="227">
        <f>IFERROR(__xludf.DUMMYFUNCTION("""COMPUTED_VALUE"""),9.2801685E7)</f>
        <v>92801685</v>
      </c>
      <c r="N1877" s="222" t="str">
        <f>IFERROR(__xludf.DUMMYFUNCTION("""COMPUTED_VALUE"""),"PT ARA PAYA INTAN")</f>
        <v>PT ARA PAYA INTAN</v>
      </c>
      <c r="O1877" s="222" t="str">
        <f>IFERROR(__xludf.DUMMYFUNCTION("""COMPUTED_VALUE"""),"7. GOLIVE")</f>
        <v>7. GOLIVE</v>
      </c>
      <c r="P1877" s="222" t="str">
        <f>IFERROR(__xludf.DUMMYFUNCTION("""COMPUTED_VALUE"""),"7.2 Golive Full / OA / DONE OTB")</f>
        <v>7.2 Golive Full / OA / DONE OTB</v>
      </c>
      <c r="Q1877" s="222" t="str">
        <f>IFERROR(__xludf.DUMMYFUNCTION("""COMPUTED_VALUE"""),"(08/01) core dist 3 SCC-FC  tidak ada yg tembus, proses delivery material ke site, Menunggu Material dari Pabrik ke WH, proses aanwijzing selesai hari ini (07/01) Persiapan")</f>
        <v>(08/01) core dist 3 SCC-FC  tidak ada yg tembus, proses delivery material ke site, Menunggu Material dari Pabrik ke WH, proses aanwijzing selesai hari ini (07/01) Persiapan</v>
      </c>
      <c r="R1877" s="228">
        <f>IFERROR(__xludf.DUMMYFUNCTION("""COMPUTED_VALUE"""),46036.0)</f>
        <v>46036</v>
      </c>
      <c r="S1877" s="11"/>
      <c r="T1877" s="11"/>
      <c r="U1877" s="11" t="str">
        <f>IFERROR(__xludf.DUMMYFUNCTION("""COMPUTED_VALUE"""),"W04-764/2025")</f>
        <v>W04-764/2025</v>
      </c>
      <c r="V1877" s="229"/>
      <c r="W1877" s="229"/>
      <c r="X1877" s="229" t="str">
        <f>IFERROR(__xludf.DUMMYFUNCTION("""COMPUTED_VALUE"""),"GOLIVE")</f>
        <v>GOLIVE</v>
      </c>
      <c r="Y1877" s="229" t="str">
        <f>IFERROR(__xludf.DUMMYFUNCTION("""COMPUTED_VALUE"""),"DONE")</f>
        <v>DONE</v>
      </c>
      <c r="Z1877" s="229" t="str">
        <f>IFERROR(__xludf.DUMMYFUNCTION("""COMPUTED_VALUE"""),"#N/A")</f>
        <v>#N/A</v>
      </c>
      <c r="AA1877" s="229">
        <f>IFERROR(__xludf.DUMMYFUNCTION("""COMPUTED_VALUE"""),8.0)</f>
        <v>8</v>
      </c>
      <c r="AB1877" s="229"/>
      <c r="AC1877" s="229" t="str">
        <f>IFERROR(__xludf.DUMMYFUNCTION("""COMPUTED_VALUE"""),"8953862#8953867")</f>
        <v>8953862#8953867</v>
      </c>
      <c r="AD1877" s="232">
        <f>IFERROR(__xludf.DUMMYFUNCTION("""COMPUTED_VALUE"""),64.0)</f>
        <v>64</v>
      </c>
      <c r="AE1877" s="233">
        <f>IFERROR(__xludf.DUMMYFUNCTION("""COMPUTED_VALUE"""),46036.0)</f>
        <v>46036</v>
      </c>
      <c r="AF1877" s="54"/>
      <c r="AG1877" s="54"/>
      <c r="AH1877" s="54">
        <v>46036.0</v>
      </c>
      <c r="AI1877" s="55">
        <f t="shared" ref="AI1877:AI1930" si="190">IF(OR(R1877="",AE1877=""),"",R1877-AE1877)</f>
        <v>0</v>
      </c>
      <c r="AW1877" s="234"/>
      <c r="BP1877" s="11"/>
      <c r="BQ1877" s="11"/>
      <c r="BR1877" s="235"/>
      <c r="BV1877" s="158"/>
      <c r="BY1877" s="158"/>
      <c r="CB1877" s="158"/>
    </row>
    <row r="1878" ht="18.0" customHeight="1">
      <c r="A1878" s="222">
        <f>IFERROR(__xludf.DUMMYFUNCTION("""COMPUTED_VALUE"""),2026.0)</f>
        <v>2026</v>
      </c>
      <c r="B1878" s="221">
        <f>IFERROR(__xludf.DUMMYFUNCTION("""COMPUTED_VALUE"""),1.1517818E7)</f>
        <v>11517818</v>
      </c>
      <c r="C1878" s="222" t="str">
        <f>IFERROR(__xludf.DUMMYFUNCTION("""COMPUTED_VALUE"""),"SMB PADANG PARIAMAN_15567")</f>
        <v>SMB PADANG PARIAMAN_15567</v>
      </c>
      <c r="D1878" s="222" t="str">
        <f>IFERROR(__xludf.DUMMYFUNCTION("""COMPUTED_VALUE"""),"REGIONAL I")</f>
        <v>REGIONAL I</v>
      </c>
      <c r="E1878" s="222" t="str">
        <f>IFERROR(__xludf.DUMMYFUNCTION("""COMPUTED_VALUE"""),"SUMBAR")</f>
        <v>SUMBAR</v>
      </c>
      <c r="F1878" s="222" t="str">
        <f>IFERROR(__xludf.DUMMYFUNCTION("""COMPUTED_VALUE"""),"SCC")</f>
        <v>SCC</v>
      </c>
      <c r="G1878" s="222" t="str">
        <f>IFERROR(__xludf.DUMMYFUNCTION("""COMPUTED_VALUE"""),"SUMBAGTENG")</f>
        <v>SUMBAGTENG</v>
      </c>
      <c r="H1878" s="222" t="str">
        <f>IFERROR(__xludf.DUMMYFUNCTION("""COMPUTED_VALUE"""),"BUKIT TINGGI")</f>
        <v>BUKIT TINGGI</v>
      </c>
      <c r="I1878" s="222" t="str">
        <f>IFERROR(__xludf.DUMMYFUNCTION("""COMPUTED_VALUE"""),"Batch 2")</f>
        <v>Batch 2</v>
      </c>
      <c r="J1878" s="225">
        <f>IFERROR(__xludf.DUMMYFUNCTION("""COMPUTED_VALUE"""),2.0)</f>
        <v>2</v>
      </c>
      <c r="K1878" s="224">
        <f>IFERROR(__xludf.DUMMYFUNCTION("""COMPUTED_VALUE"""),16.0)</f>
        <v>16</v>
      </c>
      <c r="L1878" s="226">
        <f>IFERROR(__xludf.DUMMYFUNCTION("""COMPUTED_VALUE"""),351429.0)</f>
        <v>351429</v>
      </c>
      <c r="M1878" s="227">
        <f>IFERROR(__xludf.DUMMYFUNCTION("""COMPUTED_VALUE"""),5622849.0)</f>
        <v>5622849</v>
      </c>
      <c r="N1878" s="222" t="str">
        <f>IFERROR(__xludf.DUMMYFUNCTION("""COMPUTED_VALUE"""),"PT PUTRI JAYA AKSES")</f>
        <v>PT PUTRI JAYA AKSES</v>
      </c>
      <c r="O1878" s="222" t="str">
        <f>IFERROR(__xludf.DUMMYFUNCTION("""COMPUTED_VALUE"""),"2. DONE AANWIJZING")</f>
        <v>2. DONE AANWIJZING</v>
      </c>
      <c r="P1878" s="222" t="str">
        <f>IFERROR(__xludf.DUMMYFUNCTION("""COMPUTED_VALUE"""),"2.9 Kendala - Distribusi Penuh / Rusak")</f>
        <v>2.9 Kendala - Distribusi Penuh / Rusak</v>
      </c>
      <c r="Q1878" s="222" t="str">
        <f>IFERROR(__xludf.DUMMYFUNCTION("""COMPUTED_VALUE"""),"(27/01) core dist 3 SCC-FC  FULL  (07/01) Persiapan")</f>
        <v>(27/01) core dist 3 SCC-FC  FULL  (07/01) Persiapan</v>
      </c>
      <c r="R1878" s="228"/>
      <c r="S1878" s="11"/>
      <c r="T1878" s="11"/>
      <c r="U1878" s="11"/>
      <c r="V1878" s="229"/>
      <c r="W1878" s="229"/>
      <c r="X1878" s="229" t="str">
        <f>IFERROR(__xludf.DUMMYFUNCTION("""COMPUTED_VALUE"""),"BELUM GOLIVE")</f>
        <v>BELUM GOLIVE</v>
      </c>
      <c r="Y1878" s="229"/>
      <c r="Z1878" s="229" t="str">
        <f>IFERROR(__xludf.DUMMYFUNCTION("""COMPUTED_VALUE"""),"#N/A")</f>
        <v>#N/A</v>
      </c>
      <c r="AA1878" s="229"/>
      <c r="AB1878" s="229"/>
      <c r="AC1878" s="229"/>
      <c r="AD1878" s="232"/>
      <c r="AE1878" s="233"/>
      <c r="AF1878" s="54"/>
      <c r="AG1878" s="54"/>
      <c r="AH1878" s="54"/>
      <c r="AI1878" s="55" t="str">
        <f t="shared" si="190"/>
        <v/>
      </c>
      <c r="AW1878" s="234"/>
      <c r="BP1878" s="11"/>
      <c r="BQ1878" s="11"/>
      <c r="BR1878" s="235"/>
      <c r="BV1878" s="158"/>
      <c r="BY1878" s="158"/>
      <c r="CB1878" s="158"/>
    </row>
    <row r="1879" ht="18.0" hidden="1" customHeight="1">
      <c r="A1879" s="222">
        <f>IFERROR(__xludf.DUMMYFUNCTION("""COMPUTED_VALUE"""),2026.0)</f>
        <v>2026</v>
      </c>
      <c r="B1879" s="221">
        <f>IFERROR(__xludf.DUMMYFUNCTION("""COMPUTED_VALUE"""),1.133711E7)</f>
        <v>11337110</v>
      </c>
      <c r="C1879" s="222" t="str">
        <f>IFERROR(__xludf.DUMMYFUNCTION("""COMPUTED_VALUE"""),"JBI-PT4-MINI OLT-KTL-FL-TELUK SIALANG")</f>
        <v>JBI-PT4-MINI OLT-KTL-FL-TELUK SIALANG</v>
      </c>
      <c r="D1879" s="222" t="str">
        <f>IFERROR(__xludf.DUMMYFUNCTION("""COMPUTED_VALUE"""),"REGIONAL I")</f>
        <v>REGIONAL I</v>
      </c>
      <c r="E1879" s="222" t="str">
        <f>IFERROR(__xludf.DUMMYFUNCTION("""COMPUTED_VALUE"""),"JAMBI")</f>
        <v>JAMBI</v>
      </c>
      <c r="F1879" s="222" t="str">
        <f>IFERROR(__xludf.DUMMYFUNCTION("""COMPUTED_VALUE"""),"KTL")</f>
        <v>KTL</v>
      </c>
      <c r="G1879" s="222" t="str">
        <f>IFERROR(__xludf.DUMMYFUNCTION("""COMPUTED_VALUE"""),"SUMBAGSEL")</f>
        <v>SUMBAGSEL</v>
      </c>
      <c r="H1879" s="222" t="str">
        <f>IFERROR(__xludf.DUMMYFUNCTION("""COMPUTED_VALUE"""),"JAMBI")</f>
        <v>JAMBI</v>
      </c>
      <c r="I1879" s="222" t="str">
        <f>IFERROR(__xludf.DUMMYFUNCTION("""COMPUTED_VALUE"""),"Batch 2")</f>
        <v>Batch 2</v>
      </c>
      <c r="J1879" s="225">
        <f>IFERROR(__xludf.DUMMYFUNCTION("""COMPUTED_VALUE"""),32.0)</f>
        <v>32</v>
      </c>
      <c r="K1879" s="224">
        <f>IFERROR(__xludf.DUMMYFUNCTION("""COMPUTED_VALUE"""),248.0)</f>
        <v>248</v>
      </c>
      <c r="L1879" s="226">
        <f>IFERROR(__xludf.DUMMYFUNCTION("""COMPUTED_VALUE"""),1450490.0)</f>
        <v>1450490</v>
      </c>
      <c r="M1879" s="227">
        <f>IFERROR(__xludf.DUMMYFUNCTION("""COMPUTED_VALUE"""),3.59721406E8)</f>
        <v>359721406</v>
      </c>
      <c r="N1879" s="222" t="str">
        <f>IFERROR(__xludf.DUMMYFUNCTION("""COMPUTED_VALUE"""),"PT ANGSO DUO TELEKOMUNIKASI")</f>
        <v>PT ANGSO DUO TELEKOMUNIKASI</v>
      </c>
      <c r="O1879" s="222" t="str">
        <f>IFERROR(__xludf.DUMMYFUNCTION("""COMPUTED_VALUE"""),"8. UJI TERIMA")</f>
        <v>8. UJI TERIMA</v>
      </c>
      <c r="P1879" s="222" t="str">
        <f>IFERROR(__xludf.DUMMYFUNCTION("""COMPUTED_VALUE"""),"8.1 Proses UT")</f>
        <v>8.1 Proses UT</v>
      </c>
      <c r="Q1879" s="222" t="str">
        <f>IFERROR(__xludf.DUMMYFUNCTION("""COMPUTED_VALUE"""),"(21/01) Golive (07/01) Persiapan (12/1) proses golive  2/1/26 finish instalasi, belum GL kan dan menunggu TO 2/12 PLAN CO 2 DES  28/11 FINISH INSTALASI MENUNGGU JADWAL CO (22/11) tarik kabel dan tinag done , instal odp 28/32 , plan submit abd 24 nov  (17/"&amp;"11) perapihan 13/11 COR TIANG DAN PERAPIAN 12/11 PENGECORAN TIANG DAN PEMASANGAN AKSESORIS 11/11 Proses cor tiang baru dan pemasangan aksesoris 10/11 tarik kabel 24=3447/3447, 48=2910/3000, tiang selesai (09/11)kabel 24=2586/3447 ,kabel 48=2451/300. tiang"&amp;" 68/70 ,progress pengecoran tiang dan perapihan kabel (08/11) penarikan kabel 48 dan 24 , OLT masih pengajuan (7/11) penarikan kabel 6/11 tarik kabel 4356/ 7447  4/11 TANAM TIANG 3/11 penarikan kabel 2586/3.447, feeder 0/4KM ( comcase  4 jt)31/10 TANAM TI"&amp;"ANG (15/10) FEEDER UNSPEC (30/09) Done aanwijzing 
- Sekdes mengizinkan
- redesign jalur
- pengurangan 3 odp karena tidak ada akses jalan
- pengurangan 1 odp permintaan SF tsel
- sitac masih menunggu keputusan pemilik lahan
- distribusi eksisting yg bakal"&amp;" jadi catuan uplink tidak tembus
- port feeder untuk dijadikan uplink sisa 2 yang tembus namun redaman tinggi 
(23/09) Penjadwalan aanwijzing (16/09) Mapping mitra")</f>
        <v>(21/01) Golive (07/01) Persiapan (12/1) proses golive  2/1/26 finish instalasi, belum GL kan dan menunggu TO 2/12 PLAN CO 2 DES  28/11 FINISH INSTALASI MENUNGGU JADWAL CO (22/11) tarik kabel dan tinag done , instal odp 28/32 , plan submit abd 24 nov  (17/11) perapihan 13/11 COR TIANG DAN PERAPIAN 12/11 PENGECORAN TIANG DAN PEMASANGAN AKSESORIS 11/11 Proses cor tiang baru dan pemasangan aksesoris 10/11 tarik kabel 24=3447/3447, 48=2910/3000, tiang selesai (09/11)kabel 24=2586/3447 ,kabel 48=2451/300. tiang 68/70 ,progress pengecoran tiang dan perapihan kabel (08/11) penarikan kabel 48 dan 24 , OLT masih pengajuan (7/11) penarikan kabel 6/11 tarik kabel 4356/ 7447  4/11 TANAM TIANG 3/11 penarikan kabel 2586/3.447, feeder 0/4KM ( comcase  4 jt)31/10 TANAM TIANG (15/10) FEEDER UNSPEC (30/09) Done aanwijzing 
- Sekdes mengizinkan
- redesign jalur
- pengurangan 3 odp karena tidak ada akses jalan
- pengurangan 1 odp permintaan SF tsel
- sitac masih menunggu keputusan pemilik lahan
- distribusi eksisting yg bakal jadi catuan uplink tidak tembus
- port feeder untuk dijadikan uplink sisa 2 yang tembus namun redaman tinggi 
(23/09) Penjadwalan aanwijzing (16/09) Mapping mitra</v>
      </c>
      <c r="R1879" s="228"/>
      <c r="S1879" s="11"/>
      <c r="T1879" s="11"/>
      <c r="U1879" s="11"/>
      <c r="V1879" s="229"/>
      <c r="W1879" s="229"/>
      <c r="X1879" s="229" t="str">
        <f>IFERROR(__xludf.DUMMYFUNCTION("""COMPUTED_VALUE"""),"GOLIVE")</f>
        <v>GOLIVE</v>
      </c>
      <c r="Y1879" s="229" t="str">
        <f>IFERROR(__xludf.DUMMYFUNCTION("""COMPUTED_VALUE"""),"DONE")</f>
        <v>DONE</v>
      </c>
      <c r="Z1879" s="229" t="str">
        <f>IFERROR(__xludf.DUMMYFUNCTION("""COMPUTED_VALUE"""),"5. Done Integrasi")</f>
        <v>5. Done Integrasi</v>
      </c>
      <c r="AA1879" s="229">
        <f>IFERROR(__xludf.DUMMYFUNCTION("""COMPUTED_VALUE"""),31.0)</f>
        <v>31</v>
      </c>
      <c r="AB1879" s="229"/>
      <c r="AC1879" s="229" t="str">
        <f>IFERROR(__xludf.DUMMYFUNCTION("""COMPUTED_VALUE"""),"8937514#8937519")</f>
        <v>8937514#8937519</v>
      </c>
      <c r="AD1879" s="232">
        <f>IFERROR(__xludf.DUMMYFUNCTION("""COMPUTED_VALUE"""),248.0)</f>
        <v>248</v>
      </c>
      <c r="AE1879" s="233">
        <f>IFERROR(__xludf.DUMMYFUNCTION("""COMPUTED_VALUE"""),46043.0)</f>
        <v>46043</v>
      </c>
      <c r="AF1879" s="54"/>
      <c r="AG1879" s="54"/>
      <c r="AH1879" s="54"/>
      <c r="AI1879" s="55" t="str">
        <f t="shared" si="190"/>
        <v/>
      </c>
      <c r="AW1879" s="234"/>
      <c r="BP1879" s="11"/>
      <c r="BQ1879" s="11"/>
      <c r="BR1879" s="235"/>
      <c r="BV1879" s="158"/>
      <c r="BY1879" s="158"/>
      <c r="CB1879" s="158"/>
    </row>
    <row r="1880" ht="18.0" customHeight="1">
      <c r="A1880" s="222">
        <f>IFERROR(__xludf.DUMMYFUNCTION("""COMPUTED_VALUE"""),2026.0)</f>
        <v>2026</v>
      </c>
      <c r="B1880" s="221">
        <f>IFERROR(__xludf.DUMMYFUNCTION("""COMPUTED_VALUE"""),1.207967E7)</f>
        <v>12079670</v>
      </c>
      <c r="C1880" s="222" t="str">
        <f>IFERROR(__xludf.DUMMYFUNCTION("""COMPUTED_VALUE"""),"RKP TSEL PT3 SLU-FCK DDREAMLAND SQUARE")</f>
        <v>RKP TSEL PT3 SLU-FCK DDREAMLAND SQUARE</v>
      </c>
      <c r="D1880" s="222" t="str">
        <f>IFERROR(__xludf.DUMMYFUNCTION("""COMPUTED_VALUE"""),"REGIONAL I")</f>
        <v>REGIONAL I</v>
      </c>
      <c r="E1880" s="222" t="str">
        <f>IFERROR(__xludf.DUMMYFUNCTION("""COMPUTED_VALUE"""),"RIKEP")</f>
        <v>RIKEP</v>
      </c>
      <c r="F1880" s="222" t="str">
        <f>IFERROR(__xludf.DUMMYFUNCTION("""COMPUTED_VALUE"""),"SLU")</f>
        <v>SLU</v>
      </c>
      <c r="G1880" s="222" t="str">
        <f>IFERROR(__xludf.DUMMYFUNCTION("""COMPUTED_VALUE"""),"SUMBAGTENG")</f>
        <v>SUMBAGTENG</v>
      </c>
      <c r="H1880" s="222" t="str">
        <f>IFERROR(__xludf.DUMMYFUNCTION("""COMPUTED_VALUE"""),"BATAM")</f>
        <v>BATAM</v>
      </c>
      <c r="I1880" s="222" t="str">
        <f>IFERROR(__xludf.DUMMYFUNCTION("""COMPUTED_VALUE"""),"Batch 2")</f>
        <v>Batch 2</v>
      </c>
      <c r="J1880" s="225">
        <f>IFERROR(__xludf.DUMMYFUNCTION("""COMPUTED_VALUE"""),1.0)</f>
        <v>1</v>
      </c>
      <c r="K1880" s="224">
        <f>IFERROR(__xludf.DUMMYFUNCTION("""COMPUTED_VALUE"""),8.0)</f>
        <v>8</v>
      </c>
      <c r="L1880" s="226">
        <f>IFERROR(__xludf.DUMMYFUNCTION("""COMPUTED_VALUE"""),351047.0)</f>
        <v>351047</v>
      </c>
      <c r="M1880" s="227">
        <f>IFERROR(__xludf.DUMMYFUNCTION("""COMPUTED_VALUE"""),2808374.0)</f>
        <v>2808374</v>
      </c>
      <c r="N1880" s="222" t="str">
        <f>IFERROR(__xludf.DUMMYFUNCTION("""COMPUTED_VALUE"""),"PT TRIPOLA PANATA")</f>
        <v>PT TRIPOLA PANATA</v>
      </c>
      <c r="O1880" s="222" t="str">
        <f>IFERROR(__xludf.DUMMYFUNCTION("""COMPUTED_VALUE"""),"0. DROP")</f>
        <v>0. DROP</v>
      </c>
      <c r="P1880" s="222" t="str">
        <f>IFERROR(__xludf.DUMMYFUNCTION("""COMPUTED_VALUE"""),"0.2 Tidak Dapat Izin Warga/Kades/Lurah/Developer")</f>
        <v>0.2 Tidak Dapat Izin Warga/Kades/Lurah/Developer</v>
      </c>
      <c r="Q1880" s="222" t="str">
        <f>IFERROR(__xludf.DUMMYFUNCTION("""COMPUTED_VALUE"""),"28/01 Izin crossingan tidak di izinkan oleh pihak kawasan. 28/01 Mitra tripola belum ada PIC untuk anwijzing. 21/03 plan survey minggu ini 25 Jan")</f>
        <v>28/01 Izin crossingan tidak di izinkan oleh pihak kawasan. 28/01 Mitra tripola belum ada PIC untuk anwijzing. 21/03 plan survey minggu ini 25 Jan</v>
      </c>
      <c r="R1880" s="228"/>
      <c r="S1880" s="11"/>
      <c r="T1880" s="11"/>
      <c r="U1880" s="11"/>
      <c r="V1880" s="229" t="str">
        <f>IFERROR(__xludf.DUMMYFUNCTION("""COMPUTED_VALUE"""),"MUHAMMAD RIDHO FALFO")</f>
        <v>MUHAMMAD RIDHO FALFO</v>
      </c>
      <c r="W1880" s="229" t="str">
        <f>IFERROR(__xludf.DUMMYFUNCTION("""COMPUTED_VALUE"""),"LEVITA INDRIYANI")</f>
        <v>LEVITA INDRIYANI</v>
      </c>
      <c r="X1880" s="229" t="str">
        <f>IFERROR(__xludf.DUMMYFUNCTION("""COMPUTED_VALUE"""),"BELUM GOLIVE")</f>
        <v>BELUM GOLIVE</v>
      </c>
      <c r="Y1880" s="229"/>
      <c r="Z1880" s="229" t="str">
        <f>IFERROR(__xludf.DUMMYFUNCTION("""COMPUTED_VALUE"""),"#N/A")</f>
        <v>#N/A</v>
      </c>
      <c r="AA1880" s="229"/>
      <c r="AB1880" s="229"/>
      <c r="AC1880" s="229"/>
      <c r="AD1880" s="232"/>
      <c r="AE1880" s="233"/>
      <c r="AF1880" s="54" t="str">
        <f>IFERROR(__xludf.DUMMYFUNCTION("""COMPUTED_VALUE"""),"Draft BA DROP")</f>
        <v>Draft BA DROP</v>
      </c>
      <c r="AG1880" s="54"/>
      <c r="AH1880" s="54"/>
      <c r="AI1880" s="55" t="str">
        <f t="shared" si="190"/>
        <v/>
      </c>
      <c r="AW1880" s="234"/>
      <c r="BP1880" s="11"/>
      <c r="BQ1880" s="11"/>
      <c r="BR1880" s="235"/>
      <c r="BV1880" s="158"/>
      <c r="BY1880" s="158"/>
      <c r="CB1880" s="158"/>
    </row>
    <row r="1881" ht="18.0" hidden="1" customHeight="1">
      <c r="A1881" s="222">
        <f>IFERROR(__xludf.DUMMYFUNCTION("""COMPUTED_VALUE"""),2026.0)</f>
        <v>2026</v>
      </c>
      <c r="B1881" s="221">
        <f>IFERROR(__xludf.DUMMYFUNCTION("""COMPUTED_VALUE"""),1.2495783E7)</f>
        <v>12495783</v>
      </c>
      <c r="C1881" s="222" t="str">
        <f>IFERROR(__xludf.DUMMYFUNCTION("""COMPUTED_VALUE"""),"MDN PT3 TJR-FQ 250_1559_1705")</f>
        <v>MDN PT3 TJR-FQ 250_1559_1705</v>
      </c>
      <c r="D1881" s="222" t="str">
        <f>IFERROR(__xludf.DUMMYFUNCTION("""COMPUTED_VALUE"""),"REGIONAL I")</f>
        <v>REGIONAL I</v>
      </c>
      <c r="E1881" s="222" t="str">
        <f>IFERROR(__xludf.DUMMYFUNCTION("""COMPUTED_VALUE"""),"MEDAN")</f>
        <v>MEDAN</v>
      </c>
      <c r="F1881" s="222" t="str">
        <f>IFERROR(__xludf.DUMMYFUNCTION("""COMPUTED_VALUE"""),"TJR")</f>
        <v>TJR</v>
      </c>
      <c r="G1881" s="222" t="str">
        <f>IFERROR(__xludf.DUMMYFUNCTION("""COMPUTED_VALUE"""),"SUMBAGUT")</f>
        <v>SUMBAGUT</v>
      </c>
      <c r="H1881" s="222" t="str">
        <f>IFERROR(__xludf.DUMMYFUNCTION("""COMPUTED_VALUE"""),"MEDAN")</f>
        <v>MEDAN</v>
      </c>
      <c r="I1881" s="222" t="str">
        <f>IFERROR(__xludf.DUMMYFUNCTION("""COMPUTED_VALUE"""),"Batch 2")</f>
        <v>Batch 2</v>
      </c>
      <c r="J1881" s="225">
        <f>IFERROR(__xludf.DUMMYFUNCTION("""COMPUTED_VALUE"""),2.0)</f>
        <v>2</v>
      </c>
      <c r="K1881" s="224">
        <f>IFERROR(__xludf.DUMMYFUNCTION("""COMPUTED_VALUE"""),16.0)</f>
        <v>16</v>
      </c>
      <c r="L1881" s="226">
        <f>IFERROR(__xludf.DUMMYFUNCTION("""COMPUTED_VALUE"""),350489.0)</f>
        <v>350489</v>
      </c>
      <c r="M1881" s="227">
        <f>IFERROR(__xludf.DUMMYFUNCTION("""COMPUTED_VALUE"""),5607820.0)</f>
        <v>5607820</v>
      </c>
      <c r="N1881" s="222" t="str">
        <f>IFERROR(__xludf.DUMMYFUNCTION("""COMPUTED_VALUE"""),"PT UPAYA TEKNIK")</f>
        <v>PT UPAYA TEKNIK</v>
      </c>
      <c r="O1881" s="222" t="str">
        <f>IFERROR(__xludf.DUMMYFUNCTION("""COMPUTED_VALUE"""),"7. GOLIVE")</f>
        <v>7. GOLIVE</v>
      </c>
      <c r="P1881" s="222" t="str">
        <f>IFERROR(__xludf.DUMMYFUNCTION("""COMPUTED_VALUE"""),"7.6 Proses Rekon Volume")</f>
        <v>7.6 Proses Rekon Volume</v>
      </c>
      <c r="Q1881" s="222" t="str">
        <f>IFERROR(__xludf.DUMMYFUNCTION("""COMPUTED_VALUE"""),"30/03 golive sdi
26/03 pengecekan abd mancore
12/03 proses penarikan
05/03 proses matrial
12/02 proses perizinan
10/02 feeder ok
(07/01) Persiapan")</f>
        <v>30/03 golive sdi
26/03 pengecekan abd mancore
12/03 proses penarikan
05/03 proses matrial
12/02 proses perizinan
10/02 feeder ok
(07/01) Persiapan</v>
      </c>
      <c r="R1881" s="228">
        <f>IFERROR(__xludf.DUMMYFUNCTION("""COMPUTED_VALUE"""),46097.0)</f>
        <v>46097</v>
      </c>
      <c r="S1881" s="11" t="str">
        <f>IFERROR(__xludf.DUMMYFUNCTION("""COMPUTED_VALUE"""),"MAR")</f>
        <v>MAR</v>
      </c>
      <c r="T1881" s="11"/>
      <c r="U1881" s="11"/>
      <c r="V1881" s="229"/>
      <c r="W1881" s="229" t="str">
        <f>IFERROR(__xludf.DUMMYFUNCTION("""COMPUTED_VALUE"""),"#N/A")</f>
        <v>#N/A</v>
      </c>
      <c r="X1881" s="229" t="str">
        <f>IFERROR(__xludf.DUMMYFUNCTION("""COMPUTED_VALUE"""),"GOLIVE")</f>
        <v>GOLIVE</v>
      </c>
      <c r="Y1881" s="229" t="str">
        <f>IFERROR(__xludf.DUMMYFUNCTION("""COMPUTED_VALUE"""),"DONE")</f>
        <v>DONE</v>
      </c>
      <c r="Z1881" s="229" t="str">
        <f>IFERROR(__xludf.DUMMYFUNCTION("""COMPUTED_VALUE"""),"#N/A")</f>
        <v>#N/A</v>
      </c>
      <c r="AA1881" s="229">
        <f>IFERROR(__xludf.DUMMYFUNCTION("""COMPUTED_VALUE"""),2.0)</f>
        <v>2</v>
      </c>
      <c r="AB1881" s="229"/>
      <c r="AC1881" s="229" t="str">
        <f>IFERROR(__xludf.DUMMYFUNCTION("""COMPUTED_VALUE"""),"9228111#9228116")</f>
        <v>9228111#9228116</v>
      </c>
      <c r="AD1881" s="232">
        <f>IFERROR(__xludf.DUMMYFUNCTION("""COMPUTED_VALUE"""),16.0)</f>
        <v>16</v>
      </c>
      <c r="AE1881" s="233">
        <f>IFERROR(__xludf.DUMMYFUNCTION("""COMPUTED_VALUE"""),46110.0)</f>
        <v>46110</v>
      </c>
      <c r="AF1881" s="54"/>
      <c r="AG1881" s="54"/>
      <c r="AH1881" s="54">
        <v>46097.0</v>
      </c>
      <c r="AI1881" s="55">
        <f t="shared" si="190"/>
        <v>-13</v>
      </c>
      <c r="AW1881" s="234"/>
      <c r="BP1881" s="11"/>
      <c r="BQ1881" s="11"/>
      <c r="BR1881" s="235"/>
      <c r="BV1881" s="158"/>
      <c r="BY1881" s="158"/>
      <c r="CB1881" s="158"/>
    </row>
    <row r="1882" ht="18.0" hidden="1" customHeight="1">
      <c r="A1882" s="222">
        <f>IFERROR(__xludf.DUMMYFUNCTION("""COMPUTED_VALUE"""),2026.0)</f>
        <v>2026</v>
      </c>
      <c r="B1882" s="221">
        <f>IFERROR(__xludf.DUMMYFUNCTION("""COMPUTED_VALUE"""),1.2133453E7)</f>
        <v>12133453</v>
      </c>
      <c r="C1882" s="222" t="str">
        <f>IFERROR(__xludf.DUMMYFUNCTION("""COMPUTED_VALUE"""),"LPG PT3 JPP DUSUN SUKAMAJU PJN")</f>
        <v>LPG PT3 JPP DUSUN SUKAMAJU PJN</v>
      </c>
      <c r="D1882" s="222" t="str">
        <f>IFERROR(__xludf.DUMMYFUNCTION("""COMPUTED_VALUE"""),"REGIONAL I")</f>
        <v>REGIONAL I</v>
      </c>
      <c r="E1882" s="222" t="str">
        <f>IFERROR(__xludf.DUMMYFUNCTION("""COMPUTED_VALUE"""),"LAMPUNG")</f>
        <v>LAMPUNG</v>
      </c>
      <c r="F1882" s="222" t="str">
        <f>IFERROR(__xludf.DUMMYFUNCTION("""COMPUTED_VALUE"""),"PJN")</f>
        <v>PJN</v>
      </c>
      <c r="G1882" s="222" t="str">
        <f>IFERROR(__xludf.DUMMYFUNCTION("""COMPUTED_VALUE"""),"SUMBAGSEL")</f>
        <v>SUMBAGSEL</v>
      </c>
      <c r="H1882" s="222" t="str">
        <f>IFERROR(__xludf.DUMMYFUNCTION("""COMPUTED_VALUE"""),"LAMPUNG")</f>
        <v>LAMPUNG</v>
      </c>
      <c r="I1882" s="222" t="str">
        <f>IFERROR(__xludf.DUMMYFUNCTION("""COMPUTED_VALUE"""),"Batch 2")</f>
        <v>Batch 2</v>
      </c>
      <c r="J1882" s="225">
        <f>IFERROR(__xludf.DUMMYFUNCTION("""COMPUTED_VALUE"""),4.0)</f>
        <v>4</v>
      </c>
      <c r="K1882" s="224">
        <f>IFERROR(__xludf.DUMMYFUNCTION("""COMPUTED_VALUE"""),32.0)</f>
        <v>32</v>
      </c>
      <c r="L1882" s="226">
        <f>IFERROR(__xludf.DUMMYFUNCTION("""COMPUTED_VALUE"""),349900.0)</f>
        <v>349900</v>
      </c>
      <c r="M1882" s="227">
        <f>IFERROR(__xludf.DUMMYFUNCTION("""COMPUTED_VALUE"""),1.1196796E7)</f>
        <v>11196796</v>
      </c>
      <c r="N1882" s="222" t="str">
        <f>IFERROR(__xludf.DUMMYFUNCTION("""COMPUTED_VALUE"""),"PT BANGTELINDO")</f>
        <v>PT BANGTELINDO</v>
      </c>
      <c r="O1882" s="222" t="str">
        <f>IFERROR(__xludf.DUMMYFUNCTION("""COMPUTED_VALUE"""),"0. DROP")</f>
        <v>0. DROP</v>
      </c>
      <c r="P1882" s="222" t="str">
        <f>IFERROR(__xludf.DUMMYFUNCTION("""COMPUTED_VALUE"""),"0.5 DROP TSEL - Acc ED TIF")</f>
        <v>0.5 DROP TSEL - Acc ED TIF</v>
      </c>
      <c r="Q1882" s="222" t="str">
        <f>IFERROR(__xludf.DUMMYFUNCTION("""COMPUTED_VALUE""")," 2/3 new disgn karna bergabung dengan LOP lain menjadi PT 4
27/2  odc penuh dan feeder rusak konfir k tift
29/01 Feeder rusak &amp; perlu penambahan biq OLT 
19/01 Butuh Penambahan FEEDER &amp; MINI OLT ")</f>
        <v> 2/3 new disgn karna bergabung dengan LOP lain menjadi PT 4
27/2  odc penuh dan feeder rusak konfir k tift
29/01 Feeder rusak &amp; perlu penambahan biq OLT 
19/01 Butuh Penambahan FEEDER &amp; MINI OLT </v>
      </c>
      <c r="R1882" s="228"/>
      <c r="S1882" s="11"/>
      <c r="T1882" s="11"/>
      <c r="U1882" s="11"/>
      <c r="V1882" s="229"/>
      <c r="W1882" s="229"/>
      <c r="X1882" s="229" t="str">
        <f>IFERROR(__xludf.DUMMYFUNCTION("""COMPUTED_VALUE"""),"BELUM GOLIVE")</f>
        <v>BELUM GOLIVE</v>
      </c>
      <c r="Y1882" s="229"/>
      <c r="Z1882" s="229" t="str">
        <f>IFERROR(__xludf.DUMMYFUNCTION("""COMPUTED_VALUE"""),"#N/A")</f>
        <v>#N/A</v>
      </c>
      <c r="AA1882" s="229"/>
      <c r="AB1882" s="229"/>
      <c r="AC1882" s="229"/>
      <c r="AD1882" s="232"/>
      <c r="AE1882" s="233"/>
      <c r="AF1882" s="54" t="str">
        <f>IFERROR(__xludf.DUMMYFUNCTION("""COMPUTED_VALUE"""),"Draft BA DROP")</f>
        <v>Draft BA DROP</v>
      </c>
      <c r="AG1882" s="54"/>
      <c r="AH1882" s="54"/>
      <c r="AI1882" s="55" t="str">
        <f t="shared" si="190"/>
        <v/>
      </c>
      <c r="AW1882" s="234"/>
      <c r="BP1882" s="11"/>
      <c r="BQ1882" s="11"/>
      <c r="BR1882" s="235"/>
      <c r="BV1882" s="158"/>
      <c r="BY1882" s="158"/>
      <c r="CB1882" s="158"/>
    </row>
    <row r="1883" ht="18.0" hidden="1" customHeight="1">
      <c r="A1883" s="222">
        <f>IFERROR(__xludf.DUMMYFUNCTION("""COMPUTED_VALUE"""),2026.0)</f>
        <v>2026</v>
      </c>
      <c r="B1883" s="221">
        <f>IFERROR(__xludf.DUMMYFUNCTION("""COMPUTED_VALUE"""),1.1380552E7)</f>
        <v>11380552</v>
      </c>
      <c r="C1883" s="222" t="str">
        <f>IFERROR(__xludf.DUMMYFUNCTION("""COMPUTED_VALUE"""),"MDN PT2 PER-FK SERDANG BEDAGAI_14618")</f>
        <v>MDN PT2 PER-FK SERDANG BEDAGAI_14618</v>
      </c>
      <c r="D1883" s="222" t="str">
        <f>IFERROR(__xludf.DUMMYFUNCTION("""COMPUTED_VALUE"""),"REGIONAL I")</f>
        <v>REGIONAL I</v>
      </c>
      <c r="E1883" s="222" t="str">
        <f>IFERROR(__xludf.DUMMYFUNCTION("""COMPUTED_VALUE"""),"MEDAN")</f>
        <v>MEDAN</v>
      </c>
      <c r="F1883" s="222" t="str">
        <f>IFERROR(__xludf.DUMMYFUNCTION("""COMPUTED_VALUE"""),"PER")</f>
        <v>PER</v>
      </c>
      <c r="G1883" s="222" t="str">
        <f>IFERROR(__xludf.DUMMYFUNCTION("""COMPUTED_VALUE"""),"SUMBAGUT")</f>
        <v>SUMBAGUT</v>
      </c>
      <c r="H1883" s="222" t="str">
        <f>IFERROR(__xludf.DUMMYFUNCTION("""COMPUTED_VALUE"""),"PEMATANG SIANTAR")</f>
        <v>PEMATANG SIANTAR</v>
      </c>
      <c r="I1883" s="222" t="str">
        <f>IFERROR(__xludf.DUMMYFUNCTION("""COMPUTED_VALUE"""),"Batch 2")</f>
        <v>Batch 2</v>
      </c>
      <c r="J1883" s="225">
        <f>IFERROR(__xludf.DUMMYFUNCTION("""COMPUTED_VALUE"""),3.0)</f>
        <v>3</v>
      </c>
      <c r="K1883" s="224">
        <f>IFERROR(__xludf.DUMMYFUNCTION("""COMPUTED_VALUE"""),24.0)</f>
        <v>24</v>
      </c>
      <c r="L1883" s="226">
        <f>IFERROR(__xludf.DUMMYFUNCTION("""COMPUTED_VALUE"""),348802.0)</f>
        <v>348802</v>
      </c>
      <c r="M1883" s="227">
        <f>IFERROR(__xludf.DUMMYFUNCTION("""COMPUTED_VALUE"""),8371239.0)</f>
        <v>8371239</v>
      </c>
      <c r="N1883" s="222" t="str">
        <f>IFERROR(__xludf.DUMMYFUNCTION("""COMPUTED_VALUE"""),"PT INNANDA INDAH")</f>
        <v>PT INNANDA INDAH</v>
      </c>
      <c r="O1883" s="222" t="str">
        <f>IFERROR(__xludf.DUMMYFUNCTION("""COMPUTED_VALUE"""),"2. DONE AANWIJZING")</f>
        <v>2. DONE AANWIJZING</v>
      </c>
      <c r="P1883" s="222" t="str">
        <f>IFERROR(__xludf.DUMMYFUNCTION("""COMPUTED_VALUE"""),"2.9 Kendala - Distribusi Penuh / Rusak")</f>
        <v>2.9 Kendala - Distribusi Penuh / Rusak</v>
      </c>
      <c r="Q1883" s="222" t="str">
        <f>IFERROR(__xludf.DUMMYFUNCTION("""COMPUTED_VALUE"""),"20/04 pengecekan hasil ukur ulang 
20/11 D05 eksiting full
(24/09) Perizinan Warga dan Kades / Lurah
(23/09) Perizinan Warga dan Kades / Lurah
15/09 proses aanwijzing")</f>
        <v>20/04 pengecekan hasil ukur ulang 
20/11 D05 eksiting full
(24/09) Perizinan Warga dan Kades / Lurah
(23/09) Perizinan Warga dan Kades / Lurah
15/09 proses aanwijzing</v>
      </c>
      <c r="R1883" s="228"/>
      <c r="S1883" s="11"/>
      <c r="T1883" s="11"/>
      <c r="U1883" s="11"/>
      <c r="V1883" s="229"/>
      <c r="W1883" s="229"/>
      <c r="X1883" s="229" t="str">
        <f>IFERROR(__xludf.DUMMYFUNCTION("""COMPUTED_VALUE"""),"BELUM GOLIVE")</f>
        <v>BELUM GOLIVE</v>
      </c>
      <c r="Y1883" s="229"/>
      <c r="Z1883" s="229" t="str">
        <f>IFERROR(__xludf.DUMMYFUNCTION("""COMPUTED_VALUE"""),"#N/A")</f>
        <v>#N/A</v>
      </c>
      <c r="AA1883" s="229"/>
      <c r="AB1883" s="229"/>
      <c r="AC1883" s="229"/>
      <c r="AD1883" s="232"/>
      <c r="AE1883" s="233"/>
      <c r="AF1883" s="54"/>
      <c r="AG1883" s="54"/>
      <c r="AH1883" s="54"/>
      <c r="AI1883" s="55" t="str">
        <f t="shared" si="190"/>
        <v/>
      </c>
      <c r="AW1883" s="234"/>
      <c r="BP1883" s="11"/>
      <c r="BQ1883" s="11"/>
      <c r="BR1883" s="235"/>
      <c r="BV1883" s="158"/>
      <c r="BY1883" s="158"/>
      <c r="CB1883" s="158"/>
    </row>
    <row r="1884" ht="18.0" hidden="1" customHeight="1">
      <c r="A1884" s="222">
        <f>IFERROR(__xludf.DUMMYFUNCTION("""COMPUTED_VALUE"""),2026.0)</f>
        <v>2026</v>
      </c>
      <c r="B1884" s="221">
        <f>IFERROR(__xludf.DUMMYFUNCTION("""COMPUTED_VALUE"""),1.2306114E7)</f>
        <v>12306114</v>
      </c>
      <c r="C1884" s="222" t="str">
        <f>IFERROR(__xludf.DUMMYFUNCTION("""COMPUTED_VALUE"""),"SMU PT3 NGB-FAD CLUST LABUHANBATU_11493")</f>
        <v>SMU PT3 NGB-FAD CLUST LABUHANBATU_11493</v>
      </c>
      <c r="D1884" s="222" t="str">
        <f>IFERROR(__xludf.DUMMYFUNCTION("""COMPUTED_VALUE"""),"REGIONAL I")</f>
        <v>REGIONAL I</v>
      </c>
      <c r="E1884" s="222" t="str">
        <f>IFERROR(__xludf.DUMMYFUNCTION("""COMPUTED_VALUE"""),"SUMUT")</f>
        <v>SUMUT</v>
      </c>
      <c r="F1884" s="222" t="str">
        <f>IFERROR(__xludf.DUMMYFUNCTION("""COMPUTED_VALUE"""),"NGB")</f>
        <v>NGB</v>
      </c>
      <c r="G1884" s="222" t="str">
        <f>IFERROR(__xludf.DUMMYFUNCTION("""COMPUTED_VALUE"""),"SUMBAGUT")</f>
        <v>SUMBAGUT</v>
      </c>
      <c r="H1884" s="222" t="str">
        <f>IFERROR(__xludf.DUMMYFUNCTION("""COMPUTED_VALUE"""),"RANTAU PRAPAT")</f>
        <v>RANTAU PRAPAT</v>
      </c>
      <c r="I1884" s="222" t="str">
        <f>IFERROR(__xludf.DUMMYFUNCTION("""COMPUTED_VALUE"""),"Batch 2")</f>
        <v>Batch 2</v>
      </c>
      <c r="J1884" s="225">
        <f>IFERROR(__xludf.DUMMYFUNCTION("""COMPUTED_VALUE"""),3.0)</f>
        <v>3</v>
      </c>
      <c r="K1884" s="224">
        <f>IFERROR(__xludf.DUMMYFUNCTION("""COMPUTED_VALUE"""),24.0)</f>
        <v>24</v>
      </c>
      <c r="L1884" s="226">
        <f>IFERROR(__xludf.DUMMYFUNCTION("""COMPUTED_VALUE"""),348578.0)</f>
        <v>348578</v>
      </c>
      <c r="M1884" s="227">
        <f>IFERROR(__xludf.DUMMYFUNCTION("""COMPUTED_VALUE"""),8365855.0)</f>
        <v>8365855</v>
      </c>
      <c r="N1884" s="222" t="str">
        <f>IFERROR(__xludf.DUMMYFUNCTION("""COMPUTED_VALUE"""),"PT UPAYA TEKNIK")</f>
        <v>PT UPAYA TEKNIK</v>
      </c>
      <c r="O1884" s="222" t="str">
        <f>IFERROR(__xludf.DUMMYFUNCTION("""COMPUTED_VALUE"""),"7. GOLIVE")</f>
        <v>7. GOLIVE</v>
      </c>
      <c r="P1884" s="222" t="str">
        <f>IFERROR(__xludf.DUMMYFUNCTION("""COMPUTED_VALUE"""),"7.2 Golive Full / OA / DONE OTB")</f>
        <v>7.2 Golive Full / OA / DONE OTB</v>
      </c>
      <c r="Q1884" s="222" t="str">
        <f>IFERROR(__xludf.DUMMYFUNCTION("""COMPUTED_VALUE"""),"golive 24/2 plan hari ini submit abd, 22/ proses valins 3 odp, 20/2 plan progres besok 21 feb, sisa instal dan terminasi 3 odp, ku 12 (625 selesai),  19/2 plan progres malam ini ,sisa instal 5 odp, ku 12 (625 selesai), 18/2 sisa instal 3 odp, ku 12 (425 s"&amp;"elesai),  16/2 sisa instal 3 odp, ku 12 (425 selesai), 13/2 sisa instal 3 odp, penarikan ku 12 (425 selesai)  est FI senin 16/2, 12/2 penarikan ku 12 (425 selesai) odp (3 blm ada progres), 11/2 prepair tim parsial di lop anr fah, 10/2 prepair tim parsial "&amp;"di lop anr fah, 9/2 prepair pengiriman matrial kelokasi, 6/2 prepair pengiriman matrial kelokasi, 5/2 menunggu req matrial dari mitra, 3/2 menunggu req matrial dari mitra,2/2 menunggu req matrial dari mitra,1/2 menunggu req matrial dari mitra, 30/1 menung"&amp;"gu req matrial,28/1 proses req matrial, 27/1 menunggu  boq kml survey paralel hasil cek otdr, 26/1 menunggu  boq kml survey, 23/1 menunggu boq kml survey.22/1 menunggu boq kml survey,  20/1 plan survey 22/1, 19/1 plan survey 22/1, 15/1 plan survey 22/1, 1"&amp;"4/1 plan survey 19/1 s/d 21/1, 13/1 menunggu info kelanjutan dari mitra, (07/01) Persiapan")</f>
        <v>golive 24/2 plan hari ini submit abd, 22/ proses valins 3 odp, 20/2 plan progres besok 21 feb, sisa instal dan terminasi 3 odp, ku 12 (625 selesai),  19/2 plan progres malam ini ,sisa instal 5 odp, ku 12 (625 selesai), 18/2 sisa instal 3 odp, ku 12 (425 selesai),  16/2 sisa instal 3 odp, ku 12 (425 selesai), 13/2 sisa instal 3 odp, penarikan ku 12 (425 selesai)  est FI senin 16/2, 12/2 penarikan ku 12 (425 selesai) odp (3 blm ada progres), 11/2 prepair tim parsial di lop anr fah, 10/2 prepair tim parsial di lop anr fah, 9/2 prepair pengiriman matrial kelokasi, 6/2 prepair pengiriman matrial kelokasi, 5/2 menunggu req matrial dari mitra, 3/2 menunggu req matrial dari mitra,2/2 menunggu req matrial dari mitra,1/2 menunggu req matrial dari mitra, 30/1 menunggu req matrial,28/1 proses req matrial, 27/1 menunggu  boq kml survey paralel hasil cek otdr, 26/1 menunggu  boq kml survey, 23/1 menunggu boq kml survey.22/1 menunggu boq kml survey,  20/1 plan survey 22/1, 19/1 plan survey 22/1, 15/1 plan survey 22/1, 14/1 plan survey 19/1 s/d 21/1, 13/1 menunggu info kelanjutan dari mitra, (07/01) Persiapan</v>
      </c>
      <c r="R1884" s="228"/>
      <c r="S1884" s="11"/>
      <c r="T1884" s="11"/>
      <c r="U1884" s="11" t="str">
        <f>IFERROR(__xludf.DUMMYFUNCTION("""COMPUTED_VALUE"""),"TIF-1390/2026")</f>
        <v>TIF-1390/2026</v>
      </c>
      <c r="V1884" s="229"/>
      <c r="W1884" s="229"/>
      <c r="X1884" s="229" t="str">
        <f>IFERROR(__xludf.DUMMYFUNCTION("""COMPUTED_VALUE"""),"GOLIVE")</f>
        <v>GOLIVE</v>
      </c>
      <c r="Y1884" s="229" t="str">
        <f>IFERROR(__xludf.DUMMYFUNCTION("""COMPUTED_VALUE"""),"DONE")</f>
        <v>DONE</v>
      </c>
      <c r="Z1884" s="229" t="str">
        <f>IFERROR(__xludf.DUMMYFUNCTION("""COMPUTED_VALUE"""),"#N/A")</f>
        <v>#N/A</v>
      </c>
      <c r="AA1884" s="229">
        <f>IFERROR(__xludf.DUMMYFUNCTION("""COMPUTED_VALUE"""),3.0)</f>
        <v>3</v>
      </c>
      <c r="AB1884" s="229"/>
      <c r="AC1884" s="229" t="str">
        <f>IFERROR(__xludf.DUMMYFUNCTION("""COMPUTED_VALUE"""),"9147936#9147941")</f>
        <v>9147936#9147941</v>
      </c>
      <c r="AD1884" s="232">
        <f>IFERROR(__xludf.DUMMYFUNCTION("""COMPUTED_VALUE"""),24.0)</f>
        <v>24</v>
      </c>
      <c r="AE1884" s="233">
        <f>IFERROR(__xludf.DUMMYFUNCTION("""COMPUTED_VALUE"""),46078.0)</f>
        <v>46078</v>
      </c>
      <c r="AF1884" s="54"/>
      <c r="AG1884" s="54"/>
      <c r="AH1884" s="54"/>
      <c r="AI1884" s="55" t="str">
        <f t="shared" si="190"/>
        <v/>
      </c>
      <c r="AW1884" s="234"/>
      <c r="BP1884" s="11"/>
      <c r="BQ1884" s="11"/>
      <c r="BR1884" s="235"/>
      <c r="BV1884" s="158"/>
      <c r="BY1884" s="158"/>
      <c r="CB1884" s="158"/>
    </row>
    <row r="1885" ht="18.0" hidden="1" customHeight="1">
      <c r="A1885" s="222">
        <f>IFERROR(__xludf.DUMMYFUNCTION("""COMPUTED_VALUE"""),2026.0)</f>
        <v>2026</v>
      </c>
      <c r="B1885" s="221">
        <f>IFERROR(__xludf.DUMMYFUNCTION("""COMPUTED_VALUE"""),1.1391025E7)</f>
        <v>11391025</v>
      </c>
      <c r="C1885" s="222" t="str">
        <f>IFERROR(__xludf.DUMMYFUNCTION("""COMPUTED_VALUE"""),"MDN PT3 BJI-FEC LANGKAT_16498")</f>
        <v>MDN PT3 BJI-FEC LANGKAT_16498</v>
      </c>
      <c r="D1885" s="222" t="str">
        <f>IFERROR(__xludf.DUMMYFUNCTION("""COMPUTED_VALUE"""),"REGIONAL I")</f>
        <v>REGIONAL I</v>
      </c>
      <c r="E1885" s="222" t="str">
        <f>IFERROR(__xludf.DUMMYFUNCTION("""COMPUTED_VALUE"""),"MEDAN")</f>
        <v>MEDAN</v>
      </c>
      <c r="F1885" s="222" t="str">
        <f>IFERROR(__xludf.DUMMYFUNCTION("""COMPUTED_VALUE"""),"BJI")</f>
        <v>BJI</v>
      </c>
      <c r="G1885" s="222" t="str">
        <f>IFERROR(__xludf.DUMMYFUNCTION("""COMPUTED_VALUE"""),"SUMBAGUT")</f>
        <v>SUMBAGUT</v>
      </c>
      <c r="H1885" s="222" t="str">
        <f>IFERROR(__xludf.DUMMYFUNCTION("""COMPUTED_VALUE"""),"BINJAI")</f>
        <v>BINJAI</v>
      </c>
      <c r="I1885" s="222" t="str">
        <f>IFERROR(__xludf.DUMMYFUNCTION("""COMPUTED_VALUE"""),"Batch 2")</f>
        <v>Batch 2</v>
      </c>
      <c r="J1885" s="225">
        <f>IFERROR(__xludf.DUMMYFUNCTION("""COMPUTED_VALUE"""),5.0)</f>
        <v>5</v>
      </c>
      <c r="K1885" s="224">
        <f>IFERROR(__xludf.DUMMYFUNCTION("""COMPUTED_VALUE"""),40.0)</f>
        <v>40</v>
      </c>
      <c r="L1885" s="226">
        <f>IFERROR(__xludf.DUMMYFUNCTION("""COMPUTED_VALUE"""),1096915.0)</f>
        <v>1096915</v>
      </c>
      <c r="M1885" s="227">
        <f>IFERROR(__xludf.DUMMYFUNCTION("""COMPUTED_VALUE"""),4.3876586E7)</f>
        <v>43876586</v>
      </c>
      <c r="N1885" s="222" t="str">
        <f>IFERROR(__xludf.DUMMYFUNCTION("""COMPUTED_VALUE"""),"PT KENCANA RAYA INDONESIA")</f>
        <v>PT KENCANA RAYA INDONESIA</v>
      </c>
      <c r="O1885" s="222" t="str">
        <f>IFERROR(__xludf.DUMMYFUNCTION("""COMPUTED_VALUE"""),"8. UJI TERIMA")</f>
        <v>8. UJI TERIMA</v>
      </c>
      <c r="P1885" s="222" t="str">
        <f>IFERROR(__xludf.DUMMYFUNCTION("""COMPUTED_VALUE"""),"8.1 Proses UT")</f>
        <v>8.1 Proses UT</v>
      </c>
      <c r="Q1885" s="222" t="str">
        <f>IFERROR(__xludf.DUMMYFUNCTION("""COMPUTED_VALUE"""),"24/02 submit ABD
22/02 penarikan KU done
21/02 tarik KU 1500m
16/02 pengambilan material 
16/02 feeder dist ready
(07/01) Persiapan")</f>
        <v>24/02 submit ABD
22/02 penarikan KU done
21/02 tarik KU 1500m
16/02 pengambilan material 
16/02 feeder dist ready
(07/01) Persiapan</v>
      </c>
      <c r="R1885" s="228"/>
      <c r="S1885" s="11"/>
      <c r="T1885" s="11"/>
      <c r="U1885" s="11" t="str">
        <f>IFERROR(__xludf.DUMMYFUNCTION("""COMPUTED_VALUE"""),"FALSE")</f>
        <v>FALSE</v>
      </c>
      <c r="V1885" s="229"/>
      <c r="W1885" s="229"/>
      <c r="X1885" s="229" t="str">
        <f>IFERROR(__xludf.DUMMYFUNCTION("""COMPUTED_VALUE"""),"GOLIVE")</f>
        <v>GOLIVE</v>
      </c>
      <c r="Y1885" s="229" t="str">
        <f>IFERROR(__xludf.DUMMYFUNCTION("""COMPUTED_VALUE"""),"DONE")</f>
        <v>DONE</v>
      </c>
      <c r="Z1885" s="229" t="str">
        <f>IFERROR(__xludf.DUMMYFUNCTION("""COMPUTED_VALUE"""),"#N/A")</f>
        <v>#N/A</v>
      </c>
      <c r="AA1885" s="229">
        <f>IFERROR(__xludf.DUMMYFUNCTION("""COMPUTED_VALUE"""),5.0)</f>
        <v>5</v>
      </c>
      <c r="AB1885" s="229"/>
      <c r="AC1885" s="229" t="str">
        <f>IFERROR(__xludf.DUMMYFUNCTION("""COMPUTED_VALUE"""),"9143655#9143660")</f>
        <v>9143655#9143660</v>
      </c>
      <c r="AD1885" s="232">
        <f>IFERROR(__xludf.DUMMYFUNCTION("""COMPUTED_VALUE"""),40.0)</f>
        <v>40</v>
      </c>
      <c r="AE1885" s="233">
        <f>IFERROR(__xludf.DUMMYFUNCTION("""COMPUTED_VALUE"""),46078.0)</f>
        <v>46078</v>
      </c>
      <c r="AF1885" s="54"/>
      <c r="AG1885" s="54"/>
      <c r="AH1885" s="54"/>
      <c r="AI1885" s="55" t="str">
        <f t="shared" si="190"/>
        <v/>
      </c>
      <c r="AW1885" s="234"/>
      <c r="BP1885" s="11"/>
      <c r="BQ1885" s="11"/>
      <c r="BR1885" s="235"/>
      <c r="BV1885" s="158"/>
      <c r="BY1885" s="158"/>
      <c r="CB1885" s="158"/>
    </row>
    <row r="1886" ht="18.0" customHeight="1">
      <c r="A1886" s="222">
        <f>IFERROR(__xludf.DUMMYFUNCTION("""COMPUTED_VALUE"""),2026.0)</f>
        <v>2026</v>
      </c>
      <c r="B1886" s="221">
        <f>IFERROR(__xludf.DUMMYFUNCTION("""COMPUTED_VALUE"""),1.1506545E7)</f>
        <v>11506545</v>
      </c>
      <c r="C1886" s="222" t="str">
        <f>IFERROR(__xludf.DUMMYFUNCTION("""COMPUTED_VALUE"""),"RDR BKR PT3 P3I1 Perhentian Raja")</f>
        <v>RDR BKR PT3 P3I1 Perhentian Raja</v>
      </c>
      <c r="D1886" s="222" t="str">
        <f>IFERROR(__xludf.DUMMYFUNCTION("""COMPUTED_VALUE"""),"REGIONAL I")</f>
        <v>REGIONAL I</v>
      </c>
      <c r="E1886" s="222" t="str">
        <f>IFERROR(__xludf.DUMMYFUNCTION("""COMPUTED_VALUE"""),"RIDAR")</f>
        <v>RIDAR</v>
      </c>
      <c r="F1886" s="222" t="str">
        <f>IFERROR(__xludf.DUMMYFUNCTION("""COMPUTED_VALUE"""),"BKR")</f>
        <v>BKR</v>
      </c>
      <c r="G1886" s="222" t="str">
        <f>IFERROR(__xludf.DUMMYFUNCTION("""COMPUTED_VALUE"""),"SUMBAGTENG")</f>
        <v>SUMBAGTENG</v>
      </c>
      <c r="H1886" s="222" t="str">
        <f>IFERROR(__xludf.DUMMYFUNCTION("""COMPUTED_VALUE"""),"PEKANBARU")</f>
        <v>PEKANBARU</v>
      </c>
      <c r="I1886" s="222" t="str">
        <f>IFERROR(__xludf.DUMMYFUNCTION("""COMPUTED_VALUE"""),"Batch 2")</f>
        <v>Batch 2</v>
      </c>
      <c r="J1886" s="225">
        <f>IFERROR(__xludf.DUMMYFUNCTION("""COMPUTED_VALUE"""),23.0)</f>
        <v>23</v>
      </c>
      <c r="K1886" s="224">
        <f>IFERROR(__xludf.DUMMYFUNCTION("""COMPUTED_VALUE"""),184.0)</f>
        <v>184</v>
      </c>
      <c r="L1886" s="226">
        <f>IFERROR(__xludf.DUMMYFUNCTION("""COMPUTED_VALUE"""),1452254.0)</f>
        <v>1452254</v>
      </c>
      <c r="M1886" s="227">
        <f>IFERROR(__xludf.DUMMYFUNCTION("""COMPUTED_VALUE"""),2.67214603E8)</f>
        <v>267214603</v>
      </c>
      <c r="N1886" s="222" t="str">
        <f>IFERROR(__xludf.DUMMYFUNCTION("""COMPUTED_VALUE"""),"PT SABANA BABARE SEJAHTERA")</f>
        <v>PT SABANA BABARE SEJAHTERA</v>
      </c>
      <c r="O1886" s="222" t="str">
        <f>IFERROR(__xludf.DUMMYFUNCTION("""COMPUTED_VALUE"""),"0. DROP")</f>
        <v>0. DROP</v>
      </c>
      <c r="P1886" s="222" t="str">
        <f>IFERROR(__xludf.DUMMYFUNCTION("""COMPUTED_VALUE"""),"0.3 Feeder Full")</f>
        <v>0.3 Feeder Full</v>
      </c>
      <c r="Q1886" s="222" t="str">
        <f>IFERROR(__xludf.DUMMYFUNCTION("""COMPUTED_VALUE"""),"08/04 Plan Drop, link budget dari mini olt ke lokasi sudah terlalu jauh 20/01 Drop kendala feeder (07/01) Persiapan")</f>
        <v>08/04 Plan Drop, link budget dari mini olt ke lokasi sudah terlalu jauh 20/01 Drop kendala feeder (07/01) Persiapan</v>
      </c>
      <c r="R1886" s="228"/>
      <c r="S1886" s="11"/>
      <c r="T1886" s="11"/>
      <c r="U1886" s="11"/>
      <c r="V1886" s="229" t="str">
        <f>IFERROR(__xludf.DUMMYFUNCTION("""COMPUTED_VALUE"""),"SYAFRIAL")</f>
        <v>SYAFRIAL</v>
      </c>
      <c r="W1886" s="229" t="str">
        <f>IFERROR(__xludf.DUMMYFUNCTION("""COMPUTED_VALUE"""),"DESLITA RAHMADANI")</f>
        <v>DESLITA RAHMADANI</v>
      </c>
      <c r="X1886" s="229" t="str">
        <f>IFERROR(__xludf.DUMMYFUNCTION("""COMPUTED_VALUE"""),"BELUM GOLIVE")</f>
        <v>BELUM GOLIVE</v>
      </c>
      <c r="Y1886" s="229"/>
      <c r="Z1886" s="229" t="str">
        <f>IFERROR(__xludf.DUMMYFUNCTION("""COMPUTED_VALUE"""),"#N/A")</f>
        <v>#N/A</v>
      </c>
      <c r="AA1886" s="229"/>
      <c r="AB1886" s="229"/>
      <c r="AC1886" s="229"/>
      <c r="AD1886" s="232"/>
      <c r="AE1886" s="233"/>
      <c r="AF1886" s="54"/>
      <c r="AG1886" s="54"/>
      <c r="AH1886" s="54"/>
      <c r="AI1886" s="55" t="str">
        <f t="shared" si="190"/>
        <v/>
      </c>
      <c r="AW1886" s="234"/>
      <c r="BP1886" s="11"/>
      <c r="BQ1886" s="11"/>
      <c r="BR1886" s="235"/>
      <c r="BV1886" s="158"/>
      <c r="BY1886" s="158"/>
      <c r="CB1886" s="158"/>
    </row>
    <row r="1887" ht="18.0" hidden="1" customHeight="1">
      <c r="A1887" s="222">
        <f>IFERROR(__xludf.DUMMYFUNCTION("""COMPUTED_VALUE"""),2026.0)</f>
        <v>2026</v>
      </c>
      <c r="B1887" s="221">
        <f>IFERROR(__xludf.DUMMYFUNCTION("""COMPUTED_VALUE"""),1.1891651E7)</f>
        <v>11891651</v>
      </c>
      <c r="C1887" s="222" t="str">
        <f>IFERROR(__xludf.DUMMYFUNCTION("""COMPUTED_VALUE"""),"MDN PT3 DLT-FF DELI SERDANG_36725_MD25")</f>
        <v>MDN PT3 DLT-FF DELI SERDANG_36725_MD25</v>
      </c>
      <c r="D1887" s="222" t="str">
        <f>IFERROR(__xludf.DUMMYFUNCTION("""COMPUTED_VALUE"""),"REGIONAL I")</f>
        <v>REGIONAL I</v>
      </c>
      <c r="E1887" s="222" t="str">
        <f>IFERROR(__xludf.DUMMYFUNCTION("""COMPUTED_VALUE"""),"MEDAN")</f>
        <v>MEDAN</v>
      </c>
      <c r="F1887" s="222" t="str">
        <f>IFERROR(__xludf.DUMMYFUNCTION("""COMPUTED_VALUE"""),"DLT")</f>
        <v>DLT</v>
      </c>
      <c r="G1887" s="222" t="str">
        <f>IFERROR(__xludf.DUMMYFUNCTION("""COMPUTED_VALUE"""),"SUMBAGUT")</f>
        <v>SUMBAGUT</v>
      </c>
      <c r="H1887" s="222" t="str">
        <f>IFERROR(__xludf.DUMMYFUNCTION("""COMPUTED_VALUE"""),"MEDAN")</f>
        <v>MEDAN</v>
      </c>
      <c r="I1887" s="222" t="str">
        <f>IFERROR(__xludf.DUMMYFUNCTION("""COMPUTED_VALUE"""),"Batch 2")</f>
        <v>Batch 2</v>
      </c>
      <c r="J1887" s="225">
        <f>IFERROR(__xludf.DUMMYFUNCTION("""COMPUTED_VALUE"""),2.0)</f>
        <v>2</v>
      </c>
      <c r="K1887" s="224">
        <f>IFERROR(__xludf.DUMMYFUNCTION("""COMPUTED_VALUE"""),16.0)</f>
        <v>16</v>
      </c>
      <c r="L1887" s="226">
        <f>IFERROR(__xludf.DUMMYFUNCTION("""COMPUTED_VALUE"""),346414.0)</f>
        <v>346414</v>
      </c>
      <c r="M1887" s="227">
        <f>IFERROR(__xludf.DUMMYFUNCTION("""COMPUTED_VALUE"""),5542616.0)</f>
        <v>5542616</v>
      </c>
      <c r="N1887" s="222" t="str">
        <f>IFERROR(__xludf.DUMMYFUNCTION("""COMPUTED_VALUE"""),"PT UPENTEL INTERNASIONAL")</f>
        <v>PT UPENTEL INTERNASIONAL</v>
      </c>
      <c r="O1887" s="222" t="str">
        <f>IFERROR(__xludf.DUMMYFUNCTION("""COMPUTED_VALUE"""),"7. GOLIVE")</f>
        <v>7. GOLIVE</v>
      </c>
      <c r="P1887" s="222" t="str">
        <f>IFERROR(__xludf.DUMMYFUNCTION("""COMPUTED_VALUE"""),"7.2 Golive Full / OA / DONE OTB")</f>
        <v>7.2 Golive Full / OA / DONE OTB</v>
      </c>
      <c r="Q1887" s="222" t="str">
        <f>IFERROR(__xludf.DUMMYFUNCTION("""COMPUTED_VALUE"""),"17/04 penarikan ku dan install ODP 16/04 pembuatan BA Matrial manual 09/04 menunggu req material 06/04 menunggu req material 31/03 revisit terkait perizinan penggunaan lahan ke warga 04/03 aanwidzing ok, pengurusan izin ke desa 27/02 done order")</f>
        <v>17/04 penarikan ku dan install ODP 16/04 pembuatan BA Matrial manual 09/04 menunggu req material 06/04 menunggu req material 31/03 revisit terkait perizinan penggunaan lahan ke warga 04/03 aanwidzing ok, pengurusan izin ke desa 27/02 done order</v>
      </c>
      <c r="R1887" s="228">
        <f>IFERROR(__xludf.DUMMYFUNCTION("""COMPUTED_VALUE"""),46132.0)</f>
        <v>46132</v>
      </c>
      <c r="S1887" s="11"/>
      <c r="T1887" s="73"/>
      <c r="U1887" s="11"/>
      <c r="V1887" s="229" t="str">
        <f>IFERROR(__xludf.DUMMYFUNCTION("""COMPUTED_VALUE"""),"24/Apr/2026")</f>
        <v>24/Apr/2026</v>
      </c>
      <c r="W1887" s="229"/>
      <c r="X1887" s="229" t="str">
        <f>IFERROR(__xludf.DUMMYFUNCTION("""COMPUTED_VALUE"""),"GOLIVE")</f>
        <v>GOLIVE</v>
      </c>
      <c r="Y1887" s="229" t="str">
        <f>IFERROR(__xludf.DUMMYFUNCTION("""COMPUTED_VALUE"""),"DONE")</f>
        <v>DONE</v>
      </c>
      <c r="Z1887" s="229" t="str">
        <f>IFERROR(__xludf.DUMMYFUNCTION("""COMPUTED_VALUE"""),"#N/A")</f>
        <v>#N/A</v>
      </c>
      <c r="AA1887" s="229">
        <f>IFERROR(__xludf.DUMMYFUNCTION("""COMPUTED_VALUE"""),2.0)</f>
        <v>2</v>
      </c>
      <c r="AB1887" s="229"/>
      <c r="AC1887" s="229" t="str">
        <f>IFERROR(__xludf.DUMMYFUNCTION("""COMPUTED_VALUE"""),"9292278#9292289")</f>
        <v>9292278#9292289</v>
      </c>
      <c r="AD1887" s="232">
        <f>IFERROR(__xludf.DUMMYFUNCTION("""COMPUTED_VALUE"""),16.0)</f>
        <v>16</v>
      </c>
      <c r="AE1887" s="233">
        <f>IFERROR(__xludf.DUMMYFUNCTION("""COMPUTED_VALUE"""),46132.0)</f>
        <v>46132</v>
      </c>
      <c r="AF1887" s="54"/>
      <c r="AG1887" s="54"/>
      <c r="AH1887" s="54">
        <v>46140.0</v>
      </c>
      <c r="AI1887" s="55">
        <f t="shared" si="190"/>
        <v>0</v>
      </c>
      <c r="AW1887" s="234"/>
      <c r="BP1887" s="11"/>
      <c r="BQ1887" s="11"/>
      <c r="BR1887" s="235"/>
      <c r="BV1887" s="158"/>
      <c r="BY1887" s="158"/>
      <c r="CB1887" s="158"/>
    </row>
    <row r="1888" ht="18.0" hidden="1" customHeight="1">
      <c r="A1888" s="222">
        <f>IFERROR(__xludf.DUMMYFUNCTION("""COMPUTED_VALUE"""),2026.0)</f>
        <v>2026</v>
      </c>
      <c r="B1888" s="221">
        <f>IFERROR(__xludf.DUMMYFUNCTION("""COMPUTED_VALUE"""),1.1418646E7)</f>
        <v>11418646</v>
      </c>
      <c r="C1888" s="222" t="str">
        <f>IFERROR(__xludf.DUMMYFUNCTION("""COMPUTED_VALUE"""),"BNK-PT4-CRP-FK-JPPTSEL-SUBAN AYAM")</f>
        <v>BNK-PT4-CRP-FK-JPPTSEL-SUBAN AYAM</v>
      </c>
      <c r="D1888" s="222" t="str">
        <f>IFERROR(__xludf.DUMMYFUNCTION("""COMPUTED_VALUE"""),"REGIONAL I")</f>
        <v>REGIONAL I</v>
      </c>
      <c r="E1888" s="222" t="str">
        <f>IFERROR(__xludf.DUMMYFUNCTION("""COMPUTED_VALUE"""),"BENGKULU")</f>
        <v>BENGKULU</v>
      </c>
      <c r="F1888" s="222" t="str">
        <f>IFERROR(__xludf.DUMMYFUNCTION("""COMPUTED_VALUE"""),"CRP")</f>
        <v>CRP</v>
      </c>
      <c r="G1888" s="222" t="str">
        <f>IFERROR(__xludf.DUMMYFUNCTION("""COMPUTED_VALUE"""),"SUMBAGSEL")</f>
        <v>SUMBAGSEL</v>
      </c>
      <c r="H1888" s="222" t="str">
        <f>IFERROR(__xludf.DUMMYFUNCTION("""COMPUTED_VALUE"""),"BENGKULU")</f>
        <v>BENGKULU</v>
      </c>
      <c r="I1888" s="222" t="str">
        <f>IFERROR(__xludf.DUMMYFUNCTION("""COMPUTED_VALUE"""),"Batch 2")</f>
        <v>Batch 2</v>
      </c>
      <c r="J1888" s="225">
        <f>IFERROR(__xludf.DUMMYFUNCTION("""COMPUTED_VALUE"""),14.0)</f>
        <v>14</v>
      </c>
      <c r="K1888" s="224">
        <f>IFERROR(__xludf.DUMMYFUNCTION("""COMPUTED_VALUE"""),112.0)</f>
        <v>112</v>
      </c>
      <c r="L1888" s="226">
        <f>IFERROR(__xludf.DUMMYFUNCTION("""COMPUTED_VALUE"""),1452697.0)</f>
        <v>1452697</v>
      </c>
      <c r="M1888" s="227">
        <f>IFERROR(__xludf.DUMMYFUNCTION("""COMPUTED_VALUE"""),1.62702055E8)</f>
        <v>162702055</v>
      </c>
      <c r="N1888" s="222" t="str">
        <f>IFERROR(__xludf.DUMMYFUNCTION("""COMPUTED_VALUE"""),"PT TELAGA RESTU ABADI")</f>
        <v>PT TELAGA RESTU ABADI</v>
      </c>
      <c r="O1888" s="222" t="str">
        <f>IFERROR(__xludf.DUMMYFUNCTION("""COMPUTED_VALUE"""),"7. GOLIVE")</f>
        <v>7. GOLIVE</v>
      </c>
      <c r="P1888" s="222" t="str">
        <f>IFERROR(__xludf.DUMMYFUNCTION("""COMPUTED_VALUE"""),"7.2 Golive Full / OA / DONE OTB")</f>
        <v>7.2 Golive Full / OA / DONE OTB</v>
      </c>
      <c r="Q1888" s="222" t="str">
        <f>IFERROR(__xludf.DUMMYFUNCTION("""COMPUTED_VALUE"""),"29/01 : revisi ABD")</f>
        <v>29/01 : revisi ABD</v>
      </c>
      <c r="R1888" s="228"/>
      <c r="S1888" s="11"/>
      <c r="T1888" s="11"/>
      <c r="U1888" s="11" t="str">
        <f>IFERROR(__xludf.DUMMYFUNCTION("""COMPUTED_VALUE"""),"W06-381/2025")</f>
        <v>W06-381/2025</v>
      </c>
      <c r="V1888" s="229"/>
      <c r="W1888" s="229"/>
      <c r="X1888" s="229" t="str">
        <f>IFERROR(__xludf.DUMMYFUNCTION("""COMPUTED_VALUE"""),"GOLIVE")</f>
        <v>GOLIVE</v>
      </c>
      <c r="Y1888" s="229" t="str">
        <f>IFERROR(__xludf.DUMMYFUNCTION("""COMPUTED_VALUE"""),"DONE")</f>
        <v>DONE</v>
      </c>
      <c r="Z1888" s="229" t="str">
        <f>IFERROR(__xludf.DUMMYFUNCTION("""COMPUTED_VALUE"""),"#N/A")</f>
        <v>#N/A</v>
      </c>
      <c r="AA1888" s="229">
        <f>IFERROR(__xludf.DUMMYFUNCTION("""COMPUTED_VALUE"""),15.0)</f>
        <v>15</v>
      </c>
      <c r="AB1888" s="229"/>
      <c r="AC1888" s="229" t="str">
        <f>IFERROR(__xludf.DUMMYFUNCTION("""COMPUTED_VALUE"""),"8954052#8954057")</f>
        <v>8954052#8954057</v>
      </c>
      <c r="AD1888" s="232">
        <f>IFERROR(__xludf.DUMMYFUNCTION("""COMPUTED_VALUE"""),120.0)</f>
        <v>120</v>
      </c>
      <c r="AE1888" s="233">
        <f>IFERROR(__xludf.DUMMYFUNCTION("""COMPUTED_VALUE"""),46053.0)</f>
        <v>46053</v>
      </c>
      <c r="AF1888" s="54"/>
      <c r="AG1888" s="54"/>
      <c r="AH1888" s="54"/>
      <c r="AI1888" s="55" t="str">
        <f t="shared" si="190"/>
        <v/>
      </c>
      <c r="AW1888" s="234"/>
      <c r="BP1888" s="11"/>
      <c r="BQ1888" s="11"/>
      <c r="BR1888" s="235"/>
      <c r="BV1888" s="158"/>
      <c r="BY1888" s="158"/>
      <c r="CB1888" s="158"/>
    </row>
    <row r="1889" ht="18.0" hidden="1" customHeight="1">
      <c r="A1889" s="222">
        <f>IFERROR(__xludf.DUMMYFUNCTION("""COMPUTED_VALUE"""),2026.0)</f>
        <v>2026</v>
      </c>
      <c r="B1889" s="221">
        <f>IFERROR(__xludf.DUMMYFUNCTION("""COMPUTED_VALUE"""),1.1326137E7)</f>
        <v>11326137</v>
      </c>
      <c r="C1889" s="222" t="str">
        <f>IFERROR(__xludf.DUMMYFUNCTION("""COMPUTED_VALUE"""),"MDN PT3 TMU-FR ODP PRIORITAS")</f>
        <v>MDN PT3 TMU-FR ODP PRIORITAS</v>
      </c>
      <c r="D1889" s="222" t="str">
        <f>IFERROR(__xludf.DUMMYFUNCTION("""COMPUTED_VALUE"""),"REGIONAL I")</f>
        <v>REGIONAL I</v>
      </c>
      <c r="E1889" s="222" t="str">
        <f>IFERROR(__xludf.DUMMYFUNCTION("""COMPUTED_VALUE"""),"MEDAN")</f>
        <v>MEDAN</v>
      </c>
      <c r="F1889" s="222" t="str">
        <f>IFERROR(__xludf.DUMMYFUNCTION("""COMPUTED_VALUE"""),"TMU")</f>
        <v>TMU</v>
      </c>
      <c r="G1889" s="222" t="str">
        <f>IFERROR(__xludf.DUMMYFUNCTION("""COMPUTED_VALUE"""),"SUMBAGUT")</f>
        <v>SUMBAGUT</v>
      </c>
      <c r="H1889" s="222" t="str">
        <f>IFERROR(__xludf.DUMMYFUNCTION("""COMPUTED_VALUE"""),"MEDAN")</f>
        <v>MEDAN</v>
      </c>
      <c r="I1889" s="222" t="str">
        <f>IFERROR(__xludf.DUMMYFUNCTION("""COMPUTED_VALUE"""),"Batch 2")</f>
        <v>Batch 2</v>
      </c>
      <c r="J1889" s="225">
        <f>IFERROR(__xludf.DUMMYFUNCTION("""COMPUTED_VALUE"""),3.0)</f>
        <v>3</v>
      </c>
      <c r="K1889" s="224">
        <f>IFERROR(__xludf.DUMMYFUNCTION("""COMPUTED_VALUE"""),24.0)</f>
        <v>24</v>
      </c>
      <c r="L1889" s="226">
        <f>IFERROR(__xludf.DUMMYFUNCTION("""COMPUTED_VALUE"""),501027.0)</f>
        <v>501027</v>
      </c>
      <c r="M1889" s="227">
        <f>IFERROR(__xludf.DUMMYFUNCTION("""COMPUTED_VALUE"""),1.2024627E7)</f>
        <v>12024627</v>
      </c>
      <c r="N1889" s="222" t="str">
        <f>IFERROR(__xludf.DUMMYFUNCTION("""COMPUTED_VALUE"""),"PT SALTTEK DUMPANG JAYA")</f>
        <v>PT SALTTEK DUMPANG JAYA</v>
      </c>
      <c r="O1889" s="222" t="str">
        <f>IFERROR(__xludf.DUMMYFUNCTION("""COMPUTED_VALUE"""),"2. DONE AANWIJZING")</f>
        <v>2. DONE AANWIJZING</v>
      </c>
      <c r="P1889" s="222" t="str">
        <f>IFERROR(__xludf.DUMMYFUNCTION("""COMPUTED_VALUE"""),"2.10 Kendala - Feeder Rusak")</f>
        <v>2.10 Kendala - Feeder Rusak</v>
      </c>
      <c r="Q1889" s="222" t="str">
        <f>IFERROR(__xludf.DUMMYFUNCTION("""COMPUTED_VALUE"""),"21/04 take over mitra saltek
14/11 Feeder redeti
16/10 Feeder Redaman Tinggi
(24/09) Perizinan Warga dan Kades / Lurah
(23/09) Perizinan Warga dan Kades / Lurah
15/09 proses aanwijzing")</f>
        <v>21/04 take over mitra saltek
14/11 Feeder redeti
16/10 Feeder Redaman Tinggi
(24/09) Perizinan Warga dan Kades / Lurah
(23/09) Perizinan Warga dan Kades / Lurah
15/09 proses aanwijzing</v>
      </c>
      <c r="R1889" s="228"/>
      <c r="S1889" s="11"/>
      <c r="T1889" s="11"/>
      <c r="U1889" s="11"/>
      <c r="V1889" s="229"/>
      <c r="W1889" s="229"/>
      <c r="X1889" s="229" t="str">
        <f>IFERROR(__xludf.DUMMYFUNCTION("""COMPUTED_VALUE"""),"BELUM GOLIVE")</f>
        <v>BELUM GOLIVE</v>
      </c>
      <c r="Y1889" s="229"/>
      <c r="Z1889" s="229" t="str">
        <f>IFERROR(__xludf.DUMMYFUNCTION("""COMPUTED_VALUE"""),"#N/A")</f>
        <v>#N/A</v>
      </c>
      <c r="AA1889" s="229"/>
      <c r="AB1889" s="229"/>
      <c r="AC1889" s="229"/>
      <c r="AD1889" s="232"/>
      <c r="AE1889" s="233"/>
      <c r="AF1889" s="54"/>
      <c r="AG1889" s="54"/>
      <c r="AH1889" s="54"/>
      <c r="AI1889" s="55" t="str">
        <f t="shared" si="190"/>
        <v/>
      </c>
      <c r="AW1889" s="234"/>
      <c r="BP1889" s="11"/>
      <c r="BQ1889" s="11"/>
      <c r="BR1889" s="235"/>
      <c r="BV1889" s="158"/>
      <c r="BY1889" s="158"/>
      <c r="CB1889" s="158"/>
    </row>
    <row r="1890" ht="18.0" customHeight="1">
      <c r="A1890" s="222">
        <f>IFERROR(__xludf.DUMMYFUNCTION("""COMPUTED_VALUE"""),2026.0)</f>
        <v>2026</v>
      </c>
      <c r="B1890" s="221">
        <f>IFERROR(__xludf.DUMMYFUNCTION("""COMPUTED_VALUE"""),1.2081865E7)</f>
        <v>12081865</v>
      </c>
      <c r="C1890" s="222" t="str">
        <f>IFERROR(__xludf.DUMMYFUNCTION("""COMPUTED_VALUE"""),"RKP PT-3 UNSC_AREA1_NICCO RESIDENCE")</f>
        <v>RKP PT-3 UNSC_AREA1_NICCO RESIDENCE</v>
      </c>
      <c r="D1890" s="222" t="str">
        <f>IFERROR(__xludf.DUMMYFUNCTION("""COMPUTED_VALUE"""),"REGIONAL I")</f>
        <v>REGIONAL I</v>
      </c>
      <c r="E1890" s="222" t="str">
        <f>IFERROR(__xludf.DUMMYFUNCTION("""COMPUTED_VALUE"""),"RIKEP")</f>
        <v>RIKEP</v>
      </c>
      <c r="F1890" s="222" t="str">
        <f>IFERROR(__xludf.DUMMYFUNCTION("""COMPUTED_VALUE"""),"LBJ")</f>
        <v>LBJ</v>
      </c>
      <c r="G1890" s="222" t="str">
        <f>IFERROR(__xludf.DUMMYFUNCTION("""COMPUTED_VALUE"""),"SUMBAGTENG")</f>
        <v>SUMBAGTENG</v>
      </c>
      <c r="H1890" s="222" t="str">
        <f>IFERROR(__xludf.DUMMYFUNCTION("""COMPUTED_VALUE"""),"BATAM")</f>
        <v>BATAM</v>
      </c>
      <c r="I1890" s="222" t="str">
        <f>IFERROR(__xludf.DUMMYFUNCTION("""COMPUTED_VALUE"""),"Batch 2")</f>
        <v>Batch 2</v>
      </c>
      <c r="J1890" s="225">
        <f>IFERROR(__xludf.DUMMYFUNCTION("""COMPUTED_VALUE"""),1.0)</f>
        <v>1</v>
      </c>
      <c r="K1890" s="224">
        <f>IFERROR(__xludf.DUMMYFUNCTION("""COMPUTED_VALUE"""),8.0)</f>
        <v>8</v>
      </c>
      <c r="L1890" s="226">
        <f>IFERROR(__xludf.DUMMYFUNCTION("""COMPUTED_VALUE"""),343486.0)</f>
        <v>343486</v>
      </c>
      <c r="M1890" s="227">
        <f>IFERROR(__xludf.DUMMYFUNCTION("""COMPUTED_VALUE"""),2747886.0)</f>
        <v>2747886</v>
      </c>
      <c r="N1890" s="222" t="str">
        <f>IFERROR(__xludf.DUMMYFUNCTION("""COMPUTED_VALUE"""),"PT HDUA PUTRA PRAJODA")</f>
        <v>PT HDUA PUTRA PRAJODA</v>
      </c>
      <c r="O1890" s="222" t="str">
        <f>IFERROR(__xludf.DUMMYFUNCTION("""COMPUTED_VALUE"""),"2. DONE AANWIJZING")</f>
        <v>2. DONE AANWIJZING</v>
      </c>
      <c r="P1890" s="222" t="str">
        <f>IFERROR(__xludf.DUMMYFUNCTION("""COMPUTED_VALUE"""),"2.9 Kendala - Distribusi Penuh / Rusak")</f>
        <v>2.9 Kendala - Distribusi Penuh / Rusak</v>
      </c>
      <c r="Q1890" s="222" t="str">
        <f>IFERROR(__xludf.DUMMYFUNCTION("""COMPUTED_VALUE"""),"10/03 Core dist habis.  04/03 RT sudah di jumpai dan sudah di kasih surat, belum ada kepastian dan di minta menunggu sudah seminggu lebih, coba di FU kembali besok 05 maret. 26/02 PIC perizinan fokus di daerah bengkong dan sekitar . 16/02 Plan anwijzing 1"&amp;"8 Feb. 11/02 Peralihan mitra. 28/01 Plan survey 29 Jan. 28/01 Mitra tripola belum ada PIC untuk anwijzing. 23/01 Plan anwijzing 26 Jan, pic mitra ada pertanggal 25 jan. 21/01 proses penunjukan mitra ")</f>
        <v>10/03 Core dist habis.  04/03 RT sudah di jumpai dan sudah di kasih surat, belum ada kepastian dan di minta menunggu sudah seminggu lebih, coba di FU kembali besok 05 maret. 26/02 PIC perizinan fokus di daerah bengkong dan sekitar . 16/02 Plan anwijzing 18 Feb. 11/02 Peralihan mitra. 28/01 Plan survey 29 Jan. 28/01 Mitra tripola belum ada PIC untuk anwijzing. 23/01 Plan anwijzing 26 Jan, pic mitra ada pertanggal 25 jan. 21/01 proses penunjukan mitra </v>
      </c>
      <c r="R1890" s="228"/>
      <c r="S1890" s="11"/>
      <c r="T1890" s="11"/>
      <c r="U1890" s="11"/>
      <c r="V1890" s="229" t="str">
        <f>IFERROR(__xludf.DUMMYFUNCTION("""COMPUTED_VALUE"""),"RONALDO LEO INFANTRI")</f>
        <v>RONALDO LEO INFANTRI</v>
      </c>
      <c r="W1890" s="229" t="str">
        <f>IFERROR(__xludf.DUMMYFUNCTION("""COMPUTED_VALUE"""),"LEVITA INDRIYANI")</f>
        <v>LEVITA INDRIYANI</v>
      </c>
      <c r="X1890" s="229" t="str">
        <f>IFERROR(__xludf.DUMMYFUNCTION("""COMPUTED_VALUE"""),"BELUM GOLIVE")</f>
        <v>BELUM GOLIVE</v>
      </c>
      <c r="Y1890" s="229"/>
      <c r="Z1890" s="229" t="str">
        <f>IFERROR(__xludf.DUMMYFUNCTION("""COMPUTED_VALUE"""),"#N/A")</f>
        <v>#N/A</v>
      </c>
      <c r="AA1890" s="229"/>
      <c r="AB1890" s="229"/>
      <c r="AC1890" s="229"/>
      <c r="AD1890" s="232"/>
      <c r="AE1890" s="233"/>
      <c r="AF1890" s="54"/>
      <c r="AG1890" s="54"/>
      <c r="AH1890" s="54"/>
      <c r="AI1890" s="55" t="str">
        <f t="shared" si="190"/>
        <v/>
      </c>
      <c r="AW1890" s="234"/>
      <c r="BP1890" s="11"/>
      <c r="BQ1890" s="11"/>
      <c r="BR1890" s="235"/>
      <c r="BV1890" s="158"/>
      <c r="BY1890" s="158"/>
      <c r="CB1890" s="158"/>
    </row>
    <row r="1891" ht="18.0" customHeight="1">
      <c r="A1891" s="222">
        <f>IFERROR(__xludf.DUMMYFUNCTION("""COMPUTED_VALUE"""),2026.0)</f>
        <v>2026</v>
      </c>
      <c r="B1891" s="221">
        <f>IFERROR(__xludf.DUMMYFUNCTION("""COMPUTED_VALUE"""),1.1536989E7)</f>
        <v>11536989</v>
      </c>
      <c r="C1891" s="222" t="str">
        <f>IFERROR(__xludf.DUMMYFUNCTION("""COMPUTED_VALUE"""),"SMB MD Dila Oktavia-Tiffe a")</f>
        <v>SMB MD Dila Oktavia-Tiffe a</v>
      </c>
      <c r="D1891" s="222" t="str">
        <f>IFERROR(__xludf.DUMMYFUNCTION("""COMPUTED_VALUE"""),"REGIONAL I")</f>
        <v>REGIONAL I</v>
      </c>
      <c r="E1891" s="222" t="str">
        <f>IFERROR(__xludf.DUMMYFUNCTION("""COMPUTED_VALUE"""),"SUMBAR")</f>
        <v>SUMBAR</v>
      </c>
      <c r="F1891" s="222" t="str">
        <f>IFERROR(__xludf.DUMMYFUNCTION("""COMPUTED_VALUE"""),"SLK")</f>
        <v>SLK</v>
      </c>
      <c r="G1891" s="222" t="str">
        <f>IFERROR(__xludf.DUMMYFUNCTION("""COMPUTED_VALUE"""),"SUMBAGTENG")</f>
        <v>SUMBAGTENG</v>
      </c>
      <c r="H1891" s="222" t="str">
        <f>IFERROR(__xludf.DUMMYFUNCTION("""COMPUTED_VALUE"""),"PADANG")</f>
        <v>PADANG</v>
      </c>
      <c r="I1891" s="222" t="str">
        <f>IFERROR(__xludf.DUMMYFUNCTION("""COMPUTED_VALUE"""),"Batch 2")</f>
        <v>Batch 2</v>
      </c>
      <c r="J1891" s="225">
        <f>IFERROR(__xludf.DUMMYFUNCTION("""COMPUTED_VALUE"""),3.0)</f>
        <v>3</v>
      </c>
      <c r="K1891" s="224">
        <f>IFERROR(__xludf.DUMMYFUNCTION("""COMPUTED_VALUE"""),24.0)</f>
        <v>24</v>
      </c>
      <c r="L1891" s="226">
        <f>IFERROR(__xludf.DUMMYFUNCTION("""COMPUTED_VALUE"""),341181.0)</f>
        <v>341181</v>
      </c>
      <c r="M1891" s="227">
        <f>IFERROR(__xludf.DUMMYFUNCTION("""COMPUTED_VALUE"""),8188334.0)</f>
        <v>8188334</v>
      </c>
      <c r="N1891" s="222" t="str">
        <f>IFERROR(__xludf.DUMMYFUNCTION("""COMPUTED_VALUE"""),"PT TRI PENAMAS")</f>
        <v>PT TRI PENAMAS</v>
      </c>
      <c r="O1891" s="222" t="str">
        <f>IFERROR(__xludf.DUMMYFUNCTION("""COMPUTED_VALUE"""),"0. DROP")</f>
        <v>0. DROP</v>
      </c>
      <c r="P1891" s="222" t="str">
        <f>IFERROR(__xludf.DUMMYFUNCTION("""COMPUTED_VALUE"""),"0.3 Feeder Full")</f>
        <v>0.3 Feeder Full</v>
      </c>
      <c r="Q1891" s="222" t="str">
        <f>IFERROR(__xludf.DUMMYFUNCTION("""COMPUTED_VALUE"""),"(26/01) : kendala feeder penuh. BUTUH NEW FEEDER SLK-FK")</f>
        <v>(26/01) : kendala feeder penuh. BUTUH NEW FEEDER SLK-FK</v>
      </c>
      <c r="R1891" s="228"/>
      <c r="S1891" s="11"/>
      <c r="T1891" s="11"/>
      <c r="U1891" s="11"/>
      <c r="V1891" s="229"/>
      <c r="W1891" s="229"/>
      <c r="X1891" s="229" t="str">
        <f>IFERROR(__xludf.DUMMYFUNCTION("""COMPUTED_VALUE"""),"BELUM GOLIVE")</f>
        <v>BELUM GOLIVE</v>
      </c>
      <c r="Y1891" s="229"/>
      <c r="Z1891" s="229" t="str">
        <f>IFERROR(__xludf.DUMMYFUNCTION("""COMPUTED_VALUE"""),"#N/A")</f>
        <v>#N/A</v>
      </c>
      <c r="AA1891" s="229"/>
      <c r="AB1891" s="229"/>
      <c r="AC1891" s="229"/>
      <c r="AD1891" s="232"/>
      <c r="AE1891" s="233"/>
      <c r="AF1891" s="54" t="str">
        <f>IFERROR(__xludf.DUMMYFUNCTION("""COMPUTED_VALUE"""),"Draft BA DROP")</f>
        <v>Draft BA DROP</v>
      </c>
      <c r="AG1891" s="54"/>
      <c r="AH1891" s="54"/>
      <c r="AI1891" s="55" t="str">
        <f t="shared" si="190"/>
        <v/>
      </c>
      <c r="AW1891" s="234"/>
      <c r="BP1891" s="11"/>
      <c r="BQ1891" s="11"/>
      <c r="BR1891" s="235"/>
      <c r="BV1891" s="158"/>
      <c r="BY1891" s="158"/>
      <c r="CB1891" s="158"/>
    </row>
    <row r="1892" ht="18.0" customHeight="1">
      <c r="A1892" s="222">
        <f>IFERROR(__xludf.DUMMYFUNCTION("""COMPUTED_VALUE"""),2026.0)</f>
        <v>2026</v>
      </c>
      <c r="B1892" s="221">
        <f>IFERROR(__xludf.DUMMYFUNCTION("""COMPUTED_VALUE"""),1.1111418E7)</f>
        <v>11111418</v>
      </c>
      <c r="C1892" s="222" t="str">
        <f>IFERROR(__xludf.DUMMYFUNCTION("""COMPUTED_VALUE"""),"SMB P7I11 bendungan anai - 5 LOP")</f>
        <v>SMB P7I11 bendungan anai - 5 LOP</v>
      </c>
      <c r="D1892" s="222" t="str">
        <f>IFERROR(__xludf.DUMMYFUNCTION("""COMPUTED_VALUE"""),"REGIONAL I")</f>
        <v>REGIONAL I</v>
      </c>
      <c r="E1892" s="222" t="str">
        <f>IFERROR(__xludf.DUMMYFUNCTION("""COMPUTED_VALUE"""),"SUMBAR")</f>
        <v>SUMBAR</v>
      </c>
      <c r="F1892" s="222" t="str">
        <f>IFERROR(__xludf.DUMMYFUNCTION("""COMPUTED_VALUE"""),"LBA")</f>
        <v>LBA</v>
      </c>
      <c r="G1892" s="222" t="str">
        <f>IFERROR(__xludf.DUMMYFUNCTION("""COMPUTED_VALUE"""),"SUMBAGTENG")</f>
        <v>SUMBAGTENG</v>
      </c>
      <c r="H1892" s="222" t="str">
        <f>IFERROR(__xludf.DUMMYFUNCTION("""COMPUTED_VALUE"""),"BUKIT TINGGI")</f>
        <v>BUKIT TINGGI</v>
      </c>
      <c r="I1892" s="222" t="str">
        <f>IFERROR(__xludf.DUMMYFUNCTION("""COMPUTED_VALUE"""),"Batch 2")</f>
        <v>Batch 2</v>
      </c>
      <c r="J1892" s="225">
        <f>IFERROR(__xludf.DUMMYFUNCTION("""COMPUTED_VALUE"""),6.0)</f>
        <v>6</v>
      </c>
      <c r="K1892" s="224">
        <f>IFERROR(__xludf.DUMMYFUNCTION("""COMPUTED_VALUE"""),48.0)</f>
        <v>48</v>
      </c>
      <c r="L1892" s="226">
        <f>IFERROR(__xludf.DUMMYFUNCTION("""COMPUTED_VALUE"""),341181.0)</f>
        <v>341181</v>
      </c>
      <c r="M1892" s="227">
        <f>IFERROR(__xludf.DUMMYFUNCTION("""COMPUTED_VALUE"""),1.6376668E7)</f>
        <v>16376668</v>
      </c>
      <c r="N1892" s="222" t="str">
        <f>IFERROR(__xludf.DUMMYFUNCTION("""COMPUTED_VALUE"""),"PT SANGKURIANG CIPTA JAYA TEKNINDO")</f>
        <v>PT SANGKURIANG CIPTA JAYA TEKNINDO</v>
      </c>
      <c r="O1892" s="222" t="str">
        <f>IFERROR(__xludf.DUMMYFUNCTION("""COMPUTED_VALUE"""),"0. DROP")</f>
        <v>0. DROP</v>
      </c>
      <c r="P1892" s="222" t="str">
        <f>IFERROR(__xludf.DUMMYFUNCTION("""COMPUTED_VALUE"""),"0.3 Feeder Full")</f>
        <v>0.3 Feeder Full</v>
      </c>
      <c r="Q1892" s="222" t="str">
        <f>IFERROR(__xludf.DUMMYFUNCTION("""COMPUTED_VALUE"""),"(26/01) kendala feeder LBA-FA Full ")</f>
        <v>(26/01) kendala feeder LBA-FA Full </v>
      </c>
      <c r="R1892" s="228"/>
      <c r="S1892" s="11"/>
      <c r="T1892" s="11"/>
      <c r="U1892" s="11"/>
      <c r="V1892" s="229"/>
      <c r="W1892" s="229"/>
      <c r="X1892" s="229" t="str">
        <f>IFERROR(__xludf.DUMMYFUNCTION("""COMPUTED_VALUE"""),"BELUM GOLIVE")</f>
        <v>BELUM GOLIVE</v>
      </c>
      <c r="Y1892" s="229"/>
      <c r="Z1892" s="229" t="str">
        <f>IFERROR(__xludf.DUMMYFUNCTION("""COMPUTED_VALUE"""),"#N/A")</f>
        <v>#N/A</v>
      </c>
      <c r="AA1892" s="229"/>
      <c r="AB1892" s="229"/>
      <c r="AC1892" s="229"/>
      <c r="AD1892" s="232"/>
      <c r="AE1892" s="233"/>
      <c r="AF1892" s="54" t="str">
        <f>IFERROR(__xludf.DUMMYFUNCTION("""COMPUTED_VALUE"""),"Draft BA DROP")</f>
        <v>Draft BA DROP</v>
      </c>
      <c r="AG1892" s="54"/>
      <c r="AH1892" s="54"/>
      <c r="AI1892" s="55" t="str">
        <f t="shared" si="190"/>
        <v/>
      </c>
      <c r="AW1892" s="234"/>
      <c r="BP1892" s="11"/>
      <c r="BQ1892" s="11"/>
      <c r="BR1892" s="235"/>
      <c r="BV1892" s="158"/>
      <c r="BY1892" s="158"/>
      <c r="CB1892" s="158"/>
    </row>
    <row r="1893" ht="18.0" hidden="1" customHeight="1">
      <c r="A1893" s="222">
        <f>IFERROR(__xludf.DUMMYFUNCTION("""COMPUTED_VALUE"""),2026.0)</f>
        <v>2026</v>
      </c>
      <c r="B1893" s="221">
        <f>IFERROR(__xludf.DUMMYFUNCTION("""COMPUTED_VALUE"""),1.1444242E7)</f>
        <v>11444242</v>
      </c>
      <c r="C1893" s="222" t="str">
        <f>IFERROR(__xludf.DUMMYFUNCTION("""COMPUTED_VALUE"""),"BNK-PT4-JPPTSEL-NAPAL-TIS-FXX")</f>
        <v>BNK-PT4-JPPTSEL-NAPAL-TIS-FXX</v>
      </c>
      <c r="D1893" s="222" t="str">
        <f>IFERROR(__xludf.DUMMYFUNCTION("""COMPUTED_VALUE"""),"REGIONAL I")</f>
        <v>REGIONAL I</v>
      </c>
      <c r="E1893" s="222" t="str">
        <f>IFERROR(__xludf.DUMMYFUNCTION("""COMPUTED_VALUE"""),"BENGKULU")</f>
        <v>BENGKULU</v>
      </c>
      <c r="F1893" s="222" t="str">
        <f>IFERROR(__xludf.DUMMYFUNCTION("""COMPUTED_VALUE"""),"TIS")</f>
        <v>TIS</v>
      </c>
      <c r="G1893" s="222" t="str">
        <f>IFERROR(__xludf.DUMMYFUNCTION("""COMPUTED_VALUE"""),"SUMBAGSEL")</f>
        <v>SUMBAGSEL</v>
      </c>
      <c r="H1893" s="222" t="str">
        <f>IFERROR(__xludf.DUMMYFUNCTION("""COMPUTED_VALUE"""),"BENGKULU")</f>
        <v>BENGKULU</v>
      </c>
      <c r="I1893" s="222" t="str">
        <f>IFERROR(__xludf.DUMMYFUNCTION("""COMPUTED_VALUE"""),"Batch 2")</f>
        <v>Batch 2</v>
      </c>
      <c r="J1893" s="225">
        <f>IFERROR(__xludf.DUMMYFUNCTION("""COMPUTED_VALUE"""),14.0)</f>
        <v>14</v>
      </c>
      <c r="K1893" s="224">
        <f>IFERROR(__xludf.DUMMYFUNCTION("""COMPUTED_VALUE"""),112.0)</f>
        <v>112</v>
      </c>
      <c r="L1893" s="226">
        <f>IFERROR(__xludf.DUMMYFUNCTION("""COMPUTED_VALUE"""),1455569.0)</f>
        <v>1455569</v>
      </c>
      <c r="M1893" s="227">
        <f>IFERROR(__xludf.DUMMYFUNCTION("""COMPUTED_VALUE"""),1.63023705E8)</f>
        <v>163023705</v>
      </c>
      <c r="N1893" s="222" t="str">
        <f>IFERROR(__xludf.DUMMYFUNCTION("""COMPUTED_VALUE"""),"PT JAGO MULTI DIMENSI")</f>
        <v>PT JAGO MULTI DIMENSI</v>
      </c>
      <c r="O1893" s="222" t="str">
        <f>IFERROR(__xludf.DUMMYFUNCTION("""COMPUTED_VALUE"""),"7. GOLIVE")</f>
        <v>7. GOLIVE</v>
      </c>
      <c r="P1893" s="222" t="str">
        <f>IFERROR(__xludf.DUMMYFUNCTION("""COMPUTED_VALUE"""),"7.2 Golive Full / OA / DONE OTB")</f>
        <v>7.2 Golive Full / OA / DONE OTB</v>
      </c>
      <c r="Q1893" s="222" t="str">
        <f>IFERROR(__xludf.DUMMYFUNCTION("""COMPUTED_VALUE"""),"(08/01) Kendala dist 3 KJI-FP FULL, proses aanwijziing , Proses mapping mitra  (07/01) Persiapan")</f>
        <v>(08/01) Kendala dist 3 KJI-FP FULL, proses aanwijziing , Proses mapping mitra  (07/01) Persiapan</v>
      </c>
      <c r="R1893" s="228"/>
      <c r="S1893" s="11"/>
      <c r="T1893" s="11"/>
      <c r="U1893" s="11" t="str">
        <f>IFERROR(__xludf.DUMMYFUNCTION("""COMPUTED_VALUE"""),"W06-278/2025")</f>
        <v>W06-278/2025</v>
      </c>
      <c r="V1893" s="229"/>
      <c r="W1893" s="229"/>
      <c r="X1893" s="229" t="str">
        <f>IFERROR(__xludf.DUMMYFUNCTION("""COMPUTED_VALUE"""),"GOLIVE")</f>
        <v>GOLIVE</v>
      </c>
      <c r="Y1893" s="229" t="str">
        <f>IFERROR(__xludf.DUMMYFUNCTION("""COMPUTED_VALUE"""),"DONE")</f>
        <v>DONE</v>
      </c>
      <c r="Z1893" s="229" t="str">
        <f>IFERROR(__xludf.DUMMYFUNCTION("""COMPUTED_VALUE"""),"#N/A")</f>
        <v>#N/A</v>
      </c>
      <c r="AA1893" s="229">
        <f>IFERROR(__xludf.DUMMYFUNCTION("""COMPUTED_VALUE"""),14.0)</f>
        <v>14</v>
      </c>
      <c r="AB1893" s="229"/>
      <c r="AC1893" s="229" t="str">
        <f>IFERROR(__xludf.DUMMYFUNCTION("""COMPUTED_VALUE"""),"8815566#8815577")</f>
        <v>8815566#8815577</v>
      </c>
      <c r="AD1893" s="232">
        <f>IFERROR(__xludf.DUMMYFUNCTION("""COMPUTED_VALUE"""),112.0)</f>
        <v>112</v>
      </c>
      <c r="AE1893" s="233">
        <f>IFERROR(__xludf.DUMMYFUNCTION("""COMPUTED_VALUE"""),46036.0)</f>
        <v>46036</v>
      </c>
      <c r="AF1893" s="54"/>
      <c r="AG1893" s="54"/>
      <c r="AH1893" s="54"/>
      <c r="AI1893" s="55" t="str">
        <f t="shared" si="190"/>
        <v/>
      </c>
      <c r="AW1893" s="234"/>
      <c r="BP1893" s="11"/>
      <c r="BQ1893" s="11"/>
      <c r="BR1893" s="235"/>
      <c r="BV1893" s="158"/>
      <c r="BY1893" s="158"/>
      <c r="CB1893" s="158"/>
    </row>
    <row r="1894" ht="18.0" customHeight="1">
      <c r="A1894" s="222">
        <f>IFERROR(__xludf.DUMMYFUNCTION("""COMPUTED_VALUE"""),2026.0)</f>
        <v>2026</v>
      </c>
      <c r="B1894" s="221">
        <f>IFERROR(__xludf.DUMMYFUNCTION("""COMPUTED_VALUE"""),1.1245703E7)</f>
        <v>11245703</v>
      </c>
      <c r="C1894" s="222" t="str">
        <f>IFERROR(__xludf.DUMMYFUNCTION("""COMPUTED_VALUE"""),"SMB P2I1 Debalai Baru Residence")</f>
        <v>SMB P2I1 Debalai Baru Residence</v>
      </c>
      <c r="D1894" s="222" t="str">
        <f>IFERROR(__xludf.DUMMYFUNCTION("""COMPUTED_VALUE"""),"REGIONAL I")</f>
        <v>REGIONAL I</v>
      </c>
      <c r="E1894" s="222" t="str">
        <f>IFERROR(__xludf.DUMMYFUNCTION("""COMPUTED_VALUE"""),"SUMBAR")</f>
        <v>SUMBAR</v>
      </c>
      <c r="F1894" s="222" t="str">
        <f>IFERROR(__xludf.DUMMYFUNCTION("""COMPUTED_VALUE"""),"KJI")</f>
        <v>KJI</v>
      </c>
      <c r="G1894" s="222" t="str">
        <f>IFERROR(__xludf.DUMMYFUNCTION("""COMPUTED_VALUE"""),"SUMBAGTENG")</f>
        <v>SUMBAGTENG</v>
      </c>
      <c r="H1894" s="222" t="str">
        <f>IFERROR(__xludf.DUMMYFUNCTION("""COMPUTED_VALUE"""),"PADANG")</f>
        <v>PADANG</v>
      </c>
      <c r="I1894" s="222" t="str">
        <f>IFERROR(__xludf.DUMMYFUNCTION("""COMPUTED_VALUE"""),"Batch 2")</f>
        <v>Batch 2</v>
      </c>
      <c r="J1894" s="225">
        <f>IFERROR(__xludf.DUMMYFUNCTION("""COMPUTED_VALUE"""),3.0)</f>
        <v>3</v>
      </c>
      <c r="K1894" s="224">
        <f>IFERROR(__xludf.DUMMYFUNCTION("""COMPUTED_VALUE"""),24.0)</f>
        <v>24</v>
      </c>
      <c r="L1894" s="226">
        <f>IFERROR(__xludf.DUMMYFUNCTION("""COMPUTED_VALUE"""),339750.0)</f>
        <v>339750</v>
      </c>
      <c r="M1894" s="227">
        <f>IFERROR(__xludf.DUMMYFUNCTION("""COMPUTED_VALUE"""),8153988.0)</f>
        <v>8153988</v>
      </c>
      <c r="N1894" s="222" t="str">
        <f>IFERROR(__xludf.DUMMYFUNCTION("""COMPUTED_VALUE"""),"PT TRI PENAMAS")</f>
        <v>PT TRI PENAMAS</v>
      </c>
      <c r="O1894" s="222" t="str">
        <f>IFERROR(__xludf.DUMMYFUNCTION("""COMPUTED_VALUE"""),"0. DROP")</f>
        <v>0. DROP</v>
      </c>
      <c r="P1894" s="222" t="str">
        <f>IFERROR(__xludf.DUMMYFUNCTION("""COMPUTED_VALUE"""),"0.1 Double Order")</f>
        <v>0.1 Double Order</v>
      </c>
      <c r="Q1894" s="222" t="str">
        <f>IFERROR(__xludf.DUMMYFUNCTION("""COMPUTED_VALUE"""),"(26/01) doubel order JPP-B2 TIF /1 SMB MD KOTA PADANG_14747  ")</f>
        <v>(26/01) doubel order JPP-B2 TIF /1 SMB MD KOTA PADANG_14747  </v>
      </c>
      <c r="R1894" s="228"/>
      <c r="S1894" s="11"/>
      <c r="T1894" s="11"/>
      <c r="U1894" s="11"/>
      <c r="V1894" s="229"/>
      <c r="W1894" s="229"/>
      <c r="X1894" s="229" t="str">
        <f>IFERROR(__xludf.DUMMYFUNCTION("""COMPUTED_VALUE"""),"BELUM GOLIVE")</f>
        <v>BELUM GOLIVE</v>
      </c>
      <c r="Y1894" s="229"/>
      <c r="Z1894" s="229" t="str">
        <f>IFERROR(__xludf.DUMMYFUNCTION("""COMPUTED_VALUE"""),"#N/A")</f>
        <v>#N/A</v>
      </c>
      <c r="AA1894" s="229"/>
      <c r="AB1894" s="229"/>
      <c r="AC1894" s="229"/>
      <c r="AD1894" s="232"/>
      <c r="AE1894" s="233"/>
      <c r="AF1894" s="54" t="str">
        <f>IFERROR(__xludf.DUMMYFUNCTION("""COMPUTED_VALUE"""),"Draft BA DROP")</f>
        <v>Draft BA DROP</v>
      </c>
      <c r="AG1894" s="54"/>
      <c r="AH1894" s="54"/>
      <c r="AI1894" s="55" t="str">
        <f t="shared" si="190"/>
        <v/>
      </c>
      <c r="AW1894" s="234"/>
      <c r="BP1894" s="11"/>
      <c r="BQ1894" s="11"/>
      <c r="BR1894" s="235"/>
      <c r="BV1894" s="158"/>
      <c r="BY1894" s="158"/>
      <c r="CB1894" s="158"/>
    </row>
    <row r="1895" ht="18.0" customHeight="1">
      <c r="A1895" s="222">
        <f>IFERROR(__xludf.DUMMYFUNCTION("""COMPUTED_VALUE"""),2026.0)</f>
        <v>2026</v>
      </c>
      <c r="B1895" s="221">
        <f>IFERROR(__xludf.DUMMYFUNCTION("""COMPUTED_VALUE"""),1.1096582E7)</f>
        <v>11096582</v>
      </c>
      <c r="C1895" s="222" t="str">
        <f>IFERROR(__xludf.DUMMYFUNCTION("""COMPUTED_VALUE"""),"SMB JPP PT3 MD PDG_SUMATERA BARAT_14736_new")</f>
        <v>SMB JPP PT3 MD PDG_SUMATERA BARAT_14736_new</v>
      </c>
      <c r="D1895" s="222" t="str">
        <f>IFERROR(__xludf.DUMMYFUNCTION("""COMPUTED_VALUE"""),"REGIONAL I")</f>
        <v>REGIONAL I</v>
      </c>
      <c r="E1895" s="222" t="str">
        <f>IFERROR(__xludf.DUMMYFUNCTION("""COMPUTED_VALUE"""),"SUMBAR")</f>
        <v>SUMBAR</v>
      </c>
      <c r="F1895" s="222" t="str">
        <f>IFERROR(__xludf.DUMMYFUNCTION("""COMPUTED_VALUE"""),"LBY")</f>
        <v>LBY</v>
      </c>
      <c r="G1895" s="222" t="str">
        <f>IFERROR(__xludf.DUMMYFUNCTION("""COMPUTED_VALUE"""),"SUMBAGTENG")</f>
        <v>SUMBAGTENG</v>
      </c>
      <c r="H1895" s="222" t="str">
        <f>IFERROR(__xludf.DUMMYFUNCTION("""COMPUTED_VALUE"""),"PADANG")</f>
        <v>PADANG</v>
      </c>
      <c r="I1895" s="222" t="str">
        <f>IFERROR(__xludf.DUMMYFUNCTION("""COMPUTED_VALUE"""),"Batch 2")</f>
        <v>Batch 2</v>
      </c>
      <c r="J1895" s="225">
        <f>IFERROR(__xludf.DUMMYFUNCTION("""COMPUTED_VALUE"""),2.0)</f>
        <v>2</v>
      </c>
      <c r="K1895" s="224">
        <f>IFERROR(__xludf.DUMMYFUNCTION("""COMPUTED_VALUE"""),16.0)</f>
        <v>16</v>
      </c>
      <c r="L1895" s="226">
        <f>IFERROR(__xludf.DUMMYFUNCTION("""COMPUTED_VALUE"""),335325.0)</f>
        <v>335325</v>
      </c>
      <c r="M1895" s="227">
        <f>IFERROR(__xludf.DUMMYFUNCTION("""COMPUTED_VALUE"""),5365193.0)</f>
        <v>5365193</v>
      </c>
      <c r="N1895" s="222" t="str">
        <f>IFERROR(__xludf.DUMMYFUNCTION("""COMPUTED_VALUE"""),"PT PUTRI JAYA AKSES")</f>
        <v>PT PUTRI JAYA AKSES</v>
      </c>
      <c r="O1895" s="222" t="str">
        <f>IFERROR(__xludf.DUMMYFUNCTION("""COMPUTED_VALUE"""),"0. DROP")</f>
        <v>0. DROP</v>
      </c>
      <c r="P1895" s="222" t="str">
        <f>IFERROR(__xludf.DUMMYFUNCTION("""COMPUTED_VALUE"""),"0.3 Feeder Full")</f>
        <v>0.3 Feeder Full</v>
      </c>
      <c r="Q1895" s="222" t="str">
        <f>IFERROR(__xludf.DUMMYFUNCTION("""COMPUTED_VALUE"""),"(26/01) Kendala feeder LBY-FH FULL")</f>
        <v>(26/01) Kendala feeder LBY-FH FULL</v>
      </c>
      <c r="R1895" s="228"/>
      <c r="S1895" s="11"/>
      <c r="T1895" s="11"/>
      <c r="U1895" s="11"/>
      <c r="V1895" s="229"/>
      <c r="W1895" s="229"/>
      <c r="X1895" s="229" t="str">
        <f>IFERROR(__xludf.DUMMYFUNCTION("""COMPUTED_VALUE"""),"BELUM GOLIVE")</f>
        <v>BELUM GOLIVE</v>
      </c>
      <c r="Y1895" s="229"/>
      <c r="Z1895" s="229" t="str">
        <f>IFERROR(__xludf.DUMMYFUNCTION("""COMPUTED_VALUE"""),"#N/A")</f>
        <v>#N/A</v>
      </c>
      <c r="AA1895" s="229"/>
      <c r="AB1895" s="229"/>
      <c r="AC1895" s="229"/>
      <c r="AD1895" s="232"/>
      <c r="AE1895" s="233"/>
      <c r="AF1895" s="54" t="str">
        <f>IFERROR(__xludf.DUMMYFUNCTION("""COMPUTED_VALUE"""),"Draft BA DROP")</f>
        <v>Draft BA DROP</v>
      </c>
      <c r="AG1895" s="54"/>
      <c r="AH1895" s="54"/>
      <c r="AI1895" s="55" t="str">
        <f t="shared" si="190"/>
        <v/>
      </c>
      <c r="AW1895" s="234"/>
      <c r="BP1895" s="11"/>
      <c r="BQ1895" s="11"/>
      <c r="BR1895" s="235"/>
      <c r="BV1895" s="158"/>
      <c r="BY1895" s="158"/>
      <c r="CB1895" s="158"/>
    </row>
    <row r="1896" ht="18.0" hidden="1" customHeight="1">
      <c r="A1896" s="222">
        <f>IFERROR(__xludf.DUMMYFUNCTION("""COMPUTED_VALUE"""),2026.0)</f>
        <v>2026</v>
      </c>
      <c r="B1896" s="221">
        <f>IFERROR(__xludf.DUMMYFUNCTION("""COMPUTED_VALUE"""),1.1533374E7)</f>
        <v>11533374</v>
      </c>
      <c r="C1896" s="222" t="str">
        <f>IFERROR(__xludf.DUMMYFUNCTION("""COMPUTED_VALUE"""),"MDN PT3 GLG-FH DESA PISANG PALA")</f>
        <v>MDN PT3 GLG-FH DESA PISANG PALA</v>
      </c>
      <c r="D1896" s="222" t="str">
        <f>IFERROR(__xludf.DUMMYFUNCTION("""COMPUTED_VALUE"""),"REGIONAL I")</f>
        <v>REGIONAL I</v>
      </c>
      <c r="E1896" s="222" t="str">
        <f>IFERROR(__xludf.DUMMYFUNCTION("""COMPUTED_VALUE"""),"MEDAN")</f>
        <v>MEDAN</v>
      </c>
      <c r="F1896" s="222" t="str">
        <f>IFERROR(__xludf.DUMMYFUNCTION("""COMPUTED_VALUE"""),"GLG")</f>
        <v>GLG</v>
      </c>
      <c r="G1896" s="222" t="str">
        <f>IFERROR(__xludf.DUMMYFUNCTION("""COMPUTED_VALUE"""),"SUMBAGUT")</f>
        <v>SUMBAGUT</v>
      </c>
      <c r="H1896" s="222" t="str">
        <f>IFERROR(__xludf.DUMMYFUNCTION("""COMPUTED_VALUE"""),"MEDAN")</f>
        <v>MEDAN</v>
      </c>
      <c r="I1896" s="222" t="str">
        <f>IFERROR(__xludf.DUMMYFUNCTION("""COMPUTED_VALUE"""),"Batch 2")</f>
        <v>Batch 2</v>
      </c>
      <c r="J1896" s="225">
        <f>IFERROR(__xludf.DUMMYFUNCTION("""COMPUTED_VALUE"""),4.0)</f>
        <v>4</v>
      </c>
      <c r="K1896" s="224">
        <f>IFERROR(__xludf.DUMMYFUNCTION("""COMPUTED_VALUE"""),32.0)</f>
        <v>32</v>
      </c>
      <c r="L1896" s="226">
        <f>IFERROR(__xludf.DUMMYFUNCTION("""COMPUTED_VALUE"""),1236803.0)</f>
        <v>1236803</v>
      </c>
      <c r="M1896" s="227">
        <f>IFERROR(__xludf.DUMMYFUNCTION("""COMPUTED_VALUE"""),3.9577683E7)</f>
        <v>39577683</v>
      </c>
      <c r="N1896" s="222" t="str">
        <f>IFERROR(__xludf.DUMMYFUNCTION("""COMPUTED_VALUE"""),"PT NIAGA NUSANTARA DIVA")</f>
        <v>PT NIAGA NUSANTARA DIVA</v>
      </c>
      <c r="O1896" s="222" t="str">
        <f>IFERROR(__xludf.DUMMYFUNCTION("""COMPUTED_VALUE"""),"0. DROP")</f>
        <v>0. DROP</v>
      </c>
      <c r="P1896" s="222" t="str">
        <f>IFERROR(__xludf.DUMMYFUNCTION("""COMPUTED_VALUE"""),"0.4 CPP Tinggi Acc ED TIF")</f>
        <v>0.4 CPP Tinggi Acc ED TIF</v>
      </c>
      <c r="Q1896" s="222" t="str">
        <f>IFERROR(__xludf.DUMMYFUNCTION("""COMPUTED_VALUE"""),"05/02 feeder loss/rusak 
(12/01) Pada saat perizinan dg pihak ketua komplek meminta kompensasi 25 jt, dan dlokasi sdh ada kompetitor, koordinasi dg tsel untuk d drop, (07/01) Persiapan")</f>
        <v>05/02 feeder loss/rusak 
(12/01) Pada saat perizinan dg pihak ketua komplek meminta kompensasi 25 jt, dan dlokasi sdh ada kompetitor, koordinasi dg tsel untuk d drop, (07/01) Persiapan</v>
      </c>
      <c r="R1896" s="228"/>
      <c r="S1896" s="11"/>
      <c r="T1896" s="11"/>
      <c r="U1896" s="11"/>
      <c r="V1896" s="229"/>
      <c r="W1896" s="229"/>
      <c r="X1896" s="229" t="str">
        <f>IFERROR(__xludf.DUMMYFUNCTION("""COMPUTED_VALUE"""),"BELUM GOLIVE")</f>
        <v>BELUM GOLIVE</v>
      </c>
      <c r="Y1896" s="229"/>
      <c r="Z1896" s="229" t="str">
        <f>IFERROR(__xludf.DUMMYFUNCTION("""COMPUTED_VALUE"""),"#N/A")</f>
        <v>#N/A</v>
      </c>
      <c r="AA1896" s="229"/>
      <c r="AB1896" s="229"/>
      <c r="AC1896" s="229"/>
      <c r="AD1896" s="232"/>
      <c r="AE1896" s="233"/>
      <c r="AF1896" s="54" t="str">
        <f>IFERROR(__xludf.DUMMYFUNCTION("""COMPUTED_VALUE"""),"Draft BA DROP")</f>
        <v>Draft BA DROP</v>
      </c>
      <c r="AG1896" s="54"/>
      <c r="AH1896" s="54"/>
      <c r="AI1896" s="55" t="str">
        <f t="shared" si="190"/>
        <v/>
      </c>
      <c r="AW1896" s="234"/>
      <c r="BP1896" s="11"/>
      <c r="BQ1896" s="11"/>
      <c r="BR1896" s="235"/>
      <c r="BV1896" s="158"/>
      <c r="BY1896" s="158"/>
      <c r="CB1896" s="158"/>
    </row>
    <row r="1897" ht="18.0" hidden="1" customHeight="1">
      <c r="A1897" s="222">
        <f>IFERROR(__xludf.DUMMYFUNCTION("""COMPUTED_VALUE"""),2026.0)</f>
        <v>2026</v>
      </c>
      <c r="B1897" s="221">
        <f>IFERROR(__xludf.DUMMYFUNCTION("""COMPUTED_VALUE"""),1.1087735E7)</f>
        <v>11087735</v>
      </c>
      <c r="C1897" s="222" t="str">
        <f>IFERROR(__xludf.DUMMYFUNCTION("""COMPUTED_VALUE"""),"SMS P7I5 PT3 SRO FBR D04 GREEN CENTER PARK")</f>
        <v>SMS P7I5 PT3 SRO FBR D04 GREEN CENTER PARK</v>
      </c>
      <c r="D1897" s="222" t="str">
        <f>IFERROR(__xludf.DUMMYFUNCTION("""COMPUTED_VALUE"""),"REGIONAL I")</f>
        <v>REGIONAL I</v>
      </c>
      <c r="E1897" s="222" t="str">
        <f>IFERROR(__xludf.DUMMYFUNCTION("""COMPUTED_VALUE"""),"SUMSEL")</f>
        <v>SUMSEL</v>
      </c>
      <c r="F1897" s="222" t="str">
        <f>IFERROR(__xludf.DUMMYFUNCTION("""COMPUTED_VALUE"""),"SRO")</f>
        <v>SRO</v>
      </c>
      <c r="G1897" s="222" t="str">
        <f>IFERROR(__xludf.DUMMYFUNCTION("""COMPUTED_VALUE"""),"SUMBAGSEL")</f>
        <v>SUMBAGSEL</v>
      </c>
      <c r="H1897" s="222" t="str">
        <f>IFERROR(__xludf.DUMMYFUNCTION("""COMPUTED_VALUE"""),"PALEMBANG")</f>
        <v>PALEMBANG</v>
      </c>
      <c r="I1897" s="222" t="str">
        <f>IFERROR(__xludf.DUMMYFUNCTION("""COMPUTED_VALUE"""),"Batch 2")</f>
        <v>Batch 2</v>
      </c>
      <c r="J1897" s="225">
        <f>IFERROR(__xludf.DUMMYFUNCTION("""COMPUTED_VALUE"""),10.0)</f>
        <v>10</v>
      </c>
      <c r="K1897" s="224">
        <f>IFERROR(__xludf.DUMMYFUNCTION("""COMPUTED_VALUE"""),80.0)</f>
        <v>80</v>
      </c>
      <c r="L1897" s="226">
        <f>IFERROR(__xludf.DUMMYFUNCTION("""COMPUTED_VALUE"""),1458980.0)</f>
        <v>1458980</v>
      </c>
      <c r="M1897" s="227">
        <f>IFERROR(__xludf.DUMMYFUNCTION("""COMPUTED_VALUE"""),1.16718349E8)</f>
        <v>116718349</v>
      </c>
      <c r="N1897" s="222" t="str">
        <f>IFERROR(__xludf.DUMMYFUNCTION("""COMPUTED_VALUE"""),"PT TRIPOLA PANATA")</f>
        <v>PT TRIPOLA PANATA</v>
      </c>
      <c r="O1897" s="222" t="str">
        <f>IFERROR(__xludf.DUMMYFUNCTION("""COMPUTED_VALUE"""),"0. DROP")</f>
        <v>0. DROP</v>
      </c>
      <c r="P1897" s="222" t="str">
        <f>IFERROR(__xludf.DUMMYFUNCTION("""COMPUTED_VALUE"""),"0.2 Tidak Dapat Izin Warga/Kades/Lurah/Developer")</f>
        <v>0.2 Tidak Dapat Izin Warga/Kades/Lurah/Developer</v>
      </c>
      <c r="Q1897" s="222" t="str">
        <f>IFERROR(__xludf.DUMMYFUNCTION("""COMPUTED_VALUE"""),"09/03 tidak mendapat izin RT karena meminta prelim, 27/02 tidak mendapat izin dan meminta prelim 06/02 HASIL REVIEW TSEL - DROP COMCASE KETUA KOMPLEK 25 JT 15/01 DROP, pihak ketua komplek meminta kompensasi 25 jt, dan di area perumahan sdh ada kompetitor,"&amp;" hasil koordinasi dg tsel untuk d drop (21/01) DROP, karena ketua komplek meminta kompensasi 25 jt, 05/11 drop 23/10 penunjukan mitra")</f>
        <v>09/03 tidak mendapat izin RT karena meminta prelim, 27/02 tidak mendapat izin dan meminta prelim 06/02 HASIL REVIEW TSEL - DROP COMCASE KETUA KOMPLEK 25 JT 15/01 DROP, pihak ketua komplek meminta kompensasi 25 jt, dan di area perumahan sdh ada kompetitor, hasil koordinasi dg tsel untuk d drop (21/01) DROP, karena ketua komplek meminta kompensasi 25 jt, 05/11 drop 23/10 penunjukan mitra</v>
      </c>
      <c r="R1897" s="228"/>
      <c r="S1897" s="11"/>
      <c r="T1897" s="11"/>
      <c r="U1897" s="11"/>
      <c r="V1897" s="229" t="str">
        <f>IFERROR(__xludf.DUMMYFUNCTION("""COMPUTED_VALUE"""),"TEGAR")</f>
        <v>TEGAR</v>
      </c>
      <c r="W1897" s="229"/>
      <c r="X1897" s="229" t="str">
        <f>IFERROR(__xludf.DUMMYFUNCTION("""COMPUTED_VALUE"""),"BELUM GOLIVE")</f>
        <v>BELUM GOLIVE</v>
      </c>
      <c r="Y1897" s="229"/>
      <c r="Z1897" s="229" t="str">
        <f>IFERROR(__xludf.DUMMYFUNCTION("""COMPUTED_VALUE"""),"#N/A")</f>
        <v>#N/A</v>
      </c>
      <c r="AA1897" s="229"/>
      <c r="AB1897" s="229"/>
      <c r="AC1897" s="229"/>
      <c r="AD1897" s="232"/>
      <c r="AE1897" s="233"/>
      <c r="AF1897" s="54" t="str">
        <f>IFERROR(__xludf.DUMMYFUNCTION("""COMPUTED_VALUE"""),"Draft BA DROP")</f>
        <v>Draft BA DROP</v>
      </c>
      <c r="AG1897" s="54"/>
      <c r="AH1897" s="54"/>
      <c r="AI1897" s="55" t="str">
        <f t="shared" si="190"/>
        <v/>
      </c>
      <c r="AW1897" s="234"/>
      <c r="BP1897" s="11"/>
      <c r="BQ1897" s="11"/>
      <c r="BR1897" s="235"/>
      <c r="BV1897" s="158"/>
      <c r="BY1897" s="158"/>
      <c r="CB1897" s="158"/>
    </row>
    <row r="1898" ht="18.0" customHeight="1">
      <c r="A1898" s="222">
        <f>IFERROR(__xludf.DUMMYFUNCTION("""COMPUTED_VALUE"""),2026.0)</f>
        <v>2026</v>
      </c>
      <c r="B1898" s="221">
        <f>IFERROR(__xludf.DUMMYFUNCTION("""COMPUTED_VALUE"""),1.1448109E7)</f>
        <v>11448109</v>
      </c>
      <c r="C1898" s="222" t="str">
        <f>IFERROR(__xludf.DUMMYFUNCTION("""COMPUTED_VALUE"""),"SMB AGAM_10685")</f>
        <v>SMB AGAM_10685</v>
      </c>
      <c r="D1898" s="222" t="str">
        <f>IFERROR(__xludf.DUMMYFUNCTION("""COMPUTED_VALUE"""),"REGIONAL I")</f>
        <v>REGIONAL I</v>
      </c>
      <c r="E1898" s="222" t="str">
        <f>IFERROR(__xludf.DUMMYFUNCTION("""COMPUTED_VALUE"""),"SUMBAR")</f>
        <v>SUMBAR</v>
      </c>
      <c r="F1898" s="222" t="str">
        <f>IFERROR(__xludf.DUMMYFUNCTION("""COMPUTED_VALUE"""),"BKT")</f>
        <v>BKT</v>
      </c>
      <c r="G1898" s="222" t="str">
        <f>IFERROR(__xludf.DUMMYFUNCTION("""COMPUTED_VALUE"""),"SUMBAGTENG")</f>
        <v>SUMBAGTENG</v>
      </c>
      <c r="H1898" s="222" t="str">
        <f>IFERROR(__xludf.DUMMYFUNCTION("""COMPUTED_VALUE"""),"BUKIT TINGGI")</f>
        <v>BUKIT TINGGI</v>
      </c>
      <c r="I1898" s="222" t="str">
        <f>IFERROR(__xludf.DUMMYFUNCTION("""COMPUTED_VALUE"""),"Batch 2")</f>
        <v>Batch 2</v>
      </c>
      <c r="J1898" s="225">
        <f>IFERROR(__xludf.DUMMYFUNCTION("""COMPUTED_VALUE"""),3.0)</f>
        <v>3</v>
      </c>
      <c r="K1898" s="224">
        <f>IFERROR(__xludf.DUMMYFUNCTION("""COMPUTED_VALUE"""),24.0)</f>
        <v>24</v>
      </c>
      <c r="L1898" s="226">
        <f>IFERROR(__xludf.DUMMYFUNCTION("""COMPUTED_VALUE"""),334443.0)</f>
        <v>334443</v>
      </c>
      <c r="M1898" s="227">
        <f>IFERROR(__xludf.DUMMYFUNCTION("""COMPUTED_VALUE"""),8026612.0)</f>
        <v>8026612</v>
      </c>
      <c r="N1898" s="222" t="str">
        <f>IFERROR(__xludf.DUMMYFUNCTION("""COMPUTED_VALUE"""),"PT GARINDO TECHNO MANDIRI")</f>
        <v>PT GARINDO TECHNO MANDIRI</v>
      </c>
      <c r="O1898" s="222" t="str">
        <f>IFERROR(__xludf.DUMMYFUNCTION("""COMPUTED_VALUE"""),"0. DROP")</f>
        <v>0. DROP</v>
      </c>
      <c r="P1898" s="222" t="str">
        <f>IFERROR(__xludf.DUMMYFUNCTION("""COMPUTED_VALUE"""),"0.1 Double Order")</f>
        <v>0.1 Double Order</v>
      </c>
      <c r="Q1898" s="222" t="str">
        <f>IFERROR(__xludf.DUMMYFUNCTION("""COMPUTED_VALUE"""),"(26/01) doubel order dan sudah GL (07/01) Persiapan")</f>
        <v>(26/01) doubel order dan sudah GL (07/01) Persiapan</v>
      </c>
      <c r="R1898" s="228"/>
      <c r="S1898" s="11"/>
      <c r="T1898" s="11"/>
      <c r="U1898" s="11"/>
      <c r="V1898" s="229" t="str">
        <f>IFERROR(__xludf.DUMMYFUNCTION("""COMPUTED_VALUE"""),"DELPA YANDA")</f>
        <v>DELPA YANDA</v>
      </c>
      <c r="W1898" s="229" t="str">
        <f>IFERROR(__xludf.DUMMYFUNCTION("""COMPUTED_VALUE"""),"MELKO NARWADI")</f>
        <v>MELKO NARWADI</v>
      </c>
      <c r="X1898" s="229" t="str">
        <f>IFERROR(__xludf.DUMMYFUNCTION("""COMPUTED_VALUE"""),"BELUM GOLIVE")</f>
        <v>BELUM GOLIVE</v>
      </c>
      <c r="Y1898" s="229"/>
      <c r="Z1898" s="229" t="str">
        <f>IFERROR(__xludf.DUMMYFUNCTION("""COMPUTED_VALUE"""),"#N/A")</f>
        <v>#N/A</v>
      </c>
      <c r="AA1898" s="229"/>
      <c r="AB1898" s="229"/>
      <c r="AC1898" s="229"/>
      <c r="AD1898" s="232"/>
      <c r="AE1898" s="233"/>
      <c r="AF1898" s="54" t="str">
        <f>IFERROR(__xludf.DUMMYFUNCTION("""COMPUTED_VALUE"""),"Draft BA DROP")</f>
        <v>Draft BA DROP</v>
      </c>
      <c r="AG1898" s="54"/>
      <c r="AH1898" s="54"/>
      <c r="AI1898" s="55" t="str">
        <f t="shared" si="190"/>
        <v/>
      </c>
      <c r="AW1898" s="234"/>
      <c r="BP1898" s="11"/>
      <c r="BQ1898" s="11"/>
      <c r="BR1898" s="235"/>
      <c r="BV1898" s="158"/>
      <c r="BY1898" s="158"/>
      <c r="CB1898" s="158"/>
    </row>
    <row r="1899" ht="18.0" hidden="1" customHeight="1">
      <c r="A1899" s="222">
        <f>IFERROR(__xludf.DUMMYFUNCTION("""COMPUTED_VALUE"""),2026.0)</f>
        <v>2026</v>
      </c>
      <c r="B1899" s="221">
        <f>IFERROR(__xludf.DUMMYFUNCTION("""COMPUTED_VALUE"""),1.1391997E7)</f>
        <v>11391997</v>
      </c>
      <c r="C1899" s="222" t="str">
        <f>IFERROR(__xludf.DUMMYFUNCTION("""COMPUTED_VALUE"""),"MDN PT3 KUL-FL LANGKAT_8044")</f>
        <v>MDN PT3 KUL-FL LANGKAT_8044</v>
      </c>
      <c r="D1899" s="222" t="str">
        <f>IFERROR(__xludf.DUMMYFUNCTION("""COMPUTED_VALUE"""),"REGIONAL I")</f>
        <v>REGIONAL I</v>
      </c>
      <c r="E1899" s="222" t="str">
        <f>IFERROR(__xludf.DUMMYFUNCTION("""COMPUTED_VALUE"""),"MEDAN")</f>
        <v>MEDAN</v>
      </c>
      <c r="F1899" s="222" t="str">
        <f>IFERROR(__xludf.DUMMYFUNCTION("""COMPUTED_VALUE"""),"KUL")</f>
        <v>KUL</v>
      </c>
      <c r="G1899" s="222" t="str">
        <f>IFERROR(__xludf.DUMMYFUNCTION("""COMPUTED_VALUE"""),"SUMBAGUT")</f>
        <v>SUMBAGUT</v>
      </c>
      <c r="H1899" s="222" t="str">
        <f>IFERROR(__xludf.DUMMYFUNCTION("""COMPUTED_VALUE"""),"BINJAI")</f>
        <v>BINJAI</v>
      </c>
      <c r="I1899" s="222" t="str">
        <f>IFERROR(__xludf.DUMMYFUNCTION("""COMPUTED_VALUE"""),"Batch 2")</f>
        <v>Batch 2</v>
      </c>
      <c r="J1899" s="225"/>
      <c r="K1899" s="224">
        <f>IFERROR(__xludf.DUMMYFUNCTION("""COMPUTED_VALUE"""),8.0)</f>
        <v>8</v>
      </c>
      <c r="L1899" s="226">
        <f>IFERROR(__xludf.DUMMYFUNCTION("""COMPUTED_VALUE"""),78723.0)</f>
        <v>78723</v>
      </c>
      <c r="M1899" s="227">
        <f>IFERROR(__xludf.DUMMYFUNCTION("""COMPUTED_VALUE"""),629783.0)</f>
        <v>629783</v>
      </c>
      <c r="N1899" s="222" t="str">
        <f>IFERROR(__xludf.DUMMYFUNCTION("""COMPUTED_VALUE"""),"PT KENCANA RAYA INDONESIA")</f>
        <v>PT KENCANA RAYA INDONESIA</v>
      </c>
      <c r="O1899" s="222" t="str">
        <f>IFERROR(__xludf.DUMMYFUNCTION("""COMPUTED_VALUE"""),"3. PERIZINAN")</f>
        <v>3. PERIZINAN</v>
      </c>
      <c r="P1899" s="222" t="str">
        <f>IFERROR(__xludf.DUMMYFUNCTION("""COMPUTED_VALUE"""),"3.9 Izin Kades / Lurah / RTRW")</f>
        <v>3.9 Izin Kades / Lurah / RTRW</v>
      </c>
      <c r="Q1899" s="222" t="str">
        <f>IFERROR(__xludf.DUMMYFUNCTION("""COMPUTED_VALUE"""),"(13/02) feeder distribusi ready (07/01) Persiapan")</f>
        <v>(13/02) feeder distribusi ready (07/01) Persiapan</v>
      </c>
      <c r="R1899" s="228"/>
      <c r="S1899" s="11"/>
      <c r="T1899" s="73"/>
      <c r="U1899" s="11"/>
      <c r="V1899" s="229" t="str">
        <f>IFERROR(__xludf.DUMMYFUNCTION("""COMPUTED_VALUE"""),"28/Apr/2026")</f>
        <v>28/Apr/2026</v>
      </c>
      <c r="W1899" s="229"/>
      <c r="X1899" s="229" t="str">
        <f>IFERROR(__xludf.DUMMYFUNCTION("""COMPUTED_VALUE"""),"BELUM GOLIVE")</f>
        <v>BELUM GOLIVE</v>
      </c>
      <c r="Y1899" s="229"/>
      <c r="Z1899" s="229" t="str">
        <f>IFERROR(__xludf.DUMMYFUNCTION("""COMPUTED_VALUE"""),"#N/A")</f>
        <v>#N/A</v>
      </c>
      <c r="AA1899" s="229"/>
      <c r="AB1899" s="229"/>
      <c r="AC1899" s="229"/>
      <c r="AD1899" s="232"/>
      <c r="AE1899" s="233"/>
      <c r="AF1899" s="54"/>
      <c r="AG1899" s="54"/>
      <c r="AH1899" s="54"/>
      <c r="AI1899" s="55" t="str">
        <f t="shared" si="190"/>
        <v/>
      </c>
      <c r="AW1899" s="234"/>
      <c r="BP1899" s="11"/>
      <c r="BQ1899" s="11"/>
      <c r="BR1899" s="235"/>
      <c r="BV1899" s="158"/>
      <c r="BY1899" s="158"/>
      <c r="CB1899" s="158"/>
    </row>
    <row r="1900" ht="18.0" customHeight="1">
      <c r="A1900" s="222">
        <f>IFERROR(__xludf.DUMMYFUNCTION("""COMPUTED_VALUE"""),2026.0)</f>
        <v>2026</v>
      </c>
      <c r="B1900" s="221">
        <f>IFERROR(__xludf.DUMMYFUNCTION("""COMPUTED_VALUE"""),1.1529505E7)</f>
        <v>11529505</v>
      </c>
      <c r="C1900" s="222" t="str">
        <f>IFERROR(__xludf.DUMMYFUNCTION("""COMPUTED_VALUE"""),"RDR PBR PT3 P2I1 KENCANA LAND")</f>
        <v>RDR PBR PT3 P2I1 KENCANA LAND</v>
      </c>
      <c r="D1900" s="222" t="str">
        <f>IFERROR(__xludf.DUMMYFUNCTION("""COMPUTED_VALUE"""),"REGIONAL I")</f>
        <v>REGIONAL I</v>
      </c>
      <c r="E1900" s="222" t="str">
        <f>IFERROR(__xludf.DUMMYFUNCTION("""COMPUTED_VALUE"""),"RIDAR")</f>
        <v>RIDAR</v>
      </c>
      <c r="F1900" s="222" t="str">
        <f>IFERROR(__xludf.DUMMYFUNCTION("""COMPUTED_VALUE"""),"PBB")</f>
        <v>PBB</v>
      </c>
      <c r="G1900" s="222" t="str">
        <f>IFERROR(__xludf.DUMMYFUNCTION("""COMPUTED_VALUE"""),"SUMBAGTENG")</f>
        <v>SUMBAGTENG</v>
      </c>
      <c r="H1900" s="222" t="str">
        <f>IFERROR(__xludf.DUMMYFUNCTION("""COMPUTED_VALUE"""),"PEKANBARU")</f>
        <v>PEKANBARU</v>
      </c>
      <c r="I1900" s="222" t="str">
        <f>IFERROR(__xludf.DUMMYFUNCTION("""COMPUTED_VALUE"""),"Batch 2")</f>
        <v>Batch 2</v>
      </c>
      <c r="J1900" s="225">
        <f>IFERROR(__xludf.DUMMYFUNCTION("""COMPUTED_VALUE"""),13.0)</f>
        <v>13</v>
      </c>
      <c r="K1900" s="224">
        <f>IFERROR(__xludf.DUMMYFUNCTION("""COMPUTED_VALUE"""),104.0)</f>
        <v>104</v>
      </c>
      <c r="L1900" s="226">
        <f>IFERROR(__xludf.DUMMYFUNCTION("""COMPUTED_VALUE"""),1460010.0)</f>
        <v>1460010</v>
      </c>
      <c r="M1900" s="227">
        <f>IFERROR(__xludf.DUMMYFUNCTION("""COMPUTED_VALUE"""),1.51840953E8)</f>
        <v>151840953</v>
      </c>
      <c r="N1900" s="222" t="str">
        <f>IFERROR(__xludf.DUMMYFUNCTION("""COMPUTED_VALUE"""),"PT UPAYA TEKNIK")</f>
        <v>PT UPAYA TEKNIK</v>
      </c>
      <c r="O1900" s="222" t="str">
        <f>IFERROR(__xludf.DUMMYFUNCTION("""COMPUTED_VALUE"""),"0. DROP")</f>
        <v>0. DROP</v>
      </c>
      <c r="P1900" s="222" t="str">
        <f>IFERROR(__xludf.DUMMYFUNCTION("""COMPUTED_VALUE"""),"0.3 Feeder Full")</f>
        <v>0.3 Feeder Full</v>
      </c>
      <c r="Q1900" s="222" t="str">
        <f>IFERROR(__xludf.DUMMYFUNCTION("""COMPUTED_VALUE"""),"20/01 Kendala feeder full (07/01) Persiapan")</f>
        <v>20/01 Kendala feeder full (07/01) Persiapan</v>
      </c>
      <c r="R1900" s="228"/>
      <c r="S1900" s="11"/>
      <c r="T1900" s="11"/>
      <c r="U1900" s="11"/>
      <c r="V1900" s="229" t="str">
        <f>IFERROR(__xludf.DUMMYFUNCTION("""COMPUTED_VALUE"""),"GUSKAR DIYONAL")</f>
        <v>GUSKAR DIYONAL</v>
      </c>
      <c r="W1900" s="229" t="str">
        <f>IFERROR(__xludf.DUMMYFUNCTION("""COMPUTED_VALUE"""),"ANZALA SAKINAH")</f>
        <v>ANZALA SAKINAH</v>
      </c>
      <c r="X1900" s="229" t="str">
        <f>IFERROR(__xludf.DUMMYFUNCTION("""COMPUTED_VALUE"""),"BELUM GOLIVE")</f>
        <v>BELUM GOLIVE</v>
      </c>
      <c r="Y1900" s="229"/>
      <c r="Z1900" s="229" t="str">
        <f>IFERROR(__xludf.DUMMYFUNCTION("""COMPUTED_VALUE"""),"#N/A")</f>
        <v>#N/A</v>
      </c>
      <c r="AA1900" s="229"/>
      <c r="AB1900" s="229"/>
      <c r="AC1900" s="229"/>
      <c r="AD1900" s="232"/>
      <c r="AE1900" s="233"/>
      <c r="AF1900" s="54" t="str">
        <f>IFERROR(__xludf.DUMMYFUNCTION("""COMPUTED_VALUE"""),"Draft BA DROP")</f>
        <v>Draft BA DROP</v>
      </c>
      <c r="AG1900" s="54"/>
      <c r="AH1900" s="54"/>
      <c r="AI1900" s="55" t="str">
        <f t="shared" si="190"/>
        <v/>
      </c>
      <c r="AW1900" s="234"/>
      <c r="BP1900" s="11"/>
      <c r="BQ1900" s="11"/>
      <c r="BR1900" s="235"/>
      <c r="BV1900" s="158"/>
      <c r="BY1900" s="158"/>
      <c r="CB1900" s="158"/>
    </row>
    <row r="1901" ht="18.0" hidden="1" customHeight="1">
      <c r="A1901" s="222">
        <f>IFERROR(__xludf.DUMMYFUNCTION("""COMPUTED_VALUE"""),2026.0)</f>
        <v>2026</v>
      </c>
      <c r="B1901" s="221">
        <f>IFERROR(__xludf.DUMMYFUNCTION("""COMPUTED_VALUE"""),1.1380513E7)</f>
        <v>11380513</v>
      </c>
      <c r="C1901" s="222" t="str">
        <f>IFERROR(__xludf.DUMMYFUNCTION("""COMPUTED_VALUE"""),"MDN PT2 PER-FK SERDANG BEDAGAI_10298")</f>
        <v>MDN PT2 PER-FK SERDANG BEDAGAI_10298</v>
      </c>
      <c r="D1901" s="222" t="str">
        <f>IFERROR(__xludf.DUMMYFUNCTION("""COMPUTED_VALUE"""),"REGIONAL I")</f>
        <v>REGIONAL I</v>
      </c>
      <c r="E1901" s="222" t="str">
        <f>IFERROR(__xludf.DUMMYFUNCTION("""COMPUTED_VALUE"""),"MEDAN")</f>
        <v>MEDAN</v>
      </c>
      <c r="F1901" s="222" t="str">
        <f>IFERROR(__xludf.DUMMYFUNCTION("""COMPUTED_VALUE"""),"PER")</f>
        <v>PER</v>
      </c>
      <c r="G1901" s="222" t="str">
        <f>IFERROR(__xludf.DUMMYFUNCTION("""COMPUTED_VALUE"""),"SUMBAGUT")</f>
        <v>SUMBAGUT</v>
      </c>
      <c r="H1901" s="222" t="str">
        <f>IFERROR(__xludf.DUMMYFUNCTION("""COMPUTED_VALUE"""),"PEMATANG SIANTAR")</f>
        <v>PEMATANG SIANTAR</v>
      </c>
      <c r="I1901" s="222" t="str">
        <f>IFERROR(__xludf.DUMMYFUNCTION("""COMPUTED_VALUE"""),"Batch 2")</f>
        <v>Batch 2</v>
      </c>
      <c r="J1901" s="225">
        <f>IFERROR(__xludf.DUMMYFUNCTION("""COMPUTED_VALUE"""),2.0)</f>
        <v>2</v>
      </c>
      <c r="K1901" s="224">
        <f>IFERROR(__xludf.DUMMYFUNCTION("""COMPUTED_VALUE"""),16.0)</f>
        <v>16</v>
      </c>
      <c r="L1901" s="226">
        <f>IFERROR(__xludf.DUMMYFUNCTION("""COMPUTED_VALUE"""),360863.0)</f>
        <v>360863</v>
      </c>
      <c r="M1901" s="227">
        <f>IFERROR(__xludf.DUMMYFUNCTION("""COMPUTED_VALUE"""),5773798.0)</f>
        <v>5773798</v>
      </c>
      <c r="N1901" s="222" t="str">
        <f>IFERROR(__xludf.DUMMYFUNCTION("""COMPUTED_VALUE"""),"PT BONGKAR SEJATI ANDALAN")</f>
        <v>PT BONGKAR SEJATI ANDALAN</v>
      </c>
      <c r="O1901" s="222" t="str">
        <f>IFERROR(__xludf.DUMMYFUNCTION("""COMPUTED_VALUE"""),"8. UJI TERIMA")</f>
        <v>8. UJI TERIMA</v>
      </c>
      <c r="P1901" s="222" t="str">
        <f>IFERROR(__xludf.DUMMYFUNCTION("""COMPUTED_VALUE"""),"8.1 Proses UT")</f>
        <v>8.1 Proses UT</v>
      </c>
      <c r="Q1901" s="222" t="str">
        <f>IFERROR(__xludf.DUMMYFUNCTION("""COMPUTED_VALUE"""),"22/01 golive sdi
(07/01) Persiapan")</f>
        <v>22/01 golive sdi
(07/01) Persiapan</v>
      </c>
      <c r="R1901" s="228">
        <f>IFERROR(__xludf.DUMMYFUNCTION("""COMPUTED_VALUE"""),46044.0)</f>
        <v>46044</v>
      </c>
      <c r="S1901" s="11"/>
      <c r="T1901" s="11"/>
      <c r="U1901" s="11" t="str">
        <f>IFERROR(__xludf.DUMMYFUNCTION("""COMPUTED_VALUE"""),"FALSE")</f>
        <v>FALSE</v>
      </c>
      <c r="V1901" s="229"/>
      <c r="W1901" s="229"/>
      <c r="X1901" s="229" t="str">
        <f>IFERROR(__xludf.DUMMYFUNCTION("""COMPUTED_VALUE"""),"GOLIVE")</f>
        <v>GOLIVE</v>
      </c>
      <c r="Y1901" s="229" t="str">
        <f>IFERROR(__xludf.DUMMYFUNCTION("""COMPUTED_VALUE"""),"DONE")</f>
        <v>DONE</v>
      </c>
      <c r="Z1901" s="229" t="str">
        <f>IFERROR(__xludf.DUMMYFUNCTION("""COMPUTED_VALUE"""),"#N/A")</f>
        <v>#N/A</v>
      </c>
      <c r="AA1901" s="229">
        <f>IFERROR(__xludf.DUMMYFUNCTION("""COMPUTED_VALUE"""),2.0)</f>
        <v>2</v>
      </c>
      <c r="AB1901" s="229"/>
      <c r="AC1901" s="229" t="str">
        <f>IFERROR(__xludf.DUMMYFUNCTION("""COMPUTED_VALUE"""),"9000231#9000236")</f>
        <v>9000231#9000236</v>
      </c>
      <c r="AD1901" s="232">
        <f>IFERROR(__xludf.DUMMYFUNCTION("""COMPUTED_VALUE"""),16.0)</f>
        <v>16</v>
      </c>
      <c r="AE1901" s="233">
        <f>IFERROR(__xludf.DUMMYFUNCTION("""COMPUTED_VALUE"""),46044.0)</f>
        <v>46044</v>
      </c>
      <c r="AF1901" s="54"/>
      <c r="AG1901" s="54"/>
      <c r="AH1901" s="54">
        <v>46044.0</v>
      </c>
      <c r="AI1901" s="55">
        <f t="shared" si="190"/>
        <v>0</v>
      </c>
      <c r="AW1901" s="234"/>
      <c r="BP1901" s="11"/>
      <c r="BQ1901" s="11"/>
      <c r="BR1901" s="235"/>
      <c r="BV1901" s="158"/>
      <c r="BY1901" s="158"/>
      <c r="CB1901" s="158"/>
    </row>
    <row r="1902" ht="18.0" hidden="1" customHeight="1">
      <c r="A1902" s="222">
        <f>IFERROR(__xludf.DUMMYFUNCTION("""COMPUTED_VALUE"""),2026.0)</f>
        <v>2026</v>
      </c>
      <c r="B1902" s="221">
        <f>IFERROR(__xludf.DUMMYFUNCTION("""COMPUTED_VALUE"""),1.1532921E7)</f>
        <v>11532921</v>
      </c>
      <c r="C1902" s="222" t="str">
        <f>IFERROR(__xludf.DUMMYFUNCTION("""COMPUTED_VALUE"""),"MDN PT3 SPM-FBY GG.KEDONDONG")</f>
        <v>MDN PT3 SPM-FBY GG.KEDONDONG</v>
      </c>
      <c r="D1902" s="222" t="str">
        <f>IFERROR(__xludf.DUMMYFUNCTION("""COMPUTED_VALUE"""),"REGIONAL I")</f>
        <v>REGIONAL I</v>
      </c>
      <c r="E1902" s="222" t="str">
        <f>IFERROR(__xludf.DUMMYFUNCTION("""COMPUTED_VALUE"""),"MEDAN")</f>
        <v>MEDAN</v>
      </c>
      <c r="F1902" s="222" t="str">
        <f>IFERROR(__xludf.DUMMYFUNCTION("""COMPUTED_VALUE"""),"SPM")</f>
        <v>SPM</v>
      </c>
      <c r="G1902" s="222" t="str">
        <f>IFERROR(__xludf.DUMMYFUNCTION("""COMPUTED_VALUE"""),"SUMBAGUT")</f>
        <v>SUMBAGUT</v>
      </c>
      <c r="H1902" s="222" t="str">
        <f>IFERROR(__xludf.DUMMYFUNCTION("""COMPUTED_VALUE"""),"MEDAN")</f>
        <v>MEDAN</v>
      </c>
      <c r="I1902" s="222" t="str">
        <f>IFERROR(__xludf.DUMMYFUNCTION("""COMPUTED_VALUE"""),"Batch 2")</f>
        <v>Batch 2</v>
      </c>
      <c r="J1902" s="225">
        <f>IFERROR(__xludf.DUMMYFUNCTION("""COMPUTED_VALUE"""),2.0)</f>
        <v>2</v>
      </c>
      <c r="K1902" s="224">
        <f>IFERROR(__xludf.DUMMYFUNCTION("""COMPUTED_VALUE"""),16.0)</f>
        <v>16</v>
      </c>
      <c r="L1902" s="226">
        <f>IFERROR(__xludf.DUMMYFUNCTION("""COMPUTED_VALUE"""),474499.0)</f>
        <v>474499</v>
      </c>
      <c r="M1902" s="227">
        <f>IFERROR(__xludf.DUMMYFUNCTION("""COMPUTED_VALUE"""),7591969.0)</f>
        <v>7591969</v>
      </c>
      <c r="N1902" s="222" t="str">
        <f>IFERROR(__xludf.DUMMYFUNCTION("""COMPUTED_VALUE"""),"PT WALET SOLUSINDO")</f>
        <v>PT WALET SOLUSINDO</v>
      </c>
      <c r="O1902" s="222" t="str">
        <f>IFERROR(__xludf.DUMMYFUNCTION("""COMPUTED_VALUE"""),"0. DROP")</f>
        <v>0. DROP</v>
      </c>
      <c r="P1902" s="222" t="str">
        <f>IFERROR(__xludf.DUMMYFUNCTION("""COMPUTED_VALUE"""),"0.3 Feeder Full")</f>
        <v>0.3 Feeder Full</v>
      </c>
      <c r="Q1902" s="222" t="str">
        <f>IFERROR(__xludf.DUMMYFUNCTION("""COMPUTED_VALUE"""),"12/02 Feeder habis 21/01 Done Order, lnjut Aanwidzing")</f>
        <v>12/02 Feeder habis 21/01 Done Order, lnjut Aanwidzing</v>
      </c>
      <c r="R1902" s="228"/>
      <c r="S1902" s="11"/>
      <c r="T1902" s="11"/>
      <c r="U1902" s="11"/>
      <c r="V1902" s="229"/>
      <c r="W1902" s="229"/>
      <c r="X1902" s="229" t="str">
        <f>IFERROR(__xludf.DUMMYFUNCTION("""COMPUTED_VALUE"""),"BELUM GOLIVE")</f>
        <v>BELUM GOLIVE</v>
      </c>
      <c r="Y1902" s="229"/>
      <c r="Z1902" s="229" t="str">
        <f>IFERROR(__xludf.DUMMYFUNCTION("""COMPUTED_VALUE"""),"#N/A")</f>
        <v>#N/A</v>
      </c>
      <c r="AA1902" s="229"/>
      <c r="AB1902" s="229"/>
      <c r="AC1902" s="229"/>
      <c r="AD1902" s="232"/>
      <c r="AE1902" s="233"/>
      <c r="AF1902" s="54"/>
      <c r="AG1902" s="54"/>
      <c r="AH1902" s="54"/>
      <c r="AI1902" s="55" t="str">
        <f t="shared" si="190"/>
        <v/>
      </c>
      <c r="AW1902" s="234"/>
      <c r="BP1902" s="11"/>
      <c r="BQ1902" s="11"/>
      <c r="BR1902" s="235"/>
      <c r="BV1902" s="158"/>
      <c r="BY1902" s="158"/>
      <c r="CB1902" s="158"/>
    </row>
    <row r="1903" ht="18.0" customHeight="1">
      <c r="A1903" s="222">
        <f>IFERROR(__xludf.DUMMYFUNCTION("""COMPUTED_VALUE"""),2026.0)</f>
        <v>2026</v>
      </c>
      <c r="B1903" s="221">
        <f>IFERROR(__xludf.DUMMYFUNCTION("""COMPUTED_VALUE"""),1.1348349E7)</f>
        <v>11348349</v>
      </c>
      <c r="C1903" s="222" t="str">
        <f>IFERROR(__xludf.DUMMYFUNCTION("""COMPUTED_VALUE"""),"SMB P2I2 Jl. Minangkabau PAUD Miftahul")</f>
        <v>SMB P2I2 Jl. Minangkabau PAUD Miftahul</v>
      </c>
      <c r="D1903" s="222" t="str">
        <f>IFERROR(__xludf.DUMMYFUNCTION("""COMPUTED_VALUE"""),"REGIONAL I")</f>
        <v>REGIONAL I</v>
      </c>
      <c r="E1903" s="222" t="str">
        <f>IFERROR(__xludf.DUMMYFUNCTION("""COMPUTED_VALUE"""),"SUMBAR")</f>
        <v>SUMBAR</v>
      </c>
      <c r="F1903" s="222" t="str">
        <f>IFERROR(__xludf.DUMMYFUNCTION("""COMPUTED_VALUE"""),"LBB")</f>
        <v>LBB</v>
      </c>
      <c r="G1903" s="222" t="str">
        <f>IFERROR(__xludf.DUMMYFUNCTION("""COMPUTED_VALUE"""),"SUMBAGTENG")</f>
        <v>SUMBAGTENG</v>
      </c>
      <c r="H1903" s="222" t="str">
        <f>IFERROR(__xludf.DUMMYFUNCTION("""COMPUTED_VALUE"""),"BUKIT TINGGI")</f>
        <v>BUKIT TINGGI</v>
      </c>
      <c r="I1903" s="222" t="str">
        <f>IFERROR(__xludf.DUMMYFUNCTION("""COMPUTED_VALUE"""),"Batch 2")</f>
        <v>Batch 2</v>
      </c>
      <c r="J1903" s="225">
        <f>IFERROR(__xludf.DUMMYFUNCTION("""COMPUTED_VALUE"""),2.0)</f>
        <v>2</v>
      </c>
      <c r="K1903" s="224">
        <f>IFERROR(__xludf.DUMMYFUNCTION("""COMPUTED_VALUE"""),16.0)</f>
        <v>16</v>
      </c>
      <c r="L1903" s="226">
        <f>IFERROR(__xludf.DUMMYFUNCTION("""COMPUTED_VALUE"""),317789.0)</f>
        <v>317789</v>
      </c>
      <c r="M1903" s="227">
        <f>IFERROR(__xludf.DUMMYFUNCTION("""COMPUTED_VALUE"""),5084617.0)</f>
        <v>5084617</v>
      </c>
      <c r="N1903" s="222" t="str">
        <f>IFERROR(__xludf.DUMMYFUNCTION("""COMPUTED_VALUE"""),"PT TIGA AKSES MANDIRI")</f>
        <v>PT TIGA AKSES MANDIRI</v>
      </c>
      <c r="O1903" s="222" t="str">
        <f>IFERROR(__xludf.DUMMYFUNCTION("""COMPUTED_VALUE"""),"0. DROP")</f>
        <v>0. DROP</v>
      </c>
      <c r="P1903" s="222" t="str">
        <f>IFERROR(__xludf.DUMMYFUNCTION("""COMPUTED_VALUE"""),"0.5 DROP TSEL - Acc ED TIF")</f>
        <v>0.5 DROP TSEL - Acc ED TIF</v>
      </c>
      <c r="Q1903"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1903" s="228"/>
      <c r="S1903" s="11"/>
      <c r="T1903" s="11"/>
      <c r="U1903" s="11"/>
      <c r="V1903" s="229" t="str">
        <f>IFERROR(__xludf.DUMMYFUNCTION("""COMPUTED_VALUE"""),"JANUAR RIZAL")</f>
        <v>JANUAR RIZAL</v>
      </c>
      <c r="W1903" s="229" t="str">
        <f>IFERROR(__xludf.DUMMYFUNCTION("""COMPUTED_VALUE"""),"MELKO NARWADI")</f>
        <v>MELKO NARWADI</v>
      </c>
      <c r="X1903" s="229" t="str">
        <f>IFERROR(__xludf.DUMMYFUNCTION("""COMPUTED_VALUE"""),"BELUM GOLIVE")</f>
        <v>BELUM GOLIVE</v>
      </c>
      <c r="Y1903" s="229"/>
      <c r="Z1903" s="229" t="str">
        <f>IFERROR(__xludf.DUMMYFUNCTION("""COMPUTED_VALUE"""),"#N/A")</f>
        <v>#N/A</v>
      </c>
      <c r="AA1903" s="229"/>
      <c r="AB1903" s="229"/>
      <c r="AC1903" s="229"/>
      <c r="AD1903" s="232"/>
      <c r="AE1903" s="233"/>
      <c r="AF1903" s="54"/>
      <c r="AG1903" s="54"/>
      <c r="AH1903" s="54"/>
      <c r="AI1903" s="55" t="str">
        <f t="shared" si="190"/>
        <v/>
      </c>
      <c r="AW1903" s="234"/>
      <c r="BP1903" s="11"/>
      <c r="BQ1903" s="11"/>
      <c r="BR1903" s="235"/>
      <c r="BV1903" s="158"/>
      <c r="BY1903" s="158"/>
      <c r="CB1903" s="158"/>
    </row>
    <row r="1904" ht="18.0" hidden="1" customHeight="1">
      <c r="A1904" s="222">
        <f>IFERROR(__xludf.DUMMYFUNCTION("""COMPUTED_VALUE"""),2026.0)</f>
        <v>2026</v>
      </c>
      <c r="B1904" s="221">
        <f>IFERROR(__xludf.DUMMYFUNCTION("""COMPUTED_VALUE"""),1.1272356E7)</f>
        <v>11272356</v>
      </c>
      <c r="C1904" s="222" t="str">
        <f>IFERROR(__xludf.DUMMYFUNCTION("""COMPUTED_VALUE"""),"MDN PT3 P1I1 KUL-FB DUSUN SENO")</f>
        <v>MDN PT3 P1I1 KUL-FB DUSUN SENO</v>
      </c>
      <c r="D1904" s="222" t="str">
        <f>IFERROR(__xludf.DUMMYFUNCTION("""COMPUTED_VALUE"""),"REGIONAL I")</f>
        <v>REGIONAL I</v>
      </c>
      <c r="E1904" s="222" t="str">
        <f>IFERROR(__xludf.DUMMYFUNCTION("""COMPUTED_VALUE"""),"MEDAN")</f>
        <v>MEDAN</v>
      </c>
      <c r="F1904" s="222" t="str">
        <f>IFERROR(__xludf.DUMMYFUNCTION("""COMPUTED_VALUE"""),"KUL")</f>
        <v>KUL</v>
      </c>
      <c r="G1904" s="222" t="str">
        <f>IFERROR(__xludf.DUMMYFUNCTION("""COMPUTED_VALUE"""),"SUMBAGUT")</f>
        <v>SUMBAGUT</v>
      </c>
      <c r="H1904" s="222" t="str">
        <f>IFERROR(__xludf.DUMMYFUNCTION("""COMPUTED_VALUE"""),"BINJAI")</f>
        <v>BINJAI</v>
      </c>
      <c r="I1904" s="222" t="str">
        <f>IFERROR(__xludf.DUMMYFUNCTION("""COMPUTED_VALUE"""),"Batch 2")</f>
        <v>Batch 2</v>
      </c>
      <c r="J1904" s="225">
        <f>IFERROR(__xludf.DUMMYFUNCTION("""COMPUTED_VALUE"""),5.0)</f>
        <v>5</v>
      </c>
      <c r="K1904" s="224">
        <f>IFERROR(__xludf.DUMMYFUNCTION("""COMPUTED_VALUE"""),40.0)</f>
        <v>40</v>
      </c>
      <c r="L1904" s="226">
        <f>IFERROR(__xludf.DUMMYFUNCTION("""COMPUTED_VALUE"""),1092949.0)</f>
        <v>1092949</v>
      </c>
      <c r="M1904" s="227">
        <f>IFERROR(__xludf.DUMMYFUNCTION("""COMPUTED_VALUE"""),4.3717926E7)</f>
        <v>43717926</v>
      </c>
      <c r="N1904" s="222" t="str">
        <f>IFERROR(__xludf.DUMMYFUNCTION("""COMPUTED_VALUE"""),"PT KENCANA RAYA INDONESIA")</f>
        <v>PT KENCANA RAYA INDONESIA</v>
      </c>
      <c r="O1904" s="222" t="str">
        <f>IFERROR(__xludf.DUMMYFUNCTION("""COMPUTED_VALUE"""),"5. INSTALASI")</f>
        <v>5. INSTALASI</v>
      </c>
      <c r="P1904" s="222" t="str">
        <f>IFERROR(__xludf.DUMMYFUNCTION("""COMPUTED_VALUE"""),"5.6 Proses Penarikan Kabel")</f>
        <v>5.6 Proses Penarikan Kabel</v>
      </c>
      <c r="Q1904" s="222" t="str">
        <f>IFERROR(__xludf.DUMMYFUNCTION("""COMPUTED_VALUE"""),"20/04 OGP instalasi penarikan kabel
08/04 on going req material
13/02 feeder distribusi ready (08/01) drop permintaan tsel (07/01) Persiapan")</f>
        <v>20/04 OGP instalasi penarikan kabel
08/04 on going req material
13/02 feeder distribusi ready (08/01) drop permintaan tsel (07/01) Persiapan</v>
      </c>
      <c r="R1904" s="228">
        <f>IFERROR(__xludf.DUMMYFUNCTION("""COMPUTED_VALUE"""),46137.0)</f>
        <v>46137</v>
      </c>
      <c r="S1904" s="11" t="str">
        <f>IFERROR(__xludf.DUMMYFUNCTION("""COMPUTED_VALUE"""),"APR")</f>
        <v>APR</v>
      </c>
      <c r="T1904" s="73"/>
      <c r="U1904" s="11"/>
      <c r="V1904" s="229" t="str">
        <f>IFERROR(__xludf.DUMMYFUNCTION("""COMPUTED_VALUE"""),"28/Apr/2026")</f>
        <v>28/Apr/2026</v>
      </c>
      <c r="W1904" s="229"/>
      <c r="X1904" s="229" t="str">
        <f>IFERROR(__xludf.DUMMYFUNCTION("""COMPUTED_VALUE"""),"BELUM GOLIVE")</f>
        <v>BELUM GOLIVE</v>
      </c>
      <c r="Y1904" s="229"/>
      <c r="Z1904" s="229" t="str">
        <f>IFERROR(__xludf.DUMMYFUNCTION("""COMPUTED_VALUE"""),"#N/A")</f>
        <v>#N/A</v>
      </c>
      <c r="AA1904" s="229"/>
      <c r="AB1904" s="229"/>
      <c r="AC1904" s="229"/>
      <c r="AD1904" s="232"/>
      <c r="AE1904" s="233"/>
      <c r="AF1904" s="54"/>
      <c r="AG1904" s="54"/>
      <c r="AH1904" s="54"/>
      <c r="AI1904" s="55" t="str">
        <f t="shared" si="190"/>
        <v/>
      </c>
      <c r="AW1904" s="234"/>
      <c r="BP1904" s="11"/>
      <c r="BQ1904" s="11"/>
      <c r="BR1904" s="235"/>
      <c r="BV1904" s="158"/>
      <c r="BY1904" s="158"/>
      <c r="CB1904" s="158"/>
    </row>
    <row r="1905" ht="18.0" customHeight="1">
      <c r="A1905" s="222">
        <f>IFERROR(__xludf.DUMMYFUNCTION("""COMPUTED_VALUE"""),2026.0)</f>
        <v>2026</v>
      </c>
      <c r="B1905" s="221">
        <f>IFERROR(__xludf.DUMMYFUNCTION("""COMPUTED_VALUE"""),1.1219558E7)</f>
        <v>11219558</v>
      </c>
      <c r="C1905" s="222" t="str">
        <f>IFERROR(__xludf.DUMMYFUNCTION("""COMPUTED_VALUE"""),"SMB P1I2 AOs3241211125104321b6c950")</f>
        <v>SMB P1I2 AOs3241211125104321b6c950</v>
      </c>
      <c r="D1905" s="222" t="str">
        <f>IFERROR(__xludf.DUMMYFUNCTION("""COMPUTED_VALUE"""),"REGIONAL I")</f>
        <v>REGIONAL I</v>
      </c>
      <c r="E1905" s="222" t="str">
        <f>IFERROR(__xludf.DUMMYFUNCTION("""COMPUTED_VALUE"""),"SUMBAR")</f>
        <v>SUMBAR</v>
      </c>
      <c r="F1905" s="222" t="str">
        <f>IFERROR(__xludf.DUMMYFUNCTION("""COMPUTED_VALUE"""),"BKT")</f>
        <v>BKT</v>
      </c>
      <c r="G1905" s="222" t="str">
        <f>IFERROR(__xludf.DUMMYFUNCTION("""COMPUTED_VALUE"""),"SUMBAGTENG")</f>
        <v>SUMBAGTENG</v>
      </c>
      <c r="H1905" s="222" t="str">
        <f>IFERROR(__xludf.DUMMYFUNCTION("""COMPUTED_VALUE"""),"BUKIT TINGGI")</f>
        <v>BUKIT TINGGI</v>
      </c>
      <c r="I1905" s="222" t="str">
        <f>IFERROR(__xludf.DUMMYFUNCTION("""COMPUTED_VALUE"""),"Batch 2")</f>
        <v>Batch 2</v>
      </c>
      <c r="J1905" s="225">
        <f>IFERROR(__xludf.DUMMYFUNCTION("""COMPUTED_VALUE"""),2.0)</f>
        <v>2</v>
      </c>
      <c r="K1905" s="224">
        <f>IFERROR(__xludf.DUMMYFUNCTION("""COMPUTED_VALUE"""),16.0)</f>
        <v>16</v>
      </c>
      <c r="L1905" s="226">
        <f>IFERROR(__xludf.DUMMYFUNCTION("""COMPUTED_VALUE"""),316405.0)</f>
        <v>316405</v>
      </c>
      <c r="M1905" s="227">
        <f>IFERROR(__xludf.DUMMYFUNCTION("""COMPUTED_VALUE"""),5062469.0)</f>
        <v>5062469</v>
      </c>
      <c r="N1905" s="222" t="str">
        <f>IFERROR(__xludf.DUMMYFUNCTION("""COMPUTED_VALUE"""),"PT GARINDO TECHNO MANDIRI")</f>
        <v>PT GARINDO TECHNO MANDIRI</v>
      </c>
      <c r="O1905" s="222" t="str">
        <f>IFERROR(__xludf.DUMMYFUNCTION("""COMPUTED_VALUE"""),"0. DROP")</f>
        <v>0. DROP</v>
      </c>
      <c r="P1905" s="222" t="str">
        <f>IFERROR(__xludf.DUMMYFUNCTION("""COMPUTED_VALUE"""),"0.5 DROP TSEL - Acc ED TIF")</f>
        <v>0.5 DROP TSEL - Acc ED TIF</v>
      </c>
      <c r="Q1905"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1905" s="228"/>
      <c r="S1905" s="11"/>
      <c r="T1905" s="11"/>
      <c r="U1905" s="11" t="str">
        <f>IFERROR(__xludf.DUMMYFUNCTION("""COMPUTED_VALUE"""),"TIF-5956/2026  26KT03R107-0024 ")</f>
        <v>TIF-5956/2026  26KT03R107-0024 </v>
      </c>
      <c r="V1905" s="229" t="str">
        <f>IFERROR(__xludf.DUMMYFUNCTION("""COMPUTED_VALUE"""),"DELPA YANDA")</f>
        <v>DELPA YANDA</v>
      </c>
      <c r="W1905" s="229" t="str">
        <f>IFERROR(__xludf.DUMMYFUNCTION("""COMPUTED_VALUE"""),"MELKO NARWADI")</f>
        <v>MELKO NARWADI</v>
      </c>
      <c r="X1905" s="229" t="str">
        <f>IFERROR(__xludf.DUMMYFUNCTION("""COMPUTED_VALUE"""),"BELUM GOLIVE")</f>
        <v>BELUM GOLIVE</v>
      </c>
      <c r="Y1905" s="229"/>
      <c r="Z1905" s="229" t="str">
        <f>IFERROR(__xludf.DUMMYFUNCTION("""COMPUTED_VALUE"""),"#N/A")</f>
        <v>#N/A</v>
      </c>
      <c r="AA1905" s="229"/>
      <c r="AB1905" s="229"/>
      <c r="AC1905" s="229"/>
      <c r="AD1905" s="232"/>
      <c r="AE1905" s="233"/>
      <c r="AF1905" s="54"/>
      <c r="AG1905" s="54"/>
      <c r="AH1905" s="54"/>
      <c r="AI1905" s="55" t="str">
        <f t="shared" si="190"/>
        <v/>
      </c>
      <c r="AW1905" s="234"/>
      <c r="BP1905" s="11"/>
      <c r="BQ1905" s="11"/>
      <c r="BR1905" s="235"/>
      <c r="BV1905" s="158"/>
      <c r="BY1905" s="158"/>
      <c r="CB1905" s="158"/>
    </row>
    <row r="1906" ht="18.0" hidden="1" customHeight="1">
      <c r="A1906" s="222">
        <f>IFERROR(__xludf.DUMMYFUNCTION("""COMPUTED_VALUE"""),2026.0)</f>
        <v>2026</v>
      </c>
      <c r="B1906" s="221">
        <f>IFERROR(__xludf.DUMMYFUNCTION("""COMPUTED_VALUE"""),1.2524023E7)</f>
        <v>12524023</v>
      </c>
      <c r="C1906" s="222" t="str">
        <f>IFERROR(__xludf.DUMMYFUNCTION("""COMPUTED_VALUE"""),"MDN 250_1571_1675")</f>
        <v>MDN 250_1571_1675</v>
      </c>
      <c r="D1906" s="222" t="str">
        <f>IFERROR(__xludf.DUMMYFUNCTION("""COMPUTED_VALUE"""),"REGIONAL I")</f>
        <v>REGIONAL I</v>
      </c>
      <c r="E1906" s="222" t="str">
        <f>IFERROR(__xludf.DUMMYFUNCTION("""COMPUTED_VALUE"""),"MEDAN")</f>
        <v>MEDAN</v>
      </c>
      <c r="F1906" s="222" t="str">
        <f>IFERROR(__xludf.DUMMYFUNCTION("""COMPUTED_VALUE"""),"SPM")</f>
        <v>SPM</v>
      </c>
      <c r="G1906" s="222" t="str">
        <f>IFERROR(__xludf.DUMMYFUNCTION("""COMPUTED_VALUE"""),"SUMBAGUT")</f>
        <v>SUMBAGUT</v>
      </c>
      <c r="H1906" s="222" t="str">
        <f>IFERROR(__xludf.DUMMYFUNCTION("""COMPUTED_VALUE"""),"MEDAN")</f>
        <v>MEDAN</v>
      </c>
      <c r="I1906" s="222" t="str">
        <f>IFERROR(__xludf.DUMMYFUNCTION("""COMPUTED_VALUE"""),"Batch 2")</f>
        <v>Batch 2</v>
      </c>
      <c r="J1906" s="225">
        <f>IFERROR(__xludf.DUMMYFUNCTION("""COMPUTED_VALUE"""),3.0)</f>
        <v>3</v>
      </c>
      <c r="K1906" s="224">
        <f>IFERROR(__xludf.DUMMYFUNCTION("""COMPUTED_VALUE"""),24.0)</f>
        <v>24</v>
      </c>
      <c r="L1906" s="226">
        <f>IFERROR(__xludf.DUMMYFUNCTION("""COMPUTED_VALUE"""),304774.0)</f>
        <v>304774</v>
      </c>
      <c r="M1906" s="227">
        <f>IFERROR(__xludf.DUMMYFUNCTION("""COMPUTED_VALUE"""),7314571.0)</f>
        <v>7314571</v>
      </c>
      <c r="N1906" s="222" t="str">
        <f>IFERROR(__xludf.DUMMYFUNCTION("""COMPUTED_VALUE"""),"PT MITRA AKSES INSANI")</f>
        <v>PT MITRA AKSES INSANI</v>
      </c>
      <c r="O1906" s="222" t="str">
        <f>IFERROR(__xludf.DUMMYFUNCTION("""COMPUTED_VALUE"""),"0. DROP")</f>
        <v>0. DROP</v>
      </c>
      <c r="P1906" s="222" t="str">
        <f>IFERROR(__xludf.DUMMYFUNCTION("""COMPUTED_VALUE"""),"0.3 Feeder Full")</f>
        <v>0.3 Feeder Full</v>
      </c>
      <c r="Q1906" s="222" t="str">
        <f>IFERROR(__xludf.DUMMYFUNCTION("""COMPUTED_VALUE"""),"Feeder Habis")</f>
        <v>Feeder Habis</v>
      </c>
      <c r="R1906" s="228"/>
      <c r="S1906" s="11"/>
      <c r="T1906" s="11"/>
      <c r="U1906" s="11"/>
      <c r="V1906" s="229"/>
      <c r="W1906" s="229"/>
      <c r="X1906" s="229" t="str">
        <f>IFERROR(__xludf.DUMMYFUNCTION("""COMPUTED_VALUE"""),"BELUM GOLIVE")</f>
        <v>BELUM GOLIVE</v>
      </c>
      <c r="Y1906" s="229"/>
      <c r="Z1906" s="229" t="str">
        <f>IFERROR(__xludf.DUMMYFUNCTION("""COMPUTED_VALUE"""),"#N/A")</f>
        <v>#N/A</v>
      </c>
      <c r="AA1906" s="229"/>
      <c r="AB1906" s="229"/>
      <c r="AC1906" s="229"/>
      <c r="AD1906" s="232"/>
      <c r="AE1906" s="233"/>
      <c r="AF1906" s="54"/>
      <c r="AG1906" s="54"/>
      <c r="AH1906" s="54"/>
      <c r="AI1906" s="55" t="str">
        <f t="shared" si="190"/>
        <v/>
      </c>
      <c r="AW1906" s="234"/>
      <c r="BP1906" s="11"/>
      <c r="BQ1906" s="11"/>
      <c r="BR1906" s="235"/>
      <c r="BV1906" s="158"/>
      <c r="BY1906" s="158"/>
      <c r="CB1906" s="158"/>
    </row>
    <row r="1907" ht="18.0" hidden="1" customHeight="1">
      <c r="A1907" s="222">
        <f>IFERROR(__xludf.DUMMYFUNCTION("""COMPUTED_VALUE"""),2026.0)</f>
        <v>2026</v>
      </c>
      <c r="B1907" s="221">
        <f>IFERROR(__xludf.DUMMYFUNCTION("""COMPUTED_VALUE"""),1.1481407E7)</f>
        <v>11481407</v>
      </c>
      <c r="C1907" s="222" t="str">
        <f>IFERROR(__xludf.DUMMYFUNCTION("""COMPUTED_VALUE"""),"BNK-PT4-PDW-JPPTSEL- SIDOMULYO")</f>
        <v>BNK-PT4-PDW-JPPTSEL- SIDOMULYO</v>
      </c>
      <c r="D1907" s="222" t="str">
        <f>IFERROR(__xludf.DUMMYFUNCTION("""COMPUTED_VALUE"""),"REGIONAL I")</f>
        <v>REGIONAL I</v>
      </c>
      <c r="E1907" s="222" t="str">
        <f>IFERROR(__xludf.DUMMYFUNCTION("""COMPUTED_VALUE"""),"BENGKULU")</f>
        <v>BENGKULU</v>
      </c>
      <c r="F1907" s="222" t="str">
        <f>IFERROR(__xludf.DUMMYFUNCTION("""COMPUTED_VALUE"""),"PDW")</f>
        <v>PDW</v>
      </c>
      <c r="G1907" s="222" t="str">
        <f>IFERROR(__xludf.DUMMYFUNCTION("""COMPUTED_VALUE"""),"SUMBAGSEL")</f>
        <v>SUMBAGSEL</v>
      </c>
      <c r="H1907" s="222" t="str">
        <f>IFERROR(__xludf.DUMMYFUNCTION("""COMPUTED_VALUE"""),"BENGKULU")</f>
        <v>BENGKULU</v>
      </c>
      <c r="I1907" s="222" t="str">
        <f>IFERROR(__xludf.DUMMYFUNCTION("""COMPUTED_VALUE"""),"Batch 2")</f>
        <v>Batch 2</v>
      </c>
      <c r="J1907" s="225">
        <f>IFERROR(__xludf.DUMMYFUNCTION("""COMPUTED_VALUE"""),52.0)</f>
        <v>52</v>
      </c>
      <c r="K1907" s="224">
        <f>IFERROR(__xludf.DUMMYFUNCTION("""COMPUTED_VALUE"""),416.0)</f>
        <v>416</v>
      </c>
      <c r="L1907" s="226">
        <f>IFERROR(__xludf.DUMMYFUNCTION("""COMPUTED_VALUE"""),1462811.0)</f>
        <v>1462811</v>
      </c>
      <c r="M1907" s="227">
        <f>IFERROR(__xludf.DUMMYFUNCTION("""COMPUTED_VALUE"""),6.08529138E8)</f>
        <v>608529138</v>
      </c>
      <c r="N1907" s="222" t="str">
        <f>IFERROR(__xludf.DUMMYFUNCTION("""COMPUTED_VALUE"""),"PT TUGU PRIMA SEJAHTERA")</f>
        <v>PT TUGU PRIMA SEJAHTERA</v>
      </c>
      <c r="O1907" s="222" t="str">
        <f>IFERROR(__xludf.DUMMYFUNCTION("""COMPUTED_VALUE"""),"7. GOLIVE")</f>
        <v>7. GOLIVE</v>
      </c>
      <c r="P1907" s="222" t="str">
        <f>IFERROR(__xludf.DUMMYFUNCTION("""COMPUTED_VALUE"""),"7.2 Golive Full / OA / DONE OTB")</f>
        <v>7.2 Golive Full / OA / DONE OTB</v>
      </c>
      <c r="Q1907" s="222" t="str">
        <f>IFERROR(__xludf.DUMMYFUNCTION("""COMPUTED_VALUE"""),"14/01 : Proses golive // (08/01) Kendala Feeder KJI-FC full  23/10 : Proses mapping mitra (07/01) Persiapan")</f>
        <v>14/01 : Proses golive // (08/01) Kendala Feeder KJI-FC full  23/10 : Proses mapping mitra (07/01) Persiapan</v>
      </c>
      <c r="R1907" s="228"/>
      <c r="S1907" s="11"/>
      <c r="T1907" s="11"/>
      <c r="U1907" s="11" t="str">
        <f>IFERROR(__xludf.DUMMYFUNCTION("""COMPUTED_VALUE"""),"W06-367/2025")</f>
        <v>W06-367/2025</v>
      </c>
      <c r="V1907" s="229"/>
      <c r="W1907" s="229"/>
      <c r="X1907" s="229" t="str">
        <f>IFERROR(__xludf.DUMMYFUNCTION("""COMPUTED_VALUE"""),"GOLIVE")</f>
        <v>GOLIVE</v>
      </c>
      <c r="Y1907" s="229" t="str">
        <f>IFERROR(__xludf.DUMMYFUNCTION("""COMPUTED_VALUE"""),"DONE")</f>
        <v>DONE</v>
      </c>
      <c r="Z1907" s="229" t="str">
        <f>IFERROR(__xludf.DUMMYFUNCTION("""COMPUTED_VALUE"""),"#N/A")</f>
        <v>#N/A</v>
      </c>
      <c r="AA1907" s="229">
        <f>IFERROR(__xludf.DUMMYFUNCTION("""COMPUTED_VALUE"""),52.0)</f>
        <v>52</v>
      </c>
      <c r="AB1907" s="229"/>
      <c r="AC1907" s="229" t="str">
        <f>IFERROR(__xludf.DUMMYFUNCTION("""COMPUTED_VALUE"""),"8860238#8860249")</f>
        <v>8860238#8860249</v>
      </c>
      <c r="AD1907" s="232">
        <f>IFERROR(__xludf.DUMMYFUNCTION("""COMPUTED_VALUE"""),416.0)</f>
        <v>416</v>
      </c>
      <c r="AE1907" s="233">
        <f>IFERROR(__xludf.DUMMYFUNCTION("""COMPUTED_VALUE"""),46039.0)</f>
        <v>46039</v>
      </c>
      <c r="AF1907" s="54"/>
      <c r="AG1907" s="54"/>
      <c r="AH1907" s="54"/>
      <c r="AI1907" s="55" t="str">
        <f t="shared" si="190"/>
        <v/>
      </c>
      <c r="AW1907" s="234"/>
      <c r="BP1907" s="11"/>
      <c r="BQ1907" s="11"/>
      <c r="BR1907" s="235"/>
      <c r="BV1907" s="158"/>
      <c r="BY1907" s="158"/>
      <c r="CB1907" s="158"/>
    </row>
    <row r="1908" ht="18.0" customHeight="1">
      <c r="A1908" s="222">
        <f>IFERROR(__xludf.DUMMYFUNCTION("""COMPUTED_VALUE"""),2026.0)</f>
        <v>2026</v>
      </c>
      <c r="B1908" s="221">
        <f>IFERROR(__xludf.DUMMYFUNCTION("""COMPUTED_VALUE"""),1.2496566E7)</f>
        <v>12496566</v>
      </c>
      <c r="C1908" s="222" t="str">
        <f>IFERROR(__xludf.DUMMYFUNCTION("""COMPUTED_VALUE"""),"SMB-PT3-ODC-KJI-FC-250_-402_2428")</f>
        <v>SMB-PT3-ODC-KJI-FC-250_-402_2428</v>
      </c>
      <c r="D1908" s="222" t="str">
        <f>IFERROR(__xludf.DUMMYFUNCTION("""COMPUTED_VALUE"""),"REGIONAL I")</f>
        <v>REGIONAL I</v>
      </c>
      <c r="E1908" s="222" t="str">
        <f>IFERROR(__xludf.DUMMYFUNCTION("""COMPUTED_VALUE"""),"SUMBAR")</f>
        <v>SUMBAR</v>
      </c>
      <c r="F1908" s="222" t="str">
        <f>IFERROR(__xludf.DUMMYFUNCTION("""COMPUTED_VALUE"""),"KJI")</f>
        <v>KJI</v>
      </c>
      <c r="G1908" s="222" t="str">
        <f>IFERROR(__xludf.DUMMYFUNCTION("""COMPUTED_VALUE"""),"SUMBAGTENG")</f>
        <v>SUMBAGTENG</v>
      </c>
      <c r="H1908" s="222" t="str">
        <f>IFERROR(__xludf.DUMMYFUNCTION("""COMPUTED_VALUE"""),"PADANG")</f>
        <v>PADANG</v>
      </c>
      <c r="I1908" s="222" t="str">
        <f>IFERROR(__xludf.DUMMYFUNCTION("""COMPUTED_VALUE"""),"Batch 2")</f>
        <v>Batch 2</v>
      </c>
      <c r="J1908" s="225">
        <f>IFERROR(__xludf.DUMMYFUNCTION("""COMPUTED_VALUE"""),10.0)</f>
        <v>10</v>
      </c>
      <c r="K1908" s="224">
        <f>IFERROR(__xludf.DUMMYFUNCTION("""COMPUTED_VALUE"""),80.0)</f>
        <v>80</v>
      </c>
      <c r="L1908" s="226">
        <f>IFERROR(__xludf.DUMMYFUNCTION("""COMPUTED_VALUE"""),304571.0)</f>
        <v>304571</v>
      </c>
      <c r="M1908" s="227">
        <f>IFERROR(__xludf.DUMMYFUNCTION("""COMPUTED_VALUE"""),2.4365607E7)</f>
        <v>24365607</v>
      </c>
      <c r="N1908" s="222" t="str">
        <f>IFERROR(__xludf.DUMMYFUNCTION("""COMPUTED_VALUE"""),"PT TRI PENAMAS")</f>
        <v>PT TRI PENAMAS</v>
      </c>
      <c r="O1908" s="222" t="str">
        <f>IFERROR(__xludf.DUMMYFUNCTION("""COMPUTED_VALUE"""),"0. DROP")</f>
        <v>0. DROP</v>
      </c>
      <c r="P1908" s="222" t="str">
        <f>IFERROR(__xludf.DUMMYFUNCTION("""COMPUTED_VALUE"""),"0.3 Feeder Full")</f>
        <v>0.3 Feeder Full</v>
      </c>
      <c r="Q1908" s="222" t="str">
        <f>IFERROR(__xludf.DUMMYFUNCTION("""COMPUTED_VALUE"""),"(26/01) Kendala feeder KJI-FC FULL")</f>
        <v>(26/01) Kendala feeder KJI-FC FULL</v>
      </c>
      <c r="R1908" s="228"/>
      <c r="S1908" s="11"/>
      <c r="T1908" s="11"/>
      <c r="U1908" s="11"/>
      <c r="V1908" s="229"/>
      <c r="W1908" s="229"/>
      <c r="X1908" s="229" t="str">
        <f>IFERROR(__xludf.DUMMYFUNCTION("""COMPUTED_VALUE"""),"BELUM GOLIVE")</f>
        <v>BELUM GOLIVE</v>
      </c>
      <c r="Y1908" s="229"/>
      <c r="Z1908" s="229" t="str">
        <f>IFERROR(__xludf.DUMMYFUNCTION("""COMPUTED_VALUE"""),"#N/A")</f>
        <v>#N/A</v>
      </c>
      <c r="AA1908" s="229"/>
      <c r="AB1908" s="229"/>
      <c r="AC1908" s="229"/>
      <c r="AD1908" s="232"/>
      <c r="AE1908" s="233"/>
      <c r="AF1908" s="54" t="str">
        <f>IFERROR(__xludf.DUMMYFUNCTION("""COMPUTED_VALUE"""),"Draft BA DROP")</f>
        <v>Draft BA DROP</v>
      </c>
      <c r="AG1908" s="54"/>
      <c r="AH1908" s="54"/>
      <c r="AI1908" s="55" t="str">
        <f t="shared" si="190"/>
        <v/>
      </c>
      <c r="AW1908" s="234"/>
      <c r="BP1908" s="11"/>
      <c r="BQ1908" s="11"/>
      <c r="BR1908" s="235"/>
      <c r="BV1908" s="158"/>
      <c r="BY1908" s="158"/>
      <c r="CB1908" s="158"/>
    </row>
    <row r="1909" ht="18.0" hidden="1" customHeight="1">
      <c r="A1909" s="222">
        <f>IFERROR(__xludf.DUMMYFUNCTION("""COMPUTED_VALUE"""),2026.0)</f>
        <v>2026</v>
      </c>
      <c r="B1909" s="221">
        <f>IFERROR(__xludf.DUMMYFUNCTION("""COMPUTED_VALUE"""),1.1348003E7)</f>
        <v>11348003</v>
      </c>
      <c r="C1909" s="222" t="str">
        <f>IFERROR(__xludf.DUMMYFUNCTION("""COMPUTED_VALUE"""),"SMU PYB-FAT D03 CLUST MADINA_598")</f>
        <v>SMU PYB-FAT D03 CLUST MADINA_598</v>
      </c>
      <c r="D1909" s="222" t="str">
        <f>IFERROR(__xludf.DUMMYFUNCTION("""COMPUTED_VALUE"""),"REGIONAL I")</f>
        <v>REGIONAL I</v>
      </c>
      <c r="E1909" s="222" t="str">
        <f>IFERROR(__xludf.DUMMYFUNCTION("""COMPUTED_VALUE"""),"SUMUT")</f>
        <v>SUMUT</v>
      </c>
      <c r="F1909" s="222" t="str">
        <f>IFERROR(__xludf.DUMMYFUNCTION("""COMPUTED_VALUE"""),"PYB")</f>
        <v>PYB</v>
      </c>
      <c r="G1909" s="222" t="str">
        <f>IFERROR(__xludf.DUMMYFUNCTION("""COMPUTED_VALUE"""),"SUMBAGUT")</f>
        <v>SUMBAGUT</v>
      </c>
      <c r="H1909" s="222" t="str">
        <f>IFERROR(__xludf.DUMMYFUNCTION("""COMPUTED_VALUE"""),"PADANG SIDEMPUAN")</f>
        <v>PADANG SIDEMPUAN</v>
      </c>
      <c r="I1909" s="222" t="str">
        <f>IFERROR(__xludf.DUMMYFUNCTION("""COMPUTED_VALUE"""),"Batch 2")</f>
        <v>Batch 2</v>
      </c>
      <c r="J1909" s="225">
        <f>IFERROR(__xludf.DUMMYFUNCTION("""COMPUTED_VALUE"""),10.0)</f>
        <v>10</v>
      </c>
      <c r="K1909" s="224">
        <f>IFERROR(__xludf.DUMMYFUNCTION("""COMPUTED_VALUE"""),80.0)</f>
        <v>80</v>
      </c>
      <c r="L1909" s="226">
        <f>IFERROR(__xludf.DUMMYFUNCTION("""COMPUTED_VALUE"""),1467890.0)</f>
        <v>1467890</v>
      </c>
      <c r="M1909" s="227">
        <f>IFERROR(__xludf.DUMMYFUNCTION("""COMPUTED_VALUE"""),1.17431164E8)</f>
        <v>117431164</v>
      </c>
      <c r="N1909" s="222" t="str">
        <f>IFERROR(__xludf.DUMMYFUNCTION("""COMPUTED_VALUE"""),"PT MEDCOM SOLUTION")</f>
        <v>PT MEDCOM SOLUTION</v>
      </c>
      <c r="O1909" s="222" t="str">
        <f>IFERROR(__xludf.DUMMYFUNCTION("""COMPUTED_VALUE"""),"4. MATDEL")</f>
        <v>4. MATDEL</v>
      </c>
      <c r="P1909" s="222" t="str">
        <f>IFERROR(__xludf.DUMMYFUNCTION("""COMPUTED_VALUE"""),"4.2 Sudah Request Material (Alista)")</f>
        <v>4.2 Sudah Request Material (Alista)</v>
      </c>
      <c r="Q1909" s="222" t="str">
        <f>IFERROR(__xludf.DUMMYFUNCTION("""COMPUTED_VALUE"""),"23/4 prepair tim untuk pengambilan material, 22/4 proses input material di alista, 21/4 proses input material di alista, 20/4 mitra blm mengirim req material, 16/4 mitra blm megirim req material,  15/4 mitra blm megirim req material, 14/4 mitra blm megiri"&amp;"m req material, 13/4 mitra blm megirim req material, 9/4 plan malam ini mitra kirim req material, 8/4 mitra belum mengirim req material, 6/4 plan req matrial hari ini,  5/4 menunggu req kebutuhan matrial mitra,1/4 menunggu req kebutuhan matrial mitra, 31/"&amp;"3 menunggu req kebutuhan matrial mitra, 30/3 menunggu req kebutuhan matrial mitra, 27/3 menunggu req kebutuhan matrial mitra, 26/3 menunggu req kebutuhan matrial mitra, 22/3 menunggu req kebutuhan matrial mitra,18/3 menunggu req material , 16/3 proses req"&amp;" matrial , 13/3 cpp tinggi 1,5,  11/3 cpp tinggi 1,5, 10/3 cpp tinggi 1,5, 9/3 proses cek cpp, 6/3 hasil konfrens dengan mitra plan hari ini submit boq kml survey,  , 5/3 menunggu boq kml survey, 4/3 menunggu boq kml survey, 3/3 menunggu boq kml survey, 2"&amp;"/3 menunggu boq kml survey,  27/2 menunggu boq kml survey, 25/2 plan submit boq kml survey besok 26 feb, 24/2 menunggu boq kml survey,   23/2 menunggu boq kml survey,  20/2 menunggu boq kml survey est submit 22 feb, 19/2 menunggu boq kml survey est submit"&amp;" 22 feb, 18/2 menunggu boq kml survey,  16/2 menunggu boq kml survey , 13/2 prepair team untuk survey est paling lambat 14 feb,  11/2 prepair team untuk survey est paling lambat 14 feb, 10/2 prepair team untuk survey est paling lambat 14 feb, 9/2 prepair "&amp;"team untuk survey est paling lambat 14 feb, 6/2 prepair team untuk survey est paling lambat 14 feb, 5/2 prepair team untuk survey est paling lambat 14 feb, 3/2 plan survey 5/2 (peralihan dari mitra truputra), 2/2 penunjukan mitra ( peralihan dari mitra tr"&amp;"iputra),  1/2 penunjukan mitra ( peralihan dari mitra triputra), 30/1 penunjukan mitra ( peralihan dari mitra triputra), 28/1 penu jukan mitra ( peralihan dari mitra triputra), 27/1 plan survey tgl 28/1, 26/1 plan survey tgl 27/1,23/1 plan survey tgl 27/1"&amp;",22/1 prepair team untuk pelaksanaan survey dilokasi ( pengalihan dari medcom),  21/1 plan survey 22/1 ,20/1 plan survey 21/1 , 19/1 plan survey 21/1 , 18/1 plan survey 19/1,  15/1 plan survey 19/1, 14/1 prepair team untuk penjadwalan survey dengan waspan"&amp;"g, 13/1 menunggu info kelanjutan dari mitra, paling lambat 14/1, (07/01) Persiapan")</f>
        <v>23/4 prepair tim untuk pengambilan material, 22/4 proses input material di alista, 21/4 proses input material di alista, 20/4 mitra blm mengirim req material, 16/4 mitra blm megirim req material,  15/4 mitra blm megirim req material, 14/4 mitra blm megirim req material, 13/4 mitra blm megirim req material, 9/4 plan malam ini mitra kirim req material, 8/4 mitra belum mengirim req material, 6/4 plan req matrial hari ini,  5/4 menunggu req kebutuhan matrial mitra,1/4 menunggu req kebutuhan matrial mitra, 31/3 menunggu req kebutuhan matrial mitra, 30/3 menunggu req kebutuhan matrial mitra, 27/3 menunggu req kebutuhan matrial mitra, 26/3 menunggu req kebutuhan matrial mitra, 22/3 menunggu req kebutuhan matrial mitra,18/3 menunggu req material , 16/3 proses req matrial , 13/3 cpp tinggi 1,5,  11/3 cpp tinggi 1,5, 10/3 cpp tinggi 1,5, 9/3 proses cek cpp, 6/3 hasil konfrens dengan mitra plan hari ini submit boq kml survey,  , 5/3 menunggu boq kml survey, 4/3 menunggu boq kml survey, 3/3 menunggu boq kml survey, 2/3 menunggu boq kml survey,  27/2 menunggu boq kml survey, 25/2 plan submit boq kml survey besok 26 feb, 24/2 menunggu boq kml survey,   23/2 menunggu boq kml survey,  20/2 menunggu boq kml survey est submit 22 feb, 19/2 menunggu boq kml survey est submit 22 feb, 18/2 menunggu boq kml survey,  16/2 menunggu boq kml survey , 13/2 prepair team untuk survey est paling lambat 14 feb,  11/2 prepair team untuk survey est paling lambat 14 feb, 10/2 prepair team untuk survey est paling lambat 14 feb, 9/2 prepair team untuk survey est paling lambat 14 feb, 6/2 prepair team untuk survey est paling lambat 14 feb, 5/2 prepair team untuk survey est paling lambat 14 feb, 3/2 plan survey 5/2 (peralihan dari mitra truputra), 2/2 penunjukan mitra ( peralihan dari mitra triputra),  1/2 penunjukan mitra ( peralihan dari mitra triputra), 30/1 penunjukan mitra ( peralihan dari mitra triputra), 28/1 penu jukan mitra ( peralihan dari mitra triputra), 27/1 plan survey tgl 28/1, 26/1 plan survey tgl 27/1,23/1 plan survey tgl 27/1,22/1 prepair team untuk pelaksanaan survey dilokasi ( pengalihan dari medcom),  21/1 plan survey 22/1 ,20/1 plan survey 21/1 , 19/1 plan survey 21/1 , 18/1 plan survey 19/1,  15/1 plan survey 19/1, 14/1 prepair team untuk penjadwalan survey dengan waspang, 13/1 menunggu info kelanjutan dari mitra, paling lambat 14/1, (07/01) Persiapan</v>
      </c>
      <c r="R1909" s="228"/>
      <c r="S1909" s="11"/>
      <c r="T1909" s="73"/>
      <c r="U1909" s="11" t="str">
        <f>IFERROR(__xludf.DUMMYFUNCTION("""COMPUTED_VALUE"""),"W03-1320/2025")</f>
        <v>W03-1320/2025</v>
      </c>
      <c r="V1909" s="229" t="str">
        <f>IFERROR(__xludf.DUMMYFUNCTION("""COMPUTED_VALUE"""),"30/Apr/2026")</f>
        <v>30/Apr/2026</v>
      </c>
      <c r="W1909" s="229"/>
      <c r="X1909" s="229" t="str">
        <f>IFERROR(__xludf.DUMMYFUNCTION("""COMPUTED_VALUE"""),"BELUM GOLIVE")</f>
        <v>BELUM GOLIVE</v>
      </c>
      <c r="Y1909" s="229"/>
      <c r="Z1909" s="229" t="str">
        <f>IFERROR(__xludf.DUMMYFUNCTION("""COMPUTED_VALUE"""),"#N/A")</f>
        <v>#N/A</v>
      </c>
      <c r="AA1909" s="229"/>
      <c r="AB1909" s="229"/>
      <c r="AC1909" s="229"/>
      <c r="AD1909" s="232"/>
      <c r="AE1909" s="233"/>
      <c r="AF1909" s="54"/>
      <c r="AG1909" s="54"/>
      <c r="AH1909" s="54"/>
      <c r="AI1909" s="55" t="str">
        <f t="shared" si="190"/>
        <v/>
      </c>
      <c r="AW1909" s="234"/>
      <c r="BP1909" s="11"/>
      <c r="BQ1909" s="11"/>
      <c r="BR1909" s="235"/>
      <c r="BV1909" s="158"/>
      <c r="BY1909" s="158"/>
      <c r="CB1909" s="158"/>
    </row>
    <row r="1910" ht="18.0" hidden="1" customHeight="1">
      <c r="A1910" s="222">
        <f>IFERROR(__xludf.DUMMYFUNCTION("""COMPUTED_VALUE"""),2026.0)</f>
        <v>2026</v>
      </c>
      <c r="B1910" s="221">
        <f>IFERROR(__xludf.DUMMYFUNCTION("""COMPUTED_VALUE"""),1.2109459E7)</f>
        <v>12109459</v>
      </c>
      <c r="C1910" s="222" t="str">
        <f>IFERROR(__xludf.DUMMYFUNCTION("""COMPUTED_VALUE"""),"MDN PT3 BLW-FAA JL.BENGKALIS_MD25")</f>
        <v>MDN PT3 BLW-FAA JL.BENGKALIS_MD25</v>
      </c>
      <c r="D1910" s="222" t="str">
        <f>IFERROR(__xludf.DUMMYFUNCTION("""COMPUTED_VALUE"""),"REGIONAL I")</f>
        <v>REGIONAL I</v>
      </c>
      <c r="E1910" s="222" t="str">
        <f>IFERROR(__xludf.DUMMYFUNCTION("""COMPUTED_VALUE"""),"MEDAN")</f>
        <v>MEDAN</v>
      </c>
      <c r="F1910" s="222" t="str">
        <f>IFERROR(__xludf.DUMMYFUNCTION("""COMPUTED_VALUE"""),"BLW")</f>
        <v>BLW</v>
      </c>
      <c r="G1910" s="222" t="str">
        <f>IFERROR(__xludf.DUMMYFUNCTION("""COMPUTED_VALUE"""),"SUMBAGUT")</f>
        <v>SUMBAGUT</v>
      </c>
      <c r="H1910" s="222" t="str">
        <f>IFERROR(__xludf.DUMMYFUNCTION("""COMPUTED_VALUE"""),"MEDAN")</f>
        <v>MEDAN</v>
      </c>
      <c r="I1910" s="222" t="str">
        <f>IFERROR(__xludf.DUMMYFUNCTION("""COMPUTED_VALUE"""),"Batch 2")</f>
        <v>Batch 2</v>
      </c>
      <c r="J1910" s="225">
        <f>IFERROR(__xludf.DUMMYFUNCTION("""COMPUTED_VALUE"""),2.0)</f>
        <v>2</v>
      </c>
      <c r="K1910" s="224">
        <f>IFERROR(__xludf.DUMMYFUNCTION("""COMPUTED_VALUE"""),16.0)</f>
        <v>16</v>
      </c>
      <c r="L1910" s="226">
        <f>IFERROR(__xludf.DUMMYFUNCTION("""COMPUTED_VALUE"""),303395.0)</f>
        <v>303395</v>
      </c>
      <c r="M1910" s="227">
        <f>IFERROR(__xludf.DUMMYFUNCTION("""COMPUTED_VALUE"""),4854308.0)</f>
        <v>4854308</v>
      </c>
      <c r="N1910" s="222" t="str">
        <f>IFERROR(__xludf.DUMMYFUNCTION("""COMPUTED_VALUE"""),"PT MITRA AKSES INSANI")</f>
        <v>PT MITRA AKSES INSANI</v>
      </c>
      <c r="O1910" s="222" t="str">
        <f>IFERROR(__xludf.DUMMYFUNCTION("""COMPUTED_VALUE"""),"0. DROP")</f>
        <v>0. DROP</v>
      </c>
      <c r="P1910" s="222" t="str">
        <f>IFERROR(__xludf.DUMMYFUNCTION("""COMPUTED_VALUE"""),"0.3 Feeder Full")</f>
        <v>0.3 Feeder Full</v>
      </c>
      <c r="Q1910" s="222" t="str">
        <f>IFERROR(__xludf.DUMMYFUNCTION("""COMPUTED_VALUE"""),"08/03 Feeder Penuh (07/01) Persiapan")</f>
        <v>08/03 Feeder Penuh (07/01) Persiapan</v>
      </c>
      <c r="R1910" s="228"/>
      <c r="S1910" s="11"/>
      <c r="T1910" s="11"/>
      <c r="U1910" s="11"/>
      <c r="V1910" s="229"/>
      <c r="W1910" s="229"/>
      <c r="X1910" s="229" t="str">
        <f>IFERROR(__xludf.DUMMYFUNCTION("""COMPUTED_VALUE"""),"BELUM GOLIVE")</f>
        <v>BELUM GOLIVE</v>
      </c>
      <c r="Y1910" s="229"/>
      <c r="Z1910" s="229" t="str">
        <f>IFERROR(__xludf.DUMMYFUNCTION("""COMPUTED_VALUE"""),"#N/A")</f>
        <v>#N/A</v>
      </c>
      <c r="AA1910" s="229"/>
      <c r="AB1910" s="229"/>
      <c r="AC1910" s="229"/>
      <c r="AD1910" s="232"/>
      <c r="AE1910" s="233"/>
      <c r="AF1910" s="54"/>
      <c r="AG1910" s="54"/>
      <c r="AH1910" s="54"/>
      <c r="AI1910" s="55" t="str">
        <f t="shared" si="190"/>
        <v/>
      </c>
      <c r="AW1910" s="234"/>
      <c r="BP1910" s="11"/>
      <c r="BQ1910" s="11"/>
      <c r="BR1910" s="235"/>
      <c r="BV1910" s="158"/>
      <c r="BY1910" s="158"/>
      <c r="CB1910" s="158"/>
    </row>
    <row r="1911" ht="18.0" hidden="1" customHeight="1">
      <c r="A1911" s="222">
        <f>IFERROR(__xludf.DUMMYFUNCTION("""COMPUTED_VALUE"""),2026.0)</f>
        <v>2026</v>
      </c>
      <c r="B1911" s="221">
        <f>IFERROR(__xludf.DUMMYFUNCTION("""COMPUTED_VALUE"""),1.2133487E7)</f>
        <v>12133487</v>
      </c>
      <c r="C1911" s="222" t="str">
        <f>IFERROR(__xludf.DUMMYFUNCTION("""COMPUTED_VALUE"""),"LPG PT3 JPP Vihara Buddha PJN")</f>
        <v>LPG PT3 JPP Vihara Buddha PJN</v>
      </c>
      <c r="D1911" s="222" t="str">
        <f>IFERROR(__xludf.DUMMYFUNCTION("""COMPUTED_VALUE"""),"REGIONAL I")</f>
        <v>REGIONAL I</v>
      </c>
      <c r="E1911" s="222" t="str">
        <f>IFERROR(__xludf.DUMMYFUNCTION("""COMPUTED_VALUE"""),"LAMPUNG")</f>
        <v>LAMPUNG</v>
      </c>
      <c r="F1911" s="222" t="str">
        <f>IFERROR(__xludf.DUMMYFUNCTION("""COMPUTED_VALUE"""),"PJN")</f>
        <v>PJN</v>
      </c>
      <c r="G1911" s="222" t="str">
        <f>IFERROR(__xludf.DUMMYFUNCTION("""COMPUTED_VALUE"""),"SUMBAGSEL")</f>
        <v>SUMBAGSEL</v>
      </c>
      <c r="H1911" s="222" t="str">
        <f>IFERROR(__xludf.DUMMYFUNCTION("""COMPUTED_VALUE"""),"LAMPUNG")</f>
        <v>LAMPUNG</v>
      </c>
      <c r="I1911" s="222" t="str">
        <f>IFERROR(__xludf.DUMMYFUNCTION("""COMPUTED_VALUE"""),"Batch 2")</f>
        <v>Batch 2</v>
      </c>
      <c r="J1911" s="225">
        <f>IFERROR(__xludf.DUMMYFUNCTION("""COMPUTED_VALUE"""),2.0)</f>
        <v>2</v>
      </c>
      <c r="K1911" s="224">
        <f>IFERROR(__xludf.DUMMYFUNCTION("""COMPUTED_VALUE"""),16.0)</f>
        <v>16</v>
      </c>
      <c r="L1911" s="226">
        <f>IFERROR(__xludf.DUMMYFUNCTION("""COMPUTED_VALUE"""),297494.0)</f>
        <v>297494</v>
      </c>
      <c r="M1911" s="227">
        <f>IFERROR(__xludf.DUMMYFUNCTION("""COMPUTED_VALUE"""),4759894.0)</f>
        <v>4759894</v>
      </c>
      <c r="N1911" s="222" t="str">
        <f>IFERROR(__xludf.DUMMYFUNCTION("""COMPUTED_VALUE"""),"PT BANGTELINDO")</f>
        <v>PT BANGTELINDO</v>
      </c>
      <c r="O1911" s="222" t="str">
        <f>IFERROR(__xludf.DUMMYFUNCTION("""COMPUTED_VALUE"""),"7. GOLIVE")</f>
        <v>7. GOLIVE</v>
      </c>
      <c r="P1911" s="222" t="str">
        <f>IFERROR(__xludf.DUMMYFUNCTION("""COMPUTED_VALUE"""),"7.2 Golive Full / OA / DONE OTB")</f>
        <v>7.2 Golive Full / OA / DONE OTB</v>
      </c>
      <c r="Q1911" s="222" t="str">
        <f>IFERROR(__xludf.DUMMYFUNCTION("""COMPUTED_VALUE"""),"15/5 proses valid 4, 13/04 proses instalasi 08/04 Done PR PO , proses matdel 
06/04 Pihak Lurah belum bisa di temui, hari ini kelokasi Lanjut PR PO 2/4 proses pengecekan core dan perizinan 25/3 proses pengecekan core dan perizinan, 13/3 proses pengecekan "&amp;"core dan perizinan,,  
2/3 proses pengecekan core dan perizinan,,  
27/2 proses pengecekan core dan perizinan,,   24/2 masuk ODC PJN FG ,4/2 Distribusi &amp; feeder sudah tidak bisa di repair perlu pembangunan feeder &amp; ODC baru 
19/1 butuh repair distribusi f"&amp;"edeer atau pembangunan big odc ")</f>
        <v>15/5 proses valid 4, 13/04 proses instalasi 08/04 Done PR PO , proses matdel 
06/04 Pihak Lurah belum bisa di temui, hari ini kelokasi Lanjut PR PO 2/4 proses pengecekan core dan perizinan 25/3 proses pengecekan core dan perizinan, 13/3 proses pengecekan core dan perizinan,,  
2/3 proses pengecekan core dan perizinan,,  
27/2 proses pengecekan core dan perizinan,,   24/2 masuk ODC PJN FG ,4/2 Distribusi &amp; feeder sudah tidak bisa di repair perlu pembangunan feeder &amp; ODC baru 
19/1 butuh repair distribusi fedeer atau pembangunan big odc </v>
      </c>
      <c r="R1911" s="228">
        <f>IFERROR(__xludf.DUMMYFUNCTION("""COMPUTED_VALUE"""),46127.0)</f>
        <v>46127</v>
      </c>
      <c r="S1911" s="11" t="str">
        <f>IFERROR(__xludf.DUMMYFUNCTION("""COMPUTED_VALUE"""),"APR")</f>
        <v>APR</v>
      </c>
      <c r="T1911" s="73" t="str">
        <f>IFERROR(__xludf.DUMMYFUNCTION("""COMPUTED_VALUE"""),"P1")</f>
        <v>P1</v>
      </c>
      <c r="U1911" s="11" t="str">
        <f>IFERROR(__xludf.DUMMYFUNCTION("""COMPUTED_VALUE"""),"TIF-5910/2026")</f>
        <v>TIF-5910/2026</v>
      </c>
      <c r="V1911" s="229"/>
      <c r="W1911" s="229"/>
      <c r="X1911" s="229" t="str">
        <f>IFERROR(__xludf.DUMMYFUNCTION("""COMPUTED_VALUE"""),"GOLIVE")</f>
        <v>GOLIVE</v>
      </c>
      <c r="Y1911" s="229" t="str">
        <f>IFERROR(__xludf.DUMMYFUNCTION("""COMPUTED_VALUE"""),"DONE")</f>
        <v>DONE</v>
      </c>
      <c r="Z1911" s="229" t="str">
        <f>IFERROR(__xludf.DUMMYFUNCTION("""COMPUTED_VALUE"""),"#N/A")</f>
        <v>#N/A</v>
      </c>
      <c r="AA1911" s="229">
        <f>IFERROR(__xludf.DUMMYFUNCTION("""COMPUTED_VALUE"""),2.0)</f>
        <v>2</v>
      </c>
      <c r="AB1911" s="229"/>
      <c r="AC1911" s="229" t="str">
        <f>IFERROR(__xludf.DUMMYFUNCTION("""COMPUTED_VALUE"""),"9194102#9194107")</f>
        <v>9194102#9194107</v>
      </c>
      <c r="AD1911" s="232">
        <f>IFERROR(__xludf.DUMMYFUNCTION("""COMPUTED_VALUE"""),16.0)</f>
        <v>16</v>
      </c>
      <c r="AE1911" s="233">
        <f>IFERROR(__xludf.DUMMYFUNCTION("""COMPUTED_VALUE"""),46127.0)</f>
        <v>46127</v>
      </c>
      <c r="AF1911" s="54"/>
      <c r="AG1911" s="54"/>
      <c r="AH1911" s="54">
        <v>46137.0</v>
      </c>
      <c r="AI1911" s="55">
        <f t="shared" si="190"/>
        <v>0</v>
      </c>
      <c r="AW1911" s="234"/>
      <c r="BP1911" s="11"/>
      <c r="BQ1911" s="11"/>
      <c r="BR1911" s="235"/>
      <c r="BV1911" s="158"/>
      <c r="BY1911" s="158"/>
      <c r="CB1911" s="158"/>
    </row>
    <row r="1912" ht="18.0" customHeight="1">
      <c r="A1912" s="222">
        <f>IFERROR(__xludf.DUMMYFUNCTION("""COMPUTED_VALUE"""),2026.0)</f>
        <v>2026</v>
      </c>
      <c r="B1912" s="221">
        <f>IFERROR(__xludf.DUMMYFUNCTION("""COMPUTED_VALUE"""),1.1335386E7)</f>
        <v>11335386</v>
      </c>
      <c r="C1912" s="222" t="str">
        <f>IFERROR(__xludf.DUMMYFUNCTION("""COMPUTED_VALUE"""),"RDR JPP PT3 RIAU_786")</f>
        <v>RDR JPP PT3 RIAU_786</v>
      </c>
      <c r="D1912" s="222" t="str">
        <f>IFERROR(__xludf.DUMMYFUNCTION("""COMPUTED_VALUE"""),"REGIONAL I")</f>
        <v>REGIONAL I</v>
      </c>
      <c r="E1912" s="222" t="str">
        <f>IFERROR(__xludf.DUMMYFUNCTION("""COMPUTED_VALUE"""),"RIDAR")</f>
        <v>RIDAR</v>
      </c>
      <c r="F1912" s="222" t="str">
        <f>IFERROR(__xludf.DUMMYFUNCTION("""COMPUTED_VALUE"""),"DUM")</f>
        <v>DUM</v>
      </c>
      <c r="G1912" s="222" t="str">
        <f>IFERROR(__xludf.DUMMYFUNCTION("""COMPUTED_VALUE"""),"SUMBAGTENG")</f>
        <v>SUMBAGTENG</v>
      </c>
      <c r="H1912" s="222" t="str">
        <f>IFERROR(__xludf.DUMMYFUNCTION("""COMPUTED_VALUE"""),"DUMAI")</f>
        <v>DUMAI</v>
      </c>
      <c r="I1912" s="222" t="str">
        <f>IFERROR(__xludf.DUMMYFUNCTION("""COMPUTED_VALUE"""),"Batch 2")</f>
        <v>Batch 2</v>
      </c>
      <c r="J1912" s="225">
        <f>IFERROR(__xludf.DUMMYFUNCTION("""COMPUTED_VALUE"""),4.0)</f>
        <v>4</v>
      </c>
      <c r="K1912" s="224">
        <f>IFERROR(__xludf.DUMMYFUNCTION("""COMPUTED_VALUE"""),32.0)</f>
        <v>32</v>
      </c>
      <c r="L1912" s="226">
        <f>IFERROR(__xludf.DUMMYFUNCTION("""COMPUTED_VALUE"""),1470620.0)</f>
        <v>1470620</v>
      </c>
      <c r="M1912" s="227">
        <f>IFERROR(__xludf.DUMMYFUNCTION("""COMPUTED_VALUE"""),4.7059812E7)</f>
        <v>47059812</v>
      </c>
      <c r="N1912" s="222" t="str">
        <f>IFERROR(__xludf.DUMMYFUNCTION("""COMPUTED_VALUE"""),"PT TRI LESMA INDONESIA")</f>
        <v>PT TRI LESMA INDONESIA</v>
      </c>
      <c r="O1912" s="222" t="str">
        <f>IFERROR(__xludf.DUMMYFUNCTION("""COMPUTED_VALUE"""),"0. DROP")</f>
        <v>0. DROP</v>
      </c>
      <c r="P1912" s="222" t="str">
        <f>IFERROR(__xludf.DUMMYFUNCTION("""COMPUTED_VALUE"""),"0.2 Tidak Dapat Izin Warga/Kades/Lurah/Developer")</f>
        <v>0.2 Tidak Dapat Izin Warga/Kades/Lurah/Developer</v>
      </c>
      <c r="Q1912" s="222" t="str">
        <f>IFERROR(__xludf.DUMMYFUNCTION("""COMPUTED_VALUE"""),"20/01 Comcase tidak dapat izin tanam tiang(08/01) Proses aanwijziing (07/01) Persiapan")</f>
        <v>20/01 Comcase tidak dapat izin tanam tiang(08/01) Proses aanwijziing (07/01) Persiapan</v>
      </c>
      <c r="R1912" s="228"/>
      <c r="S1912" s="11"/>
      <c r="T1912" s="11"/>
      <c r="U1912" s="11"/>
      <c r="V1912" s="229" t="str">
        <f>IFERROR(__xludf.DUMMYFUNCTION("""COMPUTED_VALUE"""),"ONDI EKA SAPUTRA")</f>
        <v>ONDI EKA SAPUTRA</v>
      </c>
      <c r="W1912" s="229" t="str">
        <f>IFERROR(__xludf.DUMMYFUNCTION("""COMPUTED_VALUE"""),"DESLITA RAHMADANI")</f>
        <v>DESLITA RAHMADANI</v>
      </c>
      <c r="X1912" s="229" t="str">
        <f>IFERROR(__xludf.DUMMYFUNCTION("""COMPUTED_VALUE"""),"BELUM GOLIVE")</f>
        <v>BELUM GOLIVE</v>
      </c>
      <c r="Y1912" s="229"/>
      <c r="Z1912" s="229" t="str">
        <f>IFERROR(__xludf.DUMMYFUNCTION("""COMPUTED_VALUE"""),"#N/A")</f>
        <v>#N/A</v>
      </c>
      <c r="AA1912" s="229"/>
      <c r="AB1912" s="229"/>
      <c r="AC1912" s="229"/>
      <c r="AD1912" s="232"/>
      <c r="AE1912" s="233"/>
      <c r="AF1912" s="54" t="str">
        <f>IFERROR(__xludf.DUMMYFUNCTION("""COMPUTED_VALUE"""),"Draft BA DROP")</f>
        <v>Draft BA DROP</v>
      </c>
      <c r="AG1912" s="54"/>
      <c r="AH1912" s="54"/>
      <c r="AI1912" s="55" t="str">
        <f t="shared" si="190"/>
        <v/>
      </c>
      <c r="AW1912" s="234"/>
      <c r="BP1912" s="11"/>
      <c r="BQ1912" s="11"/>
      <c r="BR1912" s="235"/>
      <c r="BV1912" s="158"/>
      <c r="BY1912" s="158"/>
      <c r="CB1912" s="158"/>
    </row>
    <row r="1913" ht="18.0" customHeight="1">
      <c r="A1913" s="222">
        <f>IFERROR(__xludf.DUMMYFUNCTION("""COMPUTED_VALUE"""),2026.0)</f>
        <v>2026</v>
      </c>
      <c r="B1913" s="221">
        <f>IFERROR(__xludf.DUMMYFUNCTION("""COMPUTED_VALUE"""),1.2377422E7)</f>
        <v>12377422</v>
      </c>
      <c r="C1913" s="222" t="str">
        <f>IFERROR(__xludf.DUMMYFUNCTION("""COMPUTED_VALUE"""),"SMB P4I3 SEBELUM RIMBO PANTI")</f>
        <v>SMB P4I3 SEBELUM RIMBO PANTI</v>
      </c>
      <c r="D1913" s="222" t="str">
        <f>IFERROR(__xludf.DUMMYFUNCTION("""COMPUTED_VALUE"""),"REGIONAL I")</f>
        <v>REGIONAL I</v>
      </c>
      <c r="E1913" s="222" t="str">
        <f>IFERROR(__xludf.DUMMYFUNCTION("""COMPUTED_VALUE"""),"SUMBAR")</f>
        <v>SUMBAR</v>
      </c>
      <c r="F1913" s="222" t="str">
        <f>IFERROR(__xludf.DUMMYFUNCTION("""COMPUTED_VALUE"""),"PTI")</f>
        <v>PTI</v>
      </c>
      <c r="G1913" s="222" t="str">
        <f>IFERROR(__xludf.DUMMYFUNCTION("""COMPUTED_VALUE"""),"SUMBAGTENG")</f>
        <v>SUMBAGTENG</v>
      </c>
      <c r="H1913" s="222" t="str">
        <f>IFERROR(__xludf.DUMMYFUNCTION("""COMPUTED_VALUE"""),"BUKIT TINGGI")</f>
        <v>BUKIT TINGGI</v>
      </c>
      <c r="I1913" s="222" t="str">
        <f>IFERROR(__xludf.DUMMYFUNCTION("""COMPUTED_VALUE"""),"Batch 2")</f>
        <v>Batch 2</v>
      </c>
      <c r="J1913" s="225">
        <f>IFERROR(__xludf.DUMMYFUNCTION("""COMPUTED_VALUE"""),2.0)</f>
        <v>2</v>
      </c>
      <c r="K1913" s="224">
        <f>IFERROR(__xludf.DUMMYFUNCTION("""COMPUTED_VALUE"""),16.0)</f>
        <v>16</v>
      </c>
      <c r="L1913" s="226">
        <f>IFERROR(__xludf.DUMMYFUNCTION("""COMPUTED_VALUE"""),296215.0)</f>
        <v>296215</v>
      </c>
      <c r="M1913" s="227">
        <f>IFERROR(__xludf.DUMMYFUNCTION("""COMPUTED_VALUE"""),4739437.0)</f>
        <v>4739437</v>
      </c>
      <c r="N1913" s="222" t="str">
        <f>IFERROR(__xludf.DUMMYFUNCTION("""COMPUTED_VALUE"""),"PT GARINDO TECHNO MANDIRI")</f>
        <v>PT GARINDO TECHNO MANDIRI</v>
      </c>
      <c r="O1913" s="222" t="str">
        <f>IFERROR(__xludf.DUMMYFUNCTION("""COMPUTED_VALUE"""),"8. UJI TERIMA")</f>
        <v>8. UJI TERIMA</v>
      </c>
      <c r="P1913" s="222" t="str">
        <f>IFERROR(__xludf.DUMMYFUNCTION("""COMPUTED_VALUE"""),"8.1 Proses UT")</f>
        <v>8.1 Proses UT</v>
      </c>
      <c r="Q1913" s="222" t="str">
        <f>IFERROR(__xludf.DUMMYFUNCTION("""COMPUTED_VALUE"""),"(02/03) ABD done ke sdi (18/02) tanam tiang PLan FI 20/02 (05/02) proses tanam tiang (29/01) proses create PID (21/01) proses aanwijziing (07/01) Persiapan")</f>
        <v>(02/03) ABD done ke sdi (18/02) tanam tiang PLan FI 20/02 (05/02) proses tanam tiang (29/01) proses create PID (21/01) proses aanwijziing (07/01) Persiapan</v>
      </c>
      <c r="R1913" s="228">
        <f>IFERROR(__xludf.DUMMYFUNCTION("""COMPUTED_VALUE"""),46084.0)</f>
        <v>46084</v>
      </c>
      <c r="S1913" s="11" t="str">
        <f>IFERROR(__xludf.DUMMYFUNCTION("""COMPUTED_VALUE"""),"MAR")</f>
        <v>MAR</v>
      </c>
      <c r="T1913" s="11"/>
      <c r="U1913" s="11" t="str">
        <f>IFERROR(__xludf.DUMMYFUNCTION("""COMPUTED_VALUE"""),"TIF-2359/2026 26KT03R158-0026")</f>
        <v>TIF-2359/2026 26KT03R158-0026</v>
      </c>
      <c r="V1913" s="229" t="str">
        <f>IFERROR(__xludf.DUMMYFUNCTION("""COMPUTED_VALUE"""),"DELPA YANDA")</f>
        <v>DELPA YANDA</v>
      </c>
      <c r="W1913" s="229" t="str">
        <f>IFERROR(__xludf.DUMMYFUNCTION("""COMPUTED_VALUE"""),"MELKO NARWADI")</f>
        <v>MELKO NARWADI</v>
      </c>
      <c r="X1913" s="229" t="str">
        <f>IFERROR(__xludf.DUMMYFUNCTION("""COMPUTED_VALUE"""),"GOLIVE")</f>
        <v>GOLIVE</v>
      </c>
      <c r="Y1913" s="229" t="str">
        <f>IFERROR(__xludf.DUMMYFUNCTION("""COMPUTED_VALUE"""),"DONE")</f>
        <v>DONE</v>
      </c>
      <c r="Z1913" s="229" t="str">
        <f>IFERROR(__xludf.DUMMYFUNCTION("""COMPUTED_VALUE"""),"#N/A")</f>
        <v>#N/A</v>
      </c>
      <c r="AA1913" s="229">
        <f>IFERROR(__xludf.DUMMYFUNCTION("""COMPUTED_VALUE"""),3.0)</f>
        <v>3</v>
      </c>
      <c r="AB1913" s="229"/>
      <c r="AC1913" s="229" t="str">
        <f>IFERROR(__xludf.DUMMYFUNCTION("""COMPUTED_VALUE"""),"9156550#9156555")</f>
        <v>9156550#9156555</v>
      </c>
      <c r="AD1913" s="232">
        <f>IFERROR(__xludf.DUMMYFUNCTION("""COMPUTED_VALUE"""),24.0)</f>
        <v>24</v>
      </c>
      <c r="AE1913" s="233">
        <f>IFERROR(__xludf.DUMMYFUNCTION("""COMPUTED_VALUE"""),46083.0)</f>
        <v>46083</v>
      </c>
      <c r="AF1913" s="54"/>
      <c r="AG1913" s="54"/>
      <c r="AH1913" s="54">
        <v>46084.0</v>
      </c>
      <c r="AI1913" s="55">
        <f t="shared" si="190"/>
        <v>1</v>
      </c>
      <c r="AW1913" s="234"/>
      <c r="BP1913" s="11"/>
      <c r="BQ1913" s="11"/>
      <c r="BR1913" s="235"/>
      <c r="BV1913" s="158"/>
      <c r="BY1913" s="158"/>
      <c r="CB1913" s="158"/>
    </row>
    <row r="1914" ht="18.0" hidden="1" customHeight="1">
      <c r="A1914" s="222">
        <f>IFERROR(__xludf.DUMMYFUNCTION("""COMPUTED_VALUE"""),2026.0)</f>
        <v>2026</v>
      </c>
      <c r="B1914" s="221">
        <f>IFERROR(__xludf.DUMMYFUNCTION("""COMPUTED_VALUE"""),1.1187394E7)</f>
        <v>11187394</v>
      </c>
      <c r="C1914" s="222" t="str">
        <f>IFERROR(__xludf.DUMMYFUNCTION("""COMPUTED_VALUE"""),"MDN PT3 P7I11 TJR-FK GG.PENDIDIKAN")</f>
        <v>MDN PT3 P7I11 TJR-FK GG.PENDIDIKAN</v>
      </c>
      <c r="D1914" s="222" t="str">
        <f>IFERROR(__xludf.DUMMYFUNCTION("""COMPUTED_VALUE"""),"REGIONAL I")</f>
        <v>REGIONAL I</v>
      </c>
      <c r="E1914" s="222" t="str">
        <f>IFERROR(__xludf.DUMMYFUNCTION("""COMPUTED_VALUE"""),"MEDAN")</f>
        <v>MEDAN</v>
      </c>
      <c r="F1914" s="222" t="str">
        <f>IFERROR(__xludf.DUMMYFUNCTION("""COMPUTED_VALUE"""),"TJR")</f>
        <v>TJR</v>
      </c>
      <c r="G1914" s="222" t="str">
        <f>IFERROR(__xludf.DUMMYFUNCTION("""COMPUTED_VALUE"""),"SUMBAGUT")</f>
        <v>SUMBAGUT</v>
      </c>
      <c r="H1914" s="222" t="str">
        <f>IFERROR(__xludf.DUMMYFUNCTION("""COMPUTED_VALUE"""),"MEDAN")</f>
        <v>MEDAN</v>
      </c>
      <c r="I1914" s="222" t="str">
        <f>IFERROR(__xludf.DUMMYFUNCTION("""COMPUTED_VALUE"""),"Batch 2")</f>
        <v>Batch 2</v>
      </c>
      <c r="J1914" s="225">
        <f>IFERROR(__xludf.DUMMYFUNCTION("""COMPUTED_VALUE"""),2.0)</f>
        <v>2</v>
      </c>
      <c r="K1914" s="224">
        <f>IFERROR(__xludf.DUMMYFUNCTION("""COMPUTED_VALUE"""),16.0)</f>
        <v>16</v>
      </c>
      <c r="L1914" s="226">
        <f>IFERROR(__xludf.DUMMYFUNCTION("""COMPUTED_VALUE"""),1156281.0)</f>
        <v>1156281</v>
      </c>
      <c r="M1914" s="227">
        <f>IFERROR(__xludf.DUMMYFUNCTION("""COMPUTED_VALUE"""),1.8500489E7)</f>
        <v>18500489</v>
      </c>
      <c r="N1914" s="222" t="str">
        <f>IFERROR(__xludf.DUMMYFUNCTION("""COMPUTED_VALUE"""),"PT MEDCOM SOLUTION")</f>
        <v>PT MEDCOM SOLUTION</v>
      </c>
      <c r="O1914" s="222" t="str">
        <f>IFERROR(__xludf.DUMMYFUNCTION("""COMPUTED_VALUE"""),"0. DROP")</f>
        <v>0. DROP</v>
      </c>
      <c r="P1914" s="222" t="str">
        <f>IFERROR(__xludf.DUMMYFUNCTION("""COMPUTED_VALUE"""),"0.2 Tidak Dapat Izin Warga/Kades/Lurah/Developer")</f>
        <v>0.2 Tidak Dapat Izin Warga/Kades/Lurah/Developer</v>
      </c>
      <c r="Q1914" s="222" t="str">
        <f>IFERROR(__xludf.DUMMYFUNCTION("""COMPUTED_VALUE"""),"21/01 tdk ada space tanam tiang/tdk izin warga")</f>
        <v>21/01 tdk ada space tanam tiang/tdk izin warga</v>
      </c>
      <c r="R1914" s="228"/>
      <c r="S1914" s="11"/>
      <c r="T1914" s="11"/>
      <c r="U1914" s="11"/>
      <c r="V1914" s="229"/>
      <c r="W1914" s="229"/>
      <c r="X1914" s="229" t="str">
        <f>IFERROR(__xludf.DUMMYFUNCTION("""COMPUTED_VALUE"""),"BELUM GOLIVE")</f>
        <v>BELUM GOLIVE</v>
      </c>
      <c r="Y1914" s="229"/>
      <c r="Z1914" s="229" t="str">
        <f>IFERROR(__xludf.DUMMYFUNCTION("""COMPUTED_VALUE"""),"#N/A")</f>
        <v>#N/A</v>
      </c>
      <c r="AA1914" s="229"/>
      <c r="AB1914" s="229"/>
      <c r="AC1914" s="229"/>
      <c r="AD1914" s="232"/>
      <c r="AE1914" s="233"/>
      <c r="AF1914" s="54" t="str">
        <f>IFERROR(__xludf.DUMMYFUNCTION("""COMPUTED_VALUE"""),"Draft BA DROP")</f>
        <v>Draft BA DROP</v>
      </c>
      <c r="AG1914" s="54"/>
      <c r="AH1914" s="54"/>
      <c r="AI1914" s="55" t="str">
        <f t="shared" si="190"/>
        <v/>
      </c>
      <c r="AW1914" s="234"/>
      <c r="BP1914" s="11"/>
      <c r="BQ1914" s="11"/>
      <c r="BR1914" s="235"/>
      <c r="BV1914" s="158"/>
      <c r="BY1914" s="158"/>
      <c r="CB1914" s="158"/>
    </row>
    <row r="1915" ht="18.0" customHeight="1">
      <c r="A1915" s="222">
        <f>IFERROR(__xludf.DUMMYFUNCTION("""COMPUTED_VALUE"""),2026.0)</f>
        <v>2026</v>
      </c>
      <c r="B1915" s="221">
        <f>IFERROR(__xludf.DUMMYFUNCTION("""COMPUTED_VALUE"""),1.2062282E7)</f>
        <v>12062282</v>
      </c>
      <c r="C1915" s="222" t="str">
        <f>IFERROR(__xludf.DUMMYFUNCTION("""COMPUTED_VALUE"""),"SMB-PT3-ODC-MLH-FA-SOLOK SELATAN_54631")</f>
        <v>SMB-PT3-ODC-MLH-FA-SOLOK SELATAN_54631</v>
      </c>
      <c r="D1915" s="222" t="str">
        <f>IFERROR(__xludf.DUMMYFUNCTION("""COMPUTED_VALUE"""),"REGIONAL I")</f>
        <v>REGIONAL I</v>
      </c>
      <c r="E1915" s="222" t="str">
        <f>IFERROR(__xludf.DUMMYFUNCTION("""COMPUTED_VALUE"""),"SUMBAR")</f>
        <v>SUMBAR</v>
      </c>
      <c r="F1915" s="222" t="str">
        <f>IFERROR(__xludf.DUMMYFUNCTION("""COMPUTED_VALUE"""),"MLH")</f>
        <v>MLH</v>
      </c>
      <c r="G1915" s="222" t="str">
        <f>IFERROR(__xludf.DUMMYFUNCTION("""COMPUTED_VALUE"""),"SUMBAGTENG")</f>
        <v>SUMBAGTENG</v>
      </c>
      <c r="H1915" s="222" t="str">
        <f>IFERROR(__xludf.DUMMYFUNCTION("""COMPUTED_VALUE"""),"PADANG")</f>
        <v>PADANG</v>
      </c>
      <c r="I1915" s="222" t="str">
        <f>IFERROR(__xludf.DUMMYFUNCTION("""COMPUTED_VALUE"""),"Batch 2")</f>
        <v>Batch 2</v>
      </c>
      <c r="J1915" s="225">
        <f>IFERROR(__xludf.DUMMYFUNCTION("""COMPUTED_VALUE"""),3.0)</f>
        <v>3</v>
      </c>
      <c r="K1915" s="224">
        <f>IFERROR(__xludf.DUMMYFUNCTION("""COMPUTED_VALUE"""),24.0)</f>
        <v>24</v>
      </c>
      <c r="L1915" s="226">
        <f>IFERROR(__xludf.DUMMYFUNCTION("""COMPUTED_VALUE"""),288103.0)</f>
        <v>288103</v>
      </c>
      <c r="M1915" s="227">
        <f>IFERROR(__xludf.DUMMYFUNCTION("""COMPUTED_VALUE"""),6914470.0)</f>
        <v>6914470</v>
      </c>
      <c r="N1915" s="222" t="str">
        <f>IFERROR(__xludf.DUMMYFUNCTION("""COMPUTED_VALUE"""),"PT WIRA MUDA OPTIMA")</f>
        <v>PT WIRA MUDA OPTIMA</v>
      </c>
      <c r="O1915" s="222" t="str">
        <f>IFERROR(__xludf.DUMMYFUNCTION("""COMPUTED_VALUE"""),"4. MATDEL")</f>
        <v>4. MATDEL</v>
      </c>
      <c r="P1915" s="222" t="str">
        <f>IFERROR(__xludf.DUMMYFUNCTION("""COMPUTED_VALUE"""),"4.4 Proses Pengiriman Pabribak ke WH")</f>
        <v>4.4 Proses Pengiriman Pabribak ke WH</v>
      </c>
      <c r="Q1915" s="222" t="str">
        <f>IFERROR(__xludf.DUMMYFUNCTION("""COMPUTED_VALUE"""),"(27/04) menunggu PO kabel 24 ADSS (20/04) proses create PID  (10/04) Proses aanwijziing , LOP HOLD FEEDER FULL ACC GO (08/01) kendala feeder MLH-FA FULL ")</f>
        <v>(27/04) menunggu PO kabel 24 ADSS (20/04) proses create PID  (10/04) Proses aanwijziing , LOP HOLD FEEDER FULL ACC GO (08/01) kendala feeder MLH-FA FULL </v>
      </c>
      <c r="R1915" s="228"/>
      <c r="S1915" s="11"/>
      <c r="T1915" s="11"/>
      <c r="U1915" s="11"/>
      <c r="V1915" s="229" t="str">
        <f>IFERROR(__xludf.DUMMYFUNCTION("""COMPUTED_VALUE"""),"FABIO RAHMAN")</f>
        <v>FABIO RAHMAN</v>
      </c>
      <c r="W1915" s="229" t="str">
        <f>IFERROR(__xludf.DUMMYFUNCTION("""COMPUTED_VALUE"""),"MELKO NARWADI")</f>
        <v>MELKO NARWADI</v>
      </c>
      <c r="X1915" s="229" t="str">
        <f>IFERROR(__xludf.DUMMYFUNCTION("""COMPUTED_VALUE"""),"BELUM GOLIVE")</f>
        <v>BELUM GOLIVE</v>
      </c>
      <c r="Y1915" s="229"/>
      <c r="Z1915" s="229" t="str">
        <f>IFERROR(__xludf.DUMMYFUNCTION("""COMPUTED_VALUE"""),"#N/A")</f>
        <v>#N/A</v>
      </c>
      <c r="AA1915" s="229"/>
      <c r="AB1915" s="229"/>
      <c r="AC1915" s="229"/>
      <c r="AD1915" s="232"/>
      <c r="AE1915" s="233"/>
      <c r="AF1915" s="54" t="str">
        <f>IFERROR(__xludf.DUMMYFUNCTION("""COMPUTED_VALUE"""),"Draft BA DROP")</f>
        <v>Draft BA DROP</v>
      </c>
      <c r="AG1915" s="54"/>
      <c r="AH1915" s="54"/>
      <c r="AI1915" s="55" t="str">
        <f t="shared" si="190"/>
        <v/>
      </c>
      <c r="AW1915" s="234"/>
      <c r="BP1915" s="11"/>
      <c r="BQ1915" s="11"/>
      <c r="BR1915" s="235"/>
      <c r="BV1915" s="158"/>
      <c r="BY1915" s="158"/>
      <c r="CB1915" s="158"/>
    </row>
    <row r="1916" ht="18.0" customHeight="1">
      <c r="A1916" s="222">
        <f>IFERROR(__xludf.DUMMYFUNCTION("""COMPUTED_VALUE"""),2026.0)</f>
        <v>2026</v>
      </c>
      <c r="B1916" s="221">
        <f>IFERROR(__xludf.DUMMYFUNCTION("""COMPUTED_VALUE"""),1.1512816E7)</f>
        <v>11512816</v>
      </c>
      <c r="C1916" s="222" t="str">
        <f>IFERROR(__xludf.DUMMYFUNCTION("""COMPUTED_VALUE"""),"SMB MD - AGAM_9605")</f>
        <v>SMB MD - AGAM_9605</v>
      </c>
      <c r="D1916" s="222" t="str">
        <f>IFERROR(__xludf.DUMMYFUNCTION("""COMPUTED_VALUE"""),"REGIONAL I")</f>
        <v>REGIONAL I</v>
      </c>
      <c r="E1916" s="222" t="str">
        <f>IFERROR(__xludf.DUMMYFUNCTION("""COMPUTED_VALUE"""),"SUMBAR")</f>
        <v>SUMBAR</v>
      </c>
      <c r="F1916" s="222" t="str">
        <f>IFERROR(__xludf.DUMMYFUNCTION("""COMPUTED_VALUE"""),"SUP")</f>
        <v>SUP</v>
      </c>
      <c r="G1916" s="222" t="str">
        <f>IFERROR(__xludf.DUMMYFUNCTION("""COMPUTED_VALUE"""),"SUMBAGTENG")</f>
        <v>SUMBAGTENG</v>
      </c>
      <c r="H1916" s="222" t="str">
        <f>IFERROR(__xludf.DUMMYFUNCTION("""COMPUTED_VALUE"""),"BUKIT TINGGI")</f>
        <v>BUKIT TINGGI</v>
      </c>
      <c r="I1916" s="222" t="str">
        <f>IFERROR(__xludf.DUMMYFUNCTION("""COMPUTED_VALUE"""),"Batch 2")</f>
        <v>Batch 2</v>
      </c>
      <c r="J1916" s="225">
        <f>IFERROR(__xludf.DUMMYFUNCTION("""COMPUTED_VALUE"""),4.0)</f>
        <v>4</v>
      </c>
      <c r="K1916" s="224">
        <f>IFERROR(__xludf.DUMMYFUNCTION("""COMPUTED_VALUE"""),32.0)</f>
        <v>32</v>
      </c>
      <c r="L1916" s="226">
        <f>IFERROR(__xludf.DUMMYFUNCTION("""COMPUTED_VALUE"""),285915.0)</f>
        <v>285915</v>
      </c>
      <c r="M1916" s="227">
        <f>IFERROR(__xludf.DUMMYFUNCTION("""COMPUTED_VALUE"""),9149264.0)</f>
        <v>9149264</v>
      </c>
      <c r="N1916" s="222" t="str">
        <f>IFERROR(__xludf.DUMMYFUNCTION("""COMPUTED_VALUE"""),"PT GARINDO TECHNO MANDIRI")</f>
        <v>PT GARINDO TECHNO MANDIRI</v>
      </c>
      <c r="O1916" s="222" t="str">
        <f>IFERROR(__xludf.DUMMYFUNCTION("""COMPUTED_VALUE"""),"4. MATDEL")</f>
        <v>4. MATDEL</v>
      </c>
      <c r="P1916" s="222" t="str">
        <f>IFERROR(__xludf.DUMMYFUNCTION("""COMPUTED_VALUE"""),"4.4 Proses Pengiriman Pabribak ke WH")</f>
        <v>4.4 Proses Pengiriman Pabribak ke WH</v>
      </c>
      <c r="Q1916"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1916" s="228"/>
      <c r="S1916" s="11"/>
      <c r="T1916" s="11"/>
      <c r="U1916" s="11"/>
      <c r="V1916" s="229" t="str">
        <f>IFERROR(__xludf.DUMMYFUNCTION("""COMPUTED_VALUE"""),"DELPA YANDA")</f>
        <v>DELPA YANDA</v>
      </c>
      <c r="W1916" s="229" t="str">
        <f>IFERROR(__xludf.DUMMYFUNCTION("""COMPUTED_VALUE"""),"MELKO NARWADI")</f>
        <v>MELKO NARWADI</v>
      </c>
      <c r="X1916" s="229" t="str">
        <f>IFERROR(__xludf.DUMMYFUNCTION("""COMPUTED_VALUE"""),"BELUM GOLIVE")</f>
        <v>BELUM GOLIVE</v>
      </c>
      <c r="Y1916" s="229"/>
      <c r="Z1916" s="229" t="str">
        <f>IFERROR(__xludf.DUMMYFUNCTION("""COMPUTED_VALUE"""),"#N/A")</f>
        <v>#N/A</v>
      </c>
      <c r="AA1916" s="229"/>
      <c r="AB1916" s="229"/>
      <c r="AC1916" s="229"/>
      <c r="AD1916" s="232"/>
      <c r="AE1916" s="233"/>
      <c r="AF1916" s="54" t="str">
        <f>IFERROR(__xludf.DUMMYFUNCTION("""COMPUTED_VALUE"""),"Draft BA DROP")</f>
        <v>Draft BA DROP</v>
      </c>
      <c r="AG1916" s="54"/>
      <c r="AH1916" s="54"/>
      <c r="AI1916" s="55" t="str">
        <f t="shared" si="190"/>
        <v/>
      </c>
      <c r="AW1916" s="234"/>
      <c r="BP1916" s="11"/>
      <c r="BQ1916" s="11"/>
      <c r="BR1916" s="235"/>
      <c r="BV1916" s="158"/>
      <c r="BY1916" s="158"/>
      <c r="CB1916" s="158"/>
    </row>
    <row r="1917" ht="18.0" customHeight="1">
      <c r="A1917" s="222">
        <f>IFERROR(__xludf.DUMMYFUNCTION("""COMPUTED_VALUE"""),2026.0)</f>
        <v>2026</v>
      </c>
      <c r="B1917" s="221">
        <f>IFERROR(__xludf.DUMMYFUNCTION("""COMPUTED_VALUE"""),1.1537066E7)</f>
        <v>11537066</v>
      </c>
      <c r="C1917" s="222" t="str">
        <f>IFERROR(__xludf.DUMMYFUNCTION("""COMPUTED_VALUE"""),"SMB-SLK-MD - Fauzi Afriadi")</f>
        <v>SMB-SLK-MD - Fauzi Afriadi</v>
      </c>
      <c r="D1917" s="222" t="str">
        <f>IFERROR(__xludf.DUMMYFUNCTION("""COMPUTED_VALUE"""),"REGIONAL I")</f>
        <v>REGIONAL I</v>
      </c>
      <c r="E1917" s="222" t="str">
        <f>IFERROR(__xludf.DUMMYFUNCTION("""COMPUTED_VALUE"""),"SUMBAR")</f>
        <v>SUMBAR</v>
      </c>
      <c r="F1917" s="222" t="str">
        <f>IFERROR(__xludf.DUMMYFUNCTION("""COMPUTED_VALUE"""),"SLK")</f>
        <v>SLK</v>
      </c>
      <c r="G1917" s="222" t="str">
        <f>IFERROR(__xludf.DUMMYFUNCTION("""COMPUTED_VALUE"""),"SUMBAGTENG")</f>
        <v>SUMBAGTENG</v>
      </c>
      <c r="H1917" s="222" t="str">
        <f>IFERROR(__xludf.DUMMYFUNCTION("""COMPUTED_VALUE"""),"PADANG")</f>
        <v>PADANG</v>
      </c>
      <c r="I1917" s="222" t="str">
        <f>IFERROR(__xludf.DUMMYFUNCTION("""COMPUTED_VALUE"""),"Batch 2")</f>
        <v>Batch 2</v>
      </c>
      <c r="J1917" s="225">
        <f>IFERROR(__xludf.DUMMYFUNCTION("""COMPUTED_VALUE"""),2.0)</f>
        <v>2</v>
      </c>
      <c r="K1917" s="224">
        <f>IFERROR(__xludf.DUMMYFUNCTION("""COMPUTED_VALUE"""),16.0)</f>
        <v>16</v>
      </c>
      <c r="L1917" s="226">
        <f>IFERROR(__xludf.DUMMYFUNCTION("""COMPUTED_VALUE"""),285068.0)</f>
        <v>285068</v>
      </c>
      <c r="M1917" s="227">
        <f>IFERROR(__xludf.DUMMYFUNCTION("""COMPUTED_VALUE"""),4561082.0)</f>
        <v>4561082</v>
      </c>
      <c r="N1917" s="222" t="str">
        <f>IFERROR(__xludf.DUMMYFUNCTION("""COMPUTED_VALUE"""),"PT TRI PENAMAS")</f>
        <v>PT TRI PENAMAS</v>
      </c>
      <c r="O1917" s="222" t="str">
        <f>IFERROR(__xludf.DUMMYFUNCTION("""COMPUTED_VALUE"""),"0. DROP")</f>
        <v>0. DROP</v>
      </c>
      <c r="P1917" s="222" t="str">
        <f>IFERROR(__xludf.DUMMYFUNCTION("""COMPUTED_VALUE"""),"0.4 CPP Tinggi Acc ED TIF")</f>
        <v>0.4 CPP Tinggi Acc ED TIF</v>
      </c>
      <c r="Q1917" s="222" t="str">
        <f>IFERROR(__xludf.DUMMYFUNCTION("""COMPUTED_VALUE"""),"(09/03) Drop karena cpp tinggi dan kenaikan tinggi (05/03) proses aanwijziing plan selesai 07/03 (27/01) kendala distribusi penuh. BUTUH NEW DIST CORE DIST 4 FULL")</f>
        <v>(09/03) Drop karena cpp tinggi dan kenaikan tinggi (05/03) proses aanwijziing plan selesai 07/03 (27/01) kendala distribusi penuh. BUTUH NEW DIST CORE DIST 4 FULL</v>
      </c>
      <c r="R1917" s="228"/>
      <c r="S1917" s="11"/>
      <c r="T1917" s="11"/>
      <c r="U1917" s="11" t="str">
        <f>IFERROR(__xludf.DUMMYFUNCTION("""COMPUTED_VALUE"""),"TIF-5960/2026  26KT03R158-0079")</f>
        <v>TIF-5960/2026  26KT03R158-0079</v>
      </c>
      <c r="V1917" s="229" t="str">
        <f>IFERROR(__xludf.DUMMYFUNCTION("""COMPUTED_VALUE"""),"FABIO RAHMAN")</f>
        <v>FABIO RAHMAN</v>
      </c>
      <c r="W1917" s="229" t="str">
        <f>IFERROR(__xludf.DUMMYFUNCTION("""COMPUTED_VALUE"""),"MELKO NARWADI")</f>
        <v>MELKO NARWADI</v>
      </c>
      <c r="X1917" s="229" t="str">
        <f>IFERROR(__xludf.DUMMYFUNCTION("""COMPUTED_VALUE"""),"BELUM GOLIVE")</f>
        <v>BELUM GOLIVE</v>
      </c>
      <c r="Y1917" s="229"/>
      <c r="Z1917" s="229" t="str">
        <f>IFERROR(__xludf.DUMMYFUNCTION("""COMPUTED_VALUE"""),"#N/A")</f>
        <v>#N/A</v>
      </c>
      <c r="AA1917" s="229"/>
      <c r="AB1917" s="229"/>
      <c r="AC1917" s="229"/>
      <c r="AD1917" s="232"/>
      <c r="AE1917" s="233"/>
      <c r="AF1917" s="54"/>
      <c r="AG1917" s="54"/>
      <c r="AH1917" s="54"/>
      <c r="AI1917" s="55" t="str">
        <f t="shared" si="190"/>
        <v/>
      </c>
      <c r="AW1917" s="234"/>
      <c r="BP1917" s="11"/>
      <c r="BQ1917" s="11"/>
      <c r="BR1917" s="235"/>
      <c r="BV1917" s="158"/>
      <c r="BY1917" s="158"/>
      <c r="CB1917" s="158"/>
    </row>
    <row r="1918" ht="18.0" hidden="1" customHeight="1">
      <c r="A1918" s="222">
        <f>IFERROR(__xludf.DUMMYFUNCTION("""COMPUTED_VALUE"""),2026.0)</f>
        <v>2026</v>
      </c>
      <c r="B1918" s="221">
        <f>IFERROR(__xludf.DUMMYFUNCTION("""COMPUTED_VALUE"""),1.1378195E7)</f>
        <v>11378195</v>
      </c>
      <c r="C1918" s="222" t="str">
        <f>IFERROR(__xludf.DUMMYFUNCTION("""COMPUTED_VALUE"""),"MDN PT3 BLW-FAH KOTA MEDAN_14326")</f>
        <v>MDN PT3 BLW-FAH KOTA MEDAN_14326</v>
      </c>
      <c r="D1918" s="222" t="str">
        <f>IFERROR(__xludf.DUMMYFUNCTION("""COMPUTED_VALUE"""),"REGIONAL I")</f>
        <v>REGIONAL I</v>
      </c>
      <c r="E1918" s="222" t="str">
        <f>IFERROR(__xludf.DUMMYFUNCTION("""COMPUTED_VALUE"""),"MEDAN")</f>
        <v>MEDAN</v>
      </c>
      <c r="F1918" s="222" t="str">
        <f>IFERROR(__xludf.DUMMYFUNCTION("""COMPUTED_VALUE"""),"BLW")</f>
        <v>BLW</v>
      </c>
      <c r="G1918" s="222" t="str">
        <f>IFERROR(__xludf.DUMMYFUNCTION("""COMPUTED_VALUE"""),"SUMBAGUT")</f>
        <v>SUMBAGUT</v>
      </c>
      <c r="H1918" s="222" t="str">
        <f>IFERROR(__xludf.DUMMYFUNCTION("""COMPUTED_VALUE"""),"MEDAN")</f>
        <v>MEDAN</v>
      </c>
      <c r="I1918" s="222" t="str">
        <f>IFERROR(__xludf.DUMMYFUNCTION("""COMPUTED_VALUE"""),"Batch 2")</f>
        <v>Batch 2</v>
      </c>
      <c r="J1918" s="225">
        <f>IFERROR(__xludf.DUMMYFUNCTION("""COMPUTED_VALUE"""),1.0)</f>
        <v>1</v>
      </c>
      <c r="K1918" s="224">
        <f>IFERROR(__xludf.DUMMYFUNCTION("""COMPUTED_VALUE"""),8.0)</f>
        <v>8</v>
      </c>
      <c r="L1918" s="226">
        <f>IFERROR(__xludf.DUMMYFUNCTION("""COMPUTED_VALUE"""),403403.0)</f>
        <v>403403</v>
      </c>
      <c r="M1918" s="227">
        <f>IFERROR(__xludf.DUMMYFUNCTION("""COMPUTED_VALUE"""),3227224.0)</f>
        <v>3227224</v>
      </c>
      <c r="N1918" s="222" t="str">
        <f>IFERROR(__xludf.DUMMYFUNCTION("""COMPUTED_VALUE"""),"PT GLOBAL KARYA WANDA")</f>
        <v>PT GLOBAL KARYA WANDA</v>
      </c>
      <c r="O1918" s="222" t="str">
        <f>IFERROR(__xludf.DUMMYFUNCTION("""COMPUTED_VALUE"""),"2. DONE AANWIJZING")</f>
        <v>2. DONE AANWIJZING</v>
      </c>
      <c r="P1918" s="222" t="str">
        <f>IFERROR(__xludf.DUMMYFUNCTION("""COMPUTED_VALUE"""),"2.10 Kendala - Feeder Rusak")</f>
        <v>2.10 Kendala - Feeder Rusak</v>
      </c>
      <c r="Q1918" s="222" t="str">
        <f>IFERROR(__xludf.DUMMYFUNCTION("""COMPUTED_VALUE"""),"25/02 Feeder Redti")</f>
        <v>25/02 Feeder Redti</v>
      </c>
      <c r="R1918" s="228"/>
      <c r="S1918" s="11"/>
      <c r="T1918" s="11"/>
      <c r="U1918" s="11"/>
      <c r="V1918" s="229"/>
      <c r="W1918" s="229"/>
      <c r="X1918" s="229" t="str">
        <f>IFERROR(__xludf.DUMMYFUNCTION("""COMPUTED_VALUE"""),"BELUM GOLIVE")</f>
        <v>BELUM GOLIVE</v>
      </c>
      <c r="Y1918" s="229"/>
      <c r="Z1918" s="229" t="str">
        <f>IFERROR(__xludf.DUMMYFUNCTION("""COMPUTED_VALUE"""),"#N/A")</f>
        <v>#N/A</v>
      </c>
      <c r="AA1918" s="229"/>
      <c r="AB1918" s="229"/>
      <c r="AC1918" s="229"/>
      <c r="AD1918" s="232"/>
      <c r="AE1918" s="233"/>
      <c r="AF1918" s="54"/>
      <c r="AG1918" s="54"/>
      <c r="AH1918" s="54"/>
      <c r="AI1918" s="55" t="str">
        <f t="shared" si="190"/>
        <v/>
      </c>
      <c r="AW1918" s="234"/>
      <c r="BP1918" s="11"/>
      <c r="BQ1918" s="11"/>
      <c r="BR1918" s="235"/>
      <c r="BV1918" s="158"/>
      <c r="BY1918" s="158"/>
      <c r="CB1918" s="158"/>
    </row>
    <row r="1919" ht="18.0" hidden="1" customHeight="1">
      <c r="A1919" s="222">
        <f>IFERROR(__xludf.DUMMYFUNCTION("""COMPUTED_VALUE"""),2026.0)</f>
        <v>2026</v>
      </c>
      <c r="B1919" s="221">
        <f>IFERROR(__xludf.DUMMYFUNCTION("""COMPUTED_VALUE"""),1.137451E7)</f>
        <v>11374510</v>
      </c>
      <c r="C1919" s="222" t="str">
        <f>IFERROR(__xludf.DUMMYFUNCTION("""COMPUTED_VALUE"""),"MDN PT3 DELI SERDANG_11476")</f>
        <v>MDN PT3 DELI SERDANG_11476</v>
      </c>
      <c r="D1919" s="222" t="str">
        <f>IFERROR(__xludf.DUMMYFUNCTION("""COMPUTED_VALUE"""),"REGIONAL I")</f>
        <v>REGIONAL I</v>
      </c>
      <c r="E1919" s="222" t="str">
        <f>IFERROR(__xludf.DUMMYFUNCTION("""COMPUTED_VALUE"""),"MEDAN")</f>
        <v>MEDAN</v>
      </c>
      <c r="F1919" s="222" t="str">
        <f>IFERROR(__xludf.DUMMYFUNCTION("""COMPUTED_VALUE"""),"TMU")</f>
        <v>TMU</v>
      </c>
      <c r="G1919" s="222" t="str">
        <f>IFERROR(__xludf.DUMMYFUNCTION("""COMPUTED_VALUE"""),"SUMBAGUT")</f>
        <v>SUMBAGUT</v>
      </c>
      <c r="H1919" s="222" t="str">
        <f>IFERROR(__xludf.DUMMYFUNCTION("""COMPUTED_VALUE"""),"MEDAN")</f>
        <v>MEDAN</v>
      </c>
      <c r="I1919" s="222" t="str">
        <f>IFERROR(__xludf.DUMMYFUNCTION("""COMPUTED_VALUE"""),"Batch 2")</f>
        <v>Batch 2</v>
      </c>
      <c r="J1919" s="225">
        <f>IFERROR(__xludf.DUMMYFUNCTION("""COMPUTED_VALUE"""),1.0)</f>
        <v>1</v>
      </c>
      <c r="K1919" s="224">
        <f>IFERROR(__xludf.DUMMYFUNCTION("""COMPUTED_VALUE"""),8.0)</f>
        <v>8</v>
      </c>
      <c r="L1919" s="226">
        <f>IFERROR(__xludf.DUMMYFUNCTION("""COMPUTED_VALUE"""),397045.0)</f>
        <v>397045</v>
      </c>
      <c r="M1919" s="227">
        <f>IFERROR(__xludf.DUMMYFUNCTION("""COMPUTED_VALUE"""),3176357.0)</f>
        <v>3176357</v>
      </c>
      <c r="N1919" s="222" t="str">
        <f>IFERROR(__xludf.DUMMYFUNCTION("""COMPUTED_VALUE"""),"PT ARTHA MANDIRI BERSAMA")</f>
        <v>PT ARTHA MANDIRI BERSAMA</v>
      </c>
      <c r="O1919" s="222" t="str">
        <f>IFERROR(__xludf.DUMMYFUNCTION("""COMPUTED_VALUE"""),"0. DROP")</f>
        <v>0. DROP</v>
      </c>
      <c r="P1919" s="222" t="str">
        <f>IFERROR(__xludf.DUMMYFUNCTION("""COMPUTED_VALUE"""),"0.3 Feeder Full")</f>
        <v>0.3 Feeder Full</v>
      </c>
      <c r="Q1919" s="222" t="str">
        <f>IFERROR(__xludf.DUMMYFUNCTION("""COMPUTED_VALUE"""),"08/03 Feeder Penuh 14/12 feeder redti
(24/09) Perizinan Warga dan Kades / Lurah
(23/09) Perizinan Warga dan Kades / Lurah
15/09 proses aanwijzing")</f>
        <v>08/03 Feeder Penuh 14/12 feeder redti
(24/09) Perizinan Warga dan Kades / Lurah
(23/09) Perizinan Warga dan Kades / Lurah
15/09 proses aanwijzing</v>
      </c>
      <c r="R1919" s="228"/>
      <c r="S1919" s="11"/>
      <c r="T1919" s="11"/>
      <c r="U1919" s="11"/>
      <c r="V1919" s="229"/>
      <c r="W1919" s="229"/>
      <c r="X1919" s="229" t="str">
        <f>IFERROR(__xludf.DUMMYFUNCTION("""COMPUTED_VALUE"""),"BELUM GOLIVE")</f>
        <v>BELUM GOLIVE</v>
      </c>
      <c r="Y1919" s="229"/>
      <c r="Z1919" s="229" t="str">
        <f>IFERROR(__xludf.DUMMYFUNCTION("""COMPUTED_VALUE"""),"#N/A")</f>
        <v>#N/A</v>
      </c>
      <c r="AA1919" s="229"/>
      <c r="AB1919" s="229"/>
      <c r="AC1919" s="229"/>
      <c r="AD1919" s="232"/>
      <c r="AE1919" s="233"/>
      <c r="AF1919" s="54"/>
      <c r="AG1919" s="54"/>
      <c r="AH1919" s="54"/>
      <c r="AI1919" s="55" t="str">
        <f t="shared" si="190"/>
        <v/>
      </c>
      <c r="AW1919" s="234"/>
      <c r="BP1919" s="11"/>
      <c r="BQ1919" s="11"/>
      <c r="BR1919" s="235"/>
      <c r="BV1919" s="158"/>
      <c r="BY1919" s="158"/>
      <c r="CB1919" s="158"/>
    </row>
    <row r="1920" ht="18.0" hidden="1" customHeight="1">
      <c r="A1920" s="222">
        <f>IFERROR(__xludf.DUMMYFUNCTION("""COMPUTED_VALUE"""),2026.0)</f>
        <v>2026</v>
      </c>
      <c r="B1920" s="221">
        <f>IFERROR(__xludf.DUMMYFUNCTION("""COMPUTED_VALUE"""),1.1197084E7)</f>
        <v>11197084</v>
      </c>
      <c r="C1920" s="222" t="str">
        <f>IFERROR(__xludf.DUMMYFUNCTION("""COMPUTED_VALUE"""),"MDN PT3 P7I7 CTD-FDN ASRAMA YONZIPUR 1DD")</f>
        <v>MDN PT3 P7I7 CTD-FDN ASRAMA YONZIPUR 1DD</v>
      </c>
      <c r="D1920" s="222" t="str">
        <f>IFERROR(__xludf.DUMMYFUNCTION("""COMPUTED_VALUE"""),"REGIONAL I")</f>
        <v>REGIONAL I</v>
      </c>
      <c r="E1920" s="222" t="str">
        <f>IFERROR(__xludf.DUMMYFUNCTION("""COMPUTED_VALUE"""),"MEDAN")</f>
        <v>MEDAN</v>
      </c>
      <c r="F1920" s="222" t="str">
        <f>IFERROR(__xludf.DUMMYFUNCTION("""COMPUTED_VALUE"""),"CTD")</f>
        <v>CTD</v>
      </c>
      <c r="G1920" s="222" t="str">
        <f>IFERROR(__xludf.DUMMYFUNCTION("""COMPUTED_VALUE"""),"SUMBAGUT")</f>
        <v>SUMBAGUT</v>
      </c>
      <c r="H1920" s="222" t="str">
        <f>IFERROR(__xludf.DUMMYFUNCTION("""COMPUTED_VALUE"""),"MEDAN")</f>
        <v>MEDAN</v>
      </c>
      <c r="I1920" s="222" t="str">
        <f>IFERROR(__xludf.DUMMYFUNCTION("""COMPUTED_VALUE"""),"Batch 2")</f>
        <v>Batch 2</v>
      </c>
      <c r="J1920" s="225">
        <f>IFERROR(__xludf.DUMMYFUNCTION("""COMPUTED_VALUE"""),7.0)</f>
        <v>7</v>
      </c>
      <c r="K1920" s="224">
        <f>IFERROR(__xludf.DUMMYFUNCTION("""COMPUTED_VALUE"""),56.0)</f>
        <v>56</v>
      </c>
      <c r="L1920" s="226">
        <f>IFERROR(__xludf.DUMMYFUNCTION("""COMPUTED_VALUE"""),1296552.0)</f>
        <v>1296552</v>
      </c>
      <c r="M1920" s="227">
        <f>IFERROR(__xludf.DUMMYFUNCTION("""COMPUTED_VALUE"""),7.2606911E7)</f>
        <v>72606911</v>
      </c>
      <c r="N1920" s="222" t="str">
        <f>IFERROR(__xludf.DUMMYFUNCTION("""COMPUTED_VALUE"""),"PT TRIPOLA PANATA")</f>
        <v>PT TRIPOLA PANATA</v>
      </c>
      <c r="O1920" s="222" t="str">
        <f>IFERROR(__xludf.DUMMYFUNCTION("""COMPUTED_VALUE"""),"0. DROP")</f>
        <v>0. DROP</v>
      </c>
      <c r="P1920" s="222" t="str">
        <f>IFERROR(__xludf.DUMMYFUNCTION("""COMPUTED_VALUE"""),"0.2 Tidak Dapat Izin Warga/Kades/Lurah/Developer")</f>
        <v>0.2 Tidak Dapat Izin Warga/Kades/Lurah/Developer</v>
      </c>
      <c r="Q1920" s="222" t="str">
        <f>IFERROR(__xludf.DUMMYFUNCTION("""COMPUTED_VALUE"""),"Tidak diberi izin Zipur")</f>
        <v>Tidak diberi izin Zipur</v>
      </c>
      <c r="R1920" s="228"/>
      <c r="S1920" s="11"/>
      <c r="T1920" s="11"/>
      <c r="U1920" s="11"/>
      <c r="V1920" s="229"/>
      <c r="W1920" s="229"/>
      <c r="X1920" s="229" t="str">
        <f>IFERROR(__xludf.DUMMYFUNCTION("""COMPUTED_VALUE"""),"BELUM GOLIVE")</f>
        <v>BELUM GOLIVE</v>
      </c>
      <c r="Y1920" s="229"/>
      <c r="Z1920" s="229" t="str">
        <f>IFERROR(__xludf.DUMMYFUNCTION("""COMPUTED_VALUE"""),"#N/A")</f>
        <v>#N/A</v>
      </c>
      <c r="AA1920" s="229"/>
      <c r="AB1920" s="229"/>
      <c r="AC1920" s="229"/>
      <c r="AD1920" s="232"/>
      <c r="AE1920" s="233"/>
      <c r="AF1920" s="54" t="str">
        <f>IFERROR(__xludf.DUMMYFUNCTION("""COMPUTED_VALUE"""),"Draft BA DROP")</f>
        <v>Draft BA DROP</v>
      </c>
      <c r="AG1920" s="54"/>
      <c r="AH1920" s="54"/>
      <c r="AI1920" s="55" t="str">
        <f t="shared" si="190"/>
        <v/>
      </c>
      <c r="AW1920" s="234"/>
      <c r="BP1920" s="11"/>
      <c r="BQ1920" s="11"/>
      <c r="BR1920" s="235"/>
      <c r="BV1920" s="158"/>
      <c r="BY1920" s="158"/>
      <c r="CB1920" s="158"/>
    </row>
    <row r="1921" ht="18.0" hidden="1" customHeight="1">
      <c r="A1921" s="222">
        <f>IFERROR(__xludf.DUMMYFUNCTION("""COMPUTED_VALUE"""),2026.0)</f>
        <v>2026</v>
      </c>
      <c r="B1921" s="221">
        <f>IFERROR(__xludf.DUMMYFUNCTION("""COMPUTED_VALUE"""),1.1187701E7)</f>
        <v>11187701</v>
      </c>
      <c r="C1921" s="222" t="str">
        <f>IFERROR(__xludf.DUMMYFUNCTION("""COMPUTED_VALUE"""),"MDN PT3 P7I11 TJR-FU JL.GEREJA GG.PUSTU")</f>
        <v>MDN PT3 P7I11 TJR-FU JL.GEREJA GG.PUSTU</v>
      </c>
      <c r="D1921" s="222" t="str">
        <f>IFERROR(__xludf.DUMMYFUNCTION("""COMPUTED_VALUE"""),"REGIONAL I")</f>
        <v>REGIONAL I</v>
      </c>
      <c r="E1921" s="222" t="str">
        <f>IFERROR(__xludf.DUMMYFUNCTION("""COMPUTED_VALUE"""),"MEDAN")</f>
        <v>MEDAN</v>
      </c>
      <c r="F1921" s="222" t="str">
        <f>IFERROR(__xludf.DUMMYFUNCTION("""COMPUTED_VALUE"""),"TJR")</f>
        <v>TJR</v>
      </c>
      <c r="G1921" s="222" t="str">
        <f>IFERROR(__xludf.DUMMYFUNCTION("""COMPUTED_VALUE"""),"SUMBAGUT")</f>
        <v>SUMBAGUT</v>
      </c>
      <c r="H1921" s="222" t="str">
        <f>IFERROR(__xludf.DUMMYFUNCTION("""COMPUTED_VALUE"""),"MEDAN")</f>
        <v>MEDAN</v>
      </c>
      <c r="I1921" s="222" t="str">
        <f>IFERROR(__xludf.DUMMYFUNCTION("""COMPUTED_VALUE"""),"Batch 2")</f>
        <v>Batch 2</v>
      </c>
      <c r="J1921" s="225">
        <f>IFERROR(__xludf.DUMMYFUNCTION("""COMPUTED_VALUE"""),1.0)</f>
        <v>1</v>
      </c>
      <c r="K1921" s="224">
        <f>IFERROR(__xludf.DUMMYFUNCTION("""COMPUTED_VALUE"""),8.0)</f>
        <v>8</v>
      </c>
      <c r="L1921" s="226">
        <f>IFERROR(__xludf.DUMMYFUNCTION("""COMPUTED_VALUE"""),1028629.0)</f>
        <v>1028629</v>
      </c>
      <c r="M1921" s="227">
        <f>IFERROR(__xludf.DUMMYFUNCTION("""COMPUTED_VALUE"""),8229027.0)</f>
        <v>8229027</v>
      </c>
      <c r="N1921" s="222" t="str">
        <f>IFERROR(__xludf.DUMMYFUNCTION("""COMPUTED_VALUE"""),"PT MEDCOM SOLUTION")</f>
        <v>PT MEDCOM SOLUTION</v>
      </c>
      <c r="O1921" s="222" t="str">
        <f>IFERROR(__xludf.DUMMYFUNCTION("""COMPUTED_VALUE"""),"0. DROP")</f>
        <v>0. DROP</v>
      </c>
      <c r="P1921" s="222" t="str">
        <f>IFERROR(__xludf.DUMMYFUNCTION("""COMPUTED_VALUE"""),"0.2 Tidak Dapat Izin Warga/Kades/Lurah/Developer")</f>
        <v>0.2 Tidak Dapat Izin Warga/Kades/Lurah/Developer</v>
      </c>
      <c r="Q1921" s="222" t="str">
        <f>IFERROR(__xludf.DUMMYFUNCTION("""COMPUTED_VALUE"""),"06/03 tdk ada space tanam tiang
(07/01) Persiapan")</f>
        <v>06/03 tdk ada space tanam tiang
(07/01) Persiapan</v>
      </c>
      <c r="R1921" s="228"/>
      <c r="S1921" s="11"/>
      <c r="T1921" s="11"/>
      <c r="U1921" s="11"/>
      <c r="V1921" s="229"/>
      <c r="W1921" s="229"/>
      <c r="X1921" s="229" t="str">
        <f>IFERROR(__xludf.DUMMYFUNCTION("""COMPUTED_VALUE"""),"BELUM GOLIVE")</f>
        <v>BELUM GOLIVE</v>
      </c>
      <c r="Y1921" s="229"/>
      <c r="Z1921" s="229" t="str">
        <f>IFERROR(__xludf.DUMMYFUNCTION("""COMPUTED_VALUE"""),"#N/A")</f>
        <v>#N/A</v>
      </c>
      <c r="AA1921" s="229"/>
      <c r="AB1921" s="229"/>
      <c r="AC1921" s="229"/>
      <c r="AD1921" s="232"/>
      <c r="AE1921" s="233"/>
      <c r="AF1921" s="54"/>
      <c r="AG1921" s="54"/>
      <c r="AH1921" s="54"/>
      <c r="AI1921" s="55" t="str">
        <f t="shared" si="190"/>
        <v/>
      </c>
      <c r="AW1921" s="234"/>
      <c r="BP1921" s="11"/>
      <c r="BQ1921" s="11"/>
      <c r="BR1921" s="235"/>
      <c r="BV1921" s="158"/>
      <c r="BY1921" s="158"/>
      <c r="CB1921" s="158"/>
    </row>
    <row r="1922" ht="18.0" hidden="1" customHeight="1">
      <c r="A1922" s="222">
        <f>IFERROR(__xludf.DUMMYFUNCTION("""COMPUTED_VALUE"""),2026.0)</f>
        <v>2026</v>
      </c>
      <c r="B1922" s="221">
        <f>IFERROR(__xludf.DUMMYFUNCTION("""COMPUTED_VALUE"""),1.1188884E7)</f>
        <v>11188884</v>
      </c>
      <c r="C1922" s="222" t="str">
        <f>IFERROR(__xludf.DUMMYFUNCTION("""COMPUTED_VALUE"""),"MDN PT3 P7I10 TJR-FQ GG.TARIGAN")</f>
        <v>MDN PT3 P7I10 TJR-FQ GG.TARIGAN</v>
      </c>
      <c r="D1922" s="222" t="str">
        <f>IFERROR(__xludf.DUMMYFUNCTION("""COMPUTED_VALUE"""),"REGIONAL I")</f>
        <v>REGIONAL I</v>
      </c>
      <c r="E1922" s="222" t="str">
        <f>IFERROR(__xludf.DUMMYFUNCTION("""COMPUTED_VALUE"""),"MEDAN")</f>
        <v>MEDAN</v>
      </c>
      <c r="F1922" s="222" t="str">
        <f>IFERROR(__xludf.DUMMYFUNCTION("""COMPUTED_VALUE"""),"TJR")</f>
        <v>TJR</v>
      </c>
      <c r="G1922" s="222" t="str">
        <f>IFERROR(__xludf.DUMMYFUNCTION("""COMPUTED_VALUE"""),"SUMBAGUT")</f>
        <v>SUMBAGUT</v>
      </c>
      <c r="H1922" s="222" t="str">
        <f>IFERROR(__xludf.DUMMYFUNCTION("""COMPUTED_VALUE"""),"MEDAN")</f>
        <v>MEDAN</v>
      </c>
      <c r="I1922" s="222" t="str">
        <f>IFERROR(__xludf.DUMMYFUNCTION("""COMPUTED_VALUE"""),"Batch 2")</f>
        <v>Batch 2</v>
      </c>
      <c r="J1922" s="225">
        <f>IFERROR(__xludf.DUMMYFUNCTION("""COMPUTED_VALUE"""),2.0)</f>
        <v>2</v>
      </c>
      <c r="K1922" s="224">
        <f>IFERROR(__xludf.DUMMYFUNCTION("""COMPUTED_VALUE"""),16.0)</f>
        <v>16</v>
      </c>
      <c r="L1922" s="226">
        <f>IFERROR(__xludf.DUMMYFUNCTION("""COMPUTED_VALUE"""),1024615.0)</f>
        <v>1024615</v>
      </c>
      <c r="M1922" s="227">
        <f>IFERROR(__xludf.DUMMYFUNCTION("""COMPUTED_VALUE"""),1.6393829E7)</f>
        <v>16393829</v>
      </c>
      <c r="N1922" s="222" t="str">
        <f>IFERROR(__xludf.DUMMYFUNCTION("""COMPUTED_VALUE"""),"PT MEDCOM SOLUTION")</f>
        <v>PT MEDCOM SOLUTION</v>
      </c>
      <c r="O1922" s="222" t="str">
        <f>IFERROR(__xludf.DUMMYFUNCTION("""COMPUTED_VALUE"""),"0. DROP")</f>
        <v>0. DROP</v>
      </c>
      <c r="P1922" s="222" t="str">
        <f>IFERROR(__xludf.DUMMYFUNCTION("""COMPUTED_VALUE"""),"0.4 CPP Tinggi Acc ED TIF")</f>
        <v>0.4 CPP Tinggi Acc ED TIF</v>
      </c>
      <c r="Q1922" s="222" t="str">
        <f>IFERROR(__xludf.DUMMYFUNCTION("""COMPUTED_VALUE"""),"11/11 comcase 2jt terlalu besar
(07/01) Persiapan")</f>
        <v>11/11 comcase 2jt terlalu besar
(07/01) Persiapan</v>
      </c>
      <c r="R1922" s="228"/>
      <c r="S1922" s="11"/>
      <c r="T1922" s="11"/>
      <c r="U1922" s="11"/>
      <c r="V1922" s="229"/>
      <c r="W1922" s="229"/>
      <c r="X1922" s="229" t="str">
        <f>IFERROR(__xludf.DUMMYFUNCTION("""COMPUTED_VALUE"""),"BELUM GOLIVE")</f>
        <v>BELUM GOLIVE</v>
      </c>
      <c r="Y1922" s="229"/>
      <c r="Z1922" s="229" t="str">
        <f>IFERROR(__xludf.DUMMYFUNCTION("""COMPUTED_VALUE"""),"#N/A")</f>
        <v>#N/A</v>
      </c>
      <c r="AA1922" s="229"/>
      <c r="AB1922" s="229"/>
      <c r="AC1922" s="229"/>
      <c r="AD1922" s="232"/>
      <c r="AE1922" s="233"/>
      <c r="AF1922" s="54" t="str">
        <f>IFERROR(__xludf.DUMMYFUNCTION("""COMPUTED_VALUE"""),"Draft BA DROP")</f>
        <v>Draft BA DROP</v>
      </c>
      <c r="AG1922" s="54"/>
      <c r="AH1922" s="54"/>
      <c r="AI1922" s="55" t="str">
        <f t="shared" si="190"/>
        <v/>
      </c>
      <c r="AW1922" s="234"/>
      <c r="BP1922" s="11"/>
      <c r="BQ1922" s="11"/>
      <c r="BR1922" s="235"/>
      <c r="BV1922" s="158"/>
      <c r="BY1922" s="158"/>
      <c r="CB1922" s="158"/>
    </row>
    <row r="1923" ht="18.0" hidden="1" customHeight="1">
      <c r="A1923" s="222">
        <f>IFERROR(__xludf.DUMMYFUNCTION("""COMPUTED_VALUE"""),2026.0)</f>
        <v>2026</v>
      </c>
      <c r="B1923" s="221">
        <f>IFERROR(__xludf.DUMMYFUNCTION("""COMPUTED_VALUE"""),1.1189246E7)</f>
        <v>11189246</v>
      </c>
      <c r="C1923" s="222" t="str">
        <f>IFERROR(__xludf.DUMMYFUNCTION("""COMPUTED_VALUE"""),"MDN PT3 P7I10 TJR-FQ GG.MUSYAWARAH")</f>
        <v>MDN PT3 P7I10 TJR-FQ GG.MUSYAWARAH</v>
      </c>
      <c r="D1923" s="222" t="str">
        <f>IFERROR(__xludf.DUMMYFUNCTION("""COMPUTED_VALUE"""),"REGIONAL I")</f>
        <v>REGIONAL I</v>
      </c>
      <c r="E1923" s="222" t="str">
        <f>IFERROR(__xludf.DUMMYFUNCTION("""COMPUTED_VALUE"""),"MEDAN")</f>
        <v>MEDAN</v>
      </c>
      <c r="F1923" s="222" t="str">
        <f>IFERROR(__xludf.DUMMYFUNCTION("""COMPUTED_VALUE"""),"TJR")</f>
        <v>TJR</v>
      </c>
      <c r="G1923" s="222" t="str">
        <f>IFERROR(__xludf.DUMMYFUNCTION("""COMPUTED_VALUE"""),"SUMBAGUT")</f>
        <v>SUMBAGUT</v>
      </c>
      <c r="H1923" s="222" t="str">
        <f>IFERROR(__xludf.DUMMYFUNCTION("""COMPUTED_VALUE"""),"MEDAN")</f>
        <v>MEDAN</v>
      </c>
      <c r="I1923" s="222" t="str">
        <f>IFERROR(__xludf.DUMMYFUNCTION("""COMPUTED_VALUE"""),"Batch 2")</f>
        <v>Batch 2</v>
      </c>
      <c r="J1923" s="225">
        <f>IFERROR(__xludf.DUMMYFUNCTION("""COMPUTED_VALUE"""),2.0)</f>
        <v>2</v>
      </c>
      <c r="K1923" s="224">
        <f>IFERROR(__xludf.DUMMYFUNCTION("""COMPUTED_VALUE"""),16.0)</f>
        <v>16</v>
      </c>
      <c r="L1923" s="226">
        <f>IFERROR(__xludf.DUMMYFUNCTION("""COMPUTED_VALUE"""),836719.0)</f>
        <v>836719</v>
      </c>
      <c r="M1923" s="227">
        <f>IFERROR(__xludf.DUMMYFUNCTION("""COMPUTED_VALUE"""),1.33875E7)</f>
        <v>13387500</v>
      </c>
      <c r="N1923" s="222" t="str">
        <f>IFERROR(__xludf.DUMMYFUNCTION("""COMPUTED_VALUE"""),"PT MEDCOM SOLUTION")</f>
        <v>PT MEDCOM SOLUTION</v>
      </c>
      <c r="O1923" s="222" t="str">
        <f>IFERROR(__xludf.DUMMYFUNCTION("""COMPUTED_VALUE"""),"0. DROP")</f>
        <v>0. DROP</v>
      </c>
      <c r="P1923" s="222" t="str">
        <f>IFERROR(__xludf.DUMMYFUNCTION("""COMPUTED_VALUE"""),"0.2 Tidak Dapat Izin Warga/Kades/Lurah/Developer")</f>
        <v>0.2 Tidak Dapat Izin Warga/Kades/Lurah/Developer</v>
      </c>
      <c r="Q1923" s="222" t="str">
        <f>IFERROR(__xludf.DUMMYFUNCTION("""COMPUTED_VALUE"""),"19/01 tdk ada space tanam tiang
(07/01) Persiapan")</f>
        <v>19/01 tdk ada space tanam tiang
(07/01) Persiapan</v>
      </c>
      <c r="R1923" s="228"/>
      <c r="S1923" s="11"/>
      <c r="T1923" s="11"/>
      <c r="U1923" s="11"/>
      <c r="V1923" s="229"/>
      <c r="W1923" s="229"/>
      <c r="X1923" s="229" t="str">
        <f>IFERROR(__xludf.DUMMYFUNCTION("""COMPUTED_VALUE"""),"BELUM GOLIVE")</f>
        <v>BELUM GOLIVE</v>
      </c>
      <c r="Y1923" s="229"/>
      <c r="Z1923" s="229" t="str">
        <f>IFERROR(__xludf.DUMMYFUNCTION("""COMPUTED_VALUE"""),"#N/A")</f>
        <v>#N/A</v>
      </c>
      <c r="AA1923" s="229"/>
      <c r="AB1923" s="229"/>
      <c r="AC1923" s="229"/>
      <c r="AD1923" s="232"/>
      <c r="AE1923" s="233"/>
      <c r="AF1923" s="54" t="str">
        <f>IFERROR(__xludf.DUMMYFUNCTION("""COMPUTED_VALUE"""),"Draft BA DROP")</f>
        <v>Draft BA DROP</v>
      </c>
      <c r="AG1923" s="54"/>
      <c r="AH1923" s="54"/>
      <c r="AI1923" s="55" t="str">
        <f t="shared" si="190"/>
        <v/>
      </c>
      <c r="AW1923" s="234"/>
      <c r="BP1923" s="11"/>
      <c r="BQ1923" s="11"/>
      <c r="BR1923" s="235"/>
      <c r="BV1923" s="158"/>
      <c r="BY1923" s="158"/>
      <c r="CB1923" s="158"/>
    </row>
    <row r="1924" ht="18.0" hidden="1" customHeight="1">
      <c r="A1924" s="222">
        <f>IFERROR(__xludf.DUMMYFUNCTION("""COMPUTED_VALUE"""),2026.0)</f>
        <v>2026</v>
      </c>
      <c r="B1924" s="221">
        <f>IFERROR(__xludf.DUMMYFUNCTION("""COMPUTED_VALUE"""),1.1196944E7)</f>
        <v>11196944</v>
      </c>
      <c r="C1924" s="222" t="str">
        <f>IFERROR(__xludf.DUMMYFUNCTION("""COMPUTED_VALUE"""),"MDN PT3 P7I9 TJR-FAC JL.SEDAR GG.BERSAMA")</f>
        <v>MDN PT3 P7I9 TJR-FAC JL.SEDAR GG.BERSAMA</v>
      </c>
      <c r="D1924" s="222" t="str">
        <f>IFERROR(__xludf.DUMMYFUNCTION("""COMPUTED_VALUE"""),"REGIONAL I")</f>
        <v>REGIONAL I</v>
      </c>
      <c r="E1924" s="222" t="str">
        <f>IFERROR(__xludf.DUMMYFUNCTION("""COMPUTED_VALUE"""),"MEDAN")</f>
        <v>MEDAN</v>
      </c>
      <c r="F1924" s="222" t="str">
        <f>IFERROR(__xludf.DUMMYFUNCTION("""COMPUTED_VALUE"""),"TJR")</f>
        <v>TJR</v>
      </c>
      <c r="G1924" s="222" t="str">
        <f>IFERROR(__xludf.DUMMYFUNCTION("""COMPUTED_VALUE"""),"SUMBAGUT")</f>
        <v>SUMBAGUT</v>
      </c>
      <c r="H1924" s="222" t="str">
        <f>IFERROR(__xludf.DUMMYFUNCTION("""COMPUTED_VALUE"""),"MEDAN")</f>
        <v>MEDAN</v>
      </c>
      <c r="I1924" s="222" t="str">
        <f>IFERROR(__xludf.DUMMYFUNCTION("""COMPUTED_VALUE"""),"Batch 2")</f>
        <v>Batch 2</v>
      </c>
      <c r="J1924" s="225">
        <f>IFERROR(__xludf.DUMMYFUNCTION("""COMPUTED_VALUE"""),2.0)</f>
        <v>2</v>
      </c>
      <c r="K1924" s="224">
        <f>IFERROR(__xludf.DUMMYFUNCTION("""COMPUTED_VALUE"""),16.0)</f>
        <v>16</v>
      </c>
      <c r="L1924" s="226">
        <f>IFERROR(__xludf.DUMMYFUNCTION("""COMPUTED_VALUE"""),847740.0)</f>
        <v>847740</v>
      </c>
      <c r="M1924" s="227">
        <f>IFERROR(__xludf.DUMMYFUNCTION("""COMPUTED_VALUE"""),1.3563837E7)</f>
        <v>13563837</v>
      </c>
      <c r="N1924" s="222" t="str">
        <f>IFERROR(__xludf.DUMMYFUNCTION("""COMPUTED_VALUE"""),"PT MEDCOM SOLUTION")</f>
        <v>PT MEDCOM SOLUTION</v>
      </c>
      <c r="O1924" s="222" t="str">
        <f>IFERROR(__xludf.DUMMYFUNCTION("""COMPUTED_VALUE"""),"0. DROP")</f>
        <v>0. DROP</v>
      </c>
      <c r="P1924" s="222" t="str">
        <f>IFERROR(__xludf.DUMMYFUNCTION("""COMPUTED_VALUE"""),"0.2 Tidak Dapat Izin Warga/Kades/Lurah/Developer")</f>
        <v>0.2 Tidak Dapat Izin Warga/Kades/Lurah/Developer</v>
      </c>
      <c r="Q1924" s="222" t="str">
        <f>IFERROR(__xludf.DUMMYFUNCTION("""COMPUTED_VALUE"""),"08/04 tidak dapat izin dari warga
31/03 pengukuran ulang DC ke FTM, Perizinan OGP Prelim (07/01) Persiapan")</f>
        <v>08/04 tidak dapat izin dari warga
31/03 pengukuran ulang DC ke FTM, Perizinan OGP Prelim (07/01) Persiapan</v>
      </c>
      <c r="R1924" s="228"/>
      <c r="S1924" s="11"/>
      <c r="T1924" s="73"/>
      <c r="U1924" s="11"/>
      <c r="V1924" s="229" t="str">
        <f>IFERROR(__xludf.DUMMYFUNCTION("""COMPUTED_VALUE"""),"29/Apr/2026")</f>
        <v>29/Apr/2026</v>
      </c>
      <c r="W1924" s="229"/>
      <c r="X1924" s="229" t="str">
        <f>IFERROR(__xludf.DUMMYFUNCTION("""COMPUTED_VALUE"""),"BELUM GOLIVE")</f>
        <v>BELUM GOLIVE</v>
      </c>
      <c r="Y1924" s="229"/>
      <c r="Z1924" s="229" t="str">
        <f>IFERROR(__xludf.DUMMYFUNCTION("""COMPUTED_VALUE"""),"#N/A")</f>
        <v>#N/A</v>
      </c>
      <c r="AA1924" s="229"/>
      <c r="AB1924" s="229"/>
      <c r="AC1924" s="229"/>
      <c r="AD1924" s="232"/>
      <c r="AE1924" s="233"/>
      <c r="AF1924" s="54"/>
      <c r="AG1924" s="54"/>
      <c r="AH1924" s="54"/>
      <c r="AI1924" s="55" t="str">
        <f t="shared" si="190"/>
        <v/>
      </c>
      <c r="AW1924" s="234"/>
      <c r="BP1924" s="11"/>
      <c r="BQ1924" s="11"/>
      <c r="BR1924" s="235"/>
      <c r="BV1924" s="158"/>
      <c r="BY1924" s="158"/>
      <c r="CB1924" s="158"/>
    </row>
    <row r="1925" ht="18.0" hidden="1" customHeight="1">
      <c r="A1925" s="222">
        <f>IFERROR(__xludf.DUMMYFUNCTION("""COMPUTED_VALUE"""),2026.0)</f>
        <v>2026</v>
      </c>
      <c r="B1925" s="221">
        <f>IFERROR(__xludf.DUMMYFUNCTION("""COMPUTED_VALUE"""),1.20907E7)</f>
        <v>12090700</v>
      </c>
      <c r="C1925" s="222" t="str">
        <f>IFERROR(__xludf.DUMMYFUNCTION("""COMPUTED_VALUE"""),"MDN PT4 TTG-FCA GRAND PAVILION_MD25")</f>
        <v>MDN PT4 TTG-FCA GRAND PAVILION_MD25</v>
      </c>
      <c r="D1925" s="222" t="str">
        <f>IFERROR(__xludf.DUMMYFUNCTION("""COMPUTED_VALUE"""),"REGIONAL I")</f>
        <v>REGIONAL I</v>
      </c>
      <c r="E1925" s="222" t="str">
        <f>IFERROR(__xludf.DUMMYFUNCTION("""COMPUTED_VALUE"""),"MEDAN")</f>
        <v>MEDAN</v>
      </c>
      <c r="F1925" s="222" t="str">
        <f>IFERROR(__xludf.DUMMYFUNCTION("""COMPUTED_VALUE"""),"TTG")</f>
        <v>TTG</v>
      </c>
      <c r="G1925" s="222" t="str">
        <f>IFERROR(__xludf.DUMMYFUNCTION("""COMPUTED_VALUE"""),"SUMBAGUT")</f>
        <v>SUMBAGUT</v>
      </c>
      <c r="H1925" s="222" t="str">
        <f>IFERROR(__xludf.DUMMYFUNCTION("""COMPUTED_VALUE"""),"MEDAN")</f>
        <v>MEDAN</v>
      </c>
      <c r="I1925" s="222" t="str">
        <f>IFERROR(__xludf.DUMMYFUNCTION("""COMPUTED_VALUE"""),"Batch 2")</f>
        <v>Batch 2</v>
      </c>
      <c r="J1925" s="225">
        <f>IFERROR(__xludf.DUMMYFUNCTION("""COMPUTED_VALUE"""),19.0)</f>
        <v>19</v>
      </c>
      <c r="K1925" s="224">
        <f>IFERROR(__xludf.DUMMYFUNCTION("""COMPUTED_VALUE"""),152.0)</f>
        <v>152</v>
      </c>
      <c r="L1925" s="226">
        <f>IFERROR(__xludf.DUMMYFUNCTION("""COMPUTED_VALUE"""),1479103.0)</f>
        <v>1479103</v>
      </c>
      <c r="M1925" s="227">
        <f>IFERROR(__xludf.DUMMYFUNCTION("""COMPUTED_VALUE"""),2.24823653E8)</f>
        <v>224823653</v>
      </c>
      <c r="N1925" s="222" t="str">
        <f>IFERROR(__xludf.DUMMYFUNCTION("""COMPUTED_VALUE"""),"PT FAJAR MITRA KRIDA ABADI")</f>
        <v>PT FAJAR MITRA KRIDA ABADI</v>
      </c>
      <c r="O1925" s="222" t="str">
        <f>IFERROR(__xludf.DUMMYFUNCTION("""COMPUTED_VALUE"""),"0. DROP")</f>
        <v>0. DROP</v>
      </c>
      <c r="P1925" s="222" t="str">
        <f>IFERROR(__xludf.DUMMYFUNCTION("""COMPUTED_VALUE"""),"0.4 CPP Tinggi Acc ED TIF")</f>
        <v>0.4 CPP Tinggi Acc ED TIF</v>
      </c>
      <c r="Q1925" s="222" t="str">
        <f>IFERROR(__xludf.DUMMYFUNCTION("""COMPUTED_VALUE"""),"13/02 pengecekan ulang 02/02 Feeder Tidak Tembus")</f>
        <v>13/02 pengecekan ulang 02/02 Feeder Tidak Tembus</v>
      </c>
      <c r="R1925" s="228"/>
      <c r="S1925" s="11"/>
      <c r="T1925" s="11"/>
      <c r="U1925" s="11"/>
      <c r="V1925" s="229"/>
      <c r="W1925" s="229"/>
      <c r="X1925" s="229" t="str">
        <f>IFERROR(__xludf.DUMMYFUNCTION("""COMPUTED_VALUE"""),"BELUM GOLIVE")</f>
        <v>BELUM GOLIVE</v>
      </c>
      <c r="Y1925" s="229"/>
      <c r="Z1925" s="229" t="str">
        <f>IFERROR(__xludf.DUMMYFUNCTION("""COMPUTED_VALUE"""),"#N/A")</f>
        <v>#N/A</v>
      </c>
      <c r="AA1925" s="229"/>
      <c r="AB1925" s="229"/>
      <c r="AC1925" s="229"/>
      <c r="AD1925" s="232"/>
      <c r="AE1925" s="233"/>
      <c r="AF1925" s="54" t="str">
        <f>IFERROR(__xludf.DUMMYFUNCTION("""COMPUTED_VALUE"""),"Draft BA DROP")</f>
        <v>Draft BA DROP</v>
      </c>
      <c r="AG1925" s="54"/>
      <c r="AH1925" s="54"/>
      <c r="AI1925" s="55" t="str">
        <f t="shared" si="190"/>
        <v/>
      </c>
      <c r="AW1925" s="234"/>
      <c r="BP1925" s="11"/>
      <c r="BQ1925" s="11"/>
      <c r="BR1925" s="235"/>
      <c r="BV1925" s="158"/>
      <c r="BY1925" s="158"/>
      <c r="CB1925" s="158"/>
    </row>
    <row r="1926" ht="18.0" hidden="1" customHeight="1">
      <c r="A1926" s="222">
        <f>IFERROR(__xludf.DUMMYFUNCTION("""COMPUTED_VALUE"""),2026.0)</f>
        <v>2026</v>
      </c>
      <c r="B1926" s="221">
        <f>IFERROR(__xludf.DUMMYFUNCTION("""COMPUTED_VALUE"""),1.1219458E7)</f>
        <v>11219458</v>
      </c>
      <c r="C1926" s="222" t="str">
        <f>IFERROR(__xludf.DUMMYFUNCTION("""COMPUTED_VALUE"""),"MDN PT3 P7I12 TJR-FQ JL.TIRTA DELI GG")</f>
        <v>MDN PT3 P7I12 TJR-FQ JL.TIRTA DELI GG</v>
      </c>
      <c r="D1926" s="222" t="str">
        <f>IFERROR(__xludf.DUMMYFUNCTION("""COMPUTED_VALUE"""),"REGIONAL I")</f>
        <v>REGIONAL I</v>
      </c>
      <c r="E1926" s="222" t="str">
        <f>IFERROR(__xludf.DUMMYFUNCTION("""COMPUTED_VALUE"""),"MEDAN")</f>
        <v>MEDAN</v>
      </c>
      <c r="F1926" s="222" t="str">
        <f>IFERROR(__xludf.DUMMYFUNCTION("""COMPUTED_VALUE"""),"TJR")</f>
        <v>TJR</v>
      </c>
      <c r="G1926" s="222" t="str">
        <f>IFERROR(__xludf.DUMMYFUNCTION("""COMPUTED_VALUE"""),"SUMBAGUT")</f>
        <v>SUMBAGUT</v>
      </c>
      <c r="H1926" s="222" t="str">
        <f>IFERROR(__xludf.DUMMYFUNCTION("""COMPUTED_VALUE"""),"MEDAN")</f>
        <v>MEDAN</v>
      </c>
      <c r="I1926" s="222" t="str">
        <f>IFERROR(__xludf.DUMMYFUNCTION("""COMPUTED_VALUE"""),"Batch 2")</f>
        <v>Batch 2</v>
      </c>
      <c r="J1926" s="225">
        <f>IFERROR(__xludf.DUMMYFUNCTION("""COMPUTED_VALUE"""),2.0)</f>
        <v>2</v>
      </c>
      <c r="K1926" s="224">
        <f>IFERROR(__xludf.DUMMYFUNCTION("""COMPUTED_VALUE"""),16.0)</f>
        <v>16</v>
      </c>
      <c r="L1926" s="226">
        <f>IFERROR(__xludf.DUMMYFUNCTION("""COMPUTED_VALUE"""),1067408.0)</f>
        <v>1067408</v>
      </c>
      <c r="M1926" s="227">
        <f>IFERROR(__xludf.DUMMYFUNCTION("""COMPUTED_VALUE"""),1.7078519E7)</f>
        <v>17078519</v>
      </c>
      <c r="N1926" s="222" t="str">
        <f>IFERROR(__xludf.DUMMYFUNCTION("""COMPUTED_VALUE"""),"PT MEDCOM SOLUTION")</f>
        <v>PT MEDCOM SOLUTION</v>
      </c>
      <c r="O1926" s="222" t="str">
        <f>IFERROR(__xludf.DUMMYFUNCTION("""COMPUTED_VALUE"""),"0. DROP")</f>
        <v>0. DROP</v>
      </c>
      <c r="P1926" s="222" t="str">
        <f>IFERROR(__xludf.DUMMYFUNCTION("""COMPUTED_VALUE"""),"0.2 Tidak Dapat Izin Warga/Kades/Lurah/Developer")</f>
        <v>0.2 Tidak Dapat Izin Warga/Kades/Lurah/Developer</v>
      </c>
      <c r="Q1926" s="222" t="str">
        <f>IFERROR(__xludf.DUMMYFUNCTION("""COMPUTED_VALUE"""),"05/10 warga menolak penanaman tiang dilahan warga
(24/09) Perizinan Warga dan Kades / Lurah
(23/09) Perizinan Warga dan Kades / Lurah
15/09 proses aanwijzing")</f>
        <v>05/10 warga menolak penanaman tiang dilahan warga
(24/09) Perizinan Warga dan Kades / Lurah
(23/09) Perizinan Warga dan Kades / Lurah
15/09 proses aanwijzing</v>
      </c>
      <c r="R1926" s="228"/>
      <c r="S1926" s="11"/>
      <c r="T1926" s="11"/>
      <c r="U1926" s="11"/>
      <c r="V1926" s="229"/>
      <c r="W1926" s="229"/>
      <c r="X1926" s="229" t="str">
        <f>IFERROR(__xludf.DUMMYFUNCTION("""COMPUTED_VALUE"""),"BELUM GOLIVE")</f>
        <v>BELUM GOLIVE</v>
      </c>
      <c r="Y1926" s="229"/>
      <c r="Z1926" s="229" t="str">
        <f>IFERROR(__xludf.DUMMYFUNCTION("""COMPUTED_VALUE"""),"#N/A")</f>
        <v>#N/A</v>
      </c>
      <c r="AA1926" s="229"/>
      <c r="AB1926" s="229"/>
      <c r="AC1926" s="229"/>
      <c r="AD1926" s="232"/>
      <c r="AE1926" s="233"/>
      <c r="AF1926" s="54" t="str">
        <f>IFERROR(__xludf.DUMMYFUNCTION("""COMPUTED_VALUE"""),"Draft BA DROP")</f>
        <v>Draft BA DROP</v>
      </c>
      <c r="AG1926" s="54"/>
      <c r="AH1926" s="54"/>
      <c r="AI1926" s="55" t="str">
        <f t="shared" si="190"/>
        <v/>
      </c>
      <c r="AW1926" s="234"/>
      <c r="BP1926" s="11"/>
      <c r="BQ1926" s="11"/>
      <c r="BR1926" s="235"/>
      <c r="BV1926" s="158"/>
      <c r="BY1926" s="158"/>
      <c r="CB1926" s="158"/>
    </row>
    <row r="1927" ht="18.0" hidden="1" customHeight="1">
      <c r="A1927" s="222">
        <f>IFERROR(__xludf.DUMMYFUNCTION("""COMPUTED_VALUE"""),2026.0)</f>
        <v>2026</v>
      </c>
      <c r="B1927" s="221">
        <f>IFERROR(__xludf.DUMMYFUNCTION("""COMPUTED_VALUE"""),1.1378053E7)</f>
        <v>11378053</v>
      </c>
      <c r="C1927" s="222" t="str">
        <f>IFERROR(__xludf.DUMMYFUNCTION("""COMPUTED_VALUE"""),"MDN PT2 TMU-FAC DELI SERDANG_11037")</f>
        <v>MDN PT2 TMU-FAC DELI SERDANG_11037</v>
      </c>
      <c r="D1927" s="222" t="str">
        <f>IFERROR(__xludf.DUMMYFUNCTION("""COMPUTED_VALUE"""),"REGIONAL I")</f>
        <v>REGIONAL I</v>
      </c>
      <c r="E1927" s="222" t="str">
        <f>IFERROR(__xludf.DUMMYFUNCTION("""COMPUTED_VALUE"""),"MEDAN")</f>
        <v>MEDAN</v>
      </c>
      <c r="F1927" s="222" t="str">
        <f>IFERROR(__xludf.DUMMYFUNCTION("""COMPUTED_VALUE"""),"TMU")</f>
        <v>TMU</v>
      </c>
      <c r="G1927" s="222" t="str">
        <f>IFERROR(__xludf.DUMMYFUNCTION("""COMPUTED_VALUE"""),"SUMBAGUT")</f>
        <v>SUMBAGUT</v>
      </c>
      <c r="H1927" s="222" t="str">
        <f>IFERROR(__xludf.DUMMYFUNCTION("""COMPUTED_VALUE"""),"MEDAN")</f>
        <v>MEDAN</v>
      </c>
      <c r="I1927" s="222" t="str">
        <f>IFERROR(__xludf.DUMMYFUNCTION("""COMPUTED_VALUE"""),"Batch 2")</f>
        <v>Batch 2</v>
      </c>
      <c r="J1927" s="225">
        <f>IFERROR(__xludf.DUMMYFUNCTION("""COMPUTED_VALUE"""),1.0)</f>
        <v>1</v>
      </c>
      <c r="K1927" s="224">
        <f>IFERROR(__xludf.DUMMYFUNCTION("""COMPUTED_VALUE"""),8.0)</f>
        <v>8</v>
      </c>
      <c r="L1927" s="226">
        <f>IFERROR(__xludf.DUMMYFUNCTION("""COMPUTED_VALUE"""),397045.0)</f>
        <v>397045</v>
      </c>
      <c r="M1927" s="227">
        <f>IFERROR(__xludf.DUMMYFUNCTION("""COMPUTED_VALUE"""),3176357.0)</f>
        <v>3176357</v>
      </c>
      <c r="N1927" s="222" t="str">
        <f>IFERROR(__xludf.DUMMYFUNCTION("""COMPUTED_VALUE"""),"PT ARTHA MANDIRI BERSAMA")</f>
        <v>PT ARTHA MANDIRI BERSAMA</v>
      </c>
      <c r="O1927" s="222" t="str">
        <f>IFERROR(__xludf.DUMMYFUNCTION("""COMPUTED_VALUE"""),"0. DROP")</f>
        <v>0. DROP</v>
      </c>
      <c r="P1927" s="222" t="str">
        <f>IFERROR(__xludf.DUMMYFUNCTION("""COMPUTED_VALUE"""),"0.3 Feeder Full")</f>
        <v>0.3 Feeder Full</v>
      </c>
      <c r="Q1927" s="222" t="str">
        <f>IFERROR(__xludf.DUMMYFUNCTION("""COMPUTED_VALUE"""),"08/03 Feeder Penuh 14/12 feeder redti
(24/09) Perizinan Warga dan Kades / Lurah
(23/09) Perizinan Warga dan Kades / Lurah
15/09 proses aanwijzing")</f>
        <v>08/03 Feeder Penuh 14/12 feeder redti
(24/09) Perizinan Warga dan Kades / Lurah
(23/09) Perizinan Warga dan Kades / Lurah
15/09 proses aanwijzing</v>
      </c>
      <c r="R1927" s="228"/>
      <c r="S1927" s="11"/>
      <c r="T1927" s="11"/>
      <c r="U1927" s="11"/>
      <c r="V1927" s="229"/>
      <c r="W1927" s="229"/>
      <c r="X1927" s="229" t="str">
        <f>IFERROR(__xludf.DUMMYFUNCTION("""COMPUTED_VALUE"""),"BELUM GOLIVE")</f>
        <v>BELUM GOLIVE</v>
      </c>
      <c r="Y1927" s="229"/>
      <c r="Z1927" s="229" t="str">
        <f>IFERROR(__xludf.DUMMYFUNCTION("""COMPUTED_VALUE"""),"#N/A")</f>
        <v>#N/A</v>
      </c>
      <c r="AA1927" s="229"/>
      <c r="AB1927" s="229"/>
      <c r="AC1927" s="229"/>
      <c r="AD1927" s="232"/>
      <c r="AE1927" s="233"/>
      <c r="AF1927" s="54"/>
      <c r="AG1927" s="54"/>
      <c r="AH1927" s="54"/>
      <c r="AI1927" s="55" t="str">
        <f t="shared" si="190"/>
        <v/>
      </c>
      <c r="AW1927" s="234"/>
      <c r="BP1927" s="11"/>
      <c r="BQ1927" s="11"/>
      <c r="BR1927" s="235"/>
      <c r="BV1927" s="158"/>
      <c r="BY1927" s="158"/>
      <c r="CB1927" s="158"/>
    </row>
    <row r="1928" ht="18.0" hidden="1" customHeight="1">
      <c r="A1928" s="222">
        <f>IFERROR(__xludf.DUMMYFUNCTION("""COMPUTED_VALUE"""),2026.0)</f>
        <v>2026</v>
      </c>
      <c r="B1928" s="221">
        <f>IFERROR(__xludf.DUMMYFUNCTION("""COMPUTED_VALUE"""),1.1162642E7)</f>
        <v>11162642</v>
      </c>
      <c r="C1928" s="222" t="str">
        <f>IFERROR(__xludf.DUMMYFUNCTION("""COMPUTED_VALUE"""),"MDN PT3 P7I10 BLW-FAA JL.RAYA PELABUHAN")</f>
        <v>MDN PT3 P7I10 BLW-FAA JL.RAYA PELABUHAN</v>
      </c>
      <c r="D1928" s="222" t="str">
        <f>IFERROR(__xludf.DUMMYFUNCTION("""COMPUTED_VALUE"""),"REGIONAL I")</f>
        <v>REGIONAL I</v>
      </c>
      <c r="E1928" s="222" t="str">
        <f>IFERROR(__xludf.DUMMYFUNCTION("""COMPUTED_VALUE"""),"MEDAN")</f>
        <v>MEDAN</v>
      </c>
      <c r="F1928" s="222" t="str">
        <f>IFERROR(__xludf.DUMMYFUNCTION("""COMPUTED_VALUE"""),"BLW")</f>
        <v>BLW</v>
      </c>
      <c r="G1928" s="222" t="str">
        <f>IFERROR(__xludf.DUMMYFUNCTION("""COMPUTED_VALUE"""),"SUMBAGUT")</f>
        <v>SUMBAGUT</v>
      </c>
      <c r="H1928" s="222" t="str">
        <f>IFERROR(__xludf.DUMMYFUNCTION("""COMPUTED_VALUE"""),"MEDAN")</f>
        <v>MEDAN</v>
      </c>
      <c r="I1928" s="222" t="str">
        <f>IFERROR(__xludf.DUMMYFUNCTION("""COMPUTED_VALUE"""),"Batch 2")</f>
        <v>Batch 2</v>
      </c>
      <c r="J1928" s="225">
        <f>IFERROR(__xludf.DUMMYFUNCTION("""COMPUTED_VALUE"""),7.0)</f>
        <v>7</v>
      </c>
      <c r="K1928" s="224">
        <f>IFERROR(__xludf.DUMMYFUNCTION("""COMPUTED_VALUE"""),56.0)</f>
        <v>56</v>
      </c>
      <c r="L1928" s="226">
        <f>IFERROR(__xludf.DUMMYFUNCTION("""COMPUTED_VALUE"""),712712.0)</f>
        <v>712712</v>
      </c>
      <c r="M1928" s="227">
        <f>IFERROR(__xludf.DUMMYFUNCTION("""COMPUTED_VALUE"""),3.9911827E7)</f>
        <v>39911827</v>
      </c>
      <c r="N1928" s="222" t="str">
        <f>IFERROR(__xludf.DUMMYFUNCTION("""COMPUTED_VALUE"""),"PT MITRA AKSES INSANI")</f>
        <v>PT MITRA AKSES INSANI</v>
      </c>
      <c r="O1928" s="222" t="str">
        <f>IFERROR(__xludf.DUMMYFUNCTION("""COMPUTED_VALUE"""),"0. DROP")</f>
        <v>0. DROP</v>
      </c>
      <c r="P1928" s="222" t="str">
        <f>IFERROR(__xludf.DUMMYFUNCTION("""COMPUTED_VALUE"""),"0.3 Feeder Full")</f>
        <v>0.3 Feeder Full</v>
      </c>
      <c r="Q1928" s="222" t="str">
        <f>IFERROR(__xludf.DUMMYFUNCTION("""COMPUTED_VALUE"""),"08/03 Feeder Penuh (07/01) Persiapan")</f>
        <v>08/03 Feeder Penuh (07/01) Persiapan</v>
      </c>
      <c r="R1928" s="228"/>
      <c r="S1928" s="11"/>
      <c r="T1928" s="11"/>
      <c r="U1928" s="11"/>
      <c r="V1928" s="229"/>
      <c r="W1928" s="229"/>
      <c r="X1928" s="229" t="str">
        <f>IFERROR(__xludf.DUMMYFUNCTION("""COMPUTED_VALUE"""),"BELUM GOLIVE")</f>
        <v>BELUM GOLIVE</v>
      </c>
      <c r="Y1928" s="229"/>
      <c r="Z1928" s="229" t="str">
        <f>IFERROR(__xludf.DUMMYFUNCTION("""COMPUTED_VALUE"""),"#N/A")</f>
        <v>#N/A</v>
      </c>
      <c r="AA1928" s="229"/>
      <c r="AB1928" s="229"/>
      <c r="AC1928" s="229"/>
      <c r="AD1928" s="232"/>
      <c r="AE1928" s="233"/>
      <c r="AF1928" s="54"/>
      <c r="AG1928" s="54"/>
      <c r="AH1928" s="54"/>
      <c r="AI1928" s="55" t="str">
        <f t="shared" si="190"/>
        <v/>
      </c>
      <c r="AW1928" s="234"/>
      <c r="BP1928" s="11"/>
      <c r="BQ1928" s="11"/>
      <c r="BR1928" s="235"/>
      <c r="BV1928" s="158"/>
      <c r="BY1928" s="158"/>
      <c r="CB1928" s="158"/>
    </row>
    <row r="1929" ht="18.0" hidden="1" customHeight="1">
      <c r="A1929" s="222">
        <f>IFERROR(__xludf.DUMMYFUNCTION("""COMPUTED_VALUE"""),2026.0)</f>
        <v>2026</v>
      </c>
      <c r="B1929" s="221">
        <f>IFERROR(__xludf.DUMMYFUNCTION("""COMPUTED_VALUE"""),1.1206446E7)</f>
        <v>11206446</v>
      </c>
      <c r="C1929" s="222" t="str">
        <f>IFERROR(__xludf.DUMMYFUNCTION("""COMPUTED_VALUE"""),"MDN PT3 P7I12 BLW-FAA JL.BUNGA")</f>
        <v>MDN PT3 P7I12 BLW-FAA JL.BUNGA</v>
      </c>
      <c r="D1929" s="222" t="str">
        <f>IFERROR(__xludf.DUMMYFUNCTION("""COMPUTED_VALUE"""),"REGIONAL I")</f>
        <v>REGIONAL I</v>
      </c>
      <c r="E1929" s="222" t="str">
        <f>IFERROR(__xludf.DUMMYFUNCTION("""COMPUTED_VALUE"""),"MEDAN")</f>
        <v>MEDAN</v>
      </c>
      <c r="F1929" s="222" t="str">
        <f>IFERROR(__xludf.DUMMYFUNCTION("""COMPUTED_VALUE"""),"BLW")</f>
        <v>BLW</v>
      </c>
      <c r="G1929" s="222" t="str">
        <f>IFERROR(__xludf.DUMMYFUNCTION("""COMPUTED_VALUE"""),"SUMBAGUT")</f>
        <v>SUMBAGUT</v>
      </c>
      <c r="H1929" s="222" t="str">
        <f>IFERROR(__xludf.DUMMYFUNCTION("""COMPUTED_VALUE"""),"MEDAN")</f>
        <v>MEDAN</v>
      </c>
      <c r="I1929" s="222" t="str">
        <f>IFERROR(__xludf.DUMMYFUNCTION("""COMPUTED_VALUE"""),"Batch 2")</f>
        <v>Batch 2</v>
      </c>
      <c r="J1929" s="225">
        <f>IFERROR(__xludf.DUMMYFUNCTION("""COMPUTED_VALUE"""),6.0)</f>
        <v>6</v>
      </c>
      <c r="K1929" s="224">
        <f>IFERROR(__xludf.DUMMYFUNCTION("""COMPUTED_VALUE"""),48.0)</f>
        <v>48</v>
      </c>
      <c r="L1929" s="226">
        <f>IFERROR(__xludf.DUMMYFUNCTION("""COMPUTED_VALUE"""),618766.0)</f>
        <v>618766</v>
      </c>
      <c r="M1929" s="227">
        <f>IFERROR(__xludf.DUMMYFUNCTION("""COMPUTED_VALUE"""),2.9700725E7)</f>
        <v>29700725</v>
      </c>
      <c r="N1929" s="222" t="str">
        <f>IFERROR(__xludf.DUMMYFUNCTION("""COMPUTED_VALUE"""),"PT MITRA AKSES INSANI")</f>
        <v>PT MITRA AKSES INSANI</v>
      </c>
      <c r="O1929" s="222" t="str">
        <f>IFERROR(__xludf.DUMMYFUNCTION("""COMPUTED_VALUE"""),"0. DROP")</f>
        <v>0. DROP</v>
      </c>
      <c r="P1929" s="222" t="str">
        <f>IFERROR(__xludf.DUMMYFUNCTION("""COMPUTED_VALUE"""),"0.3 Feeder Full")</f>
        <v>0.3 Feeder Full</v>
      </c>
      <c r="Q1929" s="222" t="str">
        <f>IFERROR(__xludf.DUMMYFUNCTION("""COMPUTED_VALUE"""),"08/03 Feeder Penuh (07/01) Persiapan")</f>
        <v>08/03 Feeder Penuh (07/01) Persiapan</v>
      </c>
      <c r="R1929" s="228"/>
      <c r="S1929" s="11"/>
      <c r="T1929" s="11"/>
      <c r="U1929" s="11"/>
      <c r="V1929" s="229"/>
      <c r="W1929" s="229"/>
      <c r="X1929" s="229" t="str">
        <f>IFERROR(__xludf.DUMMYFUNCTION("""COMPUTED_VALUE"""),"BELUM GOLIVE")</f>
        <v>BELUM GOLIVE</v>
      </c>
      <c r="Y1929" s="229"/>
      <c r="Z1929" s="229" t="str">
        <f>IFERROR(__xludf.DUMMYFUNCTION("""COMPUTED_VALUE"""),"#N/A")</f>
        <v>#N/A</v>
      </c>
      <c r="AA1929" s="229"/>
      <c r="AB1929" s="229"/>
      <c r="AC1929" s="229"/>
      <c r="AD1929" s="232"/>
      <c r="AE1929" s="233"/>
      <c r="AF1929" s="54"/>
      <c r="AG1929" s="54"/>
      <c r="AH1929" s="54"/>
      <c r="AI1929" s="55" t="str">
        <f t="shared" si="190"/>
        <v/>
      </c>
      <c r="AW1929" s="234"/>
      <c r="BP1929" s="11"/>
      <c r="BQ1929" s="11"/>
      <c r="BR1929" s="235"/>
      <c r="BV1929" s="158"/>
      <c r="BY1929" s="158"/>
      <c r="CB1929" s="158"/>
    </row>
    <row r="1930" ht="18.0" customHeight="1">
      <c r="A1930" s="222">
        <f>IFERROR(__xludf.DUMMYFUNCTION("""COMPUTED_VALUE"""),2026.0)</f>
        <v>2026</v>
      </c>
      <c r="B1930" s="221">
        <f>IFERROR(__xludf.DUMMYFUNCTION("""COMPUTED_VALUE"""),1.2081685E7)</f>
        <v>12081685</v>
      </c>
      <c r="C1930" s="222" t="str">
        <f>IFERROR(__xludf.DUMMYFUNCTION("""COMPUTED_VALUE"""),"RKP TSEL PT2 SLU-FBB KOTA BATAM_99736")</f>
        <v>RKP TSEL PT2 SLU-FBB KOTA BATAM_99736</v>
      </c>
      <c r="D1930" s="222" t="str">
        <f>IFERROR(__xludf.DUMMYFUNCTION("""COMPUTED_VALUE"""),"REGIONAL I")</f>
        <v>REGIONAL I</v>
      </c>
      <c r="E1930" s="222" t="str">
        <f>IFERROR(__xludf.DUMMYFUNCTION("""COMPUTED_VALUE"""),"RIKEP")</f>
        <v>RIKEP</v>
      </c>
      <c r="F1930" s="222" t="str">
        <f>IFERROR(__xludf.DUMMYFUNCTION("""COMPUTED_VALUE"""),"SLU")</f>
        <v>SLU</v>
      </c>
      <c r="G1930" s="222" t="str">
        <f>IFERROR(__xludf.DUMMYFUNCTION("""COMPUTED_VALUE"""),"SUMBAGTENG")</f>
        <v>SUMBAGTENG</v>
      </c>
      <c r="H1930" s="222" t="str">
        <f>IFERROR(__xludf.DUMMYFUNCTION("""COMPUTED_VALUE"""),"BATAM")</f>
        <v>BATAM</v>
      </c>
      <c r="I1930" s="222" t="str">
        <f>IFERROR(__xludf.DUMMYFUNCTION("""COMPUTED_VALUE"""),"Batch 2")</f>
        <v>Batch 2</v>
      </c>
      <c r="J1930" s="225">
        <f>IFERROR(__xludf.DUMMYFUNCTION("""COMPUTED_VALUE"""),1.0)</f>
        <v>1</v>
      </c>
      <c r="K1930" s="224">
        <f>IFERROR(__xludf.DUMMYFUNCTION("""COMPUTED_VALUE"""),8.0)</f>
        <v>8</v>
      </c>
      <c r="L1930" s="226">
        <f>IFERROR(__xludf.DUMMYFUNCTION("""COMPUTED_VALUE"""),272271.0)</f>
        <v>272271</v>
      </c>
      <c r="M1930" s="227">
        <f>IFERROR(__xludf.DUMMYFUNCTION("""COMPUTED_VALUE"""),2178167.0)</f>
        <v>2178167</v>
      </c>
      <c r="N1930" s="222" t="str">
        <f>IFERROR(__xludf.DUMMYFUNCTION("""COMPUTED_VALUE"""),"PT TRIPOLA PANATA")</f>
        <v>PT TRIPOLA PANATA</v>
      </c>
      <c r="O1930" s="222" t="str">
        <f>IFERROR(__xludf.DUMMYFUNCTION("""COMPUTED_VALUE"""),"2. DONE AANWIJZING")</f>
        <v>2. DONE AANWIJZING</v>
      </c>
      <c r="P1930" s="222" t="str">
        <f>IFERROR(__xludf.DUMMYFUNCTION("""COMPUTED_VALUE"""),"2.10 Kendala - Feeder Rusak")</f>
        <v>2.10 Kendala - Feeder Rusak</v>
      </c>
      <c r="Q1930" s="222" t="str">
        <f>IFERROR(__xludf.DUMMYFUNCTION("""COMPUTED_VALUE"""),"04/03 Feeder rusak butuh eviden OTDR ulang. 28/01 Mitra tripola belum ada PIC untuk anwijzing. 21/03 plan survey minggu ini 25 Jan")</f>
        <v>04/03 Feeder rusak butuh eviden OTDR ulang. 28/01 Mitra tripola belum ada PIC untuk anwijzing. 21/03 plan survey minggu ini 25 Jan</v>
      </c>
      <c r="R1930" s="228"/>
      <c r="S1930" s="11"/>
      <c r="T1930" s="11"/>
      <c r="U1930" s="11"/>
      <c r="V1930" s="229" t="str">
        <f>IFERROR(__xludf.DUMMYFUNCTION("""COMPUTED_VALUE"""),"MUHAMMAD RIDHO FALFO")</f>
        <v>MUHAMMAD RIDHO FALFO</v>
      </c>
      <c r="W1930" s="229" t="str">
        <f>IFERROR(__xludf.DUMMYFUNCTION("""COMPUTED_VALUE"""),"LEVITA INDRIYANI")</f>
        <v>LEVITA INDRIYANI</v>
      </c>
      <c r="X1930" s="229" t="str">
        <f>IFERROR(__xludf.DUMMYFUNCTION("""COMPUTED_VALUE"""),"BELUM GOLIVE")</f>
        <v>BELUM GOLIVE</v>
      </c>
      <c r="Y1930" s="229"/>
      <c r="Z1930" s="229" t="str">
        <f>IFERROR(__xludf.DUMMYFUNCTION("""COMPUTED_VALUE"""),"#N/A")</f>
        <v>#N/A</v>
      </c>
      <c r="AA1930" s="229"/>
      <c r="AB1930" s="229"/>
      <c r="AC1930" s="229"/>
      <c r="AD1930" s="232"/>
      <c r="AE1930" s="233"/>
      <c r="AF1930" s="54"/>
      <c r="AG1930" s="54"/>
      <c r="AH1930" s="54"/>
      <c r="AI1930" s="55" t="str">
        <f t="shared" si="190"/>
        <v/>
      </c>
      <c r="AW1930" s="234"/>
      <c r="BP1930" s="11"/>
      <c r="BQ1930" s="11"/>
      <c r="BR1930" s="235"/>
      <c r="BV1930" s="158"/>
      <c r="BY1930" s="158"/>
      <c r="CB1930" s="158"/>
    </row>
    <row r="1931" ht="18.0" customHeight="1">
      <c r="A1931" s="222">
        <f>IFERROR(__xludf.DUMMYFUNCTION("""COMPUTED_VALUE"""),2026.0)</f>
        <v>2026</v>
      </c>
      <c r="B1931" s="221">
        <f>IFERROR(__xludf.DUMMYFUNCTION("""COMPUTED_VALUE"""),1.2098238E7)</f>
        <v>12098238</v>
      </c>
      <c r="C1931" s="222" t="str">
        <f>IFERROR(__xludf.DUMMYFUNCTION("""COMPUTED_VALUE"""),"RKP TSEL PT2 NGS-FAD KP MELAYU")</f>
        <v>RKP TSEL PT2 NGS-FAD KP MELAYU</v>
      </c>
      <c r="D1931" s="222" t="str">
        <f>IFERROR(__xludf.DUMMYFUNCTION("""COMPUTED_VALUE"""),"REGIONAL I")</f>
        <v>REGIONAL I</v>
      </c>
      <c r="E1931" s="222" t="str">
        <f>IFERROR(__xludf.DUMMYFUNCTION("""COMPUTED_VALUE"""),"RIKEP")</f>
        <v>RIKEP</v>
      </c>
      <c r="F1931" s="222" t="str">
        <f>IFERROR(__xludf.DUMMYFUNCTION("""COMPUTED_VALUE"""),"NGS")</f>
        <v>NGS</v>
      </c>
      <c r="G1931" s="222" t="str">
        <f>IFERROR(__xludf.DUMMYFUNCTION("""COMPUTED_VALUE"""),"SUMBAGTENG")</f>
        <v>SUMBAGTENG</v>
      </c>
      <c r="H1931" s="222" t="str">
        <f>IFERROR(__xludf.DUMMYFUNCTION("""COMPUTED_VALUE"""),"BATAM")</f>
        <v>BATAM</v>
      </c>
      <c r="I1931" s="222" t="str">
        <f>IFERROR(__xludf.DUMMYFUNCTION("""COMPUTED_VALUE"""),"Batch 2")</f>
        <v>Batch 2</v>
      </c>
      <c r="J1931" s="225">
        <f>IFERROR(__xludf.DUMMYFUNCTION("""COMPUTED_VALUE"""),1.0)</f>
        <v>1</v>
      </c>
      <c r="K1931" s="224">
        <f>IFERROR(__xludf.DUMMYFUNCTION("""COMPUTED_VALUE"""),8.0)</f>
        <v>8</v>
      </c>
      <c r="L1931" s="226">
        <f>IFERROR(__xludf.DUMMYFUNCTION("""COMPUTED_VALUE"""),272271.0)</f>
        <v>272271</v>
      </c>
      <c r="M1931" s="227">
        <f>IFERROR(__xludf.DUMMYFUNCTION("""COMPUTED_VALUE"""),2178167.0)</f>
        <v>2178167</v>
      </c>
      <c r="N1931" s="222" t="str">
        <f>IFERROR(__xludf.DUMMYFUNCTION("""COMPUTED_VALUE"""),"PT HDUA PUTRA PRAJODA")</f>
        <v>PT HDUA PUTRA PRAJODA</v>
      </c>
      <c r="O1931" s="222" t="str">
        <f>IFERROR(__xludf.DUMMYFUNCTION("""COMPUTED_VALUE"""),"8. UJI TERIMA")</f>
        <v>8. UJI TERIMA</v>
      </c>
      <c r="P1931" s="222" t="str">
        <f>IFERROR(__xludf.DUMMYFUNCTION("""COMPUTED_VALUE"""),"8.3 Penyusunan Foto/ Hasil Ukur menjadi Dokument UT")</f>
        <v>8.3 Penyusunan Foto/ Hasil Ukur menjadi Dokument UT</v>
      </c>
      <c r="Q1931" s="222" t="str">
        <f>IFERROR(__xludf.DUMMYFUNCTION("""COMPUTED_VALUE"""),"04/02 Proses valins. 29/01 core feeder OK, plan progres besok 30 Jan. 28/01 Plan pengecekan feeder HI. 22/01 Plan survey 24 Jan ")</f>
        <v>04/02 Proses valins. 29/01 core feeder OK, plan progres besok 30 Jan. 28/01 Plan pengecekan feeder HI. 22/01 Plan survey 24 Jan </v>
      </c>
      <c r="R1931" s="228">
        <f>IFERROR(__xludf.DUMMYFUNCTION("""COMPUTED_VALUE"""),46062.0)</f>
        <v>46062</v>
      </c>
      <c r="S1931" s="11"/>
      <c r="T1931" s="11"/>
      <c r="U1931" s="11" t="str">
        <f>IFERROR(__xludf.DUMMYFUNCTION("""COMPUTED_VALUE"""),"W09-147/2026")</f>
        <v>W09-147/2026</v>
      </c>
      <c r="V1931" s="229" t="str">
        <f>IFERROR(__xludf.DUMMYFUNCTION("""COMPUTED_VALUE"""),"GANI PRASTYO")</f>
        <v>GANI PRASTYO</v>
      </c>
      <c r="W1931" s="229" t="str">
        <f>IFERROR(__xludf.DUMMYFUNCTION("""COMPUTED_VALUE"""),"LEVITA INDRIYANI")</f>
        <v>LEVITA INDRIYANI</v>
      </c>
      <c r="X1931" s="229" t="str">
        <f>IFERROR(__xludf.DUMMYFUNCTION("""COMPUTED_VALUE"""),"GOLIVE")</f>
        <v>GOLIVE</v>
      </c>
      <c r="Y1931" s="229" t="str">
        <f>IFERROR(__xludf.DUMMYFUNCTION("""COMPUTED_VALUE"""),"DONE")</f>
        <v>DONE</v>
      </c>
      <c r="Z1931" s="229" t="str">
        <f>IFERROR(__xludf.DUMMYFUNCTION("""COMPUTED_VALUE"""),"#N/A")</f>
        <v>#N/A</v>
      </c>
      <c r="AA1931" s="229">
        <f>IFERROR(__xludf.DUMMYFUNCTION("""COMPUTED_VALUE"""),1.0)</f>
        <v>1</v>
      </c>
      <c r="AB1931" s="229"/>
      <c r="AC1931" s="229" t="str">
        <f>IFERROR(__xludf.DUMMYFUNCTION("""COMPUTED_VALUE"""),"9084580#9084585")</f>
        <v>9084580#9084585</v>
      </c>
      <c r="AD1931" s="232">
        <f>IFERROR(__xludf.DUMMYFUNCTION("""COMPUTED_VALUE"""),8.0)</f>
        <v>8</v>
      </c>
      <c r="AE1931" s="233">
        <f>IFERROR(__xludf.DUMMYFUNCTION("""COMPUTED_VALUE"""),46063.0)</f>
        <v>46063</v>
      </c>
      <c r="AF1931" s="54"/>
      <c r="AG1931" s="54"/>
      <c r="AH1931" s="54">
        <v>46062.0</v>
      </c>
      <c r="AI1931" s="55">
        <f>IF(OR(AH1931="",AE1931=""),"",AH1931-AE1931)</f>
        <v>-1</v>
      </c>
      <c r="AW1931" s="234"/>
      <c r="BP1931" s="11"/>
      <c r="BQ1931" s="11"/>
      <c r="BR1931" s="235"/>
      <c r="BV1931" s="158"/>
      <c r="BY1931" s="158"/>
      <c r="CB1931" s="158"/>
    </row>
    <row r="1932" ht="18.0" hidden="1" customHeight="1">
      <c r="A1932" s="222">
        <f>IFERROR(__xludf.DUMMYFUNCTION("""COMPUTED_VALUE"""),2026.0)</f>
        <v>2026</v>
      </c>
      <c r="B1932" s="221">
        <f>IFERROR(__xludf.DUMMYFUNCTION("""COMPUTED_VALUE"""),1.1189231E7)</f>
        <v>11189231</v>
      </c>
      <c r="C1932" s="222" t="str">
        <f>IFERROR(__xludf.DUMMYFUNCTION("""COMPUTED_VALUE"""),"MDN PT3 P7I10 TJR-FAC GG.ALI")</f>
        <v>MDN PT3 P7I10 TJR-FAC GG.ALI</v>
      </c>
      <c r="D1932" s="222" t="str">
        <f>IFERROR(__xludf.DUMMYFUNCTION("""COMPUTED_VALUE"""),"REGIONAL I")</f>
        <v>REGIONAL I</v>
      </c>
      <c r="E1932" s="222" t="str">
        <f>IFERROR(__xludf.DUMMYFUNCTION("""COMPUTED_VALUE"""),"MEDAN")</f>
        <v>MEDAN</v>
      </c>
      <c r="F1932" s="222" t="str">
        <f>IFERROR(__xludf.DUMMYFUNCTION("""COMPUTED_VALUE"""),"TJR")</f>
        <v>TJR</v>
      </c>
      <c r="G1932" s="222" t="str">
        <f>IFERROR(__xludf.DUMMYFUNCTION("""COMPUTED_VALUE"""),"SUMBAGUT")</f>
        <v>SUMBAGUT</v>
      </c>
      <c r="H1932" s="222" t="str">
        <f>IFERROR(__xludf.DUMMYFUNCTION("""COMPUTED_VALUE"""),"MEDAN")</f>
        <v>MEDAN</v>
      </c>
      <c r="I1932" s="222" t="str">
        <f>IFERROR(__xludf.DUMMYFUNCTION("""COMPUTED_VALUE"""),"Batch 2")</f>
        <v>Batch 2</v>
      </c>
      <c r="J1932" s="225">
        <f>IFERROR(__xludf.DUMMYFUNCTION("""COMPUTED_VALUE"""),3.0)</f>
        <v>3</v>
      </c>
      <c r="K1932" s="224">
        <f>IFERROR(__xludf.DUMMYFUNCTION("""COMPUTED_VALUE"""),24.0)</f>
        <v>24</v>
      </c>
      <c r="L1932" s="226">
        <f>IFERROR(__xludf.DUMMYFUNCTION("""COMPUTED_VALUE"""),1058972.0)</f>
        <v>1058972</v>
      </c>
      <c r="M1932" s="227">
        <f>IFERROR(__xludf.DUMMYFUNCTION("""COMPUTED_VALUE"""),2.5415323E7)</f>
        <v>25415323</v>
      </c>
      <c r="N1932" s="222" t="str">
        <f>IFERROR(__xludf.DUMMYFUNCTION("""COMPUTED_VALUE"""),"PT MEDCOM SOLUTION")</f>
        <v>PT MEDCOM SOLUTION</v>
      </c>
      <c r="O1932" s="222" t="str">
        <f>IFERROR(__xludf.DUMMYFUNCTION("""COMPUTED_VALUE"""),"2. DONE AANWIJZING")</f>
        <v>2. DONE AANWIJZING</v>
      </c>
      <c r="P1932" s="222" t="str">
        <f>IFERROR(__xludf.DUMMYFUNCTION("""COMPUTED_VALUE"""),"2.9 Kendala - Distribusi Penuh / Rusak")</f>
        <v>2.9 Kendala - Distribusi Penuh / Rusak</v>
      </c>
      <c r="Q1932" s="222" t="str">
        <f>IFERROR(__xludf.DUMMYFUNCTION("""COMPUTED_VALUE"""),"21/04 dist full perlu redisgn
13/10 dist 03 full
(23/09) Perizinan Warga dan Kades / Lurah
15/09 proses aanwijzing")</f>
        <v>21/04 dist full perlu redisgn
13/10 dist 03 full
(23/09) Perizinan Warga dan Kades / Lurah
15/09 proses aanwijzing</v>
      </c>
      <c r="R1932" s="228"/>
      <c r="S1932" s="11"/>
      <c r="T1932" s="11"/>
      <c r="U1932" s="11"/>
      <c r="V1932" s="229"/>
      <c r="W1932" s="229"/>
      <c r="X1932" s="229" t="str">
        <f>IFERROR(__xludf.DUMMYFUNCTION("""COMPUTED_VALUE"""),"BELUM GOLIVE")</f>
        <v>BELUM GOLIVE</v>
      </c>
      <c r="Y1932" s="229"/>
      <c r="Z1932" s="229" t="str">
        <f>IFERROR(__xludf.DUMMYFUNCTION("""COMPUTED_VALUE"""),"#N/A")</f>
        <v>#N/A</v>
      </c>
      <c r="AA1932" s="229"/>
      <c r="AB1932" s="229"/>
      <c r="AC1932" s="229"/>
      <c r="AD1932" s="232"/>
      <c r="AE1932" s="233"/>
      <c r="AF1932" s="54"/>
      <c r="AG1932" s="54"/>
      <c r="AH1932" s="54"/>
      <c r="AI1932" s="55" t="str">
        <f t="shared" ref="AI1932:AI1935" si="191">IF(OR(R1932="",AE1932=""),"",R1932-AE1932)</f>
        <v/>
      </c>
      <c r="AW1932" s="234"/>
      <c r="BP1932" s="11"/>
      <c r="BQ1932" s="11"/>
      <c r="BR1932" s="235"/>
      <c r="BV1932" s="158"/>
      <c r="BY1932" s="158"/>
      <c r="CB1932" s="158"/>
    </row>
    <row r="1933" ht="18.0" hidden="1" customHeight="1">
      <c r="A1933" s="222">
        <f>IFERROR(__xludf.DUMMYFUNCTION("""COMPUTED_VALUE"""),2026.0)</f>
        <v>2026</v>
      </c>
      <c r="B1933" s="221">
        <f>IFERROR(__xludf.DUMMYFUNCTION("""COMPUTED_VALUE"""),1.1189244E7)</f>
        <v>11189244</v>
      </c>
      <c r="C1933" s="222" t="str">
        <f>IFERROR(__xludf.DUMMYFUNCTION("""COMPUTED_VALUE"""),"MDN PT3 P7I10 TJR-FQ GG.BACHTIAR")</f>
        <v>MDN PT3 P7I10 TJR-FQ GG.BACHTIAR</v>
      </c>
      <c r="D1933" s="222" t="str">
        <f>IFERROR(__xludf.DUMMYFUNCTION("""COMPUTED_VALUE"""),"REGIONAL I")</f>
        <v>REGIONAL I</v>
      </c>
      <c r="E1933" s="222" t="str">
        <f>IFERROR(__xludf.DUMMYFUNCTION("""COMPUTED_VALUE"""),"MEDAN")</f>
        <v>MEDAN</v>
      </c>
      <c r="F1933" s="222" t="str">
        <f>IFERROR(__xludf.DUMMYFUNCTION("""COMPUTED_VALUE"""),"TJR")</f>
        <v>TJR</v>
      </c>
      <c r="G1933" s="222" t="str">
        <f>IFERROR(__xludf.DUMMYFUNCTION("""COMPUTED_VALUE"""),"SUMBAGUT")</f>
        <v>SUMBAGUT</v>
      </c>
      <c r="H1933" s="222" t="str">
        <f>IFERROR(__xludf.DUMMYFUNCTION("""COMPUTED_VALUE"""),"MEDAN")</f>
        <v>MEDAN</v>
      </c>
      <c r="I1933" s="222" t="str">
        <f>IFERROR(__xludf.DUMMYFUNCTION("""COMPUTED_VALUE"""),"Batch 2")</f>
        <v>Batch 2</v>
      </c>
      <c r="J1933" s="225">
        <f>IFERROR(__xludf.DUMMYFUNCTION("""COMPUTED_VALUE"""),2.0)</f>
        <v>2</v>
      </c>
      <c r="K1933" s="224">
        <f>IFERROR(__xludf.DUMMYFUNCTION("""COMPUTED_VALUE"""),16.0)</f>
        <v>16</v>
      </c>
      <c r="L1933" s="226">
        <f>IFERROR(__xludf.DUMMYFUNCTION("""COMPUTED_VALUE"""),1064385.0)</f>
        <v>1064385</v>
      </c>
      <c r="M1933" s="227">
        <f>IFERROR(__xludf.DUMMYFUNCTION("""COMPUTED_VALUE"""),1.703016E7)</f>
        <v>17030160</v>
      </c>
      <c r="N1933" s="222" t="str">
        <f>IFERROR(__xludf.DUMMYFUNCTION("""COMPUTED_VALUE"""),"PT MEDCOM SOLUTION")</f>
        <v>PT MEDCOM SOLUTION</v>
      </c>
      <c r="O1933" s="222" t="str">
        <f>IFERROR(__xludf.DUMMYFUNCTION("""COMPUTED_VALUE"""),"0. DROP")</f>
        <v>0. DROP</v>
      </c>
      <c r="P1933" s="222" t="str">
        <f>IFERROR(__xludf.DUMMYFUNCTION("""COMPUTED_VALUE"""),"0.2 Tidak Dapat Izin Warga/Kades/Lurah/Developer")</f>
        <v>0.2 Tidak Dapat Izin Warga/Kades/Lurah/Developer</v>
      </c>
      <c r="Q1933" s="222" t="str">
        <f>IFERROR(__xludf.DUMMYFUNCTION("""COMPUTED_VALUE"""),"12/02 nilai comcase terlalu besar
(07/01) Persiapan")</f>
        <v>12/02 nilai comcase terlalu besar
(07/01) Persiapan</v>
      </c>
      <c r="R1933" s="228"/>
      <c r="S1933" s="11"/>
      <c r="T1933" s="11"/>
      <c r="U1933" s="11"/>
      <c r="V1933" s="229"/>
      <c r="W1933" s="229"/>
      <c r="X1933" s="229" t="str">
        <f>IFERROR(__xludf.DUMMYFUNCTION("""COMPUTED_VALUE"""),"BELUM GOLIVE")</f>
        <v>BELUM GOLIVE</v>
      </c>
      <c r="Y1933" s="229"/>
      <c r="Z1933" s="229" t="str">
        <f>IFERROR(__xludf.DUMMYFUNCTION("""COMPUTED_VALUE"""),"#N/A")</f>
        <v>#N/A</v>
      </c>
      <c r="AA1933" s="229"/>
      <c r="AB1933" s="229"/>
      <c r="AC1933" s="229"/>
      <c r="AD1933" s="232"/>
      <c r="AE1933" s="233"/>
      <c r="AF1933" s="54" t="str">
        <f>IFERROR(__xludf.DUMMYFUNCTION("""COMPUTED_VALUE"""),"Draft BA DROP")</f>
        <v>Draft BA DROP</v>
      </c>
      <c r="AG1933" s="54"/>
      <c r="AH1933" s="54"/>
      <c r="AI1933" s="55" t="str">
        <f t="shared" si="191"/>
        <v/>
      </c>
      <c r="AW1933" s="234"/>
      <c r="BP1933" s="11"/>
      <c r="BQ1933" s="11"/>
      <c r="BR1933" s="235"/>
      <c r="BV1933" s="158"/>
      <c r="BY1933" s="158"/>
      <c r="CB1933" s="158"/>
    </row>
    <row r="1934" ht="18.0" hidden="1" customHeight="1">
      <c r="A1934" s="222">
        <f>IFERROR(__xludf.DUMMYFUNCTION("""COMPUTED_VALUE"""),2026.0)</f>
        <v>2026</v>
      </c>
      <c r="B1934" s="221">
        <f>IFERROR(__xludf.DUMMYFUNCTION("""COMPUTED_VALUE"""),1.1197133E7)</f>
        <v>11197133</v>
      </c>
      <c r="C1934" s="222" t="str">
        <f>IFERROR(__xludf.DUMMYFUNCTION("""COMPUTED_VALUE"""),"MDN PT3 P7I7 TJR-FAC GG.TELAGA SARI")</f>
        <v>MDN PT3 P7I7 TJR-FAC GG.TELAGA SARI</v>
      </c>
      <c r="D1934" s="222" t="str">
        <f>IFERROR(__xludf.DUMMYFUNCTION("""COMPUTED_VALUE"""),"REGIONAL I")</f>
        <v>REGIONAL I</v>
      </c>
      <c r="E1934" s="222" t="str">
        <f>IFERROR(__xludf.DUMMYFUNCTION("""COMPUTED_VALUE"""),"MEDAN")</f>
        <v>MEDAN</v>
      </c>
      <c r="F1934" s="222" t="str">
        <f>IFERROR(__xludf.DUMMYFUNCTION("""COMPUTED_VALUE"""),"TJR")</f>
        <v>TJR</v>
      </c>
      <c r="G1934" s="222" t="str">
        <f>IFERROR(__xludf.DUMMYFUNCTION("""COMPUTED_VALUE"""),"SUMBAGUT")</f>
        <v>SUMBAGUT</v>
      </c>
      <c r="H1934" s="222" t="str">
        <f>IFERROR(__xludf.DUMMYFUNCTION("""COMPUTED_VALUE"""),"MEDAN")</f>
        <v>MEDAN</v>
      </c>
      <c r="I1934" s="222" t="str">
        <f>IFERROR(__xludf.DUMMYFUNCTION("""COMPUTED_VALUE"""),"Batch 2")</f>
        <v>Batch 2</v>
      </c>
      <c r="J1934" s="225">
        <f>IFERROR(__xludf.DUMMYFUNCTION("""COMPUTED_VALUE"""),3.0)</f>
        <v>3</v>
      </c>
      <c r="K1934" s="224">
        <f>IFERROR(__xludf.DUMMYFUNCTION("""COMPUTED_VALUE"""),24.0)</f>
        <v>24</v>
      </c>
      <c r="L1934" s="226">
        <f>IFERROR(__xludf.DUMMYFUNCTION("""COMPUTED_VALUE"""),861485.0)</f>
        <v>861485</v>
      </c>
      <c r="M1934" s="227">
        <f>IFERROR(__xludf.DUMMYFUNCTION("""COMPUTED_VALUE"""),2.0675639E7)</f>
        <v>20675639</v>
      </c>
      <c r="N1934" s="222" t="str">
        <f>IFERROR(__xludf.DUMMYFUNCTION("""COMPUTED_VALUE"""),"PT MEDCOM SOLUTION")</f>
        <v>PT MEDCOM SOLUTION</v>
      </c>
      <c r="O1934" s="222" t="str">
        <f>IFERROR(__xludf.DUMMYFUNCTION("""COMPUTED_VALUE"""),"3. PERIZINAN")</f>
        <v>3. PERIZINAN</v>
      </c>
      <c r="P1934" s="222" t="str">
        <f>IFERROR(__xludf.DUMMYFUNCTION("""COMPUTED_VALUE"""),"3.9 Izin Kades / Lurah / RTRW")</f>
        <v>3.9 Izin Kades / Lurah / RTRW</v>
      </c>
      <c r="Q1934" s="222" t="str">
        <f>IFERROR(__xludf.DUMMYFUNCTION("""COMPUTED_VALUE"""),"21/04 perihal pembayaran comcase menunggu apprvl finace 
04/04 proses perizinan
31/03 komitmen aanwidzing (01/04) (07/01) Persiapan")</f>
        <v>21/04 perihal pembayaran comcase menunggu apprvl finace 
04/04 proses perizinan
31/03 komitmen aanwidzing (01/04) (07/01) Persiapan</v>
      </c>
      <c r="R1934" s="228"/>
      <c r="S1934" s="11"/>
      <c r="T1934" s="73"/>
      <c r="U1934" s="11"/>
      <c r="V1934" s="229" t="str">
        <f>IFERROR(__xludf.DUMMYFUNCTION("""COMPUTED_VALUE"""),"28/Apr/2026")</f>
        <v>28/Apr/2026</v>
      </c>
      <c r="W1934" s="229"/>
      <c r="X1934" s="229" t="str">
        <f>IFERROR(__xludf.DUMMYFUNCTION("""COMPUTED_VALUE"""),"BELUM GOLIVE")</f>
        <v>BELUM GOLIVE</v>
      </c>
      <c r="Y1934" s="229"/>
      <c r="Z1934" s="229" t="str">
        <f>IFERROR(__xludf.DUMMYFUNCTION("""COMPUTED_VALUE"""),"#N/A")</f>
        <v>#N/A</v>
      </c>
      <c r="AA1934" s="229"/>
      <c r="AB1934" s="229"/>
      <c r="AC1934" s="229"/>
      <c r="AD1934" s="232"/>
      <c r="AE1934" s="233"/>
      <c r="AF1934" s="54"/>
      <c r="AG1934" s="54"/>
      <c r="AH1934" s="54"/>
      <c r="AI1934" s="55" t="str">
        <f t="shared" si="191"/>
        <v/>
      </c>
      <c r="AW1934" s="234"/>
      <c r="BP1934" s="11"/>
      <c r="BQ1934" s="11"/>
      <c r="BR1934" s="235"/>
      <c r="BV1934" s="158"/>
      <c r="BY1934" s="158"/>
      <c r="CB1934" s="158"/>
    </row>
    <row r="1935" ht="18.0" customHeight="1">
      <c r="A1935" s="222">
        <f>IFERROR(__xludf.DUMMYFUNCTION("""COMPUTED_VALUE"""),2026.0)</f>
        <v>2026</v>
      </c>
      <c r="B1935" s="221">
        <f>IFERROR(__xludf.DUMMYFUNCTION("""COMPUTED_VALUE"""),1.2092069E7)</f>
        <v>12092069</v>
      </c>
      <c r="C1935" s="222" t="str">
        <f>IFERROR(__xludf.DUMMYFUNCTION("""COMPUTED_VALUE"""),"RKP TSEL PT2 TUB-FQ BINTAN_18538_H2_2025")</f>
        <v>RKP TSEL PT2 TUB-FQ BINTAN_18538_H2_2025</v>
      </c>
      <c r="D1935" s="222" t="str">
        <f>IFERROR(__xludf.DUMMYFUNCTION("""COMPUTED_VALUE"""),"REGIONAL I")</f>
        <v>REGIONAL I</v>
      </c>
      <c r="E1935" s="222" t="str">
        <f>IFERROR(__xludf.DUMMYFUNCTION("""COMPUTED_VALUE"""),"RIKEP")</f>
        <v>RIKEP</v>
      </c>
      <c r="F1935" s="222" t="str">
        <f>IFERROR(__xludf.DUMMYFUNCTION("""COMPUTED_VALUE"""),"TUB")</f>
        <v>TUB</v>
      </c>
      <c r="G1935" s="222" t="str">
        <f>IFERROR(__xludf.DUMMYFUNCTION("""COMPUTED_VALUE"""),"SUMBAGTENG")</f>
        <v>SUMBAGTENG</v>
      </c>
      <c r="H1935" s="222" t="str">
        <f>IFERROR(__xludf.DUMMYFUNCTION("""COMPUTED_VALUE"""),"BATAM")</f>
        <v>BATAM</v>
      </c>
      <c r="I1935" s="222" t="str">
        <f>IFERROR(__xludf.DUMMYFUNCTION("""COMPUTED_VALUE"""),"Batch 2")</f>
        <v>Batch 2</v>
      </c>
      <c r="J1935" s="225">
        <f>IFERROR(__xludf.DUMMYFUNCTION("""COMPUTED_VALUE"""),1.0)</f>
        <v>1</v>
      </c>
      <c r="K1935" s="224">
        <f>IFERROR(__xludf.DUMMYFUNCTION("""COMPUTED_VALUE"""),8.0)</f>
        <v>8</v>
      </c>
      <c r="L1935" s="226">
        <f>IFERROR(__xludf.DUMMYFUNCTION("""COMPUTED_VALUE"""),272271.0)</f>
        <v>272271</v>
      </c>
      <c r="M1935" s="227">
        <f>IFERROR(__xludf.DUMMYFUNCTION("""COMPUTED_VALUE"""),2178167.0)</f>
        <v>2178167</v>
      </c>
      <c r="N1935" s="222" t="str">
        <f>IFERROR(__xludf.DUMMYFUNCTION("""COMPUTED_VALUE"""),"PT SALTTEK DUMPANG JAYA")</f>
        <v>PT SALTTEK DUMPANG JAYA</v>
      </c>
      <c r="O1935" s="222" t="str">
        <f>IFERROR(__xludf.DUMMYFUNCTION("""COMPUTED_VALUE"""),"2. DONE AANWIJZING")</f>
        <v>2. DONE AANWIJZING</v>
      </c>
      <c r="P1935" s="222" t="str">
        <f>IFERROR(__xludf.DUMMYFUNCTION("""COMPUTED_VALUE"""),"2.9 Kendala - Distribusi Penuh / Rusak")</f>
        <v>2.9 Kendala - Distribusi Penuh / Rusak</v>
      </c>
      <c r="Q1935" s="222" t="str">
        <f>IFERROR(__xludf.DUMMYFUNCTION("""COMPUTED_VALUE"""),"28/01 Kendala PT2 reguler dari kabel ADSS. 21/01 Plan anwijzing di minggu depan 27 jan")</f>
        <v>28/01 Kendala PT2 reguler dari kabel ADSS. 21/01 Plan anwijzing di minggu depan 27 jan</v>
      </c>
      <c r="R1935" s="228"/>
      <c r="S1935" s="11"/>
      <c r="T1935" s="11"/>
      <c r="U1935" s="11"/>
      <c r="V1935" s="229" t="str">
        <f>IFERROR(__xludf.DUMMYFUNCTION("""COMPUTED_VALUE"""),"DEDY IRAWAN")</f>
        <v>DEDY IRAWAN</v>
      </c>
      <c r="W1935" s="229" t="str">
        <f>IFERROR(__xludf.DUMMYFUNCTION("""COMPUTED_VALUE"""),"LEVITA INDRIYANI")</f>
        <v>LEVITA INDRIYANI</v>
      </c>
      <c r="X1935" s="229" t="str">
        <f>IFERROR(__xludf.DUMMYFUNCTION("""COMPUTED_VALUE"""),"BELUM GOLIVE")</f>
        <v>BELUM GOLIVE</v>
      </c>
      <c r="Y1935" s="229"/>
      <c r="Z1935" s="229" t="str">
        <f>IFERROR(__xludf.DUMMYFUNCTION("""COMPUTED_VALUE"""),"#N/A")</f>
        <v>#N/A</v>
      </c>
      <c r="AA1935" s="229"/>
      <c r="AB1935" s="229"/>
      <c r="AC1935" s="229"/>
      <c r="AD1935" s="232"/>
      <c r="AE1935" s="233"/>
      <c r="AF1935" s="54" t="str">
        <f>IFERROR(__xludf.DUMMYFUNCTION("""COMPUTED_VALUE"""),"Draft BA DROP")</f>
        <v>Draft BA DROP</v>
      </c>
      <c r="AG1935" s="54"/>
      <c r="AH1935" s="54"/>
      <c r="AI1935" s="55" t="str">
        <f t="shared" si="191"/>
        <v/>
      </c>
      <c r="AW1935" s="234"/>
      <c r="BP1935" s="11"/>
      <c r="BQ1935" s="11"/>
      <c r="BR1935" s="235"/>
      <c r="BV1935" s="158"/>
      <c r="BY1935" s="158"/>
      <c r="CB1935" s="158"/>
    </row>
    <row r="1936" ht="18.0" hidden="1" customHeight="1">
      <c r="A1936" s="222">
        <f>IFERROR(__xludf.DUMMYFUNCTION("""COMPUTED_VALUE"""),2026.0)</f>
        <v>2026</v>
      </c>
      <c r="B1936" s="221">
        <f>IFERROR(__xludf.DUMMYFUNCTION("""COMPUTED_VALUE"""),1.1325467E7)</f>
        <v>11325467</v>
      </c>
      <c r="C1936" s="222" t="str">
        <f>IFERROR(__xludf.DUMMYFUNCTION("""COMPUTED_VALUE"""),"MDN PT3 TJR-FK JL.BANDAR LABUHAN")</f>
        <v>MDN PT3 TJR-FK JL.BANDAR LABUHAN</v>
      </c>
      <c r="D1936" s="222" t="str">
        <f>IFERROR(__xludf.DUMMYFUNCTION("""COMPUTED_VALUE"""),"REGIONAL I")</f>
        <v>REGIONAL I</v>
      </c>
      <c r="E1936" s="222" t="str">
        <f>IFERROR(__xludf.DUMMYFUNCTION("""COMPUTED_VALUE"""),"MEDAN")</f>
        <v>MEDAN</v>
      </c>
      <c r="F1936" s="222" t="str">
        <f>IFERROR(__xludf.DUMMYFUNCTION("""COMPUTED_VALUE"""),"TJR")</f>
        <v>TJR</v>
      </c>
      <c r="G1936" s="222" t="str">
        <f>IFERROR(__xludf.DUMMYFUNCTION("""COMPUTED_VALUE"""),"SUMBAGUT")</f>
        <v>SUMBAGUT</v>
      </c>
      <c r="H1936" s="222" t="str">
        <f>IFERROR(__xludf.DUMMYFUNCTION("""COMPUTED_VALUE"""),"MEDAN")</f>
        <v>MEDAN</v>
      </c>
      <c r="I1936" s="222" t="str">
        <f>IFERROR(__xludf.DUMMYFUNCTION("""COMPUTED_VALUE"""),"Batch 2")</f>
        <v>Batch 2</v>
      </c>
      <c r="J1936" s="225">
        <f>IFERROR(__xludf.DUMMYFUNCTION("""COMPUTED_VALUE"""),7.0)</f>
        <v>7</v>
      </c>
      <c r="K1936" s="224">
        <f>IFERROR(__xludf.DUMMYFUNCTION("""COMPUTED_VALUE"""),56.0)</f>
        <v>56</v>
      </c>
      <c r="L1936" s="226">
        <f>IFERROR(__xludf.DUMMYFUNCTION("""COMPUTED_VALUE"""),847238.0)</f>
        <v>847238</v>
      </c>
      <c r="M1936" s="227">
        <f>IFERROR(__xludf.DUMMYFUNCTION("""COMPUTED_VALUE"""),4.7445285E7)</f>
        <v>47445285</v>
      </c>
      <c r="N1936" s="222" t="str">
        <f>IFERROR(__xludf.DUMMYFUNCTION("""COMPUTED_VALUE"""),"PT MEDCOM SOLUTION")</f>
        <v>PT MEDCOM SOLUTION</v>
      </c>
      <c r="O1936" s="222" t="str">
        <f>IFERROR(__xludf.DUMMYFUNCTION("""COMPUTED_VALUE"""),"0. DROP")</f>
        <v>0. DROP</v>
      </c>
      <c r="P1936" s="222" t="str">
        <f>IFERROR(__xludf.DUMMYFUNCTION("""COMPUTED_VALUE"""),"0.2 Tidak Dapat Izin Warga/Kades/Lurah/Developer")</f>
        <v>0.2 Tidak Dapat Izin Warga/Kades/Lurah/Developer</v>
      </c>
      <c r="Q1936" s="222" t="str">
        <f>IFERROR(__xludf.DUMMYFUNCTION("""COMPUTED_VALUE"""),"(07/01) Persiapan")</f>
        <v>(07/01) Persiapan</v>
      </c>
      <c r="R1936" s="228"/>
      <c r="S1936" s="11"/>
      <c r="T1936" s="11"/>
      <c r="U1936" s="11"/>
      <c r="V1936" s="229"/>
      <c r="W1936" s="229"/>
      <c r="X1936" s="229" t="str">
        <f>IFERROR(__xludf.DUMMYFUNCTION("""COMPUTED_VALUE"""),"BELUM GOLIVE")</f>
        <v>BELUM GOLIVE</v>
      </c>
      <c r="Y1936" s="229"/>
      <c r="Z1936" s="229" t="str">
        <f>IFERROR(__xludf.DUMMYFUNCTION("""COMPUTED_VALUE"""),"#N/A")</f>
        <v>#N/A</v>
      </c>
      <c r="AA1936" s="229"/>
      <c r="AB1936" s="229"/>
      <c r="AC1936" s="229"/>
      <c r="AD1936" s="232"/>
      <c r="AE1936" s="233"/>
      <c r="AF1936" s="54" t="str">
        <f>IFERROR(__xludf.DUMMYFUNCTION("""COMPUTED_VALUE"""),"Draft BA DROP")</f>
        <v>Draft BA DROP</v>
      </c>
      <c r="AG1936" s="54"/>
      <c r="AH1936" s="54">
        <v>46120.0</v>
      </c>
      <c r="AI1936" s="237">
        <f>AH1936-NOW()</f>
        <v>-20.37798994</v>
      </c>
      <c r="AJ1936" s="229" t="str">
        <f>if(AI1936&gt;=0,"in Komitmen","Out komitmen")</f>
        <v>Out komitmen</v>
      </c>
      <c r="AK1936" s="229" t="s">
        <v>199</v>
      </c>
      <c r="AW1936" s="234"/>
      <c r="BP1936" s="11"/>
      <c r="BQ1936" s="11"/>
      <c r="BR1936" s="235"/>
      <c r="BV1936" s="158"/>
      <c r="BY1936" s="158"/>
      <c r="CB1936" s="158"/>
    </row>
    <row r="1937" ht="18.0" customHeight="1">
      <c r="A1937" s="222">
        <f>IFERROR(__xludf.DUMMYFUNCTION("""COMPUTED_VALUE"""),2026.0)</f>
        <v>2026</v>
      </c>
      <c r="B1937" s="221">
        <f>IFERROR(__xludf.DUMMYFUNCTION("""COMPUTED_VALUE"""),1.2093033E7)</f>
        <v>12093033</v>
      </c>
      <c r="C1937" s="222" t="str">
        <f>IFERROR(__xludf.DUMMYFUNCTION("""COMPUTED_VALUE"""),"RKP TSEL PT3 PNI-FL 250_485_4035")</f>
        <v>RKP TSEL PT3 PNI-FL 250_485_4035</v>
      </c>
      <c r="D1937" s="222" t="str">
        <f>IFERROR(__xludf.DUMMYFUNCTION("""COMPUTED_VALUE"""),"REGIONAL I")</f>
        <v>REGIONAL I</v>
      </c>
      <c r="E1937" s="222" t="str">
        <f>IFERROR(__xludf.DUMMYFUNCTION("""COMPUTED_VALUE"""),"RIKEP")</f>
        <v>RIKEP</v>
      </c>
      <c r="F1937" s="222" t="str">
        <f>IFERROR(__xludf.DUMMYFUNCTION("""COMPUTED_VALUE"""),"PNI")</f>
        <v>PNI</v>
      </c>
      <c r="G1937" s="222" t="str">
        <f>IFERROR(__xludf.DUMMYFUNCTION("""COMPUTED_VALUE"""),"SUMBAGTENG")</f>
        <v>SUMBAGTENG</v>
      </c>
      <c r="H1937" s="222" t="str">
        <f>IFERROR(__xludf.DUMMYFUNCTION("""COMPUTED_VALUE"""),"BATAM")</f>
        <v>BATAM</v>
      </c>
      <c r="I1937" s="222" t="str">
        <f>IFERROR(__xludf.DUMMYFUNCTION("""COMPUTED_VALUE"""),"Batch 2")</f>
        <v>Batch 2</v>
      </c>
      <c r="J1937" s="225">
        <f>IFERROR(__xludf.DUMMYFUNCTION("""COMPUTED_VALUE"""),1.0)</f>
        <v>1</v>
      </c>
      <c r="K1937" s="224">
        <f>IFERROR(__xludf.DUMMYFUNCTION("""COMPUTED_VALUE"""),8.0)</f>
        <v>8</v>
      </c>
      <c r="L1937" s="226">
        <f>IFERROR(__xludf.DUMMYFUNCTION("""COMPUTED_VALUE"""),272271.0)</f>
        <v>272271</v>
      </c>
      <c r="M1937" s="227">
        <f>IFERROR(__xludf.DUMMYFUNCTION("""COMPUTED_VALUE"""),2178167.0)</f>
        <v>2178167</v>
      </c>
      <c r="N1937" s="222" t="str">
        <f>IFERROR(__xludf.DUMMYFUNCTION("""COMPUTED_VALUE"""),"SWAKELOLA")</f>
        <v>SWAKELOLA</v>
      </c>
      <c r="O1937" s="222" t="str">
        <f>IFERROR(__xludf.DUMMYFUNCTION("""COMPUTED_VALUE"""),"7. GOLIVE")</f>
        <v>7. GOLIVE</v>
      </c>
      <c r="P1937" s="222" t="str">
        <f>IFERROR(__xludf.DUMMYFUNCTION("""COMPUTED_VALUE"""),"7.2 Golive Full / OA / DONE OTB")</f>
        <v>7.2 Golive Full / OA / DONE OTB</v>
      </c>
      <c r="Q1937" s="222" t="str">
        <f>IFERROR(__xludf.DUMMYFUNCTION("""COMPUTED_VALUE"""),"07/04 Terminasi.
28/03 belum ada balasan izin dari perangkat.  04/03 Peralihan mitra karena MP PT Global visindo sudah fokus ke tematik lain. 27/02 Peralihan mitra. 09/02 Belum survey. 28/01 plan survey 29 Jan.   21/01 Plan survey tanggal 23 Jan 2026")</f>
        <v>07/04 Terminasi.
28/03 belum ada balasan izin dari perangkat.  04/03 Peralihan mitra karena MP PT Global visindo sudah fokus ke tematik lain. 27/02 Peralihan mitra. 09/02 Belum survey. 28/01 plan survey 29 Jan.   21/01 Plan survey tanggal 23 Jan 2026</v>
      </c>
      <c r="R1937" s="228">
        <f>IFERROR(__xludf.DUMMYFUNCTION("""COMPUTED_VALUE"""),46120.0)</f>
        <v>46120</v>
      </c>
      <c r="S1937" s="11" t="str">
        <f>IFERROR(__xludf.DUMMYFUNCTION("""COMPUTED_VALUE"""),"APR")</f>
        <v>APR</v>
      </c>
      <c r="T1937" s="11"/>
      <c r="U1937" s="11" t="str">
        <f>IFERROR(__xludf.DUMMYFUNCTION("""COMPUTED_VALUE"""),"W09-292/2026")</f>
        <v>W09-292/2026</v>
      </c>
      <c r="V1937" s="229" t="str">
        <f>IFERROR(__xludf.DUMMYFUNCTION("""COMPUTED_VALUE"""),"GANI PRASTYO")</f>
        <v>GANI PRASTYO</v>
      </c>
      <c r="W1937" s="229" t="str">
        <f>IFERROR(__xludf.DUMMYFUNCTION("""COMPUTED_VALUE"""),"LEVITA INDRIYANI")</f>
        <v>LEVITA INDRIYANI</v>
      </c>
      <c r="X1937" s="229" t="str">
        <f>IFERROR(__xludf.DUMMYFUNCTION("""COMPUTED_VALUE"""),"GOLIVE")</f>
        <v>GOLIVE</v>
      </c>
      <c r="Y1937" s="229" t="str">
        <f>IFERROR(__xludf.DUMMYFUNCTION("""COMPUTED_VALUE"""),"DONE")</f>
        <v>DONE</v>
      </c>
      <c r="Z1937" s="229" t="str">
        <f>IFERROR(__xludf.DUMMYFUNCTION("""COMPUTED_VALUE"""),"#N/A")</f>
        <v>#N/A</v>
      </c>
      <c r="AA1937" s="229">
        <f>IFERROR(__xludf.DUMMYFUNCTION("""COMPUTED_VALUE"""),0.0)</f>
        <v>0</v>
      </c>
      <c r="AB1937" s="229"/>
      <c r="AC1937" s="229" t="str">
        <f>IFERROR(__xludf.DUMMYFUNCTION("""COMPUTED_VALUE"""),"9252344#9252349")</f>
        <v>9252344#9252349</v>
      </c>
      <c r="AD1937" s="232">
        <f>IFERROR(__xludf.DUMMYFUNCTION("""COMPUTED_VALUE"""),8.0)</f>
        <v>8</v>
      </c>
      <c r="AE1937" s="233">
        <f>IFERROR(__xludf.DUMMYFUNCTION("""COMPUTED_VALUE"""),46120.0)</f>
        <v>46120</v>
      </c>
      <c r="AF1937" s="54"/>
      <c r="AG1937" s="54"/>
      <c r="AH1937" s="54">
        <v>46120.0</v>
      </c>
      <c r="AI1937" s="55">
        <f>IF(OR(AH1937="",AE1937=""),"",AH1937-AE1937)</f>
        <v>0</v>
      </c>
      <c r="AJ1937" s="229" t="str">
        <f>if(AI1937&gt;=0,"Gl in Komitmen","Gl out komitmen")</f>
        <v>Gl in Komitmen</v>
      </c>
      <c r="AK1937" s="231" t="s">
        <v>199</v>
      </c>
      <c r="AW1937" s="234"/>
      <c r="BP1937" s="11"/>
      <c r="BQ1937" s="11"/>
      <c r="BR1937" s="235"/>
      <c r="BV1937" s="158"/>
      <c r="BY1937" s="158"/>
      <c r="CB1937" s="158"/>
    </row>
    <row r="1938" ht="18.0" hidden="1" customHeight="1">
      <c r="A1938" s="222">
        <f>IFERROR(__xludf.DUMMYFUNCTION("""COMPUTED_VALUE"""),2026.0)</f>
        <v>2026</v>
      </c>
      <c r="B1938" s="221">
        <f>IFERROR(__xludf.DUMMYFUNCTION("""COMPUTED_VALUE"""),1.2308235E7)</f>
        <v>12308235</v>
      </c>
      <c r="C1938" s="222" t="str">
        <f>IFERROR(__xludf.DUMMYFUNCTION("""COMPUTED_VALUE"""),"SMU PSP-FAZ D04 CLUST WEK VI")</f>
        <v>SMU PSP-FAZ D04 CLUST WEK VI</v>
      </c>
      <c r="D1938" s="222" t="str">
        <f>IFERROR(__xludf.DUMMYFUNCTION("""COMPUTED_VALUE"""),"REGIONAL I")</f>
        <v>REGIONAL I</v>
      </c>
      <c r="E1938" s="222" t="str">
        <f>IFERROR(__xludf.DUMMYFUNCTION("""COMPUTED_VALUE"""),"SUMUT")</f>
        <v>SUMUT</v>
      </c>
      <c r="F1938" s="222" t="str">
        <f>IFERROR(__xludf.DUMMYFUNCTION("""COMPUTED_VALUE"""),"PSP")</f>
        <v>PSP</v>
      </c>
      <c r="G1938" s="222" t="str">
        <f>IFERROR(__xludf.DUMMYFUNCTION("""COMPUTED_VALUE"""),"SUMBAGUT")</f>
        <v>SUMBAGUT</v>
      </c>
      <c r="H1938" s="222" t="str">
        <f>IFERROR(__xludf.DUMMYFUNCTION("""COMPUTED_VALUE"""),"PADANG SIDEMPUAN")</f>
        <v>PADANG SIDEMPUAN</v>
      </c>
      <c r="I1938" s="222" t="str">
        <f>IFERROR(__xludf.DUMMYFUNCTION("""COMPUTED_VALUE"""),"Batch 2")</f>
        <v>Batch 2</v>
      </c>
      <c r="J1938" s="225">
        <f>IFERROR(__xludf.DUMMYFUNCTION("""COMPUTED_VALUE"""),5.0)</f>
        <v>5</v>
      </c>
      <c r="K1938" s="224">
        <f>IFERROR(__xludf.DUMMYFUNCTION("""COMPUTED_VALUE"""),40.0)</f>
        <v>40</v>
      </c>
      <c r="L1938" s="226">
        <f>IFERROR(__xludf.DUMMYFUNCTION("""COMPUTED_VALUE"""),270980.0)</f>
        <v>270980</v>
      </c>
      <c r="M1938" s="227">
        <f>IFERROR(__xludf.DUMMYFUNCTION("""COMPUTED_VALUE"""),1.0839175E7)</f>
        <v>10839175</v>
      </c>
      <c r="N1938" s="222" t="str">
        <f>IFERROR(__xludf.DUMMYFUNCTION("""COMPUTED_VALUE"""),"PT NASRI SEJAHTERA UTAMA")</f>
        <v>PT NASRI SEJAHTERA UTAMA</v>
      </c>
      <c r="O1938" s="222" t="str">
        <f>IFERROR(__xludf.DUMMYFUNCTION("""COMPUTED_VALUE"""),"7. GOLIVE")</f>
        <v>7. GOLIVE</v>
      </c>
      <c r="P1938" s="222" t="str">
        <f>IFERROR(__xludf.DUMMYFUNCTION("""COMPUTED_VALUE"""),"7.2 Golive Full / OA / DONE OTB")</f>
        <v>7.2 Golive Full / OA / DONE OTB</v>
      </c>
      <c r="Q1938" s="222" t="str">
        <f>IFERROR(__xludf.DUMMYFUNCTION("""COMPUTED_VALUE"""),"Golive, 10/3 validasi sdi, 6/3 sisa instal 5 odp plan proses malam ini ,ku 12(315 selesai) ,5/3 penarikan ku 12(315 selesai) odp 5 blm ada progres, 4/3 prepair tim untuk pengambilan material, 3/3 proses input alista, 2/3 proses req matrial,   27/2 proses "&amp;"req pengantar izin desa, 25/2 plan submit boq kml survey besok 26 feb, 24/2 menunggu boq kml survey, 23/2 menunggu boq kml survey, 20/2 prepair team untuk suvrey kelokasi, 19/2 Mandor swakelola,  16/2 Mandor swakelola, (pengalihan dari tripola), 13/2 Mand"&amp;"or swakelola, 12/2 Mandor swakelola, 11/2 Mandor swakelola, 10/2 Mandor swakelola,9/2 Mandor swakelola, 6/2 Mandor swakelola, (pengalihan dari tripola), 5/2 Mandor swakelola, 4/2 Mandor swakelola, (pengalihan dari tripola),  3/2 Mandor swakelola, (pengali"&amp;"han dari tripola), 2/2 Mandor swakelola, (pengalihan dari tripola),  1/2 Mandor swakelola, (pengalihan dari tripola), 30/1 Mandor swakelola, (pengalihan dari tripola), 28/1 penunjukan mitra ( peralihan dari mitra tripola), 27/1 proses penunjukan mitra ( m"&amp;"itra tripola menolak untuk lanjut), 26/1 menunggu req matrial ,23/1 proses req kebutuhan material,22/1 proses req kebutuhan material, 21/1 proses req kebutuhan material,  20/1 proses req kebutuhan material, 19/1 proses req kebutuhan material, 15/1 proses "&amp;"req kebutuhan material,13/01 plan survey besok tgl 14/01, (08/01)butuh repair feeder SIR-FB, proses aanwijziing (07/01) Persiapan")</f>
        <v>Golive, 10/3 validasi sdi, 6/3 sisa instal 5 odp plan proses malam ini ,ku 12(315 selesai) ,5/3 penarikan ku 12(315 selesai) odp 5 blm ada progres, 4/3 prepair tim untuk pengambilan material, 3/3 proses input alista, 2/3 proses req matrial,   27/2 proses req pengantar izin desa, 25/2 plan submit boq kml survey besok 26 feb, 24/2 menunggu boq kml survey, 23/2 menunggu boq kml survey, 20/2 prepair team untuk suvrey kelokasi, 19/2 Mandor swakelola,  16/2 Mandor swakelola, (pengalihan dari tripola), 13/2 Mandor swakelola, 12/2 Mandor swakelola, 11/2 Mandor swakelola, 10/2 Mandor swakelola,9/2 Mandor swakelola, 6/2 Mandor swakelola, (pengalihan dari tripola), 5/2 Mandor swakelola, 4/2 Mandor swakelola, (pengalihan dari tripola),  3/2 Mandor swakelola, (pengalihan dari tripola), 2/2 Mandor swakelola, (pengalihan dari tripola),  1/2 Mandor swakelola, (pengalihan dari tripola), 30/1 Mandor swakelola, (pengalihan dari tripola), 28/1 penunjukan mitra ( peralihan dari mitra tripola), 27/1 proses penunjukan mitra ( mitra tripola menolak untuk lanjut), 26/1 menunggu req matrial ,23/1 proses req kebutuhan material,22/1 proses req kebutuhan material, 21/1 proses req kebutuhan material,  20/1 proses req kebutuhan material, 19/1 proses req kebutuhan material, 15/1 proses req kebutuhan material,13/01 plan survey besok tgl 14/01, (08/01)butuh repair feeder SIR-FB, proses aanwijziing (07/01) Persiapan</v>
      </c>
      <c r="R1938" s="228">
        <f>IFERROR(__xludf.DUMMYFUNCTION("""COMPUTED_VALUE"""),46111.0)</f>
        <v>46111</v>
      </c>
      <c r="S1938" s="11" t="str">
        <f>IFERROR(__xludf.DUMMYFUNCTION("""COMPUTED_VALUE"""),"MAR")</f>
        <v>MAR</v>
      </c>
      <c r="T1938" s="11"/>
      <c r="U1938" s="11" t="str">
        <f>IFERROR(__xludf.DUMMYFUNCTION("""COMPUTED_VALUE"""),"W03-1907/2025")</f>
        <v>W03-1907/2025</v>
      </c>
      <c r="V1938" s="229"/>
      <c r="W1938" s="229"/>
      <c r="X1938" s="229" t="str">
        <f>IFERROR(__xludf.DUMMYFUNCTION("""COMPUTED_VALUE"""),"GOLIVE")</f>
        <v>GOLIVE</v>
      </c>
      <c r="Y1938" s="229" t="str">
        <f>IFERROR(__xludf.DUMMYFUNCTION("""COMPUTED_VALUE"""),"DONE")</f>
        <v>DONE</v>
      </c>
      <c r="Z1938" s="229" t="str">
        <f>IFERROR(__xludf.DUMMYFUNCTION("""COMPUTED_VALUE"""),"#N/A")</f>
        <v>#N/A</v>
      </c>
      <c r="AA1938" s="229">
        <f>IFERROR(__xludf.DUMMYFUNCTION("""COMPUTED_VALUE"""),5.0)</f>
        <v>5</v>
      </c>
      <c r="AB1938" s="229"/>
      <c r="AC1938" s="229" t="str">
        <f>IFERROR(__xludf.DUMMYFUNCTION("""COMPUTED_VALUE"""),"9198979#9198985")</f>
        <v>9198979#9198985</v>
      </c>
      <c r="AD1938" s="232">
        <f>IFERROR(__xludf.DUMMYFUNCTION("""COMPUTED_VALUE"""),40.0)</f>
        <v>40</v>
      </c>
      <c r="AE1938" s="233">
        <f>IFERROR(__xludf.DUMMYFUNCTION("""COMPUTED_VALUE"""),46092.0)</f>
        <v>46092</v>
      </c>
      <c r="AF1938" s="54"/>
      <c r="AG1938" s="54"/>
      <c r="AH1938" s="54">
        <v>46111.0</v>
      </c>
      <c r="AI1938" s="55">
        <f t="shared" ref="AI1938:AI1944" si="192">IF(OR(R1938="",AE1938=""),"",R1938-AE1938)</f>
        <v>19</v>
      </c>
      <c r="AW1938" s="234"/>
      <c r="BP1938" s="11"/>
      <c r="BQ1938" s="11"/>
      <c r="BR1938" s="235"/>
      <c r="BV1938" s="158"/>
      <c r="BY1938" s="158"/>
      <c r="CB1938" s="158"/>
    </row>
    <row r="1939" ht="18.0" customHeight="1">
      <c r="A1939" s="222">
        <f>IFERROR(__xludf.DUMMYFUNCTION("""COMPUTED_VALUE"""),2026.0)</f>
        <v>2026</v>
      </c>
      <c r="B1939" s="221">
        <f>IFERROR(__xludf.DUMMYFUNCTION("""COMPUTED_VALUE"""),1.2101473E7)</f>
        <v>12101473</v>
      </c>
      <c r="C1939" s="222" t="str">
        <f>IFERROR(__xludf.DUMMYFUNCTION("""COMPUTED_VALUE"""),"SMB-PT3-ODC-SIR-FB-250_175_2530")</f>
        <v>SMB-PT3-ODC-SIR-FB-250_175_2530</v>
      </c>
      <c r="D1939" s="222" t="str">
        <f>IFERROR(__xludf.DUMMYFUNCTION("""COMPUTED_VALUE"""),"REGIONAL I")</f>
        <v>REGIONAL I</v>
      </c>
      <c r="E1939" s="222" t="str">
        <f>IFERROR(__xludf.DUMMYFUNCTION("""COMPUTED_VALUE"""),"SUMBAR")</f>
        <v>SUMBAR</v>
      </c>
      <c r="F1939" s="222" t="str">
        <f>IFERROR(__xludf.DUMMYFUNCTION("""COMPUTED_VALUE"""),"SIR")</f>
        <v>SIR</v>
      </c>
      <c r="G1939" s="222" t="str">
        <f>IFERROR(__xludf.DUMMYFUNCTION("""COMPUTED_VALUE"""),"SUMBAGTENG")</f>
        <v>SUMBAGTENG</v>
      </c>
      <c r="H1939" s="222" t="str">
        <f>IFERROR(__xludf.DUMMYFUNCTION("""COMPUTED_VALUE"""),"BUKIT TINGGI")</f>
        <v>BUKIT TINGGI</v>
      </c>
      <c r="I1939" s="222" t="str">
        <f>IFERROR(__xludf.DUMMYFUNCTION("""COMPUTED_VALUE"""),"Batch 2")</f>
        <v>Batch 2</v>
      </c>
      <c r="J1939" s="225">
        <f>IFERROR(__xludf.DUMMYFUNCTION("""COMPUTED_VALUE"""),2.0)</f>
        <v>2</v>
      </c>
      <c r="K1939" s="224">
        <f>IFERROR(__xludf.DUMMYFUNCTION("""COMPUTED_VALUE"""),16.0)</f>
        <v>16</v>
      </c>
      <c r="L1939" s="226">
        <f>IFERROR(__xludf.DUMMYFUNCTION("""COMPUTED_VALUE"""),270186.0)</f>
        <v>270186</v>
      </c>
      <c r="M1939" s="227">
        <f>IFERROR(__xludf.DUMMYFUNCTION("""COMPUTED_VALUE"""),4322966.0)</f>
        <v>4322966</v>
      </c>
      <c r="N1939" s="222" t="str">
        <f>IFERROR(__xludf.DUMMYFUNCTION("""COMPUTED_VALUE"""),"PT RATRI PRIMA MANDIRI")</f>
        <v>PT RATRI PRIMA MANDIRI</v>
      </c>
      <c r="O1939" s="222" t="str">
        <f>IFERROR(__xludf.DUMMYFUNCTION("""COMPUTED_VALUE"""),"8. UJI TERIMA")</f>
        <v>8. UJI TERIMA</v>
      </c>
      <c r="P1939" s="222" t="str">
        <f>IFERROR(__xludf.DUMMYFUNCTION("""COMPUTED_VALUE"""),"8.1 Proses UT")</f>
        <v>8.1 Proses UT</v>
      </c>
      <c r="Q1939" s="222" t="str">
        <f>IFERROR(__xludf.DUMMYFUNCTION("""COMPUTED_VALUE"""),"(06/03) Proses create PID  (05/03) proses aanwijziing plan selesai 07/03 (02/03) proses aanwijziing (26/01) DROP, permintaan tsel (tidak potensial) ")</f>
        <v>(06/03) Proses create PID  (05/03) proses aanwijziing plan selesai 07/03 (02/03) proses aanwijziing (26/01) DROP, permintaan tsel (tidak potensial) </v>
      </c>
      <c r="R1939" s="228">
        <f>IFERROR(__xludf.DUMMYFUNCTION("""COMPUTED_VALUE"""),46098.0)</f>
        <v>46098</v>
      </c>
      <c r="S1939" s="11" t="str">
        <f>IFERROR(__xludf.DUMMYFUNCTION("""COMPUTED_VALUE"""),"MAR")</f>
        <v>MAR</v>
      </c>
      <c r="T1939" s="11"/>
      <c r="U1939" s="11" t="str">
        <f>IFERROR(__xludf.DUMMYFUNCTION("""COMPUTED_VALUE"""),"TIF-5670/2026  26KT03R107-0022")</f>
        <v>TIF-5670/2026  26KT03R107-0022</v>
      </c>
      <c r="V1939" s="229" t="str">
        <f>IFERROR(__xludf.DUMMYFUNCTION("""COMPUTED_VALUE"""),"M. ARIF HAMADI")</f>
        <v>M. ARIF HAMADI</v>
      </c>
      <c r="W1939" s="229" t="str">
        <f>IFERROR(__xludf.DUMMYFUNCTION("""COMPUTED_VALUE"""),"MELKO NARWADI")</f>
        <v>MELKO NARWADI</v>
      </c>
      <c r="X1939" s="229" t="str">
        <f>IFERROR(__xludf.DUMMYFUNCTION("""COMPUTED_VALUE"""),"GOLIVE")</f>
        <v>GOLIVE</v>
      </c>
      <c r="Y1939" s="229" t="str">
        <f>IFERROR(__xludf.DUMMYFUNCTION("""COMPUTED_VALUE"""),"DONE")</f>
        <v>DONE</v>
      </c>
      <c r="Z1939" s="229" t="str">
        <f>IFERROR(__xludf.DUMMYFUNCTION("""COMPUTED_VALUE"""),"#N/A")</f>
        <v>#N/A</v>
      </c>
      <c r="AA1939" s="229">
        <f>IFERROR(__xludf.DUMMYFUNCTION("""COMPUTED_VALUE"""),2.0)</f>
        <v>2</v>
      </c>
      <c r="AB1939" s="229"/>
      <c r="AC1939" s="229" t="str">
        <f>IFERROR(__xludf.DUMMYFUNCTION("""COMPUTED_VALUE"""),"9203095#9203100")</f>
        <v>9203095#9203100</v>
      </c>
      <c r="AD1939" s="232">
        <f>IFERROR(__xludf.DUMMYFUNCTION("""COMPUTED_VALUE"""),16.0)</f>
        <v>16</v>
      </c>
      <c r="AE1939" s="233">
        <f>IFERROR(__xludf.DUMMYFUNCTION("""COMPUTED_VALUE"""),46094.0)</f>
        <v>46094</v>
      </c>
      <c r="AF1939" s="54"/>
      <c r="AG1939" s="54"/>
      <c r="AH1939" s="54">
        <v>46098.0</v>
      </c>
      <c r="AI1939" s="55">
        <f t="shared" si="192"/>
        <v>4</v>
      </c>
      <c r="AW1939" s="234"/>
      <c r="BP1939" s="11"/>
      <c r="BQ1939" s="11"/>
      <c r="BR1939" s="235"/>
      <c r="BV1939" s="158"/>
      <c r="BY1939" s="158"/>
      <c r="CB1939" s="158"/>
    </row>
    <row r="1940" ht="18.0" customHeight="1">
      <c r="A1940" s="222">
        <f>IFERROR(__xludf.DUMMYFUNCTION("""COMPUTED_VALUE"""),2026.0)</f>
        <v>2026</v>
      </c>
      <c r="B1940" s="221">
        <f>IFERROR(__xludf.DUMMYFUNCTION("""COMPUTED_VALUE"""),1.1178821E7)</f>
        <v>11178821</v>
      </c>
      <c r="C1940" s="222" t="str">
        <f>IFERROR(__xludf.DUMMYFUNCTION("""COMPUTED_VALUE"""),"SMB P1I2 Jl. Bancah sungai batang")</f>
        <v>SMB P1I2 Jl. Bancah sungai batang</v>
      </c>
      <c r="D1940" s="222" t="str">
        <f>IFERROR(__xludf.DUMMYFUNCTION("""COMPUTED_VALUE"""),"REGIONAL I")</f>
        <v>REGIONAL I</v>
      </c>
      <c r="E1940" s="222" t="str">
        <f>IFERROR(__xludf.DUMMYFUNCTION("""COMPUTED_VALUE"""),"SUMBAR")</f>
        <v>SUMBAR</v>
      </c>
      <c r="F1940" s="222" t="str">
        <f>IFERROR(__xludf.DUMMYFUNCTION("""COMPUTED_VALUE"""),"MIN")</f>
        <v>MIN</v>
      </c>
      <c r="G1940" s="222" t="str">
        <f>IFERROR(__xludf.DUMMYFUNCTION("""COMPUTED_VALUE"""),"SUMBAGTENG")</f>
        <v>SUMBAGTENG</v>
      </c>
      <c r="H1940" s="222" t="str">
        <f>IFERROR(__xludf.DUMMYFUNCTION("""COMPUTED_VALUE"""),"BUKIT TINGGI")</f>
        <v>BUKIT TINGGI</v>
      </c>
      <c r="I1940" s="222" t="str">
        <f>IFERROR(__xludf.DUMMYFUNCTION("""COMPUTED_VALUE"""),"Batch 2")</f>
        <v>Batch 2</v>
      </c>
      <c r="J1940" s="225">
        <f>IFERROR(__xludf.DUMMYFUNCTION("""COMPUTED_VALUE"""),1.0)</f>
        <v>1</v>
      </c>
      <c r="K1940" s="224">
        <f>IFERROR(__xludf.DUMMYFUNCTION("""COMPUTED_VALUE"""),8.0)</f>
        <v>8</v>
      </c>
      <c r="L1940" s="226">
        <f>IFERROR(__xludf.DUMMYFUNCTION("""COMPUTED_VALUE"""),258506.0)</f>
        <v>258506</v>
      </c>
      <c r="M1940" s="227">
        <f>IFERROR(__xludf.DUMMYFUNCTION("""COMPUTED_VALUE"""),2068045.0)</f>
        <v>2068045</v>
      </c>
      <c r="N1940" s="222" t="str">
        <f>IFERROR(__xludf.DUMMYFUNCTION("""COMPUTED_VALUE"""),"SWAKELOLA")</f>
        <v>SWAKELOLA</v>
      </c>
      <c r="O1940" s="222" t="str">
        <f>IFERROR(__xludf.DUMMYFUNCTION("""COMPUTED_VALUE"""),"0. DROP")</f>
        <v>0. DROP</v>
      </c>
      <c r="P1940" s="222" t="str">
        <f>IFERROR(__xludf.DUMMYFUNCTION("""COMPUTED_VALUE"""),"0.3 Feeder Full")</f>
        <v>0.3 Feeder Full</v>
      </c>
      <c r="Q1940" s="222" t="str">
        <f>IFERROR(__xludf.DUMMYFUNCTION("""COMPUTED_VALUE"""),"(26/01) kendala feeder min-fa full")</f>
        <v>(26/01) kendala feeder min-fa full</v>
      </c>
      <c r="R1940" s="228"/>
      <c r="S1940" s="11"/>
      <c r="T1940" s="11"/>
      <c r="U1940" s="11"/>
      <c r="V1940" s="229"/>
      <c r="W1940" s="229"/>
      <c r="X1940" s="229" t="str">
        <f>IFERROR(__xludf.DUMMYFUNCTION("""COMPUTED_VALUE"""),"BELUM GOLIVE")</f>
        <v>BELUM GOLIVE</v>
      </c>
      <c r="Y1940" s="229"/>
      <c r="Z1940" s="229" t="str">
        <f>IFERROR(__xludf.DUMMYFUNCTION("""COMPUTED_VALUE"""),"#N/A")</f>
        <v>#N/A</v>
      </c>
      <c r="AA1940" s="229"/>
      <c r="AB1940" s="229"/>
      <c r="AC1940" s="229"/>
      <c r="AD1940" s="232"/>
      <c r="AE1940" s="233"/>
      <c r="AF1940" s="54" t="str">
        <f>IFERROR(__xludf.DUMMYFUNCTION("""COMPUTED_VALUE"""),"Draft BA DROP")</f>
        <v>Draft BA DROP</v>
      </c>
      <c r="AG1940" s="54"/>
      <c r="AH1940" s="54"/>
      <c r="AI1940" s="55" t="str">
        <f t="shared" si="192"/>
        <v/>
      </c>
      <c r="AW1940" s="234"/>
      <c r="BP1940" s="11"/>
      <c r="BQ1940" s="11"/>
      <c r="BR1940" s="235"/>
      <c r="BV1940" s="158"/>
      <c r="BY1940" s="158"/>
      <c r="CB1940" s="158"/>
    </row>
    <row r="1941" ht="18.0" customHeight="1">
      <c r="A1941" s="222">
        <f>IFERROR(__xludf.DUMMYFUNCTION("""COMPUTED_VALUE"""),2026.0)</f>
        <v>2026</v>
      </c>
      <c r="B1941" s="221">
        <f>IFERROR(__xludf.DUMMYFUNCTION("""COMPUTED_VALUE"""),1.1135533E7)</f>
        <v>11135533</v>
      </c>
      <c r="C1941" s="222" t="str">
        <f>IFERROR(__xludf.DUMMYFUNCTION("""COMPUTED_VALUE"""),"SMB P1I2 Dekat MSM teknik")</f>
        <v>SMB P1I2 Dekat MSM teknik</v>
      </c>
      <c r="D1941" s="222" t="str">
        <f>IFERROR(__xludf.DUMMYFUNCTION("""COMPUTED_VALUE"""),"REGIONAL I")</f>
        <v>REGIONAL I</v>
      </c>
      <c r="E1941" s="222" t="str">
        <f>IFERROR(__xludf.DUMMYFUNCTION("""COMPUTED_VALUE"""),"SUMBAR")</f>
        <v>SUMBAR</v>
      </c>
      <c r="F1941" s="222" t="str">
        <f>IFERROR(__xludf.DUMMYFUNCTION("""COMPUTED_VALUE"""),"BKT")</f>
        <v>BKT</v>
      </c>
      <c r="G1941" s="222" t="str">
        <f>IFERROR(__xludf.DUMMYFUNCTION("""COMPUTED_VALUE"""),"SUMBAGTENG")</f>
        <v>SUMBAGTENG</v>
      </c>
      <c r="H1941" s="222" t="str">
        <f>IFERROR(__xludf.DUMMYFUNCTION("""COMPUTED_VALUE"""),"BUKIT TINGGI")</f>
        <v>BUKIT TINGGI</v>
      </c>
      <c r="I1941" s="222" t="str">
        <f>IFERROR(__xludf.DUMMYFUNCTION("""COMPUTED_VALUE"""),"Batch 2")</f>
        <v>Batch 2</v>
      </c>
      <c r="J1941" s="225">
        <f>IFERROR(__xludf.DUMMYFUNCTION("""COMPUTED_VALUE"""),1.0)</f>
        <v>1</v>
      </c>
      <c r="K1941" s="224">
        <f>IFERROR(__xludf.DUMMYFUNCTION("""COMPUTED_VALUE"""),8.0)</f>
        <v>8</v>
      </c>
      <c r="L1941" s="226">
        <f>IFERROR(__xludf.DUMMYFUNCTION("""COMPUTED_VALUE"""),258506.0)</f>
        <v>258506</v>
      </c>
      <c r="M1941" s="227">
        <f>IFERROR(__xludf.DUMMYFUNCTION("""COMPUTED_VALUE"""),2068045.0)</f>
        <v>2068045</v>
      </c>
      <c r="N1941" s="222" t="str">
        <f>IFERROR(__xludf.DUMMYFUNCTION("""COMPUTED_VALUE"""),"PT GARINDO TECHNO MANDIRI")</f>
        <v>PT GARINDO TECHNO MANDIRI</v>
      </c>
      <c r="O1941" s="222" t="str">
        <f>IFERROR(__xludf.DUMMYFUNCTION("""COMPUTED_VALUE"""),"2. DONE AANWIJZING")</f>
        <v>2. DONE AANWIJZING</v>
      </c>
      <c r="P1941" s="222" t="str">
        <f>IFERROR(__xludf.DUMMYFUNCTION("""COMPUTED_VALUE"""),"2.9 Kendala - Distribusi Penuh / Rusak")</f>
        <v>2.9 Kendala - Distribusi Penuh / Rusak</v>
      </c>
      <c r="Q1941" s="222" t="str">
        <f>IFERROR(__xludf.DUMMYFUNCTION("""COMPUTED_VALUE"""),"(27/01) Kendala dist 3 ODC-BKT-FZ")</f>
        <v>(27/01) Kendala dist 3 ODC-BKT-FZ</v>
      </c>
      <c r="R1941" s="228"/>
      <c r="S1941" s="11"/>
      <c r="T1941" s="11"/>
      <c r="U1941" s="11"/>
      <c r="V1941" s="229"/>
      <c r="W1941" s="229"/>
      <c r="X1941" s="229" t="str">
        <f>IFERROR(__xludf.DUMMYFUNCTION("""COMPUTED_VALUE"""),"BELUM GOLIVE")</f>
        <v>BELUM GOLIVE</v>
      </c>
      <c r="Y1941" s="229"/>
      <c r="Z1941" s="229" t="str">
        <f>IFERROR(__xludf.DUMMYFUNCTION("""COMPUTED_VALUE"""),"#N/A")</f>
        <v>#N/A</v>
      </c>
      <c r="AA1941" s="229"/>
      <c r="AB1941" s="229"/>
      <c r="AC1941" s="229"/>
      <c r="AD1941" s="232"/>
      <c r="AE1941" s="233"/>
      <c r="AF1941" s="54"/>
      <c r="AG1941" s="54"/>
      <c r="AH1941" s="54"/>
      <c r="AI1941" s="55" t="str">
        <f t="shared" si="192"/>
        <v/>
      </c>
      <c r="AW1941" s="234"/>
      <c r="BP1941" s="11"/>
      <c r="BQ1941" s="11"/>
      <c r="BR1941" s="235"/>
      <c r="BV1941" s="158"/>
      <c r="BY1941" s="158"/>
      <c r="CB1941" s="158"/>
    </row>
    <row r="1942" ht="18.0" hidden="1" customHeight="1">
      <c r="A1942" s="222">
        <f>IFERROR(__xludf.DUMMYFUNCTION("""COMPUTED_VALUE"""),2026.0)</f>
        <v>2026</v>
      </c>
      <c r="B1942" s="221">
        <f>IFERROR(__xludf.DUMMYFUNCTION("""COMPUTED_VALUE"""),1.1194148E7)</f>
        <v>11194148</v>
      </c>
      <c r="C1942" s="222" t="str">
        <f>IFERROR(__xludf.DUMMYFUNCTION("""COMPUTED_VALUE"""),"MDN PT3 P7I9 LBP-FN JL.SIDOURIP")</f>
        <v>MDN PT3 P7I9 LBP-FN JL.SIDOURIP</v>
      </c>
      <c r="D1942" s="222" t="str">
        <f>IFERROR(__xludf.DUMMYFUNCTION("""COMPUTED_VALUE"""),"REGIONAL I")</f>
        <v>REGIONAL I</v>
      </c>
      <c r="E1942" s="222" t="str">
        <f>IFERROR(__xludf.DUMMYFUNCTION("""COMPUTED_VALUE"""),"MEDAN")</f>
        <v>MEDAN</v>
      </c>
      <c r="F1942" s="222" t="str">
        <f>IFERROR(__xludf.DUMMYFUNCTION("""COMPUTED_VALUE"""),"LBP")</f>
        <v>LBP</v>
      </c>
      <c r="G1942" s="222" t="str">
        <f>IFERROR(__xludf.DUMMYFUNCTION("""COMPUTED_VALUE"""),"SUMBAGUT")</f>
        <v>SUMBAGUT</v>
      </c>
      <c r="H1942" s="222" t="str">
        <f>IFERROR(__xludf.DUMMYFUNCTION("""COMPUTED_VALUE"""),"MEDAN")</f>
        <v>MEDAN</v>
      </c>
      <c r="I1942" s="222" t="str">
        <f>IFERROR(__xludf.DUMMYFUNCTION("""COMPUTED_VALUE"""),"Batch 2")</f>
        <v>Batch 2</v>
      </c>
      <c r="J1942" s="225">
        <f>IFERROR(__xludf.DUMMYFUNCTION("""COMPUTED_VALUE"""),4.0)</f>
        <v>4</v>
      </c>
      <c r="K1942" s="224">
        <f>IFERROR(__xludf.DUMMYFUNCTION("""COMPUTED_VALUE"""),32.0)</f>
        <v>32</v>
      </c>
      <c r="L1942" s="226">
        <f>IFERROR(__xludf.DUMMYFUNCTION("""COMPUTED_VALUE"""),1485006.0)</f>
        <v>1485006</v>
      </c>
      <c r="M1942" s="227">
        <f>IFERROR(__xludf.DUMMYFUNCTION("""COMPUTED_VALUE"""),4.7520163E7)</f>
        <v>47520163</v>
      </c>
      <c r="N1942" s="222" t="str">
        <f>IFERROR(__xludf.DUMMYFUNCTION("""COMPUTED_VALUE"""),"PT BONGKAR SEJATI ANDALAN")</f>
        <v>PT BONGKAR SEJATI ANDALAN</v>
      </c>
      <c r="O1942" s="222" t="str">
        <f>IFERROR(__xludf.DUMMYFUNCTION("""COMPUTED_VALUE"""),"0. DROP")</f>
        <v>0. DROP</v>
      </c>
      <c r="P1942" s="222" t="str">
        <f>IFERROR(__xludf.DUMMYFUNCTION("""COMPUTED_VALUE"""),"0.4 CPP Tinggi Acc ED TIF")</f>
        <v>0.4 CPP Tinggi Acc ED TIF</v>
      </c>
      <c r="Q1942" s="222" t="str">
        <f>IFERROR(__xludf.DUMMYFUNCTION("""COMPUTED_VALUE"""),"(07/01) Persiapan")</f>
        <v>(07/01) Persiapan</v>
      </c>
      <c r="R1942" s="228"/>
      <c r="S1942" s="11"/>
      <c r="T1942" s="11"/>
      <c r="U1942" s="11"/>
      <c r="V1942" s="229"/>
      <c r="W1942" s="229"/>
      <c r="X1942" s="229" t="str">
        <f>IFERROR(__xludf.DUMMYFUNCTION("""COMPUTED_VALUE"""),"BELUM GOLIVE")</f>
        <v>BELUM GOLIVE</v>
      </c>
      <c r="Y1942" s="229"/>
      <c r="Z1942" s="229" t="str">
        <f>IFERROR(__xludf.DUMMYFUNCTION("""COMPUTED_VALUE"""),"#N/A")</f>
        <v>#N/A</v>
      </c>
      <c r="AA1942" s="229"/>
      <c r="AB1942" s="229"/>
      <c r="AC1942" s="229"/>
      <c r="AD1942" s="232"/>
      <c r="AE1942" s="233"/>
      <c r="AF1942" s="54" t="str">
        <f>IFERROR(__xludf.DUMMYFUNCTION("""COMPUTED_VALUE"""),"Draft BA DROP")</f>
        <v>Draft BA DROP</v>
      </c>
      <c r="AG1942" s="54"/>
      <c r="AH1942" s="54"/>
      <c r="AI1942" s="55" t="str">
        <f t="shared" si="192"/>
        <v/>
      </c>
      <c r="AW1942" s="234"/>
      <c r="BP1942" s="11"/>
      <c r="BQ1942" s="11"/>
      <c r="BR1942" s="235"/>
      <c r="BV1942" s="158"/>
      <c r="BY1942" s="158"/>
      <c r="CB1942" s="158"/>
    </row>
    <row r="1943" ht="18.0" customHeight="1">
      <c r="A1943" s="222">
        <f>IFERROR(__xludf.DUMMYFUNCTION("""COMPUTED_VALUE"""),2026.0)</f>
        <v>2026</v>
      </c>
      <c r="B1943" s="221">
        <f>IFERROR(__xludf.DUMMYFUNCTION("""COMPUTED_VALUE"""),1.1506422E7)</f>
        <v>11506422</v>
      </c>
      <c r="C1943" s="222" t="str">
        <f>IFERROR(__xludf.DUMMYFUNCTION("""COMPUTED_VALUE"""),"RKP PT3 TSEL BTC-FEJ CLUSTER SAFRON (2)")</f>
        <v>RKP PT3 TSEL BTC-FEJ CLUSTER SAFRON (2)</v>
      </c>
      <c r="D1943" s="222" t="str">
        <f>IFERROR(__xludf.DUMMYFUNCTION("""COMPUTED_VALUE"""),"REGIONAL I")</f>
        <v>REGIONAL I</v>
      </c>
      <c r="E1943" s="222" t="str">
        <f>IFERROR(__xludf.DUMMYFUNCTION("""COMPUTED_VALUE"""),"RIKEP")</f>
        <v>RIKEP</v>
      </c>
      <c r="F1943" s="222" t="str">
        <f>IFERROR(__xludf.DUMMYFUNCTION("""COMPUTED_VALUE"""),"BTC")</f>
        <v>BTC</v>
      </c>
      <c r="G1943" s="222" t="str">
        <f>IFERROR(__xludf.DUMMYFUNCTION("""COMPUTED_VALUE"""),"SUMBAGTENG")</f>
        <v>SUMBAGTENG</v>
      </c>
      <c r="H1943" s="222" t="str">
        <f>IFERROR(__xludf.DUMMYFUNCTION("""COMPUTED_VALUE"""),"BATAM")</f>
        <v>BATAM</v>
      </c>
      <c r="I1943" s="222" t="str">
        <f>IFERROR(__xludf.DUMMYFUNCTION("""COMPUTED_VALUE"""),"Batch 2")</f>
        <v>Batch 2</v>
      </c>
      <c r="J1943" s="225">
        <f>IFERROR(__xludf.DUMMYFUNCTION("""COMPUTED_VALUE"""),3.0)</f>
        <v>3</v>
      </c>
      <c r="K1943" s="224">
        <f>IFERROR(__xludf.DUMMYFUNCTION("""COMPUTED_VALUE"""),24.0)</f>
        <v>24</v>
      </c>
      <c r="L1943" s="226">
        <f>IFERROR(__xludf.DUMMYFUNCTION("""COMPUTED_VALUE"""),1485985.0)</f>
        <v>1485985</v>
      </c>
      <c r="M1943" s="227">
        <f>IFERROR(__xludf.DUMMYFUNCTION("""COMPUTED_VALUE"""),3.5663617E7)</f>
        <v>35663617</v>
      </c>
      <c r="N1943" s="222" t="str">
        <f>IFERROR(__xludf.DUMMYFUNCTION("""COMPUTED_VALUE"""),"PT ALTONG JAYA ABADI")</f>
        <v>PT ALTONG JAYA ABADI</v>
      </c>
      <c r="O1943" s="222" t="str">
        <f>IFERROR(__xludf.DUMMYFUNCTION("""COMPUTED_VALUE"""),"0. DROP")</f>
        <v>0. DROP</v>
      </c>
      <c r="P1943" s="222" t="str">
        <f>IFERROR(__xludf.DUMMYFUNCTION("""COMPUTED_VALUE"""),"0.2 Tidak Dapat Izin Warga/Kades/Lurah/Developer")</f>
        <v>0.2 Tidak Dapat Izin Warga/Kades/Lurah/Developer</v>
      </c>
      <c r="Q1943" s="222" t="str">
        <f>IFERROR(__xludf.DUMMYFUNCTION("""COMPUTED_VALUE"""),"22/01 surat izin sudah masuk berbulan bulan namun blm ada balasan")</f>
        <v>22/01 surat izin sudah masuk berbulan bulan namun blm ada balasan</v>
      </c>
      <c r="R1943" s="228"/>
      <c r="S1943" s="11"/>
      <c r="T1943" s="11"/>
      <c r="U1943" s="11"/>
      <c r="V1943" s="229" t="str">
        <f>IFERROR(__xludf.DUMMYFUNCTION("""COMPUTED_VALUE"""),"GANI PRASTYO")</f>
        <v>GANI PRASTYO</v>
      </c>
      <c r="W1943" s="229" t="str">
        <f>IFERROR(__xludf.DUMMYFUNCTION("""COMPUTED_VALUE"""),"LEVITA INDRIYANI")</f>
        <v>LEVITA INDRIYANI</v>
      </c>
      <c r="X1943" s="229" t="str">
        <f>IFERROR(__xludf.DUMMYFUNCTION("""COMPUTED_VALUE"""),"BELUM GOLIVE")</f>
        <v>BELUM GOLIVE</v>
      </c>
      <c r="Y1943" s="229"/>
      <c r="Z1943" s="229" t="str">
        <f>IFERROR(__xludf.DUMMYFUNCTION("""COMPUTED_VALUE"""),"#N/A")</f>
        <v>#N/A</v>
      </c>
      <c r="AA1943" s="229"/>
      <c r="AB1943" s="229"/>
      <c r="AC1943" s="229"/>
      <c r="AD1943" s="232"/>
      <c r="AE1943" s="233"/>
      <c r="AF1943" s="54" t="str">
        <f>IFERROR(__xludf.DUMMYFUNCTION("""COMPUTED_VALUE"""),"Draft BA DROP")</f>
        <v>Draft BA DROP</v>
      </c>
      <c r="AG1943" s="54"/>
      <c r="AH1943" s="54"/>
      <c r="AI1943" s="55" t="str">
        <f t="shared" si="192"/>
        <v/>
      </c>
      <c r="AW1943" s="234"/>
      <c r="BP1943" s="11"/>
      <c r="BQ1943" s="11"/>
      <c r="BR1943" s="235"/>
      <c r="BV1943" s="158"/>
      <c r="BY1943" s="158"/>
      <c r="CB1943" s="158"/>
    </row>
    <row r="1944" ht="18.0" customHeight="1">
      <c r="A1944" s="222">
        <f>IFERROR(__xludf.DUMMYFUNCTION("""COMPUTED_VALUE"""),2026.0)</f>
        <v>2026</v>
      </c>
      <c r="B1944" s="221">
        <f>IFERROR(__xludf.DUMMYFUNCTION("""COMPUTED_VALUE"""),1.1072124E7)</f>
        <v>11072124</v>
      </c>
      <c r="C1944" s="222" t="str">
        <f>IFERROR(__xludf.DUMMYFUNCTION("""COMPUTED_VALUE"""),"SMB P7I8 MYID-4012405170535 Ahmad Rajab")</f>
        <v>SMB P7I8 MYID-4012405170535 Ahmad Rajab</v>
      </c>
      <c r="D1944" s="222" t="str">
        <f>IFERROR(__xludf.DUMMYFUNCTION("""COMPUTED_VALUE"""),"REGIONAL I")</f>
        <v>REGIONAL I</v>
      </c>
      <c r="E1944" s="222" t="str">
        <f>IFERROR(__xludf.DUMMYFUNCTION("""COMPUTED_VALUE"""),"SUMBAR")</f>
        <v>SUMBAR</v>
      </c>
      <c r="F1944" s="222" t="str">
        <f>IFERROR(__xludf.DUMMYFUNCTION("""COMPUTED_VALUE"""),"HRU")</f>
        <v>HRU</v>
      </c>
      <c r="G1944" s="222" t="str">
        <f>IFERROR(__xludf.DUMMYFUNCTION("""COMPUTED_VALUE"""),"SUMBAGTENG")</f>
        <v>SUMBAGTENG</v>
      </c>
      <c r="H1944" s="222" t="str">
        <f>IFERROR(__xludf.DUMMYFUNCTION("""COMPUTED_VALUE"""),"BUKIT TINGGI")</f>
        <v>BUKIT TINGGI</v>
      </c>
      <c r="I1944" s="222" t="str">
        <f>IFERROR(__xludf.DUMMYFUNCTION("""COMPUTED_VALUE"""),"Batch 2")</f>
        <v>Batch 2</v>
      </c>
      <c r="J1944" s="225">
        <f>IFERROR(__xludf.DUMMYFUNCTION("""COMPUTED_VALUE"""),1.0)</f>
        <v>1</v>
      </c>
      <c r="K1944" s="224">
        <f>IFERROR(__xludf.DUMMYFUNCTION("""COMPUTED_VALUE"""),8.0)</f>
        <v>8</v>
      </c>
      <c r="L1944" s="226">
        <f>IFERROR(__xludf.DUMMYFUNCTION("""COMPUTED_VALUE"""),258506.0)</f>
        <v>258506</v>
      </c>
      <c r="M1944" s="227">
        <f>IFERROR(__xludf.DUMMYFUNCTION("""COMPUTED_VALUE"""),2068045.0)</f>
        <v>2068045</v>
      </c>
      <c r="N1944" s="222" t="str">
        <f>IFERROR(__xludf.DUMMYFUNCTION("""COMPUTED_VALUE"""),"PT TSUIKA BERKAH RAYA")</f>
        <v>PT TSUIKA BERKAH RAYA</v>
      </c>
      <c r="O1944" s="222" t="str">
        <f>IFERROR(__xludf.DUMMYFUNCTION("""COMPUTED_VALUE"""),"2. DONE AANWIJZING")</f>
        <v>2. DONE AANWIJZING</v>
      </c>
      <c r="P1944" s="222" t="str">
        <f>IFERROR(__xludf.DUMMYFUNCTION("""COMPUTED_VALUE"""),"2.9 Kendala - Distribusi Penuh / Rusak")</f>
        <v>2.9 Kendala - Distribusi Penuh / Rusak</v>
      </c>
      <c r="Q1944" s="222" t="str">
        <f>IFERROR(__xludf.DUMMYFUNCTION("""COMPUTED_VALUE"""),"(08/01) Core dist 4 HRU-FG FULL ")</f>
        <v>(08/01) Core dist 4 HRU-FG FULL </v>
      </c>
      <c r="R1944" s="228"/>
      <c r="S1944" s="11"/>
      <c r="T1944" s="11"/>
      <c r="U1944" s="11"/>
      <c r="V1944" s="229"/>
      <c r="W1944" s="229"/>
      <c r="X1944" s="229" t="str">
        <f>IFERROR(__xludf.DUMMYFUNCTION("""COMPUTED_VALUE"""),"BELUM GOLIVE")</f>
        <v>BELUM GOLIVE</v>
      </c>
      <c r="Y1944" s="229"/>
      <c r="Z1944" s="229" t="str">
        <f>IFERROR(__xludf.DUMMYFUNCTION("""COMPUTED_VALUE"""),"#N/A")</f>
        <v>#N/A</v>
      </c>
      <c r="AA1944" s="229"/>
      <c r="AB1944" s="229"/>
      <c r="AC1944" s="229"/>
      <c r="AD1944" s="232"/>
      <c r="AE1944" s="233"/>
      <c r="AF1944" s="54"/>
      <c r="AG1944" s="54"/>
      <c r="AH1944" s="54"/>
      <c r="AI1944" s="55" t="str">
        <f t="shared" si="192"/>
        <v/>
      </c>
      <c r="AW1944" s="234"/>
      <c r="BP1944" s="11"/>
      <c r="BQ1944" s="11"/>
      <c r="BR1944" s="235"/>
      <c r="BV1944" s="158"/>
      <c r="BY1944" s="158"/>
      <c r="CB1944" s="158"/>
    </row>
    <row r="1945" ht="18.0" customHeight="1">
      <c r="A1945" s="222">
        <f>IFERROR(__xludf.DUMMYFUNCTION("""COMPUTED_VALUE"""),2026.0)</f>
        <v>2026</v>
      </c>
      <c r="B1945" s="221">
        <f>IFERROR(__xludf.DUMMYFUNCTION("""COMPUTED_VALUE"""),1.2241969E7)</f>
        <v>12241969</v>
      </c>
      <c r="C1945" s="222" t="str">
        <f>IFERROR(__xludf.DUMMYFUNCTION("""COMPUTED_VALUE"""),"SMB PT3-SLK-FF 250_-356_2536")</f>
        <v>SMB PT3-SLK-FF 250_-356_2536</v>
      </c>
      <c r="D1945" s="222" t="str">
        <f>IFERROR(__xludf.DUMMYFUNCTION("""COMPUTED_VALUE"""),"REGIONAL I")</f>
        <v>REGIONAL I</v>
      </c>
      <c r="E1945" s="222" t="str">
        <f>IFERROR(__xludf.DUMMYFUNCTION("""COMPUTED_VALUE"""),"SUMBAR")</f>
        <v>SUMBAR</v>
      </c>
      <c r="F1945" s="222" t="str">
        <f>IFERROR(__xludf.DUMMYFUNCTION("""COMPUTED_VALUE"""),"SLK")</f>
        <v>SLK</v>
      </c>
      <c r="G1945" s="222" t="str">
        <f>IFERROR(__xludf.DUMMYFUNCTION("""COMPUTED_VALUE"""),"SUMBAGTENG")</f>
        <v>SUMBAGTENG</v>
      </c>
      <c r="H1945" s="222" t="str">
        <f>IFERROR(__xludf.DUMMYFUNCTION("""COMPUTED_VALUE"""),"PADANG")</f>
        <v>PADANG</v>
      </c>
      <c r="I1945" s="222" t="str">
        <f>IFERROR(__xludf.DUMMYFUNCTION("""COMPUTED_VALUE"""),"Batch 2")</f>
        <v>Batch 2</v>
      </c>
      <c r="J1945" s="225">
        <f>IFERROR(__xludf.DUMMYFUNCTION("""COMPUTED_VALUE"""),3.0)</f>
        <v>3</v>
      </c>
      <c r="K1945" s="224">
        <f>IFERROR(__xludf.DUMMYFUNCTION("""COMPUTED_VALUE"""),24.0)</f>
        <v>24</v>
      </c>
      <c r="L1945" s="226">
        <f>IFERROR(__xludf.DUMMYFUNCTION("""COMPUTED_VALUE"""),256961.0)</f>
        <v>256961</v>
      </c>
      <c r="M1945" s="227">
        <f>IFERROR(__xludf.DUMMYFUNCTION("""COMPUTED_VALUE"""),6167054.0)</f>
        <v>6167054</v>
      </c>
      <c r="N1945" s="222" t="str">
        <f>IFERROR(__xludf.DUMMYFUNCTION("""COMPUTED_VALUE"""),"PT TRI PENAMAS")</f>
        <v>PT TRI PENAMAS</v>
      </c>
      <c r="O1945" s="222" t="str">
        <f>IFERROR(__xludf.DUMMYFUNCTION("""COMPUTED_VALUE"""),"7. GOLIVE")</f>
        <v>7. GOLIVE</v>
      </c>
      <c r="P1945" s="222" t="str">
        <f>IFERROR(__xludf.DUMMYFUNCTION("""COMPUTED_VALUE"""),"7.2 Golive Full / OA / DONE OTB")</f>
        <v>7.2 Golive Full / OA / DONE OTB</v>
      </c>
      <c r="Q1945" s="222" t="str">
        <f>IFERROR(__xludf.DUMMYFUNCTION("""COMPUTED_VALUE"""),"(30/03) ABD done KE SDI, Plan UT besok 30/03/2026 (16/03) proses matdel KE SITE (12/03) Proses create PID  (08/01) core dist 1 full SLK-FF")</f>
        <v>(30/03) ABD done KE SDI, Plan UT besok 30/03/2026 (16/03) proses matdel KE SITE (12/03) Proses create PID  (08/01) core dist 1 full SLK-FF</v>
      </c>
      <c r="R1945" s="228"/>
      <c r="S1945" s="11"/>
      <c r="T1945" s="11"/>
      <c r="U1945" s="11" t="str">
        <f>IFERROR(__xludf.DUMMYFUNCTION("""COMPUTED_VALUE"""),"TIF-5995/2026  26KT03R158-0074")</f>
        <v>TIF-5995/2026  26KT03R158-0074</v>
      </c>
      <c r="V1945" s="229" t="str">
        <f>IFERROR(__xludf.DUMMYFUNCTION("""COMPUTED_VALUE"""),"FABIO RAHMAN")</f>
        <v>FABIO RAHMAN</v>
      </c>
      <c r="W1945" s="229" t="str">
        <f>IFERROR(__xludf.DUMMYFUNCTION("""COMPUTED_VALUE"""),"MELKO NARWADI")</f>
        <v>MELKO NARWADI</v>
      </c>
      <c r="X1945" s="229" t="str">
        <f>IFERROR(__xludf.DUMMYFUNCTION("""COMPUTED_VALUE"""),"GOLIVE")</f>
        <v>GOLIVE</v>
      </c>
      <c r="Y1945" s="229" t="str">
        <f>IFERROR(__xludf.DUMMYFUNCTION("""COMPUTED_VALUE"""),"DONE")</f>
        <v>DONE</v>
      </c>
      <c r="Z1945" s="229" t="str">
        <f>IFERROR(__xludf.DUMMYFUNCTION("""COMPUTED_VALUE"""),"#N/A")</f>
        <v>#N/A</v>
      </c>
      <c r="AA1945" s="229">
        <f>IFERROR(__xludf.DUMMYFUNCTION("""COMPUTED_VALUE"""),2.0)</f>
        <v>2</v>
      </c>
      <c r="AB1945" s="229"/>
      <c r="AC1945" s="229" t="str">
        <f>IFERROR(__xludf.DUMMYFUNCTION("""COMPUTED_VALUE"""),"9230296#9230301")</f>
        <v>9230296#9230301</v>
      </c>
      <c r="AD1945" s="232">
        <f>IFERROR(__xludf.DUMMYFUNCTION("""COMPUTED_VALUE"""),16.0)</f>
        <v>16</v>
      </c>
      <c r="AE1945" s="233">
        <f>IFERROR(__xludf.DUMMYFUNCTION("""COMPUTED_VALUE"""),46112.0)</f>
        <v>46112</v>
      </c>
      <c r="AF1945" s="54"/>
      <c r="AG1945" s="54"/>
      <c r="AH1945" s="54"/>
      <c r="AI1945" s="55" t="str">
        <f>IF(OR(AH1945="",AE1945=""),"",AH1945-AE1945)</f>
        <v/>
      </c>
      <c r="AW1945" s="234"/>
      <c r="BP1945" s="11"/>
      <c r="BQ1945" s="11"/>
      <c r="BR1945" s="235"/>
      <c r="BV1945" s="158"/>
      <c r="BY1945" s="158"/>
      <c r="CB1945" s="158"/>
    </row>
    <row r="1946" ht="18.0" customHeight="1">
      <c r="A1946" s="222">
        <f>IFERROR(__xludf.DUMMYFUNCTION("""COMPUTED_VALUE"""),2026.0)</f>
        <v>2026</v>
      </c>
      <c r="B1946" s="221">
        <f>IFERROR(__xludf.DUMMYFUNCTION("""COMPUTED_VALUE"""),1.1120349E7)</f>
        <v>11120349</v>
      </c>
      <c r="C1946" s="222" t="str">
        <f>IFERROR(__xludf.DUMMYFUNCTION("""COMPUTED_VALUE"""),"SMB STTF-Padang Panjang 2,kenagarian kam")</f>
        <v>SMB STTF-Padang Panjang 2,kenagarian kam</v>
      </c>
      <c r="D1946" s="222" t="str">
        <f>IFERROR(__xludf.DUMMYFUNCTION("""COMPUTED_VALUE"""),"REGIONAL I")</f>
        <v>REGIONAL I</v>
      </c>
      <c r="E1946" s="222" t="str">
        <f>IFERROR(__xludf.DUMMYFUNCTION("""COMPUTED_VALUE"""),"SUMBAR")</f>
        <v>SUMBAR</v>
      </c>
      <c r="F1946" s="222" t="str">
        <f>IFERROR(__xludf.DUMMYFUNCTION("""COMPUTED_VALUE"""),"BLS")</f>
        <v>BLS</v>
      </c>
      <c r="G1946" s="222" t="str">
        <f>IFERROR(__xludf.DUMMYFUNCTION("""COMPUTED_VALUE"""),"SUMBAGTENG")</f>
        <v>SUMBAGTENG</v>
      </c>
      <c r="H1946" s="222" t="str">
        <f>IFERROR(__xludf.DUMMYFUNCTION("""COMPUTED_VALUE"""),"PADANG")</f>
        <v>PADANG</v>
      </c>
      <c r="I1946" s="222" t="str">
        <f>IFERROR(__xludf.DUMMYFUNCTION("""COMPUTED_VALUE"""),"Batch 2")</f>
        <v>Batch 2</v>
      </c>
      <c r="J1946" s="225">
        <f>IFERROR(__xludf.DUMMYFUNCTION("""COMPUTED_VALUE"""),1.0)</f>
        <v>1</v>
      </c>
      <c r="K1946" s="224">
        <f>IFERROR(__xludf.DUMMYFUNCTION("""COMPUTED_VALUE"""),8.0)</f>
        <v>8</v>
      </c>
      <c r="L1946" s="226">
        <f>IFERROR(__xludf.DUMMYFUNCTION("""COMPUTED_VALUE"""),253090.0)</f>
        <v>253090</v>
      </c>
      <c r="M1946" s="227">
        <f>IFERROR(__xludf.DUMMYFUNCTION("""COMPUTED_VALUE"""),2024716.0)</f>
        <v>2024716</v>
      </c>
      <c r="N1946" s="222" t="str">
        <f>IFERROR(__xludf.DUMMYFUNCTION("""COMPUTED_VALUE"""),"PT ALAM UTAMA MULIA")</f>
        <v>PT ALAM UTAMA MULIA</v>
      </c>
      <c r="O1946" s="222" t="str">
        <f>IFERROR(__xludf.DUMMYFUNCTION("""COMPUTED_VALUE"""),"0. DROP")</f>
        <v>0. DROP</v>
      </c>
      <c r="P1946" s="222" t="str">
        <f>IFERROR(__xludf.DUMMYFUNCTION("""COMPUTED_VALUE"""),"0.4 CPP Tinggi Acc ED TIF")</f>
        <v>0.4 CPP Tinggi Acc ED TIF</v>
      </c>
      <c r="Q1946" s="222" t="str">
        <f>IFERROR(__xludf.DUMMYFUNCTION("""COMPUTED_VALUE"""),"(27/01) Kendala core dist 2 bls-fc full")</f>
        <v>(27/01) Kendala core dist 2 bls-fc full</v>
      </c>
      <c r="R1946" s="228"/>
      <c r="S1946" s="11"/>
      <c r="T1946" s="11"/>
      <c r="U1946" s="11"/>
      <c r="V1946" s="229"/>
      <c r="W1946" s="229"/>
      <c r="X1946" s="229" t="str">
        <f>IFERROR(__xludf.DUMMYFUNCTION("""COMPUTED_VALUE"""),"BELUM GOLIVE")</f>
        <v>BELUM GOLIVE</v>
      </c>
      <c r="Y1946" s="229"/>
      <c r="Z1946" s="229" t="str">
        <f>IFERROR(__xludf.DUMMYFUNCTION("""COMPUTED_VALUE"""),"#N/A")</f>
        <v>#N/A</v>
      </c>
      <c r="AA1946" s="229"/>
      <c r="AB1946" s="229"/>
      <c r="AC1946" s="229"/>
      <c r="AD1946" s="232"/>
      <c r="AE1946" s="233"/>
      <c r="AF1946" s="54"/>
      <c r="AG1946" s="54"/>
      <c r="AH1946" s="54"/>
      <c r="AI1946" s="55" t="str">
        <f t="shared" ref="AI1946:AI1973" si="193">IF(OR(R1946="",AE1946=""),"",R1946-AE1946)</f>
        <v/>
      </c>
      <c r="AW1946" s="234"/>
      <c r="BP1946" s="11"/>
      <c r="BQ1946" s="11"/>
      <c r="BR1946" s="235"/>
      <c r="BV1946" s="158"/>
      <c r="BY1946" s="158"/>
      <c r="CB1946" s="158"/>
    </row>
    <row r="1947" ht="18.0" hidden="1" customHeight="1">
      <c r="A1947" s="222">
        <f>IFERROR(__xludf.DUMMYFUNCTION("""COMPUTED_VALUE"""),2026.0)</f>
        <v>2026</v>
      </c>
      <c r="B1947" s="221">
        <f>IFERROR(__xludf.DUMMYFUNCTION("""COMPUTED_VALUE"""),1.1116768E7)</f>
        <v>11116768</v>
      </c>
      <c r="C1947" s="222" t="str">
        <f>IFERROR(__xludf.DUMMYFUNCTION("""COMPUTED_VALUE"""),"MDN PT3-TJR-FC GG.MUSHOLA MEDAN SINEMBAH")</f>
        <v>MDN PT3-TJR-FC GG.MUSHOLA MEDAN SINEMBAH</v>
      </c>
      <c r="D1947" s="222" t="str">
        <f>IFERROR(__xludf.DUMMYFUNCTION("""COMPUTED_VALUE"""),"REGIONAL I")</f>
        <v>REGIONAL I</v>
      </c>
      <c r="E1947" s="222" t="str">
        <f>IFERROR(__xludf.DUMMYFUNCTION("""COMPUTED_VALUE"""),"MEDAN")</f>
        <v>MEDAN</v>
      </c>
      <c r="F1947" s="222" t="str">
        <f>IFERROR(__xludf.DUMMYFUNCTION("""COMPUTED_VALUE"""),"TJR")</f>
        <v>TJR</v>
      </c>
      <c r="G1947" s="222" t="str">
        <f>IFERROR(__xludf.DUMMYFUNCTION("""COMPUTED_VALUE"""),"SUMBAGUT")</f>
        <v>SUMBAGUT</v>
      </c>
      <c r="H1947" s="222" t="str">
        <f>IFERROR(__xludf.DUMMYFUNCTION("""COMPUTED_VALUE"""),"MEDAN")</f>
        <v>MEDAN</v>
      </c>
      <c r="I1947" s="222" t="str">
        <f>IFERROR(__xludf.DUMMYFUNCTION("""COMPUTED_VALUE"""),"Batch 2")</f>
        <v>Batch 2</v>
      </c>
      <c r="J1947" s="225">
        <f>IFERROR(__xludf.DUMMYFUNCTION("""COMPUTED_VALUE"""),2.0)</f>
        <v>2</v>
      </c>
      <c r="K1947" s="224">
        <f>IFERROR(__xludf.DUMMYFUNCTION("""COMPUTED_VALUE"""),16.0)</f>
        <v>16</v>
      </c>
      <c r="L1947" s="226">
        <f>IFERROR(__xludf.DUMMYFUNCTION("""COMPUTED_VALUE"""),666552.0)</f>
        <v>666552</v>
      </c>
      <c r="M1947" s="227">
        <f>IFERROR(__xludf.DUMMYFUNCTION("""COMPUTED_VALUE"""),1.0664824E7)</f>
        <v>10664824</v>
      </c>
      <c r="N1947" s="222" t="str">
        <f>IFERROR(__xludf.DUMMYFUNCTION("""COMPUTED_VALUE"""),"PT UPAYA TEKNIK")</f>
        <v>PT UPAYA TEKNIK</v>
      </c>
      <c r="O1947" s="222" t="str">
        <f>IFERROR(__xludf.DUMMYFUNCTION("""COMPUTED_VALUE"""),"7. GOLIVE")</f>
        <v>7. GOLIVE</v>
      </c>
      <c r="P1947" s="222" t="str">
        <f>IFERROR(__xludf.DUMMYFUNCTION("""COMPUTED_VALUE"""),"7.2 Golive Full / OA / DONE OTB")</f>
        <v>7.2 Golive Full / OA / DONE OTB</v>
      </c>
      <c r="Q1947" s="222" t="str">
        <f>IFERROR(__xludf.DUMMYFUNCTION("""COMPUTED_VALUE"""),"20/04 golive sdi
20/04 pengecekan abd mancore
18/04 pemasangan odp &amp; terminasi
09/04 proses input matrial
31/03 komitmen perizinan (02/04) (08/01) butuh repair feeder SUM-FD (07/01) Persiapan")</f>
        <v>20/04 golive sdi
20/04 pengecekan abd mancore
18/04 pemasangan odp &amp; terminasi
09/04 proses input matrial
31/03 komitmen perizinan (02/04) (08/01) butuh repair feeder SUM-FD (07/01) Persiapan</v>
      </c>
      <c r="R1947" s="228">
        <f>IFERROR(__xludf.DUMMYFUNCTION("""COMPUTED_VALUE"""),46132.0)</f>
        <v>46132</v>
      </c>
      <c r="S1947" s="11"/>
      <c r="T1947" s="73"/>
      <c r="U1947" s="11"/>
      <c r="V1947" s="229" t="str">
        <f>IFERROR(__xludf.DUMMYFUNCTION("""COMPUTED_VALUE"""),"28/Apr/2026")</f>
        <v>28/Apr/2026</v>
      </c>
      <c r="W1947" s="229"/>
      <c r="X1947" s="229" t="str">
        <f>IFERROR(__xludf.DUMMYFUNCTION("""COMPUTED_VALUE"""),"GOLIVE")</f>
        <v>GOLIVE</v>
      </c>
      <c r="Y1947" s="229" t="str">
        <f>IFERROR(__xludf.DUMMYFUNCTION("""COMPUTED_VALUE"""),"DONE")</f>
        <v>DONE</v>
      </c>
      <c r="Z1947" s="229" t="str">
        <f>IFERROR(__xludf.DUMMYFUNCTION("""COMPUTED_VALUE"""),"#N/A")</f>
        <v>#N/A</v>
      </c>
      <c r="AA1947" s="229">
        <f>IFERROR(__xludf.DUMMYFUNCTION("""COMPUTED_VALUE"""),2.0)</f>
        <v>2</v>
      </c>
      <c r="AB1947" s="229"/>
      <c r="AC1947" s="229" t="str">
        <f>IFERROR(__xludf.DUMMYFUNCTION("""COMPUTED_VALUE"""),"9292146#9292151")</f>
        <v>9292146#9292151</v>
      </c>
      <c r="AD1947" s="232">
        <f>IFERROR(__xludf.DUMMYFUNCTION("""COMPUTED_VALUE"""),16.0)</f>
        <v>16</v>
      </c>
      <c r="AE1947" s="233">
        <f>IFERROR(__xludf.DUMMYFUNCTION("""COMPUTED_VALUE"""),46132.0)</f>
        <v>46132</v>
      </c>
      <c r="AF1947" s="54"/>
      <c r="AG1947" s="54"/>
      <c r="AH1947" s="54">
        <v>46132.0</v>
      </c>
      <c r="AI1947" s="55">
        <f t="shared" si="193"/>
        <v>0</v>
      </c>
      <c r="AW1947" s="234"/>
      <c r="BP1947" s="11"/>
      <c r="BQ1947" s="11"/>
      <c r="BR1947" s="235"/>
      <c r="BV1947" s="158"/>
      <c r="BY1947" s="158"/>
      <c r="CB1947" s="158"/>
    </row>
    <row r="1948" ht="18.0" customHeight="1">
      <c r="A1948" s="222">
        <f>IFERROR(__xludf.DUMMYFUNCTION("""COMPUTED_VALUE"""),2026.0)</f>
        <v>2026</v>
      </c>
      <c r="B1948" s="221">
        <f>IFERROR(__xludf.DUMMYFUNCTION("""COMPUTED_VALUE"""),1.1612446E7)</f>
        <v>11612446</v>
      </c>
      <c r="C1948" s="222" t="str">
        <f>IFERROR(__xludf.DUMMYFUNCTION("""COMPUTED_VALUE"""),"SMB STTF - ANDRI SYAHPUTRA")</f>
        <v>SMB STTF - ANDRI SYAHPUTRA</v>
      </c>
      <c r="D1948" s="222" t="str">
        <f>IFERROR(__xludf.DUMMYFUNCTION("""COMPUTED_VALUE"""),"REGIONAL I")</f>
        <v>REGIONAL I</v>
      </c>
      <c r="E1948" s="222" t="str">
        <f>IFERROR(__xludf.DUMMYFUNCTION("""COMPUTED_VALUE"""),"SUMBAR")</f>
        <v>SUMBAR</v>
      </c>
      <c r="F1948" s="222" t="str">
        <f>IFERROR(__xludf.DUMMYFUNCTION("""COMPUTED_VALUE"""),"SUM")</f>
        <v>SUM</v>
      </c>
      <c r="G1948" s="222" t="str">
        <f>IFERROR(__xludf.DUMMYFUNCTION("""COMPUTED_VALUE"""),"SUMBAGTENG")</f>
        <v>SUMBAGTENG</v>
      </c>
      <c r="H1948" s="222" t="str">
        <f>IFERROR(__xludf.DUMMYFUNCTION("""COMPUTED_VALUE"""),"PADANG")</f>
        <v>PADANG</v>
      </c>
      <c r="I1948" s="222" t="str">
        <f>IFERROR(__xludf.DUMMYFUNCTION("""COMPUTED_VALUE"""),"Batch 2")</f>
        <v>Batch 2</v>
      </c>
      <c r="J1948" s="225">
        <f>IFERROR(__xludf.DUMMYFUNCTION("""COMPUTED_VALUE"""),1.0)</f>
        <v>1</v>
      </c>
      <c r="K1948" s="224">
        <f>IFERROR(__xludf.DUMMYFUNCTION("""COMPUTED_VALUE"""),8.0)</f>
        <v>8</v>
      </c>
      <c r="L1948" s="226">
        <f>IFERROR(__xludf.DUMMYFUNCTION("""COMPUTED_VALUE"""),253090.0)</f>
        <v>253090</v>
      </c>
      <c r="M1948" s="227">
        <f>IFERROR(__xludf.DUMMYFUNCTION("""COMPUTED_VALUE"""),2024716.0)</f>
        <v>2024716</v>
      </c>
      <c r="N1948" s="222" t="str">
        <f>IFERROR(__xludf.DUMMYFUNCTION("""COMPUTED_VALUE"""),"PT TRI PENAMAS")</f>
        <v>PT TRI PENAMAS</v>
      </c>
      <c r="O1948" s="222" t="str">
        <f>IFERROR(__xludf.DUMMYFUNCTION("""COMPUTED_VALUE"""),"4. MATDEL")</f>
        <v>4. MATDEL</v>
      </c>
      <c r="P1948" s="222" t="str">
        <f>IFERROR(__xludf.DUMMYFUNCTION("""COMPUTED_VALUE"""),"4.4 Proses Pengiriman Pabribak ke WH")</f>
        <v>4.4 Proses Pengiriman Pabribak ke WH</v>
      </c>
      <c r="Q1948" s="222" t="str">
        <f>IFERROR(__xludf.DUMMYFUNCTION("""COMPUTED_VALUE"""),"(27/04) menunggu PO kabel 24 ADSS (23/04) : done aanwijziing proses eval")</f>
        <v>(27/04) menunggu PO kabel 24 ADSS (23/04) : done aanwijziing proses eval</v>
      </c>
      <c r="R1948" s="228"/>
      <c r="S1948" s="11"/>
      <c r="T1948" s="11"/>
      <c r="U1948" s="11"/>
      <c r="V1948" s="229" t="str">
        <f>IFERROR(__xludf.DUMMYFUNCTION("""COMPUTED_VALUE"""),"FABIO RAHMAN")</f>
        <v>FABIO RAHMAN</v>
      </c>
      <c r="W1948" s="229" t="str">
        <f>IFERROR(__xludf.DUMMYFUNCTION("""COMPUTED_VALUE"""),"MELKO NARWADI")</f>
        <v>MELKO NARWADI</v>
      </c>
      <c r="X1948" s="229" t="str">
        <f>IFERROR(__xludf.DUMMYFUNCTION("""COMPUTED_VALUE"""),"BELUM GOLIVE")</f>
        <v>BELUM GOLIVE</v>
      </c>
      <c r="Y1948" s="229"/>
      <c r="Z1948" s="229" t="str">
        <f>IFERROR(__xludf.DUMMYFUNCTION("""COMPUTED_VALUE"""),"#N/A")</f>
        <v>#N/A</v>
      </c>
      <c r="AA1948" s="229"/>
      <c r="AB1948" s="229"/>
      <c r="AC1948" s="229"/>
      <c r="AD1948" s="232"/>
      <c r="AE1948" s="233"/>
      <c r="AF1948" s="54" t="str">
        <f>IFERROR(__xludf.DUMMYFUNCTION("""COMPUTED_VALUE"""),"Draft BA DROP")</f>
        <v>Draft BA DROP</v>
      </c>
      <c r="AG1948" s="54"/>
      <c r="AH1948" s="54"/>
      <c r="AI1948" s="55" t="str">
        <f t="shared" si="193"/>
        <v/>
      </c>
      <c r="AW1948" s="234"/>
      <c r="BP1948" s="11"/>
      <c r="BQ1948" s="11"/>
      <c r="BR1948" s="235"/>
      <c r="BV1948" s="158"/>
      <c r="BY1948" s="158"/>
      <c r="CB1948" s="158"/>
    </row>
    <row r="1949" ht="18.0" customHeight="1">
      <c r="A1949" s="222">
        <f>IFERROR(__xludf.DUMMYFUNCTION("""COMPUTED_VALUE"""),2026.0)</f>
        <v>2026</v>
      </c>
      <c r="B1949" s="221">
        <f>IFERROR(__xludf.DUMMYFUNCTION("""COMPUTED_VALUE"""),1.1159035E7)</f>
        <v>11159035</v>
      </c>
      <c r="C1949" s="222" t="str">
        <f>IFERROR(__xludf.DUMMYFUNCTION("""COMPUTED_VALUE"""),"SMB Bukit Belimbing Indah  MYIR-10519")</f>
        <v>SMB Bukit Belimbing Indah  MYIR-10519</v>
      </c>
      <c r="D1949" s="222" t="str">
        <f>IFERROR(__xludf.DUMMYFUNCTION("""COMPUTED_VALUE"""),"REGIONAL I")</f>
        <v>REGIONAL I</v>
      </c>
      <c r="E1949" s="222" t="str">
        <f>IFERROR(__xludf.DUMMYFUNCTION("""COMPUTED_VALUE"""),"SUMBAR")</f>
        <v>SUMBAR</v>
      </c>
      <c r="F1949" s="222" t="str">
        <f>IFERROR(__xludf.DUMMYFUNCTION("""COMPUTED_VALUE"""),"KJI")</f>
        <v>KJI</v>
      </c>
      <c r="G1949" s="222" t="str">
        <f>IFERROR(__xludf.DUMMYFUNCTION("""COMPUTED_VALUE"""),"SUMBAGTENG")</f>
        <v>SUMBAGTENG</v>
      </c>
      <c r="H1949" s="222" t="str">
        <f>IFERROR(__xludf.DUMMYFUNCTION("""COMPUTED_VALUE"""),"PADANG")</f>
        <v>PADANG</v>
      </c>
      <c r="I1949" s="222" t="str">
        <f>IFERROR(__xludf.DUMMYFUNCTION("""COMPUTED_VALUE"""),"Batch 2")</f>
        <v>Batch 2</v>
      </c>
      <c r="J1949" s="225">
        <f>IFERROR(__xludf.DUMMYFUNCTION("""COMPUTED_VALUE"""),1.0)</f>
        <v>1</v>
      </c>
      <c r="K1949" s="224">
        <f>IFERROR(__xludf.DUMMYFUNCTION("""COMPUTED_VALUE"""),8.0)</f>
        <v>8</v>
      </c>
      <c r="L1949" s="226">
        <f>IFERROR(__xludf.DUMMYFUNCTION("""COMPUTED_VALUE"""),253090.0)</f>
        <v>253090</v>
      </c>
      <c r="M1949" s="227">
        <f>IFERROR(__xludf.DUMMYFUNCTION("""COMPUTED_VALUE"""),2024716.0)</f>
        <v>2024716</v>
      </c>
      <c r="N1949" s="222" t="str">
        <f>IFERROR(__xludf.DUMMYFUNCTION("""COMPUTED_VALUE"""),"PT TRI PENAMAS")</f>
        <v>PT TRI PENAMAS</v>
      </c>
      <c r="O1949" s="222" t="str">
        <f>IFERROR(__xludf.DUMMYFUNCTION("""COMPUTED_VALUE"""),"4. MATDEL")</f>
        <v>4. MATDEL</v>
      </c>
      <c r="P1949" s="222" t="str">
        <f>IFERROR(__xludf.DUMMYFUNCTION("""COMPUTED_VALUE"""),"4.4 Proses Pengiriman Pabribak ke WH")</f>
        <v>4.4 Proses Pengiriman Pabribak ke WH</v>
      </c>
      <c r="Q1949" s="222" t="str">
        <f>IFERROR(__xludf.DUMMYFUNCTION("""COMPUTED_VALUE"""),"(27/04) menunggu PO kabel 24 ADSS (20/04) sudah aanwijziing, proses eval  (26/01) kendala feeder KJI-FN FULL ")</f>
        <v>(27/04) menunggu PO kabel 24 ADSS (20/04) sudah aanwijziing, proses eval  (26/01) kendala feeder KJI-FN FULL </v>
      </c>
      <c r="R1949" s="228"/>
      <c r="S1949" s="11"/>
      <c r="T1949" s="11"/>
      <c r="U1949" s="11"/>
      <c r="V1949" s="229" t="str">
        <f>IFERROR(__xludf.DUMMYFUNCTION("""COMPUTED_VALUE"""),"FABIO RAHMAN")</f>
        <v>FABIO RAHMAN</v>
      </c>
      <c r="W1949" s="229" t="str">
        <f>IFERROR(__xludf.DUMMYFUNCTION("""COMPUTED_VALUE"""),"MELKO NARWADI")</f>
        <v>MELKO NARWADI</v>
      </c>
      <c r="X1949" s="229" t="str">
        <f>IFERROR(__xludf.DUMMYFUNCTION("""COMPUTED_VALUE"""),"BELUM GOLIVE")</f>
        <v>BELUM GOLIVE</v>
      </c>
      <c r="Y1949" s="229"/>
      <c r="Z1949" s="229" t="str">
        <f>IFERROR(__xludf.DUMMYFUNCTION("""COMPUTED_VALUE"""),"#N/A")</f>
        <v>#N/A</v>
      </c>
      <c r="AA1949" s="229"/>
      <c r="AB1949" s="229"/>
      <c r="AC1949" s="229"/>
      <c r="AD1949" s="232"/>
      <c r="AE1949" s="233"/>
      <c r="AF1949" s="54" t="str">
        <f>IFERROR(__xludf.DUMMYFUNCTION("""COMPUTED_VALUE"""),"Draft BA DROP")</f>
        <v>Draft BA DROP</v>
      </c>
      <c r="AG1949" s="54"/>
      <c r="AH1949" s="54"/>
      <c r="AI1949" s="55" t="str">
        <f t="shared" si="193"/>
        <v/>
      </c>
      <c r="AW1949" s="234"/>
      <c r="BP1949" s="11"/>
      <c r="BQ1949" s="11"/>
      <c r="BR1949" s="235"/>
      <c r="BV1949" s="158"/>
      <c r="BY1949" s="158"/>
      <c r="CB1949" s="158"/>
    </row>
    <row r="1950" ht="18.0" hidden="1" customHeight="1">
      <c r="A1950" s="222">
        <f>IFERROR(__xludf.DUMMYFUNCTION("""COMPUTED_VALUE"""),2026.0)</f>
        <v>2026</v>
      </c>
      <c r="B1950" s="221">
        <f>IFERROR(__xludf.DUMMYFUNCTION("""COMPUTED_VALUE"""),1.1511201E7)</f>
        <v>11511201</v>
      </c>
      <c r="C1950" s="222" t="str">
        <f>IFERROR(__xludf.DUMMYFUNCTION("""COMPUTED_VALUE"""),"LPG PT3 JPP PRW_SKD063 WJA")</f>
        <v>LPG PT3 JPP PRW_SKD063 WJA</v>
      </c>
      <c r="D1950" s="222" t="str">
        <f>IFERROR(__xludf.DUMMYFUNCTION("""COMPUTED_VALUE"""),"REGIONAL I")</f>
        <v>REGIONAL I</v>
      </c>
      <c r="E1950" s="222" t="str">
        <f>IFERROR(__xludf.DUMMYFUNCTION("""COMPUTED_VALUE"""),"LAMPUNG")</f>
        <v>LAMPUNG</v>
      </c>
      <c r="F1950" s="222" t="str">
        <f>IFERROR(__xludf.DUMMYFUNCTION("""COMPUTED_VALUE"""),"WJA")</f>
        <v>WJA</v>
      </c>
      <c r="G1950" s="222" t="str">
        <f>IFERROR(__xludf.DUMMYFUNCTION("""COMPUTED_VALUE"""),"SUMBAGSEL")</f>
        <v>SUMBAGSEL</v>
      </c>
      <c r="H1950" s="222" t="str">
        <f>IFERROR(__xludf.DUMMYFUNCTION("""COMPUTED_VALUE"""),"LAMPUNG")</f>
        <v>LAMPUNG</v>
      </c>
      <c r="I1950" s="222" t="str">
        <f>IFERROR(__xludf.DUMMYFUNCTION("""COMPUTED_VALUE"""),"Batch 2")</f>
        <v>Batch 2</v>
      </c>
      <c r="J1950" s="225">
        <f>IFERROR(__xludf.DUMMYFUNCTION("""COMPUTED_VALUE"""),1.0)</f>
        <v>1</v>
      </c>
      <c r="K1950" s="224">
        <f>IFERROR(__xludf.DUMMYFUNCTION("""COMPUTED_VALUE"""),8.0)</f>
        <v>8</v>
      </c>
      <c r="L1950" s="226">
        <f>IFERROR(__xludf.DUMMYFUNCTION("""COMPUTED_VALUE"""),250321.0)</f>
        <v>250321</v>
      </c>
      <c r="M1950" s="227">
        <f>IFERROR(__xludf.DUMMYFUNCTION("""COMPUTED_VALUE"""),2002568.0)</f>
        <v>2002568</v>
      </c>
      <c r="N1950" s="222" t="str">
        <f>IFERROR(__xludf.DUMMYFUNCTION("""COMPUTED_VALUE"""),"PT KOPRASI PILAR UTAMA")</f>
        <v>PT KOPRASI PILAR UTAMA</v>
      </c>
      <c r="O1950" s="222" t="str">
        <f>IFERROR(__xludf.DUMMYFUNCTION("""COMPUTED_VALUE"""),"0. DROP")</f>
        <v>0. DROP</v>
      </c>
      <c r="P1950" s="222" t="str">
        <f>IFERROR(__xludf.DUMMYFUNCTION("""COMPUTED_VALUE"""),"0.3 Feeder Full")</f>
        <v>0.3 Feeder Full</v>
      </c>
      <c r="Q1950" s="222" t="str">
        <f>IFERROR(__xludf.DUMMYFUNCTION("""COMPUTED_VALUE"""),"3/3  drop - tidak ada Alternative Solusi 18/2 drop karena feeder habis 14/1 butuh penambahan port  modul olt")</f>
        <v>3/3  drop - tidak ada Alternative Solusi 18/2 drop karena feeder habis 14/1 butuh penambahan port  modul olt</v>
      </c>
      <c r="R1950" s="228"/>
      <c r="S1950" s="11"/>
      <c r="T1950" s="11"/>
      <c r="U1950" s="11" t="str">
        <f>IFERROR(__xludf.DUMMYFUNCTION("""COMPUTED_VALUE"""),"W02-539/2025")</f>
        <v>W02-539/2025</v>
      </c>
      <c r="V1950" s="229"/>
      <c r="W1950" s="229"/>
      <c r="X1950" s="229" t="str">
        <f>IFERROR(__xludf.DUMMYFUNCTION("""COMPUTED_VALUE"""),"BELUM GOLIVE")</f>
        <v>BELUM GOLIVE</v>
      </c>
      <c r="Y1950" s="229" t="str">
        <f>IFERROR(__xludf.DUMMYFUNCTION("""COMPUTED_VALUE"""),"PORT OLT Penuh")</f>
        <v>PORT OLT Penuh</v>
      </c>
      <c r="Z1950" s="229" t="str">
        <f>IFERROR(__xludf.DUMMYFUNCTION("""COMPUTED_VALUE"""),"#N/A")</f>
        <v>#N/A</v>
      </c>
      <c r="AA1950" s="229"/>
      <c r="AB1950" s="229"/>
      <c r="AC1950" s="229"/>
      <c r="AD1950" s="232"/>
      <c r="AE1950" s="233"/>
      <c r="AF1950" s="54" t="str">
        <f>IFERROR(__xludf.DUMMYFUNCTION("""COMPUTED_VALUE"""),"Draft BA DROP")</f>
        <v>Draft BA DROP</v>
      </c>
      <c r="AG1950" s="54"/>
      <c r="AH1950" s="54"/>
      <c r="AI1950" s="55" t="str">
        <f t="shared" si="193"/>
        <v/>
      </c>
      <c r="AW1950" s="234"/>
      <c r="BP1950" s="11"/>
      <c r="BQ1950" s="11"/>
      <c r="BR1950" s="235"/>
      <c r="BV1950" s="158"/>
      <c r="BY1950" s="158"/>
      <c r="CB1950" s="158"/>
    </row>
    <row r="1951" ht="18.0" hidden="1" customHeight="1">
      <c r="A1951" s="222">
        <f>IFERROR(__xludf.DUMMYFUNCTION("""COMPUTED_VALUE"""),2026.0)</f>
        <v>2026</v>
      </c>
      <c r="B1951" s="221">
        <f>IFERROR(__xludf.DUMMYFUNCTION("""COMPUTED_VALUE"""),1.1405744E7)</f>
        <v>11405744</v>
      </c>
      <c r="C1951" s="222" t="str">
        <f>IFERROR(__xludf.DUMMYFUNCTION("""COMPUTED_VALUE"""),"MDN PT3 BJI-FMB SUMATERA UTARA_9377_new")</f>
        <v>MDN PT3 BJI-FMB SUMATERA UTARA_9377_new</v>
      </c>
      <c r="D1951" s="222" t="str">
        <f>IFERROR(__xludf.DUMMYFUNCTION("""COMPUTED_VALUE"""),"REGIONAL I")</f>
        <v>REGIONAL I</v>
      </c>
      <c r="E1951" s="222" t="str">
        <f>IFERROR(__xludf.DUMMYFUNCTION("""COMPUTED_VALUE"""),"MEDAN")</f>
        <v>MEDAN</v>
      </c>
      <c r="F1951" s="222" t="str">
        <f>IFERROR(__xludf.DUMMYFUNCTION("""COMPUTED_VALUE"""),"BJI")</f>
        <v>BJI</v>
      </c>
      <c r="G1951" s="222" t="str">
        <f>IFERROR(__xludf.DUMMYFUNCTION("""COMPUTED_VALUE"""),"SUMBAGUT")</f>
        <v>SUMBAGUT</v>
      </c>
      <c r="H1951" s="222" t="str">
        <f>IFERROR(__xludf.DUMMYFUNCTION("""COMPUTED_VALUE"""),"BINJAI")</f>
        <v>BINJAI</v>
      </c>
      <c r="I1951" s="222" t="str">
        <f>IFERROR(__xludf.DUMMYFUNCTION("""COMPUTED_VALUE"""),"Batch 2")</f>
        <v>Batch 2</v>
      </c>
      <c r="J1951" s="225">
        <f>IFERROR(__xludf.DUMMYFUNCTION("""COMPUTED_VALUE"""),2.0)</f>
        <v>2</v>
      </c>
      <c r="K1951" s="224">
        <f>IFERROR(__xludf.DUMMYFUNCTION("""COMPUTED_VALUE"""),16.0)</f>
        <v>16</v>
      </c>
      <c r="L1951" s="226">
        <f>IFERROR(__xludf.DUMMYFUNCTION("""COMPUTED_VALUE"""),360863.0)</f>
        <v>360863</v>
      </c>
      <c r="M1951" s="227">
        <f>IFERROR(__xludf.DUMMYFUNCTION("""COMPUTED_VALUE"""),5773798.0)</f>
        <v>5773798</v>
      </c>
      <c r="N1951" s="222" t="str">
        <f>IFERROR(__xludf.DUMMYFUNCTION("""COMPUTED_VALUE"""),"PT GARINDO TECHNO MANDIRI")</f>
        <v>PT GARINDO TECHNO MANDIRI</v>
      </c>
      <c r="O1951" s="222" t="str">
        <f>IFERROR(__xludf.DUMMYFUNCTION("""COMPUTED_VALUE"""),"0. DROP")</f>
        <v>0. DROP</v>
      </c>
      <c r="P1951" s="222" t="str">
        <f>IFERROR(__xludf.DUMMYFUNCTION("""COMPUTED_VALUE"""),"0.2 Tidak Dapat Izin Warga/Kades/Lurah/Developer")</f>
        <v>0.2 Tidak Dapat Izin Warga/Kades/Lurah/Developer</v>
      </c>
      <c r="Q1951" s="222" t="str">
        <f>IFERROR(__xludf.DUMMYFUNCTION("""COMPUTED_VALUE"""),"(07/01) Persiapan")</f>
        <v>(07/01) Persiapan</v>
      </c>
      <c r="R1951" s="228"/>
      <c r="S1951" s="11"/>
      <c r="T1951" s="11"/>
      <c r="U1951" s="11"/>
      <c r="V1951" s="229"/>
      <c r="W1951" s="229"/>
      <c r="X1951" s="229" t="str">
        <f>IFERROR(__xludf.DUMMYFUNCTION("""COMPUTED_VALUE"""),"BELUM GOLIVE")</f>
        <v>BELUM GOLIVE</v>
      </c>
      <c r="Y1951" s="229"/>
      <c r="Z1951" s="229" t="str">
        <f>IFERROR(__xludf.DUMMYFUNCTION("""COMPUTED_VALUE"""),"#N/A")</f>
        <v>#N/A</v>
      </c>
      <c r="AA1951" s="229"/>
      <c r="AB1951" s="229"/>
      <c r="AC1951" s="229"/>
      <c r="AD1951" s="232"/>
      <c r="AE1951" s="233"/>
      <c r="AF1951" s="54" t="str">
        <f>IFERROR(__xludf.DUMMYFUNCTION("""COMPUTED_VALUE"""),"Draft BA DROP")</f>
        <v>Draft BA DROP</v>
      </c>
      <c r="AG1951" s="54"/>
      <c r="AH1951" s="54"/>
      <c r="AI1951" s="55" t="str">
        <f t="shared" si="193"/>
        <v/>
      </c>
      <c r="AW1951" s="234"/>
      <c r="BP1951" s="11"/>
      <c r="BQ1951" s="11"/>
      <c r="BR1951" s="235"/>
      <c r="BV1951" s="158"/>
      <c r="BY1951" s="158"/>
      <c r="CB1951" s="158"/>
    </row>
    <row r="1952" ht="18.0" hidden="1" customHeight="1">
      <c r="A1952" s="222">
        <f>IFERROR(__xludf.DUMMYFUNCTION("""COMPUTED_VALUE"""),2026.0)</f>
        <v>2026</v>
      </c>
      <c r="B1952" s="221">
        <f>IFERROR(__xludf.DUMMYFUNCTION("""COMPUTED_VALUE"""),1.1380396E7)</f>
        <v>11380396</v>
      </c>
      <c r="C1952" s="222" t="str">
        <f>IFERROR(__xludf.DUMMYFUNCTION("""COMPUTED_VALUE"""),"MDN PT2 PER-FA SERDANG BEDAGAI_9327")</f>
        <v>MDN PT2 PER-FA SERDANG BEDAGAI_9327</v>
      </c>
      <c r="D1952" s="222" t="str">
        <f>IFERROR(__xludf.DUMMYFUNCTION("""COMPUTED_VALUE"""),"REGIONAL I")</f>
        <v>REGIONAL I</v>
      </c>
      <c r="E1952" s="222" t="str">
        <f>IFERROR(__xludf.DUMMYFUNCTION("""COMPUTED_VALUE"""),"MEDAN")</f>
        <v>MEDAN</v>
      </c>
      <c r="F1952" s="222" t="str">
        <f>IFERROR(__xludf.DUMMYFUNCTION("""COMPUTED_VALUE"""),"PER")</f>
        <v>PER</v>
      </c>
      <c r="G1952" s="222" t="str">
        <f>IFERROR(__xludf.DUMMYFUNCTION("""COMPUTED_VALUE"""),"SUMBAGUT")</f>
        <v>SUMBAGUT</v>
      </c>
      <c r="H1952" s="222" t="str">
        <f>IFERROR(__xludf.DUMMYFUNCTION("""COMPUTED_VALUE"""),"PEMATANG SIANTAR")</f>
        <v>PEMATANG SIANTAR</v>
      </c>
      <c r="I1952" s="222" t="str">
        <f>IFERROR(__xludf.DUMMYFUNCTION("""COMPUTED_VALUE"""),"Batch 2")</f>
        <v>Batch 2</v>
      </c>
      <c r="J1952" s="225">
        <f>IFERROR(__xludf.DUMMYFUNCTION("""COMPUTED_VALUE"""),2.0)</f>
        <v>2</v>
      </c>
      <c r="K1952" s="224">
        <f>IFERROR(__xludf.DUMMYFUNCTION("""COMPUTED_VALUE"""),16.0)</f>
        <v>16</v>
      </c>
      <c r="L1952" s="226">
        <f>IFERROR(__xludf.DUMMYFUNCTION("""COMPUTED_VALUE"""),360863.0)</f>
        <v>360863</v>
      </c>
      <c r="M1952" s="227">
        <f>IFERROR(__xludf.DUMMYFUNCTION("""COMPUTED_VALUE"""),5773798.0)</f>
        <v>5773798</v>
      </c>
      <c r="N1952" s="222" t="str">
        <f>IFERROR(__xludf.DUMMYFUNCTION("""COMPUTED_VALUE"""),"PT BONGKAR SEJATI ANDALAN")</f>
        <v>PT BONGKAR SEJATI ANDALAN</v>
      </c>
      <c r="O1952" s="222" t="str">
        <f>IFERROR(__xludf.DUMMYFUNCTION("""COMPUTED_VALUE"""),"0. DROP")</f>
        <v>0. DROP</v>
      </c>
      <c r="P1952" s="222" t="str">
        <f>IFERROR(__xludf.DUMMYFUNCTION("""COMPUTED_VALUE"""),"0.3 Feeder Full")</f>
        <v>0.3 Feeder Full</v>
      </c>
      <c r="Q1952" s="222" t="str">
        <f>IFERROR(__xludf.DUMMYFUNCTION("""COMPUTED_VALUE"""),"20/04 feeder full /penuh
12/02 D02 tdk tembus
(07/01) Persiapan")</f>
        <v>20/04 feeder full /penuh
12/02 D02 tdk tembus
(07/01) Persiapan</v>
      </c>
      <c r="R1952" s="228"/>
      <c r="S1952" s="11"/>
      <c r="T1952" s="11"/>
      <c r="U1952" s="11"/>
      <c r="V1952" s="229"/>
      <c r="W1952" s="229"/>
      <c r="X1952" s="229" t="str">
        <f>IFERROR(__xludf.DUMMYFUNCTION("""COMPUTED_VALUE"""),"BELUM GOLIVE")</f>
        <v>BELUM GOLIVE</v>
      </c>
      <c r="Y1952" s="229"/>
      <c r="Z1952" s="229" t="str">
        <f>IFERROR(__xludf.DUMMYFUNCTION("""COMPUTED_VALUE"""),"#N/A")</f>
        <v>#N/A</v>
      </c>
      <c r="AA1952" s="229"/>
      <c r="AB1952" s="229"/>
      <c r="AC1952" s="229"/>
      <c r="AD1952" s="232"/>
      <c r="AE1952" s="233"/>
      <c r="AF1952" s="54"/>
      <c r="AG1952" s="54"/>
      <c r="AH1952" s="54"/>
      <c r="AI1952" s="55" t="str">
        <f t="shared" si="193"/>
        <v/>
      </c>
      <c r="AW1952" s="234"/>
      <c r="BP1952" s="11"/>
      <c r="BQ1952" s="11"/>
      <c r="BR1952" s="235"/>
      <c r="BV1952" s="158"/>
      <c r="BY1952" s="158"/>
      <c r="CB1952" s="158"/>
    </row>
    <row r="1953" ht="18.0" hidden="1" customHeight="1">
      <c r="A1953" s="222">
        <f>IFERROR(__xludf.DUMMYFUNCTION("""COMPUTED_VALUE"""),2026.0)</f>
        <v>2026</v>
      </c>
      <c r="B1953" s="221">
        <f>IFERROR(__xludf.DUMMYFUNCTION("""COMPUTED_VALUE"""),1.1324331E7)</f>
        <v>11324331</v>
      </c>
      <c r="C1953" s="222" t="str">
        <f>IFERROR(__xludf.DUMMYFUNCTION("""COMPUTED_VALUE"""),"MDN PT3 MDC-FFG JL.SURAU")</f>
        <v>MDN PT3 MDC-FFG JL.SURAU</v>
      </c>
      <c r="D1953" s="222" t="str">
        <f>IFERROR(__xludf.DUMMYFUNCTION("""COMPUTED_VALUE"""),"REGIONAL I")</f>
        <v>REGIONAL I</v>
      </c>
      <c r="E1953" s="222" t="str">
        <f>IFERROR(__xludf.DUMMYFUNCTION("""COMPUTED_VALUE"""),"MEDAN")</f>
        <v>MEDAN</v>
      </c>
      <c r="F1953" s="222" t="str">
        <f>IFERROR(__xludf.DUMMYFUNCTION("""COMPUTED_VALUE"""),"MDC")</f>
        <v>MDC</v>
      </c>
      <c r="G1953" s="222" t="str">
        <f>IFERROR(__xludf.DUMMYFUNCTION("""COMPUTED_VALUE"""),"SUMBAGUT")</f>
        <v>SUMBAGUT</v>
      </c>
      <c r="H1953" s="222" t="str">
        <f>IFERROR(__xludf.DUMMYFUNCTION("""COMPUTED_VALUE"""),"MEDAN")</f>
        <v>MEDAN</v>
      </c>
      <c r="I1953" s="222" t="str">
        <f>IFERROR(__xludf.DUMMYFUNCTION("""COMPUTED_VALUE"""),"Batch 2")</f>
        <v>Batch 2</v>
      </c>
      <c r="J1953" s="225">
        <f>IFERROR(__xludf.DUMMYFUNCTION("""COMPUTED_VALUE"""),3.0)</f>
        <v>3</v>
      </c>
      <c r="K1953" s="224">
        <f>IFERROR(__xludf.DUMMYFUNCTION("""COMPUTED_VALUE"""),24.0)</f>
        <v>24</v>
      </c>
      <c r="L1953" s="226">
        <f>IFERROR(__xludf.DUMMYFUNCTION("""COMPUTED_VALUE"""),535013.0)</f>
        <v>535013</v>
      </c>
      <c r="M1953" s="227">
        <f>IFERROR(__xludf.DUMMYFUNCTION("""COMPUTED_VALUE"""),1.2840305E7)</f>
        <v>12840305</v>
      </c>
      <c r="N1953" s="222" t="str">
        <f>IFERROR(__xludf.DUMMYFUNCTION("""COMPUTED_VALUE"""),"PT BENWA  MITRA PRATAMA")</f>
        <v>PT BENWA  MITRA PRATAMA</v>
      </c>
      <c r="O1953" s="222" t="str">
        <f>IFERROR(__xludf.DUMMYFUNCTION("""COMPUTED_VALUE"""),"2. DONE AANWIJZING")</f>
        <v>2. DONE AANWIJZING</v>
      </c>
      <c r="P1953" s="222" t="str">
        <f>IFERROR(__xludf.DUMMYFUNCTION("""COMPUTED_VALUE"""),"2.10 Kendala - Feeder Rusak")</f>
        <v>2.10 Kendala - Feeder Rusak</v>
      </c>
      <c r="Q1953" s="222" t="str">
        <f>IFERROR(__xludf.DUMMYFUNCTION("""COMPUTED_VALUE"""),"08/03 Feeder Redti 5/11 Feeder Habis
15/09 proses aanwijzing")</f>
        <v>08/03 Feeder Redti 5/11 Feeder Habis
15/09 proses aanwijzing</v>
      </c>
      <c r="R1953" s="228"/>
      <c r="S1953" s="11"/>
      <c r="T1953" s="11"/>
      <c r="U1953" s="11"/>
      <c r="V1953" s="229"/>
      <c r="W1953" s="229"/>
      <c r="X1953" s="229" t="str">
        <f>IFERROR(__xludf.DUMMYFUNCTION("""COMPUTED_VALUE"""),"BELUM GOLIVE")</f>
        <v>BELUM GOLIVE</v>
      </c>
      <c r="Y1953" s="229"/>
      <c r="Z1953" s="229" t="str">
        <f>IFERROR(__xludf.DUMMYFUNCTION("""COMPUTED_VALUE"""),"#N/A")</f>
        <v>#N/A</v>
      </c>
      <c r="AA1953" s="229"/>
      <c r="AB1953" s="229"/>
      <c r="AC1953" s="229"/>
      <c r="AD1953" s="232"/>
      <c r="AE1953" s="233"/>
      <c r="AF1953" s="54"/>
      <c r="AG1953" s="54"/>
      <c r="AH1953" s="54"/>
      <c r="AI1953" s="55" t="str">
        <f t="shared" si="193"/>
        <v/>
      </c>
      <c r="AW1953" s="234"/>
      <c r="BP1953" s="11"/>
      <c r="BQ1953" s="11"/>
      <c r="BR1953" s="235"/>
      <c r="BV1953" s="158"/>
      <c r="BY1953" s="158"/>
      <c r="CB1953" s="158"/>
    </row>
    <row r="1954" ht="18.0" hidden="1" customHeight="1">
      <c r="A1954" s="222">
        <f>IFERROR(__xludf.DUMMYFUNCTION("""COMPUTED_VALUE"""),2026.0)</f>
        <v>2026</v>
      </c>
      <c r="B1954" s="221">
        <f>IFERROR(__xludf.DUMMYFUNCTION("""COMPUTED_VALUE"""),1.2496166E7)</f>
        <v>12496166</v>
      </c>
      <c r="C1954" s="222" t="str">
        <f>IFERROR(__xludf.DUMMYFUNCTION("""COMPUTED_VALUE"""),"MDN 250_1556_1613")</f>
        <v>MDN 250_1556_1613</v>
      </c>
      <c r="D1954" s="222" t="str">
        <f>IFERROR(__xludf.DUMMYFUNCTION("""COMPUTED_VALUE"""),"REGIONAL I")</f>
        <v>REGIONAL I</v>
      </c>
      <c r="E1954" s="222" t="str">
        <f>IFERROR(__xludf.DUMMYFUNCTION("""COMPUTED_VALUE"""),"MEDAN")</f>
        <v>MEDAN</v>
      </c>
      <c r="F1954" s="222" t="str">
        <f>IFERROR(__xludf.DUMMYFUNCTION("""COMPUTED_VALUE"""),"TTG")</f>
        <v>TTG</v>
      </c>
      <c r="G1954" s="222" t="str">
        <f>IFERROR(__xludf.DUMMYFUNCTION("""COMPUTED_VALUE"""),"SUMBAGUT")</f>
        <v>SUMBAGUT</v>
      </c>
      <c r="H1954" s="222" t="str">
        <f>IFERROR(__xludf.DUMMYFUNCTION("""COMPUTED_VALUE"""),"MEDAN")</f>
        <v>MEDAN</v>
      </c>
      <c r="I1954" s="222" t="str">
        <f>IFERROR(__xludf.DUMMYFUNCTION("""COMPUTED_VALUE"""),"Batch 2")</f>
        <v>Batch 2</v>
      </c>
      <c r="J1954" s="225">
        <f>IFERROR(__xludf.DUMMYFUNCTION("""COMPUTED_VALUE"""),7.0)</f>
        <v>7</v>
      </c>
      <c r="K1954" s="224">
        <f>IFERROR(__xludf.DUMMYFUNCTION("""COMPUTED_VALUE"""),56.0)</f>
        <v>56</v>
      </c>
      <c r="L1954" s="226">
        <f>IFERROR(__xludf.DUMMYFUNCTION("""COMPUTED_VALUE"""),239926.0)</f>
        <v>239926</v>
      </c>
      <c r="M1954" s="227">
        <f>IFERROR(__xludf.DUMMYFUNCTION("""COMPUTED_VALUE"""),1.343584E7)</f>
        <v>13435840</v>
      </c>
      <c r="N1954" s="222" t="str">
        <f>IFERROR(__xludf.DUMMYFUNCTION("""COMPUTED_VALUE"""),"SWAKELOLA")</f>
        <v>SWAKELOLA</v>
      </c>
      <c r="O1954" s="222" t="str">
        <f>IFERROR(__xludf.DUMMYFUNCTION("""COMPUTED_VALUE"""),"0. DROP")</f>
        <v>0. DROP</v>
      </c>
      <c r="P1954" s="222" t="str">
        <f>IFERROR(__xludf.DUMMYFUNCTION("""COMPUTED_VALUE"""),"0.3 Feeder Full")</f>
        <v>0.3 Feeder Full</v>
      </c>
      <c r="Q1954" s="222" t="str">
        <f>IFERROR(__xludf.DUMMYFUNCTION("""COMPUTED_VALUE"""),"08/03 Feeder Penuh (07/01) Persiapan")</f>
        <v>08/03 Feeder Penuh (07/01) Persiapan</v>
      </c>
      <c r="R1954" s="228"/>
      <c r="S1954" s="11"/>
      <c r="T1954" s="11"/>
      <c r="U1954" s="11"/>
      <c r="V1954" s="229"/>
      <c r="W1954" s="229"/>
      <c r="X1954" s="229" t="str">
        <f>IFERROR(__xludf.DUMMYFUNCTION("""COMPUTED_VALUE"""),"BELUM GOLIVE")</f>
        <v>BELUM GOLIVE</v>
      </c>
      <c r="Y1954" s="229"/>
      <c r="Z1954" s="229" t="str">
        <f>IFERROR(__xludf.DUMMYFUNCTION("""COMPUTED_VALUE"""),"#N/A")</f>
        <v>#N/A</v>
      </c>
      <c r="AA1954" s="229"/>
      <c r="AB1954" s="229"/>
      <c r="AC1954" s="229"/>
      <c r="AD1954" s="232"/>
      <c r="AE1954" s="233"/>
      <c r="AF1954" s="54"/>
      <c r="AG1954" s="54"/>
      <c r="AH1954" s="54"/>
      <c r="AI1954" s="55" t="str">
        <f t="shared" si="193"/>
        <v/>
      </c>
      <c r="AW1954" s="234"/>
      <c r="BP1954" s="11"/>
      <c r="BQ1954" s="11"/>
      <c r="BR1954" s="235"/>
      <c r="BV1954" s="158"/>
      <c r="BY1954" s="158"/>
      <c r="CB1954" s="158"/>
    </row>
    <row r="1955" ht="18.0" hidden="1" customHeight="1">
      <c r="A1955" s="222">
        <f>IFERROR(__xludf.DUMMYFUNCTION("""COMPUTED_VALUE"""),2026.0)</f>
        <v>2026</v>
      </c>
      <c r="B1955" s="221">
        <f>IFERROR(__xludf.DUMMYFUNCTION("""COMPUTED_VALUE"""),1.1535984E7)</f>
        <v>11535984</v>
      </c>
      <c r="C1955" s="222" t="str">
        <f>IFERROR(__xludf.DUMMYFUNCTION("""COMPUTED_VALUE"""),"MDN PT3 SPM-FBY JL.TURI GG.LANGSAT")</f>
        <v>MDN PT3 SPM-FBY JL.TURI GG.LANGSAT</v>
      </c>
      <c r="D1955" s="222" t="str">
        <f>IFERROR(__xludf.DUMMYFUNCTION("""COMPUTED_VALUE"""),"REGIONAL I")</f>
        <v>REGIONAL I</v>
      </c>
      <c r="E1955" s="222" t="str">
        <f>IFERROR(__xludf.DUMMYFUNCTION("""COMPUTED_VALUE"""),"MEDAN")</f>
        <v>MEDAN</v>
      </c>
      <c r="F1955" s="222" t="str">
        <f>IFERROR(__xludf.DUMMYFUNCTION("""COMPUTED_VALUE"""),"SPM")</f>
        <v>SPM</v>
      </c>
      <c r="G1955" s="222" t="str">
        <f>IFERROR(__xludf.DUMMYFUNCTION("""COMPUTED_VALUE"""),"SUMBAGUT")</f>
        <v>SUMBAGUT</v>
      </c>
      <c r="H1955" s="222" t="str">
        <f>IFERROR(__xludf.DUMMYFUNCTION("""COMPUTED_VALUE"""),"MEDAN")</f>
        <v>MEDAN</v>
      </c>
      <c r="I1955" s="222" t="str">
        <f>IFERROR(__xludf.DUMMYFUNCTION("""COMPUTED_VALUE"""),"Batch 2")</f>
        <v>Batch 2</v>
      </c>
      <c r="J1955" s="225">
        <f>IFERROR(__xludf.DUMMYFUNCTION("""COMPUTED_VALUE"""),3.0)</f>
        <v>3</v>
      </c>
      <c r="K1955" s="224">
        <f>IFERROR(__xludf.DUMMYFUNCTION("""COMPUTED_VALUE"""),24.0)</f>
        <v>24</v>
      </c>
      <c r="L1955" s="226">
        <f>IFERROR(__xludf.DUMMYFUNCTION("""COMPUTED_VALUE"""),361717.0)</f>
        <v>361717</v>
      </c>
      <c r="M1955" s="227">
        <f>IFERROR(__xludf.DUMMYFUNCTION("""COMPUTED_VALUE"""),8681186.0)</f>
        <v>8681186</v>
      </c>
      <c r="N1955" s="222" t="str">
        <f>IFERROR(__xludf.DUMMYFUNCTION("""COMPUTED_VALUE"""),"PT WALET SOLUSINDO")</f>
        <v>PT WALET SOLUSINDO</v>
      </c>
      <c r="O1955" s="222" t="str">
        <f>IFERROR(__xludf.DUMMYFUNCTION("""COMPUTED_VALUE"""),"0. DROP")</f>
        <v>0. DROP</v>
      </c>
      <c r="P1955" s="222" t="str">
        <f>IFERROR(__xludf.DUMMYFUNCTION("""COMPUTED_VALUE"""),"0.3 Feeder Full")</f>
        <v>0.3 Feeder Full</v>
      </c>
      <c r="Q1955" s="222" t="str">
        <f>IFERROR(__xludf.DUMMYFUNCTION("""COMPUTED_VALUE"""),"12/02 Feeder habis 21/01 Done Order, lnjut Aanwidzing")</f>
        <v>12/02 Feeder habis 21/01 Done Order, lnjut Aanwidzing</v>
      </c>
      <c r="R1955" s="228"/>
      <c r="S1955" s="11"/>
      <c r="T1955" s="11"/>
      <c r="U1955" s="11"/>
      <c r="V1955" s="229"/>
      <c r="W1955" s="229"/>
      <c r="X1955" s="229" t="str">
        <f>IFERROR(__xludf.DUMMYFUNCTION("""COMPUTED_VALUE"""),"BELUM GOLIVE")</f>
        <v>BELUM GOLIVE</v>
      </c>
      <c r="Y1955" s="229"/>
      <c r="Z1955" s="229" t="str">
        <f>IFERROR(__xludf.DUMMYFUNCTION("""COMPUTED_VALUE"""),"#N/A")</f>
        <v>#N/A</v>
      </c>
      <c r="AA1955" s="229"/>
      <c r="AB1955" s="229"/>
      <c r="AC1955" s="229"/>
      <c r="AD1955" s="232"/>
      <c r="AE1955" s="233"/>
      <c r="AF1955" s="54"/>
      <c r="AG1955" s="54"/>
      <c r="AH1955" s="54"/>
      <c r="AI1955" s="55" t="str">
        <f t="shared" si="193"/>
        <v/>
      </c>
      <c r="AW1955" s="234"/>
      <c r="BP1955" s="11"/>
      <c r="BQ1955" s="11"/>
      <c r="BR1955" s="235"/>
      <c r="BV1955" s="158"/>
      <c r="BY1955" s="158"/>
      <c r="CB1955" s="158"/>
    </row>
    <row r="1956" ht="18.0" hidden="1" customHeight="1">
      <c r="A1956" s="222">
        <f>IFERROR(__xludf.DUMMYFUNCTION("""COMPUTED_VALUE"""),2026.0)</f>
        <v>2026</v>
      </c>
      <c r="B1956" s="221">
        <f>IFERROR(__xludf.DUMMYFUNCTION("""COMPUTED_VALUE"""),1.1407631E7)</f>
        <v>11407631</v>
      </c>
      <c r="C1956" s="222" t="str">
        <f>IFERROR(__xludf.DUMMYFUNCTION("""COMPUTED_VALUE"""),"JBI-PT3+UPGRADE ODC-MBN-FL-MARGA MULYA 2")</f>
        <v>JBI-PT3+UPGRADE ODC-MBN-FL-MARGA MULYA 2</v>
      </c>
      <c r="D1956" s="222" t="str">
        <f>IFERROR(__xludf.DUMMYFUNCTION("""COMPUTED_VALUE"""),"REGIONAL I")</f>
        <v>REGIONAL I</v>
      </c>
      <c r="E1956" s="222" t="str">
        <f>IFERROR(__xludf.DUMMYFUNCTION("""COMPUTED_VALUE"""),"JAMBI")</f>
        <v>JAMBI</v>
      </c>
      <c r="F1956" s="222" t="str">
        <f>IFERROR(__xludf.DUMMYFUNCTION("""COMPUTED_VALUE"""),"MBN")</f>
        <v>MBN</v>
      </c>
      <c r="G1956" s="222" t="str">
        <f>IFERROR(__xludf.DUMMYFUNCTION("""COMPUTED_VALUE"""),"SUMBAGSEL")</f>
        <v>SUMBAGSEL</v>
      </c>
      <c r="H1956" s="222" t="str">
        <f>IFERROR(__xludf.DUMMYFUNCTION("""COMPUTED_VALUE"""),"JAMBI")</f>
        <v>JAMBI</v>
      </c>
      <c r="I1956" s="222" t="str">
        <f>IFERROR(__xludf.DUMMYFUNCTION("""COMPUTED_VALUE"""),"Batch 2")</f>
        <v>Batch 2</v>
      </c>
      <c r="J1956" s="225">
        <f>IFERROR(__xludf.DUMMYFUNCTION("""COMPUTED_VALUE"""),37.0)</f>
        <v>37</v>
      </c>
      <c r="K1956" s="224">
        <f>IFERROR(__xludf.DUMMYFUNCTION("""COMPUTED_VALUE"""),296.0)</f>
        <v>296</v>
      </c>
      <c r="L1956" s="226">
        <f>IFERROR(__xludf.DUMMYFUNCTION("""COMPUTED_VALUE"""),1495207.0)</f>
        <v>1495207</v>
      </c>
      <c r="M1956" s="227">
        <f>IFERROR(__xludf.DUMMYFUNCTION("""COMPUTED_VALUE"""),4.42581186E8)</f>
        <v>442581186</v>
      </c>
      <c r="N1956" s="222" t="str">
        <f>IFERROR(__xludf.DUMMYFUNCTION("""COMPUTED_VALUE"""),"PT ALAM UTAMA MULIA")</f>
        <v>PT ALAM UTAMA MULIA</v>
      </c>
      <c r="O1956" s="222" t="str">
        <f>IFERROR(__xludf.DUMMYFUNCTION("""COMPUTED_VALUE"""),"0. DROP")</f>
        <v>0. DROP</v>
      </c>
      <c r="P1956" s="222" t="str">
        <f>IFERROR(__xludf.DUMMYFUNCTION("""COMPUTED_VALUE"""),"0.2 Tidak Dapat Izin Warga/Kades/Lurah/Developer")</f>
        <v>0.2 Tidak Dapat Izin Warga/Kades/Lurah/Developer</v>
      </c>
      <c r="Q1956" s="222" t="str">
        <f>IFERROR(__xludf.DUMMYFUNCTION("""COMPUTED_VALUE"""),"(03/11) Perizinan Kades meminta kerjasama BUMDES terkait penjualan indihome dan menunggu penjadwalan ulang dr Tsel untuk bertemu kades nya (15/10) UPLINK MINI OLT SUNGAI BAHAR BLM READY (08/10) Done Aanwijzing 06/10 Penjadwalan aanwijzing (16/09) Mapping "&amp;"mitra")</f>
        <v>(03/11) Perizinan Kades meminta kerjasama BUMDES terkait penjualan indihome dan menunggu penjadwalan ulang dr Tsel untuk bertemu kades nya (15/10) UPLINK MINI OLT SUNGAI BAHAR BLM READY (08/10) Done Aanwijzing 06/10 Penjadwalan aanwijzing (16/09) Mapping mitra</v>
      </c>
      <c r="R1956" s="228"/>
      <c r="S1956" s="11"/>
      <c r="T1956" s="11"/>
      <c r="U1956" s="11"/>
      <c r="V1956" s="229"/>
      <c r="W1956" s="229"/>
      <c r="X1956" s="229" t="str">
        <f>IFERROR(__xludf.DUMMYFUNCTION("""COMPUTED_VALUE"""),"BELUM GOLIVE")</f>
        <v>BELUM GOLIVE</v>
      </c>
      <c r="Y1956" s="229"/>
      <c r="Z1956" s="229"/>
      <c r="AA1956" s="229"/>
      <c r="AB1956" s="229"/>
      <c r="AC1956" s="229"/>
      <c r="AD1956" s="232"/>
      <c r="AE1956" s="233"/>
      <c r="AF1956" s="54" t="str">
        <f>IFERROR(__xludf.DUMMYFUNCTION("""COMPUTED_VALUE"""),"Draft BA DROP")</f>
        <v>Draft BA DROP</v>
      </c>
      <c r="AG1956" s="54"/>
      <c r="AH1956" s="54"/>
      <c r="AI1956" s="55" t="str">
        <f t="shared" si="193"/>
        <v/>
      </c>
      <c r="AW1956" s="234"/>
      <c r="BP1956" s="11"/>
      <c r="BQ1956" s="11"/>
      <c r="BR1956" s="235"/>
      <c r="BV1956" s="158"/>
      <c r="BY1956" s="158"/>
      <c r="CB1956" s="158"/>
    </row>
    <row r="1957" ht="18.0" hidden="1" customHeight="1">
      <c r="A1957" s="222">
        <f>IFERROR(__xludf.DUMMYFUNCTION("""COMPUTED_VALUE"""),2026.0)</f>
        <v>2026</v>
      </c>
      <c r="B1957" s="221">
        <f>IFERROR(__xludf.DUMMYFUNCTION("""COMPUTED_VALUE"""),1.2108768E7)</f>
        <v>12108768</v>
      </c>
      <c r="C1957" s="222" t="str">
        <f>IFERROR(__xludf.DUMMYFUNCTION("""COMPUTED_VALUE"""),"LPG PT3 JPP PERUM RAJABASA REGENCY KDT")</f>
        <v>LPG PT3 JPP PERUM RAJABASA REGENCY KDT</v>
      </c>
      <c r="D1957" s="222" t="str">
        <f>IFERROR(__xludf.DUMMYFUNCTION("""COMPUTED_VALUE"""),"REGIONAL I")</f>
        <v>REGIONAL I</v>
      </c>
      <c r="E1957" s="222" t="str">
        <f>IFERROR(__xludf.DUMMYFUNCTION("""COMPUTED_VALUE"""),"LAMPUNG")</f>
        <v>LAMPUNG</v>
      </c>
      <c r="F1957" s="222" t="str">
        <f>IFERROR(__xludf.DUMMYFUNCTION("""COMPUTED_VALUE"""),"KDT")</f>
        <v>KDT</v>
      </c>
      <c r="G1957" s="222" t="str">
        <f>IFERROR(__xludf.DUMMYFUNCTION("""COMPUTED_VALUE"""),"SUMBAGSEL")</f>
        <v>SUMBAGSEL</v>
      </c>
      <c r="H1957" s="222" t="str">
        <f>IFERROR(__xludf.DUMMYFUNCTION("""COMPUTED_VALUE"""),"LAMPUNG")</f>
        <v>LAMPUNG</v>
      </c>
      <c r="I1957" s="222" t="str">
        <f>IFERROR(__xludf.DUMMYFUNCTION("""COMPUTED_VALUE"""),"Batch 2")</f>
        <v>Batch 2</v>
      </c>
      <c r="J1957" s="225">
        <f>IFERROR(__xludf.DUMMYFUNCTION("""COMPUTED_VALUE"""),7.0)</f>
        <v>7</v>
      </c>
      <c r="K1957" s="224">
        <f>IFERROR(__xludf.DUMMYFUNCTION("""COMPUTED_VALUE"""),56.0)</f>
        <v>56</v>
      </c>
      <c r="L1957" s="226">
        <f>IFERROR(__xludf.DUMMYFUNCTION("""COMPUTED_VALUE"""),228254.0)</f>
        <v>228254</v>
      </c>
      <c r="M1957" s="227">
        <f>IFERROR(__xludf.DUMMYFUNCTION("""COMPUTED_VALUE"""),1.278222E7)</f>
        <v>12782220</v>
      </c>
      <c r="N1957" s="222" t="str">
        <f>IFERROR(__xludf.DUMMYFUNCTION("""COMPUTED_VALUE"""),"PT BANGTELINDO")</f>
        <v>PT BANGTELINDO</v>
      </c>
      <c r="O1957" s="222" t="str">
        <f>IFERROR(__xludf.DUMMYFUNCTION("""COMPUTED_VALUE"""),"7. GOLIVE")</f>
        <v>7. GOLIVE</v>
      </c>
      <c r="P1957" s="222" t="str">
        <f>IFERROR(__xludf.DUMMYFUNCTION("""COMPUTED_VALUE"""),"7.2 Golive Full / OA / DONE OTB")</f>
        <v>7.2 Golive Full / OA / DONE OTB</v>
      </c>
      <c r="Q1957" s="222" t="str">
        <f>IFERROR(__xludf.DUMMYFUNCTION("""COMPUTED_VALUE"""),"28/1 Intalasi tanem tiang 
23/1 plan matdel 26/1
21/progres cek eletrical odc dan olt
19/1 proses pengacekan core dan perizinan")</f>
        <v>28/1 Intalasi tanem tiang 
23/1 plan matdel 26/1
21/progres cek eletrical odc dan olt
19/1 proses pengacekan core dan perizinan</v>
      </c>
      <c r="R1957" s="228"/>
      <c r="S1957" s="11"/>
      <c r="T1957" s="11"/>
      <c r="U1957" s="11" t="str">
        <f>IFERROR(__xludf.DUMMYFUNCTION("""COMPUTED_VALUE"""),"TIF-1908/2026")</f>
        <v>TIF-1908/2026</v>
      </c>
      <c r="V1957" s="229"/>
      <c r="W1957" s="229"/>
      <c r="X1957" s="229" t="str">
        <f>IFERROR(__xludf.DUMMYFUNCTION("""COMPUTED_VALUE"""),"GOLIVE")</f>
        <v>GOLIVE</v>
      </c>
      <c r="Y1957" s="229" t="str">
        <f>IFERROR(__xludf.DUMMYFUNCTION("""COMPUTED_VALUE"""),"DONE")</f>
        <v>DONE</v>
      </c>
      <c r="Z1957" s="229" t="str">
        <f>IFERROR(__xludf.DUMMYFUNCTION("""COMPUTED_VALUE"""),"#N/A")</f>
        <v>#N/A</v>
      </c>
      <c r="AA1957" s="229">
        <f>IFERROR(__xludf.DUMMYFUNCTION("""COMPUTED_VALUE"""),7.0)</f>
        <v>7</v>
      </c>
      <c r="AB1957" s="229"/>
      <c r="AC1957" s="229" t="str">
        <f>IFERROR(__xludf.DUMMYFUNCTION("""COMPUTED_VALUE"""),"8703051#8703057")</f>
        <v>8703051#8703057</v>
      </c>
      <c r="AD1957" s="232">
        <f>IFERROR(__xludf.DUMMYFUNCTION("""COMPUTED_VALUE"""),56.0)</f>
        <v>56</v>
      </c>
      <c r="AE1957" s="233">
        <f>IFERROR(__xludf.DUMMYFUNCTION("""COMPUTED_VALUE"""),46052.0)</f>
        <v>46052</v>
      </c>
      <c r="AF1957" s="54"/>
      <c r="AG1957" s="54"/>
      <c r="AH1957" s="54"/>
      <c r="AI1957" s="55" t="str">
        <f t="shared" si="193"/>
        <v/>
      </c>
      <c r="AW1957" s="234"/>
      <c r="BP1957" s="11"/>
      <c r="BQ1957" s="11"/>
      <c r="BR1957" s="235"/>
      <c r="BV1957" s="158"/>
      <c r="BY1957" s="158"/>
      <c r="CB1957" s="158"/>
    </row>
    <row r="1958" ht="18.0" customHeight="1">
      <c r="A1958" s="222">
        <f>IFERROR(__xludf.DUMMYFUNCTION("""COMPUTED_VALUE"""),2026.0)</f>
        <v>2026</v>
      </c>
      <c r="B1958" s="221">
        <f>IFERROR(__xludf.DUMMYFUNCTION("""COMPUTED_VALUE"""),1.1449889E7)</f>
        <v>11449889</v>
      </c>
      <c r="C1958" s="222" t="str">
        <f>IFERROR(__xludf.DUMMYFUNCTION("""COMPUTED_VALUE"""),"SMB PASAMAN BARAT_10064")</f>
        <v>SMB PASAMAN BARAT_10064</v>
      </c>
      <c r="D1958" s="222" t="str">
        <f>IFERROR(__xludf.DUMMYFUNCTION("""COMPUTED_VALUE"""),"REGIONAL I")</f>
        <v>REGIONAL I</v>
      </c>
      <c r="E1958" s="222" t="str">
        <f>IFERROR(__xludf.DUMMYFUNCTION("""COMPUTED_VALUE"""),"SUMBAR")</f>
        <v>SUMBAR</v>
      </c>
      <c r="F1958" s="222" t="str">
        <f>IFERROR(__xludf.DUMMYFUNCTION("""COMPUTED_VALUE"""),"SPE")</f>
        <v>SPE</v>
      </c>
      <c r="G1958" s="222" t="str">
        <f>IFERROR(__xludf.DUMMYFUNCTION("""COMPUTED_VALUE"""),"SUMBAGTENG")</f>
        <v>SUMBAGTENG</v>
      </c>
      <c r="H1958" s="222" t="str">
        <f>IFERROR(__xludf.DUMMYFUNCTION("""COMPUTED_VALUE"""),"BUKIT TINGGI")</f>
        <v>BUKIT TINGGI</v>
      </c>
      <c r="I1958" s="222" t="str">
        <f>IFERROR(__xludf.DUMMYFUNCTION("""COMPUTED_VALUE"""),"Batch 2")</f>
        <v>Batch 2</v>
      </c>
      <c r="J1958" s="225">
        <f>IFERROR(__xludf.DUMMYFUNCTION("""COMPUTED_VALUE"""),2.0)</f>
        <v>2</v>
      </c>
      <c r="K1958" s="224">
        <f>IFERROR(__xludf.DUMMYFUNCTION("""COMPUTED_VALUE"""),16.0)</f>
        <v>16</v>
      </c>
      <c r="L1958" s="226">
        <f>IFERROR(__xludf.DUMMYFUNCTION("""COMPUTED_VALUE"""),226821.0)</f>
        <v>226821</v>
      </c>
      <c r="M1958" s="227">
        <f>IFERROR(__xludf.DUMMYFUNCTION("""COMPUTED_VALUE"""),3629131.0)</f>
        <v>3629131</v>
      </c>
      <c r="N1958" s="222" t="str">
        <f>IFERROR(__xludf.DUMMYFUNCTION("""COMPUTED_VALUE"""),"PT TIGA AKSES MANDIRI")</f>
        <v>PT TIGA AKSES MANDIRI</v>
      </c>
      <c r="O1958" s="222" t="str">
        <f>IFERROR(__xludf.DUMMYFUNCTION("""COMPUTED_VALUE"""),"2. DONE AANWIJZING")</f>
        <v>2. DONE AANWIJZING</v>
      </c>
      <c r="P1958" s="222" t="str">
        <f>IFERROR(__xludf.DUMMYFUNCTION("""COMPUTED_VALUE"""),"2.9 Kendala - Distribusi Penuh / Rusak")</f>
        <v>2.9 Kendala - Distribusi Penuh / Rusak</v>
      </c>
      <c r="Q1958" s="222" t="str">
        <f>IFERROR(__xludf.DUMMYFUNCTION("""COMPUTED_VALUE"""),"(26/01) kendala distribusi penuh.  DIST 2 FULL, BUTUH NEW DIST CPP 3,4")</f>
        <v>(26/01) kendala distribusi penuh.  DIST 2 FULL, BUTUH NEW DIST CPP 3,4</v>
      </c>
      <c r="R1958" s="228"/>
      <c r="S1958" s="11"/>
      <c r="T1958" s="11"/>
      <c r="U1958" s="11"/>
      <c r="V1958" s="229"/>
      <c r="W1958" s="229"/>
      <c r="X1958" s="229" t="str">
        <f>IFERROR(__xludf.DUMMYFUNCTION("""COMPUTED_VALUE"""),"BELUM GOLIVE")</f>
        <v>BELUM GOLIVE</v>
      </c>
      <c r="Y1958" s="229"/>
      <c r="Z1958" s="229" t="str">
        <f>IFERROR(__xludf.DUMMYFUNCTION("""COMPUTED_VALUE"""),"#N/A")</f>
        <v>#N/A</v>
      </c>
      <c r="AA1958" s="229"/>
      <c r="AB1958" s="229"/>
      <c r="AC1958" s="229"/>
      <c r="AD1958" s="232"/>
      <c r="AE1958" s="233"/>
      <c r="AF1958" s="54"/>
      <c r="AG1958" s="54"/>
      <c r="AH1958" s="54"/>
      <c r="AI1958" s="55" t="str">
        <f t="shared" si="193"/>
        <v/>
      </c>
      <c r="AW1958" s="234"/>
      <c r="BP1958" s="11"/>
      <c r="BQ1958" s="11"/>
      <c r="BR1958" s="235"/>
      <c r="BV1958" s="158"/>
      <c r="BY1958" s="158"/>
      <c r="CB1958" s="158"/>
    </row>
    <row r="1959" ht="18.0" customHeight="1">
      <c r="A1959" s="222">
        <f>IFERROR(__xludf.DUMMYFUNCTION("""COMPUTED_VALUE"""),2026.0)</f>
        <v>2026</v>
      </c>
      <c r="B1959" s="221">
        <f>IFERROR(__xludf.DUMMYFUNCTION("""COMPUTED_VALUE"""),1.101432E7)</f>
        <v>11014320</v>
      </c>
      <c r="C1959" s="222" t="str">
        <f>IFERROR(__xludf.DUMMYFUNCTION("""COMPUTED_VALUE"""),"SMB P7I3 Muaro Bodi SJJ")</f>
        <v>SMB P7I3 Muaro Bodi SJJ</v>
      </c>
      <c r="D1959" s="222" t="str">
        <f>IFERROR(__xludf.DUMMYFUNCTION("""COMPUTED_VALUE"""),"REGIONAL I")</f>
        <v>REGIONAL I</v>
      </c>
      <c r="E1959" s="222" t="str">
        <f>IFERROR(__xludf.DUMMYFUNCTION("""COMPUTED_VALUE"""),"SUMBAR")</f>
        <v>SUMBAR</v>
      </c>
      <c r="F1959" s="222" t="str">
        <f>IFERROR(__xludf.DUMMYFUNCTION("""COMPUTED_VALUE"""),"SJJ")</f>
        <v>SJJ</v>
      </c>
      <c r="G1959" s="222" t="str">
        <f>IFERROR(__xludf.DUMMYFUNCTION("""COMPUTED_VALUE"""),"SUMBAGTENG")</f>
        <v>SUMBAGTENG</v>
      </c>
      <c r="H1959" s="222" t="str">
        <f>IFERROR(__xludf.DUMMYFUNCTION("""COMPUTED_VALUE"""),"PADANG")</f>
        <v>PADANG</v>
      </c>
      <c r="I1959" s="222" t="str">
        <f>IFERROR(__xludf.DUMMYFUNCTION("""COMPUTED_VALUE"""),"Batch 2")</f>
        <v>Batch 2</v>
      </c>
      <c r="J1959" s="225">
        <f>IFERROR(__xludf.DUMMYFUNCTION("""COMPUTED_VALUE"""),5.0)</f>
        <v>5</v>
      </c>
      <c r="K1959" s="224">
        <f>IFERROR(__xludf.DUMMYFUNCTION("""COMPUTED_VALUE"""),40.0)</f>
        <v>40</v>
      </c>
      <c r="L1959" s="226">
        <f>IFERROR(__xludf.DUMMYFUNCTION("""COMPUTED_VALUE"""),225388.0)</f>
        <v>225388</v>
      </c>
      <c r="M1959" s="227">
        <f>IFERROR(__xludf.DUMMYFUNCTION("""COMPUTED_VALUE"""),9015517.0)</f>
        <v>9015517</v>
      </c>
      <c r="N1959" s="222" t="str">
        <f>IFERROR(__xludf.DUMMYFUNCTION("""COMPUTED_VALUE"""),"PT TANJUNG PUTRA PRIMA")</f>
        <v>PT TANJUNG PUTRA PRIMA</v>
      </c>
      <c r="O1959" s="222" t="str">
        <f>IFERROR(__xludf.DUMMYFUNCTION("""COMPUTED_VALUE"""),"8. UJI TERIMA")</f>
        <v>8. UJI TERIMA</v>
      </c>
      <c r="P1959" s="222" t="str">
        <f>IFERROR(__xludf.DUMMYFUNCTION("""COMPUTED_VALUE"""),"8.1 Proses UT")</f>
        <v>8.1 Proses UT</v>
      </c>
      <c r="Q1959" s="222" t="str">
        <f>IFERROR(__xludf.DUMMYFUNCTION("""COMPUTED_VALUE"""),"(07/01) Persiapan")</f>
        <v>(07/01) Persiapan</v>
      </c>
      <c r="R1959" s="228"/>
      <c r="S1959" s="11"/>
      <c r="T1959" s="11"/>
      <c r="U1959" s="11" t="str">
        <f>IFERROR(__xludf.DUMMYFUNCTION("""COMPUTED_VALUE"""),"W10-1788/2025 25KT03R158-0577")</f>
        <v>W10-1788/2025 25KT03R158-0577</v>
      </c>
      <c r="V1959" s="229" t="str">
        <f>IFERROR(__xludf.DUMMYFUNCTION("""COMPUTED_VALUE"""),"FAISAL NURHAMDI")</f>
        <v>FAISAL NURHAMDI</v>
      </c>
      <c r="W1959" s="229" t="str">
        <f>IFERROR(__xludf.DUMMYFUNCTION("""COMPUTED_VALUE"""),"MELKO NARWADI")</f>
        <v>MELKO NARWADI</v>
      </c>
      <c r="X1959" s="229" t="str">
        <f>IFERROR(__xludf.DUMMYFUNCTION("""COMPUTED_VALUE"""),"GOLIVE")</f>
        <v>GOLIVE</v>
      </c>
      <c r="Y1959" s="229" t="str">
        <f>IFERROR(__xludf.DUMMYFUNCTION("""COMPUTED_VALUE"""),"DONE")</f>
        <v>DONE</v>
      </c>
      <c r="Z1959" s="229" t="str">
        <f>IFERROR(__xludf.DUMMYFUNCTION("""COMPUTED_VALUE"""),"#N/A")</f>
        <v>#N/A</v>
      </c>
      <c r="AA1959" s="229">
        <f>IFERROR(__xludf.DUMMYFUNCTION("""COMPUTED_VALUE"""),4.0)</f>
        <v>4</v>
      </c>
      <c r="AB1959" s="229"/>
      <c r="AC1959" s="229" t="str">
        <f>IFERROR(__xludf.DUMMYFUNCTION("""COMPUTED_VALUE"""),"8940354#8940359")</f>
        <v>8940354#8940359</v>
      </c>
      <c r="AD1959" s="232">
        <f>IFERROR(__xludf.DUMMYFUNCTION("""COMPUTED_VALUE"""),32.0)</f>
        <v>32</v>
      </c>
      <c r="AE1959" s="233">
        <f>IFERROR(__xludf.DUMMYFUNCTION("""COMPUTED_VALUE"""),46031.0)</f>
        <v>46031</v>
      </c>
      <c r="AF1959" s="54"/>
      <c r="AG1959" s="54"/>
      <c r="AH1959" s="54"/>
      <c r="AI1959" s="55" t="str">
        <f t="shared" si="193"/>
        <v/>
      </c>
      <c r="AW1959" s="234"/>
      <c r="BP1959" s="11"/>
      <c r="BQ1959" s="11"/>
      <c r="BR1959" s="235"/>
      <c r="BV1959" s="158"/>
      <c r="BY1959" s="158"/>
      <c r="CB1959" s="158"/>
    </row>
    <row r="1960" ht="18.0" hidden="1" customHeight="1">
      <c r="A1960" s="222">
        <f>IFERROR(__xludf.DUMMYFUNCTION("""COMPUTED_VALUE"""),2026.0)</f>
        <v>2026</v>
      </c>
      <c r="B1960" s="221">
        <f>IFERROR(__xludf.DUMMYFUNCTION("""COMPUTED_VALUE"""),1.1271834E7)</f>
        <v>11271834</v>
      </c>
      <c r="C1960" s="222" t="str">
        <f>IFERROR(__xludf.DUMMYFUNCTION("""COMPUTED_VALUE"""),"MDN PT3 P1I1 TJR-FC PALM ANNAFRIS MEDINA")</f>
        <v>MDN PT3 P1I1 TJR-FC PALM ANNAFRIS MEDINA</v>
      </c>
      <c r="D1960" s="222" t="str">
        <f>IFERROR(__xludf.DUMMYFUNCTION("""COMPUTED_VALUE"""),"REGIONAL I")</f>
        <v>REGIONAL I</v>
      </c>
      <c r="E1960" s="222" t="str">
        <f>IFERROR(__xludf.DUMMYFUNCTION("""COMPUTED_VALUE"""),"MEDAN")</f>
        <v>MEDAN</v>
      </c>
      <c r="F1960" s="222" t="str">
        <f>IFERROR(__xludf.DUMMYFUNCTION("""COMPUTED_VALUE"""),"TJR")</f>
        <v>TJR</v>
      </c>
      <c r="G1960" s="222" t="str">
        <f>IFERROR(__xludf.DUMMYFUNCTION("""COMPUTED_VALUE"""),"SUMBAGUT")</f>
        <v>SUMBAGUT</v>
      </c>
      <c r="H1960" s="222" t="str">
        <f>IFERROR(__xludf.DUMMYFUNCTION("""COMPUTED_VALUE"""),"MEDAN")</f>
        <v>MEDAN</v>
      </c>
      <c r="I1960" s="222" t="str">
        <f>IFERROR(__xludf.DUMMYFUNCTION("""COMPUTED_VALUE"""),"Batch 2")</f>
        <v>Batch 2</v>
      </c>
      <c r="J1960" s="225">
        <f>IFERROR(__xludf.DUMMYFUNCTION("""COMPUTED_VALUE"""),4.0)</f>
        <v>4</v>
      </c>
      <c r="K1960" s="224">
        <f>IFERROR(__xludf.DUMMYFUNCTION("""COMPUTED_VALUE"""),32.0)</f>
        <v>32</v>
      </c>
      <c r="L1960" s="226">
        <f>IFERROR(__xludf.DUMMYFUNCTION("""COMPUTED_VALUE"""),504339.0)</f>
        <v>504339</v>
      </c>
      <c r="M1960" s="227">
        <f>IFERROR(__xludf.DUMMYFUNCTION("""COMPUTED_VALUE"""),1.6138847E7)</f>
        <v>16138847</v>
      </c>
      <c r="N1960" s="222" t="str">
        <f>IFERROR(__xludf.DUMMYFUNCTION("""COMPUTED_VALUE"""),"PT UPAYA TEKNIK")</f>
        <v>PT UPAYA TEKNIK</v>
      </c>
      <c r="O1960" s="222" t="str">
        <f>IFERROR(__xludf.DUMMYFUNCTION("""COMPUTED_VALUE"""),"2. DONE AANWIJZING")</f>
        <v>2. DONE AANWIJZING</v>
      </c>
      <c r="P1960" s="222" t="str">
        <f>IFERROR(__xludf.DUMMYFUNCTION("""COMPUTED_VALUE"""),"2.9 Kendala - Distribusi Penuh / Rusak")</f>
        <v>2.9 Kendala - Distribusi Penuh / Rusak</v>
      </c>
      <c r="Q1960" s="222" t="str">
        <f>IFERROR(__xludf.DUMMYFUNCTION("""COMPUTED_VALUE"""),"21/04 dist full perlu redisgn
18/02 feeder ok, D01 kurang 2 dari plan
(08/01) MATDEL ke site  menunggu PID, Menunggu PID untuk matdel, Menunggu PID untuk matdel, matdel ke site, matdel ke site, proses delivery material ke site, Menunggu Material dari Pabr"&amp;"ik ke WH, proses aanwijzing selesai hari ini (07/01) Persiapan")</f>
        <v>21/04 dist full perlu redisgn
18/02 feeder ok, D01 kurang 2 dari plan
(08/01) MATDEL ke site  menunggu PID, Menunggu PID untuk matdel, Menunggu PID untuk matdel, matdel ke site, matdel ke site, proses delivery material ke site, Menunggu Material dari Pabrik ke WH, proses aanwijzing selesai hari ini (07/01) Persiapan</v>
      </c>
      <c r="R1960" s="228"/>
      <c r="S1960" s="11"/>
      <c r="T1960" s="11"/>
      <c r="U1960" s="11"/>
      <c r="V1960" s="229"/>
      <c r="W1960" s="229"/>
      <c r="X1960" s="229" t="str">
        <f>IFERROR(__xludf.DUMMYFUNCTION("""COMPUTED_VALUE"""),"BELUM GOLIVE")</f>
        <v>BELUM GOLIVE</v>
      </c>
      <c r="Y1960" s="229"/>
      <c r="Z1960" s="229" t="str">
        <f>IFERROR(__xludf.DUMMYFUNCTION("""COMPUTED_VALUE"""),"#N/A")</f>
        <v>#N/A</v>
      </c>
      <c r="AA1960" s="229"/>
      <c r="AB1960" s="229"/>
      <c r="AC1960" s="229"/>
      <c r="AD1960" s="232"/>
      <c r="AE1960" s="233"/>
      <c r="AF1960" s="54"/>
      <c r="AG1960" s="54"/>
      <c r="AH1960" s="54"/>
      <c r="AI1960" s="55" t="str">
        <f t="shared" si="193"/>
        <v/>
      </c>
      <c r="AW1960" s="234"/>
      <c r="BP1960" s="11"/>
      <c r="BQ1960" s="11"/>
      <c r="BR1960" s="235"/>
      <c r="BV1960" s="158"/>
      <c r="BY1960" s="158"/>
      <c r="CB1960" s="158"/>
    </row>
    <row r="1961" ht="18.0" customHeight="1">
      <c r="A1961" s="222">
        <f>IFERROR(__xludf.DUMMYFUNCTION("""COMPUTED_VALUE"""),2026.0)</f>
        <v>2026</v>
      </c>
      <c r="B1961" s="221">
        <f>IFERROR(__xludf.DUMMYFUNCTION("""COMPUTED_VALUE"""),1.1483664E7)</f>
        <v>11483664</v>
      </c>
      <c r="C1961" s="222" t="str">
        <f>IFERROR(__xludf.DUMMYFUNCTION("""COMPUTED_VALUE"""),"SMB TANAH DATAR_8452")</f>
        <v>SMB TANAH DATAR_8452</v>
      </c>
      <c r="D1961" s="222" t="str">
        <f>IFERROR(__xludf.DUMMYFUNCTION("""COMPUTED_VALUE"""),"REGIONAL I")</f>
        <v>REGIONAL I</v>
      </c>
      <c r="E1961" s="222" t="str">
        <f>IFERROR(__xludf.DUMMYFUNCTION("""COMPUTED_VALUE"""),"SUMBAR")</f>
        <v>SUMBAR</v>
      </c>
      <c r="F1961" s="222" t="str">
        <f>IFERROR(__xludf.DUMMYFUNCTION("""COMPUTED_VALUE"""),"SIU")</f>
        <v>SIU</v>
      </c>
      <c r="G1961" s="222" t="str">
        <f>IFERROR(__xludf.DUMMYFUNCTION("""COMPUTED_VALUE"""),"SUMBAGTENG")</f>
        <v>SUMBAGTENG</v>
      </c>
      <c r="H1961" s="222" t="str">
        <f>IFERROR(__xludf.DUMMYFUNCTION("""COMPUTED_VALUE"""),"BUKIT TINGGI")</f>
        <v>BUKIT TINGGI</v>
      </c>
      <c r="I1961" s="222" t="str">
        <f>IFERROR(__xludf.DUMMYFUNCTION("""COMPUTED_VALUE"""),"Batch 2")</f>
        <v>Batch 2</v>
      </c>
      <c r="J1961" s="225">
        <f>IFERROR(__xludf.DUMMYFUNCTION("""COMPUTED_VALUE"""),3.0)</f>
        <v>3</v>
      </c>
      <c r="K1961" s="224">
        <f>IFERROR(__xludf.DUMMYFUNCTION("""COMPUTED_VALUE"""),24.0)</f>
        <v>24</v>
      </c>
      <c r="L1961" s="226">
        <f>IFERROR(__xludf.DUMMYFUNCTION("""COMPUTED_VALUE"""),218065.0)</f>
        <v>218065</v>
      </c>
      <c r="M1961" s="227">
        <f>IFERROR(__xludf.DUMMYFUNCTION("""COMPUTED_VALUE"""),5233546.0)</f>
        <v>5233546</v>
      </c>
      <c r="N1961" s="222" t="str">
        <f>IFERROR(__xludf.DUMMYFUNCTION("""COMPUTED_VALUE"""),"PT RATRI PRIMA MANDIRI")</f>
        <v>PT RATRI PRIMA MANDIRI</v>
      </c>
      <c r="O1961" s="222" t="str">
        <f>IFERROR(__xludf.DUMMYFUNCTION("""COMPUTED_VALUE"""),"8. UJI TERIMA")</f>
        <v>8. UJI TERIMA</v>
      </c>
      <c r="P1961" s="222" t="str">
        <f>IFERROR(__xludf.DUMMYFUNCTION("""COMPUTED_VALUE"""),"8.1 Proses UT")</f>
        <v>8.1 Proses UT</v>
      </c>
      <c r="Q1961" s="222" t="str">
        <f>IFERROR(__xludf.DUMMYFUNCTION("""COMPUTED_VALUE"""),"(16/03) proses penarikan kabel  (06/03) Proses create PID  (05/03) proses aanwijziing plan selesai 07/03 (02/03) proses aanwijziing (26/01) DROP, permintaan tsel (tidak potensial) ")</f>
        <v>(16/03) proses penarikan kabel  (06/03) Proses create PID  (05/03) proses aanwijziing plan selesai 07/03 (02/03) proses aanwijziing (26/01) DROP, permintaan tsel (tidak potensial) </v>
      </c>
      <c r="R1961" s="228">
        <f>IFERROR(__xludf.DUMMYFUNCTION("""COMPUTED_VALUE"""),46111.0)</f>
        <v>46111</v>
      </c>
      <c r="S1961" s="11"/>
      <c r="T1961" s="11"/>
      <c r="U1961" s="11" t="str">
        <f>IFERROR(__xludf.DUMMYFUNCTION("""COMPUTED_VALUE"""),"TIF-5673/2026  26KT03R107-0021")</f>
        <v>TIF-5673/2026  26KT03R107-0021</v>
      </c>
      <c r="V1961" s="229" t="str">
        <f>IFERROR(__xludf.DUMMYFUNCTION("""COMPUTED_VALUE"""),"M. ARIF HAMADI")</f>
        <v>M. ARIF HAMADI</v>
      </c>
      <c r="W1961" s="229" t="str">
        <f>IFERROR(__xludf.DUMMYFUNCTION("""COMPUTED_VALUE"""),"MELKO NARWADI")</f>
        <v>MELKO NARWADI</v>
      </c>
      <c r="X1961" s="229" t="str">
        <f>IFERROR(__xludf.DUMMYFUNCTION("""COMPUTED_VALUE"""),"GOLIVE")</f>
        <v>GOLIVE</v>
      </c>
      <c r="Y1961" s="229" t="str">
        <f>IFERROR(__xludf.DUMMYFUNCTION("""COMPUTED_VALUE"""),"DONE")</f>
        <v>DONE</v>
      </c>
      <c r="Z1961" s="229" t="str">
        <f>IFERROR(__xludf.DUMMYFUNCTION("""COMPUTED_VALUE"""),"#N/A")</f>
        <v>#N/A</v>
      </c>
      <c r="AA1961" s="229">
        <f>IFERROR(__xludf.DUMMYFUNCTION("""COMPUTED_VALUE"""),1.0)</f>
        <v>1</v>
      </c>
      <c r="AB1961" s="229"/>
      <c r="AC1961" s="229" t="str">
        <f>IFERROR(__xludf.DUMMYFUNCTION("""COMPUTED_VALUE"""),"9214807#9214812  ")</f>
        <v>9214807#9214812  </v>
      </c>
      <c r="AD1961" s="232">
        <f>IFERROR(__xludf.DUMMYFUNCTION("""COMPUTED_VALUE"""),8.0)</f>
        <v>8</v>
      </c>
      <c r="AE1961" s="233">
        <f>IFERROR(__xludf.DUMMYFUNCTION("""COMPUTED_VALUE"""),46099.0)</f>
        <v>46099</v>
      </c>
      <c r="AF1961" s="54"/>
      <c r="AG1961" s="54"/>
      <c r="AH1961" s="54">
        <v>46111.0</v>
      </c>
      <c r="AI1961" s="55">
        <f t="shared" si="193"/>
        <v>12</v>
      </c>
      <c r="AW1961" s="234"/>
      <c r="BP1961" s="11"/>
      <c r="BQ1961" s="11"/>
      <c r="BR1961" s="235"/>
      <c r="BV1961" s="158"/>
      <c r="BY1961" s="158"/>
      <c r="CB1961" s="158"/>
    </row>
    <row r="1962" ht="18.0" hidden="1" customHeight="1">
      <c r="A1962" s="222">
        <f>IFERROR(__xludf.DUMMYFUNCTION("""COMPUTED_VALUE"""),2026.0)</f>
        <v>2026</v>
      </c>
      <c r="B1962" s="221">
        <f>IFERROR(__xludf.DUMMYFUNCTION("""COMPUTED_VALUE"""),1.1162718E7)</f>
        <v>11162718</v>
      </c>
      <c r="C1962" s="222" t="str">
        <f>IFERROR(__xludf.DUMMYFUNCTION("""COMPUTED_VALUE"""),"MDN PT3 P7I9 PDB-FN JL.HARYONO RAJAWALI")</f>
        <v>MDN PT3 P7I9 PDB-FN JL.HARYONO RAJAWALI</v>
      </c>
      <c r="D1962" s="222" t="str">
        <f>IFERROR(__xludf.DUMMYFUNCTION("""COMPUTED_VALUE"""),"REGIONAL I")</f>
        <v>REGIONAL I</v>
      </c>
      <c r="E1962" s="222" t="str">
        <f>IFERROR(__xludf.DUMMYFUNCTION("""COMPUTED_VALUE"""),"MEDAN")</f>
        <v>MEDAN</v>
      </c>
      <c r="F1962" s="222" t="str">
        <f>IFERROR(__xludf.DUMMYFUNCTION("""COMPUTED_VALUE"""),"PDB")</f>
        <v>PDB</v>
      </c>
      <c r="G1962" s="222" t="str">
        <f>IFERROR(__xludf.DUMMYFUNCTION("""COMPUTED_VALUE"""),"SUMBAGUT")</f>
        <v>SUMBAGUT</v>
      </c>
      <c r="H1962" s="222" t="str">
        <f>IFERROR(__xludf.DUMMYFUNCTION("""COMPUTED_VALUE"""),"MEDAN")</f>
        <v>MEDAN</v>
      </c>
      <c r="I1962" s="222" t="str">
        <f>IFERROR(__xludf.DUMMYFUNCTION("""COMPUTED_VALUE"""),"Batch 2")</f>
        <v>Batch 2</v>
      </c>
      <c r="J1962" s="225">
        <f>IFERROR(__xludf.DUMMYFUNCTION("""COMPUTED_VALUE"""),7.0)</f>
        <v>7</v>
      </c>
      <c r="K1962" s="224">
        <f>IFERROR(__xludf.DUMMYFUNCTION("""COMPUTED_VALUE"""),56.0)</f>
        <v>56</v>
      </c>
      <c r="L1962" s="226">
        <f>IFERROR(__xludf.DUMMYFUNCTION("""COMPUTED_VALUE"""),1193437.0)</f>
        <v>1193437</v>
      </c>
      <c r="M1962" s="227">
        <f>IFERROR(__xludf.DUMMYFUNCTION("""COMPUTED_VALUE"""),6.6832448E7)</f>
        <v>66832448</v>
      </c>
      <c r="N1962" s="222" t="str">
        <f>IFERROR(__xludf.DUMMYFUNCTION("""COMPUTED_VALUE"""),"PT FAJAR MITRA KRIDA ABADI")</f>
        <v>PT FAJAR MITRA KRIDA ABADI</v>
      </c>
      <c r="O1962" s="222" t="str">
        <f>IFERROR(__xludf.DUMMYFUNCTION("""COMPUTED_VALUE"""),"0. DROP")</f>
        <v>0. DROP</v>
      </c>
      <c r="P1962" s="222" t="str">
        <f>IFERROR(__xludf.DUMMYFUNCTION("""COMPUTED_VALUE"""),"0.4 CPP Tinggi Acc ED TIF")</f>
        <v>0.4 CPP Tinggi Acc ED TIF</v>
      </c>
      <c r="Q1962" s="222" t="str">
        <f>IFERROR(__xludf.DUMMYFUNCTION("""COMPUTED_VALUE"""),"19/01 pengecekan info redesign ke SDI")</f>
        <v>19/01 pengecekan info redesign ke SDI</v>
      </c>
      <c r="R1962" s="228"/>
      <c r="S1962" s="11"/>
      <c r="T1962" s="11"/>
      <c r="U1962" s="11"/>
      <c r="V1962" s="229"/>
      <c r="W1962" s="229"/>
      <c r="X1962" s="229" t="str">
        <f>IFERROR(__xludf.DUMMYFUNCTION("""COMPUTED_VALUE"""),"BELUM GOLIVE")</f>
        <v>BELUM GOLIVE</v>
      </c>
      <c r="Y1962" s="229"/>
      <c r="Z1962" s="229" t="str">
        <f>IFERROR(__xludf.DUMMYFUNCTION("""COMPUTED_VALUE"""),"#N/A")</f>
        <v>#N/A</v>
      </c>
      <c r="AA1962" s="229"/>
      <c r="AB1962" s="229"/>
      <c r="AC1962" s="229"/>
      <c r="AD1962" s="232"/>
      <c r="AE1962" s="233"/>
      <c r="AF1962" s="54" t="str">
        <f>IFERROR(__xludf.DUMMYFUNCTION("""COMPUTED_VALUE"""),"Draft BA DROP")</f>
        <v>Draft BA DROP</v>
      </c>
      <c r="AG1962" s="54"/>
      <c r="AH1962" s="54"/>
      <c r="AI1962" s="55" t="str">
        <f t="shared" si="193"/>
        <v/>
      </c>
      <c r="AW1962" s="234"/>
      <c r="BP1962" s="11"/>
      <c r="BQ1962" s="11"/>
      <c r="BR1962" s="235"/>
      <c r="BV1962" s="158"/>
      <c r="BY1962" s="158"/>
      <c r="CB1962" s="158"/>
    </row>
    <row r="1963" ht="18.0" customHeight="1">
      <c r="A1963" s="222">
        <f>IFERROR(__xludf.DUMMYFUNCTION("""COMPUTED_VALUE"""),2026.0)</f>
        <v>2026</v>
      </c>
      <c r="B1963" s="221">
        <f>IFERROR(__xludf.DUMMYFUNCTION("""COMPUTED_VALUE"""),1.1536942E7)</f>
        <v>11536942</v>
      </c>
      <c r="C1963" s="222" t="str">
        <f>IFERROR(__xludf.DUMMYFUNCTION("""COMPUTED_VALUE"""),"SMB P3I1 MD Wahyu Fadli")</f>
        <v>SMB P3I1 MD Wahyu Fadli</v>
      </c>
      <c r="D1963" s="222" t="str">
        <f>IFERROR(__xludf.DUMMYFUNCTION("""COMPUTED_VALUE"""),"REGIONAL I")</f>
        <v>REGIONAL I</v>
      </c>
      <c r="E1963" s="222" t="str">
        <f>IFERROR(__xludf.DUMMYFUNCTION("""COMPUTED_VALUE"""),"SUMBAR")</f>
        <v>SUMBAR</v>
      </c>
      <c r="F1963" s="222" t="str">
        <f>IFERROR(__xludf.DUMMYFUNCTION("""COMPUTED_VALUE"""),"SLK")</f>
        <v>SLK</v>
      </c>
      <c r="G1963" s="222" t="str">
        <f>IFERROR(__xludf.DUMMYFUNCTION("""COMPUTED_VALUE"""),"SUMBAGTENG")</f>
        <v>SUMBAGTENG</v>
      </c>
      <c r="H1963" s="222" t="str">
        <f>IFERROR(__xludf.DUMMYFUNCTION("""COMPUTED_VALUE"""),"PADANG")</f>
        <v>PADANG</v>
      </c>
      <c r="I1963" s="222" t="str">
        <f>IFERROR(__xludf.DUMMYFUNCTION("""COMPUTED_VALUE"""),"Batch 2")</f>
        <v>Batch 2</v>
      </c>
      <c r="J1963" s="225">
        <f>IFERROR(__xludf.DUMMYFUNCTION("""COMPUTED_VALUE"""),4.0)</f>
        <v>4</v>
      </c>
      <c r="K1963" s="224">
        <f>IFERROR(__xludf.DUMMYFUNCTION("""COMPUTED_VALUE"""),32.0)</f>
        <v>32</v>
      </c>
      <c r="L1963" s="226">
        <f>IFERROR(__xludf.DUMMYFUNCTION("""COMPUTED_VALUE"""),1499711.0)</f>
        <v>1499711</v>
      </c>
      <c r="M1963" s="227">
        <f>IFERROR(__xludf.DUMMYFUNCTION("""COMPUTED_VALUE"""),4.7990736E7)</f>
        <v>47990736</v>
      </c>
      <c r="N1963" s="222" t="str">
        <f>IFERROR(__xludf.DUMMYFUNCTION("""COMPUTED_VALUE"""),"PT TRI PENAMAS")</f>
        <v>PT TRI PENAMAS</v>
      </c>
      <c r="O1963" s="222" t="str">
        <f>IFERROR(__xludf.DUMMYFUNCTION("""COMPUTED_VALUE"""),"0. DROP")</f>
        <v>0. DROP</v>
      </c>
      <c r="P1963" s="222" t="str">
        <f>IFERROR(__xludf.DUMMYFUNCTION("""COMPUTED_VALUE"""),"0.3 Feeder Full")</f>
        <v>0.3 Feeder Full</v>
      </c>
      <c r="Q1963" s="222" t="str">
        <f>IFERROR(__xludf.DUMMYFUNCTION("""COMPUTED_VALUE"""),"(26/01) Kendala feeder SLK-FK FULL dan dist 9 Full")</f>
        <v>(26/01) Kendala feeder SLK-FK FULL dan dist 9 Full</v>
      </c>
      <c r="R1963" s="228"/>
      <c r="S1963" s="11"/>
      <c r="T1963" s="11"/>
      <c r="U1963" s="11"/>
      <c r="V1963" s="229"/>
      <c r="W1963" s="229"/>
      <c r="X1963" s="229" t="str">
        <f>IFERROR(__xludf.DUMMYFUNCTION("""COMPUTED_VALUE"""),"BELUM GOLIVE")</f>
        <v>BELUM GOLIVE</v>
      </c>
      <c r="Y1963" s="229"/>
      <c r="Z1963" s="229" t="str">
        <f>IFERROR(__xludf.DUMMYFUNCTION("""COMPUTED_VALUE"""),"#N/A")</f>
        <v>#N/A</v>
      </c>
      <c r="AA1963" s="229"/>
      <c r="AB1963" s="229"/>
      <c r="AC1963" s="229"/>
      <c r="AD1963" s="232"/>
      <c r="AE1963" s="233"/>
      <c r="AF1963" s="54" t="str">
        <f>IFERROR(__xludf.DUMMYFUNCTION("""COMPUTED_VALUE"""),"Draft BA DROP")</f>
        <v>Draft BA DROP</v>
      </c>
      <c r="AG1963" s="54"/>
      <c r="AH1963" s="54"/>
      <c r="AI1963" s="55" t="str">
        <f t="shared" si="193"/>
        <v/>
      </c>
      <c r="AW1963" s="234"/>
      <c r="BP1963" s="11"/>
      <c r="BQ1963" s="11"/>
      <c r="BR1963" s="235"/>
      <c r="BV1963" s="158"/>
      <c r="BY1963" s="158"/>
      <c r="CB1963" s="158"/>
    </row>
    <row r="1964" ht="18.0" customHeight="1">
      <c r="A1964" s="222">
        <f>IFERROR(__xludf.DUMMYFUNCTION("""COMPUTED_VALUE"""),2026.0)</f>
        <v>2026</v>
      </c>
      <c r="B1964" s="221">
        <f>IFERROR(__xludf.DUMMYFUNCTION("""COMPUTED_VALUE"""),1.1368625E7)</f>
        <v>11368625</v>
      </c>
      <c r="C1964" s="222" t="str">
        <f>IFERROR(__xludf.DUMMYFUNCTION("""COMPUTED_VALUE"""),"SMB P2I2 Dkt Sungai Durian Kec.Patamuan")</f>
        <v>SMB P2I2 Dkt Sungai Durian Kec.Patamuan</v>
      </c>
      <c r="D1964" s="222" t="str">
        <f>IFERROR(__xludf.DUMMYFUNCTION("""COMPUTED_VALUE"""),"REGIONAL I")</f>
        <v>REGIONAL I</v>
      </c>
      <c r="E1964" s="222" t="str">
        <f>IFERROR(__xludf.DUMMYFUNCTION("""COMPUTED_VALUE"""),"SUMBAR")</f>
        <v>SUMBAR</v>
      </c>
      <c r="F1964" s="222" t="str">
        <f>IFERROR(__xludf.DUMMYFUNCTION("""COMPUTED_VALUE"""),"SCC")</f>
        <v>SCC</v>
      </c>
      <c r="G1964" s="222" t="str">
        <f>IFERROR(__xludf.DUMMYFUNCTION("""COMPUTED_VALUE"""),"SUMBAGTENG")</f>
        <v>SUMBAGTENG</v>
      </c>
      <c r="H1964" s="222" t="str">
        <f>IFERROR(__xludf.DUMMYFUNCTION("""COMPUTED_VALUE"""),"BUKIT TINGGI")</f>
        <v>BUKIT TINGGI</v>
      </c>
      <c r="I1964" s="222" t="str">
        <f>IFERROR(__xludf.DUMMYFUNCTION("""COMPUTED_VALUE"""),"Batch 2")</f>
        <v>Batch 2</v>
      </c>
      <c r="J1964" s="225">
        <f>IFERROR(__xludf.DUMMYFUNCTION("""COMPUTED_VALUE"""),3.0)</f>
        <v>3</v>
      </c>
      <c r="K1964" s="224">
        <f>IFERROR(__xludf.DUMMYFUNCTION("""COMPUTED_VALUE"""),24.0)</f>
        <v>24</v>
      </c>
      <c r="L1964" s="226">
        <f>IFERROR(__xludf.DUMMYFUNCTION("""COMPUTED_VALUE"""),218065.0)</f>
        <v>218065</v>
      </c>
      <c r="M1964" s="227">
        <f>IFERROR(__xludf.DUMMYFUNCTION("""COMPUTED_VALUE"""),5233546.0)</f>
        <v>5233546</v>
      </c>
      <c r="N1964" s="222" t="str">
        <f>IFERROR(__xludf.DUMMYFUNCTION("""COMPUTED_VALUE"""),"PT PUTRI JAYA AKSES")</f>
        <v>PT PUTRI JAYA AKSES</v>
      </c>
      <c r="O1964" s="222" t="str">
        <f>IFERROR(__xludf.DUMMYFUNCTION("""COMPUTED_VALUE"""),"8. UJI TERIMA")</f>
        <v>8. UJI TERIMA</v>
      </c>
      <c r="P1964" s="222" t="str">
        <f>IFERROR(__xludf.DUMMYFUNCTION("""COMPUTED_VALUE"""),"8.1 Proses UT")</f>
        <v>8.1 Proses UT</v>
      </c>
      <c r="Q1964" s="222" t="str">
        <f>IFERROR(__xludf.DUMMYFUNCTION("""COMPUTED_VALUE"""),"(08/01) dist 3 SJJ-FC FULL, proses aanwijziing, Proses mapping mitra (07/01) Persiapan")</f>
        <v>(08/01) dist 3 SJJ-FC FULL, proses aanwijziing, Proses mapping mitra (07/01) Persiapan</v>
      </c>
      <c r="R1964" s="228"/>
      <c r="S1964" s="11"/>
      <c r="T1964" s="11"/>
      <c r="U1964" s="11" t="str">
        <f>IFERROR(__xludf.DUMMYFUNCTION("""COMPUTED_VALUE"""),"W10-1779/2025 25KT03R158-0538")</f>
        <v>W10-1779/2025 25KT03R158-0538</v>
      </c>
      <c r="V1964" s="229" t="str">
        <f>IFERROR(__xludf.DUMMYFUNCTION("""COMPUTED_VALUE"""),"JANUAR RIZAL")</f>
        <v>JANUAR RIZAL</v>
      </c>
      <c r="W1964" s="229" t="str">
        <f>IFERROR(__xludf.DUMMYFUNCTION("""COMPUTED_VALUE"""),"MELKO NARWADI")</f>
        <v>MELKO NARWADI</v>
      </c>
      <c r="X1964" s="229" t="str">
        <f>IFERROR(__xludf.DUMMYFUNCTION("""COMPUTED_VALUE"""),"GOLIVE")</f>
        <v>GOLIVE</v>
      </c>
      <c r="Y1964" s="229" t="str">
        <f>IFERROR(__xludf.DUMMYFUNCTION("""COMPUTED_VALUE"""),"DONE")</f>
        <v>DONE</v>
      </c>
      <c r="Z1964" s="229" t="str">
        <f>IFERROR(__xludf.DUMMYFUNCTION("""COMPUTED_VALUE"""),"#N/A")</f>
        <v>#N/A</v>
      </c>
      <c r="AA1964" s="229">
        <f>IFERROR(__xludf.DUMMYFUNCTION("""COMPUTED_VALUE"""),3.0)</f>
        <v>3</v>
      </c>
      <c r="AB1964" s="229"/>
      <c r="AC1964" s="229" t="str">
        <f>IFERROR(__xludf.DUMMYFUNCTION("""COMPUTED_VALUE"""),"8989914#8989919")</f>
        <v>8989914#8989919</v>
      </c>
      <c r="AD1964" s="232">
        <f>IFERROR(__xludf.DUMMYFUNCTION("""COMPUTED_VALUE"""),24.0)</f>
        <v>24</v>
      </c>
      <c r="AE1964" s="233">
        <f>IFERROR(__xludf.DUMMYFUNCTION("""COMPUTED_VALUE"""),46043.0)</f>
        <v>46043</v>
      </c>
      <c r="AF1964" s="54"/>
      <c r="AG1964" s="54"/>
      <c r="AH1964" s="54"/>
      <c r="AI1964" s="55" t="str">
        <f t="shared" si="193"/>
        <v/>
      </c>
      <c r="AW1964" s="234"/>
      <c r="BP1964" s="11"/>
      <c r="BQ1964" s="11"/>
      <c r="BR1964" s="235"/>
      <c r="BV1964" s="158"/>
      <c r="BY1964" s="158"/>
      <c r="CB1964" s="158"/>
    </row>
    <row r="1965" ht="18.0" customHeight="1">
      <c r="A1965" s="222">
        <f>IFERROR(__xludf.DUMMYFUNCTION("""COMPUTED_VALUE"""),2026.0)</f>
        <v>2026</v>
      </c>
      <c r="B1965" s="221">
        <f>IFERROR(__xludf.DUMMYFUNCTION("""COMPUTED_VALUE"""),1.1080459E7)</f>
        <v>11080459</v>
      </c>
      <c r="C1965" s="222" t="str">
        <f>IFERROR(__xludf.DUMMYFUNCTION("""COMPUTED_VALUE"""),"SMB P7I9 nagari padang laweh, tanjung ampalu SJJ")</f>
        <v>SMB P7I9 nagari padang laweh, tanjung ampalu SJJ</v>
      </c>
      <c r="D1965" s="222" t="str">
        <f>IFERROR(__xludf.DUMMYFUNCTION("""COMPUTED_VALUE"""),"REGIONAL I")</f>
        <v>REGIONAL I</v>
      </c>
      <c r="E1965" s="222" t="str">
        <f>IFERROR(__xludf.DUMMYFUNCTION("""COMPUTED_VALUE"""),"SUMBAR")</f>
        <v>SUMBAR</v>
      </c>
      <c r="F1965" s="222" t="str">
        <f>IFERROR(__xludf.DUMMYFUNCTION("""COMPUTED_VALUE"""),"SJJ")</f>
        <v>SJJ</v>
      </c>
      <c r="G1965" s="222" t="str">
        <f>IFERROR(__xludf.DUMMYFUNCTION("""COMPUTED_VALUE"""),"SUMBAGTENG")</f>
        <v>SUMBAGTENG</v>
      </c>
      <c r="H1965" s="222" t="str">
        <f>IFERROR(__xludf.DUMMYFUNCTION("""COMPUTED_VALUE"""),"PADANG")</f>
        <v>PADANG</v>
      </c>
      <c r="I1965" s="222" t="str">
        <f>IFERROR(__xludf.DUMMYFUNCTION("""COMPUTED_VALUE"""),"Batch 2")</f>
        <v>Batch 2</v>
      </c>
      <c r="J1965" s="225">
        <f>IFERROR(__xludf.DUMMYFUNCTION("""COMPUTED_VALUE"""),4.0)</f>
        <v>4</v>
      </c>
      <c r="K1965" s="224">
        <f>IFERROR(__xludf.DUMMYFUNCTION("""COMPUTED_VALUE"""),32.0)</f>
        <v>32</v>
      </c>
      <c r="L1965" s="226">
        <f>IFERROR(__xludf.DUMMYFUNCTION("""COMPUTED_VALUE"""),216395.0)</f>
        <v>216395</v>
      </c>
      <c r="M1965" s="227">
        <f>IFERROR(__xludf.DUMMYFUNCTION("""COMPUTED_VALUE"""),6924619.0)</f>
        <v>6924619</v>
      </c>
      <c r="N1965" s="222" t="str">
        <f>IFERROR(__xludf.DUMMYFUNCTION("""COMPUTED_VALUE"""),"PT TANJUNG PUTRA PRIMA")</f>
        <v>PT TANJUNG PUTRA PRIMA</v>
      </c>
      <c r="O1965" s="222" t="str">
        <f>IFERROR(__xludf.DUMMYFUNCTION("""COMPUTED_VALUE"""),"2. DONE AANWIJZING")</f>
        <v>2. DONE AANWIJZING</v>
      </c>
      <c r="P1965" s="222" t="str">
        <f>IFERROR(__xludf.DUMMYFUNCTION("""COMPUTED_VALUE"""),"2.9 Kendala - Distribusi Penuh / Rusak")</f>
        <v>2.9 Kendala - Distribusi Penuh / Rusak</v>
      </c>
      <c r="Q1965" s="222" t="str">
        <f>IFERROR(__xludf.DUMMYFUNCTION("""COMPUTED_VALUE"""),"(27/01) dist 3 SJJ-FC FULL")</f>
        <v>(27/01) dist 3 SJJ-FC FULL</v>
      </c>
      <c r="R1965" s="228"/>
      <c r="S1965" s="11"/>
      <c r="T1965" s="11"/>
      <c r="U1965" s="11"/>
      <c r="V1965" s="229"/>
      <c r="W1965" s="229"/>
      <c r="X1965" s="229" t="str">
        <f>IFERROR(__xludf.DUMMYFUNCTION("""COMPUTED_VALUE"""),"BELUM GOLIVE")</f>
        <v>BELUM GOLIVE</v>
      </c>
      <c r="Y1965" s="229"/>
      <c r="Z1965" s="229" t="str">
        <f>IFERROR(__xludf.DUMMYFUNCTION("""COMPUTED_VALUE"""),"#N/A")</f>
        <v>#N/A</v>
      </c>
      <c r="AA1965" s="229"/>
      <c r="AB1965" s="229"/>
      <c r="AC1965" s="229"/>
      <c r="AD1965" s="232"/>
      <c r="AE1965" s="233"/>
      <c r="AF1965" s="54"/>
      <c r="AG1965" s="54"/>
      <c r="AH1965" s="54"/>
      <c r="AI1965" s="55" t="str">
        <f t="shared" si="193"/>
        <v/>
      </c>
      <c r="AW1965" s="234"/>
      <c r="BP1965" s="11"/>
      <c r="BQ1965" s="11"/>
      <c r="BR1965" s="235"/>
      <c r="BV1965" s="158"/>
      <c r="BY1965" s="158"/>
      <c r="CB1965" s="158"/>
    </row>
    <row r="1966" ht="18.0" hidden="1" customHeight="1">
      <c r="A1966" s="222">
        <f>IFERROR(__xludf.DUMMYFUNCTION("""COMPUTED_VALUE"""),2026.0)</f>
        <v>2026</v>
      </c>
      <c r="B1966" s="221">
        <f>IFERROR(__xludf.DUMMYFUNCTION("""COMPUTED_VALUE"""),1.2133526E7)</f>
        <v>12133526</v>
      </c>
      <c r="C1966" s="222" t="str">
        <f>IFERROR(__xludf.DUMMYFUNCTION("""COMPUTED_VALUE"""),"LPG PT3 JPP PERUM GRAND RAJAWALI NTR")</f>
        <v>LPG PT3 JPP PERUM GRAND RAJAWALI NTR</v>
      </c>
      <c r="D1966" s="222" t="str">
        <f>IFERROR(__xludf.DUMMYFUNCTION("""COMPUTED_VALUE"""),"REGIONAL I")</f>
        <v>REGIONAL I</v>
      </c>
      <c r="E1966" s="222" t="str">
        <f>IFERROR(__xludf.DUMMYFUNCTION("""COMPUTED_VALUE"""),"LAMPUNG")</f>
        <v>LAMPUNG</v>
      </c>
      <c r="F1966" s="222" t="str">
        <f>IFERROR(__xludf.DUMMYFUNCTION("""COMPUTED_VALUE"""),"NTR")</f>
        <v>NTR</v>
      </c>
      <c r="G1966" s="222" t="str">
        <f>IFERROR(__xludf.DUMMYFUNCTION("""COMPUTED_VALUE"""),"SUMBAGSEL")</f>
        <v>SUMBAGSEL</v>
      </c>
      <c r="H1966" s="222" t="str">
        <f>IFERROR(__xludf.DUMMYFUNCTION("""COMPUTED_VALUE"""),"LAMPUNG")</f>
        <v>LAMPUNG</v>
      </c>
      <c r="I1966" s="222" t="str">
        <f>IFERROR(__xludf.DUMMYFUNCTION("""COMPUTED_VALUE"""),"Batch 2")</f>
        <v>Batch 2</v>
      </c>
      <c r="J1966" s="225">
        <f>IFERROR(__xludf.DUMMYFUNCTION("""COMPUTED_VALUE"""),4.0)</f>
        <v>4</v>
      </c>
      <c r="K1966" s="224">
        <f>IFERROR(__xludf.DUMMYFUNCTION("""COMPUTED_VALUE"""),32.0)</f>
        <v>32</v>
      </c>
      <c r="L1966" s="226">
        <f>IFERROR(__xludf.DUMMYFUNCTION("""COMPUTED_VALUE"""),212617.0)</f>
        <v>212617</v>
      </c>
      <c r="M1966" s="227">
        <f>IFERROR(__xludf.DUMMYFUNCTION("""COMPUTED_VALUE"""),6803713.0)</f>
        <v>6803713</v>
      </c>
      <c r="N1966" s="222" t="str">
        <f>IFERROR(__xludf.DUMMYFUNCTION("""COMPUTED_VALUE"""),"PT BANGTELINDO")</f>
        <v>PT BANGTELINDO</v>
      </c>
      <c r="O1966" s="222" t="str">
        <f>IFERROR(__xludf.DUMMYFUNCTION("""COMPUTED_VALUE"""),"0. DROP")</f>
        <v>0. DROP</v>
      </c>
      <c r="P1966" s="222" t="str">
        <f>IFERROR(__xludf.DUMMYFUNCTION("""COMPUTED_VALUE"""),"0.4 CPP Tinggi Acc ED TIF")</f>
        <v>0.4 CPP Tinggi Acc ED TIF</v>
      </c>
      <c r="Q1966" s="222" t="str">
        <f>IFERROR(__xludf.DUMMYFUNCTION("""COMPUTED_VALUE"""),"1/4 drop cpp tinggi karna redesign ke PT4")</f>
        <v>1/4 drop cpp tinggi karna redesign ke PT4</v>
      </c>
      <c r="R1966" s="228"/>
      <c r="S1966" s="11"/>
      <c r="T1966" s="11"/>
      <c r="U1966" s="11"/>
      <c r="V1966" s="229"/>
      <c r="W1966" s="229"/>
      <c r="X1966" s="229" t="str">
        <f>IFERROR(__xludf.DUMMYFUNCTION("""COMPUTED_VALUE"""),"BELUM GOLIVE")</f>
        <v>BELUM GOLIVE</v>
      </c>
      <c r="Y1966" s="229"/>
      <c r="Z1966" s="229" t="str">
        <f>IFERROR(__xludf.DUMMYFUNCTION("""COMPUTED_VALUE"""),"#N/A")</f>
        <v>#N/A</v>
      </c>
      <c r="AA1966" s="229"/>
      <c r="AB1966" s="229"/>
      <c r="AC1966" s="229"/>
      <c r="AD1966" s="232"/>
      <c r="AE1966" s="233"/>
      <c r="AF1966" s="54"/>
      <c r="AG1966" s="54"/>
      <c r="AH1966" s="54"/>
      <c r="AI1966" s="55" t="str">
        <f t="shared" si="193"/>
        <v/>
      </c>
      <c r="AW1966" s="234"/>
      <c r="BP1966" s="11"/>
      <c r="BQ1966" s="11"/>
      <c r="BR1966" s="235"/>
      <c r="BV1966" s="158"/>
      <c r="BY1966" s="158"/>
      <c r="CB1966" s="158"/>
    </row>
    <row r="1967" ht="18.0" hidden="1" customHeight="1">
      <c r="A1967" s="222">
        <f>IFERROR(__xludf.DUMMYFUNCTION("""COMPUTED_VALUE"""),2026.0)</f>
        <v>2026</v>
      </c>
      <c r="B1967" s="221">
        <f>IFERROR(__xludf.DUMMYFUNCTION("""COMPUTED_VALUE"""),1.1271925E7)</f>
        <v>11271925</v>
      </c>
      <c r="C1967" s="222" t="str">
        <f>IFERROR(__xludf.DUMMYFUNCTION("""COMPUTED_VALUE"""),"MDN PT3 P1I1 PDB-FX GARDEN PESONA ASRI")</f>
        <v>MDN PT3 P1I1 PDB-FX GARDEN PESONA ASRI</v>
      </c>
      <c r="D1967" s="222" t="str">
        <f>IFERROR(__xludf.DUMMYFUNCTION("""COMPUTED_VALUE"""),"REGIONAL I")</f>
        <v>REGIONAL I</v>
      </c>
      <c r="E1967" s="222" t="str">
        <f>IFERROR(__xludf.DUMMYFUNCTION("""COMPUTED_VALUE"""),"MEDAN")</f>
        <v>MEDAN</v>
      </c>
      <c r="F1967" s="222" t="str">
        <f>IFERROR(__xludf.DUMMYFUNCTION("""COMPUTED_VALUE"""),"PDB")</f>
        <v>PDB</v>
      </c>
      <c r="G1967" s="222" t="str">
        <f>IFERROR(__xludf.DUMMYFUNCTION("""COMPUTED_VALUE"""),"SUMBAGUT")</f>
        <v>SUMBAGUT</v>
      </c>
      <c r="H1967" s="222" t="str">
        <f>IFERROR(__xludf.DUMMYFUNCTION("""COMPUTED_VALUE"""),"MEDAN")</f>
        <v>MEDAN</v>
      </c>
      <c r="I1967" s="222" t="str">
        <f>IFERROR(__xludf.DUMMYFUNCTION("""COMPUTED_VALUE"""),"Batch 2")</f>
        <v>Batch 2</v>
      </c>
      <c r="J1967" s="225">
        <f>IFERROR(__xludf.DUMMYFUNCTION("""COMPUTED_VALUE"""),4.0)</f>
        <v>4</v>
      </c>
      <c r="K1967" s="224">
        <f>IFERROR(__xludf.DUMMYFUNCTION("""COMPUTED_VALUE"""),32.0)</f>
        <v>32</v>
      </c>
      <c r="L1967" s="226">
        <f>IFERROR(__xludf.DUMMYFUNCTION("""COMPUTED_VALUE"""),1040071.0)</f>
        <v>1040071</v>
      </c>
      <c r="M1967" s="227">
        <f>IFERROR(__xludf.DUMMYFUNCTION("""COMPUTED_VALUE"""),3.3282262E7)</f>
        <v>33282262</v>
      </c>
      <c r="N1967" s="222" t="str">
        <f>IFERROR(__xludf.DUMMYFUNCTION("""COMPUTED_VALUE"""),"PT MITRA AKSES INSANI")</f>
        <v>PT MITRA AKSES INSANI</v>
      </c>
      <c r="O1967" s="222" t="str">
        <f>IFERROR(__xludf.DUMMYFUNCTION("""COMPUTED_VALUE"""),"2. DONE AANWIJZING")</f>
        <v>2. DONE AANWIJZING</v>
      </c>
      <c r="P1967" s="222" t="str">
        <f>IFERROR(__xludf.DUMMYFUNCTION("""COMPUTED_VALUE"""),"2.10 Kendala - Feeder Rusak")</f>
        <v>2.10 Kendala - Feeder Rusak</v>
      </c>
      <c r="Q1967" s="222" t="str">
        <f>IFERROR(__xludf.DUMMYFUNCTION("""COMPUTED_VALUE"""),"01/11 Feeder Loss
(24/09) Perizinan Warga dan Kades / Lurah
(23/09) Perizinan Warga dan Kades / Lurah
15/09 proses aanwijzing")</f>
        <v>01/11 Feeder Loss
(24/09) Perizinan Warga dan Kades / Lurah
(23/09) Perizinan Warga dan Kades / Lurah
15/09 proses aanwijzing</v>
      </c>
      <c r="R1967" s="228"/>
      <c r="S1967" s="11"/>
      <c r="T1967" s="11"/>
      <c r="U1967" s="11"/>
      <c r="V1967" s="229"/>
      <c r="W1967" s="229"/>
      <c r="X1967" s="229" t="str">
        <f>IFERROR(__xludf.DUMMYFUNCTION("""COMPUTED_VALUE"""),"BELUM GOLIVE")</f>
        <v>BELUM GOLIVE</v>
      </c>
      <c r="Y1967" s="229"/>
      <c r="Z1967" s="229" t="str">
        <f>IFERROR(__xludf.DUMMYFUNCTION("""COMPUTED_VALUE"""),"#N/A")</f>
        <v>#N/A</v>
      </c>
      <c r="AA1967" s="229"/>
      <c r="AB1967" s="229"/>
      <c r="AC1967" s="229"/>
      <c r="AD1967" s="232"/>
      <c r="AE1967" s="233"/>
      <c r="AF1967" s="54"/>
      <c r="AG1967" s="54"/>
      <c r="AH1967" s="54"/>
      <c r="AI1967" s="55" t="str">
        <f t="shared" si="193"/>
        <v/>
      </c>
      <c r="AW1967" s="234"/>
      <c r="BP1967" s="11"/>
      <c r="BQ1967" s="11"/>
      <c r="BR1967" s="235"/>
      <c r="BV1967" s="158"/>
      <c r="BY1967" s="158"/>
      <c r="CB1967" s="158"/>
    </row>
    <row r="1968" ht="18.0" hidden="1" customHeight="1">
      <c r="A1968" s="222">
        <f>IFERROR(__xludf.DUMMYFUNCTION("""COMPUTED_VALUE"""),2026.0)</f>
        <v>2026</v>
      </c>
      <c r="B1968" s="221">
        <f>IFERROR(__xludf.DUMMYFUNCTION("""COMPUTED_VALUE"""),1.1324368E7)</f>
        <v>11324368</v>
      </c>
      <c r="C1968" s="222" t="str">
        <f>IFERROR(__xludf.DUMMYFUNCTION("""COMPUTED_VALUE"""),"MDN PT3 PDB-FBB JL.SEI ASAHAN")</f>
        <v>MDN PT3 PDB-FBB JL.SEI ASAHAN</v>
      </c>
      <c r="D1968" s="222" t="str">
        <f>IFERROR(__xludf.DUMMYFUNCTION("""COMPUTED_VALUE"""),"REGIONAL I")</f>
        <v>REGIONAL I</v>
      </c>
      <c r="E1968" s="222" t="str">
        <f>IFERROR(__xludf.DUMMYFUNCTION("""COMPUTED_VALUE"""),"MEDAN")</f>
        <v>MEDAN</v>
      </c>
      <c r="F1968" s="222" t="str">
        <f>IFERROR(__xludf.DUMMYFUNCTION("""COMPUTED_VALUE"""),"PDB")</f>
        <v>PDB</v>
      </c>
      <c r="G1968" s="222" t="str">
        <f>IFERROR(__xludf.DUMMYFUNCTION("""COMPUTED_VALUE"""),"SUMBAGUT")</f>
        <v>SUMBAGUT</v>
      </c>
      <c r="H1968" s="222" t="str">
        <f>IFERROR(__xludf.DUMMYFUNCTION("""COMPUTED_VALUE"""),"MEDAN")</f>
        <v>MEDAN</v>
      </c>
      <c r="I1968" s="222" t="str">
        <f>IFERROR(__xludf.DUMMYFUNCTION("""COMPUTED_VALUE"""),"Batch 2")</f>
        <v>Batch 2</v>
      </c>
      <c r="J1968" s="225">
        <f>IFERROR(__xludf.DUMMYFUNCTION("""COMPUTED_VALUE"""),7.0)</f>
        <v>7</v>
      </c>
      <c r="K1968" s="224">
        <f>IFERROR(__xludf.DUMMYFUNCTION("""COMPUTED_VALUE"""),56.0)</f>
        <v>56</v>
      </c>
      <c r="L1968" s="226">
        <f>IFERROR(__xludf.DUMMYFUNCTION("""COMPUTED_VALUE"""),762289.0)</f>
        <v>762289</v>
      </c>
      <c r="M1968" s="227">
        <f>IFERROR(__xludf.DUMMYFUNCTION("""COMPUTED_VALUE"""),4.2688144E7)</f>
        <v>42688144</v>
      </c>
      <c r="N1968" s="222" t="str">
        <f>IFERROR(__xludf.DUMMYFUNCTION("""COMPUTED_VALUE"""),"PT MILFHA MUTIARA PRIMA")</f>
        <v>PT MILFHA MUTIARA PRIMA</v>
      </c>
      <c r="O1968" s="222" t="str">
        <f>IFERROR(__xludf.DUMMYFUNCTION("""COMPUTED_VALUE"""),"7. GOLIVE")</f>
        <v>7. GOLIVE</v>
      </c>
      <c r="P1968" s="222" t="str">
        <f>IFERROR(__xludf.DUMMYFUNCTION("""COMPUTED_VALUE"""),"7.2 Golive Full / OA / DONE OTB")</f>
        <v>7.2 Golive Full / OA / DONE OTB</v>
      </c>
      <c r="Q1968" s="222" t="str">
        <f>IFERROR(__xludf.DUMMYFUNCTION("""COMPUTED_VALUE"""),"19/03 valins 17/03 penarikan KU 06/03 pengajuan commcase 1jt approved kenaikan nilai boq &lt; 10% 02/03 aanwidzing ok, lnjut perizinan 26/02 done order")</f>
        <v>19/03 valins 17/03 penarikan KU 06/03 pengajuan commcase 1jt approved kenaikan nilai boq &lt; 10% 02/03 aanwidzing ok, lnjut perizinan 26/02 done order</v>
      </c>
      <c r="R1968" s="228">
        <f>IFERROR(__xludf.DUMMYFUNCTION("""COMPUTED_VALUE"""),46119.0)</f>
        <v>46119</v>
      </c>
      <c r="S1968" s="11"/>
      <c r="T1968" s="73"/>
      <c r="U1968" s="11"/>
      <c r="V1968" s="229"/>
      <c r="W1968" s="229"/>
      <c r="X1968" s="229" t="str">
        <f>IFERROR(__xludf.DUMMYFUNCTION("""COMPUTED_VALUE"""),"GOLIVE")</f>
        <v>GOLIVE</v>
      </c>
      <c r="Y1968" s="229" t="str">
        <f>IFERROR(__xludf.DUMMYFUNCTION("""COMPUTED_VALUE"""),"DONE")</f>
        <v>DONE</v>
      </c>
      <c r="Z1968" s="229" t="str">
        <f>IFERROR(__xludf.DUMMYFUNCTION("""COMPUTED_VALUE"""),"#N/A")</f>
        <v>#N/A</v>
      </c>
      <c r="AA1968" s="229">
        <f>IFERROR(__xludf.DUMMYFUNCTION("""COMPUTED_VALUE"""),7.0)</f>
        <v>7</v>
      </c>
      <c r="AB1968" s="229"/>
      <c r="AC1968" s="229" t="str">
        <f>IFERROR(__xludf.DUMMYFUNCTION("""COMPUTED_VALUE"""),"9222131#9222137")</f>
        <v>9222131#9222137</v>
      </c>
      <c r="AD1968" s="232">
        <f>IFERROR(__xludf.DUMMYFUNCTION("""COMPUTED_VALUE"""),56.0)</f>
        <v>56</v>
      </c>
      <c r="AE1968" s="233">
        <f>IFERROR(__xludf.DUMMYFUNCTION("""COMPUTED_VALUE"""),46107.0)</f>
        <v>46107</v>
      </c>
      <c r="AF1968" s="54"/>
      <c r="AG1968" s="54"/>
      <c r="AH1968" s="54">
        <v>46119.0</v>
      </c>
      <c r="AI1968" s="55">
        <f t="shared" si="193"/>
        <v>12</v>
      </c>
      <c r="AW1968" s="234"/>
      <c r="BP1968" s="11"/>
      <c r="BQ1968" s="11"/>
      <c r="BR1968" s="235"/>
      <c r="BV1968" s="158"/>
      <c r="BY1968" s="158"/>
      <c r="CB1968" s="158"/>
    </row>
    <row r="1969" ht="18.0" hidden="1" customHeight="1">
      <c r="A1969" s="222">
        <f>IFERROR(__xludf.DUMMYFUNCTION("""COMPUTED_VALUE"""),2026.0)</f>
        <v>2026</v>
      </c>
      <c r="B1969" s="221">
        <f>IFERROR(__xludf.DUMMYFUNCTION("""COMPUTED_VALUE"""),1.1324376E7)</f>
        <v>11324376</v>
      </c>
      <c r="C1969" s="222" t="str">
        <f>IFERROR(__xludf.DUMMYFUNCTION("""COMPUTED_VALUE"""),"MDN PT3 PDB-FN KOM TAMAN SEKATA INDAH")</f>
        <v>MDN PT3 PDB-FN KOM TAMAN SEKATA INDAH</v>
      </c>
      <c r="D1969" s="222" t="str">
        <f>IFERROR(__xludf.DUMMYFUNCTION("""COMPUTED_VALUE"""),"REGIONAL I")</f>
        <v>REGIONAL I</v>
      </c>
      <c r="E1969" s="222" t="str">
        <f>IFERROR(__xludf.DUMMYFUNCTION("""COMPUTED_VALUE"""),"MEDAN")</f>
        <v>MEDAN</v>
      </c>
      <c r="F1969" s="222" t="str">
        <f>IFERROR(__xludf.DUMMYFUNCTION("""COMPUTED_VALUE"""),"PDB")</f>
        <v>PDB</v>
      </c>
      <c r="G1969" s="222" t="str">
        <f>IFERROR(__xludf.DUMMYFUNCTION("""COMPUTED_VALUE"""),"SUMBAGUT")</f>
        <v>SUMBAGUT</v>
      </c>
      <c r="H1969" s="222" t="str">
        <f>IFERROR(__xludf.DUMMYFUNCTION("""COMPUTED_VALUE"""),"MEDAN")</f>
        <v>MEDAN</v>
      </c>
      <c r="I1969" s="222" t="str">
        <f>IFERROR(__xludf.DUMMYFUNCTION("""COMPUTED_VALUE"""),"Batch 2")</f>
        <v>Batch 2</v>
      </c>
      <c r="J1969" s="225">
        <f>IFERROR(__xludf.DUMMYFUNCTION("""COMPUTED_VALUE"""),4.0)</f>
        <v>4</v>
      </c>
      <c r="K1969" s="224">
        <f>IFERROR(__xludf.DUMMYFUNCTION("""COMPUTED_VALUE"""),32.0)</f>
        <v>32</v>
      </c>
      <c r="L1969" s="226">
        <f>IFERROR(__xludf.DUMMYFUNCTION("""COMPUTED_VALUE"""),1197547.0)</f>
        <v>1197547</v>
      </c>
      <c r="M1969" s="227">
        <f>IFERROR(__xludf.DUMMYFUNCTION("""COMPUTED_VALUE"""),3.8321473E7)</f>
        <v>38321473</v>
      </c>
      <c r="N1969" s="222" t="str">
        <f>IFERROR(__xludf.DUMMYFUNCTION("""COMPUTED_VALUE"""),"PT FAJAR MITRA KRIDA ABADI")</f>
        <v>PT FAJAR MITRA KRIDA ABADI</v>
      </c>
      <c r="O1969" s="222" t="str">
        <f>IFERROR(__xludf.DUMMYFUNCTION("""COMPUTED_VALUE"""),"0. DROP")</f>
        <v>0. DROP</v>
      </c>
      <c r="P1969" s="222" t="str">
        <f>IFERROR(__xludf.DUMMYFUNCTION("""COMPUTED_VALUE"""),"0.2 Tidak Dapat Izin Warga/Kades/Lurah/Developer")</f>
        <v>0.2 Tidak Dapat Izin Warga/Kades/Lurah/Developer</v>
      </c>
      <c r="Q1969" s="222" t="str">
        <f>IFERROR(__xludf.DUMMYFUNCTION("""COMPUTED_VALUE"""),"Tidak diberi izin tanam tiang")</f>
        <v>Tidak diberi izin tanam tiang</v>
      </c>
      <c r="R1969" s="228"/>
      <c r="S1969" s="11"/>
      <c r="T1969" s="11"/>
      <c r="U1969" s="11"/>
      <c r="V1969" s="229"/>
      <c r="W1969" s="229"/>
      <c r="X1969" s="229" t="str">
        <f>IFERROR(__xludf.DUMMYFUNCTION("""COMPUTED_VALUE"""),"BELUM GOLIVE")</f>
        <v>BELUM GOLIVE</v>
      </c>
      <c r="Y1969" s="229"/>
      <c r="Z1969" s="229" t="str">
        <f>IFERROR(__xludf.DUMMYFUNCTION("""COMPUTED_VALUE"""),"#N/A")</f>
        <v>#N/A</v>
      </c>
      <c r="AA1969" s="229"/>
      <c r="AB1969" s="229"/>
      <c r="AC1969" s="229"/>
      <c r="AD1969" s="232"/>
      <c r="AE1969" s="233"/>
      <c r="AF1969" s="54" t="str">
        <f>IFERROR(__xludf.DUMMYFUNCTION("""COMPUTED_VALUE"""),"Draft BA DROP")</f>
        <v>Draft BA DROP</v>
      </c>
      <c r="AG1969" s="54"/>
      <c r="AH1969" s="54"/>
      <c r="AI1969" s="55" t="str">
        <f t="shared" si="193"/>
        <v/>
      </c>
      <c r="AW1969" s="234"/>
      <c r="BP1969" s="11"/>
      <c r="BQ1969" s="11"/>
      <c r="BR1969" s="235"/>
      <c r="BV1969" s="158"/>
      <c r="BY1969" s="158"/>
      <c r="CB1969" s="158"/>
    </row>
    <row r="1970" ht="18.0" hidden="1" customHeight="1">
      <c r="A1970" s="222">
        <f>IFERROR(__xludf.DUMMYFUNCTION("""COMPUTED_VALUE"""),2026.0)</f>
        <v>2026</v>
      </c>
      <c r="B1970" s="221">
        <f>IFERROR(__xludf.DUMMYFUNCTION("""COMPUTED_VALUE"""),1.1206625E7)</f>
        <v>11206625</v>
      </c>
      <c r="C1970" s="222" t="str">
        <f>IFERROR(__xludf.DUMMYFUNCTION("""COMPUTED_VALUE"""),"MDN PT3 P7I12 DLT-FXX KP SELAMAT SIBIRU")</f>
        <v>MDN PT3 P7I12 DLT-FXX KP SELAMAT SIBIRU</v>
      </c>
      <c r="D1970" s="222" t="str">
        <f>IFERROR(__xludf.DUMMYFUNCTION("""COMPUTED_VALUE"""),"REGIONAL I")</f>
        <v>REGIONAL I</v>
      </c>
      <c r="E1970" s="222" t="str">
        <f>IFERROR(__xludf.DUMMYFUNCTION("""COMPUTED_VALUE"""),"MEDAN")</f>
        <v>MEDAN</v>
      </c>
      <c r="F1970" s="222" t="str">
        <f>IFERROR(__xludf.DUMMYFUNCTION("""COMPUTED_VALUE"""),"DLT")</f>
        <v>DLT</v>
      </c>
      <c r="G1970" s="222" t="str">
        <f>IFERROR(__xludf.DUMMYFUNCTION("""COMPUTED_VALUE"""),"SUMBAGUT")</f>
        <v>SUMBAGUT</v>
      </c>
      <c r="H1970" s="222" t="str">
        <f>IFERROR(__xludf.DUMMYFUNCTION("""COMPUTED_VALUE"""),"MEDAN")</f>
        <v>MEDAN</v>
      </c>
      <c r="I1970" s="222" t="str">
        <f>IFERROR(__xludf.DUMMYFUNCTION("""COMPUTED_VALUE"""),"Batch 2")</f>
        <v>Batch 2</v>
      </c>
      <c r="J1970" s="225">
        <f>IFERROR(__xludf.DUMMYFUNCTION("""COMPUTED_VALUE"""),6.0)</f>
        <v>6</v>
      </c>
      <c r="K1970" s="224">
        <f>IFERROR(__xludf.DUMMYFUNCTION("""COMPUTED_VALUE"""),48.0)</f>
        <v>48</v>
      </c>
      <c r="L1970" s="226">
        <f>IFERROR(__xludf.DUMMYFUNCTION("""COMPUTED_VALUE"""),1783197.0)</f>
        <v>1783197</v>
      </c>
      <c r="M1970" s="227">
        <f>IFERROR(__xludf.DUMMYFUNCTION("""COMPUTED_VALUE"""),8.5593456E7)</f>
        <v>85593456</v>
      </c>
      <c r="N1970" s="222" t="str">
        <f>IFERROR(__xludf.DUMMYFUNCTION("""COMPUTED_VALUE"""),"PT UPENTEL INTERNASIONAL")</f>
        <v>PT UPENTEL INTERNASIONAL</v>
      </c>
      <c r="O1970" s="222" t="str">
        <f>IFERROR(__xludf.DUMMYFUNCTION("""COMPUTED_VALUE"""),"0. DROP")</f>
        <v>0. DROP</v>
      </c>
      <c r="P1970" s="222" t="str">
        <f>IFERROR(__xludf.DUMMYFUNCTION("""COMPUTED_VALUE"""),"0.4 CPP Tinggi Acc ED TIF")</f>
        <v>0.4 CPP Tinggi Acc ED TIF</v>
      </c>
      <c r="Q1970" s="222" t="str">
        <f>IFERROR(__xludf.DUMMYFUNCTION("""COMPUTED_VALUE"""),"(07/01) Persiapan")</f>
        <v>(07/01) Persiapan</v>
      </c>
      <c r="R1970" s="228"/>
      <c r="S1970" s="11"/>
      <c r="T1970" s="11"/>
      <c r="U1970" s="11"/>
      <c r="V1970" s="229"/>
      <c r="W1970" s="229"/>
      <c r="X1970" s="229" t="str">
        <f>IFERROR(__xludf.DUMMYFUNCTION("""COMPUTED_VALUE"""),"BELUM GOLIVE")</f>
        <v>BELUM GOLIVE</v>
      </c>
      <c r="Y1970" s="229"/>
      <c r="Z1970" s="229" t="str">
        <f>IFERROR(__xludf.DUMMYFUNCTION("""COMPUTED_VALUE"""),"#N/A")</f>
        <v>#N/A</v>
      </c>
      <c r="AA1970" s="229"/>
      <c r="AB1970" s="229"/>
      <c r="AC1970" s="229"/>
      <c r="AD1970" s="232"/>
      <c r="AE1970" s="233"/>
      <c r="AF1970" s="54" t="str">
        <f>IFERROR(__xludf.DUMMYFUNCTION("""COMPUTED_VALUE"""),"Draft BA DROP")</f>
        <v>Draft BA DROP</v>
      </c>
      <c r="AG1970" s="54"/>
      <c r="AH1970" s="54"/>
      <c r="AI1970" s="55" t="str">
        <f t="shared" si="193"/>
        <v/>
      </c>
      <c r="AW1970" s="234"/>
      <c r="BP1970" s="11"/>
      <c r="BQ1970" s="11"/>
      <c r="BR1970" s="235"/>
      <c r="BV1970" s="158"/>
      <c r="BY1970" s="158"/>
      <c r="CB1970" s="158"/>
    </row>
    <row r="1971" ht="18.0" hidden="1" customHeight="1">
      <c r="A1971" s="222">
        <f>IFERROR(__xludf.DUMMYFUNCTION("""COMPUTED_VALUE"""),2026.0)</f>
        <v>2026</v>
      </c>
      <c r="B1971" s="221">
        <f>IFERROR(__xludf.DUMMYFUNCTION("""COMPUTED_VALUE"""),1.1271912E7)</f>
        <v>11271912</v>
      </c>
      <c r="C1971" s="222" t="str">
        <f>IFERROR(__xludf.DUMMYFUNCTION("""COMPUTED_VALUE"""),"MDN PT3 P1I1 PUB-FAA GG.SAUDARA")</f>
        <v>MDN PT3 P1I1 PUB-FAA GG.SAUDARA</v>
      </c>
      <c r="D1971" s="222" t="str">
        <f>IFERROR(__xludf.DUMMYFUNCTION("""COMPUTED_VALUE"""),"REGIONAL I")</f>
        <v>REGIONAL I</v>
      </c>
      <c r="E1971" s="222" t="str">
        <f>IFERROR(__xludf.DUMMYFUNCTION("""COMPUTED_VALUE"""),"MEDAN")</f>
        <v>MEDAN</v>
      </c>
      <c r="F1971" s="222" t="str">
        <f>IFERROR(__xludf.DUMMYFUNCTION("""COMPUTED_VALUE"""),"PUB")</f>
        <v>PUB</v>
      </c>
      <c r="G1971" s="222" t="str">
        <f>IFERROR(__xludf.DUMMYFUNCTION("""COMPUTED_VALUE"""),"SUMBAGUT")</f>
        <v>SUMBAGUT</v>
      </c>
      <c r="H1971" s="222" t="str">
        <f>IFERROR(__xludf.DUMMYFUNCTION("""COMPUTED_VALUE"""),"MEDAN")</f>
        <v>MEDAN</v>
      </c>
      <c r="I1971" s="222" t="str">
        <f>IFERROR(__xludf.DUMMYFUNCTION("""COMPUTED_VALUE"""),"Batch 2")</f>
        <v>Batch 2</v>
      </c>
      <c r="J1971" s="225">
        <f>IFERROR(__xludf.DUMMYFUNCTION("""COMPUTED_VALUE"""),2.0)</f>
        <v>2</v>
      </c>
      <c r="K1971" s="224">
        <f>IFERROR(__xludf.DUMMYFUNCTION("""COMPUTED_VALUE"""),16.0)</f>
        <v>16</v>
      </c>
      <c r="L1971" s="226">
        <f>IFERROR(__xludf.DUMMYFUNCTION("""COMPUTED_VALUE"""),1091751.0)</f>
        <v>1091751</v>
      </c>
      <c r="M1971" s="227">
        <f>IFERROR(__xludf.DUMMYFUNCTION("""COMPUTED_VALUE"""),1.7468006E7)</f>
        <v>17468006</v>
      </c>
      <c r="N1971" s="222" t="str">
        <f>IFERROR(__xludf.DUMMYFUNCTION("""COMPUTED_VALUE"""),"PT BENWA  MITRA PRATAMA")</f>
        <v>PT BENWA  MITRA PRATAMA</v>
      </c>
      <c r="O1971" s="222" t="str">
        <f>IFERROR(__xludf.DUMMYFUNCTION("""COMPUTED_VALUE"""),"2. DONE AANWIJZING")</f>
        <v>2. DONE AANWIJZING</v>
      </c>
      <c r="P1971" s="222" t="str">
        <f>IFERROR(__xludf.DUMMYFUNCTION("""COMPUTED_VALUE"""),"2.10 Kendala - Feeder Rusak")</f>
        <v>2.10 Kendala - Feeder Rusak</v>
      </c>
      <c r="Q1971" s="222" t="str">
        <f>IFERROR(__xludf.DUMMYFUNCTION("""COMPUTED_VALUE"""),"14/11 Feeder redeti
11/11 Feeder Penuh , Perlu Redesign
(24/09) Perizinan Warga dan Kades / Lurah
(23/09) Perizinan Warga dan Kades / Lurah
15/09 proses aanwijzing")</f>
        <v>14/11 Feeder redeti
11/11 Feeder Penuh , Perlu Redesign
(24/09) Perizinan Warga dan Kades / Lurah
(23/09) Perizinan Warga dan Kades / Lurah
15/09 proses aanwijzing</v>
      </c>
      <c r="R1971" s="228"/>
      <c r="S1971" s="11"/>
      <c r="T1971" s="11"/>
      <c r="U1971" s="11"/>
      <c r="V1971" s="229"/>
      <c r="W1971" s="229"/>
      <c r="X1971" s="229" t="str">
        <f>IFERROR(__xludf.DUMMYFUNCTION("""COMPUTED_VALUE"""),"BELUM GOLIVE")</f>
        <v>BELUM GOLIVE</v>
      </c>
      <c r="Y1971" s="229"/>
      <c r="Z1971" s="229" t="str">
        <f>IFERROR(__xludf.DUMMYFUNCTION("""COMPUTED_VALUE"""),"#N/A")</f>
        <v>#N/A</v>
      </c>
      <c r="AA1971" s="229"/>
      <c r="AB1971" s="229"/>
      <c r="AC1971" s="229"/>
      <c r="AD1971" s="232"/>
      <c r="AE1971" s="233"/>
      <c r="AF1971" s="54"/>
      <c r="AG1971" s="54"/>
      <c r="AH1971" s="54"/>
      <c r="AI1971" s="55" t="str">
        <f t="shared" si="193"/>
        <v/>
      </c>
      <c r="AW1971" s="234"/>
      <c r="BP1971" s="11"/>
      <c r="BQ1971" s="11"/>
      <c r="BR1971" s="235"/>
      <c r="BV1971" s="158"/>
      <c r="BY1971" s="158"/>
      <c r="CB1971" s="158"/>
    </row>
    <row r="1972" ht="18.0" hidden="1" customHeight="1">
      <c r="A1972" s="222">
        <f>IFERROR(__xludf.DUMMYFUNCTION("""COMPUTED_VALUE"""),2026.0)</f>
        <v>2026</v>
      </c>
      <c r="B1972" s="221">
        <f>IFERROR(__xludf.DUMMYFUNCTION("""COMPUTED_VALUE"""),1.1206513E7)</f>
        <v>11206513</v>
      </c>
      <c r="C1972" s="222" t="str">
        <f>IFERROR(__xludf.DUMMYFUNCTION("""COMPUTED_VALUE"""),"MDN PT3 P7I12 CTD-FCW GG.IKA WARMAN")</f>
        <v>MDN PT3 P7I12 CTD-FCW GG.IKA WARMAN</v>
      </c>
      <c r="D1972" s="222" t="str">
        <f>IFERROR(__xludf.DUMMYFUNCTION("""COMPUTED_VALUE"""),"REGIONAL I")</f>
        <v>REGIONAL I</v>
      </c>
      <c r="E1972" s="222" t="str">
        <f>IFERROR(__xludf.DUMMYFUNCTION("""COMPUTED_VALUE"""),"MEDAN")</f>
        <v>MEDAN</v>
      </c>
      <c r="F1972" s="222" t="str">
        <f>IFERROR(__xludf.DUMMYFUNCTION("""COMPUTED_VALUE"""),"CTD")</f>
        <v>CTD</v>
      </c>
      <c r="G1972" s="222" t="str">
        <f>IFERROR(__xludf.DUMMYFUNCTION("""COMPUTED_VALUE"""),"SUMBAGUT")</f>
        <v>SUMBAGUT</v>
      </c>
      <c r="H1972" s="222" t="str">
        <f>IFERROR(__xludf.DUMMYFUNCTION("""COMPUTED_VALUE"""),"MEDAN")</f>
        <v>MEDAN</v>
      </c>
      <c r="I1972" s="222" t="str">
        <f>IFERROR(__xludf.DUMMYFUNCTION("""COMPUTED_VALUE"""),"Batch 2")</f>
        <v>Batch 2</v>
      </c>
      <c r="J1972" s="225">
        <f>IFERROR(__xludf.DUMMYFUNCTION("""COMPUTED_VALUE"""),2.0)</f>
        <v>2</v>
      </c>
      <c r="K1972" s="224">
        <f>IFERROR(__xludf.DUMMYFUNCTION("""COMPUTED_VALUE"""),16.0)</f>
        <v>16</v>
      </c>
      <c r="L1972" s="226">
        <f>IFERROR(__xludf.DUMMYFUNCTION("""COMPUTED_VALUE"""),1281916.0)</f>
        <v>1281916</v>
      </c>
      <c r="M1972" s="227">
        <f>IFERROR(__xludf.DUMMYFUNCTION("""COMPUTED_VALUE"""),2.0510651E7)</f>
        <v>20510651</v>
      </c>
      <c r="N1972" s="222" t="str">
        <f>IFERROR(__xludf.DUMMYFUNCTION("""COMPUTED_VALUE"""),"PT ASWA KARYA DIFA")</f>
        <v>PT ASWA KARYA DIFA</v>
      </c>
      <c r="O1972" s="222" t="str">
        <f>IFERROR(__xludf.DUMMYFUNCTION("""COMPUTED_VALUE"""),"0. DROP")</f>
        <v>0. DROP</v>
      </c>
      <c r="P1972" s="222" t="str">
        <f>IFERROR(__xludf.DUMMYFUNCTION("""COMPUTED_VALUE"""),"0.4 CPP Tinggi Acc ED TIF")</f>
        <v>0.4 CPP Tinggi Acc ED TIF</v>
      </c>
      <c r="Q1972" s="222" t="str">
        <f>IFERROR(__xludf.DUMMYFUNCTION("""COMPUTED_VALUE"""),"14/11 modul habis
15/09 proses aanwijzing")</f>
        <v>14/11 modul habis
15/09 proses aanwijzing</v>
      </c>
      <c r="R1972" s="228"/>
      <c r="S1972" s="11"/>
      <c r="T1972" s="11"/>
      <c r="U1972" s="11"/>
      <c r="V1972" s="229"/>
      <c r="W1972" s="229"/>
      <c r="X1972" s="229" t="str">
        <f>IFERROR(__xludf.DUMMYFUNCTION("""COMPUTED_VALUE"""),"BELUM GOLIVE")</f>
        <v>BELUM GOLIVE</v>
      </c>
      <c r="Y1972" s="229"/>
      <c r="Z1972" s="229" t="str">
        <f>IFERROR(__xludf.DUMMYFUNCTION("""COMPUTED_VALUE"""),"#N/A")</f>
        <v>#N/A</v>
      </c>
      <c r="AA1972" s="229"/>
      <c r="AB1972" s="229"/>
      <c r="AC1972" s="229"/>
      <c r="AD1972" s="232"/>
      <c r="AE1972" s="233"/>
      <c r="AF1972" s="54" t="str">
        <f>IFERROR(__xludf.DUMMYFUNCTION("""COMPUTED_VALUE"""),"Draft BA DROP")</f>
        <v>Draft BA DROP</v>
      </c>
      <c r="AG1972" s="54"/>
      <c r="AH1972" s="54"/>
      <c r="AI1972" s="55" t="str">
        <f t="shared" si="193"/>
        <v/>
      </c>
      <c r="AW1972" s="234"/>
      <c r="BP1972" s="11"/>
      <c r="BQ1972" s="11"/>
      <c r="BR1972" s="235"/>
      <c r="BV1972" s="158"/>
      <c r="BY1972" s="158"/>
      <c r="CB1972" s="158"/>
    </row>
    <row r="1973" ht="18.0" customHeight="1">
      <c r="A1973" s="222">
        <f>IFERROR(__xludf.DUMMYFUNCTION("""COMPUTED_VALUE"""),2026.0)</f>
        <v>2026</v>
      </c>
      <c r="B1973" s="221">
        <f>IFERROR(__xludf.DUMMYFUNCTION("""COMPUTED_VALUE"""),1.150816E7)</f>
        <v>11508160</v>
      </c>
      <c r="C1973" s="222" t="str">
        <f>IFERROR(__xludf.DUMMYFUNCTION("""COMPUTED_VALUE"""),"SMB P3I1 MD - 150 STO SWL")</f>
        <v>SMB P3I1 MD - 150 STO SWL</v>
      </c>
      <c r="D1973" s="222" t="str">
        <f>IFERROR(__xludf.DUMMYFUNCTION("""COMPUTED_VALUE"""),"REGIONAL I")</f>
        <v>REGIONAL I</v>
      </c>
      <c r="E1973" s="222" t="str">
        <f>IFERROR(__xludf.DUMMYFUNCTION("""COMPUTED_VALUE"""),"SUMBAR")</f>
        <v>SUMBAR</v>
      </c>
      <c r="F1973" s="222" t="str">
        <f>IFERROR(__xludf.DUMMYFUNCTION("""COMPUTED_VALUE"""),"SWL")</f>
        <v>SWL</v>
      </c>
      <c r="G1973" s="222" t="str">
        <f>IFERROR(__xludf.DUMMYFUNCTION("""COMPUTED_VALUE"""),"SUMBAGTENG")</f>
        <v>SUMBAGTENG</v>
      </c>
      <c r="H1973" s="222" t="str">
        <f>IFERROR(__xludf.DUMMYFUNCTION("""COMPUTED_VALUE"""),"PADANG")</f>
        <v>PADANG</v>
      </c>
      <c r="I1973" s="222" t="str">
        <f>IFERROR(__xludf.DUMMYFUNCTION("""COMPUTED_VALUE"""),"Batch 2")</f>
        <v>Batch 2</v>
      </c>
      <c r="J1973" s="225">
        <f>IFERROR(__xludf.DUMMYFUNCTION("""COMPUTED_VALUE"""),4.0)</f>
        <v>4</v>
      </c>
      <c r="K1973" s="224">
        <f>IFERROR(__xludf.DUMMYFUNCTION("""COMPUTED_VALUE"""),32.0)</f>
        <v>32</v>
      </c>
      <c r="L1973" s="226">
        <f>IFERROR(__xludf.DUMMYFUNCTION("""COMPUTED_VALUE"""),1500942.0)</f>
        <v>1500942</v>
      </c>
      <c r="M1973" s="227">
        <f>IFERROR(__xludf.DUMMYFUNCTION("""COMPUTED_VALUE"""),4.8030126E7)</f>
        <v>48030126</v>
      </c>
      <c r="N1973" s="222" t="str">
        <f>IFERROR(__xludf.DUMMYFUNCTION("""COMPUTED_VALUE"""),"PT TANJUNG PUTRA PRIMA")</f>
        <v>PT TANJUNG PUTRA PRIMA</v>
      </c>
      <c r="O1973" s="222" t="str">
        <f>IFERROR(__xludf.DUMMYFUNCTION("""COMPUTED_VALUE"""),"2. DONE AANWIJZING")</f>
        <v>2. DONE AANWIJZING</v>
      </c>
      <c r="P1973" s="222" t="str">
        <f>IFERROR(__xludf.DUMMYFUNCTION("""COMPUTED_VALUE"""),"2.9 Kendala - Distribusi Penuh / Rusak")</f>
        <v>2.9 Kendala - Distribusi Penuh / Rusak</v>
      </c>
      <c r="Q1973" s="222" t="str">
        <f>IFERROR(__xludf.DUMMYFUNCTION("""COMPUTED_VALUE"""),"(26/01) Kendala dist 3 SWL-FB full, Solusi new dist cpp tinggi tambah 3 odp")</f>
        <v>(26/01) Kendala dist 3 SWL-FB full, Solusi new dist cpp tinggi tambah 3 odp</v>
      </c>
      <c r="R1973" s="228"/>
      <c r="S1973" s="11"/>
      <c r="T1973" s="11"/>
      <c r="U1973" s="11"/>
      <c r="V1973" s="229" t="str">
        <f>IFERROR(__xludf.DUMMYFUNCTION("""COMPUTED_VALUE"""),"YULIO NOVIKO")</f>
        <v>YULIO NOVIKO</v>
      </c>
      <c r="W1973" s="229" t="str">
        <f>IFERROR(__xludf.DUMMYFUNCTION("""COMPUTED_VALUE"""),"MELKO NARWADI")</f>
        <v>MELKO NARWADI</v>
      </c>
      <c r="X1973" s="229" t="str">
        <f>IFERROR(__xludf.DUMMYFUNCTION("""COMPUTED_VALUE"""),"BELUM GOLIVE")</f>
        <v>BELUM GOLIVE</v>
      </c>
      <c r="Y1973" s="229"/>
      <c r="Z1973" s="229" t="str">
        <f>IFERROR(__xludf.DUMMYFUNCTION("""COMPUTED_VALUE"""),"#N/A")</f>
        <v>#N/A</v>
      </c>
      <c r="AA1973" s="229"/>
      <c r="AB1973" s="229"/>
      <c r="AC1973" s="229"/>
      <c r="AD1973" s="232"/>
      <c r="AE1973" s="233"/>
      <c r="AF1973" s="54"/>
      <c r="AG1973" s="54"/>
      <c r="AH1973" s="54"/>
      <c r="AI1973" s="55" t="str">
        <f t="shared" si="193"/>
        <v/>
      </c>
      <c r="AW1973" s="234"/>
      <c r="BP1973" s="11"/>
      <c r="BQ1973" s="11"/>
      <c r="BR1973" s="235"/>
      <c r="BV1973" s="158"/>
      <c r="BY1973" s="158"/>
      <c r="CB1973" s="158"/>
    </row>
    <row r="1974" ht="18.0" customHeight="1">
      <c r="A1974" s="222">
        <f>IFERROR(__xludf.DUMMYFUNCTION("""COMPUTED_VALUE"""),2026.0)</f>
        <v>2026</v>
      </c>
      <c r="B1974" s="221">
        <f>IFERROR(__xludf.DUMMYFUNCTION("""COMPUTED_VALUE"""),1.1869855E7)</f>
        <v>11869855</v>
      </c>
      <c r="C1974" s="222" t="str">
        <f>IFERROR(__xludf.DUMMYFUNCTION("""COMPUTED_VALUE"""),"RDR JPP PT3 TAMBAHAN BKN FAD")</f>
        <v>RDR JPP PT3 TAMBAHAN BKN FAD</v>
      </c>
      <c r="D1974" s="222" t="str">
        <f>IFERROR(__xludf.DUMMYFUNCTION("""COMPUTED_VALUE"""),"REGIONAL I")</f>
        <v>REGIONAL I</v>
      </c>
      <c r="E1974" s="222" t="str">
        <f>IFERROR(__xludf.DUMMYFUNCTION("""COMPUTED_VALUE"""),"RIDAR")</f>
        <v>RIDAR</v>
      </c>
      <c r="F1974" s="222" t="str">
        <f>IFERROR(__xludf.DUMMYFUNCTION("""COMPUTED_VALUE"""),"BKN")</f>
        <v>BKN</v>
      </c>
      <c r="G1974" s="222" t="str">
        <f>IFERROR(__xludf.DUMMYFUNCTION("""COMPUTED_VALUE"""),"SUMBAGTENG")</f>
        <v>SUMBAGTENG</v>
      </c>
      <c r="H1974" s="222" t="str">
        <f>IFERROR(__xludf.DUMMYFUNCTION("""COMPUTED_VALUE"""),"DUMAI")</f>
        <v>DUMAI</v>
      </c>
      <c r="I1974" s="222" t="str">
        <f>IFERROR(__xludf.DUMMYFUNCTION("""COMPUTED_VALUE"""),"Batch 2")</f>
        <v>Batch 2</v>
      </c>
      <c r="J1974" s="225">
        <f>IFERROR(__xludf.DUMMYFUNCTION("""COMPUTED_VALUE"""),9.0)</f>
        <v>9</v>
      </c>
      <c r="K1974" s="224">
        <f>IFERROR(__xludf.DUMMYFUNCTION("""COMPUTED_VALUE"""),72.0)</f>
        <v>72</v>
      </c>
      <c r="L1974" s="226">
        <f>IFERROR(__xludf.DUMMYFUNCTION("""COMPUTED_VALUE"""),1501237.0)</f>
        <v>1501237</v>
      </c>
      <c r="M1974" s="227">
        <f>IFERROR(__xludf.DUMMYFUNCTION("""COMPUTED_VALUE"""),1.08089032E8)</f>
        <v>108089032</v>
      </c>
      <c r="N1974" s="222" t="str">
        <f>IFERROR(__xludf.DUMMYFUNCTION("""COMPUTED_VALUE"""),"PT SINAR KEPRI SEJAHTERA")</f>
        <v>PT SINAR KEPRI SEJAHTERA</v>
      </c>
      <c r="O1974" s="222" t="str">
        <f>IFERROR(__xludf.DUMMYFUNCTION("""COMPUTED_VALUE"""),"7. GOLIVE")</f>
        <v>7. GOLIVE</v>
      </c>
      <c r="P1974" s="222" t="str">
        <f>IFERROR(__xludf.DUMMYFUNCTION("""COMPUTED_VALUE"""),"7.2 Golive Full / OA / DONE OTB")</f>
        <v>7.2 Golive Full / OA / DONE OTB</v>
      </c>
      <c r="Q1974" s="222" t="str">
        <f>IFERROR(__xludf.DUMMYFUNCTION("""COMPUTED_VALUE"""),"16/03 Pemasangan ODP (26/01) Kendala dist 3 SWL-FB full, Solusi new dist cpp tinggi tambah 3 odp")</f>
        <v>16/03 Pemasangan ODP (26/01) Kendala dist 3 SWL-FB full, Solusi new dist cpp tinggi tambah 3 odp</v>
      </c>
      <c r="R1974" s="228">
        <f>IFERROR(__xludf.DUMMYFUNCTION("""COMPUTED_VALUE"""),46091.0)</f>
        <v>46091</v>
      </c>
      <c r="S1974" s="11" t="str">
        <f>IFERROR(__xludf.DUMMYFUNCTION("""COMPUTED_VALUE"""),"MAR")</f>
        <v>MAR</v>
      </c>
      <c r="T1974" s="11"/>
      <c r="U1974" s="11" t="str">
        <f>IFERROR(__xludf.DUMMYFUNCTION("""COMPUTED_VALUE"""),"W08-1403/2025")</f>
        <v>W08-1403/2025</v>
      </c>
      <c r="V1974" s="229" t="str">
        <f>IFERROR(__xludf.DUMMYFUNCTION("""COMPUTED_VALUE"""),"TEGUH IMAM PERDANA")</f>
        <v>TEGUH IMAM PERDANA</v>
      </c>
      <c r="W1974" s="229" t="str">
        <f>IFERROR(__xludf.DUMMYFUNCTION("""COMPUTED_VALUE"""),"DESLITA RAHMADANI")</f>
        <v>DESLITA RAHMADANI</v>
      </c>
      <c r="X1974" s="229" t="str">
        <f>IFERROR(__xludf.DUMMYFUNCTION("""COMPUTED_VALUE"""),"GOLIVE")</f>
        <v>GOLIVE</v>
      </c>
      <c r="Y1974" s="229" t="str">
        <f>IFERROR(__xludf.DUMMYFUNCTION("""COMPUTED_VALUE"""),"DONE")</f>
        <v>DONE</v>
      </c>
      <c r="Z1974" s="229" t="str">
        <f>IFERROR(__xludf.DUMMYFUNCTION("""COMPUTED_VALUE"""),"#N/A")</f>
        <v>#N/A</v>
      </c>
      <c r="AA1974" s="229">
        <f>IFERROR(__xludf.DUMMYFUNCTION("""COMPUTED_VALUE"""),9.0)</f>
        <v>9</v>
      </c>
      <c r="AB1974" s="229"/>
      <c r="AC1974" s="229" t="str">
        <f>IFERROR(__xludf.DUMMYFUNCTION("""COMPUTED_VALUE"""),"9219496#9219501")</f>
        <v>9219496#9219501</v>
      </c>
      <c r="AD1974" s="232">
        <f>IFERROR(__xludf.DUMMYFUNCTION("""COMPUTED_VALUE"""),72.0)</f>
        <v>72</v>
      </c>
      <c r="AE1974" s="233">
        <f>IFERROR(__xludf.DUMMYFUNCTION("""COMPUTED_VALUE"""),46106.0)</f>
        <v>46106</v>
      </c>
      <c r="AF1974" s="54"/>
      <c r="AG1974" s="54"/>
      <c r="AH1974" s="54">
        <v>46091.0</v>
      </c>
      <c r="AI1974" s="55">
        <f>IF(OR(AH1974="",AE1974=""),"",AH1974-AE1974)</f>
        <v>-15</v>
      </c>
      <c r="AW1974" s="234"/>
      <c r="BP1974" s="11"/>
      <c r="BQ1974" s="11"/>
      <c r="BR1974" s="235"/>
      <c r="BV1974" s="158"/>
      <c r="BY1974" s="158"/>
      <c r="CB1974" s="158"/>
    </row>
    <row r="1975" ht="18.0" hidden="1" customHeight="1">
      <c r="A1975" s="222">
        <f>IFERROR(__xludf.DUMMYFUNCTION("""COMPUTED_VALUE"""),2026.0)</f>
        <v>2026</v>
      </c>
      <c r="B1975" s="221">
        <f>IFERROR(__xludf.DUMMYFUNCTION("""COMPUTED_VALUE"""),1.127239E7)</f>
        <v>11272390</v>
      </c>
      <c r="C1975" s="222" t="str">
        <f>IFERROR(__xludf.DUMMYFUNCTION("""COMPUTED_VALUE"""),"MDN PT3 P1I1 TJR-FY JL.SWADAYA")</f>
        <v>MDN PT3 P1I1 TJR-FY JL.SWADAYA</v>
      </c>
      <c r="D1975" s="222" t="str">
        <f>IFERROR(__xludf.DUMMYFUNCTION("""COMPUTED_VALUE"""),"REGIONAL I")</f>
        <v>REGIONAL I</v>
      </c>
      <c r="E1975" s="222" t="str">
        <f>IFERROR(__xludf.DUMMYFUNCTION("""COMPUTED_VALUE"""),"MEDAN")</f>
        <v>MEDAN</v>
      </c>
      <c r="F1975" s="222" t="str">
        <f>IFERROR(__xludf.DUMMYFUNCTION("""COMPUTED_VALUE"""),"TJR")</f>
        <v>TJR</v>
      </c>
      <c r="G1975" s="222" t="str">
        <f>IFERROR(__xludf.DUMMYFUNCTION("""COMPUTED_VALUE"""),"SUMBAGUT")</f>
        <v>SUMBAGUT</v>
      </c>
      <c r="H1975" s="222" t="str">
        <f>IFERROR(__xludf.DUMMYFUNCTION("""COMPUTED_VALUE"""),"MEDAN")</f>
        <v>MEDAN</v>
      </c>
      <c r="I1975" s="222" t="str">
        <f>IFERROR(__xludf.DUMMYFUNCTION("""COMPUTED_VALUE"""),"Batch 2")</f>
        <v>Batch 2</v>
      </c>
      <c r="J1975" s="225">
        <f>IFERROR(__xludf.DUMMYFUNCTION("""COMPUTED_VALUE"""),6.0)</f>
        <v>6</v>
      </c>
      <c r="K1975" s="224">
        <f>IFERROR(__xludf.DUMMYFUNCTION("""COMPUTED_VALUE"""),48.0)</f>
        <v>48</v>
      </c>
      <c r="L1975" s="226">
        <f>IFERROR(__xludf.DUMMYFUNCTION("""COMPUTED_VALUE"""),1124050.0)</f>
        <v>1124050</v>
      </c>
      <c r="M1975" s="227">
        <f>IFERROR(__xludf.DUMMYFUNCTION("""COMPUTED_VALUE"""),5.3954374E7)</f>
        <v>53954374</v>
      </c>
      <c r="N1975" s="222" t="str">
        <f>IFERROR(__xludf.DUMMYFUNCTION("""COMPUTED_VALUE"""),"PT FAJAR MITRA KRIDA ABADI")</f>
        <v>PT FAJAR MITRA KRIDA ABADI</v>
      </c>
      <c r="O1975" s="222" t="str">
        <f>IFERROR(__xludf.DUMMYFUNCTION("""COMPUTED_VALUE"""),"2. DONE AANWIJZING")</f>
        <v>2. DONE AANWIJZING</v>
      </c>
      <c r="P1975" s="222" t="str">
        <f>IFERROR(__xludf.DUMMYFUNCTION("""COMPUTED_VALUE"""),"2.10 Kendala - Feeder Rusak")</f>
        <v>2.10 Kendala - Feeder Rusak</v>
      </c>
      <c r="Q1975" s="222" t="str">
        <f>IFERROR(__xludf.DUMMYFUNCTION("""COMPUTED_VALUE"""),"21/04 pengukuran ulg / butuh qe
15/01 TJR-FY feeder loss/rusak
DROP BY TSEL 
(07/01) Persiapan")</f>
        <v>21/04 pengukuran ulg / butuh qe
15/01 TJR-FY feeder loss/rusak
DROP BY TSEL 
(07/01) Persiapan</v>
      </c>
      <c r="R1975" s="228"/>
      <c r="S1975" s="11"/>
      <c r="T1975" s="11"/>
      <c r="U1975" s="11"/>
      <c r="V1975" s="229"/>
      <c r="W1975" s="229"/>
      <c r="X1975" s="229" t="str">
        <f>IFERROR(__xludf.DUMMYFUNCTION("""COMPUTED_VALUE"""),"BELUM GOLIVE")</f>
        <v>BELUM GOLIVE</v>
      </c>
      <c r="Y1975" s="229"/>
      <c r="Z1975" s="229" t="str">
        <f>IFERROR(__xludf.DUMMYFUNCTION("""COMPUTED_VALUE"""),"#N/A")</f>
        <v>#N/A</v>
      </c>
      <c r="AA1975" s="229"/>
      <c r="AB1975" s="229"/>
      <c r="AC1975" s="229"/>
      <c r="AD1975" s="232"/>
      <c r="AE1975" s="233"/>
      <c r="AF1975" s="54"/>
      <c r="AG1975" s="54"/>
      <c r="AH1975" s="54"/>
      <c r="AI1975" s="55" t="str">
        <f t="shared" ref="AI1975:AI1976" si="194">IF(OR(R1975="",AE1975=""),"",R1975-AE1975)</f>
        <v/>
      </c>
      <c r="AW1975" s="234"/>
      <c r="BP1975" s="11"/>
      <c r="BQ1975" s="11"/>
      <c r="BR1975" s="235"/>
      <c r="BV1975" s="158"/>
      <c r="BY1975" s="158"/>
      <c r="CB1975" s="158"/>
    </row>
    <row r="1976" ht="18.0" hidden="1" customHeight="1">
      <c r="A1976" s="222">
        <f>IFERROR(__xludf.DUMMYFUNCTION("""COMPUTED_VALUE"""),2026.0)</f>
        <v>2026</v>
      </c>
      <c r="B1976" s="221">
        <f>IFERROR(__xludf.DUMMYFUNCTION("""COMPUTED_VALUE"""),1.141036E7)</f>
        <v>11410360</v>
      </c>
      <c r="C1976" s="222" t="str">
        <f>IFERROR(__xludf.DUMMYFUNCTION("""COMPUTED_VALUE"""),"BNK-PT3-BRC-KOTA BENGKULU_15162")</f>
        <v>BNK-PT3-BRC-KOTA BENGKULU_15162</v>
      </c>
      <c r="D1976" s="222" t="str">
        <f>IFERROR(__xludf.DUMMYFUNCTION("""COMPUTED_VALUE"""),"REGIONAL I")</f>
        <v>REGIONAL I</v>
      </c>
      <c r="E1976" s="222" t="str">
        <f>IFERROR(__xludf.DUMMYFUNCTION("""COMPUTED_VALUE"""),"BENGKULU")</f>
        <v>BENGKULU</v>
      </c>
      <c r="F1976" s="222" t="str">
        <f>IFERROR(__xludf.DUMMYFUNCTION("""COMPUTED_VALUE"""),"BNC")</f>
        <v>BNC</v>
      </c>
      <c r="G1976" s="222" t="str">
        <f>IFERROR(__xludf.DUMMYFUNCTION("""COMPUTED_VALUE"""),"SUMBAGSEL")</f>
        <v>SUMBAGSEL</v>
      </c>
      <c r="H1976" s="222" t="str">
        <f>IFERROR(__xludf.DUMMYFUNCTION("""COMPUTED_VALUE"""),"BENGKULU")</f>
        <v>BENGKULU</v>
      </c>
      <c r="I1976" s="222" t="str">
        <f>IFERROR(__xludf.DUMMYFUNCTION("""COMPUTED_VALUE"""),"Batch 2")</f>
        <v>Batch 2</v>
      </c>
      <c r="J1976" s="225">
        <f>IFERROR(__xludf.DUMMYFUNCTION("""COMPUTED_VALUE"""),3.0)</f>
        <v>3</v>
      </c>
      <c r="K1976" s="224">
        <f>IFERROR(__xludf.DUMMYFUNCTION("""COMPUTED_VALUE"""),24.0)</f>
        <v>24</v>
      </c>
      <c r="L1976" s="226">
        <f>IFERROR(__xludf.DUMMYFUNCTION("""COMPUTED_VALUE"""),1501789.0)</f>
        <v>1501789</v>
      </c>
      <c r="M1976" s="227">
        <f>IFERROR(__xludf.DUMMYFUNCTION("""COMPUTED_VALUE"""),3.6042922E7)</f>
        <v>36042922</v>
      </c>
      <c r="N1976" s="222" t="str">
        <f>IFERROR(__xludf.DUMMYFUNCTION("""COMPUTED_VALUE"""),"SWAKELOLA")</f>
        <v>SWAKELOLA</v>
      </c>
      <c r="O1976" s="222" t="str">
        <f>IFERROR(__xludf.DUMMYFUNCTION("""COMPUTED_VALUE"""),"0. DROP")</f>
        <v>0. DROP</v>
      </c>
      <c r="P1976" s="222" t="str">
        <f>IFERROR(__xludf.DUMMYFUNCTION("""COMPUTED_VALUE"""),"0.2 Tidak Dapat Izin Warga/Kades/Lurah/Developer")</f>
        <v>0.2 Tidak Dapat Izin Warga/Kades/Lurah/Developer</v>
      </c>
      <c r="Q1976" s="222" t="str">
        <f>IFERROR(__xludf.DUMMYFUNCTION("""COMPUTED_VALUE"""),"22/2 tidak mendapat IZIN 23/01 : Drop by TSEL")</f>
        <v>22/2 tidak mendapat IZIN 23/01 : Drop by TSEL</v>
      </c>
      <c r="R1976" s="228"/>
      <c r="S1976" s="11"/>
      <c r="T1976" s="11"/>
      <c r="U1976" s="11"/>
      <c r="V1976" s="229"/>
      <c r="W1976" s="229"/>
      <c r="X1976" s="229" t="str">
        <f>IFERROR(__xludf.DUMMYFUNCTION("""COMPUTED_VALUE"""),"BELUM GOLIVE")</f>
        <v>BELUM GOLIVE</v>
      </c>
      <c r="Y1976" s="229"/>
      <c r="Z1976" s="229" t="str">
        <f>IFERROR(__xludf.DUMMYFUNCTION("""COMPUTED_VALUE"""),"#N/A")</f>
        <v>#N/A</v>
      </c>
      <c r="AA1976" s="229"/>
      <c r="AB1976" s="229"/>
      <c r="AC1976" s="229"/>
      <c r="AD1976" s="232"/>
      <c r="AE1976" s="233"/>
      <c r="AF1976" s="54" t="str">
        <f>IFERROR(__xludf.DUMMYFUNCTION("""COMPUTED_VALUE"""),"Draft BA DROP")</f>
        <v>Draft BA DROP</v>
      </c>
      <c r="AG1976" s="54"/>
      <c r="AH1976" s="54"/>
      <c r="AI1976" s="55" t="str">
        <f t="shared" si="194"/>
        <v/>
      </c>
      <c r="AW1976" s="234"/>
      <c r="BP1976" s="11"/>
      <c r="BQ1976" s="11"/>
      <c r="BR1976" s="235"/>
      <c r="BV1976" s="158"/>
      <c r="BY1976" s="158"/>
      <c r="CB1976" s="158"/>
    </row>
    <row r="1977" ht="18.0" customHeight="1">
      <c r="A1977" s="222">
        <f>IFERROR(__xludf.DUMMYFUNCTION("""COMPUTED_VALUE"""),2026.0)</f>
        <v>2026</v>
      </c>
      <c r="B1977" s="221">
        <f>IFERROR(__xludf.DUMMYFUNCTION("""COMPUTED_VALUE"""),1.1198101E7)</f>
        <v>11198101</v>
      </c>
      <c r="C1977" s="222" t="str">
        <f>IFERROR(__xludf.DUMMYFUNCTION("""COMPUTED_VALUE"""),"RKP PT3 JPP TJT-FG JL. SARTIKA")</f>
        <v>RKP PT3 JPP TJT-FG JL. SARTIKA</v>
      </c>
      <c r="D1977" s="222" t="str">
        <f>IFERROR(__xludf.DUMMYFUNCTION("""COMPUTED_VALUE"""),"REGIONAL I")</f>
        <v>REGIONAL I</v>
      </c>
      <c r="E1977" s="222" t="str">
        <f>IFERROR(__xludf.DUMMYFUNCTION("""COMPUTED_VALUE"""),"RIKEP")</f>
        <v>RIKEP</v>
      </c>
      <c r="F1977" s="222" t="str">
        <f>IFERROR(__xludf.DUMMYFUNCTION("""COMPUTED_VALUE"""),"TJT")</f>
        <v>TJT</v>
      </c>
      <c r="G1977" s="222" t="str">
        <f>IFERROR(__xludf.DUMMYFUNCTION("""COMPUTED_VALUE"""),"SUMBAGTENG")</f>
        <v>SUMBAGTENG</v>
      </c>
      <c r="H1977" s="222" t="str">
        <f>IFERROR(__xludf.DUMMYFUNCTION("""COMPUTED_VALUE"""),"BATAM")</f>
        <v>BATAM</v>
      </c>
      <c r="I1977" s="222" t="str">
        <f>IFERROR(__xludf.DUMMYFUNCTION("""COMPUTED_VALUE"""),"Batch 2")</f>
        <v>Batch 2</v>
      </c>
      <c r="J1977" s="225">
        <f>IFERROR(__xludf.DUMMYFUNCTION("""COMPUTED_VALUE"""),4.0)</f>
        <v>4</v>
      </c>
      <c r="K1977" s="224">
        <f>IFERROR(__xludf.DUMMYFUNCTION("""COMPUTED_VALUE"""),32.0)</f>
        <v>32</v>
      </c>
      <c r="L1977" s="226">
        <f>IFERROR(__xludf.DUMMYFUNCTION("""COMPUTED_VALUE"""),1501802.0)</f>
        <v>1501802</v>
      </c>
      <c r="M1977" s="227">
        <f>IFERROR(__xludf.DUMMYFUNCTION("""COMPUTED_VALUE"""),4.8057636E7)</f>
        <v>48057636</v>
      </c>
      <c r="N1977" s="222" t="str">
        <f>IFERROR(__xludf.DUMMYFUNCTION("""COMPUTED_VALUE"""),"PT MITRA AKSES INSANI")</f>
        <v>PT MITRA AKSES INSANI</v>
      </c>
      <c r="O1977" s="222" t="str">
        <f>IFERROR(__xludf.DUMMYFUNCTION("""COMPUTED_VALUE"""),"7. GOLIVE")</f>
        <v>7. GOLIVE</v>
      </c>
      <c r="P1977" s="222" t="str">
        <f>IFERROR(__xludf.DUMMYFUNCTION("""COMPUTED_VALUE"""),"7.2 Golive Full / OA / DONE OTB")</f>
        <v>7.2 Golive Full / OA / DONE OTB</v>
      </c>
      <c r="Q1977" s="222" t="str">
        <f>IFERROR(__xludf.DUMMYFUNCTION("""COMPUTED_VALUE"""),"25/03 Proses ABD valid4. 16/03 Tim terminasi berangkat ke pulau tanjung batu dari batam setelah lebaran. 
09/03 Terminasi ODP. 
05/ 03 proses penarikan kabel
26/02 Tanam tiang DONE, proses tarik kabel tim serial. 13/02 Jadwal kapal ke pulau tanjung batu d"&amp;"i hari rabu, karena kapal hari minggu sudah penuh. 09/02 LOP belum di survey oleh mitra, komitmen terakhi hari minggu tgl 8 feb tim berangkat ke pulau tanjung batu. 29/01 mitra MAI sudah acc dan plan survey senin 2 Februari. 21/01 Plan anwijzing Lokasi di"&amp;" pulau outer Tanjung batu")</f>
        <v>25/03 Proses ABD valid4. 16/03 Tim terminasi berangkat ke pulau tanjung batu dari batam setelah lebaran. 
09/03 Terminasi ODP. 
05/ 03 proses penarikan kabel
26/02 Tanam tiang DONE, proses tarik kabel tim serial.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1977" s="228">
        <f>IFERROR(__xludf.DUMMYFUNCTION("""COMPUTED_VALUE"""),46096.0)</f>
        <v>46096</v>
      </c>
      <c r="S1977" s="11" t="str">
        <f>IFERROR(__xludf.DUMMYFUNCTION("""COMPUTED_VALUE"""),"MAR")</f>
        <v>MAR</v>
      </c>
      <c r="T1977" s="11"/>
      <c r="U1977" s="11" t="str">
        <f>IFERROR(__xludf.DUMMYFUNCTION("""COMPUTED_VALUE"""),"W09-161/2026")</f>
        <v>W09-161/2026</v>
      </c>
      <c r="V1977" s="229" t="str">
        <f>IFERROR(__xludf.DUMMYFUNCTION("""COMPUTED_VALUE"""),"MOHAMMAD FAUZY")</f>
        <v>MOHAMMAD FAUZY</v>
      </c>
      <c r="W1977" s="229" t="str">
        <f>IFERROR(__xludf.DUMMYFUNCTION("""COMPUTED_VALUE"""),"LEVITA INDRIYANI")</f>
        <v>LEVITA INDRIYANI</v>
      </c>
      <c r="X1977" s="229" t="str">
        <f>IFERROR(__xludf.DUMMYFUNCTION("""COMPUTED_VALUE"""),"GOLIVE")</f>
        <v>GOLIVE</v>
      </c>
      <c r="Y1977" s="229" t="str">
        <f>IFERROR(__xludf.DUMMYFUNCTION("""COMPUTED_VALUE"""),"DONE")</f>
        <v>DONE</v>
      </c>
      <c r="Z1977" s="229" t="str">
        <f>IFERROR(__xludf.DUMMYFUNCTION("""COMPUTED_VALUE"""),"#N/A")</f>
        <v>#N/A</v>
      </c>
      <c r="AA1977" s="229">
        <f>IFERROR(__xludf.DUMMYFUNCTION("""COMPUTED_VALUE"""),4.0)</f>
        <v>4</v>
      </c>
      <c r="AB1977" s="229"/>
      <c r="AC1977" s="229" t="str">
        <f>IFERROR(__xludf.DUMMYFUNCTION("""COMPUTED_VALUE"""),"9137403#9137408")</f>
        <v>9137403#9137408</v>
      </c>
      <c r="AD1977" s="232">
        <f>IFERROR(__xludf.DUMMYFUNCTION("""COMPUTED_VALUE"""),32.0)</f>
        <v>32</v>
      </c>
      <c r="AE1977" s="233">
        <f>IFERROR(__xludf.DUMMYFUNCTION("""COMPUTED_VALUE"""),46112.0)</f>
        <v>46112</v>
      </c>
      <c r="AF1977" s="54"/>
      <c r="AG1977" s="54"/>
      <c r="AH1977" s="54">
        <v>46096.0</v>
      </c>
      <c r="AI1977" s="55">
        <f>IF(OR(AH1977="",AE1977=""),"",AH1977-AE1977)</f>
        <v>-16</v>
      </c>
      <c r="AW1977" s="234"/>
      <c r="BP1977" s="11"/>
      <c r="BQ1977" s="11"/>
      <c r="BR1977" s="235"/>
      <c r="BV1977" s="158"/>
      <c r="BY1977" s="158"/>
      <c r="CB1977" s="158"/>
    </row>
    <row r="1978" ht="18.0" hidden="1" customHeight="1">
      <c r="A1978" s="222">
        <f>IFERROR(__xludf.DUMMYFUNCTION("""COMPUTED_VALUE"""),2026.0)</f>
        <v>2026</v>
      </c>
      <c r="B1978" s="221">
        <f>IFERROR(__xludf.DUMMYFUNCTION("""COMPUTED_VALUE"""),1.1533313E7)</f>
        <v>11533313</v>
      </c>
      <c r="C1978" s="222" t="str">
        <f>IFERROR(__xludf.DUMMYFUNCTION("""COMPUTED_VALUE"""),"MDN PT3 DLT-FC PARASIAN RESIDENCE 3")</f>
        <v>MDN PT3 DLT-FC PARASIAN RESIDENCE 3</v>
      </c>
      <c r="D1978" s="222" t="str">
        <f>IFERROR(__xludf.DUMMYFUNCTION("""COMPUTED_VALUE"""),"REGIONAL I")</f>
        <v>REGIONAL I</v>
      </c>
      <c r="E1978" s="222" t="str">
        <f>IFERROR(__xludf.DUMMYFUNCTION("""COMPUTED_VALUE"""),"MEDAN")</f>
        <v>MEDAN</v>
      </c>
      <c r="F1978" s="222" t="str">
        <f>IFERROR(__xludf.DUMMYFUNCTION("""COMPUTED_VALUE"""),"DLT")</f>
        <v>DLT</v>
      </c>
      <c r="G1978" s="222" t="str">
        <f>IFERROR(__xludf.DUMMYFUNCTION("""COMPUTED_VALUE"""),"SUMBAGUT")</f>
        <v>SUMBAGUT</v>
      </c>
      <c r="H1978" s="222" t="str">
        <f>IFERROR(__xludf.DUMMYFUNCTION("""COMPUTED_VALUE"""),"MEDAN")</f>
        <v>MEDAN</v>
      </c>
      <c r="I1978" s="222" t="str">
        <f>IFERROR(__xludf.DUMMYFUNCTION("""COMPUTED_VALUE"""),"Batch 2")</f>
        <v>Batch 2</v>
      </c>
      <c r="J1978" s="225">
        <f>IFERROR(__xludf.DUMMYFUNCTION("""COMPUTED_VALUE"""),8.0)</f>
        <v>8</v>
      </c>
      <c r="K1978" s="224">
        <f>IFERROR(__xludf.DUMMYFUNCTION("""COMPUTED_VALUE"""),64.0)</f>
        <v>64</v>
      </c>
      <c r="L1978" s="226">
        <f>IFERROR(__xludf.DUMMYFUNCTION("""COMPUTED_VALUE"""),1260610.0)</f>
        <v>1260610</v>
      </c>
      <c r="M1978" s="227">
        <f>IFERROR(__xludf.DUMMYFUNCTION("""COMPUTED_VALUE"""),8.0679023E7)</f>
        <v>80679023</v>
      </c>
      <c r="N1978" s="222" t="str">
        <f>IFERROR(__xludf.DUMMYFUNCTION("""COMPUTED_VALUE"""),"PT SALTTEK DUMPANG JAYA")</f>
        <v>PT SALTTEK DUMPANG JAYA</v>
      </c>
      <c r="O1978" s="222" t="str">
        <f>IFERROR(__xludf.DUMMYFUNCTION("""COMPUTED_VALUE"""),"0. DROP")</f>
        <v>0. DROP</v>
      </c>
      <c r="P1978" s="222" t="str">
        <f>IFERROR(__xludf.DUMMYFUNCTION("""COMPUTED_VALUE"""),"0.4 CPP Tinggi Acc ED TIF")</f>
        <v>0.4 CPP Tinggi Acc ED TIF</v>
      </c>
      <c r="Q1978" s="222" t="str">
        <f>IFERROR(__xludf.DUMMYFUNCTION("""COMPUTED_VALUE"""),"05/02 Feeder Redti, Plan repair by mitra (07/01) Persiapan")</f>
        <v>05/02 Feeder Redti, Plan repair by mitra (07/01) Persiapan</v>
      </c>
      <c r="R1978" s="228"/>
      <c r="S1978" s="11"/>
      <c r="T1978" s="11"/>
      <c r="U1978" s="11"/>
      <c r="V1978" s="229"/>
      <c r="W1978" s="229"/>
      <c r="X1978" s="229" t="str">
        <f>IFERROR(__xludf.DUMMYFUNCTION("""COMPUTED_VALUE"""),"BELUM GOLIVE")</f>
        <v>BELUM GOLIVE</v>
      </c>
      <c r="Y1978" s="229"/>
      <c r="Z1978" s="229" t="str">
        <f>IFERROR(__xludf.DUMMYFUNCTION("""COMPUTED_VALUE"""),"#N/A")</f>
        <v>#N/A</v>
      </c>
      <c r="AA1978" s="229"/>
      <c r="AB1978" s="229"/>
      <c r="AC1978" s="229"/>
      <c r="AD1978" s="232"/>
      <c r="AE1978" s="233"/>
      <c r="AF1978" s="54" t="str">
        <f>IFERROR(__xludf.DUMMYFUNCTION("""COMPUTED_VALUE"""),"Draft BA DROP")</f>
        <v>Draft BA DROP</v>
      </c>
      <c r="AG1978" s="54"/>
      <c r="AH1978" s="54"/>
      <c r="AI1978" s="55" t="str">
        <f t="shared" ref="AI1978:AI1988" si="195">IF(OR(R1978="",AE1978=""),"",R1978-AE1978)</f>
        <v/>
      </c>
      <c r="AW1978" s="234"/>
      <c r="BP1978" s="11"/>
      <c r="BQ1978" s="11"/>
      <c r="BR1978" s="235"/>
      <c r="BV1978" s="158"/>
      <c r="BY1978" s="158"/>
      <c r="CB1978" s="158"/>
    </row>
    <row r="1979" ht="18.0" hidden="1" customHeight="1">
      <c r="A1979" s="222">
        <f>IFERROR(__xludf.DUMMYFUNCTION("""COMPUTED_VALUE"""),2026.0)</f>
        <v>2026</v>
      </c>
      <c r="B1979" s="221">
        <f>IFERROR(__xludf.DUMMYFUNCTION("""COMPUTED_VALUE"""),1.1219588E7)</f>
        <v>11219588</v>
      </c>
      <c r="C1979" s="222" t="str">
        <f>IFERROR(__xludf.DUMMYFUNCTION("""COMPUTED_VALUE"""),"MDN PT3 P7I12 TMU-FAE PERUM GRIYA WIDURI")</f>
        <v>MDN PT3 P7I12 TMU-FAE PERUM GRIYA WIDURI</v>
      </c>
      <c r="D1979" s="222" t="str">
        <f>IFERROR(__xludf.DUMMYFUNCTION("""COMPUTED_VALUE"""),"REGIONAL I")</f>
        <v>REGIONAL I</v>
      </c>
      <c r="E1979" s="222" t="str">
        <f>IFERROR(__xludf.DUMMYFUNCTION("""COMPUTED_VALUE"""),"MEDAN")</f>
        <v>MEDAN</v>
      </c>
      <c r="F1979" s="222" t="str">
        <f>IFERROR(__xludf.DUMMYFUNCTION("""COMPUTED_VALUE"""),"TMU")</f>
        <v>TMU</v>
      </c>
      <c r="G1979" s="222" t="str">
        <f>IFERROR(__xludf.DUMMYFUNCTION("""COMPUTED_VALUE"""),"SUMBAGUT")</f>
        <v>SUMBAGUT</v>
      </c>
      <c r="H1979" s="222" t="str">
        <f>IFERROR(__xludf.DUMMYFUNCTION("""COMPUTED_VALUE"""),"MEDAN")</f>
        <v>MEDAN</v>
      </c>
      <c r="I1979" s="222" t="str">
        <f>IFERROR(__xludf.DUMMYFUNCTION("""COMPUTED_VALUE"""),"Batch 2")</f>
        <v>Batch 2</v>
      </c>
      <c r="J1979" s="225">
        <f>IFERROR(__xludf.DUMMYFUNCTION("""COMPUTED_VALUE"""),3.0)</f>
        <v>3</v>
      </c>
      <c r="K1979" s="224">
        <f>IFERROR(__xludf.DUMMYFUNCTION("""COMPUTED_VALUE"""),24.0)</f>
        <v>24</v>
      </c>
      <c r="L1979" s="226">
        <f>IFERROR(__xludf.DUMMYFUNCTION("""COMPUTED_VALUE"""),814344.0)</f>
        <v>814344</v>
      </c>
      <c r="M1979" s="227">
        <f>IFERROR(__xludf.DUMMYFUNCTION("""COMPUTED_VALUE"""),1.9544242E7)</f>
        <v>19544242</v>
      </c>
      <c r="N1979" s="222" t="str">
        <f>IFERROR(__xludf.DUMMYFUNCTION("""COMPUTED_VALUE"""),"PT GLOBAL KARYA WANDA")</f>
        <v>PT GLOBAL KARYA WANDA</v>
      </c>
      <c r="O1979" s="222" t="str">
        <f>IFERROR(__xludf.DUMMYFUNCTION("""COMPUTED_VALUE"""),"2. DONE AANWIJZING")</f>
        <v>2. DONE AANWIJZING</v>
      </c>
      <c r="P1979" s="222" t="str">
        <f>IFERROR(__xludf.DUMMYFUNCTION("""COMPUTED_VALUE"""),"2.10 Kendala - Feeder Rusak")</f>
        <v>2.10 Kendala - Feeder Rusak</v>
      </c>
      <c r="Q1979" s="222" t="str">
        <f>IFERROR(__xludf.DUMMYFUNCTION("""COMPUTED_VALUE"""),"21/04 pengecekan tipus / butuh qe
14/11 Feeder redeti
16/10 Feeder Redaman Tinggi
(24/09) Perizinan Warga dan Kades / Lurah
(23/09) Perizinan Warga dan Kades / Lurah
15/09 proses aanwijzing")</f>
        <v>21/04 pengecekan tipus / butuh qe
14/11 Feeder redeti
16/10 Feeder Redaman Tinggi
(24/09) Perizinan Warga dan Kades / Lurah
(23/09) Perizinan Warga dan Kades / Lurah
15/09 proses aanwijzing</v>
      </c>
      <c r="R1979" s="228"/>
      <c r="S1979" s="11"/>
      <c r="T1979" s="11"/>
      <c r="U1979" s="11"/>
      <c r="V1979" s="229"/>
      <c r="W1979" s="229"/>
      <c r="X1979" s="229" t="str">
        <f>IFERROR(__xludf.DUMMYFUNCTION("""COMPUTED_VALUE"""),"BELUM GOLIVE")</f>
        <v>BELUM GOLIVE</v>
      </c>
      <c r="Y1979" s="229"/>
      <c r="Z1979" s="229" t="str">
        <f>IFERROR(__xludf.DUMMYFUNCTION("""COMPUTED_VALUE"""),"#N/A")</f>
        <v>#N/A</v>
      </c>
      <c r="AA1979" s="229"/>
      <c r="AB1979" s="229"/>
      <c r="AC1979" s="229"/>
      <c r="AD1979" s="232"/>
      <c r="AE1979" s="233"/>
      <c r="AF1979" s="54"/>
      <c r="AG1979" s="54"/>
      <c r="AH1979" s="54"/>
      <c r="AI1979" s="55" t="str">
        <f t="shared" si="195"/>
        <v/>
      </c>
      <c r="AW1979" s="234"/>
      <c r="BP1979" s="11"/>
      <c r="BQ1979" s="11"/>
      <c r="BR1979" s="235"/>
      <c r="BV1979" s="158"/>
      <c r="BY1979" s="158"/>
      <c r="CB1979" s="158"/>
    </row>
    <row r="1980" ht="18.0" hidden="1" customHeight="1">
      <c r="A1980" s="222">
        <f>IFERROR(__xludf.DUMMYFUNCTION("""COMPUTED_VALUE"""),2026.0)</f>
        <v>2026</v>
      </c>
      <c r="B1980" s="221">
        <f>IFERROR(__xludf.DUMMYFUNCTION("""COMPUTED_VALUE"""),1.1272064E7)</f>
        <v>11272064</v>
      </c>
      <c r="C1980" s="222" t="str">
        <f>IFERROR(__xludf.DUMMYFUNCTION("""COMPUTED_VALUE"""),"MDN PT3 P1I1 SPM-FBK GG.EKA ROSA")</f>
        <v>MDN PT3 P1I1 SPM-FBK GG.EKA ROSA</v>
      </c>
      <c r="D1980" s="222" t="str">
        <f>IFERROR(__xludf.DUMMYFUNCTION("""COMPUTED_VALUE"""),"REGIONAL I")</f>
        <v>REGIONAL I</v>
      </c>
      <c r="E1980" s="222" t="str">
        <f>IFERROR(__xludf.DUMMYFUNCTION("""COMPUTED_VALUE"""),"MEDAN")</f>
        <v>MEDAN</v>
      </c>
      <c r="F1980" s="222" t="str">
        <f>IFERROR(__xludf.DUMMYFUNCTION("""COMPUTED_VALUE"""),"SPM")</f>
        <v>SPM</v>
      </c>
      <c r="G1980" s="222" t="str">
        <f>IFERROR(__xludf.DUMMYFUNCTION("""COMPUTED_VALUE"""),"SUMBAGUT")</f>
        <v>SUMBAGUT</v>
      </c>
      <c r="H1980" s="222" t="str">
        <f>IFERROR(__xludf.DUMMYFUNCTION("""COMPUTED_VALUE"""),"MEDAN")</f>
        <v>MEDAN</v>
      </c>
      <c r="I1980" s="222" t="str">
        <f>IFERROR(__xludf.DUMMYFUNCTION("""COMPUTED_VALUE"""),"Batch 2")</f>
        <v>Batch 2</v>
      </c>
      <c r="J1980" s="225">
        <f>IFERROR(__xludf.DUMMYFUNCTION("""COMPUTED_VALUE"""),3.0)</f>
        <v>3</v>
      </c>
      <c r="K1980" s="224">
        <f>IFERROR(__xludf.DUMMYFUNCTION("""COMPUTED_VALUE"""),24.0)</f>
        <v>24</v>
      </c>
      <c r="L1980" s="226">
        <f>IFERROR(__xludf.DUMMYFUNCTION("""COMPUTED_VALUE"""),866729.0)</f>
        <v>866729</v>
      </c>
      <c r="M1980" s="227">
        <f>IFERROR(__xludf.DUMMYFUNCTION("""COMPUTED_VALUE"""),2.0801481E7)</f>
        <v>20801481</v>
      </c>
      <c r="N1980" s="222" t="str">
        <f>IFERROR(__xludf.DUMMYFUNCTION("""COMPUTED_VALUE"""),"PT UPENTEL INTERNASIONAL")</f>
        <v>PT UPENTEL INTERNASIONAL</v>
      </c>
      <c r="O1980" s="222" t="str">
        <f>IFERROR(__xludf.DUMMYFUNCTION("""COMPUTED_VALUE"""),"2. DONE AANWIJZING")</f>
        <v>2. DONE AANWIJZING</v>
      </c>
      <c r="P1980" s="222" t="str">
        <f>IFERROR(__xludf.DUMMYFUNCTION("""COMPUTED_VALUE"""),"2.9 Kendala - Distribusi Penuh / Rusak")</f>
        <v>2.9 Kendala - Distribusi Penuh / Rusak</v>
      </c>
      <c r="Q1980" s="222" t="str">
        <f>IFERROR(__xludf.DUMMYFUNCTION("""COMPUTED_VALUE"""),"16/10 Distribusi Habis, Usulan Redesign New Disitrusi
(24/09) Perizinan Warga dan Kades / Lurah
(23/09) Perizinan Warga dan Kades / Lurah
15/09 proses aanwijzing")</f>
        <v>16/10 Distribusi Habis, Usulan Redesign New Disitrusi
(24/09) Perizinan Warga dan Kades / Lurah
(23/09) Perizinan Warga dan Kades / Lurah
15/09 proses aanwijzing</v>
      </c>
      <c r="R1980" s="228"/>
      <c r="S1980" s="11"/>
      <c r="T1980" s="11"/>
      <c r="U1980" s="11"/>
      <c r="V1980" s="229"/>
      <c r="W1980" s="229"/>
      <c r="X1980" s="229" t="str">
        <f>IFERROR(__xludf.DUMMYFUNCTION("""COMPUTED_VALUE"""),"BELUM GOLIVE")</f>
        <v>BELUM GOLIVE</v>
      </c>
      <c r="Y1980" s="229"/>
      <c r="Z1980" s="229" t="str">
        <f>IFERROR(__xludf.DUMMYFUNCTION("""COMPUTED_VALUE"""),"#N/A")</f>
        <v>#N/A</v>
      </c>
      <c r="AA1980" s="229"/>
      <c r="AB1980" s="229"/>
      <c r="AC1980" s="229"/>
      <c r="AD1980" s="232"/>
      <c r="AE1980" s="233"/>
      <c r="AF1980" s="54"/>
      <c r="AG1980" s="54"/>
      <c r="AH1980" s="54"/>
      <c r="AI1980" s="55" t="str">
        <f t="shared" si="195"/>
        <v/>
      </c>
      <c r="AW1980" s="234"/>
      <c r="BP1980" s="11"/>
      <c r="BQ1980" s="11"/>
      <c r="BR1980" s="235"/>
      <c r="BV1980" s="158"/>
      <c r="BY1980" s="158"/>
      <c r="CB1980" s="158"/>
    </row>
    <row r="1981" ht="18.0" hidden="1" customHeight="1">
      <c r="A1981" s="222">
        <f>IFERROR(__xludf.DUMMYFUNCTION("""COMPUTED_VALUE"""),2026.0)</f>
        <v>2026</v>
      </c>
      <c r="B1981" s="221">
        <f>IFERROR(__xludf.DUMMYFUNCTION("""COMPUTED_VALUE"""),1.1296131E7)</f>
        <v>11296131</v>
      </c>
      <c r="C1981" s="222" t="str">
        <f>IFERROR(__xludf.DUMMYFUNCTION("""COMPUTED_VALUE"""),"SMU PT4 RAP CLUST KOPERASI SIDOREJO")</f>
        <v>SMU PT4 RAP CLUST KOPERASI SIDOREJO</v>
      </c>
      <c r="D1981" s="222" t="str">
        <f>IFERROR(__xludf.DUMMYFUNCTION("""COMPUTED_VALUE"""),"REGIONAL I")</f>
        <v>REGIONAL I</v>
      </c>
      <c r="E1981" s="222" t="str">
        <f>IFERROR(__xludf.DUMMYFUNCTION("""COMPUTED_VALUE"""),"SUMUT")</f>
        <v>SUMUT</v>
      </c>
      <c r="F1981" s="222" t="str">
        <f>IFERROR(__xludf.DUMMYFUNCTION("""COMPUTED_VALUE"""),"RAP")</f>
        <v>RAP</v>
      </c>
      <c r="G1981" s="222" t="str">
        <f>IFERROR(__xludf.DUMMYFUNCTION("""COMPUTED_VALUE"""),"SUMBAGUT")</f>
        <v>SUMBAGUT</v>
      </c>
      <c r="H1981" s="222" t="str">
        <f>IFERROR(__xludf.DUMMYFUNCTION("""COMPUTED_VALUE"""),"RANTAU PRAPAT")</f>
        <v>RANTAU PRAPAT</v>
      </c>
      <c r="I1981" s="222" t="str">
        <f>IFERROR(__xludf.DUMMYFUNCTION("""COMPUTED_VALUE"""),"Batch 2")</f>
        <v>Batch 2</v>
      </c>
      <c r="J1981" s="225">
        <f>IFERROR(__xludf.DUMMYFUNCTION("""COMPUTED_VALUE"""),64.0)</f>
        <v>64</v>
      </c>
      <c r="K1981" s="224">
        <f>IFERROR(__xludf.DUMMYFUNCTION("""COMPUTED_VALUE"""),512.0)</f>
        <v>512</v>
      </c>
      <c r="L1981" s="226">
        <f>IFERROR(__xludf.DUMMYFUNCTION("""COMPUTED_VALUE"""),1502259.0)</f>
        <v>1502259</v>
      </c>
      <c r="M1981" s="227">
        <f>IFERROR(__xludf.DUMMYFUNCTION("""COMPUTED_VALUE"""),7.69156193E8)</f>
        <v>769156193</v>
      </c>
      <c r="N1981" s="222" t="str">
        <f>IFERROR(__xludf.DUMMYFUNCTION("""COMPUTED_VALUE"""),"PT UPAYA TEKNIK")</f>
        <v>PT UPAYA TEKNIK</v>
      </c>
      <c r="O1981" s="222" t="str">
        <f>IFERROR(__xludf.DUMMYFUNCTION("""COMPUTED_VALUE"""),"2. DONE AANWIJZING")</f>
        <v>2. DONE AANWIJZING</v>
      </c>
      <c r="P1981" s="222" t="str">
        <f>IFERROR(__xludf.DUMMYFUNCTION("""COMPUTED_VALUE"""),"2.6 Tunggu Hasil DRM - ada Kenaikan CPP")</f>
        <v>2.6 Tunggu Hasil DRM - ada Kenaikan CPP</v>
      </c>
      <c r="Q1981" s="222" t="str">
        <f>IFERROR(__xludf.DUMMYFUNCTION("""COMPUTED_VALUE"""),"27/4 ada kenaikan cpp 1,2, ( kendala adanya pengurangan 3 odp kendala spaca dan izin tanam tiang sudah kordinasi dengan tsel),  24/4 ada kenaikan cpp 1,2, ( kendala adanya pengurangan 3 odp kendala spaca dan izin tanam tiang sudah kordinasi dengan tsel), "&amp;"23/4 ada kenaikan cpp 1,2, ( kendala adanya pengurangan 3 odp kendala spaca dan izin tanam tiang sudah kordinasi dengan tsel), 22/4 masih menunggu persetujuan perizinan sitac odc dari pemilik lahan, 21/4 masih menunggu persetujuan perizinan sitac odc dari"&amp;" pemilik lahan, 20/4 masih menunggu persetujuan perizinan sitac odc dari pemilik lahan, 16/4 masih menunggu persetujuan perizinan sitac odc dari pemilik lahan, 15/4 masih menunggu persetujuan perizinan sitac odc dari pemilik lahan, 14/4 masih menunggu per"&amp;"setujuan perizinan sitac odc dari pemilik lahan, 13/4 plan fu kembali terkait perizinan ke 4 desa, 9/4 hari ini team fu ke 4 desa terkait perizinan tanam tiang 1 desa sudah aman, 8/4 hari ini team fu ke 4 desa terkait perizinan tanam tiang 1 desa sudah am"&amp;"an, 6/4 plan hari ini team fu ke 4 desa terkait perizinan tanam tiang 1 desa sudah aman ,  5/4 menunggu approve pengantar izin desa, 1/4 menunggu approve pengantar izin pu balai/kab, 31/3 menunggu approve pengantar izin pu balai/kab, 30/3 menunggu approve"&amp;" pengantar izin pu balai/kab, 27/3 menunggu approve pengantar izin pu balai/kab, 26/3 menunggu approve pengantar izin pu balai/kab, 22/3 menunggu approve pengantar izin pu balai/kab,  18/3 menunggu approve pengantar izin pu balai/kab,  16/3 menunggu appro"&amp;"ve pengantar izin pu balai/kab, 13/3 menunggu approve pengantar izin pu balai/kab, 11/3 menunggu approve pengantar izin pu balai/kab, 10/3 menunggu approve pengantar izin pu balai/kab, 3/3 butuh izin pu  balai, pu kab,  2/3 butuh izin pu  balai, pu kab, 2"&amp;"7/2 proses pengajuan izin ke camat plan senin 2 maret, 25/2 pengajuan pengantar izin dari mitra,  24/2 pengajuan pengantar izin dari mitra,  23/2 pengajuan pengantar izin dari mitra, 20/2 menungugu boq kml survey paralel izin ke pemerintah setempat, 19/2 "&amp;"menunggu boq kml survey,18/2 menunggu boq kml survey  , 13/2 menunggu boq kml survey est submit paling lambat minggu 15 feb, 12/2 menunggu boq kml survey, 11/2 menunggu boq kml survey, 10/2 menunggu boq kml survey, 9/2 menunggu boq kml survey, 6/2 team ha"&amp;"ri ini menuju lokasi untuk survey est selesai 8 feb, 5/2 plan survey 13 feb, , 4/2 Mandor swakelola, (pengalihan dari tripola),  3/2 mandor swakelola  ( mitra tripola menolak untuk lanjut),  2/2 mandor swakelola  ( mitra tripola menolak untuk lanjut),  1/"&amp;"2 mandor swakelola  ( mitra tripola menolak untuk lanjut), 30/1 Mandor swakelola, (pengalihan dari tripola), 28/1 penunjukan mitra ( peralihan dari mitra tripola), 27/1 proses penunjukan mitra ( mitra tripola menolak untuk lanjut), 26/1 menunggu report ha"&amp;"sil survey paralel boq kml hasil survey,  23/1 menunggu report hasil survey paralel boq kml hasil survey, 22/1 menunggu report hasil survey paralel boq kml hasil survey,  21/1 menunggu report hasil survey paralel boq kml hasil survey,  20/1 menunggu repor"&amp;"t hasil survey paralel boq kml hasil survey, 19/1 menunggu report hasil survey paralel boq kml,  15/1 menunggu report hasil survey paralel boq kml, 14/01 menunggu update boq dan kml  , 13/01 menunggu update boq dan kml est submit hari ini tanggal 13/01, ("&amp;"08/01) Kendala feeder LBY-FH FULL, proses eval hasil aanwijziing, plan aanwijziing, plan selesai annwijziing, aanwijziing HI 19 sept, peralihan mitra krna mitra lama tdk menyanggupi pekerjaan.(07/01) Persiapan")</f>
        <v>27/4 ada kenaikan cpp 1,2, ( kendala adanya pengurangan 3 odp kendala spaca dan izin tanam tiang sudah kordinasi dengan tsel),  24/4 ada kenaikan cpp 1,2, ( kendala adanya pengurangan 3 odp kendala spaca dan izin tanam tiang sudah kordinasi dengan tsel), 23/4 ada kenaikan cpp 1,2, ( kendala adanya pengurangan 3 odp kendala spaca dan izin tanam tiang sudah kordinasi dengan tsel), 22/4 masih menunggu persetujuan perizinan sitac odc dari pemilik lahan, 21/4 masih menunggu persetujuan perizinan sitac odc dari pemilik lahan, 20/4 masih menunggu persetujuan perizinan sitac odc dari pemilik lahan, 16/4 masih menunggu persetujuan perizinan sitac odc dari pemilik lahan, 15/4 masih menunggu persetujuan perizinan sitac odc dari pemilik lahan, 14/4 masih menunggu persetujuan perizinan sitac odc dari pemilik lahan, 13/4 plan fu kembali terkait perizinan ke 4 desa, 9/4 hari ini team fu ke 4 desa terkait perizinan tanam tiang 1 desa sudah aman, 8/4 hari ini team fu ke 4 desa terkait perizinan tanam tiang 1 desa sudah aman, 6/4 plan hari ini team fu ke 4 desa terkait perizinan tanam tiang 1 desa sudah aman ,  5/4 menunggu approve pengantar izin desa, 1/4 menunggu approve pengantar izin pu balai/kab, 31/3 menunggu approve pengantar izin pu balai/kab, 30/3 menunggu approve pengantar izin pu balai/kab, 27/3 menunggu approve pengantar izin pu balai/kab, 26/3 menunggu approve pengantar izin pu balai/kab, 22/3 menunggu approve pengantar izin pu balai/kab,  18/3 menunggu approve pengantar izin pu balai/kab,  16/3 menunggu approve pengantar izin pu balai/kab, 13/3 menunggu approve pengantar izin pu balai/kab, 11/3 menunggu approve pengantar izin pu balai/kab, 10/3 menunggu approve pengantar izin pu balai/kab, 3/3 butuh izin pu  balai, pu kab,  2/3 butuh izin pu  balai, pu kab, 27/2 proses pengajuan izin ke camat plan senin 2 maret, 25/2 pengajuan pengantar izin dari mitra,  24/2 pengajuan pengantar izin dari mitra,  23/2 pengajuan pengantar izin dari mitra, 20/2 menungugu boq kml survey paralel izin ke pemerintah setempat, 19/2 menunggu boq kml survey,18/2 menunggu boq kml survey  , 13/2 menunggu boq kml survey est submit paling lambat minggu 15 feb, 12/2 menunggu boq kml survey, 11/2 menunggu boq kml survey, 10/2 menunggu boq kml survey, 9/2 menunggu boq kml survey, 6/2 team hari ini menuju lokasi untuk survey est selesai 8 feb, 5/2 plan survey 13 feb, , 4/2 Mandor swakelola, (pengalihan dari tripola),  3/2 mandor swakelola  ( mitra tripola menolak untuk lanjut),  2/2 mandor swakelola  ( mitra tripola menolak untuk lanjut),  1/2 mandor swakelola  ( mitra tripola menolak untuk lanjut), 30/1 Mandor swakelola, (pengalihan dari tripola), 28/1 penunjukan mitra ( peralihan dari mitra tripola), 27/1 proses penunjukan mitra ( mitra tripola menolak untuk lanjut), 26/1 menunggu report hasil survey paralel boq kml hasil survey,  23/1 menunggu report hasil survey paralel boq kml hasil survey, 22/1 menunggu report hasil survey paralel boq kml hasil survey,  21/1 menunggu report hasil survey paralel boq kml hasil survey,  20/1 menunggu report hasil survey paralel boq kml hasil survey, 19/1 menunggu report hasil survey paralel boq kml,  15/1 menunggu report hasil survey paralel boq kml, 14/01 menunggu update boq dan kml  , 13/01 menunggu update boq dan kml est submit hari ini tanggal 13/01, (08/01) Kendala feeder LBY-FH FULL, proses eval hasil aanwijziing, plan aanwijziing, plan selesai annwijziing, aanwijziing HI 19 sept, peralihan mitra krna mitra lama tdk menyanggupi pekerjaan.(07/01) Persiapan</v>
      </c>
      <c r="R1981" s="228"/>
      <c r="S1981" s="11"/>
      <c r="T1981" s="11"/>
      <c r="U1981" s="11" t="str">
        <f>IFERROR(__xludf.DUMMYFUNCTION("""COMPUTED_VALUE"""),"TIF-2859/2026")</f>
        <v>TIF-2859/2026</v>
      </c>
      <c r="V1981" s="229"/>
      <c r="W1981" s="229"/>
      <c r="X1981" s="229" t="str">
        <f>IFERROR(__xludf.DUMMYFUNCTION("""COMPUTED_VALUE"""),"BELUM GOLIVE")</f>
        <v>BELUM GOLIVE</v>
      </c>
      <c r="Y1981" s="229" t="str">
        <f>IFERROR(__xludf.DUMMYFUNCTION("""COMPUTED_VALUE"""),"Izin pu")</f>
        <v>Izin pu</v>
      </c>
      <c r="Z1981" s="229" t="str">
        <f>IFERROR(__xludf.DUMMYFUNCTION("""COMPUTED_VALUE"""),"#N/A")</f>
        <v>#N/A</v>
      </c>
      <c r="AA1981" s="229"/>
      <c r="AB1981" s="229"/>
      <c r="AC1981" s="229"/>
      <c r="AD1981" s="232"/>
      <c r="AE1981" s="233"/>
      <c r="AF1981" s="54" t="str">
        <f>IFERROR(__xludf.DUMMYFUNCTION("""COMPUTED_VALUE"""),"Draft BA DROP")</f>
        <v>Draft BA DROP</v>
      </c>
      <c r="AG1981" s="54"/>
      <c r="AH1981" s="54"/>
      <c r="AI1981" s="55" t="str">
        <f t="shared" si="195"/>
        <v/>
      </c>
      <c r="AW1981" s="234"/>
      <c r="BP1981" s="11"/>
      <c r="BQ1981" s="11"/>
      <c r="BR1981" s="235"/>
      <c r="BV1981" s="158"/>
      <c r="BY1981" s="158"/>
      <c r="CB1981" s="158"/>
    </row>
    <row r="1982" ht="18.0" customHeight="1">
      <c r="A1982" s="222">
        <f>IFERROR(__xludf.DUMMYFUNCTION("""COMPUTED_VALUE"""),2026.0)</f>
        <v>2026</v>
      </c>
      <c r="B1982" s="221">
        <f>IFERROR(__xludf.DUMMYFUNCTION("""COMPUTED_VALUE"""),1.1869911E7)</f>
        <v>11869911</v>
      </c>
      <c r="C1982" s="222" t="str">
        <f>IFERROR(__xludf.DUMMYFUNCTION("""COMPUTED_VALUE"""),"SMB-PT3-ODC-LBY-FH-250_-371_2391")</f>
        <v>SMB-PT3-ODC-LBY-FH-250_-371_2391</v>
      </c>
      <c r="D1982" s="222" t="str">
        <f>IFERROR(__xludf.DUMMYFUNCTION("""COMPUTED_VALUE"""),"REGIONAL I")</f>
        <v>REGIONAL I</v>
      </c>
      <c r="E1982" s="222" t="str">
        <f>IFERROR(__xludf.DUMMYFUNCTION("""COMPUTED_VALUE"""),"SUMBAR")</f>
        <v>SUMBAR</v>
      </c>
      <c r="F1982" s="222" t="str">
        <f>IFERROR(__xludf.DUMMYFUNCTION("""COMPUTED_VALUE"""),"LBY")</f>
        <v>LBY</v>
      </c>
      <c r="G1982" s="222" t="str">
        <f>IFERROR(__xludf.DUMMYFUNCTION("""COMPUTED_VALUE"""),"SUMBAGTENG")</f>
        <v>SUMBAGTENG</v>
      </c>
      <c r="H1982" s="222" t="str">
        <f>IFERROR(__xludf.DUMMYFUNCTION("""COMPUTED_VALUE"""),"PADANG")</f>
        <v>PADANG</v>
      </c>
      <c r="I1982" s="222" t="str">
        <f>IFERROR(__xludf.DUMMYFUNCTION("""COMPUTED_VALUE"""),"Batch 2")</f>
        <v>Batch 2</v>
      </c>
      <c r="J1982" s="225">
        <f>IFERROR(__xludf.DUMMYFUNCTION("""COMPUTED_VALUE"""),6.0)</f>
        <v>6</v>
      </c>
      <c r="K1982" s="224">
        <f>IFERROR(__xludf.DUMMYFUNCTION("""COMPUTED_VALUE"""),48.0)</f>
        <v>48</v>
      </c>
      <c r="L1982" s="226">
        <f>IFERROR(__xludf.DUMMYFUNCTION("""COMPUTED_VALUE"""),1502847.0)</f>
        <v>1502847</v>
      </c>
      <c r="M1982" s="227">
        <f>IFERROR(__xludf.DUMMYFUNCTION("""COMPUTED_VALUE"""),7.2136617E7)</f>
        <v>72136617</v>
      </c>
      <c r="N1982" s="222" t="str">
        <f>IFERROR(__xludf.DUMMYFUNCTION("""COMPUTED_VALUE"""),"PT TRI LESMA INDONESIA")</f>
        <v>PT TRI LESMA INDONESIA</v>
      </c>
      <c r="O1982" s="222" t="str">
        <f>IFERROR(__xludf.DUMMYFUNCTION("""COMPUTED_VALUE"""),"0. DROP")</f>
        <v>0. DROP</v>
      </c>
      <c r="P1982" s="222" t="str">
        <f>IFERROR(__xludf.DUMMYFUNCTION("""COMPUTED_VALUE"""),"0.3 Feeder Full")</f>
        <v>0.3 Feeder Full</v>
      </c>
      <c r="Q1982" s="222" t="str">
        <f>IFERROR(__xludf.DUMMYFUNCTION("""COMPUTED_VALUE"""),"(27/01) Kendala feeder LBY-FH FULL")</f>
        <v>(27/01) Kendala feeder LBY-FH FULL</v>
      </c>
      <c r="R1982" s="228"/>
      <c r="S1982" s="11"/>
      <c r="T1982" s="11"/>
      <c r="U1982" s="11"/>
      <c r="V1982" s="229"/>
      <c r="W1982" s="229"/>
      <c r="X1982" s="229" t="str">
        <f>IFERROR(__xludf.DUMMYFUNCTION("""COMPUTED_VALUE"""),"BELUM GOLIVE")</f>
        <v>BELUM GOLIVE</v>
      </c>
      <c r="Y1982" s="229"/>
      <c r="Z1982" s="229" t="str">
        <f>IFERROR(__xludf.DUMMYFUNCTION("""COMPUTED_VALUE"""),"#N/A")</f>
        <v>#N/A</v>
      </c>
      <c r="AA1982" s="229"/>
      <c r="AB1982" s="229"/>
      <c r="AC1982" s="229"/>
      <c r="AD1982" s="232"/>
      <c r="AE1982" s="233"/>
      <c r="AF1982" s="54" t="str">
        <f>IFERROR(__xludf.DUMMYFUNCTION("""COMPUTED_VALUE"""),"Draft BA DROP")</f>
        <v>Draft BA DROP</v>
      </c>
      <c r="AG1982" s="54"/>
      <c r="AH1982" s="54"/>
      <c r="AI1982" s="55" t="str">
        <f t="shared" si="195"/>
        <v/>
      </c>
      <c r="AW1982" s="234"/>
      <c r="BP1982" s="11"/>
      <c r="BQ1982" s="11"/>
      <c r="BR1982" s="235"/>
      <c r="BV1982" s="158"/>
      <c r="BY1982" s="158"/>
      <c r="CB1982" s="158"/>
    </row>
    <row r="1983" ht="18.0" hidden="1" customHeight="1">
      <c r="A1983" s="222">
        <f>IFERROR(__xludf.DUMMYFUNCTION("""COMPUTED_VALUE"""),2026.0)</f>
        <v>2026</v>
      </c>
      <c r="B1983" s="221">
        <f>IFERROR(__xludf.DUMMYFUNCTION("""COMPUTED_VALUE"""),1.1587494E7)</f>
        <v>11587494</v>
      </c>
      <c r="C1983" s="222" t="str">
        <f>IFERROR(__xludf.DUMMYFUNCTION("""COMPUTED_VALUE"""),"ACH BPD PT3 BPD-FN ALUE PADEE-BLANG")</f>
        <v>ACH BPD PT3 BPD-FN ALUE PADEE-BLANG</v>
      </c>
      <c r="D1983" s="222" t="str">
        <f>IFERROR(__xludf.DUMMYFUNCTION("""COMPUTED_VALUE"""),"REGIONAL I")</f>
        <v>REGIONAL I</v>
      </c>
      <c r="E1983" s="222" t="str">
        <f>IFERROR(__xludf.DUMMYFUNCTION("""COMPUTED_VALUE"""),"ACEH")</f>
        <v>ACEH</v>
      </c>
      <c r="F1983" s="222" t="str">
        <f>IFERROR(__xludf.DUMMYFUNCTION("""COMPUTED_VALUE"""),"BPD")</f>
        <v>BPD</v>
      </c>
      <c r="G1983" s="222" t="str">
        <f>IFERROR(__xludf.DUMMYFUNCTION("""COMPUTED_VALUE"""),"SUMBAGUT")</f>
        <v>SUMBAGUT</v>
      </c>
      <c r="H1983" s="222" t="str">
        <f>IFERROR(__xludf.DUMMYFUNCTION("""COMPUTED_VALUE"""),"BANDA ACEH")</f>
        <v>BANDA ACEH</v>
      </c>
      <c r="I1983" s="222" t="str">
        <f>IFERROR(__xludf.DUMMYFUNCTION("""COMPUTED_VALUE"""),"Batch 2")</f>
        <v>Batch 2</v>
      </c>
      <c r="J1983" s="225">
        <f>IFERROR(__xludf.DUMMYFUNCTION("""COMPUTED_VALUE"""),12.0)</f>
        <v>12</v>
      </c>
      <c r="K1983" s="224">
        <f>IFERROR(__xludf.DUMMYFUNCTION("""COMPUTED_VALUE"""),96.0)</f>
        <v>96</v>
      </c>
      <c r="L1983" s="226">
        <f>IFERROR(__xludf.DUMMYFUNCTION("""COMPUTED_VALUE"""),1503107.0)</f>
        <v>1503107</v>
      </c>
      <c r="M1983" s="227">
        <f>IFERROR(__xludf.DUMMYFUNCTION("""COMPUTED_VALUE"""),1.44298229E8)</f>
        <v>144298229</v>
      </c>
      <c r="N1983" s="222" t="str">
        <f>IFERROR(__xludf.DUMMYFUNCTION("""COMPUTED_VALUE"""),"PT NIAGA NUSANTARA DIVA")</f>
        <v>PT NIAGA NUSANTARA DIVA</v>
      </c>
      <c r="O1983" s="222" t="str">
        <f>IFERROR(__xludf.DUMMYFUNCTION("""COMPUTED_VALUE"""),"4. MATDEL")</f>
        <v>4. MATDEL</v>
      </c>
      <c r="P1983" s="222" t="str">
        <f>IFERROR(__xludf.DUMMYFUNCTION("""COMPUTED_VALUE"""),"4.2 Sudah Request Material (Alista)")</f>
        <v>4.2 Sudah Request Material (Alista)</v>
      </c>
      <c r="Q1983" s="222" t="str">
        <f>IFERROR(__xludf.DUMMYFUNCTION("""COMPUTED_VALUE"""),"(03/03) Wainting Material Ready (09/02) PO Material (29/01) proses survey (07/01) Persiapan")</f>
        <v>(03/03) Wainting Material Ready (09/02) PO Material (29/01) proses survey (07/01) Persiapan</v>
      </c>
      <c r="R1983" s="228"/>
      <c r="S1983" s="11"/>
      <c r="T1983" s="73"/>
      <c r="U1983" s="11"/>
      <c r="V1983" s="229"/>
      <c r="W1983" s="229" t="str">
        <f>IFERROR(__xludf.DUMMYFUNCTION("""COMPUTED_VALUE"""),"#N/A")</f>
        <v>#N/A</v>
      </c>
      <c r="X1983" s="229" t="str">
        <f>IFERROR(__xludf.DUMMYFUNCTION("""COMPUTED_VALUE"""),"BELUM GOLIVE")</f>
        <v>BELUM GOLIVE</v>
      </c>
      <c r="Y1983" s="229"/>
      <c r="Z1983" s="229" t="str">
        <f>IFERROR(__xludf.DUMMYFUNCTION("""COMPUTED_VALUE"""),"#N/A")</f>
        <v>#N/A</v>
      </c>
      <c r="AA1983" s="229"/>
      <c r="AB1983" s="229"/>
      <c r="AC1983" s="229"/>
      <c r="AD1983" s="232"/>
      <c r="AE1983" s="233"/>
      <c r="AF1983" s="54"/>
      <c r="AG1983" s="54"/>
      <c r="AH1983" s="54">
        <v>46134.0</v>
      </c>
      <c r="AI1983" s="55" t="str">
        <f t="shared" si="195"/>
        <v/>
      </c>
      <c r="AW1983" s="234"/>
      <c r="BP1983" s="11"/>
      <c r="BQ1983" s="11"/>
      <c r="BR1983" s="235"/>
      <c r="BV1983" s="158"/>
      <c r="BY1983" s="158"/>
      <c r="CB1983" s="158"/>
    </row>
    <row r="1984" ht="18.0" hidden="1" customHeight="1">
      <c r="A1984" s="222">
        <f>IFERROR(__xludf.DUMMYFUNCTION("""COMPUTED_VALUE"""),2026.0)</f>
        <v>2026</v>
      </c>
      <c r="B1984" s="221">
        <f>IFERROR(__xludf.DUMMYFUNCTION("""COMPUTED_VALUE"""),1.1162585E7)</f>
        <v>11162585</v>
      </c>
      <c r="C1984" s="222" t="str">
        <f>IFERROR(__xludf.DUMMYFUNCTION("""COMPUTED_VALUE"""),"MDN PT3 P7I9 LBP-FAE JL.MAWAR GG.TANI")</f>
        <v>MDN PT3 P7I9 LBP-FAE JL.MAWAR GG.TANI</v>
      </c>
      <c r="D1984" s="222" t="str">
        <f>IFERROR(__xludf.DUMMYFUNCTION("""COMPUTED_VALUE"""),"REGIONAL I")</f>
        <v>REGIONAL I</v>
      </c>
      <c r="E1984" s="222" t="str">
        <f>IFERROR(__xludf.DUMMYFUNCTION("""COMPUTED_VALUE"""),"MEDAN")</f>
        <v>MEDAN</v>
      </c>
      <c r="F1984" s="222" t="str">
        <f>IFERROR(__xludf.DUMMYFUNCTION("""COMPUTED_VALUE"""),"LBP")</f>
        <v>LBP</v>
      </c>
      <c r="G1984" s="222" t="str">
        <f>IFERROR(__xludf.DUMMYFUNCTION("""COMPUTED_VALUE"""),"SUMBAGUT")</f>
        <v>SUMBAGUT</v>
      </c>
      <c r="H1984" s="222" t="str">
        <f>IFERROR(__xludf.DUMMYFUNCTION("""COMPUTED_VALUE"""),"MEDAN")</f>
        <v>MEDAN</v>
      </c>
      <c r="I1984" s="222" t="str">
        <f>IFERROR(__xludf.DUMMYFUNCTION("""COMPUTED_VALUE"""),"Batch 2")</f>
        <v>Batch 2</v>
      </c>
      <c r="J1984" s="225">
        <f>IFERROR(__xludf.DUMMYFUNCTION("""COMPUTED_VALUE"""),4.0)</f>
        <v>4</v>
      </c>
      <c r="K1984" s="224">
        <f>IFERROR(__xludf.DUMMYFUNCTION("""COMPUTED_VALUE"""),32.0)</f>
        <v>32</v>
      </c>
      <c r="L1984" s="226">
        <f>IFERROR(__xludf.DUMMYFUNCTION("""COMPUTED_VALUE"""),1038965.0)</f>
        <v>1038965</v>
      </c>
      <c r="M1984" s="227">
        <f>IFERROR(__xludf.DUMMYFUNCTION("""COMPUTED_VALUE"""),3.3246855E7)</f>
        <v>33246855</v>
      </c>
      <c r="N1984" s="222" t="str">
        <f>IFERROR(__xludf.DUMMYFUNCTION("""COMPUTED_VALUE"""),"PT BONGKAR SEJATI ANDALAN")</f>
        <v>PT BONGKAR SEJATI ANDALAN</v>
      </c>
      <c r="O1984" s="222" t="str">
        <f>IFERROR(__xludf.DUMMYFUNCTION("""COMPUTED_VALUE"""),"0. DROP")</f>
        <v>0. DROP</v>
      </c>
      <c r="P1984" s="222" t="str">
        <f>IFERROR(__xludf.DUMMYFUNCTION("""COMPUTED_VALUE"""),"0.2 Tidak Dapat Izin Warga/Kades/Lurah/Developer")</f>
        <v>0.2 Tidak Dapat Izin Warga/Kades/Lurah/Developer</v>
      </c>
      <c r="Q1984" s="222" t="str">
        <f>IFERROR(__xludf.DUMMYFUNCTION("""COMPUTED_VALUE"""),"20/4 CPP tinggi tdk apprv
(07/01) Persiapan")</f>
        <v>20/4 CPP tinggi tdk apprv
(07/01) Persiapan</v>
      </c>
      <c r="R1984" s="228"/>
      <c r="S1984" s="11"/>
      <c r="T1984" s="73"/>
      <c r="U1984" s="11"/>
      <c r="V1984" s="229" t="str">
        <f>IFERROR(__xludf.DUMMYFUNCTION("""COMPUTED_VALUE"""),"28/Apr/2026")</f>
        <v>28/Apr/2026</v>
      </c>
      <c r="W1984" s="229"/>
      <c r="X1984" s="229" t="str">
        <f>IFERROR(__xludf.DUMMYFUNCTION("""COMPUTED_VALUE"""),"BELUM GOLIVE")</f>
        <v>BELUM GOLIVE</v>
      </c>
      <c r="Y1984" s="229"/>
      <c r="Z1984" s="229" t="str">
        <f>IFERROR(__xludf.DUMMYFUNCTION("""COMPUTED_VALUE"""),"#N/A")</f>
        <v>#N/A</v>
      </c>
      <c r="AA1984" s="229"/>
      <c r="AB1984" s="229"/>
      <c r="AC1984" s="229"/>
      <c r="AD1984" s="232"/>
      <c r="AE1984" s="233"/>
      <c r="AF1984" s="54"/>
      <c r="AG1984" s="54"/>
      <c r="AH1984" s="54"/>
      <c r="AI1984" s="55" t="str">
        <f t="shared" si="195"/>
        <v/>
      </c>
      <c r="AW1984" s="234"/>
      <c r="BP1984" s="11"/>
      <c r="BQ1984" s="11"/>
      <c r="BR1984" s="235"/>
      <c r="BV1984" s="158"/>
      <c r="BY1984" s="158"/>
      <c r="CB1984" s="158"/>
    </row>
    <row r="1985" ht="18.0" hidden="1" customHeight="1">
      <c r="A1985" s="222">
        <f>IFERROR(__xludf.DUMMYFUNCTION("""COMPUTED_VALUE"""),2026.0)</f>
        <v>2026</v>
      </c>
      <c r="B1985" s="221">
        <f>IFERROR(__xludf.DUMMYFUNCTION("""COMPUTED_VALUE"""),1.1162594E7)</f>
        <v>11162594</v>
      </c>
      <c r="C1985" s="222" t="str">
        <f>IFERROR(__xludf.DUMMYFUNCTION("""COMPUTED_VALUE"""),"MDN PT3 P7I9 LBP-FAE JL.DUSUN 5")</f>
        <v>MDN PT3 P7I9 LBP-FAE JL.DUSUN 5</v>
      </c>
      <c r="D1985" s="222" t="str">
        <f>IFERROR(__xludf.DUMMYFUNCTION("""COMPUTED_VALUE"""),"REGIONAL I")</f>
        <v>REGIONAL I</v>
      </c>
      <c r="E1985" s="222" t="str">
        <f>IFERROR(__xludf.DUMMYFUNCTION("""COMPUTED_VALUE"""),"MEDAN")</f>
        <v>MEDAN</v>
      </c>
      <c r="F1985" s="222" t="str">
        <f>IFERROR(__xludf.DUMMYFUNCTION("""COMPUTED_VALUE"""),"LBP")</f>
        <v>LBP</v>
      </c>
      <c r="G1985" s="222" t="str">
        <f>IFERROR(__xludf.DUMMYFUNCTION("""COMPUTED_VALUE"""),"SUMBAGUT")</f>
        <v>SUMBAGUT</v>
      </c>
      <c r="H1985" s="222" t="str">
        <f>IFERROR(__xludf.DUMMYFUNCTION("""COMPUTED_VALUE"""),"MEDAN")</f>
        <v>MEDAN</v>
      </c>
      <c r="I1985" s="222" t="str">
        <f>IFERROR(__xludf.DUMMYFUNCTION("""COMPUTED_VALUE"""),"Batch 2")</f>
        <v>Batch 2</v>
      </c>
      <c r="J1985" s="225">
        <f>IFERROR(__xludf.DUMMYFUNCTION("""COMPUTED_VALUE"""),5.0)</f>
        <v>5</v>
      </c>
      <c r="K1985" s="224">
        <f>IFERROR(__xludf.DUMMYFUNCTION("""COMPUTED_VALUE"""),40.0)</f>
        <v>40</v>
      </c>
      <c r="L1985" s="226">
        <f>IFERROR(__xludf.DUMMYFUNCTION("""COMPUTED_VALUE"""),1239848.0)</f>
        <v>1239848</v>
      </c>
      <c r="M1985" s="227">
        <f>IFERROR(__xludf.DUMMYFUNCTION("""COMPUTED_VALUE"""),4.959391E7)</f>
        <v>49593910</v>
      </c>
      <c r="N1985" s="222" t="str">
        <f>IFERROR(__xludf.DUMMYFUNCTION("""COMPUTED_VALUE"""),"PT BONGKAR SEJATI ANDALAN")</f>
        <v>PT BONGKAR SEJATI ANDALAN</v>
      </c>
      <c r="O1985" s="222" t="str">
        <f>IFERROR(__xludf.DUMMYFUNCTION("""COMPUTED_VALUE"""),"0. DROP")</f>
        <v>0. DROP</v>
      </c>
      <c r="P1985" s="222" t="str">
        <f>IFERROR(__xludf.DUMMYFUNCTION("""COMPUTED_VALUE"""),"0.2 Tidak Dapat Izin Warga/Kades/Lurah/Developer")</f>
        <v>0.2 Tidak Dapat Izin Warga/Kades/Lurah/Developer</v>
      </c>
      <c r="Q1985" s="222" t="str">
        <f>IFERROR(__xludf.DUMMYFUNCTION("""COMPUTED_VALUE"""),"20/4 CPP tinggi tdk apprv
04/02 depedensi MDN PT3 LBP-FAE JL.PANTAI LABU GG.BESI
(07/01) Persiapan")</f>
        <v>20/4 CPP tinggi tdk apprv
04/02 depedensi MDN PT3 LBP-FAE JL.PANTAI LABU GG.BESI
(07/01) Persiapan</v>
      </c>
      <c r="R1985" s="228"/>
      <c r="S1985" s="11"/>
      <c r="T1985" s="73"/>
      <c r="U1985" s="11"/>
      <c r="V1985" s="229" t="str">
        <f>IFERROR(__xludf.DUMMYFUNCTION("""COMPUTED_VALUE"""),"28/Apr/2026")</f>
        <v>28/Apr/2026</v>
      </c>
      <c r="W1985" s="229"/>
      <c r="X1985" s="229" t="str">
        <f>IFERROR(__xludf.DUMMYFUNCTION("""COMPUTED_VALUE"""),"BELUM GOLIVE")</f>
        <v>BELUM GOLIVE</v>
      </c>
      <c r="Y1985" s="229"/>
      <c r="Z1985" s="229" t="str">
        <f>IFERROR(__xludf.DUMMYFUNCTION("""COMPUTED_VALUE"""),"#N/A")</f>
        <v>#N/A</v>
      </c>
      <c r="AA1985" s="229"/>
      <c r="AB1985" s="229"/>
      <c r="AC1985" s="229"/>
      <c r="AD1985" s="232"/>
      <c r="AE1985" s="233"/>
      <c r="AF1985" s="54" t="str">
        <f>IFERROR(__xludf.DUMMYFUNCTION("""COMPUTED_VALUE"""),"Draft BA DROP")</f>
        <v>Draft BA DROP</v>
      </c>
      <c r="AG1985" s="54"/>
      <c r="AH1985" s="54"/>
      <c r="AI1985" s="55" t="str">
        <f t="shared" si="195"/>
        <v/>
      </c>
      <c r="AW1985" s="234"/>
      <c r="BP1985" s="11"/>
      <c r="BQ1985" s="11"/>
      <c r="BR1985" s="235"/>
      <c r="BV1985" s="158"/>
      <c r="BY1985" s="158"/>
      <c r="CB1985" s="158"/>
    </row>
    <row r="1986" ht="18.0" hidden="1" customHeight="1">
      <c r="A1986" s="222">
        <f>IFERROR(__xludf.DUMMYFUNCTION("""COMPUTED_VALUE"""),2026.0)</f>
        <v>2026</v>
      </c>
      <c r="B1986" s="221">
        <f>IFERROR(__xludf.DUMMYFUNCTION("""COMPUTED_VALUE"""),1.1189121E7)</f>
        <v>11189121</v>
      </c>
      <c r="C1986" s="222" t="str">
        <f>IFERROR(__xludf.DUMMYFUNCTION("""COMPUTED_VALUE"""),"MDN PT3 P7I10 LBP-FAE JL.DUSUN SEPAKAT")</f>
        <v>MDN PT3 P7I10 LBP-FAE JL.DUSUN SEPAKAT</v>
      </c>
      <c r="D1986" s="222" t="str">
        <f>IFERROR(__xludf.DUMMYFUNCTION("""COMPUTED_VALUE"""),"REGIONAL I")</f>
        <v>REGIONAL I</v>
      </c>
      <c r="E1986" s="222" t="str">
        <f>IFERROR(__xludf.DUMMYFUNCTION("""COMPUTED_VALUE"""),"MEDAN")</f>
        <v>MEDAN</v>
      </c>
      <c r="F1986" s="222" t="str">
        <f>IFERROR(__xludf.DUMMYFUNCTION("""COMPUTED_VALUE"""),"LBP")</f>
        <v>LBP</v>
      </c>
      <c r="G1986" s="222" t="str">
        <f>IFERROR(__xludf.DUMMYFUNCTION("""COMPUTED_VALUE"""),"SUMBAGUT")</f>
        <v>SUMBAGUT</v>
      </c>
      <c r="H1986" s="222" t="str">
        <f>IFERROR(__xludf.DUMMYFUNCTION("""COMPUTED_VALUE"""),"MEDAN")</f>
        <v>MEDAN</v>
      </c>
      <c r="I1986" s="222" t="str">
        <f>IFERROR(__xludf.DUMMYFUNCTION("""COMPUTED_VALUE"""),"Batch 2")</f>
        <v>Batch 2</v>
      </c>
      <c r="J1986" s="225">
        <f>IFERROR(__xludf.DUMMYFUNCTION("""COMPUTED_VALUE"""),4.0)</f>
        <v>4</v>
      </c>
      <c r="K1986" s="224">
        <f>IFERROR(__xludf.DUMMYFUNCTION("""COMPUTED_VALUE"""),32.0)</f>
        <v>32</v>
      </c>
      <c r="L1986" s="226">
        <f>IFERROR(__xludf.DUMMYFUNCTION("""COMPUTED_VALUE"""),637848.0)</f>
        <v>637848</v>
      </c>
      <c r="M1986" s="227">
        <f>IFERROR(__xludf.DUMMYFUNCTION("""COMPUTED_VALUE"""),2.0411124E7)</f>
        <v>20411124</v>
      </c>
      <c r="N1986" s="222" t="str">
        <f>IFERROR(__xludf.DUMMYFUNCTION("""COMPUTED_VALUE"""),"PT BONGKAR SEJATI ANDALAN")</f>
        <v>PT BONGKAR SEJATI ANDALAN</v>
      </c>
      <c r="O1986" s="222" t="str">
        <f>IFERROR(__xludf.DUMMYFUNCTION("""COMPUTED_VALUE"""),"4. MATDEL")</f>
        <v>4. MATDEL</v>
      </c>
      <c r="P1986" s="222" t="str">
        <f>IFERROR(__xludf.DUMMYFUNCTION("""COMPUTED_VALUE"""),"4.3 Proses Kirim Mateial Kelokasi")</f>
        <v>4.3 Proses Kirim Mateial Kelokasi</v>
      </c>
      <c r="Q1986" s="222" t="str">
        <f>IFERROR(__xludf.DUMMYFUNCTION("""COMPUTED_VALUE"""),"20/04 Comcase app , lanjut progress instalasi, depedensi MDN PT3 LBP-FAE JL.PANTAI LABU GG.BESI menunggu penarikan distribusi dari LOP trsbt
09/04 req material 04/02 depedensi MDN PT3 LBP-FAE JL.PANTAI LABU GG.BESI
(12/01) butuh mini olt, (07/01) Persiap"&amp;"an")</f>
        <v>20/04 Comcase app , lanjut progress instalasi, depedensi MDN PT3 LBP-FAE JL.PANTAI LABU GG.BESI menunggu penarikan distribusi dari LOP trsbt
09/04 req material 04/02 depedensi MDN PT3 LBP-FAE JL.PANTAI LABU GG.BESI
(12/01) butuh mini olt, (07/01) Persiapan</v>
      </c>
      <c r="R1986" s="228">
        <f>IFERROR(__xludf.DUMMYFUNCTION("""COMPUTED_VALUE"""),46141.0)</f>
        <v>46141</v>
      </c>
      <c r="S1986" s="11"/>
      <c r="T1986" s="73"/>
      <c r="U1986" s="11"/>
      <c r="V1986" s="229" t="str">
        <f>IFERROR(__xludf.DUMMYFUNCTION("""COMPUTED_VALUE"""),"26/Apr/2026")</f>
        <v>26/Apr/2026</v>
      </c>
      <c r="W1986" s="229"/>
      <c r="X1986" s="229" t="str">
        <f>IFERROR(__xludf.DUMMYFUNCTION("""COMPUTED_VALUE"""),"BELUM GOLIVE")</f>
        <v>BELUM GOLIVE</v>
      </c>
      <c r="Y1986" s="229"/>
      <c r="Z1986" s="229" t="str">
        <f>IFERROR(__xludf.DUMMYFUNCTION("""COMPUTED_VALUE"""),"#N/A")</f>
        <v>#N/A</v>
      </c>
      <c r="AA1986" s="229"/>
      <c r="AB1986" s="229"/>
      <c r="AC1986" s="229"/>
      <c r="AD1986" s="232"/>
      <c r="AE1986" s="233"/>
      <c r="AF1986" s="54"/>
      <c r="AG1986" s="54"/>
      <c r="AH1986" s="54">
        <v>46138.0</v>
      </c>
      <c r="AI1986" s="55" t="str">
        <f t="shared" si="195"/>
        <v/>
      </c>
      <c r="AW1986" s="234"/>
      <c r="BP1986" s="11"/>
      <c r="BQ1986" s="11"/>
      <c r="BR1986" s="235"/>
      <c r="BV1986" s="158"/>
      <c r="BY1986" s="158"/>
      <c r="CB1986" s="158"/>
    </row>
    <row r="1987" ht="18.0" hidden="1" customHeight="1">
      <c r="A1987" s="222">
        <f>IFERROR(__xludf.DUMMYFUNCTION("""COMPUTED_VALUE"""),2026.0)</f>
        <v>2026</v>
      </c>
      <c r="B1987" s="221">
        <f>IFERROR(__xludf.DUMMYFUNCTION("""COMPUTED_VALUE"""),1.1503685E7)</f>
        <v>11503685</v>
      </c>
      <c r="C1987" s="222" t="str">
        <f>IFERROR(__xludf.DUMMYFUNCTION("""COMPUTED_VALUE"""),"SMS P3I1 PT4 LLG FXX KECAMATAN SELANGIT")</f>
        <v>SMS P3I1 PT4 LLG FXX KECAMATAN SELANGIT</v>
      </c>
      <c r="D1987" s="222" t="str">
        <f>IFERROR(__xludf.DUMMYFUNCTION("""COMPUTED_VALUE"""),"REGIONAL I")</f>
        <v>REGIONAL I</v>
      </c>
      <c r="E1987" s="222" t="str">
        <f>IFERROR(__xludf.DUMMYFUNCTION("""COMPUTED_VALUE"""),"SUMSEL")</f>
        <v>SUMSEL</v>
      </c>
      <c r="F1987" s="222" t="str">
        <f>IFERROR(__xludf.DUMMYFUNCTION("""COMPUTED_VALUE"""),"LLG")</f>
        <v>LLG</v>
      </c>
      <c r="G1987" s="222" t="str">
        <f>IFERROR(__xludf.DUMMYFUNCTION("""COMPUTED_VALUE"""),"SUMBAGSEL")</f>
        <v>SUMBAGSEL</v>
      </c>
      <c r="H1987" s="222" t="str">
        <f>IFERROR(__xludf.DUMMYFUNCTION("""COMPUTED_VALUE"""),"BENGKULU")</f>
        <v>BENGKULU</v>
      </c>
      <c r="I1987" s="222" t="str">
        <f>IFERROR(__xludf.DUMMYFUNCTION("""COMPUTED_VALUE"""),"Batch 2")</f>
        <v>Batch 2</v>
      </c>
      <c r="J1987" s="225">
        <f>IFERROR(__xludf.DUMMYFUNCTION("""COMPUTED_VALUE"""),29.0)</f>
        <v>29</v>
      </c>
      <c r="K1987" s="224">
        <f>IFERROR(__xludf.DUMMYFUNCTION("""COMPUTED_VALUE"""),224.0)</f>
        <v>224</v>
      </c>
      <c r="L1987" s="226">
        <f>IFERROR(__xludf.DUMMYFUNCTION("""COMPUTED_VALUE"""),1503398.0)</f>
        <v>1503398</v>
      </c>
      <c r="M1987" s="227">
        <f>IFERROR(__xludf.DUMMYFUNCTION("""COMPUTED_VALUE"""),3.36760934E8)</f>
        <v>336760934</v>
      </c>
      <c r="N1987" s="222" t="str">
        <f>IFERROR(__xludf.DUMMYFUNCTION("""COMPUTED_VALUE"""),"PT GITA PRIMA TAMBA PERKASA")</f>
        <v>PT GITA PRIMA TAMBA PERKASA</v>
      </c>
      <c r="O1987" s="222" t="str">
        <f>IFERROR(__xludf.DUMMYFUNCTION("""COMPUTED_VALUE"""),"3. PERIZINAN")</f>
        <v>3. PERIZINAN</v>
      </c>
      <c r="P1987" s="222" t="str">
        <f>IFERROR(__xludf.DUMMYFUNCTION("""COMPUTED_VALUE"""),"3.1 Submit permohon ke PU")</f>
        <v>3.1 Submit permohon ke PU</v>
      </c>
      <c r="Q1987" s="222" t="str">
        <f>IFERROR(__xludf.DUMMYFUNCTION("""COMPUTED_VALUE"""),"27/04 : Konfirmasi terkait perizinan PU // 13/04 proses draf surat perizinan PU 08/04 Proses submit Perizinan PU 26/03 proses pergantian mitra dri raharja ke GPTP, 25/03 PROGRESS UPDATE BOQ DAN KML SETELAH AANWIDJZING - MASIH MENUNGGU INFO TSEL MENGENAI P"&amp;"ENGURANGAN ODP,  16/03 HASIL AANWIDJZING BISA DIKERJAKAN TAPI PERLU PERIZINAN KE PU NASIONAL, 12/03 DONE AANWIDJZING, 10/03 PROGRESS AANWIJDZING ULANG, 09/03 DIALIHKAN KE MITRA GPTP, 09/03 DATA UPDATE BLM DI KIRIM MITRA, 06/03 SDH DI FU TERUS TP BELUM ADA"&amp;" INFO DARI MITRA, 02/03 SDH DI FU TERUS TP BELUM ADA INFO DARI MITRA, 27/02 masih menunggu hasil perhitungan QE dan review TIF 22/2  menunggu hasil perhitungan QE dan review TIF  22/02 PROSES PERIZINAN, 15/02 AANWIDJZING PENDING - BLM IZIN KADES KRNA SEDA"&amp;"NG DILUAR KOTA, 10/02 DONE AANWIDJZING - MITRA BELUM KIRIM HASIL AANWIDJZING, 6/2 plan aanwijdzing 8 feb 04/02 PROSES AANWIDJZING, (28/01) belum dpt update dri tim mitra kapan untuk aawniziing ke lapangan,  (21/01) menunggu antrian untuk aanwizjing, (15/1"&amp;") ORDER DITERIMA MITRA 14/1, masih menunngu confirm- kepastian 19 jan (06/01)order JPP batch-2 2026 ((14/11)HOLD-  tidak masuk target Optimis 2025 (12/11 DRM 10/11 mitra TP ditunjuk sebagai mitra LOP ini  04/11 mitra TP ditunjuk sebagai mitra LOP ini 3/11"&amp;" mitra TPP ditunjuk sebagai mitra LOP ini 23/10 belum di lakukan oleh mitra ke lokasi
15/10 plan aanwiznig tgl 17/10
(08/10) menunggu jadwal aanwijizng
(01/10) menunggu jadwal aanwijizng
(19/09) pejadwalan aanwijzing
14/01 sudah penunjukan mitra oleh proc"&amp;"urement")</f>
        <v>27/04 : Konfirmasi terkait perizinan PU // 13/04 proses draf surat perizinan PU 08/04 Proses submit Perizinan PU 26/03 proses pergantian mitra dri raharja ke GPTP, 25/03 PROGRESS UPDATE BOQ DAN KML SETELAH AANWIDJZING - MASIH MENUNGGU INFO TSEL MENGENAI PENGURANGAN ODP,  16/03 HASIL AANWIDJZING BISA DIKERJAKAN TAPI PERLU PERIZINAN KE PU NASIONAL, 12/03 DONE AANWIDJZING, 10/03 PROGRESS AANWIJDZING ULANG, 09/03 DIALIHKAN KE MITRA GPTP, 09/03 DATA UPDATE BLM DI KIRIM MITRA, 06/03 SDH DI FU TERUS TP BELUM ADA INFO DARI MITRA, 02/03 SDH DI FU TERUS TP BELUM ADA INFO DARI MITRA, 27/02 masih menunggu hasil perhitungan QE dan review TIF 22/2  menunggu hasil perhitungan QE dan review TIF  22/02 PROSES PERIZINAN, 15/02 AANWIDJZING PENDING - BLM IZIN KADES KRNA SEDANG DILUAR KOTA, 10/02 DONE AANWIDJZING - MITRA BELUM KIRIM HASIL AANWIDJZING, 6/2 plan aanwijdzing 8 feb 04/02 PROSES AANWIDJZING, (28/01) belum dpt update dri tim mitra kapan untuk aawniziing ke lapangan,  (21/01) menunggu antrian untuk aanwizjing, (15/1) ORDER DITERIMA MITRA 14/1, masih menunngu confirm- kepastian 19 jan (06/01)order JPP batch-2 2026 ((14/11)HOLD-  tidak masuk target Optimis 2025 (12/11 DRM 10/11 mitra TP ditunjuk sebagai mitra LOP ini  04/11 mitra TP ditunjuk sebagai mitra LOP ini 3/11 mitra TPP ditunjuk sebagai mitra LOP ini 23/10 belum di lakukan oleh mitra ke lokasi
15/10 plan aanwiznig tgl 17/10
(08/10) menunggu jadwal aanwijizng
(01/10) menunggu jadwal aanwijizng
(19/09) pejadwalan aanwijzing
14/01 sudah penunjukan mitra oleh procurement</v>
      </c>
      <c r="R1987" s="228"/>
      <c r="S1987" s="11"/>
      <c r="T1987" s="11"/>
      <c r="U1987" s="11"/>
      <c r="V1987" s="229" t="str">
        <f>IFERROR(__xludf.DUMMYFUNCTION("""COMPUTED_VALUE"""),"PUTRA")</f>
        <v>PUTRA</v>
      </c>
      <c r="W1987" s="229"/>
      <c r="X1987" s="229" t="str">
        <f>IFERROR(__xludf.DUMMYFUNCTION("""COMPUTED_VALUE"""),"BELUM GOLIVE")</f>
        <v>BELUM GOLIVE</v>
      </c>
      <c r="Y1987" s="229"/>
      <c r="Z1987" s="229"/>
      <c r="AA1987" s="229"/>
      <c r="AB1987" s="229"/>
      <c r="AC1987" s="229"/>
      <c r="AD1987" s="232"/>
      <c r="AE1987" s="233"/>
      <c r="AF1987" s="54"/>
      <c r="AG1987" s="54"/>
      <c r="AH1987" s="54"/>
      <c r="AI1987" s="55" t="str">
        <f t="shared" si="195"/>
        <v/>
      </c>
      <c r="AW1987" s="234"/>
      <c r="BP1987" s="11"/>
      <c r="BQ1987" s="11"/>
      <c r="BR1987" s="235"/>
      <c r="BV1987" s="158"/>
      <c r="BY1987" s="158"/>
      <c r="CB1987" s="158"/>
    </row>
    <row r="1988" ht="18.0" hidden="1" customHeight="1">
      <c r="A1988" s="222">
        <f>IFERROR(__xludf.DUMMYFUNCTION("""COMPUTED_VALUE"""),2026.0)</f>
        <v>2026</v>
      </c>
      <c r="B1988" s="221">
        <f>IFERROR(__xludf.DUMMYFUNCTION("""COMPUTED_VALUE"""),1.174783E7)</f>
        <v>11747830</v>
      </c>
      <c r="C1988" s="222" t="str">
        <f>IFERROR(__xludf.DUMMYFUNCTION("""COMPUTED_VALUE"""),"SMU PT4 KPI CLUST INNER KOTA PINANG")</f>
        <v>SMU PT4 KPI CLUST INNER KOTA PINANG</v>
      </c>
      <c r="D1988" s="222" t="str">
        <f>IFERROR(__xludf.DUMMYFUNCTION("""COMPUTED_VALUE"""),"REGIONAL I")</f>
        <v>REGIONAL I</v>
      </c>
      <c r="E1988" s="222" t="str">
        <f>IFERROR(__xludf.DUMMYFUNCTION("""COMPUTED_VALUE"""),"SUMUT")</f>
        <v>SUMUT</v>
      </c>
      <c r="F1988" s="222" t="str">
        <f>IFERROR(__xludf.DUMMYFUNCTION("""COMPUTED_VALUE"""),"KPI")</f>
        <v>KPI</v>
      </c>
      <c r="G1988" s="222" t="str">
        <f>IFERROR(__xludf.DUMMYFUNCTION("""COMPUTED_VALUE"""),"SUMBAGUT")</f>
        <v>SUMBAGUT</v>
      </c>
      <c r="H1988" s="222" t="str">
        <f>IFERROR(__xludf.DUMMYFUNCTION("""COMPUTED_VALUE"""),"RANTAU PRAPAT")</f>
        <v>RANTAU PRAPAT</v>
      </c>
      <c r="I1988" s="222" t="str">
        <f>IFERROR(__xludf.DUMMYFUNCTION("""COMPUTED_VALUE"""),"Batch 2")</f>
        <v>Batch 2</v>
      </c>
      <c r="J1988" s="225">
        <f>IFERROR(__xludf.DUMMYFUNCTION("""COMPUTED_VALUE"""),144.0)</f>
        <v>144</v>
      </c>
      <c r="K1988" s="224">
        <f>IFERROR(__xludf.DUMMYFUNCTION("""COMPUTED_VALUE"""),1152.0)</f>
        <v>1152</v>
      </c>
      <c r="L1988" s="226">
        <f>IFERROR(__xludf.DUMMYFUNCTION("""COMPUTED_VALUE"""),1504443.0)</f>
        <v>1504443</v>
      </c>
      <c r="M1988" s="227">
        <f>IFERROR(__xludf.DUMMYFUNCTION("""COMPUTED_VALUE"""),1.733117699E9)</f>
        <v>1733117699</v>
      </c>
      <c r="N1988" s="222" t="str">
        <f>IFERROR(__xludf.DUMMYFUNCTION("""COMPUTED_VALUE"""),"PT M JUSUF AND SONS")</f>
        <v>PT M JUSUF AND SONS</v>
      </c>
      <c r="O1988" s="222" t="str">
        <f>IFERROR(__xludf.DUMMYFUNCTION("""COMPUTED_VALUE"""),"7. GOLIVE")</f>
        <v>7. GOLIVE</v>
      </c>
      <c r="P1988" s="222" t="str">
        <f>IFERROR(__xludf.DUMMYFUNCTION("""COMPUTED_VALUE"""),"7.1 Golive Parsial")</f>
        <v>7.1 Golive Parsial</v>
      </c>
      <c r="Q1988" s="222" t="str">
        <f>IFERROR(__xludf.DUMMYFUNCTION("""COMPUTED_VALUE"""),"23/2 golive partial sisa 54 odp proses terminasi dan kendala izin tanam tiang, 
19/2 golive partial sisa 54 odp proses terminasi dan kendala izin tanam tiang, 9/2 proses abd partial 31 odp, 6/2 team menuju lokasi untuk  cek redaman plan golive partial, (p"&amp;"lan alih rute untuk d7 kendala  comcase tanam tiang 7 jt) penarikan KU 12 (12142) sisa (9642), penarikan KU 24 (19223) selesai, tanam tiang 3 segmen (451) sisa (277) , pemasangan ODP (144) sisa (88),odc 288 blm progres, kt48 (20) blm progres,  5/2 waspang"&amp;" menuju lokasi untuk  cek redaman plan golive partial, (plan alih rute untuk d7 kendala  comcase tanam tiang 7 jt) penarikan KU 12 (12142) sisa (9642), penarikan KU 24 (19223) selesai, tanam tiang 3 segmen (451) sisa (277) , pemasangan ODP (144) sisa (88)"&amp;",odc 288 blm progres, kt48 (20) blm progres,  3/2 prepair team untuk cek redaman plan golive partial, (plan alih rute untuk d7 kendala  comcase tanam tiang 7 jt) penarikan KU 12 (12142) sisa (9642), penarikan KU 24 (19223) selesai, tanam tiang 3 segmen (4"&amp;"51) sisa (277) , pemasangan ODP (144) sisa (88),odc 288 blm progres, kt48 (20) blm progres, 2/2 prepair team untuk cek redaman plan golive partial, (plan alih rute untuk d7 kendala  comcase tanam tiang 7 jt) penarikan KU 12 (12142) sisa (9642), penarikan "&amp;"KU 24 (19223) selesai, tanam tiang 3 segmen (451) sisa (277) , pemasangan ODP (144) sisa (88),odc 288 blm progres, kt48 (20) blm progres, 1/2 (plan alih rute kendala d7 comcase tanam tiang 7 jt) penarikan KU 12 (12142) sisa (9642), penarikan KU 24 (19223)"&amp;" selesai, tanam tiang 3 segmen (451) sisa (277) , pemasangan ODP (144) sisa (88),odc 288 blm progres, kt48 (20) blm progres,  30/1 (plan alih rute kendala d7 comcase tanam tiang 7 jt) penarikan KU 12 (12142) sisa (9642), penarikan KU 24 (19223) selesai, t"&amp;"anam tiang 3 segmen (451) sisa (277) , pemasangan ODP (144) sisa (88),odc 288 blm progres, kt48 (20) blm progres, 28/1 (plan alih rute kendala d7 comcase tanam tiang 7 jt) penarikan KU 12 (12142) sisa (9642), penarikan KU 24 (19223) selesai, tanam tiang 3"&amp;" segmen (451) sisa (277) , pemasangan ODP (144) sisa (88),odc 288 blm progres, kt48 (20) blm progres, 27/1 (plan alih rute kendala d7 comcase tanam tiang 7 jt) penarikan KU 12 (12142) sisa (9642), penarikan KU 24 (19223) selesai, tanam tiang 3 segmen (451"&amp;") sisa (277) , pemasangan ODP (144) sisa (88),odc 288 blm progres, kt48 (20) blm progres, 26/1 (plan alih rute kendala d7 comcase tanam tiang 7 jt) penarikan KU 12 (12142) sisa (9642), penarikan KU 24 (19223) selesai, tanam tiang 3 segmen (451) sisa (277)"&amp;" , pemasangan ODP (144) sisa (88),odc 288 blm progres, kt48 (20) blm progres, 23/1 prepair team untuk cek perubahan jalur (d7 comcase tanam tiang 7 jt) penarikan KU 12 (12142) sisa (9642), penarikan KU 24 (19223) selesai, tanam tiang 3 segmen (451) sisa ("&amp;"277) , pemasangan ODP (144) sisa (88),odc 288 blm progres, kt48 (20) blm progres, 22/1 plan alih rute  (d7 comcase tanam tiang 7 jt) penarikan KU 12 (12142) sisa (9642), penarikan KU 24 (19223) selesai, tanam tiang 3 segmen (451) sisa (277) , pemasangan O"&amp;"DP (144) sisa (88),odc 288 blm progres, kt48 (20) blm progres, 21/1 plan alih rute  (d7 comcase tanam tiang 7 jt) penarikan KU 12 (12142) sisa (9642), penarikan KU 24 (19223) selesai, tanam tiang 3 segmen (451) sisa (277) , pemasangan ODP (144) sisa (88),"&amp;"odc 288 blm progres, kt48 (20) blm progres, 19/1  (d7 comcase tanam tiang 7 jt) penarikan KU 12 (12142) sisa (9642), penarikan KU 24 (19223) selesai, tanam tiang 3 segmen (451) sisa (277) , pemasangan ODP (144) sisa (88),odc 288 blm progres, kt48 (20) blm"&amp;" progres,  15/1  penarikan KU 12 (12142) sisa (9642), penarikan KU 24 (19223) selesai, tanam tiang 3 segmen (451) sisa (277) , pemasangan ODP (144) sisa (88),odc 288 blm progres, kt48 (20) blm progres, 14/1  penarikan KU 12 (12142) sisa (9642), penarikan "&amp;"KU 24 (19223) selesai, tanam tiang 3 segmen (451) sisa (277) , pemasangan ODP (144) sisa (88),odc 288 blm progres, kt48 (20) blm progres, 13/1  penarikan KU 12 (12142) sisa (9642), penarikan KU 24 (19223) selesai, tanam tiang 3 segmen (451) sisa (277) , p"&amp;"emasangan ODP (144) sisa (88),odc 288 blm progres, kt48 (20) blm progres, (07/01) Persiapan")</f>
        <v>23/2 golive partial sisa 54 odp proses terminasi dan kendala izin tanam tiang, 
19/2 golive partial sisa 54 odp proses terminasi dan kendala izin tanam tiang, 9/2 proses abd partial 31 odp, 6/2 team menuju lokasi untuk  cek redaman plan golive partial, (plan alih rute untuk d7 kendala  comcase tanam tiang 7 jt) penarikan KU 12 (12142) sisa (9642), penarikan KU 24 (19223) selesai, tanam tiang 3 segmen (451) sisa (277) , pemasangan ODP (144) sisa (88),odc 288 blm progres, kt48 (20) blm progres,  5/2 waspang menuju lokasi untuk  cek redaman plan golive partial, (plan alih rute untuk d7 kendala  comcase tanam tiang 7 jt) penarikan KU 12 (12142) sisa (9642), penarikan KU 24 (19223) selesai, tanam tiang 3 segmen (451) sisa (277) , pemasangan ODP (144) sisa (88),odc 288 blm progres, kt48 (20) blm progres,  3/2 prepair team untuk cek redaman plan golive partial, (plan alih rute untuk d7 kendala  comcase tanam tiang 7 jt) penarikan KU 12 (12142) sisa (9642), penarikan KU 24 (19223) selesai, tanam tiang 3 segmen (451) sisa (277) , pemasangan ODP (144) sisa (88),odc 288 blm progres, kt48 (20) blm progres, 2/2 prepair team untuk cek redaman plan golive partial, (plan alih rute untuk d7 kendala  comcase tanam tiang 7 jt) penarikan KU 12 (12142) sisa (9642), penarikan KU 24 (19223) selesai, tanam tiang 3 segmen (451) sisa (277) , pemasangan ODP (144) sisa (88),odc 288 blm progres, kt48 (20) blm progres, 1/2 (plan alih rute kendala d7 comcase tanam tiang 7 jt) penarikan KU 12 (12142) sisa (9642), penarikan KU 24 (19223) selesai, tanam tiang 3 segmen (451) sisa (277) , pemasangan ODP (144) sisa (88),odc 288 blm progres, kt48 (20) blm progres,  30/1 (plan alih rute kendala d7 comcase tanam tiang 7 jt) penarikan KU 12 (12142) sisa (9642), penarikan KU 24 (19223) selesai, tanam tiang 3 segmen (451) sisa (277) , pemasangan ODP (144) sisa (88),odc 288 blm progres, kt48 (20) blm progres, 28/1 (plan alih rute kendala d7 comcase tanam tiang 7 jt) penarikan KU 12 (12142) sisa (9642), penarikan KU 24 (19223) selesai, tanam tiang 3 segmen (451) sisa (277) , pemasangan ODP (144) sisa (88),odc 288 blm progres, kt48 (20) blm progres, 27/1 (plan alih rute kendala d7 comcase tanam tiang 7 jt) penarikan KU 12 (12142) sisa (9642), penarikan KU 24 (19223) selesai, tanam tiang 3 segmen (451) sisa (277) , pemasangan ODP (144) sisa (88),odc 288 blm progres, kt48 (20) blm progres, 26/1 (plan alih rute kendala d7 comcase tanam tiang 7 jt) penarikan KU 12 (12142) sisa (9642), penarikan KU 24 (19223) selesai, tanam tiang 3 segmen (451) sisa (277) , pemasangan ODP (144) sisa (88),odc 288 blm progres, kt48 (20) blm progres, 23/1 prepair team untuk cek perubahan jalur (d7 comcase tanam tiang 7 jt) penarikan KU 12 (12142) sisa (9642), penarikan KU 24 (19223) selesai, tanam tiang 3 segmen (451) sisa (277) , pemasangan ODP (144) sisa (88),odc 288 blm progres, kt48 (20) blm progres, 22/1 plan alih rute  (d7 comcase tanam tiang 7 jt) penarikan KU 12 (12142) sisa (9642), penarikan KU 24 (19223) selesai, tanam tiang 3 segmen (451) sisa (277) , pemasangan ODP (144) sisa (88),odc 288 blm progres, kt48 (20) blm progres, 21/1 plan alih rute  (d7 comcase tanam tiang 7 jt) penarikan KU 12 (12142) sisa (9642), penarikan KU 24 (19223) selesai, tanam tiang 3 segmen (451) sisa (277) , pemasangan ODP (144) sisa (88),odc 288 blm progres, kt48 (20) blm progres, 19/1  (d7 comcase tanam tiang 7 jt) penarikan KU 12 (12142) sisa (9642), penarikan KU 24 (19223) selesai, tanam tiang 3 segmen (451) sisa (277) , pemasangan ODP (144) sisa (88),odc 288 blm progres, kt48 (20) blm progres,  15/1  penarikan KU 12 (12142) sisa (9642), penarikan KU 24 (19223) selesai, tanam tiang 3 segmen (451) sisa (277) , pemasangan ODP (144) sisa (88),odc 288 blm progres, kt48 (20) blm progres, 14/1  penarikan KU 12 (12142) sisa (9642), penarikan KU 24 (19223) selesai, tanam tiang 3 segmen (451) sisa (277) , pemasangan ODP (144) sisa (88),odc 288 blm progres, kt48 (20) blm progres, 13/1  penarikan KU 12 (12142) sisa (9642), penarikan KU 24 (19223) selesai, tanam tiang 3 segmen (451) sisa (277) , pemasangan ODP (144) sisa (88),odc 288 blm progres, kt48 (20) blm progres, (07/01) Persiapan</v>
      </c>
      <c r="R1988" s="228">
        <f>IFERROR(__xludf.DUMMYFUNCTION("""COMPUTED_VALUE"""),46062.0)</f>
        <v>46062</v>
      </c>
      <c r="S1988" s="11"/>
      <c r="T1988" s="11"/>
      <c r="U1988" s="11" t="str">
        <f>IFERROR(__xludf.DUMMYFUNCTION("""COMPUTED_VALUE"""),"W03-1418/2025")</f>
        <v>W03-1418/2025</v>
      </c>
      <c r="V1988" s="229"/>
      <c r="W1988" s="229"/>
      <c r="X1988" s="229" t="str">
        <f>IFERROR(__xludf.DUMMYFUNCTION("""COMPUTED_VALUE"""),"GOLIVE")</f>
        <v>GOLIVE</v>
      </c>
      <c r="Y1988" s="229" t="str">
        <f>IFERROR(__xludf.DUMMYFUNCTION("""COMPUTED_VALUE"""),"Golive Parsial")</f>
        <v>Golive Parsial</v>
      </c>
      <c r="Z1988" s="229" t="str">
        <f>IFERROR(__xludf.DUMMYFUNCTION("""COMPUTED_VALUE"""),"#N/A")</f>
        <v>#N/A</v>
      </c>
      <c r="AA1988" s="229">
        <f>IFERROR(__xludf.DUMMYFUNCTION("""COMPUTED_VALUE"""),95.0)</f>
        <v>95</v>
      </c>
      <c r="AB1988" s="229"/>
      <c r="AC1988" s="229" t="str">
        <f>IFERROR(__xludf.DUMMYFUNCTION("""COMPUTED_VALUE"""),"9092199#9092204,9091889#9091894,9099118#9099123,9108960#9108971,9115383#9115388,9122100#9122105,9174046#9174051")</f>
        <v>9092199#9092204,9091889#9091894,9099118#9099123,9108960#9108971,9115383#9115388,9122100#9122105,9174046#9174051</v>
      </c>
      <c r="AD1988" s="232">
        <f>IFERROR(__xludf.DUMMYFUNCTION("""COMPUTED_VALUE"""),760.0)</f>
        <v>760</v>
      </c>
      <c r="AE1988" s="233">
        <f>IFERROR(__xludf.DUMMYFUNCTION("""COMPUTED_VALUE"""),46062.0)</f>
        <v>46062</v>
      </c>
      <c r="AF1988" s="54"/>
      <c r="AG1988" s="54"/>
      <c r="AH1988" s="54">
        <v>46062.0</v>
      </c>
      <c r="AI1988" s="55">
        <f t="shared" si="195"/>
        <v>0</v>
      </c>
      <c r="AW1988" s="234"/>
      <c r="BP1988" s="11"/>
      <c r="BQ1988" s="11"/>
      <c r="BR1988" s="235"/>
      <c r="BV1988" s="158"/>
      <c r="BY1988" s="158"/>
      <c r="CB1988" s="158"/>
    </row>
    <row r="1989" ht="18.0" hidden="1" customHeight="1">
      <c r="A1989" s="222">
        <f>IFERROR(__xludf.DUMMYFUNCTION("""COMPUTED_VALUE"""),2026.0)</f>
        <v>2026</v>
      </c>
      <c r="B1989" s="221">
        <f>IFERROR(__xludf.DUMMYFUNCTION("""COMPUTED_VALUE"""),1.1187046E7)</f>
        <v>11187046</v>
      </c>
      <c r="C1989" s="222" t="str">
        <f>IFERROR(__xludf.DUMMYFUNCTION("""COMPUTED_VALUE"""),"MDN PT3 P7I11 TMU-FM KOMP GRIYA NABILA 3")</f>
        <v>MDN PT3 P7I11 TMU-FM KOMP GRIYA NABILA 3</v>
      </c>
      <c r="D1989" s="222" t="str">
        <f>IFERROR(__xludf.DUMMYFUNCTION("""COMPUTED_VALUE"""),"REGIONAL I")</f>
        <v>REGIONAL I</v>
      </c>
      <c r="E1989" s="222" t="str">
        <f>IFERROR(__xludf.DUMMYFUNCTION("""COMPUTED_VALUE"""),"MEDAN")</f>
        <v>MEDAN</v>
      </c>
      <c r="F1989" s="222" t="str">
        <f>IFERROR(__xludf.DUMMYFUNCTION("""COMPUTED_VALUE"""),"TMU")</f>
        <v>TMU</v>
      </c>
      <c r="G1989" s="222" t="str">
        <f>IFERROR(__xludf.DUMMYFUNCTION("""COMPUTED_VALUE"""),"SUMBAGUT")</f>
        <v>SUMBAGUT</v>
      </c>
      <c r="H1989" s="222" t="str">
        <f>IFERROR(__xludf.DUMMYFUNCTION("""COMPUTED_VALUE"""),"MEDAN")</f>
        <v>MEDAN</v>
      </c>
      <c r="I1989" s="222" t="str">
        <f>IFERROR(__xludf.DUMMYFUNCTION("""COMPUTED_VALUE"""),"Batch 2")</f>
        <v>Batch 2</v>
      </c>
      <c r="J1989" s="225">
        <f>IFERROR(__xludf.DUMMYFUNCTION("""COMPUTED_VALUE"""),2.0)</f>
        <v>2</v>
      </c>
      <c r="K1989" s="224">
        <f>IFERROR(__xludf.DUMMYFUNCTION("""COMPUTED_VALUE"""),16.0)</f>
        <v>16</v>
      </c>
      <c r="L1989" s="226">
        <f>IFERROR(__xludf.DUMMYFUNCTION("""COMPUTED_VALUE"""),927362.0)</f>
        <v>927362</v>
      </c>
      <c r="M1989" s="227">
        <f>IFERROR(__xludf.DUMMYFUNCTION("""COMPUTED_VALUE"""),1.483778E7)</f>
        <v>14837780</v>
      </c>
      <c r="N1989" s="222" t="str">
        <f>IFERROR(__xludf.DUMMYFUNCTION("""COMPUTED_VALUE"""),"PT DUL JAYA TAMA")</f>
        <v>PT DUL JAYA TAMA</v>
      </c>
      <c r="O1989" s="222" t="str">
        <f>IFERROR(__xludf.DUMMYFUNCTION("""COMPUTED_VALUE"""),"0. DROP")</f>
        <v>0. DROP</v>
      </c>
      <c r="P1989" s="222" t="str">
        <f>IFERROR(__xludf.DUMMYFUNCTION("""COMPUTED_VALUE"""),"0.3 Feeder Full")</f>
        <v>0.3 Feeder Full</v>
      </c>
      <c r="Q1989" s="222" t="str">
        <f>IFERROR(__xludf.DUMMYFUNCTION("""COMPUTED_VALUE"""),"08/03 Feeder Penuh 12/02 FE01 Tidak Tembus, FE02 Penuh 29/01 Done Order, lnjut Aanwidzing")</f>
        <v>08/03 Feeder Penuh 12/02 FE01 Tidak Tembus, FE02 Penuh 29/01 Done Order, lnjut Aanwidzing</v>
      </c>
      <c r="R1989" s="228"/>
      <c r="S1989" s="11"/>
      <c r="T1989" s="11"/>
      <c r="U1989" s="11"/>
      <c r="V1989" s="229"/>
      <c r="W1989" s="229"/>
      <c r="X1989" s="229" t="str">
        <f>IFERROR(__xludf.DUMMYFUNCTION("""COMPUTED_VALUE"""),"BELUM GOLIVE")</f>
        <v>BELUM GOLIVE</v>
      </c>
      <c r="Y1989" s="229"/>
      <c r="Z1989" s="229" t="str">
        <f>IFERROR(__xludf.DUMMYFUNCTION("""COMPUTED_VALUE"""),"#N/A")</f>
        <v>#N/A</v>
      </c>
      <c r="AA1989" s="229"/>
      <c r="AB1989" s="229"/>
      <c r="AC1989" s="229"/>
      <c r="AD1989" s="232"/>
      <c r="AE1989" s="233"/>
      <c r="AF1989" s="54"/>
      <c r="AG1989" s="54"/>
      <c r="AH1989" s="54">
        <v>46124.0</v>
      </c>
      <c r="AI1989" s="237">
        <f>AH1989-NOW()</f>
        <v>-16.37798994</v>
      </c>
      <c r="AJ1989" s="229" t="str">
        <f>if(AI1989&gt;=0,"in Komitmen","Out komitmen")</f>
        <v>Out komitmen</v>
      </c>
      <c r="AK1989" s="229" t="s">
        <v>199</v>
      </c>
      <c r="AW1989" s="234"/>
      <c r="BP1989" s="11"/>
      <c r="BQ1989" s="11"/>
      <c r="BR1989" s="235"/>
      <c r="BV1989" s="158"/>
      <c r="BY1989" s="158"/>
      <c r="CB1989" s="158"/>
    </row>
    <row r="1990" ht="18.0" customHeight="1">
      <c r="A1990" s="222">
        <f>IFERROR(__xludf.DUMMYFUNCTION("""COMPUTED_VALUE"""),2026.0)</f>
        <v>2026</v>
      </c>
      <c r="B1990" s="221">
        <f>IFERROR(__xludf.DUMMYFUNCTION("""COMPUTED_VALUE"""),1.1196525E7)</f>
        <v>11196525</v>
      </c>
      <c r="C1990" s="222" t="str">
        <f>IFERROR(__xludf.DUMMYFUNCTION("""COMPUTED_VALUE"""),"SMB-STTF Tebing Tinggi (penambahan) SGD")</f>
        <v>SMB-STTF Tebing Tinggi (penambahan) SGD</v>
      </c>
      <c r="D1990" s="222" t="str">
        <f>IFERROR(__xludf.DUMMYFUNCTION("""COMPUTED_VALUE"""),"REGIONAL I")</f>
        <v>REGIONAL I</v>
      </c>
      <c r="E1990" s="222" t="str">
        <f>IFERROR(__xludf.DUMMYFUNCTION("""COMPUTED_VALUE"""),"SUMBAR")</f>
        <v>SUMBAR</v>
      </c>
      <c r="F1990" s="222" t="str">
        <f>IFERROR(__xludf.DUMMYFUNCTION("""COMPUTED_VALUE"""),"SGD")</f>
        <v>SGD</v>
      </c>
      <c r="G1990" s="222" t="str">
        <f>IFERROR(__xludf.DUMMYFUNCTION("""COMPUTED_VALUE"""),"SUMBAGTENG")</f>
        <v>SUMBAGTENG</v>
      </c>
      <c r="H1990" s="222" t="str">
        <f>IFERROR(__xludf.DUMMYFUNCTION("""COMPUTED_VALUE"""),"PADANG")</f>
        <v>PADANG</v>
      </c>
      <c r="I1990" s="222" t="str">
        <f>IFERROR(__xludf.DUMMYFUNCTION("""COMPUTED_VALUE"""),"Batch 2")</f>
        <v>Batch 2</v>
      </c>
      <c r="J1990" s="225">
        <f>IFERROR(__xludf.DUMMYFUNCTION("""COMPUTED_VALUE"""),5.0)</f>
        <v>5</v>
      </c>
      <c r="K1990" s="224">
        <f>IFERROR(__xludf.DUMMYFUNCTION("""COMPUTED_VALUE"""),40.0)</f>
        <v>40</v>
      </c>
      <c r="L1990" s="226">
        <f>IFERROR(__xludf.DUMMYFUNCTION("""COMPUTED_VALUE"""),1505452.0)</f>
        <v>1505452</v>
      </c>
      <c r="M1990" s="227">
        <f>IFERROR(__xludf.DUMMYFUNCTION("""COMPUTED_VALUE"""),6.021805E7)</f>
        <v>60218050</v>
      </c>
      <c r="N1990" s="222" t="str">
        <f>IFERROR(__xludf.DUMMYFUNCTION("""COMPUTED_VALUE"""),"PT TIGA AKSES MANDIRI")</f>
        <v>PT TIGA AKSES MANDIRI</v>
      </c>
      <c r="O1990" s="222" t="str">
        <f>IFERROR(__xludf.DUMMYFUNCTION("""COMPUTED_VALUE"""),"7. GOLIVE")</f>
        <v>7. GOLIVE</v>
      </c>
      <c r="P1990" s="222" t="str">
        <f>IFERROR(__xludf.DUMMYFUNCTION("""COMPUTED_VALUE"""),"7.2 Golive Full / OA / DONE OTB")</f>
        <v>7.2 Golive Full / OA / DONE OTB</v>
      </c>
      <c r="Q1990" s="222" t="str">
        <f>IFERROR(__xludf.DUMMYFUNCTION("""COMPUTED_VALUE"""),"(06/04) penarikan kabel (02/04) penarikan kabel (30/03) tanam tiang (16/03) proses matdel KE SITE (05/03) proses create PID  (05/02) CPP 1,4, KENAIKAN LEBIH dari 10 % (27/01) CPP tinggi 1,5 ")</f>
        <v>(06/04) penarikan kabel (02/04) penarikan kabel (30/03) tanam tiang (16/03) proses matdel KE SITE (05/03) proses create PID  (05/02) CPP 1,4, KENAIKAN LEBIH dari 10 % (27/01) CPP tinggi 1,5 </v>
      </c>
      <c r="R1990" s="228">
        <f>IFERROR(__xludf.DUMMYFUNCTION("""COMPUTED_VALUE"""),46124.0)</f>
        <v>46124</v>
      </c>
      <c r="S1990" s="11"/>
      <c r="T1990" s="73"/>
      <c r="U1990" s="11" t="str">
        <f>IFERROR(__xludf.DUMMYFUNCTION("""COMPUTED_VALUE"""),"TIF-5470/2026  26KT03R158-0064 ")</f>
        <v>TIF-5470/2026  26KT03R158-0064 </v>
      </c>
      <c r="V1990" s="229" t="str">
        <f>IFERROR(__xludf.DUMMYFUNCTION("""COMPUTED_VALUE"""),"YULIO NOVIKO")</f>
        <v>YULIO NOVIKO</v>
      </c>
      <c r="W1990" s="229" t="str">
        <f>IFERROR(__xludf.DUMMYFUNCTION("""COMPUTED_VALUE"""),"MELKO NARWADI")</f>
        <v>MELKO NARWADI</v>
      </c>
      <c r="X1990" s="229" t="str">
        <f>IFERROR(__xludf.DUMMYFUNCTION("""COMPUTED_VALUE"""),"GOLIVE")</f>
        <v>GOLIVE</v>
      </c>
      <c r="Y1990" s="229" t="str">
        <f>IFERROR(__xludf.DUMMYFUNCTION("""COMPUTED_VALUE"""),"DONE")</f>
        <v>DONE</v>
      </c>
      <c r="Z1990" s="229" t="str">
        <f>IFERROR(__xludf.DUMMYFUNCTION("""COMPUTED_VALUE"""),"#N/A")</f>
        <v>#N/A</v>
      </c>
      <c r="AA1990" s="229">
        <f>IFERROR(__xludf.DUMMYFUNCTION("""COMPUTED_VALUE"""),10.0)</f>
        <v>10</v>
      </c>
      <c r="AB1990" s="229"/>
      <c r="AC1990" s="229" t="str">
        <f>IFERROR(__xludf.DUMMYFUNCTION("""COMPUTED_VALUE"""),"9262853#9262858")</f>
        <v>9262853#9262858</v>
      </c>
      <c r="AD1990" s="232">
        <f>IFERROR(__xludf.DUMMYFUNCTION("""COMPUTED_VALUE"""),80.0)</f>
        <v>80</v>
      </c>
      <c r="AE1990" s="233">
        <f>IFERROR(__xludf.DUMMYFUNCTION("""COMPUTED_VALUE"""),46124.0)</f>
        <v>46124</v>
      </c>
      <c r="AF1990" s="54"/>
      <c r="AG1990" s="54"/>
      <c r="AH1990" s="54">
        <v>46124.0</v>
      </c>
      <c r="AI1990" s="55">
        <f>IF(OR(AH1990="",AE1990=""),"",AH1990-AE1990)</f>
        <v>0</v>
      </c>
      <c r="AJ1990" s="229" t="str">
        <f>if(AI1990&gt;=0,"Gl in Komitmen","Gl out komitmen")</f>
        <v>Gl in Komitmen</v>
      </c>
      <c r="AK1990" s="231" t="s">
        <v>199</v>
      </c>
      <c r="AW1990" s="234"/>
      <c r="BP1990" s="11"/>
      <c r="BQ1990" s="11"/>
      <c r="BR1990" s="235"/>
      <c r="BV1990" s="158"/>
      <c r="BY1990" s="158"/>
      <c r="CB1990" s="158"/>
    </row>
    <row r="1991" ht="18.0" customHeight="1">
      <c r="A1991" s="222">
        <f>IFERROR(__xludf.DUMMYFUNCTION("""COMPUTED_VALUE"""),2026.0)</f>
        <v>2026</v>
      </c>
      <c r="B1991" s="221">
        <f>IFERROR(__xludf.DUMMYFUNCTION("""COMPUTED_VALUE"""),1.0827655E7)</f>
        <v>10827655</v>
      </c>
      <c r="C1991" s="222" t="str">
        <f>IFERROR(__xludf.DUMMYFUNCTION("""COMPUTED_VALUE"""),"SMB P4I1 SCATTER MARUNGGI TAMBAHAN-DKT Msjd RAYA")</f>
        <v>SMB P4I1 SCATTER MARUNGGI TAMBAHAN-DKT Msjd RAYA</v>
      </c>
      <c r="D1991" s="222" t="str">
        <f>IFERROR(__xludf.DUMMYFUNCTION("""COMPUTED_VALUE"""),"REGIONAL I")</f>
        <v>REGIONAL I</v>
      </c>
      <c r="E1991" s="222" t="str">
        <f>IFERROR(__xludf.DUMMYFUNCTION("""COMPUTED_VALUE"""),"SUMBAR")</f>
        <v>SUMBAR</v>
      </c>
      <c r="F1991" s="222" t="str">
        <f>IFERROR(__xludf.DUMMYFUNCTION("""COMPUTED_VALUE"""),"PAM")</f>
        <v>PAM</v>
      </c>
      <c r="G1991" s="222" t="str">
        <f>IFERROR(__xludf.DUMMYFUNCTION("""COMPUTED_VALUE"""),"SUMBAGTENG")</f>
        <v>SUMBAGTENG</v>
      </c>
      <c r="H1991" s="222" t="str">
        <f>IFERROR(__xludf.DUMMYFUNCTION("""COMPUTED_VALUE"""),"BUKIT TINGGI")</f>
        <v>BUKIT TINGGI</v>
      </c>
      <c r="I1991" s="222" t="str">
        <f>IFERROR(__xludf.DUMMYFUNCTION("""COMPUTED_VALUE"""),"Batch 2")</f>
        <v>Batch 2</v>
      </c>
      <c r="J1991" s="225">
        <f>IFERROR(__xludf.DUMMYFUNCTION("""COMPUTED_VALUE"""),3.0)</f>
        <v>3</v>
      </c>
      <c r="K1991" s="224">
        <f>IFERROR(__xludf.DUMMYFUNCTION("""COMPUTED_VALUE"""),24.0)</f>
        <v>24</v>
      </c>
      <c r="L1991" s="226">
        <f>IFERROR(__xludf.DUMMYFUNCTION("""COMPUTED_VALUE"""),1507193.0)</f>
        <v>1507193</v>
      </c>
      <c r="M1991" s="227">
        <f>IFERROR(__xludf.DUMMYFUNCTION("""COMPUTED_VALUE"""),3.6172618E7)</f>
        <v>36172618</v>
      </c>
      <c r="N1991" s="222" t="str">
        <f>IFERROR(__xludf.DUMMYFUNCTION("""COMPUTED_VALUE"""),"PT TRI LESMA INDONESIA")</f>
        <v>PT TRI LESMA INDONESIA</v>
      </c>
      <c r="O1991" s="222" t="str">
        <f>IFERROR(__xludf.DUMMYFUNCTION("""COMPUTED_VALUE"""),"8. UJI TERIMA")</f>
        <v>8. UJI TERIMA</v>
      </c>
      <c r="P1991" s="222" t="str">
        <f>IFERROR(__xludf.DUMMYFUNCTION("""COMPUTED_VALUE"""),"8.1 Proses UT")</f>
        <v>8.1 Proses UT</v>
      </c>
      <c r="Q1991" s="222" t="str">
        <f>IFERROR(__xludf.DUMMYFUNCTION("""COMPUTED_VALUE"""),"(07/01) Persiapan")</f>
        <v>(07/01) Persiapan</v>
      </c>
      <c r="R1991" s="228"/>
      <c r="S1991" s="11"/>
      <c r="T1991" s="11"/>
      <c r="U1991" s="11" t="str">
        <f>IFERROR(__xludf.DUMMYFUNCTION("""COMPUTED_VALUE"""),"W10-1750/2025 25KT03R158-0494")</f>
        <v>W10-1750/2025 25KT03R158-0494</v>
      </c>
      <c r="V1991" s="229" t="str">
        <f>IFERROR(__xludf.DUMMYFUNCTION("""COMPUTED_VALUE"""),"ALDI EFENDI")</f>
        <v>ALDI EFENDI</v>
      </c>
      <c r="W1991" s="229" t="str">
        <f>IFERROR(__xludf.DUMMYFUNCTION("""COMPUTED_VALUE"""),"MELKO NARWADI")</f>
        <v>MELKO NARWADI</v>
      </c>
      <c r="X1991" s="229" t="str">
        <f>IFERROR(__xludf.DUMMYFUNCTION("""COMPUTED_VALUE"""),"GOLIVE")</f>
        <v>GOLIVE</v>
      </c>
      <c r="Y1991" s="229" t="str">
        <f>IFERROR(__xludf.DUMMYFUNCTION("""COMPUTED_VALUE"""),"DONE")</f>
        <v>DONE</v>
      </c>
      <c r="Z1991" s="229" t="str">
        <f>IFERROR(__xludf.DUMMYFUNCTION("""COMPUTED_VALUE"""),"#N/A")</f>
        <v>#N/A</v>
      </c>
      <c r="AA1991" s="229">
        <f>IFERROR(__xludf.DUMMYFUNCTION("""COMPUTED_VALUE"""),3.0)</f>
        <v>3</v>
      </c>
      <c r="AB1991" s="229"/>
      <c r="AC1991" s="229" t="str">
        <f>IFERROR(__xludf.DUMMYFUNCTION("""COMPUTED_VALUE"""),"8950801#8950811")</f>
        <v>8950801#8950811</v>
      </c>
      <c r="AD1991" s="232">
        <f>IFERROR(__xludf.DUMMYFUNCTION("""COMPUTED_VALUE"""),24.0)</f>
        <v>24</v>
      </c>
      <c r="AE1991" s="233">
        <f>IFERROR(__xludf.DUMMYFUNCTION("""COMPUTED_VALUE"""),46035.0)</f>
        <v>46035</v>
      </c>
      <c r="AF1991" s="54"/>
      <c r="AG1991" s="54"/>
      <c r="AH1991" s="54"/>
      <c r="AI1991" s="55" t="str">
        <f t="shared" ref="AI1991:AI2004" si="196">IF(OR(R1991="",AE1991=""),"",R1991-AE1991)</f>
        <v/>
      </c>
      <c r="AW1991" s="234"/>
      <c r="BP1991" s="11"/>
      <c r="BQ1991" s="11"/>
      <c r="BR1991" s="235"/>
      <c r="BV1991" s="158"/>
      <c r="BY1991" s="158"/>
      <c r="CB1991" s="158"/>
    </row>
    <row r="1992" ht="18.0" customHeight="1">
      <c r="A1992" s="222">
        <f>IFERROR(__xludf.DUMMYFUNCTION("""COMPUTED_VALUE"""),2026.0)</f>
        <v>2026</v>
      </c>
      <c r="B1992" s="221">
        <f>IFERROR(__xludf.DUMMYFUNCTION("""COMPUTED_VALUE"""),1.1526758E7)</f>
        <v>11526758</v>
      </c>
      <c r="C1992" s="222" t="str">
        <f>IFERROR(__xludf.DUMMYFUNCTION("""COMPUTED_VALUE"""),"RKP TSEL PT3 LBJ-FBF SEI NAYON")</f>
        <v>RKP TSEL PT3 LBJ-FBF SEI NAYON</v>
      </c>
      <c r="D1992" s="222" t="str">
        <f>IFERROR(__xludf.DUMMYFUNCTION("""COMPUTED_VALUE"""),"REGIONAL I")</f>
        <v>REGIONAL I</v>
      </c>
      <c r="E1992" s="222" t="str">
        <f>IFERROR(__xludf.DUMMYFUNCTION("""COMPUTED_VALUE"""),"RIKEP")</f>
        <v>RIKEP</v>
      </c>
      <c r="F1992" s="222" t="str">
        <f>IFERROR(__xludf.DUMMYFUNCTION("""COMPUTED_VALUE"""),"LBJ")</f>
        <v>LBJ</v>
      </c>
      <c r="G1992" s="222" t="str">
        <f>IFERROR(__xludf.DUMMYFUNCTION("""COMPUTED_VALUE"""),"SUMBAGTENG")</f>
        <v>SUMBAGTENG</v>
      </c>
      <c r="H1992" s="222" t="str">
        <f>IFERROR(__xludf.DUMMYFUNCTION("""COMPUTED_VALUE"""),"BATAM")</f>
        <v>BATAM</v>
      </c>
      <c r="I1992" s="222" t="str">
        <f>IFERROR(__xludf.DUMMYFUNCTION("""COMPUTED_VALUE"""),"Batch 2")</f>
        <v>Batch 2</v>
      </c>
      <c r="J1992" s="225">
        <f>IFERROR(__xludf.DUMMYFUNCTION("""COMPUTED_VALUE"""),2.0)</f>
        <v>2</v>
      </c>
      <c r="K1992" s="224">
        <f>IFERROR(__xludf.DUMMYFUNCTION("""COMPUTED_VALUE"""),16.0)</f>
        <v>16</v>
      </c>
      <c r="L1992" s="226">
        <f>IFERROR(__xludf.DUMMYFUNCTION("""COMPUTED_VALUE"""),1507519.0)</f>
        <v>1507519</v>
      </c>
      <c r="M1992" s="227">
        <f>IFERROR(__xludf.DUMMYFUNCTION("""COMPUTED_VALUE"""),2.4120295E7)</f>
        <v>24120295</v>
      </c>
      <c r="N1992" s="222" t="str">
        <f>IFERROR(__xludf.DUMMYFUNCTION("""COMPUTED_VALUE"""),"PT HDUA PUTRA PRAJODA")</f>
        <v>PT HDUA PUTRA PRAJODA</v>
      </c>
      <c r="O1992" s="222" t="str">
        <f>IFERROR(__xludf.DUMMYFUNCTION("""COMPUTED_VALUE"""),"0. DROP")</f>
        <v>0. DROP</v>
      </c>
      <c r="P1992" s="222" t="str">
        <f>IFERROR(__xludf.DUMMYFUNCTION("""COMPUTED_VALUE"""),"0.2 Tidak Dapat Izin Warga/Kades/Lurah/Developer")</f>
        <v>0.2 Tidak Dapat Izin Warga/Kades/Lurah/Developer</v>
      </c>
      <c r="Q1992" s="222" t="str">
        <f>IFERROR(__xludf.DUMMYFUNCTION("""COMPUTED_VALUE"""),"04/03 RW meminta ODC di pindah dan meminta kompensasi. 
16/02 ODC di minta geser oleh RW.   11/02 Peralihan mitra. 28/01 Plan survey 29 Jan. 28/01 Mitra tripola belum ada PIC untuk anwijzing. 23/01 Plan anwijzing 26 Jan, pic mitra ada pertanggal 25 jan. 2"&amp;"1/01 proses penunjukan mitra ")</f>
        <v>04/03 RW meminta ODC di pindah dan meminta kompensasi. 
16/02 ODC di minta geser oleh RW.   11/02 Peralihan mitra. 28/01 Plan survey 29 Jan. 28/01 Mitra tripola belum ada PIC untuk anwijzing. 23/01 Plan anwijzing 26 Jan, pic mitra ada pertanggal 25 jan. 21/01 proses penunjukan mitra </v>
      </c>
      <c r="R1992" s="228"/>
      <c r="S1992" s="11"/>
      <c r="T1992" s="11"/>
      <c r="U1992" s="11"/>
      <c r="V1992" s="229" t="str">
        <f>IFERROR(__xludf.DUMMYFUNCTION("""COMPUTED_VALUE"""),"RONALDO LEO INFANTRI")</f>
        <v>RONALDO LEO INFANTRI</v>
      </c>
      <c r="W1992" s="229" t="str">
        <f>IFERROR(__xludf.DUMMYFUNCTION("""COMPUTED_VALUE"""),"LEVITA INDRIYANI")</f>
        <v>LEVITA INDRIYANI</v>
      </c>
      <c r="X1992" s="229" t="str">
        <f>IFERROR(__xludf.DUMMYFUNCTION("""COMPUTED_VALUE"""),"BELUM GOLIVE")</f>
        <v>BELUM GOLIVE</v>
      </c>
      <c r="Y1992" s="229"/>
      <c r="Z1992" s="229" t="str">
        <f>IFERROR(__xludf.DUMMYFUNCTION("""COMPUTED_VALUE"""),"#N/A")</f>
        <v>#N/A</v>
      </c>
      <c r="AA1992" s="229"/>
      <c r="AB1992" s="229"/>
      <c r="AC1992" s="229"/>
      <c r="AD1992" s="232"/>
      <c r="AE1992" s="233"/>
      <c r="AF1992" s="54"/>
      <c r="AG1992" s="54"/>
      <c r="AH1992" s="54"/>
      <c r="AI1992" s="55" t="str">
        <f t="shared" si="196"/>
        <v/>
      </c>
      <c r="AW1992" s="234"/>
      <c r="BP1992" s="11"/>
      <c r="BQ1992" s="11"/>
      <c r="BR1992" s="235"/>
      <c r="BV1992" s="158"/>
      <c r="BY1992" s="158"/>
      <c r="CB1992" s="158"/>
    </row>
    <row r="1993" ht="18.0" hidden="1" customHeight="1">
      <c r="A1993" s="222">
        <f>IFERROR(__xludf.DUMMYFUNCTION("""COMPUTED_VALUE"""),2026.0)</f>
        <v>2026</v>
      </c>
      <c r="B1993" s="221">
        <f>IFERROR(__xludf.DUMMYFUNCTION("""COMPUTED_VALUE"""),1.1197137E7)</f>
        <v>11197137</v>
      </c>
      <c r="C1993" s="222" t="str">
        <f>IFERROR(__xludf.DUMMYFUNCTION("""COMPUTED_VALUE"""),"MDN PT3 P7I7 TJR-FAD LORONG SEPAKAT")</f>
        <v>MDN PT3 P7I7 TJR-FAD LORONG SEPAKAT</v>
      </c>
      <c r="D1993" s="222" t="str">
        <f>IFERROR(__xludf.DUMMYFUNCTION("""COMPUTED_VALUE"""),"REGIONAL I")</f>
        <v>REGIONAL I</v>
      </c>
      <c r="E1993" s="222" t="str">
        <f>IFERROR(__xludf.DUMMYFUNCTION("""COMPUTED_VALUE"""),"MEDAN")</f>
        <v>MEDAN</v>
      </c>
      <c r="F1993" s="222" t="str">
        <f>IFERROR(__xludf.DUMMYFUNCTION("""COMPUTED_VALUE"""),"TJR")</f>
        <v>TJR</v>
      </c>
      <c r="G1993" s="222" t="str">
        <f>IFERROR(__xludf.DUMMYFUNCTION("""COMPUTED_VALUE"""),"SUMBAGUT")</f>
        <v>SUMBAGUT</v>
      </c>
      <c r="H1993" s="222" t="str">
        <f>IFERROR(__xludf.DUMMYFUNCTION("""COMPUTED_VALUE"""),"MEDAN")</f>
        <v>MEDAN</v>
      </c>
      <c r="I1993" s="222" t="str">
        <f>IFERROR(__xludf.DUMMYFUNCTION("""COMPUTED_VALUE"""),"Batch 2")</f>
        <v>Batch 2</v>
      </c>
      <c r="J1993" s="225">
        <f>IFERROR(__xludf.DUMMYFUNCTION("""COMPUTED_VALUE"""),5.0)</f>
        <v>5</v>
      </c>
      <c r="K1993" s="224">
        <f>IFERROR(__xludf.DUMMYFUNCTION("""COMPUTED_VALUE"""),40.0)</f>
        <v>40</v>
      </c>
      <c r="L1993" s="226">
        <f>IFERROR(__xludf.DUMMYFUNCTION("""COMPUTED_VALUE"""),997388.0)</f>
        <v>997388</v>
      </c>
      <c r="M1993" s="227">
        <f>IFERROR(__xludf.DUMMYFUNCTION("""COMPUTED_VALUE"""),3.98955E7)</f>
        <v>39895500</v>
      </c>
      <c r="N1993" s="222" t="str">
        <f>IFERROR(__xludf.DUMMYFUNCTION("""COMPUTED_VALUE"""),"PT BONGKAR SEJATI ANDALAN")</f>
        <v>PT BONGKAR SEJATI ANDALAN</v>
      </c>
      <c r="O1993" s="222" t="str">
        <f>IFERROR(__xludf.DUMMYFUNCTION("""COMPUTED_VALUE"""),"0. DROP")</f>
        <v>0. DROP</v>
      </c>
      <c r="P1993" s="222" t="str">
        <f>IFERROR(__xludf.DUMMYFUNCTION("""COMPUTED_VALUE"""),"0.3 Feeder Full")</f>
        <v>0.3 Feeder Full</v>
      </c>
      <c r="Q1993" s="222" t="str">
        <f>IFERROR(__xludf.DUMMYFUNCTION("""COMPUTED_VALUE"""),"21/01 TJR-FAD feeder habis
(07/01) Persiapan")</f>
        <v>21/01 TJR-FAD feeder habis
(07/01) Persiapan</v>
      </c>
      <c r="R1993" s="228"/>
      <c r="S1993" s="11"/>
      <c r="T1993" s="11"/>
      <c r="U1993" s="11"/>
      <c r="V1993" s="229"/>
      <c r="W1993" s="229"/>
      <c r="X1993" s="229" t="str">
        <f>IFERROR(__xludf.DUMMYFUNCTION("""COMPUTED_VALUE"""),"BELUM GOLIVE")</f>
        <v>BELUM GOLIVE</v>
      </c>
      <c r="Y1993" s="229"/>
      <c r="Z1993" s="229" t="str">
        <f>IFERROR(__xludf.DUMMYFUNCTION("""COMPUTED_VALUE"""),"#N/A")</f>
        <v>#N/A</v>
      </c>
      <c r="AA1993" s="229"/>
      <c r="AB1993" s="229"/>
      <c r="AC1993" s="229"/>
      <c r="AD1993" s="232"/>
      <c r="AE1993" s="233"/>
      <c r="AF1993" s="54"/>
      <c r="AG1993" s="54"/>
      <c r="AH1993" s="54"/>
      <c r="AI1993" s="55" t="str">
        <f t="shared" si="196"/>
        <v/>
      </c>
      <c r="AW1993" s="234"/>
      <c r="BP1993" s="11"/>
      <c r="BQ1993" s="11"/>
      <c r="BR1993" s="235"/>
      <c r="BV1993" s="158"/>
      <c r="BY1993" s="158"/>
      <c r="CB1993" s="158"/>
    </row>
    <row r="1994" ht="18.0" hidden="1" customHeight="1">
      <c r="A1994" s="222">
        <f>IFERROR(__xludf.DUMMYFUNCTION("""COMPUTED_VALUE"""),2026.0)</f>
        <v>2026</v>
      </c>
      <c r="B1994" s="221">
        <f>IFERROR(__xludf.DUMMYFUNCTION("""COMPUTED_VALUE"""),1.1271819E7)</f>
        <v>11271819</v>
      </c>
      <c r="C1994" s="222" t="str">
        <f>IFERROR(__xludf.DUMMYFUNCTION("""COMPUTED_VALUE"""),"MDN PT3 P1I1 TJR-FAD JL.SEDAP MALAM")</f>
        <v>MDN PT3 P1I1 TJR-FAD JL.SEDAP MALAM</v>
      </c>
      <c r="D1994" s="222" t="str">
        <f>IFERROR(__xludf.DUMMYFUNCTION("""COMPUTED_VALUE"""),"REGIONAL I")</f>
        <v>REGIONAL I</v>
      </c>
      <c r="E1994" s="222" t="str">
        <f>IFERROR(__xludf.DUMMYFUNCTION("""COMPUTED_VALUE"""),"MEDAN")</f>
        <v>MEDAN</v>
      </c>
      <c r="F1994" s="222" t="str">
        <f>IFERROR(__xludf.DUMMYFUNCTION("""COMPUTED_VALUE"""),"TJR")</f>
        <v>TJR</v>
      </c>
      <c r="G1994" s="222" t="str">
        <f>IFERROR(__xludf.DUMMYFUNCTION("""COMPUTED_VALUE"""),"SUMBAGUT")</f>
        <v>SUMBAGUT</v>
      </c>
      <c r="H1994" s="222" t="str">
        <f>IFERROR(__xludf.DUMMYFUNCTION("""COMPUTED_VALUE"""),"MEDAN")</f>
        <v>MEDAN</v>
      </c>
      <c r="I1994" s="222" t="str">
        <f>IFERROR(__xludf.DUMMYFUNCTION("""COMPUTED_VALUE"""),"Batch 2")</f>
        <v>Batch 2</v>
      </c>
      <c r="J1994" s="225">
        <f>IFERROR(__xludf.DUMMYFUNCTION("""COMPUTED_VALUE"""),4.0)</f>
        <v>4</v>
      </c>
      <c r="K1994" s="224">
        <f>IFERROR(__xludf.DUMMYFUNCTION("""COMPUTED_VALUE"""),32.0)</f>
        <v>32</v>
      </c>
      <c r="L1994" s="226">
        <f>IFERROR(__xludf.DUMMYFUNCTION("""COMPUTED_VALUE"""),1063661.0)</f>
        <v>1063661</v>
      </c>
      <c r="M1994" s="227">
        <f>IFERROR(__xludf.DUMMYFUNCTION("""COMPUTED_VALUE"""),3.4037121E7)</f>
        <v>34037121</v>
      </c>
      <c r="N1994" s="222" t="str">
        <f>IFERROR(__xludf.DUMMYFUNCTION("""COMPUTED_VALUE"""),"PT BONGKAR SEJATI ANDALAN")</f>
        <v>PT BONGKAR SEJATI ANDALAN</v>
      </c>
      <c r="O1994" s="222" t="str">
        <f>IFERROR(__xludf.DUMMYFUNCTION("""COMPUTED_VALUE"""),"0. DROP")</f>
        <v>0. DROP</v>
      </c>
      <c r="P1994" s="222" t="str">
        <f>IFERROR(__xludf.DUMMYFUNCTION("""COMPUTED_VALUE"""),"0.3 Feeder Full")</f>
        <v>0.3 Feeder Full</v>
      </c>
      <c r="Q1994" s="222" t="str">
        <f>IFERROR(__xludf.DUMMYFUNCTION("""COMPUTED_VALUE"""),"21/01 TJR-FAD feeder habis
(07/01) Persiapan")</f>
        <v>21/01 TJR-FAD feeder habis
(07/01) Persiapan</v>
      </c>
      <c r="R1994" s="228"/>
      <c r="S1994" s="11"/>
      <c r="T1994" s="11"/>
      <c r="U1994" s="11"/>
      <c r="V1994" s="229"/>
      <c r="W1994" s="229"/>
      <c r="X1994" s="229" t="str">
        <f>IFERROR(__xludf.DUMMYFUNCTION("""COMPUTED_VALUE"""),"BELUM GOLIVE")</f>
        <v>BELUM GOLIVE</v>
      </c>
      <c r="Y1994" s="229"/>
      <c r="Z1994" s="229" t="str">
        <f>IFERROR(__xludf.DUMMYFUNCTION("""COMPUTED_VALUE"""),"#N/A")</f>
        <v>#N/A</v>
      </c>
      <c r="AA1994" s="229"/>
      <c r="AB1994" s="229"/>
      <c r="AC1994" s="229"/>
      <c r="AD1994" s="232"/>
      <c r="AE1994" s="233"/>
      <c r="AF1994" s="54"/>
      <c r="AG1994" s="54"/>
      <c r="AH1994" s="54"/>
      <c r="AI1994" s="55" t="str">
        <f t="shared" si="196"/>
        <v/>
      </c>
      <c r="AW1994" s="234"/>
      <c r="BP1994" s="11"/>
      <c r="BQ1994" s="11"/>
      <c r="BR1994" s="235"/>
      <c r="BV1994" s="158"/>
      <c r="BY1994" s="158"/>
      <c r="CB1994" s="158"/>
    </row>
    <row r="1995" ht="18.0" customHeight="1">
      <c r="A1995" s="222">
        <f>IFERROR(__xludf.DUMMYFUNCTION("""COMPUTED_VALUE"""),2026.0)</f>
        <v>2026</v>
      </c>
      <c r="B1995" s="221">
        <f>IFERROR(__xludf.DUMMYFUNCTION("""COMPUTED_VALUE"""),1.1252101E7)</f>
        <v>11252101</v>
      </c>
      <c r="C1995" s="222" t="str">
        <f>IFERROR(__xludf.DUMMYFUNCTION("""COMPUTED_VALUE"""),"RDR JPP PT3 ARK FDA")</f>
        <v>RDR JPP PT3 ARK FDA</v>
      </c>
      <c r="D1995" s="222" t="str">
        <f>IFERROR(__xludf.DUMMYFUNCTION("""COMPUTED_VALUE"""),"REGIONAL I")</f>
        <v>REGIONAL I</v>
      </c>
      <c r="E1995" s="222" t="str">
        <f>IFERROR(__xludf.DUMMYFUNCTION("""COMPUTED_VALUE"""),"RIDAR")</f>
        <v>RIDAR</v>
      </c>
      <c r="F1995" s="222" t="str">
        <f>IFERROR(__xludf.DUMMYFUNCTION("""COMPUTED_VALUE"""),"ARK")</f>
        <v>ARK</v>
      </c>
      <c r="G1995" s="222" t="str">
        <f>IFERROR(__xludf.DUMMYFUNCTION("""COMPUTED_VALUE"""),"SUMBAGTENG")</f>
        <v>SUMBAGTENG</v>
      </c>
      <c r="H1995" s="222" t="str">
        <f>IFERROR(__xludf.DUMMYFUNCTION("""COMPUTED_VALUE"""),"PEKANBARU")</f>
        <v>PEKANBARU</v>
      </c>
      <c r="I1995" s="222" t="str">
        <f>IFERROR(__xludf.DUMMYFUNCTION("""COMPUTED_VALUE"""),"Batch 2")</f>
        <v>Batch 2</v>
      </c>
      <c r="J1995" s="225">
        <f>IFERROR(__xludf.DUMMYFUNCTION("""COMPUTED_VALUE"""),5.0)</f>
        <v>5</v>
      </c>
      <c r="K1995" s="224">
        <f>IFERROR(__xludf.DUMMYFUNCTION("""COMPUTED_VALUE"""),40.0)</f>
        <v>40</v>
      </c>
      <c r="L1995" s="226">
        <f>IFERROR(__xludf.DUMMYFUNCTION("""COMPUTED_VALUE"""),1509373.0)</f>
        <v>1509373</v>
      </c>
      <c r="M1995" s="227">
        <f>IFERROR(__xludf.DUMMYFUNCTION("""COMPUTED_VALUE"""),6.0374892E7)</f>
        <v>60374892</v>
      </c>
      <c r="N1995" s="222"/>
      <c r="O1995" s="222" t="str">
        <f>IFERROR(__xludf.DUMMYFUNCTION("""COMPUTED_VALUE"""),"0. DROP")</f>
        <v>0. DROP</v>
      </c>
      <c r="P1995" s="222" t="str">
        <f>IFERROR(__xludf.DUMMYFUNCTION("""COMPUTED_VALUE"""),"0.2 Tidak Dapat Izin Warga/Kades/Lurah/Developer")</f>
        <v>0.2 Tidak Dapat Izin Warga/Kades/Lurah/Developer</v>
      </c>
      <c r="Q1995" s="222" t="str">
        <f>IFERROR(__xludf.DUMMYFUNCTION("""COMPUTED_VALUE"""),"20/01 Tidak dapat izin RT/RW dan warga (07/01) Persiapan")</f>
        <v>20/01 Tidak dapat izin RT/RW dan warga (07/01) Persiapan</v>
      </c>
      <c r="R1995" s="228"/>
      <c r="S1995" s="11"/>
      <c r="T1995" s="11"/>
      <c r="U1995" s="11"/>
      <c r="V1995" s="229"/>
      <c r="W1995" s="229"/>
      <c r="X1995" s="229" t="str">
        <f>IFERROR(__xludf.DUMMYFUNCTION("""COMPUTED_VALUE"""),"BELUM GOLIVE")</f>
        <v>BELUM GOLIVE</v>
      </c>
      <c r="Y1995" s="229"/>
      <c r="Z1995" s="229" t="str">
        <f>IFERROR(__xludf.DUMMYFUNCTION("""COMPUTED_VALUE"""),"#N/A")</f>
        <v>#N/A</v>
      </c>
      <c r="AA1995" s="229"/>
      <c r="AB1995" s="229"/>
      <c r="AC1995" s="229"/>
      <c r="AD1995" s="232"/>
      <c r="AE1995" s="233"/>
      <c r="AF1995" s="54" t="str">
        <f>IFERROR(__xludf.DUMMYFUNCTION("""COMPUTED_VALUE"""),"Draft BA DROP")</f>
        <v>Draft BA DROP</v>
      </c>
      <c r="AG1995" s="54"/>
      <c r="AH1995" s="54"/>
      <c r="AI1995" s="55" t="str">
        <f t="shared" si="196"/>
        <v/>
      </c>
      <c r="AW1995" s="234"/>
      <c r="BP1995" s="11"/>
      <c r="BQ1995" s="11"/>
      <c r="BR1995" s="235"/>
      <c r="BV1995" s="158"/>
      <c r="BY1995" s="158"/>
      <c r="CB1995" s="158"/>
    </row>
    <row r="1996" ht="18.0" customHeight="1">
      <c r="A1996" s="222">
        <f>IFERROR(__xludf.DUMMYFUNCTION("""COMPUTED_VALUE"""),2026.0)</f>
        <v>2026</v>
      </c>
      <c r="B1996" s="221">
        <f>IFERROR(__xludf.DUMMYFUNCTION("""COMPUTED_VALUE"""),1.1346296E7)</f>
        <v>11346296</v>
      </c>
      <c r="C1996" s="222" t="str">
        <f>IFERROR(__xludf.DUMMYFUNCTION("""COMPUTED_VALUE"""),"SMB P2I2 Cumateh Dekat Mesjid Muslimin")</f>
        <v>SMB P2I2 Cumateh Dekat Mesjid Muslimin</v>
      </c>
      <c r="D1996" s="222" t="str">
        <f>IFERROR(__xludf.DUMMYFUNCTION("""COMPUTED_VALUE"""),"REGIONAL I")</f>
        <v>REGIONAL I</v>
      </c>
      <c r="E1996" s="222" t="str">
        <f>IFERROR(__xludf.DUMMYFUNCTION("""COMPUTED_VALUE"""),"SUMBAR")</f>
        <v>SUMBAR</v>
      </c>
      <c r="F1996" s="222" t="str">
        <f>IFERROR(__xludf.DUMMYFUNCTION("""COMPUTED_VALUE"""),"LBB")</f>
        <v>LBB</v>
      </c>
      <c r="G1996" s="222" t="str">
        <f>IFERROR(__xludf.DUMMYFUNCTION("""COMPUTED_VALUE"""),"SUMBAGTENG")</f>
        <v>SUMBAGTENG</v>
      </c>
      <c r="H1996" s="222" t="str">
        <f>IFERROR(__xludf.DUMMYFUNCTION("""COMPUTED_VALUE"""),"BUKIT TINGGI")</f>
        <v>BUKIT TINGGI</v>
      </c>
      <c r="I1996" s="222" t="str">
        <f>IFERROR(__xludf.DUMMYFUNCTION("""COMPUTED_VALUE"""),"Batch 2")</f>
        <v>Batch 2</v>
      </c>
      <c r="J1996" s="225">
        <f>IFERROR(__xludf.DUMMYFUNCTION("""COMPUTED_VALUE"""),6.0)</f>
        <v>6</v>
      </c>
      <c r="K1996" s="224">
        <f>IFERROR(__xludf.DUMMYFUNCTION("""COMPUTED_VALUE"""),48.0)</f>
        <v>48</v>
      </c>
      <c r="L1996" s="226">
        <f>IFERROR(__xludf.DUMMYFUNCTION("""COMPUTED_VALUE"""),1509766.0)</f>
        <v>1509766</v>
      </c>
      <c r="M1996" s="227">
        <f>IFERROR(__xludf.DUMMYFUNCTION("""COMPUTED_VALUE"""),7.2468734E7)</f>
        <v>72468734</v>
      </c>
      <c r="N1996" s="222" t="str">
        <f>IFERROR(__xludf.DUMMYFUNCTION("""COMPUTED_VALUE"""),"PT TIGA AKSES MANDIRI")</f>
        <v>PT TIGA AKSES MANDIRI</v>
      </c>
      <c r="O1996" s="222" t="str">
        <f>IFERROR(__xludf.DUMMYFUNCTION("""COMPUTED_VALUE"""),"8. UJI TERIMA")</f>
        <v>8. UJI TERIMA</v>
      </c>
      <c r="P1996" s="222" t="str">
        <f>IFERROR(__xludf.DUMMYFUNCTION("""COMPUTED_VALUE"""),"8.1 Proses UT")</f>
        <v>8.1 Proses UT</v>
      </c>
      <c r="Q1996" s="222" t="str">
        <f>IFERROR(__xludf.DUMMYFUNCTION("""COMPUTED_VALUE"""),"(12/01) Proposed DROP permintaan tsel karena di lokasi sdh ada kompetitor dan pihak ketua komplek meminta kompensasi (07/01) Persiapan")</f>
        <v>(12/01) Proposed DROP permintaan tsel karena di lokasi sdh ada kompetitor dan pihak ketua komplek meminta kompensasi (07/01) Persiapan</v>
      </c>
      <c r="R1996" s="228"/>
      <c r="S1996" s="11"/>
      <c r="T1996" s="11"/>
      <c r="U1996" s="11" t="str">
        <f>IFERROR(__xludf.DUMMYFUNCTION("""COMPUTED_VALUE"""),"W10-1804/2025 25KT03R158-0567")</f>
        <v>W10-1804/2025 25KT03R158-0567</v>
      </c>
      <c r="V1996" s="229" t="str">
        <f>IFERROR(__xludf.DUMMYFUNCTION("""COMPUTED_VALUE"""),"JANUAR RIZAL")</f>
        <v>JANUAR RIZAL</v>
      </c>
      <c r="W1996" s="229" t="str">
        <f>IFERROR(__xludf.DUMMYFUNCTION("""COMPUTED_VALUE"""),"MELKO NARWADI")</f>
        <v>MELKO NARWADI</v>
      </c>
      <c r="X1996" s="229" t="str">
        <f>IFERROR(__xludf.DUMMYFUNCTION("""COMPUTED_VALUE"""),"GOLIVE")</f>
        <v>GOLIVE</v>
      </c>
      <c r="Y1996" s="229" t="str">
        <f>IFERROR(__xludf.DUMMYFUNCTION("""COMPUTED_VALUE"""),"DONE")</f>
        <v>DONE</v>
      </c>
      <c r="Z1996" s="229" t="str">
        <f>IFERROR(__xludf.DUMMYFUNCTION("""COMPUTED_VALUE"""),"#N/A")</f>
        <v>#N/A</v>
      </c>
      <c r="AA1996" s="229">
        <f>IFERROR(__xludf.DUMMYFUNCTION("""COMPUTED_VALUE"""),6.0)</f>
        <v>6</v>
      </c>
      <c r="AB1996" s="229"/>
      <c r="AC1996" s="229" t="str">
        <f>IFERROR(__xludf.DUMMYFUNCTION("""COMPUTED_VALUE"""),"8932368#8932379")</f>
        <v>8932368#8932379</v>
      </c>
      <c r="AD1996" s="232">
        <f>IFERROR(__xludf.DUMMYFUNCTION("""COMPUTED_VALUE"""),48.0)</f>
        <v>48</v>
      </c>
      <c r="AE1996" s="233">
        <f>IFERROR(__xludf.DUMMYFUNCTION("""COMPUTED_VALUE"""),46030.0)</f>
        <v>46030</v>
      </c>
      <c r="AF1996" s="54"/>
      <c r="AG1996" s="54"/>
      <c r="AH1996" s="54"/>
      <c r="AI1996" s="55" t="str">
        <f t="shared" si="196"/>
        <v/>
      </c>
      <c r="AW1996" s="234"/>
      <c r="BP1996" s="11"/>
      <c r="BQ1996" s="11"/>
      <c r="BR1996" s="235"/>
      <c r="BV1996" s="158"/>
      <c r="BY1996" s="158"/>
      <c r="CB1996" s="158"/>
    </row>
    <row r="1997" ht="18.0" hidden="1" customHeight="1">
      <c r="A1997" s="222">
        <f>IFERROR(__xludf.DUMMYFUNCTION("""COMPUTED_VALUE"""),2026.0)</f>
        <v>2026</v>
      </c>
      <c r="B1997" s="221">
        <f>IFERROR(__xludf.DUMMYFUNCTION("""COMPUTED_VALUE"""),1.1087751E7)</f>
        <v>11087751</v>
      </c>
      <c r="C1997" s="222" t="str">
        <f>IFERROR(__xludf.DUMMYFUNCTION("""COMPUTED_VALUE"""),"SMS P7I5 PT3 TLK FCD D06 P KENCANA UTAMA")</f>
        <v>SMS P7I5 PT3 TLK FCD D06 P KENCANA UTAMA</v>
      </c>
      <c r="D1997" s="222" t="str">
        <f>IFERROR(__xludf.DUMMYFUNCTION("""COMPUTED_VALUE"""),"REGIONAL I")</f>
        <v>REGIONAL I</v>
      </c>
      <c r="E1997" s="222" t="str">
        <f>IFERROR(__xludf.DUMMYFUNCTION("""COMPUTED_VALUE"""),"SUMSEL")</f>
        <v>SUMSEL</v>
      </c>
      <c r="F1997" s="222" t="str">
        <f>IFERROR(__xludf.DUMMYFUNCTION("""COMPUTED_VALUE"""),"TLK")</f>
        <v>TLK</v>
      </c>
      <c r="G1997" s="222" t="str">
        <f>IFERROR(__xludf.DUMMYFUNCTION("""COMPUTED_VALUE"""),"SUMBAGSEL")</f>
        <v>SUMBAGSEL</v>
      </c>
      <c r="H1997" s="222" t="str">
        <f>IFERROR(__xludf.DUMMYFUNCTION("""COMPUTED_VALUE"""),"PALEMBANG")</f>
        <v>PALEMBANG</v>
      </c>
      <c r="I1997" s="222" t="str">
        <f>IFERROR(__xludf.DUMMYFUNCTION("""COMPUTED_VALUE"""),"Batch 2")</f>
        <v>Batch 2</v>
      </c>
      <c r="J1997" s="225">
        <f>IFERROR(__xludf.DUMMYFUNCTION("""COMPUTED_VALUE"""),8.0)</f>
        <v>8</v>
      </c>
      <c r="K1997" s="224">
        <f>IFERROR(__xludf.DUMMYFUNCTION("""COMPUTED_VALUE"""),64.0)</f>
        <v>64</v>
      </c>
      <c r="L1997" s="226">
        <f>IFERROR(__xludf.DUMMYFUNCTION("""COMPUTED_VALUE"""),1511902.0)</f>
        <v>1511902</v>
      </c>
      <c r="M1997" s="227">
        <f>IFERROR(__xludf.DUMMYFUNCTION("""COMPUTED_VALUE"""),9.6761697E7)</f>
        <v>96761697</v>
      </c>
      <c r="N1997" s="222" t="str">
        <f>IFERROR(__xludf.DUMMYFUNCTION("""COMPUTED_VALUE"""),"PT ACERO CETHA METALINDO")</f>
        <v>PT ACERO CETHA METALINDO</v>
      </c>
      <c r="O1997" s="222" t="str">
        <f>IFERROR(__xludf.DUMMYFUNCTION("""COMPUTED_VALUE"""),"0. DROP")</f>
        <v>0. DROP</v>
      </c>
      <c r="P1997" s="222" t="str">
        <f>IFERROR(__xludf.DUMMYFUNCTION("""COMPUTED_VALUE"""),"0.2 Tidak Dapat Izin Warga/Kades/Lurah/Developer")</f>
        <v>0.2 Tidak Dapat Izin Warga/Kades/Lurah/Developer</v>
      </c>
      <c r="Q1997" s="222" t="str">
        <f>IFERROR(__xludf.DUMMYFUNCTION("""COMPUTED_VALUE"""),"09/03 TDK MENDAPAT IZIN, 27/02 TDK MENDAPAT IZIN, 06/02 TSEL KONFIRM DROP, 15/01 DROP, permintaan sales (14/11) DROP , SUDHA KONFIRM SALES, (14/11) DROP , SUDHA KONFIRM SALES (08/11) permintaan sales drop - TL adi (5/11) baru selesai aanwidzjing 23/10 pen"&amp;"unjukan mitra")</f>
        <v>09/03 TDK MENDAPAT IZIN, 27/02 TDK MENDAPAT IZIN, 06/02 TSEL KONFIRM DROP, 15/01 DROP, permintaan sales (14/11) DROP , SUDHA KONFIRM SALES, (14/11) DROP , SUDHA KONFIRM SALES (08/11) permintaan sales drop - TL adi (5/11) baru selesai aanwidzjing 23/10 penunjukan mitra</v>
      </c>
      <c r="R1997" s="228"/>
      <c r="S1997" s="11"/>
      <c r="T1997" s="11"/>
      <c r="U1997" s="11"/>
      <c r="V1997" s="229" t="str">
        <f>IFERROR(__xludf.DUMMYFUNCTION("""COMPUTED_VALUE"""),"TEGAR")</f>
        <v>TEGAR</v>
      </c>
      <c r="W1997" s="229"/>
      <c r="X1997" s="229" t="str">
        <f>IFERROR(__xludf.DUMMYFUNCTION("""COMPUTED_VALUE"""),"BELUM GOLIVE")</f>
        <v>BELUM GOLIVE</v>
      </c>
      <c r="Y1997" s="229"/>
      <c r="Z1997" s="229" t="str">
        <f>IFERROR(__xludf.DUMMYFUNCTION("""COMPUTED_VALUE"""),"#N/A")</f>
        <v>#N/A</v>
      </c>
      <c r="AA1997" s="229"/>
      <c r="AB1997" s="229"/>
      <c r="AC1997" s="229"/>
      <c r="AD1997" s="232"/>
      <c r="AE1997" s="233"/>
      <c r="AF1997" s="54" t="str">
        <f>IFERROR(__xludf.DUMMYFUNCTION("""COMPUTED_VALUE"""),"Draft BA DROP")</f>
        <v>Draft BA DROP</v>
      </c>
      <c r="AG1997" s="54"/>
      <c r="AH1997" s="54"/>
      <c r="AI1997" s="55" t="str">
        <f t="shared" si="196"/>
        <v/>
      </c>
      <c r="AW1997" s="234"/>
      <c r="BP1997" s="11"/>
      <c r="BQ1997" s="11"/>
      <c r="BR1997" s="235"/>
      <c r="BV1997" s="158"/>
      <c r="BY1997" s="158"/>
      <c r="CB1997" s="158"/>
    </row>
    <row r="1998" ht="18.0" hidden="1" customHeight="1">
      <c r="A1998" s="222">
        <f>IFERROR(__xludf.DUMMYFUNCTION("""COMPUTED_VALUE"""),2026.0)</f>
        <v>2026</v>
      </c>
      <c r="B1998" s="221">
        <f>IFERROR(__xludf.DUMMYFUNCTION("""COMPUTED_VALUE"""),1.1363625E7)</f>
        <v>11363625</v>
      </c>
      <c r="C1998" s="222" t="str">
        <f>IFERROR(__xludf.DUMMYFUNCTION("""COMPUTED_VALUE"""),"MDN PT3 SPM-FBR KOTA MEDAN_8987")</f>
        <v>MDN PT3 SPM-FBR KOTA MEDAN_8987</v>
      </c>
      <c r="D1998" s="222" t="str">
        <f>IFERROR(__xludf.DUMMYFUNCTION("""COMPUTED_VALUE"""),"REGIONAL I")</f>
        <v>REGIONAL I</v>
      </c>
      <c r="E1998" s="222" t="str">
        <f>IFERROR(__xludf.DUMMYFUNCTION("""COMPUTED_VALUE"""),"MEDAN")</f>
        <v>MEDAN</v>
      </c>
      <c r="F1998" s="222" t="str">
        <f>IFERROR(__xludf.DUMMYFUNCTION("""COMPUTED_VALUE"""),"SPM")</f>
        <v>SPM</v>
      </c>
      <c r="G1998" s="222" t="str">
        <f>IFERROR(__xludf.DUMMYFUNCTION("""COMPUTED_VALUE"""),"SUMBAGUT")</f>
        <v>SUMBAGUT</v>
      </c>
      <c r="H1998" s="222" t="str">
        <f>IFERROR(__xludf.DUMMYFUNCTION("""COMPUTED_VALUE"""),"MEDAN")</f>
        <v>MEDAN</v>
      </c>
      <c r="I1998" s="222" t="str">
        <f>IFERROR(__xludf.DUMMYFUNCTION("""COMPUTED_VALUE"""),"Batch 2")</f>
        <v>Batch 2</v>
      </c>
      <c r="J1998" s="225">
        <f>IFERROR(__xludf.DUMMYFUNCTION("""COMPUTED_VALUE"""),3.0)</f>
        <v>3</v>
      </c>
      <c r="K1998" s="224">
        <f>IFERROR(__xludf.DUMMYFUNCTION("""COMPUTED_VALUE"""),24.0)</f>
        <v>24</v>
      </c>
      <c r="L1998" s="226">
        <f>IFERROR(__xludf.DUMMYFUNCTION("""COMPUTED_VALUE"""),1136055.0)</f>
        <v>1136055</v>
      </c>
      <c r="M1998" s="227">
        <f>IFERROR(__xludf.DUMMYFUNCTION("""COMPUTED_VALUE"""),2.7265311E7)</f>
        <v>27265311</v>
      </c>
      <c r="N1998" s="222" t="str">
        <f>IFERROR(__xludf.DUMMYFUNCTION("""COMPUTED_VALUE"""),"PT WALET SOLUSINDO")</f>
        <v>PT WALET SOLUSINDO</v>
      </c>
      <c r="O1998" s="222" t="str">
        <f>IFERROR(__xludf.DUMMYFUNCTION("""COMPUTED_VALUE"""),"7. GOLIVE")</f>
        <v>7. GOLIVE</v>
      </c>
      <c r="P1998" s="222" t="str">
        <f>IFERROR(__xludf.DUMMYFUNCTION("""COMPUTED_VALUE"""),"7.2 Golive Full / OA / DONE OTB")</f>
        <v>7.2 Golive Full / OA / DONE OTB</v>
      </c>
      <c r="Q1998" s="222" t="str">
        <f>IFERROR(__xludf.DUMMYFUNCTION("""COMPUTED_VALUE"""),"09/04 install ODP komitmen 10/04 finish install 02/04 instalasi ODP 01/04 penarikan KU 10/03 komitmen FI 10/04 02/03 done redesign lanjut perizinan 12/02 Perubahan ODC, dilokasi tidak ada catuan FBR 05/02 Done Order, Lnjut Aanwidzing")</f>
        <v>09/04 install ODP komitmen 10/04 finish install 02/04 instalasi ODP 01/04 penarikan KU 10/03 komitmen FI 10/04 02/03 done redesign lanjut perizinan 12/02 Perubahan ODC, dilokasi tidak ada catuan FBR 05/02 Done Order, Lnjut Aanwidzing</v>
      </c>
      <c r="R1998" s="228">
        <f>IFERROR(__xludf.DUMMYFUNCTION("""COMPUTED_VALUE"""),46126.0)</f>
        <v>46126</v>
      </c>
      <c r="S1998" s="11"/>
      <c r="T1998" s="73"/>
      <c r="U1998" s="11"/>
      <c r="V1998" s="229"/>
      <c r="W1998" s="229" t="str">
        <f>IFERROR(__xludf.DUMMYFUNCTION("""COMPUTED_VALUE"""),"#N/A")</f>
        <v>#N/A</v>
      </c>
      <c r="X1998" s="229" t="str">
        <f>IFERROR(__xludf.DUMMYFUNCTION("""COMPUTED_VALUE"""),"GOLIVE")</f>
        <v>GOLIVE</v>
      </c>
      <c r="Y1998" s="229" t="str">
        <f>IFERROR(__xludf.DUMMYFUNCTION("""COMPUTED_VALUE"""),"DONE")</f>
        <v>DONE</v>
      </c>
      <c r="Z1998" s="229" t="str">
        <f>IFERROR(__xludf.DUMMYFUNCTION("""COMPUTED_VALUE"""),"#N/A")</f>
        <v>#N/A</v>
      </c>
      <c r="AA1998" s="229">
        <f>IFERROR(__xludf.DUMMYFUNCTION("""COMPUTED_VALUE"""),4.0)</f>
        <v>4</v>
      </c>
      <c r="AB1998" s="229"/>
      <c r="AC1998" s="229" t="str">
        <f>IFERROR(__xludf.DUMMYFUNCTION("""COMPUTED_VALUE"""),"9271340#9271345")</f>
        <v>9271340#9271345</v>
      </c>
      <c r="AD1998" s="232">
        <f>IFERROR(__xludf.DUMMYFUNCTION("""COMPUTED_VALUE"""),32.0)</f>
        <v>32</v>
      </c>
      <c r="AE1998" s="233">
        <f>IFERROR(__xludf.DUMMYFUNCTION("""COMPUTED_VALUE"""),46126.0)</f>
        <v>46126</v>
      </c>
      <c r="AF1998" s="54"/>
      <c r="AG1998" s="54"/>
      <c r="AH1998" s="54">
        <v>46133.0</v>
      </c>
      <c r="AI1998" s="55">
        <f t="shared" si="196"/>
        <v>0</v>
      </c>
      <c r="AW1998" s="234"/>
      <c r="BP1998" s="11"/>
      <c r="BQ1998" s="11"/>
      <c r="BR1998" s="235"/>
      <c r="BV1998" s="158"/>
      <c r="BY1998" s="158"/>
      <c r="CB1998" s="158"/>
    </row>
    <row r="1999" ht="18.0" hidden="1" customHeight="1">
      <c r="A1999" s="222">
        <f>IFERROR(__xludf.DUMMYFUNCTION("""COMPUTED_VALUE"""),2026.0)</f>
        <v>2026</v>
      </c>
      <c r="B1999" s="221">
        <f>IFERROR(__xludf.DUMMYFUNCTION("""COMPUTED_VALUE"""),1.1532947E7)</f>
        <v>11532947</v>
      </c>
      <c r="C1999" s="222" t="str">
        <f>IFERROR(__xludf.DUMMYFUNCTION("""COMPUTED_VALUE"""),"MDN PT3 SPM-FE GRAND JOHOR PERMAI")</f>
        <v>MDN PT3 SPM-FE GRAND JOHOR PERMAI</v>
      </c>
      <c r="D1999" s="222" t="str">
        <f>IFERROR(__xludf.DUMMYFUNCTION("""COMPUTED_VALUE"""),"REGIONAL I")</f>
        <v>REGIONAL I</v>
      </c>
      <c r="E1999" s="222" t="str">
        <f>IFERROR(__xludf.DUMMYFUNCTION("""COMPUTED_VALUE"""),"MEDAN")</f>
        <v>MEDAN</v>
      </c>
      <c r="F1999" s="222" t="str">
        <f>IFERROR(__xludf.DUMMYFUNCTION("""COMPUTED_VALUE"""),"SPM")</f>
        <v>SPM</v>
      </c>
      <c r="G1999" s="222" t="str">
        <f>IFERROR(__xludf.DUMMYFUNCTION("""COMPUTED_VALUE"""),"SUMBAGUT")</f>
        <v>SUMBAGUT</v>
      </c>
      <c r="H1999" s="222" t="str">
        <f>IFERROR(__xludf.DUMMYFUNCTION("""COMPUTED_VALUE"""),"MEDAN")</f>
        <v>MEDAN</v>
      </c>
      <c r="I1999" s="222" t="str">
        <f>IFERROR(__xludf.DUMMYFUNCTION("""COMPUTED_VALUE"""),"Batch 2")</f>
        <v>Batch 2</v>
      </c>
      <c r="J1999" s="225">
        <f>IFERROR(__xludf.DUMMYFUNCTION("""COMPUTED_VALUE"""),7.0)</f>
        <v>7</v>
      </c>
      <c r="K1999" s="224">
        <f>IFERROR(__xludf.DUMMYFUNCTION("""COMPUTED_VALUE"""),56.0)</f>
        <v>56</v>
      </c>
      <c r="L1999" s="226">
        <f>IFERROR(__xludf.DUMMYFUNCTION("""COMPUTED_VALUE"""),708406.0)</f>
        <v>708406</v>
      </c>
      <c r="M1999" s="227">
        <f>IFERROR(__xludf.DUMMYFUNCTION("""COMPUTED_VALUE"""),3.9670704E7)</f>
        <v>39670704</v>
      </c>
      <c r="N1999" s="222" t="str">
        <f>IFERROR(__xludf.DUMMYFUNCTION("""COMPUTED_VALUE"""),"PT SINAR KEPRI SEJAHTERA")</f>
        <v>PT SINAR KEPRI SEJAHTERA</v>
      </c>
      <c r="O1999" s="222" t="str">
        <f>IFERROR(__xludf.DUMMYFUNCTION("""COMPUTED_VALUE"""),"0. DROP")</f>
        <v>0. DROP</v>
      </c>
      <c r="P1999" s="222" t="str">
        <f>IFERROR(__xludf.DUMMYFUNCTION("""COMPUTED_VALUE"""),"0.3 Feeder Full")</f>
        <v>0.3 Feeder Full</v>
      </c>
      <c r="Q1999" s="222" t="str">
        <f>IFERROR(__xludf.DUMMYFUNCTION("""COMPUTED_VALUE"""),"5/11 Feeder Habis
(24/09) Perizinan Warga dan Kades / Lurah
(23/09) Perizinan Warga dan Kades / Lurah
15/09 proses aanwijzing")</f>
        <v>5/11 Feeder Habis
(24/09) Perizinan Warga dan Kades / Lurah
(23/09) Perizinan Warga dan Kades / Lurah
15/09 proses aanwijzing</v>
      </c>
      <c r="R1999" s="228"/>
      <c r="S1999" s="11"/>
      <c r="T1999" s="11"/>
      <c r="U1999" s="11"/>
      <c r="V1999" s="229"/>
      <c r="W1999" s="229"/>
      <c r="X1999" s="229" t="str">
        <f>IFERROR(__xludf.DUMMYFUNCTION("""COMPUTED_VALUE"""),"BELUM GOLIVE")</f>
        <v>BELUM GOLIVE</v>
      </c>
      <c r="Y1999" s="229"/>
      <c r="Z1999" s="229" t="str">
        <f>IFERROR(__xludf.DUMMYFUNCTION("""COMPUTED_VALUE"""),"#N/A")</f>
        <v>#N/A</v>
      </c>
      <c r="AA1999" s="229"/>
      <c r="AB1999" s="229"/>
      <c r="AC1999" s="229"/>
      <c r="AD1999" s="232"/>
      <c r="AE1999" s="233"/>
      <c r="AF1999" s="54"/>
      <c r="AG1999" s="54"/>
      <c r="AH1999" s="54"/>
      <c r="AI1999" s="55" t="str">
        <f t="shared" si="196"/>
        <v/>
      </c>
      <c r="AW1999" s="234"/>
      <c r="BP1999" s="11"/>
      <c r="BQ1999" s="11"/>
      <c r="BR1999" s="235"/>
      <c r="BV1999" s="158"/>
      <c r="BY1999" s="158"/>
      <c r="CB1999" s="158"/>
    </row>
    <row r="2000" ht="18.0" hidden="1" customHeight="1">
      <c r="A2000" s="222">
        <f>IFERROR(__xludf.DUMMYFUNCTION("""COMPUTED_VALUE"""),2026.0)</f>
        <v>2026</v>
      </c>
      <c r="B2000" s="221">
        <f>IFERROR(__xludf.DUMMYFUNCTION("""COMPUTED_VALUE"""),1.1808237E7)</f>
        <v>11808237</v>
      </c>
      <c r="C2000" s="222" t="str">
        <f>IFERROR(__xludf.DUMMYFUNCTION("""COMPUTED_VALUE"""),"SMS PT4 ODC TMO FXX DESA PETRANS JAYA")</f>
        <v>SMS PT4 ODC TMO FXX DESA PETRANS JAYA</v>
      </c>
      <c r="D2000" s="222" t="str">
        <f>IFERROR(__xludf.DUMMYFUNCTION("""COMPUTED_VALUE"""),"REGIONAL I")</f>
        <v>REGIONAL I</v>
      </c>
      <c r="E2000" s="222" t="str">
        <f>IFERROR(__xludf.DUMMYFUNCTION("""COMPUTED_VALUE"""),"SUMSEL")</f>
        <v>SUMSEL</v>
      </c>
      <c r="F2000" s="222" t="str">
        <f>IFERROR(__xludf.DUMMYFUNCTION("""COMPUTED_VALUE"""),"TMO")</f>
        <v>TMO</v>
      </c>
      <c r="G2000" s="222" t="str">
        <f>IFERROR(__xludf.DUMMYFUNCTION("""COMPUTED_VALUE"""),"SUMBAGSEL")</f>
        <v>SUMBAGSEL</v>
      </c>
      <c r="H2000" s="222" t="str">
        <f>IFERROR(__xludf.DUMMYFUNCTION("""COMPUTED_VALUE"""),"BENGKULU")</f>
        <v>BENGKULU</v>
      </c>
      <c r="I2000" s="222" t="str">
        <f>IFERROR(__xludf.DUMMYFUNCTION("""COMPUTED_VALUE"""),"Batch 2")</f>
        <v>Batch 2</v>
      </c>
      <c r="J2000" s="225">
        <f>IFERROR(__xludf.DUMMYFUNCTION("""COMPUTED_VALUE"""),24.0)</f>
        <v>24</v>
      </c>
      <c r="K2000" s="224">
        <f>IFERROR(__xludf.DUMMYFUNCTION("""COMPUTED_VALUE"""),184.0)</f>
        <v>184</v>
      </c>
      <c r="L2000" s="226">
        <f>IFERROR(__xludf.DUMMYFUNCTION("""COMPUTED_VALUE"""),1512576.0)</f>
        <v>1512576</v>
      </c>
      <c r="M2000" s="227">
        <f>IFERROR(__xludf.DUMMYFUNCTION("""COMPUTED_VALUE"""),2.78313974E8)</f>
        <v>278313974</v>
      </c>
      <c r="N2000" s="222" t="str">
        <f>IFERROR(__xludf.DUMMYFUNCTION("""COMPUTED_VALUE"""),"PT GITA PRIMA TAMBA PERKASA")</f>
        <v>PT GITA PRIMA TAMBA PERKASA</v>
      </c>
      <c r="O2000" s="222" t="str">
        <f>IFERROR(__xludf.DUMMYFUNCTION("""COMPUTED_VALUE"""),"2. DONE AANWIJZING")</f>
        <v>2. DONE AANWIJZING</v>
      </c>
      <c r="P2000" s="222" t="str">
        <f>IFERROR(__xludf.DUMMYFUNCTION("""COMPUTED_VALUE"""),"2.10 Kendala - Feeder Rusak")</f>
        <v>2.10 Kendala - Feeder Rusak</v>
      </c>
      <c r="Q2000" s="222" t="str">
        <f>IFERROR(__xludf.DUMMYFUNCTION("""COMPUTED_VALUE"""),"25/04 : Evaluasi BOQ  terkait permanen catuan feeder uplink // 13/04 masih Pencariam Uplink Mini olt  09/04 Resdesign  Menunggu evaluasi  08/04 Done Aanwidzing Menunggu evaluasi 31/03 PERGANTIAN MITRA DARI HANSUNG KE GPTP, 25/03 masih mencari core UPlink "&amp;"- belum ada info, 09/03 masih mencari core UPlink - belum ada info, 08/03 KOORDINASI DG MITRA TERKAIT LOP INI YG MASUK KE BENGKULU, 03/03 masih mencari core UPlink - belum ada info, 27/02masih mencari core UPlink, 24/02masih mencari core UPlink 22/2 masih"&amp;" mencari core UPlink 06/02 HASIL REVIEW TSEL BLM ADA KEPUTUSAN, 15/01 done aanwizjing 2025, mau berkoordinasi dg tif untuk lanjut tidak nya lokasi ini 31/1 update dikirim mitra 2 FEB, tim OGP cek ke lokasi 29/01 Mini OLT Not Ready perlu dipastikan keterse"&amp;"diaan uplink untuk request mini OLT, (24/1) menungggu kepastian core untuk UPlink , plan 26 Jan (21/01) done aanwizjing, menunggu kelanjutan dri TIF untuk lanjut pekerjaan ini, karena CSF dan masuk ke ruas pu nasional(12/01) menunggu kelanjutan dri TIF un"&amp;"tuk lanjut pekerjaan ini, karena CSF dan masuk ke ruas pu nasional, (07/01) Persiapan (06/01)order JPP batch-2 2026 (04/11 hold (butuh mini olt) 5/10 aanwizjing done, pembuatan data update lapangan
 08/10 menunggu jadwal aanwizjing
 (01/10) menunggu jadwa"&amp;"l aanwijzing
 14/01 sudah penunjukan mitra oleh procurement\")</f>
        <v>25/04 : Evaluasi BOQ  terkait permanen catuan feeder uplink // 13/04 masih Pencariam Uplink Mini olt  09/04 Resdesign  Menunggu evaluasi  08/04 Done Aanwidzing Menunggu evaluasi 31/03 PERGANTIAN MITRA DARI HANSUNG KE GPTP, 25/03 masih mencari core UPlink - belum ada info, 09/03 masih mencari core UPlink - belum ada info, 08/03 KOORDINASI DG MITRA TERKAIT LOP INI YG MASUK KE BENGKULU, 03/03 masih mencari core UPlink - belum ada info, 27/02masih mencari core UPlink, 24/02masih mencari core UPlink 22/2 masih mencari core UPlink 06/02 HASIL REVIEW TSEL BLM ADA KEPUTUSAN, 15/01 done aanwizjing 2025, mau berkoordinasi dg tif untuk lanjut tidak nya lokasi ini 31/1 update dikirim mitra 2 FEB, tim OGP cek ke lokasi 29/01 Mini OLT Not Ready perlu dipastikan ketersediaan uplink untuk request mini OLT, (24/1) menungggu kepastian core untuk UPlink , plan 26 Jan (21/01) done aanwizjing, menunggu kelanjutan dri TIF untuk lanjut pekerjaan ini, karena CSF dan masuk ke ruas pu nasional(12/01) menunggu kelanjutan dri TIF untuk lanjut pekerjaan ini, karena CSF dan masuk ke ruas pu nasional, (07/01) Persiapan (06/01)order JPP batch-2 2026 (04/11 hold (butuh mini olt) 5/10 aanwizjing done, pembuatan data update lapangan
 08/10 menunggu jadwal aanwizjing
 (01/10) menunggu jadwal aanwijzing
 14/01 sudah penunjukan mitra oleh procurement\</v>
      </c>
      <c r="R2000" s="228"/>
      <c r="S2000" s="11"/>
      <c r="T2000" s="11"/>
      <c r="U2000" s="11"/>
      <c r="V2000" s="229" t="str">
        <f>IFERROR(__xludf.DUMMYFUNCTION("""COMPUTED_VALUE"""),"PUTRA")</f>
        <v>PUTRA</v>
      </c>
      <c r="W2000" s="229"/>
      <c r="X2000" s="229" t="str">
        <f>IFERROR(__xludf.DUMMYFUNCTION("""COMPUTED_VALUE"""),"BELUM GOLIVE")</f>
        <v>BELUM GOLIVE</v>
      </c>
      <c r="Y2000" s="229" t="str">
        <f>IFERROR(__xludf.DUMMYFUNCTION("""COMPUTED_VALUE"""),"PORT OLT Penuh")</f>
        <v>PORT OLT Penuh</v>
      </c>
      <c r="Z2000" s="229"/>
      <c r="AA2000" s="229"/>
      <c r="AB2000" s="229"/>
      <c r="AC2000" s="229"/>
      <c r="AD2000" s="232"/>
      <c r="AE2000" s="233"/>
      <c r="AF2000" s="54"/>
      <c r="AG2000" s="54"/>
      <c r="AH2000" s="54"/>
      <c r="AI2000" s="55" t="str">
        <f t="shared" si="196"/>
        <v/>
      </c>
      <c r="AW2000" s="234"/>
      <c r="BP2000" s="11"/>
      <c r="BQ2000" s="11"/>
      <c r="BR2000" s="235"/>
      <c r="BV2000" s="158"/>
      <c r="BY2000" s="158"/>
      <c r="CB2000" s="158"/>
    </row>
    <row r="2001" ht="18.0" hidden="1" customHeight="1">
      <c r="A2001" s="222">
        <f>IFERROR(__xludf.DUMMYFUNCTION("""COMPUTED_VALUE"""),2026.0)</f>
        <v>2026</v>
      </c>
      <c r="B2001" s="221">
        <f>IFERROR(__xludf.DUMMYFUNCTION("""COMPUTED_VALUE"""),1.1163175E7)</f>
        <v>11163175</v>
      </c>
      <c r="C2001" s="222" t="str">
        <f>IFERROR(__xludf.DUMMYFUNCTION("""COMPUTED_VALUE"""),"MDN PT3 P7I4 LBP-FX DS TJG MULI")</f>
        <v>MDN PT3 P7I4 LBP-FX DS TJG MULI</v>
      </c>
      <c r="D2001" s="222" t="str">
        <f>IFERROR(__xludf.DUMMYFUNCTION("""COMPUTED_VALUE"""),"REGIONAL I")</f>
        <v>REGIONAL I</v>
      </c>
      <c r="E2001" s="222" t="str">
        <f>IFERROR(__xludf.DUMMYFUNCTION("""COMPUTED_VALUE"""),"MEDAN")</f>
        <v>MEDAN</v>
      </c>
      <c r="F2001" s="222" t="str">
        <f>IFERROR(__xludf.DUMMYFUNCTION("""COMPUTED_VALUE"""),"LBP")</f>
        <v>LBP</v>
      </c>
      <c r="G2001" s="222" t="str">
        <f>IFERROR(__xludf.DUMMYFUNCTION("""COMPUTED_VALUE"""),"SUMBAGUT")</f>
        <v>SUMBAGUT</v>
      </c>
      <c r="H2001" s="222" t="str">
        <f>IFERROR(__xludf.DUMMYFUNCTION("""COMPUTED_VALUE"""),"MEDAN")</f>
        <v>MEDAN</v>
      </c>
      <c r="I2001" s="222" t="str">
        <f>IFERROR(__xludf.DUMMYFUNCTION("""COMPUTED_VALUE"""),"Batch 2")</f>
        <v>Batch 2</v>
      </c>
      <c r="J2001" s="225">
        <f>IFERROR(__xludf.DUMMYFUNCTION("""COMPUTED_VALUE"""),4.0)</f>
        <v>4</v>
      </c>
      <c r="K2001" s="224">
        <f>IFERROR(__xludf.DUMMYFUNCTION("""COMPUTED_VALUE"""),32.0)</f>
        <v>32</v>
      </c>
      <c r="L2001" s="226">
        <f>IFERROR(__xludf.DUMMYFUNCTION("""COMPUTED_VALUE"""),1777876.0)</f>
        <v>1777876</v>
      </c>
      <c r="M2001" s="227">
        <f>IFERROR(__xludf.DUMMYFUNCTION("""COMPUTED_VALUE"""),5.6892028E7)</f>
        <v>56892028</v>
      </c>
      <c r="N2001" s="222" t="str">
        <f>IFERROR(__xludf.DUMMYFUNCTION("""COMPUTED_VALUE"""),"PT BANGUN PRIMA SEMESTA")</f>
        <v>PT BANGUN PRIMA SEMESTA</v>
      </c>
      <c r="O2001" s="222" t="str">
        <f>IFERROR(__xludf.DUMMYFUNCTION("""COMPUTED_VALUE"""),"0. DROP")</f>
        <v>0. DROP</v>
      </c>
      <c r="P2001" s="222" t="str">
        <f>IFERROR(__xludf.DUMMYFUNCTION("""COMPUTED_VALUE"""),"0.4 CPP Tinggi Acc ED TIF")</f>
        <v>0.4 CPP Tinggi Acc ED TIF</v>
      </c>
      <c r="Q2001" s="222" t="str">
        <f>IFERROR(__xludf.DUMMYFUNCTION("""COMPUTED_VALUE"""),"(07/01) Persiapan")</f>
        <v>(07/01) Persiapan</v>
      </c>
      <c r="R2001" s="228"/>
      <c r="S2001" s="11"/>
      <c r="T2001" s="11"/>
      <c r="U2001" s="11"/>
      <c r="V2001" s="229"/>
      <c r="W2001" s="229"/>
      <c r="X2001" s="229" t="str">
        <f>IFERROR(__xludf.DUMMYFUNCTION("""COMPUTED_VALUE"""),"BELUM GOLIVE")</f>
        <v>BELUM GOLIVE</v>
      </c>
      <c r="Y2001" s="229"/>
      <c r="Z2001" s="229" t="str">
        <f>IFERROR(__xludf.DUMMYFUNCTION("""COMPUTED_VALUE"""),"#N/A")</f>
        <v>#N/A</v>
      </c>
      <c r="AA2001" s="229"/>
      <c r="AB2001" s="229"/>
      <c r="AC2001" s="229"/>
      <c r="AD2001" s="232"/>
      <c r="AE2001" s="233"/>
      <c r="AF2001" s="54" t="str">
        <f>IFERROR(__xludf.DUMMYFUNCTION("""COMPUTED_VALUE"""),"Draft BA DROP")</f>
        <v>Draft BA DROP</v>
      </c>
      <c r="AG2001" s="54"/>
      <c r="AH2001" s="54"/>
      <c r="AI2001" s="55" t="str">
        <f t="shared" si="196"/>
        <v/>
      </c>
      <c r="AW2001" s="234"/>
      <c r="BP2001" s="11"/>
      <c r="BQ2001" s="11"/>
      <c r="BR2001" s="235"/>
      <c r="BV2001" s="158"/>
      <c r="BY2001" s="158"/>
      <c r="CB2001" s="158"/>
    </row>
    <row r="2002" ht="18.0" hidden="1" customHeight="1">
      <c r="A2002" s="222">
        <f>IFERROR(__xludf.DUMMYFUNCTION("""COMPUTED_VALUE"""),2026.0)</f>
        <v>2026</v>
      </c>
      <c r="B2002" s="221">
        <f>IFERROR(__xludf.DUMMYFUNCTION("""COMPUTED_VALUE"""),1.1535965E7)</f>
        <v>11535965</v>
      </c>
      <c r="C2002" s="222" t="str">
        <f>IFERROR(__xludf.DUMMYFUNCTION("""COMPUTED_VALUE"""),"JBI-PT3-PKB-SIDO MUKTI DENDANG 2")</f>
        <v>JBI-PT3-PKB-SIDO MUKTI DENDANG 2</v>
      </c>
      <c r="D2002" s="222" t="str">
        <f>IFERROR(__xludf.DUMMYFUNCTION("""COMPUTED_VALUE"""),"REGIONAL I")</f>
        <v>REGIONAL I</v>
      </c>
      <c r="E2002" s="222" t="str">
        <f>IFERROR(__xludf.DUMMYFUNCTION("""COMPUTED_VALUE"""),"JAMBI")</f>
        <v>JAMBI</v>
      </c>
      <c r="F2002" s="222" t="str">
        <f>IFERROR(__xludf.DUMMYFUNCTION("""COMPUTED_VALUE"""),"PKB")</f>
        <v>PKB</v>
      </c>
      <c r="G2002" s="222" t="str">
        <f>IFERROR(__xludf.DUMMYFUNCTION("""COMPUTED_VALUE"""),"SUMBAGSEL")</f>
        <v>SUMBAGSEL</v>
      </c>
      <c r="H2002" s="222" t="str">
        <f>IFERROR(__xludf.DUMMYFUNCTION("""COMPUTED_VALUE"""),"JAMBI")</f>
        <v>JAMBI</v>
      </c>
      <c r="I2002" s="222" t="str">
        <f>IFERROR(__xludf.DUMMYFUNCTION("""COMPUTED_VALUE"""),"Batch 2")</f>
        <v>Batch 2</v>
      </c>
      <c r="J2002" s="225">
        <f>IFERROR(__xludf.DUMMYFUNCTION("""COMPUTED_VALUE"""),71.0)</f>
        <v>71</v>
      </c>
      <c r="K2002" s="224">
        <f>IFERROR(__xludf.DUMMYFUNCTION("""COMPUTED_VALUE"""),568.0)</f>
        <v>568</v>
      </c>
      <c r="L2002" s="226">
        <f>IFERROR(__xludf.DUMMYFUNCTION("""COMPUTED_VALUE"""),1515117.0)</f>
        <v>1515117</v>
      </c>
      <c r="M2002" s="227">
        <f>IFERROR(__xludf.DUMMYFUNCTION("""COMPUTED_VALUE"""),8.60586405E8)</f>
        <v>860586405</v>
      </c>
      <c r="N2002" s="222" t="str">
        <f>IFERROR(__xludf.DUMMYFUNCTION("""COMPUTED_VALUE"""),"PT TSUIKA BERKAH RAYA")</f>
        <v>PT TSUIKA BERKAH RAYA</v>
      </c>
      <c r="O2002" s="222" t="str">
        <f>IFERROR(__xludf.DUMMYFUNCTION("""COMPUTED_VALUE"""),"7. GOLIVE")</f>
        <v>7. GOLIVE</v>
      </c>
      <c r="P2002" s="222" t="str">
        <f>IFERROR(__xludf.DUMMYFUNCTION("""COMPUTED_VALUE"""),"7.2 Golive Full / OA / DONE OTB")</f>
        <v>7.2 Golive Full / OA / DONE OTB</v>
      </c>
      <c r="Q2002" s="222" t="str">
        <f>IFERROR(__xludf.DUMMYFUNCTION("""COMPUTED_VALUE"""),"(15/02) Golive (6/2) sudah sumbit, blm mengirimkan eviden dan valins (5/2)PROSES GOLIVE PROSES VALINS(29/1) new minol baru integrasi , belum terbaca di tacac/nms , est tif 3 feb (12/1) menunggu dendang 1, menuunggu mini OLT 7/1 FINISH INSTALASI 28/11 TANA"&amp;"M TIANG 129/ 374 sisa 185  26/11 material on site (300 tiang) 24/11 tarik kabel 24 2400 /11.650 sisa 9250 , kabel 48 6000 /11.150 sisa 5150   19/11 tarik kabel 48 4000/11150 sisa 7150 17/11 kendala mitra 10/11 matdel (05/11)Req Material / tiang total 569 "&amp;"btg (15/10) Mapping Mitra.")</f>
        <v>(15/02) Golive (6/2) sudah sumbit, blm mengirimkan eviden dan valins (5/2)PROSES GOLIVE PROSES VALINS(29/1) new minol baru integrasi , belum terbaca di tacac/nms , est tif 3 feb (12/1) menunggu dendang 1, menuunggu mini OLT 7/1 FINISH INSTALASI 28/11 TANAM TIANG 129/ 374 sisa 185  26/11 material on site (300 tiang) 24/11 tarik kabel 24 2400 /11.650 sisa 9250 , kabel 48 6000 /11.150 sisa 5150   19/11 tarik kabel 48 4000/11150 sisa 7150 17/11 kendala mitra 10/11 matdel (05/11)Req Material / tiang total 569 btg (15/10) Mapping Mitra.</v>
      </c>
      <c r="R2002" s="228">
        <f>IFERROR(__xludf.DUMMYFUNCTION("""COMPUTED_VALUE"""),46067.0)</f>
        <v>46067</v>
      </c>
      <c r="S2002" s="11"/>
      <c r="T2002" s="11"/>
      <c r="U2002" s="11"/>
      <c r="V2002" s="229"/>
      <c r="W2002" s="229"/>
      <c r="X2002" s="229" t="str">
        <f>IFERROR(__xludf.DUMMYFUNCTION("""COMPUTED_VALUE"""),"GOLIVE")</f>
        <v>GOLIVE</v>
      </c>
      <c r="Y2002" s="229" t="str">
        <f>IFERROR(__xludf.DUMMYFUNCTION("""COMPUTED_VALUE"""),"DONE")</f>
        <v>DONE</v>
      </c>
      <c r="Z2002" s="229" t="str">
        <f>IFERROR(__xludf.DUMMYFUNCTION("""COMPUTED_VALUE"""),"#N/A")</f>
        <v>#N/A</v>
      </c>
      <c r="AA2002" s="229">
        <f>IFERROR(__xludf.DUMMYFUNCTION("""COMPUTED_VALUE"""),71.0)</f>
        <v>71</v>
      </c>
      <c r="AB2002" s="229"/>
      <c r="AC2002" s="229" t="str">
        <f>IFERROR(__xludf.DUMMYFUNCTION("""COMPUTED_VALUE"""),"8543226#8543231")</f>
        <v>8543226#8543231</v>
      </c>
      <c r="AD2002" s="232">
        <f>IFERROR(__xludf.DUMMYFUNCTION("""COMPUTED_VALUE"""),568.0)</f>
        <v>568</v>
      </c>
      <c r="AE2002" s="233">
        <f>IFERROR(__xludf.DUMMYFUNCTION("""COMPUTED_VALUE"""),46068.0)</f>
        <v>46068</v>
      </c>
      <c r="AF2002" s="54"/>
      <c r="AG2002" s="54"/>
      <c r="AH2002" s="54">
        <v>46067.0</v>
      </c>
      <c r="AI2002" s="55">
        <f t="shared" si="196"/>
        <v>-1</v>
      </c>
      <c r="AW2002" s="234"/>
      <c r="BP2002" s="11"/>
      <c r="BQ2002" s="11"/>
      <c r="BR2002" s="235"/>
      <c r="BV2002" s="158"/>
      <c r="BY2002" s="158"/>
      <c r="CB2002" s="158"/>
    </row>
    <row r="2003" ht="18.0" hidden="1" customHeight="1">
      <c r="A2003" s="222">
        <f>IFERROR(__xludf.DUMMYFUNCTION("""COMPUTED_VALUE"""),2026.0)</f>
        <v>2026</v>
      </c>
      <c r="B2003" s="221">
        <f>IFERROR(__xludf.DUMMYFUNCTION("""COMPUTED_VALUE"""),1.1418134E7)</f>
        <v>11418134</v>
      </c>
      <c r="C2003" s="222" t="str">
        <f>IFERROR(__xludf.DUMMYFUNCTION("""COMPUTED_VALUE"""),"JBI-PT3 BRANCHING-MND-FITRIS ROMANTIR")</f>
        <v>JBI-PT3 BRANCHING-MND-FITRIS ROMANTIR</v>
      </c>
      <c r="D2003" s="222" t="str">
        <f>IFERROR(__xludf.DUMMYFUNCTION("""COMPUTED_VALUE"""),"REGIONAL I")</f>
        <v>REGIONAL I</v>
      </c>
      <c r="E2003" s="222" t="str">
        <f>IFERROR(__xludf.DUMMYFUNCTION("""COMPUTED_VALUE"""),"JAMBI")</f>
        <v>JAMBI</v>
      </c>
      <c r="F2003" s="222" t="str">
        <f>IFERROR(__xludf.DUMMYFUNCTION("""COMPUTED_VALUE"""),"MND")</f>
        <v>MND</v>
      </c>
      <c r="G2003" s="222" t="str">
        <f>IFERROR(__xludf.DUMMYFUNCTION("""COMPUTED_VALUE"""),"SUMBAGSEL")</f>
        <v>SUMBAGSEL</v>
      </c>
      <c r="H2003" s="222" t="str">
        <f>IFERROR(__xludf.DUMMYFUNCTION("""COMPUTED_VALUE"""),"JAMBI")</f>
        <v>JAMBI</v>
      </c>
      <c r="I2003" s="222" t="str">
        <f>IFERROR(__xludf.DUMMYFUNCTION("""COMPUTED_VALUE"""),"Batch 2")</f>
        <v>Batch 2</v>
      </c>
      <c r="J2003" s="225">
        <f>IFERROR(__xludf.DUMMYFUNCTION("""COMPUTED_VALUE"""),1.0)</f>
        <v>1</v>
      </c>
      <c r="K2003" s="224">
        <f>IFERROR(__xludf.DUMMYFUNCTION("""COMPUTED_VALUE"""),8.0)</f>
        <v>8</v>
      </c>
      <c r="L2003" s="226">
        <f>IFERROR(__xludf.DUMMYFUNCTION("""COMPUTED_VALUE"""),1516367.0)</f>
        <v>1516367</v>
      </c>
      <c r="M2003" s="227">
        <f>IFERROR(__xludf.DUMMYFUNCTION("""COMPUTED_VALUE"""),1.2130932E7)</f>
        <v>12130932</v>
      </c>
      <c r="N2003" s="222" t="str">
        <f>IFERROR(__xludf.DUMMYFUNCTION("""COMPUTED_VALUE"""),"PT ALAM UTAMA MULIA")</f>
        <v>PT ALAM UTAMA MULIA</v>
      </c>
      <c r="O2003" s="222" t="str">
        <f>IFERROR(__xludf.DUMMYFUNCTION("""COMPUTED_VALUE"""),"0. DROP")</f>
        <v>0. DROP</v>
      </c>
      <c r="P2003" s="222" t="str">
        <f>IFERROR(__xludf.DUMMYFUNCTION("""COMPUTED_VALUE"""),"0.5 DROP TSEL - Acc ED TIF")</f>
        <v>0.5 DROP TSEL - Acc ED TIF</v>
      </c>
      <c r="Q2003" s="222" t="str">
        <f>IFERROR(__xludf.DUMMYFUNCTION("""COMPUTED_VALUE"""),"12/1 BA Drop Sirkulir - Permintaan Tsel Market tidak OK (08/01) redesign jdi CSF karena kabel KT site SLK503 core full, proses eval, Proses mapping mitra (07/01) Persiapan12/1 hold, aanwidjzing 28/11 HOLD 17/11 Menunggu material, estimasi tgl 12. 10/11 ma"&amp;"pping mitra")</f>
        <v>12/1 BA Drop Sirkulir - Permintaan Tsel Market tidak OK (08/01) redesign jdi CSF karena kabel KT site SLK503 core full, proses eval, Proses mapping mitra (07/01) Persiapan12/1 hold, aanwidjzing 28/11 HOLD 17/11 Menunggu material, estimasi tgl 12. 10/11 mapping mitra</v>
      </c>
      <c r="R2003" s="228"/>
      <c r="S2003" s="11"/>
      <c r="T2003" s="11"/>
      <c r="U2003" s="11"/>
      <c r="V2003" s="229"/>
      <c r="W2003" s="229"/>
      <c r="X2003" s="229" t="str">
        <f>IFERROR(__xludf.DUMMYFUNCTION("""COMPUTED_VALUE"""),"BELUM GOLIVE")</f>
        <v>BELUM GOLIVE</v>
      </c>
      <c r="Y2003" s="229"/>
      <c r="Z2003" s="229" t="str">
        <f>IFERROR(__xludf.DUMMYFUNCTION("""COMPUTED_VALUE"""),"#N/A")</f>
        <v>#N/A</v>
      </c>
      <c r="AA2003" s="229"/>
      <c r="AB2003" s="229"/>
      <c r="AC2003" s="229"/>
      <c r="AD2003" s="232"/>
      <c r="AE2003" s="233"/>
      <c r="AF2003" s="54"/>
      <c r="AG2003" s="54"/>
      <c r="AH2003" s="54"/>
      <c r="AI2003" s="55" t="str">
        <f t="shared" si="196"/>
        <v/>
      </c>
      <c r="AW2003" s="234"/>
      <c r="BP2003" s="11"/>
      <c r="BQ2003" s="11"/>
      <c r="BR2003" s="235"/>
      <c r="BV2003" s="158"/>
      <c r="BY2003" s="158"/>
      <c r="CB2003" s="158"/>
    </row>
    <row r="2004" ht="18.0" customHeight="1">
      <c r="A2004" s="222">
        <f>IFERROR(__xludf.DUMMYFUNCTION("""COMPUTED_VALUE"""),2026.0)</f>
        <v>2026</v>
      </c>
      <c r="B2004" s="221">
        <f>IFERROR(__xludf.DUMMYFUNCTION("""COMPUTED_VALUE"""),1.0724243E7)</f>
        <v>10724243</v>
      </c>
      <c r="C2004" s="222" t="str">
        <f>IFERROR(__xludf.DUMMYFUNCTION("""COMPUTED_VALUE"""),"SMB P7I3 PT icasi raya pangean_csf")</f>
        <v>SMB P7I3 PT icasi raya pangean_csf</v>
      </c>
      <c r="D2004" s="222" t="str">
        <f>IFERROR(__xludf.DUMMYFUNCTION("""COMPUTED_VALUE"""),"REGIONAL I")</f>
        <v>REGIONAL I</v>
      </c>
      <c r="E2004" s="222" t="str">
        <f>IFERROR(__xludf.DUMMYFUNCTION("""COMPUTED_VALUE"""),"SUMBAR")</f>
        <v>SUMBAR</v>
      </c>
      <c r="F2004" s="222" t="str">
        <f>IFERROR(__xludf.DUMMYFUNCTION("""COMPUTED_VALUE"""),"SUR")</f>
        <v>SUR</v>
      </c>
      <c r="G2004" s="222" t="str">
        <f>IFERROR(__xludf.DUMMYFUNCTION("""COMPUTED_VALUE"""),"SUMBAGTENG")</f>
        <v>SUMBAGTENG</v>
      </c>
      <c r="H2004" s="222" t="str">
        <f>IFERROR(__xludf.DUMMYFUNCTION("""COMPUTED_VALUE"""),"PADANG")</f>
        <v>PADANG</v>
      </c>
      <c r="I2004" s="222" t="str">
        <f>IFERROR(__xludf.DUMMYFUNCTION("""COMPUTED_VALUE"""),"Batch 2")</f>
        <v>Batch 2</v>
      </c>
      <c r="J2004" s="225">
        <f>IFERROR(__xludf.DUMMYFUNCTION("""COMPUTED_VALUE"""),13.0)</f>
        <v>13</v>
      </c>
      <c r="K2004" s="224">
        <f>IFERROR(__xludf.DUMMYFUNCTION("""COMPUTED_VALUE"""),104.0)</f>
        <v>104</v>
      </c>
      <c r="L2004" s="226">
        <f>IFERROR(__xludf.DUMMYFUNCTION("""COMPUTED_VALUE"""),1516822.0)</f>
        <v>1516822</v>
      </c>
      <c r="M2004" s="227">
        <f>IFERROR(__xludf.DUMMYFUNCTION("""COMPUTED_VALUE"""),1.57749476E8)</f>
        <v>157749476</v>
      </c>
      <c r="N2004" s="222" t="str">
        <f>IFERROR(__xludf.DUMMYFUNCTION("""COMPUTED_VALUE"""),"PT TIGA AKSES MANDIRI")</f>
        <v>PT TIGA AKSES MANDIRI</v>
      </c>
      <c r="O2004" s="222" t="str">
        <f>IFERROR(__xludf.DUMMYFUNCTION("""COMPUTED_VALUE"""),"4. MATDEL")</f>
        <v>4. MATDEL</v>
      </c>
      <c r="P2004" s="222" t="str">
        <f>IFERROR(__xludf.DUMMYFUNCTION("""COMPUTED_VALUE"""),"4.4 Proses Pengiriman Pabribak ke WH")</f>
        <v>4.4 Proses Pengiriman Pabribak ke WH</v>
      </c>
      <c r="Q2004" s="222" t="str">
        <f>IFERROR(__xludf.DUMMYFUNCTION("""COMPUTED_VALUE"""),"(27/04) menunggu PO kabel 24 ADSS (20/04) create PID   (10/04) Proses aanwijziing , LOP HOLD FEEDER FULL ACC GO 22/01 : redesign jdi CSF karena kabel KT site SLK503 core full (07/01) Persiapan")</f>
        <v>(27/04) menunggu PO kabel 24 ADSS (20/04) create PID   (10/04) Proses aanwijziing , LOP HOLD FEEDER FULL ACC GO 22/01 : redesign jdi CSF karena kabel KT site SLK503 core full (07/01) Persiapan</v>
      </c>
      <c r="R2004" s="228"/>
      <c r="S2004" s="11"/>
      <c r="T2004" s="11"/>
      <c r="U2004" s="11"/>
      <c r="V2004" s="229"/>
      <c r="W2004" s="229"/>
      <c r="X2004" s="229" t="str">
        <f>IFERROR(__xludf.DUMMYFUNCTION("""COMPUTED_VALUE"""),"BELUM GOLIVE")</f>
        <v>BELUM GOLIVE</v>
      </c>
      <c r="Y2004" s="229"/>
      <c r="Z2004" s="229" t="str">
        <f>IFERROR(__xludf.DUMMYFUNCTION("""COMPUTED_VALUE"""),"#N/A")</f>
        <v>#N/A</v>
      </c>
      <c r="AA2004" s="229"/>
      <c r="AB2004" s="229"/>
      <c r="AC2004" s="229"/>
      <c r="AD2004" s="232"/>
      <c r="AE2004" s="233"/>
      <c r="AF2004" s="54" t="str">
        <f>IFERROR(__xludf.DUMMYFUNCTION("""COMPUTED_VALUE"""),"Draft BA DROP")</f>
        <v>Draft BA DROP</v>
      </c>
      <c r="AG2004" s="54"/>
      <c r="AH2004" s="54"/>
      <c r="AI2004" s="55" t="str">
        <f t="shared" si="196"/>
        <v/>
      </c>
      <c r="AW2004" s="234"/>
      <c r="BP2004" s="11"/>
      <c r="BQ2004" s="11"/>
      <c r="BR2004" s="235"/>
      <c r="BV2004" s="158"/>
      <c r="BY2004" s="158"/>
      <c r="CB2004" s="158"/>
    </row>
    <row r="2005" ht="18.0" customHeight="1">
      <c r="A2005" s="222">
        <f>IFERROR(__xludf.DUMMYFUNCTION("""COMPUTED_VALUE"""),2026.0)</f>
        <v>2026</v>
      </c>
      <c r="B2005" s="221">
        <f>IFERROR(__xludf.DUMMYFUNCTION("""COMPUTED_VALUE"""),1.1297609E7)</f>
        <v>11297609</v>
      </c>
      <c r="C2005" s="222" t="str">
        <f>IFERROR(__xludf.DUMMYFUNCTION("""COMPUTED_VALUE"""),"RDR BGU PT3 P1I1 Jl.LintasSumatraBalam")</f>
        <v>RDR BGU PT3 P1I1 Jl.LintasSumatraBalam</v>
      </c>
      <c r="D2005" s="222" t="str">
        <f>IFERROR(__xludf.DUMMYFUNCTION("""COMPUTED_VALUE"""),"REGIONAL I")</f>
        <v>REGIONAL I</v>
      </c>
      <c r="E2005" s="222" t="str">
        <f>IFERROR(__xludf.DUMMYFUNCTION("""COMPUTED_VALUE"""),"RIDAR")</f>
        <v>RIDAR</v>
      </c>
      <c r="F2005" s="222" t="str">
        <f>IFERROR(__xludf.DUMMYFUNCTION("""COMPUTED_VALUE"""),"BGU")</f>
        <v>BGU</v>
      </c>
      <c r="G2005" s="222" t="str">
        <f>IFERROR(__xludf.DUMMYFUNCTION("""COMPUTED_VALUE"""),"SUMBAGTENG")</f>
        <v>SUMBAGTENG</v>
      </c>
      <c r="H2005" s="222" t="str">
        <f>IFERROR(__xludf.DUMMYFUNCTION("""COMPUTED_VALUE"""),"DUMAI")</f>
        <v>DUMAI</v>
      </c>
      <c r="I2005" s="222" t="str">
        <f>IFERROR(__xludf.DUMMYFUNCTION("""COMPUTED_VALUE"""),"Batch 2")</f>
        <v>Batch 2</v>
      </c>
      <c r="J2005" s="225">
        <f>IFERROR(__xludf.DUMMYFUNCTION("""COMPUTED_VALUE"""),55.0)</f>
        <v>55</v>
      </c>
      <c r="K2005" s="224">
        <f>IFERROR(__xludf.DUMMYFUNCTION("""COMPUTED_VALUE"""),432.0)</f>
        <v>432</v>
      </c>
      <c r="L2005" s="226">
        <f>IFERROR(__xludf.DUMMYFUNCTION("""COMPUTED_VALUE"""),1517126.0)</f>
        <v>1517126</v>
      </c>
      <c r="M2005" s="227">
        <f>IFERROR(__xludf.DUMMYFUNCTION("""COMPUTED_VALUE"""),6.55398269E8)</f>
        <v>655398269</v>
      </c>
      <c r="N2005" s="222" t="str">
        <f>IFERROR(__xludf.DUMMYFUNCTION("""COMPUTED_VALUE"""),"PT ALAM UTAMA MULIA")</f>
        <v>PT ALAM UTAMA MULIA</v>
      </c>
      <c r="O2005" s="222" t="str">
        <f>IFERROR(__xludf.DUMMYFUNCTION("""COMPUTED_VALUE"""),"7. GOLIVE")</f>
        <v>7. GOLIVE</v>
      </c>
      <c r="P2005" s="222" t="str">
        <f>IFERROR(__xludf.DUMMYFUNCTION("""COMPUTED_VALUE"""),"7.2 Golive Full / OA / DONE OTB")</f>
        <v>7.2 Golive Full / OA / DONE OTB</v>
      </c>
      <c r="Q2005" s="222" t="str">
        <f>IFERROR(__xludf.DUMMYFUNCTION("""COMPUTED_VALUE"""),"09/03 Masih OGP Valins, paralel data sudah di submit 04/03 Proses Valins 12/02 Menunggu Mini OLT UJT515 29/01 Terminasi ODP 20/01 Pemasangan odp (07/01) Persiapan")</f>
        <v>09/03 Masih OGP Valins, paralel data sudah di submit 04/03 Proses Valins 12/02 Menunggu Mini OLT UJT515 29/01 Terminasi ODP 20/01 Pemasangan odp (07/01) Persiapan</v>
      </c>
      <c r="R2005" s="228">
        <f>IFERROR(__xludf.DUMMYFUNCTION("""COMPUTED_VALUE"""),46090.0)</f>
        <v>46090</v>
      </c>
      <c r="S2005" s="11" t="str">
        <f>IFERROR(__xludf.DUMMYFUNCTION("""COMPUTED_VALUE"""),"MAR")</f>
        <v>MAR</v>
      </c>
      <c r="T2005" s="11"/>
      <c r="U2005" s="11" t="str">
        <f>IFERROR(__xludf.DUMMYFUNCTION("""COMPUTED_VALUE"""),"W08-675/2025")</f>
        <v>W08-675/2025</v>
      </c>
      <c r="V2005" s="229" t="str">
        <f>IFERROR(__xludf.DUMMYFUNCTION("""COMPUTED_VALUE"""),"ADIL WAHYUDI")</f>
        <v>ADIL WAHYUDI</v>
      </c>
      <c r="W2005" s="229" t="str">
        <f>IFERROR(__xludf.DUMMYFUNCTION("""COMPUTED_VALUE"""),"ANZALA SAKINAH")</f>
        <v>ANZALA SAKINAH</v>
      </c>
      <c r="X2005" s="229" t="str">
        <f>IFERROR(__xludf.DUMMYFUNCTION("""COMPUTED_VALUE"""),"GOLIVE")</f>
        <v>GOLIVE</v>
      </c>
      <c r="Y2005" s="229" t="str">
        <f>IFERROR(__xludf.DUMMYFUNCTION("""COMPUTED_VALUE"""),"DONE")</f>
        <v>DONE</v>
      </c>
      <c r="Z2005" s="229"/>
      <c r="AA2005" s="229">
        <f>IFERROR(__xludf.DUMMYFUNCTION("""COMPUTED_VALUE"""),54.0)</f>
        <v>54</v>
      </c>
      <c r="AB2005" s="229"/>
      <c r="AC2005" s="229" t="str">
        <f>IFERROR(__xludf.DUMMYFUNCTION("""COMPUTED_VALUE"""),"9195070#9195075")</f>
        <v>9195070#9195075</v>
      </c>
      <c r="AD2005" s="232">
        <f>IFERROR(__xludf.DUMMYFUNCTION("""COMPUTED_VALUE"""),432.0)</f>
        <v>432</v>
      </c>
      <c r="AE2005" s="233">
        <f>IFERROR(__xludf.DUMMYFUNCTION("""COMPUTED_VALUE"""),46093.0)</f>
        <v>46093</v>
      </c>
      <c r="AF2005" s="54"/>
      <c r="AG2005" s="54"/>
      <c r="AH2005" s="54">
        <v>46090.0</v>
      </c>
      <c r="AI2005" s="55">
        <f>IF(OR(AH2005="",AE2005=""),"",AH2005-AE2005)</f>
        <v>-3</v>
      </c>
      <c r="AW2005" s="234"/>
      <c r="BP2005" s="11"/>
      <c r="BQ2005" s="11"/>
      <c r="BR2005" s="235"/>
      <c r="BV2005" s="158"/>
      <c r="BY2005" s="158"/>
      <c r="CB2005" s="158"/>
    </row>
    <row r="2006" ht="18.0" hidden="1" customHeight="1">
      <c r="A2006" s="222">
        <f>IFERROR(__xludf.DUMMYFUNCTION("""COMPUTED_VALUE"""),2026.0)</f>
        <v>2026</v>
      </c>
      <c r="B2006" s="221">
        <f>IFERROR(__xludf.DUMMYFUNCTION("""COMPUTED_VALUE"""),1.1409428E7)</f>
        <v>11409428</v>
      </c>
      <c r="C2006" s="222" t="str">
        <f>IFERROR(__xludf.DUMMYFUNCTION("""COMPUTED_VALUE"""),"BNK-PT3-KOTA BENGKULU_15035")</f>
        <v>BNK-PT3-KOTA BENGKULU_15035</v>
      </c>
      <c r="D2006" s="222" t="str">
        <f>IFERROR(__xludf.DUMMYFUNCTION("""COMPUTED_VALUE"""),"REGIONAL I")</f>
        <v>REGIONAL I</v>
      </c>
      <c r="E2006" s="222" t="str">
        <f>IFERROR(__xludf.DUMMYFUNCTION("""COMPUTED_VALUE"""),"BENGKULU")</f>
        <v>BENGKULU</v>
      </c>
      <c r="F2006" s="222" t="str">
        <f>IFERROR(__xludf.DUMMYFUNCTION("""COMPUTED_VALUE"""),"BNC")</f>
        <v>BNC</v>
      </c>
      <c r="G2006" s="222" t="str">
        <f>IFERROR(__xludf.DUMMYFUNCTION("""COMPUTED_VALUE"""),"SUMBAGSEL")</f>
        <v>SUMBAGSEL</v>
      </c>
      <c r="H2006" s="222" t="str">
        <f>IFERROR(__xludf.DUMMYFUNCTION("""COMPUTED_VALUE"""),"BENGKULU")</f>
        <v>BENGKULU</v>
      </c>
      <c r="I2006" s="222" t="str">
        <f>IFERROR(__xludf.DUMMYFUNCTION("""COMPUTED_VALUE"""),"Batch 2")</f>
        <v>Batch 2</v>
      </c>
      <c r="J2006" s="225">
        <f>IFERROR(__xludf.DUMMYFUNCTION("""COMPUTED_VALUE"""),8.0)</f>
        <v>8</v>
      </c>
      <c r="K2006" s="224">
        <f>IFERROR(__xludf.DUMMYFUNCTION("""COMPUTED_VALUE"""),64.0)</f>
        <v>64</v>
      </c>
      <c r="L2006" s="226">
        <f>IFERROR(__xludf.DUMMYFUNCTION("""COMPUTED_VALUE"""),1517437.0)</f>
        <v>1517437</v>
      </c>
      <c r="M2006" s="227">
        <f>IFERROR(__xludf.DUMMYFUNCTION("""COMPUTED_VALUE"""),9.7115955E7)</f>
        <v>97115955</v>
      </c>
      <c r="N2006" s="222" t="str">
        <f>IFERROR(__xludf.DUMMYFUNCTION("""COMPUTED_VALUE"""),"PT SARANA MITRA PERSADA")</f>
        <v>PT SARANA MITRA PERSADA</v>
      </c>
      <c r="O2006" s="222" t="str">
        <f>IFERROR(__xludf.DUMMYFUNCTION("""COMPUTED_VALUE"""),"0. DROP")</f>
        <v>0. DROP</v>
      </c>
      <c r="P2006" s="222" t="str">
        <f>IFERROR(__xludf.DUMMYFUNCTION("""COMPUTED_VALUE"""),"0.2 Tidak Dapat Izin Warga/Kades/Lurah/Developer")</f>
        <v>0.2 Tidak Dapat Izin Warga/Kades/Lurah/Developer</v>
      </c>
      <c r="Q2006" s="222" t="str">
        <f>IFERROR(__xludf.DUMMYFUNCTION("""COMPUTED_VALUE"""),"22/2 tidak mendapat IZIN 23/01 : Drop by TSEL
")</f>
        <v>22/2 tidak mendapat IZIN 23/01 : Drop by TSEL
</v>
      </c>
      <c r="R2006" s="228"/>
      <c r="S2006" s="11"/>
      <c r="T2006" s="11"/>
      <c r="U2006" s="11"/>
      <c r="V2006" s="229"/>
      <c r="W2006" s="229"/>
      <c r="X2006" s="229" t="str">
        <f>IFERROR(__xludf.DUMMYFUNCTION("""COMPUTED_VALUE"""),"BELUM GOLIVE")</f>
        <v>BELUM GOLIVE</v>
      </c>
      <c r="Y2006" s="229"/>
      <c r="Z2006" s="229" t="str">
        <f>IFERROR(__xludf.DUMMYFUNCTION("""COMPUTED_VALUE"""),"#N/A")</f>
        <v>#N/A</v>
      </c>
      <c r="AA2006" s="229"/>
      <c r="AB2006" s="229"/>
      <c r="AC2006" s="229"/>
      <c r="AD2006" s="232"/>
      <c r="AE2006" s="233"/>
      <c r="AF2006" s="54" t="str">
        <f>IFERROR(__xludf.DUMMYFUNCTION("""COMPUTED_VALUE"""),"Draft BA DROP")</f>
        <v>Draft BA DROP</v>
      </c>
      <c r="AG2006" s="54"/>
      <c r="AH2006" s="54"/>
      <c r="AI2006" s="55" t="str">
        <f t="shared" ref="AI2006:AI2025" si="197">IF(OR(R2006="",AE2006=""),"",R2006-AE2006)</f>
        <v/>
      </c>
      <c r="AW2006" s="234"/>
      <c r="BP2006" s="11"/>
      <c r="BQ2006" s="11"/>
      <c r="BR2006" s="235"/>
      <c r="BV2006" s="158"/>
      <c r="BY2006" s="158"/>
      <c r="CB2006" s="158"/>
    </row>
    <row r="2007" ht="18.0" customHeight="1">
      <c r="A2007" s="222">
        <f>IFERROR(__xludf.DUMMYFUNCTION("""COMPUTED_VALUE"""),2026.0)</f>
        <v>2026</v>
      </c>
      <c r="B2007" s="221">
        <f>IFERROR(__xludf.DUMMYFUNCTION("""COMPUTED_VALUE"""),1.1314372E7)</f>
        <v>11314372</v>
      </c>
      <c r="C2007" s="222" t="str">
        <f>IFERROR(__xludf.DUMMYFUNCTION("""COMPUTED_VALUE"""),"RDR ARK PT3 P2I2 KOTA PEKANBARU_18104")</f>
        <v>RDR ARK PT3 P2I2 KOTA PEKANBARU_18104</v>
      </c>
      <c r="D2007" s="222" t="str">
        <f>IFERROR(__xludf.DUMMYFUNCTION("""COMPUTED_VALUE"""),"REGIONAL I")</f>
        <v>REGIONAL I</v>
      </c>
      <c r="E2007" s="222" t="str">
        <f>IFERROR(__xludf.DUMMYFUNCTION("""COMPUTED_VALUE"""),"RIDAR")</f>
        <v>RIDAR</v>
      </c>
      <c r="F2007" s="222" t="str">
        <f>IFERROR(__xludf.DUMMYFUNCTION("""COMPUTED_VALUE"""),"ARK")</f>
        <v>ARK</v>
      </c>
      <c r="G2007" s="222" t="str">
        <f>IFERROR(__xludf.DUMMYFUNCTION("""COMPUTED_VALUE"""),"SUMBAGTENG")</f>
        <v>SUMBAGTENG</v>
      </c>
      <c r="H2007" s="222" t="str">
        <f>IFERROR(__xludf.DUMMYFUNCTION("""COMPUTED_VALUE"""),"PEKANBARU")</f>
        <v>PEKANBARU</v>
      </c>
      <c r="I2007" s="222" t="str">
        <f>IFERROR(__xludf.DUMMYFUNCTION("""COMPUTED_VALUE"""),"Batch 2")</f>
        <v>Batch 2</v>
      </c>
      <c r="J2007" s="225">
        <f>IFERROR(__xludf.DUMMYFUNCTION("""COMPUTED_VALUE"""),6.0)</f>
        <v>6</v>
      </c>
      <c r="K2007" s="224">
        <f>IFERROR(__xludf.DUMMYFUNCTION("""COMPUTED_VALUE"""),48.0)</f>
        <v>48</v>
      </c>
      <c r="L2007" s="226">
        <f>IFERROR(__xludf.DUMMYFUNCTION("""COMPUTED_VALUE"""),1517540.0)</f>
        <v>1517540</v>
      </c>
      <c r="M2007" s="227">
        <f>IFERROR(__xludf.DUMMYFUNCTION("""COMPUTED_VALUE"""),7.284189E7)</f>
        <v>72841890</v>
      </c>
      <c r="N2007" s="222" t="str">
        <f>IFERROR(__xludf.DUMMYFUNCTION("""COMPUTED_VALUE"""),"PT SAMUDERA PUTRA KENCANA")</f>
        <v>PT SAMUDERA PUTRA KENCANA</v>
      </c>
      <c r="O2007" s="222" t="str">
        <f>IFERROR(__xludf.DUMMYFUNCTION("""COMPUTED_VALUE"""),"2. DONE AANWIJZING")</f>
        <v>2. DONE AANWIJZING</v>
      </c>
      <c r="P2007" s="222" t="str">
        <f>IFERROR(__xludf.DUMMYFUNCTION("""COMPUTED_VALUE"""),"2.10 Kendala - Feeder Rusak")</f>
        <v>2.10 Kendala - Feeder Rusak</v>
      </c>
      <c r="Q2007" s="222" t="str">
        <f>IFERROR(__xludf.DUMMYFUNCTION("""COMPUTED_VALUE"""),"20/04 Pengambilan ulang hasil ukur OTDR 13/04 Pengecekan ulang feeder untuk kebutuhan repair 20/01 Kendala feeder rusak (07/01) Persiapan")</f>
        <v>20/04 Pengambilan ulang hasil ukur OTDR 13/04 Pengecekan ulang feeder untuk kebutuhan repair 20/01 Kendala feeder rusak (07/01) Persiapan</v>
      </c>
      <c r="R2007" s="228"/>
      <c r="S2007" s="11"/>
      <c r="T2007" s="11"/>
      <c r="U2007" s="11"/>
      <c r="V2007" s="229" t="str">
        <f>IFERROR(__xludf.DUMMYFUNCTION("""COMPUTED_VALUE"""),"TEGUH IMAM PERDANA")</f>
        <v>TEGUH IMAM PERDANA</v>
      </c>
      <c r="W2007" s="229" t="str">
        <f>IFERROR(__xludf.DUMMYFUNCTION("""COMPUTED_VALUE"""),"DESLITA RAHMADANI")</f>
        <v>DESLITA RAHMADANI</v>
      </c>
      <c r="X2007" s="229" t="str">
        <f>IFERROR(__xludf.DUMMYFUNCTION("""COMPUTED_VALUE"""),"BELUM GOLIVE")</f>
        <v>BELUM GOLIVE</v>
      </c>
      <c r="Y2007" s="229"/>
      <c r="Z2007" s="229" t="str">
        <f>IFERROR(__xludf.DUMMYFUNCTION("""COMPUTED_VALUE"""),"#N/A")</f>
        <v>#N/A</v>
      </c>
      <c r="AA2007" s="229"/>
      <c r="AB2007" s="229"/>
      <c r="AC2007" s="229"/>
      <c r="AD2007" s="232"/>
      <c r="AE2007" s="233"/>
      <c r="AF2007" s="54"/>
      <c r="AG2007" s="54"/>
      <c r="AH2007" s="54"/>
      <c r="AI2007" s="55" t="str">
        <f t="shared" si="197"/>
        <v/>
      </c>
      <c r="AW2007" s="234"/>
      <c r="BP2007" s="11"/>
      <c r="BQ2007" s="11"/>
      <c r="BR2007" s="235"/>
      <c r="BV2007" s="158"/>
      <c r="BY2007" s="158"/>
      <c r="CB2007" s="158"/>
    </row>
    <row r="2008" ht="18.0" hidden="1" customHeight="1">
      <c r="A2008" s="222">
        <f>IFERROR(__xludf.DUMMYFUNCTION("""COMPUTED_VALUE"""),2026.0)</f>
        <v>2026</v>
      </c>
      <c r="B2008" s="221">
        <f>IFERROR(__xludf.DUMMYFUNCTION("""COMPUTED_VALUE"""),1.2016444E7)</f>
        <v>12016444</v>
      </c>
      <c r="C2008" s="222" t="str">
        <f>IFERROR(__xludf.DUMMYFUNCTION("""COMPUTED_VALUE"""),"SMU-ODC-PDN-FAI D01 BATU BARA_36607")</f>
        <v>SMU-ODC-PDN-FAI D01 BATU BARA_36607</v>
      </c>
      <c r="D2008" s="222" t="str">
        <f>IFERROR(__xludf.DUMMYFUNCTION("""COMPUTED_VALUE"""),"REGIONAL I")</f>
        <v>REGIONAL I</v>
      </c>
      <c r="E2008" s="222" t="str">
        <f>IFERROR(__xludf.DUMMYFUNCTION("""COMPUTED_VALUE"""),"SUMUT")</f>
        <v>SUMUT</v>
      </c>
      <c r="F2008" s="222" t="str">
        <f>IFERROR(__xludf.DUMMYFUNCTION("""COMPUTED_VALUE"""),"PDN")</f>
        <v>PDN</v>
      </c>
      <c r="G2008" s="222" t="str">
        <f>IFERROR(__xludf.DUMMYFUNCTION("""COMPUTED_VALUE"""),"SUMBAGUT")</f>
        <v>SUMBAGUT</v>
      </c>
      <c r="H2008" s="222" t="str">
        <f>IFERROR(__xludf.DUMMYFUNCTION("""COMPUTED_VALUE"""),"PEMATANG SIANTAR")</f>
        <v>PEMATANG SIANTAR</v>
      </c>
      <c r="I2008" s="222" t="str">
        <f>IFERROR(__xludf.DUMMYFUNCTION("""COMPUTED_VALUE"""),"Batch 2")</f>
        <v>Batch 2</v>
      </c>
      <c r="J2008" s="225">
        <f>IFERROR(__xludf.DUMMYFUNCTION("""COMPUTED_VALUE"""),4.0)</f>
        <v>4</v>
      </c>
      <c r="K2008" s="224">
        <f>IFERROR(__xludf.DUMMYFUNCTION("""COMPUTED_VALUE"""),32.0)</f>
        <v>32</v>
      </c>
      <c r="L2008" s="226">
        <f>IFERROR(__xludf.DUMMYFUNCTION("""COMPUTED_VALUE"""),1517735.0)</f>
        <v>1517735</v>
      </c>
      <c r="M2008" s="227">
        <f>IFERROR(__xludf.DUMMYFUNCTION("""COMPUTED_VALUE"""),4.8567501E7)</f>
        <v>48567501</v>
      </c>
      <c r="N2008" s="222" t="str">
        <f>IFERROR(__xludf.DUMMYFUNCTION("""COMPUTED_VALUE"""),"PT ARTHA MANDIRI BERSAMA")</f>
        <v>PT ARTHA MANDIRI BERSAMA</v>
      </c>
      <c r="O2008" s="222" t="str">
        <f>IFERROR(__xludf.DUMMYFUNCTION("""COMPUTED_VALUE"""),"2. DONE AANWIJZING")</f>
        <v>2. DONE AANWIJZING</v>
      </c>
      <c r="P2008" s="222" t="str">
        <f>IFERROR(__xludf.DUMMYFUNCTION("""COMPUTED_VALUE"""),"2.6 Tunggu Hasil DRM - ada Kenaikan CPP")</f>
        <v>2.6 Tunggu Hasil DRM - ada Kenaikan CPP</v>
      </c>
      <c r="Q2008" s="222" t="str">
        <f>IFERROR(__xludf.DUMMYFUNCTION("""COMPUTED_VALUE"""),"27/4 ada kenaikan cpp 1,5,  24/4 ada kenaikan cpp 1,5, 23/4 ada kenaikan cpp 1,5, 22/4 ada kenaikan cpp 1,5, 21/4 ada kenaikan cpp 1,5, 16/4 ada kenaikan cpp 1,5, 15/4 ada kenaikan cpp 1,5, 14/4 ada kenaikan cpp 1,5, 13/4 ada kenaikan cpp 1,5, 9/4 cpp tin"&amp;"ggi 1,6, 6/4 core distribusi sisa 2 kebutuhan 4 odp dan tidak tembus di 30 m, 5/4 plan fu kembali terkait perizinan desa (pengalihan dari mitra cpm),  1/4 plan fu kembali terkait perizinan desa (pengalihan dari mitra cpm), 31/3 mitra cpm menolak untuk lan"&amp;"jut progres ( plan pengalihan mitra ke upentel), 30/3 mitra cpm menolak untuk lanjut progres ( plan pengalihan mitra ke upentel), 27/3 mitra cpm menolak untuk lanjut progres ( plan pengalihan mitra ke upentel), 26/3 plan fu kmbali terkait perizinan desa s"&amp;"etelah lebaran, 22/3 plan fu kmbali terkait perizinan desa setelah lebaran,  18/3 plan fu kmbali terkait perizinan desa setelah lebaran, 16/3 plan fu kmbali terkait perizinan desa, 13/3 plan fu kmbali terkait perizinan desa,  11/3 plan fu kmbali terkait p"&amp;"erizinan desa, 10/3 plan fu kmbali terkait perizinan desa, 3/3 drop CPP tinggi acc ED1-ED RSBU 2/3 kenaikan cpp survey incloude qe, plan 1,4 menjadi 1,7,  27/2 kenaikan cpp survey incloude qe, plan 1,4 menjadi 1,7,  25/2 kenaikan cpp survey incloude qe, p"&amp;"lan 1,4 menjadi 1,7,  24/2 kenaikan cpp survey incloude qe, plan 1,4 menjadi 1,7,  23/2 kenaikan cpp survey incloude qe, plan 1,4 menjadi 1,7,  20/2 kenaikan cpp survey incloude qe, plan 1,4 menjadi 1,7, 19/2 kenaikan cpp survey incloude qe, plan 1,4 menj"&amp;"adi 1,7, 18/2 kenaikan cpp survey incloude qe, plan 1,4 menjadi 1,7, 16/2 proses cek cpp, 13/2 menunggu boq kml hasil redesign,  12/2 menunggu boq kml hasil redesign, 11/2 menunggu boq kml hasil redesign, 10/2 menunggu boq kml hasil redesign,, 9/2 prepair"&amp;" team untuk survey hasil redesign, 6/2 prepair team untuk survey hasil redesign, 5/2 prepair team untuk survey hasil redesign, 3/2 prepair team untuk survey hasil redesign, 2/2 prepair team untuk survey hasil redesign,1/2 prepair team untuk survey hasil r"&amp;"edesign, 30/1 prepair team untuk survey hasil redesign, 28/1 plan besok 29/1 survey ulamng terkait redesign, 27/1 (cpp plan 1,517,734 menunggu info tif/ed terkait cpp 1,4), pengurangan 2 odp sesuai info tsel, core dist tidak cukup sisa 2 dan cut di 30 m ,"&amp;" kebutuhan 4 core),  26/1 (cpp plan 1,517,734 menunggu info tif/ed terkait cpp 1,4), pengurangan 2 odp sesuai info tsel, core dist tidak cukup sisa 2 dan cut di 30 m , kebutuhan 4 core),23/1 (cpp plan 1,517,734 menunggu info tif/ed terkait cpp 1,4), pengu"&amp;"rangan 2 odp sesuai info tsel, core dist tidak cukup sisa 2 dan cut di 30 m , kebutuhan 4 core), 22/1 (cpp plan 1,517,734 menunggu info tif/ed terkait cpp 1,4),  21/1 (cpp plan 1,517,734 menunggu info tif/ed terkait cpp 1,4), pengurangan 2 odp sesuai info"&amp;" tsel, core dist tidak cukup sisa 2 dan cut di 30 m , kebutuhan 4 core),  20/1 menunggu boq kml survey dan kebutuhan qe, pengurangan 2 odp sesuai info tsel, core dist tidak cukup sisa 2 dan cut di 30 m , kebutuhan 4 core) ,19/1 menunggu boq kml survey dan"&amp;" kebutuhan qe, pengurangan 2 odp sesuai info tsel, core dist tidak cukup sisa 2 dan cut di 30 m , kebutuhan 4 core),, 15/1 plan survey 19/1, 14/1 PLAN SURVEY TANGGAL 19/01, 13/1 plan survey senin 19/1, (12/01) butuh mini olt, (07/01) Persiapan")</f>
        <v>27/4 ada kenaikan cpp 1,5,  24/4 ada kenaikan cpp 1,5, 23/4 ada kenaikan cpp 1,5, 22/4 ada kenaikan cpp 1,5, 21/4 ada kenaikan cpp 1,5, 16/4 ada kenaikan cpp 1,5, 15/4 ada kenaikan cpp 1,5, 14/4 ada kenaikan cpp 1,5, 13/4 ada kenaikan cpp 1,5, 9/4 cpp tinggi 1,6, 6/4 core distribusi sisa 2 kebutuhan 4 odp dan tidak tembus di 30 m, 5/4 plan fu kembali terkait perizinan desa (pengalihan dari mitra cpm),  1/4 plan fu kembali terkait perizinan desa (pengalihan dari mitra cpm), 31/3 mitra cpm menolak untuk lanjut progres ( plan pengalihan mitra ke upentel), 30/3 mitra cpm menolak untuk lanjut progres ( plan pengalihan mitra ke upentel), 27/3 mitra cpm menolak untuk lanjut progres ( plan pengalihan mitra ke upentel), 26/3 plan fu kmbali terkait perizinan desa setelah lebaran, 22/3 plan fu kmbali terkait perizinan desa setelah lebaran,  18/3 plan fu kmbali terkait perizinan desa setelah lebaran, 16/3 plan fu kmbali terkait perizinan desa, 13/3 plan fu kmbali terkait perizinan desa,  11/3 plan fu kmbali terkait perizinan desa, 10/3 plan fu kmbali terkait perizinan desa, 3/3 drop CPP tinggi acc ED1-ED RSBU 2/3 kenaikan cpp survey incloude qe, plan 1,4 menjadi 1,7,  27/2 kenaikan cpp survey incloude qe, plan 1,4 menjadi 1,7,  25/2 kenaikan cpp survey incloude qe, plan 1,4 menjadi 1,7,  24/2 kenaikan cpp survey incloude qe, plan 1,4 menjadi 1,7,  23/2 kenaikan cpp survey incloude qe, plan 1,4 menjadi 1,7,  20/2 kenaikan cpp survey incloude qe, plan 1,4 menjadi 1,7, 19/2 kenaikan cpp survey incloude qe, plan 1,4 menjadi 1,7, 18/2 kenaikan cpp survey incloude qe, plan 1,4 menjadi 1,7, 16/2 proses cek cpp, 13/2 menunggu boq kml hasil redesign,  12/2 menunggu boq kml hasil redesign, 11/2 menunggu boq kml hasil redesign, 10/2 menunggu boq kml hasil redesign,, 9/2 prepair team untuk survey hasil redesign, 6/2 prepair team untuk survey hasil redesign, 5/2 prepair team untuk survey hasil redesign, 3/2 prepair team untuk survey hasil redesign, 2/2 prepair team untuk survey hasil redesign,1/2 prepair team untuk survey hasil redesign, 30/1 prepair team untuk survey hasil redesign, 28/1 plan besok 29/1 survey ulamng terkait redesign, 27/1 (cpp plan 1,517,734 menunggu info tif/ed terkait cpp 1,4), pengurangan 2 odp sesuai info tsel, core dist tidak cukup sisa 2 dan cut di 30 m , kebutuhan 4 core),  26/1 (cpp plan 1,517,734 menunggu info tif/ed terkait cpp 1,4), pengurangan 2 odp sesuai info tsel, core dist tidak cukup sisa 2 dan cut di 30 m , kebutuhan 4 core),23/1 (cpp plan 1,517,734 menunggu info tif/ed terkait cpp 1,4), pengurangan 2 odp sesuai info tsel, core dist tidak cukup sisa 2 dan cut di 30 m , kebutuhan 4 core), 22/1 (cpp plan 1,517,734 menunggu info tif/ed terkait cpp 1,4),  21/1 (cpp plan 1,517,734 menunggu info tif/ed terkait cpp 1,4), pengurangan 2 odp sesuai info tsel, core dist tidak cukup sisa 2 dan cut di 30 m , kebutuhan 4 core),  20/1 menunggu boq kml survey dan kebutuhan qe, pengurangan 2 odp sesuai info tsel, core dist tidak cukup sisa 2 dan cut di 30 m , kebutuhan 4 core) ,19/1 menunggu boq kml survey dan kebutuhan qe, pengurangan 2 odp sesuai info tsel, core dist tidak cukup sisa 2 dan cut di 30 m , kebutuhan 4 core),, 15/1 plan survey 19/1, 14/1 PLAN SURVEY TANGGAL 19/01, 13/1 plan survey senin 19/1, (12/01) butuh mini olt, (07/01) Persiapan</v>
      </c>
      <c r="R2008" s="228"/>
      <c r="S2008" s="11"/>
      <c r="T2008" s="73"/>
      <c r="U2008" s="11" t="str">
        <f>IFERROR(__xludf.DUMMYFUNCTION("""COMPUTED_VALUE"""),"TIF-1393/2026")</f>
        <v>TIF-1393/2026</v>
      </c>
      <c r="V2008" s="229" t="str">
        <f>IFERROR(__xludf.DUMMYFUNCTION("""COMPUTED_VALUE"""),"25/Apr/2026")</f>
        <v>25/Apr/2026</v>
      </c>
      <c r="W2008" s="229"/>
      <c r="X2008" s="229" t="str">
        <f>IFERROR(__xludf.DUMMYFUNCTION("""COMPUTED_VALUE"""),"BELUM GOLIVE")</f>
        <v>BELUM GOLIVE</v>
      </c>
      <c r="Y2008" s="229"/>
      <c r="Z2008" s="229" t="str">
        <f>IFERROR(__xludf.DUMMYFUNCTION("""COMPUTED_VALUE"""),"#N/A")</f>
        <v>#N/A</v>
      </c>
      <c r="AA2008" s="229"/>
      <c r="AB2008" s="229"/>
      <c r="AC2008" s="229"/>
      <c r="AD2008" s="232"/>
      <c r="AE2008" s="233"/>
      <c r="AF2008" s="54" t="str">
        <f>IFERROR(__xludf.DUMMYFUNCTION("""COMPUTED_VALUE"""),"Draft BA DROP")</f>
        <v>Draft BA DROP</v>
      </c>
      <c r="AG2008" s="54"/>
      <c r="AH2008" s="54"/>
      <c r="AI2008" s="55" t="str">
        <f t="shared" si="197"/>
        <v/>
      </c>
      <c r="AW2008" s="234"/>
      <c r="BP2008" s="11"/>
      <c r="BQ2008" s="11"/>
      <c r="BR2008" s="235"/>
      <c r="BV2008" s="158"/>
      <c r="BY2008" s="158"/>
      <c r="CB2008" s="158"/>
    </row>
    <row r="2009" ht="18.0" hidden="1" customHeight="1">
      <c r="A2009" s="222">
        <f>IFERROR(__xludf.DUMMYFUNCTION("""COMPUTED_VALUE"""),2026.0)</f>
        <v>2026</v>
      </c>
      <c r="B2009" s="221">
        <f>IFERROR(__xludf.DUMMYFUNCTION("""COMPUTED_VALUE"""),1.1503698E7)</f>
        <v>11503698</v>
      </c>
      <c r="C2009" s="222" t="str">
        <f>IFERROR(__xludf.DUMMYFUNCTION("""COMPUTED_VALUE"""),"SMS P3I1 PT4 LLG FXX BULANG TENGAH CECAR")</f>
        <v>SMS P3I1 PT4 LLG FXX BULANG TENGAH CECAR</v>
      </c>
      <c r="D2009" s="222" t="str">
        <f>IFERROR(__xludf.DUMMYFUNCTION("""COMPUTED_VALUE"""),"REGIONAL I")</f>
        <v>REGIONAL I</v>
      </c>
      <c r="E2009" s="222" t="str">
        <f>IFERROR(__xludf.DUMMYFUNCTION("""COMPUTED_VALUE"""),"SUMSEL")</f>
        <v>SUMSEL</v>
      </c>
      <c r="F2009" s="222" t="str">
        <f>IFERROR(__xludf.DUMMYFUNCTION("""COMPUTED_VALUE"""),"LLG")</f>
        <v>LLG</v>
      </c>
      <c r="G2009" s="222" t="str">
        <f>IFERROR(__xludf.DUMMYFUNCTION("""COMPUTED_VALUE"""),"SUMBAGSEL")</f>
        <v>SUMBAGSEL</v>
      </c>
      <c r="H2009" s="222" t="str">
        <f>IFERROR(__xludf.DUMMYFUNCTION("""COMPUTED_VALUE"""),"BENGKULU")</f>
        <v>BENGKULU</v>
      </c>
      <c r="I2009" s="222" t="str">
        <f>IFERROR(__xludf.DUMMYFUNCTION("""COMPUTED_VALUE"""),"Batch 2")</f>
        <v>Batch 2</v>
      </c>
      <c r="J2009" s="225">
        <f>IFERROR(__xludf.DUMMYFUNCTION("""COMPUTED_VALUE"""),27.0)</f>
        <v>27</v>
      </c>
      <c r="K2009" s="224">
        <f>IFERROR(__xludf.DUMMYFUNCTION("""COMPUTED_VALUE"""),208.0)</f>
        <v>208</v>
      </c>
      <c r="L2009" s="226">
        <f>IFERROR(__xludf.DUMMYFUNCTION("""COMPUTED_VALUE"""),1519594.0)</f>
        <v>1519594</v>
      </c>
      <c r="M2009" s="227">
        <f>IFERROR(__xludf.DUMMYFUNCTION("""COMPUTED_VALUE"""),3.16075535E8)</f>
        <v>316075535</v>
      </c>
      <c r="N2009" s="222" t="str">
        <f>IFERROR(__xludf.DUMMYFUNCTION("""COMPUTED_VALUE"""),"PT GITA PRIMA TAMBA PERKASA")</f>
        <v>PT GITA PRIMA TAMBA PERKASA</v>
      </c>
      <c r="O2009" s="222" t="str">
        <f>IFERROR(__xludf.DUMMYFUNCTION("""COMPUTED_VALUE"""),"2. DONE AANWIJZING")</f>
        <v>2. DONE AANWIJZING</v>
      </c>
      <c r="P2009" s="222" t="str">
        <f>IFERROR(__xludf.DUMMYFUNCTION("""COMPUTED_VALUE"""),"2.10 Kendala - Feeder Rusak")</f>
        <v>2.10 Kendala - Feeder Rusak</v>
      </c>
      <c r="Q2009" s="222" t="str">
        <f>IFERROR(__xludf.DUMMYFUNCTION("""COMPUTED_VALUE"""),"25/04 : Survei ulang terkait perizinan // 13/04 : masih Pencariam Uplink Mini olt  09/04 Resdesign  Menunggu evaluasi  08/04 Done Aanwidzing Menunggu evaluasi 31/03 PERGANTIAN MITRA DARI HANSUNG KE GPTP, 25/03 masih mencari core UPlink - belum ada info, 0"&amp;"9/03 masih mencari core UPlink - belum ada info, 08/03 KOORDINASI DG MITRA TERKAIT LOP INI YG MASUK KE BENGKULU, 03/03 masih mencari core UPlink - belum ada info, 27/02masih mencari core UPlink, 24/02masih mencari core UPlink 22/2 masih mencari core UPlin"&amp;"k 06/02 HASIL REVIEW TSEL BLM ADA KEPUTUSAN, 15/01 done aanwizjing 2025, mau berkoordinasi dg tif untuk lanjut tidak nya lokasi ini 31/1 update dikirim mitra 2 FEB, tim OGP cek ke lokasi 29/01 Mini OLT Not Ready perlu dipastikan ketersediaan uplink untuk "&amp;"request mini OLT, (24/1) menungggu kepastian core untuk UPlink , plan 26 Jan (21/01) done aanwizjing, menunggu kelanjutan dri TIF untuk lanjut pekerjaan ini, karena CSF dan masuk ke ruas pu nasional(12/01) menunggu kelanjutan dri TIF untuk lanjut pekerjaa"&amp;"n ini, karena CSF dan masuk ke ruas pu nasional, (07/01) Persiapan (06/01)order JPP batch-2 2026 (04/11 hold (butuh mini olt) 5/10 aanwizjing done, pembuatan data update lapangan
 08/10 menunggu jadwal aanwizjing
 (01/10) menunggu jadwal aanwijzing
 14/01"&amp;" sudah penunjukan mitra oleh procurement\")</f>
        <v>25/04 : Survei ulang terkait perizinan // 13/04 : masih Pencariam Uplink Mini olt  09/04 Resdesign  Menunggu evaluasi  08/04 Done Aanwidzing Menunggu evaluasi 31/03 PERGANTIAN MITRA DARI HANSUNG KE GPTP, 25/03 masih mencari core UPlink - belum ada info, 09/03 masih mencari core UPlink - belum ada info, 08/03 KOORDINASI DG MITRA TERKAIT LOP INI YG MASUK KE BENGKULU, 03/03 masih mencari core UPlink - belum ada info, 27/02masih mencari core UPlink, 24/02masih mencari core UPlink 22/2 masih mencari core UPlink 06/02 HASIL REVIEW TSEL BLM ADA KEPUTUSAN, 15/01 done aanwizjing 2025, mau berkoordinasi dg tif untuk lanjut tidak nya lokasi ini 31/1 update dikirim mitra 2 FEB, tim OGP cek ke lokasi 29/01 Mini OLT Not Ready perlu dipastikan ketersediaan uplink untuk request mini OLT, (24/1) menungggu kepastian core untuk UPlink , plan 26 Jan (21/01) done aanwizjing, menunggu kelanjutan dri TIF untuk lanjut pekerjaan ini, karena CSF dan masuk ke ruas pu nasional(12/01) menunggu kelanjutan dri TIF untuk lanjut pekerjaan ini, karena CSF dan masuk ke ruas pu nasional, (07/01) Persiapan (06/01)order JPP batch-2 2026 (04/11 hold (butuh mini olt) 5/10 aanwizjing done, pembuatan data update lapangan
 08/10 menunggu jadwal aanwizjing
 (01/10) menunggu jadwal aanwijzing
 14/01 sudah penunjukan mitra oleh procurement\</v>
      </c>
      <c r="R2009" s="228"/>
      <c r="S2009" s="11"/>
      <c r="T2009" s="11"/>
      <c r="U2009" s="11"/>
      <c r="V2009" s="229" t="str">
        <f>IFERROR(__xludf.DUMMYFUNCTION("""COMPUTED_VALUE"""),"PUTRA")</f>
        <v>PUTRA</v>
      </c>
      <c r="W2009" s="229"/>
      <c r="X2009" s="229" t="str">
        <f>IFERROR(__xludf.DUMMYFUNCTION("""COMPUTED_VALUE"""),"BELUM GOLIVE")</f>
        <v>BELUM GOLIVE</v>
      </c>
      <c r="Y2009" s="229" t="str">
        <f>IFERROR(__xludf.DUMMYFUNCTION("""COMPUTED_VALUE"""),"PORT OLT Penuh")</f>
        <v>PORT OLT Penuh</v>
      </c>
      <c r="Z2009" s="229"/>
      <c r="AA2009" s="229"/>
      <c r="AB2009" s="229"/>
      <c r="AC2009" s="229"/>
      <c r="AD2009" s="232"/>
      <c r="AE2009" s="233"/>
      <c r="AF2009" s="54"/>
      <c r="AG2009" s="54"/>
      <c r="AH2009" s="54"/>
      <c r="AI2009" s="55" t="str">
        <f t="shared" si="197"/>
        <v/>
      </c>
      <c r="AW2009" s="234"/>
      <c r="BP2009" s="11"/>
      <c r="BQ2009" s="11"/>
      <c r="BR2009" s="235"/>
      <c r="BV2009" s="158"/>
      <c r="BY2009" s="158"/>
      <c r="CB2009" s="158"/>
    </row>
    <row r="2010" ht="18.0" hidden="1" customHeight="1">
      <c r="A2010" s="222">
        <f>IFERROR(__xludf.DUMMYFUNCTION("""COMPUTED_VALUE"""),2026.0)</f>
        <v>2026</v>
      </c>
      <c r="B2010" s="221">
        <f>IFERROR(__xludf.DUMMYFUNCTION("""COMPUTED_VALUE"""),1.1271897E7)</f>
        <v>11271897</v>
      </c>
      <c r="C2010" s="222" t="str">
        <f>IFERROR(__xludf.DUMMYFUNCTION("""COMPUTED_VALUE"""),"MDN PT3 P1I1 DLT-FG GG.PERMATA II")</f>
        <v>MDN PT3 P1I1 DLT-FG GG.PERMATA II</v>
      </c>
      <c r="D2010" s="222" t="str">
        <f>IFERROR(__xludf.DUMMYFUNCTION("""COMPUTED_VALUE"""),"REGIONAL I")</f>
        <v>REGIONAL I</v>
      </c>
      <c r="E2010" s="222" t="str">
        <f>IFERROR(__xludf.DUMMYFUNCTION("""COMPUTED_VALUE"""),"MEDAN")</f>
        <v>MEDAN</v>
      </c>
      <c r="F2010" s="222" t="str">
        <f>IFERROR(__xludf.DUMMYFUNCTION("""COMPUTED_VALUE"""),"DLT")</f>
        <v>DLT</v>
      </c>
      <c r="G2010" s="222" t="str">
        <f>IFERROR(__xludf.DUMMYFUNCTION("""COMPUTED_VALUE"""),"SUMBAGUT")</f>
        <v>SUMBAGUT</v>
      </c>
      <c r="H2010" s="222" t="str">
        <f>IFERROR(__xludf.DUMMYFUNCTION("""COMPUTED_VALUE"""),"MEDAN")</f>
        <v>MEDAN</v>
      </c>
      <c r="I2010" s="222" t="str">
        <f>IFERROR(__xludf.DUMMYFUNCTION("""COMPUTED_VALUE"""),"Batch 2")</f>
        <v>Batch 2</v>
      </c>
      <c r="J2010" s="225">
        <f>IFERROR(__xludf.DUMMYFUNCTION("""COMPUTED_VALUE"""),2.0)</f>
        <v>2</v>
      </c>
      <c r="K2010" s="224">
        <f>IFERROR(__xludf.DUMMYFUNCTION("""COMPUTED_VALUE"""),16.0)</f>
        <v>16</v>
      </c>
      <c r="L2010" s="226">
        <f>IFERROR(__xludf.DUMMYFUNCTION("""COMPUTED_VALUE"""),1171993.0)</f>
        <v>1171993</v>
      </c>
      <c r="M2010" s="227">
        <f>IFERROR(__xludf.DUMMYFUNCTION("""COMPUTED_VALUE"""),1.8751881E7)</f>
        <v>18751881</v>
      </c>
      <c r="N2010" s="222" t="str">
        <f>IFERROR(__xludf.DUMMYFUNCTION("""COMPUTED_VALUE"""),"PT SALTTEK DUMPANG JAYA")</f>
        <v>PT SALTTEK DUMPANG JAYA</v>
      </c>
      <c r="O2010" s="222" t="str">
        <f>IFERROR(__xludf.DUMMYFUNCTION("""COMPUTED_VALUE"""),"0. DROP")</f>
        <v>0. DROP</v>
      </c>
      <c r="P2010" s="222" t="str">
        <f>IFERROR(__xludf.DUMMYFUNCTION("""COMPUTED_VALUE"""),"0.2 Tidak Dapat Izin Warga/Kades/Lurah/Developer")</f>
        <v>0.2 Tidak Dapat Izin Warga/Kades/Lurah/Developer</v>
      </c>
      <c r="Q2010" s="222" t="str">
        <f>IFERROR(__xludf.DUMMYFUNCTION("""COMPUTED_VALUE"""),"05/02 Kades angkat tangan perihal perizinan")</f>
        <v>05/02 Kades angkat tangan perihal perizinan</v>
      </c>
      <c r="R2010" s="228"/>
      <c r="S2010" s="11"/>
      <c r="T2010" s="11"/>
      <c r="U2010" s="11"/>
      <c r="V2010" s="229"/>
      <c r="W2010" s="229"/>
      <c r="X2010" s="229" t="str">
        <f>IFERROR(__xludf.DUMMYFUNCTION("""COMPUTED_VALUE"""),"BELUM GOLIVE")</f>
        <v>BELUM GOLIVE</v>
      </c>
      <c r="Y2010" s="229"/>
      <c r="Z2010" s="229" t="str">
        <f>IFERROR(__xludf.DUMMYFUNCTION("""COMPUTED_VALUE"""),"#N/A")</f>
        <v>#N/A</v>
      </c>
      <c r="AA2010" s="229"/>
      <c r="AB2010" s="229"/>
      <c r="AC2010" s="229"/>
      <c r="AD2010" s="232"/>
      <c r="AE2010" s="233"/>
      <c r="AF2010" s="54" t="str">
        <f>IFERROR(__xludf.DUMMYFUNCTION("""COMPUTED_VALUE"""),"Draft BA DROP")</f>
        <v>Draft BA DROP</v>
      </c>
      <c r="AG2010" s="54"/>
      <c r="AH2010" s="54"/>
      <c r="AI2010" s="55" t="str">
        <f t="shared" si="197"/>
        <v/>
      </c>
      <c r="AW2010" s="234"/>
      <c r="BP2010" s="11"/>
      <c r="BQ2010" s="11"/>
      <c r="BR2010" s="235"/>
      <c r="BV2010" s="158"/>
      <c r="BY2010" s="158"/>
      <c r="CB2010" s="158"/>
    </row>
    <row r="2011" ht="18.0" hidden="1" customHeight="1">
      <c r="A2011" s="222">
        <f>IFERROR(__xludf.DUMMYFUNCTION("""COMPUTED_VALUE"""),2026.0)</f>
        <v>2026</v>
      </c>
      <c r="B2011" s="221">
        <f>IFERROR(__xludf.DUMMYFUNCTION("""COMPUTED_VALUE"""),1.1272035E7)</f>
        <v>11272035</v>
      </c>
      <c r="C2011" s="222" t="str">
        <f>IFERROR(__xludf.DUMMYFUNCTION("""COMPUTED_VALUE"""),"MDN PT3 P1I1 DLT-FA JL.DAME")</f>
        <v>MDN PT3 P1I1 DLT-FA JL.DAME</v>
      </c>
      <c r="D2011" s="222" t="str">
        <f>IFERROR(__xludf.DUMMYFUNCTION("""COMPUTED_VALUE"""),"REGIONAL I")</f>
        <v>REGIONAL I</v>
      </c>
      <c r="E2011" s="222" t="str">
        <f>IFERROR(__xludf.DUMMYFUNCTION("""COMPUTED_VALUE"""),"MEDAN")</f>
        <v>MEDAN</v>
      </c>
      <c r="F2011" s="222" t="str">
        <f>IFERROR(__xludf.DUMMYFUNCTION("""COMPUTED_VALUE"""),"DLT")</f>
        <v>DLT</v>
      </c>
      <c r="G2011" s="222" t="str">
        <f>IFERROR(__xludf.DUMMYFUNCTION("""COMPUTED_VALUE"""),"SUMBAGUT")</f>
        <v>SUMBAGUT</v>
      </c>
      <c r="H2011" s="222" t="str">
        <f>IFERROR(__xludf.DUMMYFUNCTION("""COMPUTED_VALUE"""),"MEDAN")</f>
        <v>MEDAN</v>
      </c>
      <c r="I2011" s="222" t="str">
        <f>IFERROR(__xludf.DUMMYFUNCTION("""COMPUTED_VALUE"""),"Batch 2")</f>
        <v>Batch 2</v>
      </c>
      <c r="J2011" s="225">
        <f>IFERROR(__xludf.DUMMYFUNCTION("""COMPUTED_VALUE"""),7.0)</f>
        <v>7</v>
      </c>
      <c r="K2011" s="224">
        <f>IFERROR(__xludf.DUMMYFUNCTION("""COMPUTED_VALUE"""),56.0)</f>
        <v>56</v>
      </c>
      <c r="L2011" s="226">
        <f>IFERROR(__xludf.DUMMYFUNCTION("""COMPUTED_VALUE"""),1078551.0)</f>
        <v>1078551</v>
      </c>
      <c r="M2011" s="227">
        <f>IFERROR(__xludf.DUMMYFUNCTION("""COMPUTED_VALUE"""),6.0398809E7)</f>
        <v>60398809</v>
      </c>
      <c r="N2011" s="222" t="str">
        <f>IFERROR(__xludf.DUMMYFUNCTION("""COMPUTED_VALUE"""),"PT SALTTEK DUMPANG JAYA")</f>
        <v>PT SALTTEK DUMPANG JAYA</v>
      </c>
      <c r="O2011" s="222" t="str">
        <f>IFERROR(__xludf.DUMMYFUNCTION("""COMPUTED_VALUE"""),"0. DROP")</f>
        <v>0. DROP</v>
      </c>
      <c r="P2011" s="222" t="str">
        <f>IFERROR(__xludf.DUMMYFUNCTION("""COMPUTED_VALUE"""),"0.3 Feeder Full")</f>
        <v>0.3 Feeder Full</v>
      </c>
      <c r="Q2011" s="222" t="str">
        <f>IFERROR(__xludf.DUMMYFUNCTION("""COMPUTED_VALUE"""),"11/11 Feeder Penuh , Perlu Redesign
(24/09) Perizinan Warga dan Kades / Lurah
(23/09) Perizinan Warga dan Kades / Lurah
15/09 proses aanwijzing")</f>
        <v>11/11 Feeder Penuh , Perlu Redesign
(24/09) Perizinan Warga dan Kades / Lurah
(23/09) Perizinan Warga dan Kades / Lurah
15/09 proses aanwijzing</v>
      </c>
      <c r="R2011" s="228"/>
      <c r="S2011" s="11"/>
      <c r="T2011" s="11"/>
      <c r="U2011" s="11"/>
      <c r="V2011" s="229"/>
      <c r="W2011" s="229"/>
      <c r="X2011" s="229" t="str">
        <f>IFERROR(__xludf.DUMMYFUNCTION("""COMPUTED_VALUE"""),"BELUM GOLIVE")</f>
        <v>BELUM GOLIVE</v>
      </c>
      <c r="Y2011" s="229"/>
      <c r="Z2011" s="229" t="str">
        <f>IFERROR(__xludf.DUMMYFUNCTION("""COMPUTED_VALUE"""),"#N/A")</f>
        <v>#N/A</v>
      </c>
      <c r="AA2011" s="229"/>
      <c r="AB2011" s="229"/>
      <c r="AC2011" s="229"/>
      <c r="AD2011" s="232"/>
      <c r="AE2011" s="233"/>
      <c r="AF2011" s="54"/>
      <c r="AG2011" s="54"/>
      <c r="AH2011" s="54"/>
      <c r="AI2011" s="55" t="str">
        <f t="shared" si="197"/>
        <v/>
      </c>
      <c r="AW2011" s="234"/>
      <c r="BP2011" s="11"/>
      <c r="BQ2011" s="11"/>
      <c r="BR2011" s="235"/>
      <c r="BV2011" s="158"/>
      <c r="BY2011" s="158"/>
      <c r="CB2011" s="158"/>
    </row>
    <row r="2012" ht="18.0" hidden="1" customHeight="1">
      <c r="A2012" s="222">
        <f>IFERROR(__xludf.DUMMYFUNCTION("""COMPUTED_VALUE"""),2026.0)</f>
        <v>2026</v>
      </c>
      <c r="B2012" s="221">
        <f>IFERROR(__xludf.DUMMYFUNCTION("""COMPUTED_VALUE"""),1.1164852E7)</f>
        <v>11164852</v>
      </c>
      <c r="C2012" s="222" t="str">
        <f>IFERROR(__xludf.DUMMYFUNCTION("""COMPUTED_VALUE"""),"MDN PT3 P7I5 LBP-FF MASJID II LORONG I")</f>
        <v>MDN PT3 P7I5 LBP-FF MASJID II LORONG I</v>
      </c>
      <c r="D2012" s="222" t="str">
        <f>IFERROR(__xludf.DUMMYFUNCTION("""COMPUTED_VALUE"""),"REGIONAL I")</f>
        <v>REGIONAL I</v>
      </c>
      <c r="E2012" s="222" t="str">
        <f>IFERROR(__xludf.DUMMYFUNCTION("""COMPUTED_VALUE"""),"MEDAN")</f>
        <v>MEDAN</v>
      </c>
      <c r="F2012" s="222" t="str">
        <f>IFERROR(__xludf.DUMMYFUNCTION("""COMPUTED_VALUE"""),"LBP")</f>
        <v>LBP</v>
      </c>
      <c r="G2012" s="222" t="str">
        <f>IFERROR(__xludf.DUMMYFUNCTION("""COMPUTED_VALUE"""),"SUMBAGUT")</f>
        <v>SUMBAGUT</v>
      </c>
      <c r="H2012" s="222" t="str">
        <f>IFERROR(__xludf.DUMMYFUNCTION("""COMPUTED_VALUE"""),"MEDAN")</f>
        <v>MEDAN</v>
      </c>
      <c r="I2012" s="222" t="str">
        <f>IFERROR(__xludf.DUMMYFUNCTION("""COMPUTED_VALUE"""),"Batch 2")</f>
        <v>Batch 2</v>
      </c>
      <c r="J2012" s="225">
        <f>IFERROR(__xludf.DUMMYFUNCTION("""COMPUTED_VALUE"""),2.0)</f>
        <v>2</v>
      </c>
      <c r="K2012" s="224">
        <f>IFERROR(__xludf.DUMMYFUNCTION("""COMPUTED_VALUE"""),16.0)</f>
        <v>16</v>
      </c>
      <c r="L2012" s="226">
        <f>IFERROR(__xludf.DUMMYFUNCTION("""COMPUTED_VALUE"""),877157.0)</f>
        <v>877157</v>
      </c>
      <c r="M2012" s="227">
        <f>IFERROR(__xludf.DUMMYFUNCTION("""COMPUTED_VALUE"""),1.4034503E7)</f>
        <v>14034503</v>
      </c>
      <c r="N2012" s="222" t="str">
        <f>IFERROR(__xludf.DUMMYFUNCTION("""COMPUTED_VALUE"""),"SWAKELOLA")</f>
        <v>SWAKELOLA</v>
      </c>
      <c r="O2012" s="222" t="str">
        <f>IFERROR(__xludf.DUMMYFUNCTION("""COMPUTED_VALUE"""),"2. DONE AANWIJZING")</f>
        <v>2. DONE AANWIJZING</v>
      </c>
      <c r="P2012" s="222" t="str">
        <f>IFERROR(__xludf.DUMMYFUNCTION("""COMPUTED_VALUE"""),"2.9 Kendala - Distribusi Penuh / Rusak")</f>
        <v>2.9 Kendala - Distribusi Penuh / Rusak</v>
      </c>
      <c r="Q2012" s="222" t="str">
        <f>IFERROR(__xludf.DUMMYFUNCTION("""COMPUTED_VALUE"""),"20/04 pengecekan ulang hasil redisgn
11/04 pengecekan D04 full
10/04 take over ke swakelola dari mitra bsa
11/02 Menunggu apprv prelim MDN PT4 LBP-FF JL.MESJID I
(08/01) cpp tinggi, menunggu review Tsel, CPP TINGGI 1,6 jta (07/01) Persiapan")</f>
        <v>20/04 pengecekan ulang hasil redisgn
11/04 pengecekan D04 full
10/04 take over ke swakelola dari mitra bsa
11/02 Menunggu apprv prelim MDN PT4 LBP-FF JL.MESJID I
(08/01) cpp tinggi, menunggu review Tsel, CPP TINGGI 1,6 jta (07/01) Persiapan</v>
      </c>
      <c r="R2012" s="228"/>
      <c r="S2012" s="11"/>
      <c r="T2012" s="73"/>
      <c r="U2012" s="11"/>
      <c r="V2012" s="229" t="str">
        <f>IFERROR(__xludf.DUMMYFUNCTION("""COMPUTED_VALUE"""),"27/Apr/2026")</f>
        <v>27/Apr/2026</v>
      </c>
      <c r="W2012" s="229"/>
      <c r="X2012" s="229" t="str">
        <f>IFERROR(__xludf.DUMMYFUNCTION("""COMPUTED_VALUE"""),"BELUM GOLIVE")</f>
        <v>BELUM GOLIVE</v>
      </c>
      <c r="Y2012" s="229"/>
      <c r="Z2012" s="229" t="str">
        <f>IFERROR(__xludf.DUMMYFUNCTION("""COMPUTED_VALUE"""),"#N/A")</f>
        <v>#N/A</v>
      </c>
      <c r="AA2012" s="229"/>
      <c r="AB2012" s="229"/>
      <c r="AC2012" s="229"/>
      <c r="AD2012" s="232"/>
      <c r="AE2012" s="233"/>
      <c r="AF2012" s="54"/>
      <c r="AG2012" s="54"/>
      <c r="AH2012" s="54"/>
      <c r="AI2012" s="55" t="str">
        <f t="shared" si="197"/>
        <v/>
      </c>
      <c r="AW2012" s="234"/>
      <c r="BP2012" s="11"/>
      <c r="BQ2012" s="11"/>
      <c r="BR2012" s="235"/>
      <c r="BV2012" s="158"/>
      <c r="BY2012" s="158"/>
      <c r="CB2012" s="158"/>
    </row>
    <row r="2013" ht="18.0" customHeight="1">
      <c r="A2013" s="222">
        <f>IFERROR(__xludf.DUMMYFUNCTION("""COMPUTED_VALUE"""),2026.0)</f>
        <v>2026</v>
      </c>
      <c r="B2013" s="221">
        <f>IFERROR(__xludf.DUMMYFUNCTION("""COMPUTED_VALUE"""),1.1435547E7)</f>
        <v>11435547</v>
      </c>
      <c r="C2013" s="222" t="str">
        <f>IFERROR(__xludf.DUMMYFUNCTION("""COMPUTED_VALUE"""),"SMB MD - TANAH DATAR_11678 - 11377")</f>
        <v>SMB MD - TANAH DATAR_11678 - 11377</v>
      </c>
      <c r="D2013" s="222" t="str">
        <f>IFERROR(__xludf.DUMMYFUNCTION("""COMPUTED_VALUE"""),"REGIONAL I")</f>
        <v>REGIONAL I</v>
      </c>
      <c r="E2013" s="222" t="str">
        <f>IFERROR(__xludf.DUMMYFUNCTION("""COMPUTED_VALUE"""),"SUMBAR")</f>
        <v>SUMBAR</v>
      </c>
      <c r="F2013" s="222" t="str">
        <f>IFERROR(__xludf.DUMMYFUNCTION("""COMPUTED_VALUE"""),"SIR")</f>
        <v>SIR</v>
      </c>
      <c r="G2013" s="222" t="str">
        <f>IFERROR(__xludf.DUMMYFUNCTION("""COMPUTED_VALUE"""),"SUMBAGTENG")</f>
        <v>SUMBAGTENG</v>
      </c>
      <c r="H2013" s="222" t="str">
        <f>IFERROR(__xludf.DUMMYFUNCTION("""COMPUTED_VALUE"""),"BUKIT TINGGI")</f>
        <v>BUKIT TINGGI</v>
      </c>
      <c r="I2013" s="222" t="str">
        <f>IFERROR(__xludf.DUMMYFUNCTION("""COMPUTED_VALUE"""),"Batch 2")</f>
        <v>Batch 2</v>
      </c>
      <c r="J2013" s="225">
        <f>IFERROR(__xludf.DUMMYFUNCTION("""COMPUTED_VALUE"""),5.0)</f>
        <v>5</v>
      </c>
      <c r="K2013" s="224">
        <f>IFERROR(__xludf.DUMMYFUNCTION("""COMPUTED_VALUE"""),40.0)</f>
        <v>40</v>
      </c>
      <c r="L2013" s="226">
        <f>IFERROR(__xludf.DUMMYFUNCTION("""COMPUTED_VALUE"""),1519619.0)</f>
        <v>1519619</v>
      </c>
      <c r="M2013" s="227">
        <f>IFERROR(__xludf.DUMMYFUNCTION("""COMPUTED_VALUE"""),6.0784757E7)</f>
        <v>60784757</v>
      </c>
      <c r="N2013" s="222" t="str">
        <f>IFERROR(__xludf.DUMMYFUNCTION("""COMPUTED_VALUE"""),"PT TSUIKA BERKAH RAYA")</f>
        <v>PT TSUIKA BERKAH RAYA</v>
      </c>
      <c r="O2013" s="222" t="str">
        <f>IFERROR(__xludf.DUMMYFUNCTION("""COMPUTED_VALUE"""),"0. DROP")</f>
        <v>0. DROP</v>
      </c>
      <c r="P2013" s="222" t="str">
        <f>IFERROR(__xludf.DUMMYFUNCTION("""COMPUTED_VALUE"""),"0.3 Feeder Full")</f>
        <v>0.3 Feeder Full</v>
      </c>
      <c r="Q2013" s="222" t="str">
        <f>IFERROR(__xludf.DUMMYFUNCTION("""COMPUTED_VALUE"""),"(04/02) Kendala feeder SIR-FA FULL, Solusi new feeder (27/01) cpp tinggi, menunggu review Tsel. CPP TINGGI 1,6 jta")</f>
        <v>(04/02) Kendala feeder SIR-FA FULL, Solusi new feeder (27/01) cpp tinggi, menunggu review Tsel. CPP TINGGI 1,6 jta</v>
      </c>
      <c r="R2013" s="228"/>
      <c r="S2013" s="11"/>
      <c r="T2013" s="11"/>
      <c r="U2013" s="11"/>
      <c r="V2013" s="229"/>
      <c r="W2013" s="229"/>
      <c r="X2013" s="229" t="str">
        <f>IFERROR(__xludf.DUMMYFUNCTION("""COMPUTED_VALUE"""),"BELUM GOLIVE")</f>
        <v>BELUM GOLIVE</v>
      </c>
      <c r="Y2013" s="229"/>
      <c r="Z2013" s="229" t="str">
        <f>IFERROR(__xludf.DUMMYFUNCTION("""COMPUTED_VALUE"""),"#N/A")</f>
        <v>#N/A</v>
      </c>
      <c r="AA2013" s="229"/>
      <c r="AB2013" s="229"/>
      <c r="AC2013" s="229"/>
      <c r="AD2013" s="232"/>
      <c r="AE2013" s="233"/>
      <c r="AF2013" s="54" t="str">
        <f>IFERROR(__xludf.DUMMYFUNCTION("""COMPUTED_VALUE"""),"Draft BA DROP")</f>
        <v>Draft BA DROP</v>
      </c>
      <c r="AG2013" s="54"/>
      <c r="AH2013" s="54"/>
      <c r="AI2013" s="55" t="str">
        <f t="shared" si="197"/>
        <v/>
      </c>
      <c r="AW2013" s="234"/>
      <c r="BP2013" s="11"/>
      <c r="BQ2013" s="11"/>
      <c r="BR2013" s="235"/>
      <c r="BV2013" s="158"/>
      <c r="BY2013" s="158"/>
      <c r="CB2013" s="158"/>
    </row>
    <row r="2014" ht="18.0" hidden="1" customHeight="1">
      <c r="A2014" s="222">
        <f>IFERROR(__xludf.DUMMYFUNCTION("""COMPUTED_VALUE"""),2026.0)</f>
        <v>2026</v>
      </c>
      <c r="B2014" s="221">
        <f>IFERROR(__xludf.DUMMYFUNCTION("""COMPUTED_VALUE"""),1.1272458E7)</f>
        <v>11272458</v>
      </c>
      <c r="C2014" s="222" t="str">
        <f>IFERROR(__xludf.DUMMYFUNCTION("""COMPUTED_VALUE"""),"MDN PT3 P1I1 TMU-FK JL.DATUK KABU")</f>
        <v>MDN PT3 P1I1 TMU-FK JL.DATUK KABU</v>
      </c>
      <c r="D2014" s="222" t="str">
        <f>IFERROR(__xludf.DUMMYFUNCTION("""COMPUTED_VALUE"""),"REGIONAL I")</f>
        <v>REGIONAL I</v>
      </c>
      <c r="E2014" s="222" t="str">
        <f>IFERROR(__xludf.DUMMYFUNCTION("""COMPUTED_VALUE"""),"MEDAN")</f>
        <v>MEDAN</v>
      </c>
      <c r="F2014" s="222" t="str">
        <f>IFERROR(__xludf.DUMMYFUNCTION("""COMPUTED_VALUE"""),"TMU")</f>
        <v>TMU</v>
      </c>
      <c r="G2014" s="222" t="str">
        <f>IFERROR(__xludf.DUMMYFUNCTION("""COMPUTED_VALUE"""),"SUMBAGUT")</f>
        <v>SUMBAGUT</v>
      </c>
      <c r="H2014" s="222" t="str">
        <f>IFERROR(__xludf.DUMMYFUNCTION("""COMPUTED_VALUE"""),"MEDAN")</f>
        <v>MEDAN</v>
      </c>
      <c r="I2014" s="222" t="str">
        <f>IFERROR(__xludf.DUMMYFUNCTION("""COMPUTED_VALUE"""),"Batch 2")</f>
        <v>Batch 2</v>
      </c>
      <c r="J2014" s="225">
        <f>IFERROR(__xludf.DUMMYFUNCTION("""COMPUTED_VALUE"""),2.0)</f>
        <v>2</v>
      </c>
      <c r="K2014" s="224">
        <f>IFERROR(__xludf.DUMMYFUNCTION("""COMPUTED_VALUE"""),16.0)</f>
        <v>16</v>
      </c>
      <c r="L2014" s="226">
        <f>IFERROR(__xludf.DUMMYFUNCTION("""COMPUTED_VALUE"""),892998.0)</f>
        <v>892998</v>
      </c>
      <c r="M2014" s="227">
        <f>IFERROR(__xludf.DUMMYFUNCTION("""COMPUTED_VALUE"""),1.4287967E7)</f>
        <v>14287967</v>
      </c>
      <c r="N2014" s="222" t="str">
        <f>IFERROR(__xludf.DUMMYFUNCTION("""COMPUTED_VALUE"""),"SWAKELOLA")</f>
        <v>SWAKELOLA</v>
      </c>
      <c r="O2014" s="222" t="str">
        <f>IFERROR(__xludf.DUMMYFUNCTION("""COMPUTED_VALUE"""),"2. DONE AANWIJZING")</f>
        <v>2. DONE AANWIJZING</v>
      </c>
      <c r="P2014" s="222" t="str">
        <f>IFERROR(__xludf.DUMMYFUNCTION("""COMPUTED_VALUE"""),"2.10 Kendala - Feeder Rusak")</f>
        <v>2.10 Kendala - Feeder Rusak</v>
      </c>
      <c r="Q2014" s="222" t="str">
        <f>IFERROR(__xludf.DUMMYFUNCTION("""COMPUTED_VALUE"""),"21/04 pengecekan tipus / butuh qe
(07/01) Persiapan")</f>
        <v>21/04 pengecekan tipus / butuh qe
(07/01) Persiapan</v>
      </c>
      <c r="R2014" s="228"/>
      <c r="S2014" s="11"/>
      <c r="T2014" s="11"/>
      <c r="U2014" s="11"/>
      <c r="V2014" s="229"/>
      <c r="W2014" s="229"/>
      <c r="X2014" s="229" t="str">
        <f>IFERROR(__xludf.DUMMYFUNCTION("""COMPUTED_VALUE"""),"BELUM GOLIVE")</f>
        <v>BELUM GOLIVE</v>
      </c>
      <c r="Y2014" s="229"/>
      <c r="Z2014" s="229" t="str">
        <f>IFERROR(__xludf.DUMMYFUNCTION("""COMPUTED_VALUE"""),"#N/A")</f>
        <v>#N/A</v>
      </c>
      <c r="AA2014" s="229"/>
      <c r="AB2014" s="229"/>
      <c r="AC2014" s="229"/>
      <c r="AD2014" s="232"/>
      <c r="AE2014" s="233"/>
      <c r="AF2014" s="54"/>
      <c r="AG2014" s="54"/>
      <c r="AH2014" s="54"/>
      <c r="AI2014" s="55" t="str">
        <f t="shared" si="197"/>
        <v/>
      </c>
      <c r="AW2014" s="234"/>
      <c r="BP2014" s="11"/>
      <c r="BQ2014" s="11"/>
      <c r="BR2014" s="235"/>
      <c r="BV2014" s="158"/>
      <c r="BY2014" s="158"/>
      <c r="CB2014" s="158"/>
    </row>
    <row r="2015" ht="18.0" hidden="1" customHeight="1">
      <c r="A2015" s="222">
        <f>IFERROR(__xludf.DUMMYFUNCTION("""COMPUTED_VALUE"""),2026.0)</f>
        <v>2026</v>
      </c>
      <c r="B2015" s="221">
        <f>IFERROR(__xludf.DUMMYFUNCTION("""COMPUTED_VALUE"""),1.1241827E7)</f>
        <v>11241827</v>
      </c>
      <c r="C2015" s="222" t="str">
        <f>IFERROR(__xludf.DUMMYFUNCTION("""COMPUTED_VALUE"""),"MDN PT3 P1I1 TTG-FBF DISTRIK M")</f>
        <v>MDN PT3 P1I1 TTG-FBF DISTRIK M</v>
      </c>
      <c r="D2015" s="222" t="str">
        <f>IFERROR(__xludf.DUMMYFUNCTION("""COMPUTED_VALUE"""),"REGIONAL I")</f>
        <v>REGIONAL I</v>
      </c>
      <c r="E2015" s="222" t="str">
        <f>IFERROR(__xludf.DUMMYFUNCTION("""COMPUTED_VALUE"""),"MEDAN")</f>
        <v>MEDAN</v>
      </c>
      <c r="F2015" s="222" t="str">
        <f>IFERROR(__xludf.DUMMYFUNCTION("""COMPUTED_VALUE"""),"TTG")</f>
        <v>TTG</v>
      </c>
      <c r="G2015" s="222" t="str">
        <f>IFERROR(__xludf.DUMMYFUNCTION("""COMPUTED_VALUE"""),"SUMBAGUT")</f>
        <v>SUMBAGUT</v>
      </c>
      <c r="H2015" s="222" t="str">
        <f>IFERROR(__xludf.DUMMYFUNCTION("""COMPUTED_VALUE"""),"MEDAN")</f>
        <v>MEDAN</v>
      </c>
      <c r="I2015" s="222" t="str">
        <f>IFERROR(__xludf.DUMMYFUNCTION("""COMPUTED_VALUE"""),"Batch 2")</f>
        <v>Batch 2</v>
      </c>
      <c r="J2015" s="225">
        <f>IFERROR(__xludf.DUMMYFUNCTION("""COMPUTED_VALUE"""),3.0)</f>
        <v>3</v>
      </c>
      <c r="K2015" s="224">
        <f>IFERROR(__xludf.DUMMYFUNCTION("""COMPUTED_VALUE"""),24.0)</f>
        <v>24</v>
      </c>
      <c r="L2015" s="226">
        <f>IFERROR(__xludf.DUMMYFUNCTION("""COMPUTED_VALUE"""),1141548.0)</f>
        <v>1141548</v>
      </c>
      <c r="M2015" s="227">
        <f>IFERROR(__xludf.DUMMYFUNCTION("""COMPUTED_VALUE"""),2.7397149E7)</f>
        <v>27397149</v>
      </c>
      <c r="N2015" s="222" t="str">
        <f>IFERROR(__xludf.DUMMYFUNCTION("""COMPUTED_VALUE"""),"PT PRIMA INDO SENTOSA")</f>
        <v>PT PRIMA INDO SENTOSA</v>
      </c>
      <c r="O2015" s="222" t="str">
        <f>IFERROR(__xludf.DUMMYFUNCTION("""COMPUTED_VALUE"""),"1. AANWIJZING")</f>
        <v>1. AANWIJZING</v>
      </c>
      <c r="P2015" s="222" t="str">
        <f>IFERROR(__xludf.DUMMYFUNCTION("""COMPUTED_VALUE"""),"1.6 Ongoing Aanwidjzing")</f>
        <v>1.6 Ongoing Aanwidjzing</v>
      </c>
      <c r="Q2015" s="222" t="str">
        <f>IFERROR(__xludf.DUMMYFUNCTION("""COMPUTED_VALUE"""),"20/04 pengecekan core distribusi 09/04 core idle distribusi tidak ada yang tembus
16/09 Menunggu perizinan")</f>
        <v>20/04 pengecekan core distribusi 09/04 core idle distribusi tidak ada yang tembus
16/09 Menunggu perizinan</v>
      </c>
      <c r="R2015" s="228"/>
      <c r="S2015" s="11"/>
      <c r="T2015" s="73"/>
      <c r="U2015" s="11"/>
      <c r="V2015" s="229" t="str">
        <f>IFERROR(__xludf.DUMMYFUNCTION("""COMPUTED_VALUE"""),"27/Apr/2026")</f>
        <v>27/Apr/2026</v>
      </c>
      <c r="W2015" s="229"/>
      <c r="X2015" s="229" t="str">
        <f>IFERROR(__xludf.DUMMYFUNCTION("""COMPUTED_VALUE"""),"BELUM GOLIVE")</f>
        <v>BELUM GOLIVE</v>
      </c>
      <c r="Y2015" s="229"/>
      <c r="Z2015" s="229" t="str">
        <f>IFERROR(__xludf.DUMMYFUNCTION("""COMPUTED_VALUE"""),"#N/A")</f>
        <v>#N/A</v>
      </c>
      <c r="AA2015" s="229"/>
      <c r="AB2015" s="229"/>
      <c r="AC2015" s="229"/>
      <c r="AD2015" s="232"/>
      <c r="AE2015" s="233"/>
      <c r="AF2015" s="54"/>
      <c r="AG2015" s="54"/>
      <c r="AH2015" s="54"/>
      <c r="AI2015" s="55" t="str">
        <f t="shared" si="197"/>
        <v/>
      </c>
      <c r="AW2015" s="234"/>
      <c r="BP2015" s="11"/>
      <c r="BQ2015" s="11"/>
      <c r="BR2015" s="235"/>
      <c r="BV2015" s="158"/>
      <c r="BY2015" s="158"/>
      <c r="CB2015" s="158"/>
    </row>
    <row r="2016" ht="18.0" hidden="1" customHeight="1">
      <c r="A2016" s="222">
        <f>IFERROR(__xludf.DUMMYFUNCTION("""COMPUTED_VALUE"""),2026.0)</f>
        <v>2026</v>
      </c>
      <c r="B2016" s="221">
        <f>IFERROR(__xludf.DUMMYFUNCTION("""COMPUTED_VALUE"""),1.1391152E7)</f>
        <v>11391152</v>
      </c>
      <c r="C2016" s="222" t="str">
        <f>IFERROR(__xludf.DUMMYFUNCTION("""COMPUTED_VALUE"""),"LPG JPP PT3 PESAWARAN_17415 GDT")</f>
        <v>LPG JPP PT3 PESAWARAN_17415 GDT</v>
      </c>
      <c r="D2016" s="222" t="str">
        <f>IFERROR(__xludf.DUMMYFUNCTION("""COMPUTED_VALUE"""),"REGIONAL I")</f>
        <v>REGIONAL I</v>
      </c>
      <c r="E2016" s="222" t="str">
        <f>IFERROR(__xludf.DUMMYFUNCTION("""COMPUTED_VALUE"""),"LAMPUNG")</f>
        <v>LAMPUNG</v>
      </c>
      <c r="F2016" s="222" t="str">
        <f>IFERROR(__xludf.DUMMYFUNCTION("""COMPUTED_VALUE"""),"GDT")</f>
        <v>GDT</v>
      </c>
      <c r="G2016" s="222" t="str">
        <f>IFERROR(__xludf.DUMMYFUNCTION("""COMPUTED_VALUE"""),"SUMBAGSEL")</f>
        <v>SUMBAGSEL</v>
      </c>
      <c r="H2016" s="222" t="str">
        <f>IFERROR(__xludf.DUMMYFUNCTION("""COMPUTED_VALUE"""),"LAMPUNG")</f>
        <v>LAMPUNG</v>
      </c>
      <c r="I2016" s="222" t="str">
        <f>IFERROR(__xludf.DUMMYFUNCTION("""COMPUTED_VALUE"""),"Batch 2")</f>
        <v>Batch 2</v>
      </c>
      <c r="J2016" s="225">
        <f>IFERROR(__xludf.DUMMYFUNCTION("""COMPUTED_VALUE"""),5.0)</f>
        <v>5</v>
      </c>
      <c r="K2016" s="224">
        <f>IFERROR(__xludf.DUMMYFUNCTION("""COMPUTED_VALUE"""),40.0)</f>
        <v>40</v>
      </c>
      <c r="L2016" s="226">
        <f>IFERROR(__xludf.DUMMYFUNCTION("""COMPUTED_VALUE"""),1522492.0)</f>
        <v>1522492</v>
      </c>
      <c r="M2016" s="227">
        <f>IFERROR(__xludf.DUMMYFUNCTION("""COMPUTED_VALUE"""),6.0899655E7)</f>
        <v>60899655</v>
      </c>
      <c r="N2016" s="222" t="str">
        <f>IFERROR(__xludf.DUMMYFUNCTION("""COMPUTED_VALUE"""),"SWAKELOLA")</f>
        <v>SWAKELOLA</v>
      </c>
      <c r="O2016" s="222" t="str">
        <f>IFERROR(__xludf.DUMMYFUNCTION("""COMPUTED_VALUE"""),"0. DROP")</f>
        <v>0. DROP</v>
      </c>
      <c r="P2016" s="222" t="str">
        <f>IFERROR(__xludf.DUMMYFUNCTION("""COMPUTED_VALUE"""),"0.2 Tidak Dapat Izin Warga/Kades/Lurah/Developer")</f>
        <v>0.2 Tidak Dapat Izin Warga/Kades/Lurah/Developer</v>
      </c>
      <c r="Q2016" s="222" t="str">
        <f>IFERROR(__xludf.DUMMYFUNCTION("""COMPUTED_VALUE"""),"11/2 high comcase 15juta")</f>
        <v>11/2 high comcase 15juta</v>
      </c>
      <c r="R2016" s="228"/>
      <c r="S2016" s="11"/>
      <c r="T2016" s="11"/>
      <c r="U2016" s="11"/>
      <c r="V2016" s="229"/>
      <c r="W2016" s="229"/>
      <c r="X2016" s="229" t="str">
        <f>IFERROR(__xludf.DUMMYFUNCTION("""COMPUTED_VALUE"""),"BELUM GOLIVE")</f>
        <v>BELUM GOLIVE</v>
      </c>
      <c r="Y2016" s="229"/>
      <c r="Z2016" s="229" t="str">
        <f>IFERROR(__xludf.DUMMYFUNCTION("""COMPUTED_VALUE"""),"#N/A")</f>
        <v>#N/A</v>
      </c>
      <c r="AA2016" s="229"/>
      <c r="AB2016" s="229"/>
      <c r="AC2016" s="229"/>
      <c r="AD2016" s="232"/>
      <c r="AE2016" s="233"/>
      <c r="AF2016" s="54" t="str">
        <f>IFERROR(__xludf.DUMMYFUNCTION("""COMPUTED_VALUE"""),"Draft BA DROP")</f>
        <v>Draft BA DROP</v>
      </c>
      <c r="AG2016" s="54"/>
      <c r="AH2016" s="54"/>
      <c r="AI2016" s="55" t="str">
        <f t="shared" si="197"/>
        <v/>
      </c>
      <c r="AW2016" s="234"/>
      <c r="BP2016" s="11"/>
      <c r="BQ2016" s="11"/>
      <c r="BR2016" s="235"/>
      <c r="BV2016" s="158"/>
      <c r="BY2016" s="158"/>
      <c r="CB2016" s="158"/>
    </row>
    <row r="2017" ht="18.0" hidden="1" customHeight="1">
      <c r="A2017" s="222">
        <f>IFERROR(__xludf.DUMMYFUNCTION("""COMPUTED_VALUE"""),2026.0)</f>
        <v>2026</v>
      </c>
      <c r="B2017" s="221">
        <f>IFERROR(__xludf.DUMMYFUNCTION("""COMPUTED_VALUE"""),1.1533353E7)</f>
        <v>11533353</v>
      </c>
      <c r="C2017" s="222" t="str">
        <f>IFERROR(__xludf.DUMMYFUNCTION("""COMPUTED_VALUE"""),"MDN PT3 LBP-FD Gg ABAS")</f>
        <v>MDN PT3 LBP-FD Gg ABAS</v>
      </c>
      <c r="D2017" s="222" t="str">
        <f>IFERROR(__xludf.DUMMYFUNCTION("""COMPUTED_VALUE"""),"REGIONAL I")</f>
        <v>REGIONAL I</v>
      </c>
      <c r="E2017" s="222" t="str">
        <f>IFERROR(__xludf.DUMMYFUNCTION("""COMPUTED_VALUE"""),"MEDAN")</f>
        <v>MEDAN</v>
      </c>
      <c r="F2017" s="222" t="str">
        <f>IFERROR(__xludf.DUMMYFUNCTION("""COMPUTED_VALUE"""),"LBP")</f>
        <v>LBP</v>
      </c>
      <c r="G2017" s="222" t="str">
        <f>IFERROR(__xludf.DUMMYFUNCTION("""COMPUTED_VALUE"""),"SUMBAGUT")</f>
        <v>SUMBAGUT</v>
      </c>
      <c r="H2017" s="222" t="str">
        <f>IFERROR(__xludf.DUMMYFUNCTION("""COMPUTED_VALUE"""),"MEDAN")</f>
        <v>MEDAN</v>
      </c>
      <c r="I2017" s="222" t="str">
        <f>IFERROR(__xludf.DUMMYFUNCTION("""COMPUTED_VALUE"""),"Batch 2")</f>
        <v>Batch 2</v>
      </c>
      <c r="J2017" s="225">
        <f>IFERROR(__xludf.DUMMYFUNCTION("""COMPUTED_VALUE"""),4.0)</f>
        <v>4</v>
      </c>
      <c r="K2017" s="224">
        <f>IFERROR(__xludf.DUMMYFUNCTION("""COMPUTED_VALUE"""),32.0)</f>
        <v>32</v>
      </c>
      <c r="L2017" s="226">
        <f>IFERROR(__xludf.DUMMYFUNCTION("""COMPUTED_VALUE"""),1297302.0)</f>
        <v>1297302</v>
      </c>
      <c r="M2017" s="227">
        <f>IFERROR(__xludf.DUMMYFUNCTION("""COMPUTED_VALUE"""),4.1513664E7)</f>
        <v>41513664</v>
      </c>
      <c r="N2017" s="222" t="str">
        <f>IFERROR(__xludf.DUMMYFUNCTION("""COMPUTED_VALUE"""),"PT BONGKAR SEJATI ANDALAN")</f>
        <v>PT BONGKAR SEJATI ANDALAN</v>
      </c>
      <c r="O2017" s="222" t="str">
        <f>IFERROR(__xludf.DUMMYFUNCTION("""COMPUTED_VALUE"""),"0. DROP")</f>
        <v>0. DROP</v>
      </c>
      <c r="P2017" s="222" t="str">
        <f>IFERROR(__xludf.DUMMYFUNCTION("""COMPUTED_VALUE"""),"0.4 CPP Tinggi Acc ED TIF")</f>
        <v>0.4 CPP Tinggi Acc ED TIF</v>
      </c>
      <c r="Q2017" s="222" t="str">
        <f>IFERROR(__xludf.DUMMYFUNCTION("""COMPUTED_VALUE"""),"(07/01) Persiapan")</f>
        <v>(07/01) Persiapan</v>
      </c>
      <c r="R2017" s="228"/>
      <c r="S2017" s="11"/>
      <c r="T2017" s="11"/>
      <c r="U2017" s="11"/>
      <c r="V2017" s="229"/>
      <c r="W2017" s="229"/>
      <c r="X2017" s="229" t="str">
        <f>IFERROR(__xludf.DUMMYFUNCTION("""COMPUTED_VALUE"""),"BELUM GOLIVE")</f>
        <v>BELUM GOLIVE</v>
      </c>
      <c r="Y2017" s="229"/>
      <c r="Z2017" s="229" t="str">
        <f>IFERROR(__xludf.DUMMYFUNCTION("""COMPUTED_VALUE"""),"#N/A")</f>
        <v>#N/A</v>
      </c>
      <c r="AA2017" s="229"/>
      <c r="AB2017" s="229"/>
      <c r="AC2017" s="229"/>
      <c r="AD2017" s="232"/>
      <c r="AE2017" s="233"/>
      <c r="AF2017" s="54" t="str">
        <f>IFERROR(__xludf.DUMMYFUNCTION("""COMPUTED_VALUE"""),"Draft BA DROP")</f>
        <v>Draft BA DROP</v>
      </c>
      <c r="AG2017" s="54"/>
      <c r="AH2017" s="54"/>
      <c r="AI2017" s="55" t="str">
        <f t="shared" si="197"/>
        <v/>
      </c>
      <c r="AW2017" s="234"/>
      <c r="BP2017" s="11"/>
      <c r="BQ2017" s="11"/>
      <c r="BR2017" s="235"/>
      <c r="BV2017" s="158"/>
      <c r="BY2017" s="158"/>
      <c r="CB2017" s="158"/>
    </row>
    <row r="2018" ht="18.0" hidden="1" customHeight="1">
      <c r="A2018" s="222">
        <f>IFERROR(__xludf.DUMMYFUNCTION("""COMPUTED_VALUE"""),2026.0)</f>
        <v>2026</v>
      </c>
      <c r="B2018" s="221">
        <f>IFERROR(__xludf.DUMMYFUNCTION("""COMPUTED_VALUE"""),1.1272465E7)</f>
        <v>11272465</v>
      </c>
      <c r="C2018" s="222" t="str">
        <f>IFERROR(__xludf.DUMMYFUNCTION("""COMPUTED_VALUE"""),"MDN PT3 P1I1 TJR-FAG JL.LINTAS SUMATERA")</f>
        <v>MDN PT3 P1I1 TJR-FAG JL.LINTAS SUMATERA</v>
      </c>
      <c r="D2018" s="222" t="str">
        <f>IFERROR(__xludf.DUMMYFUNCTION("""COMPUTED_VALUE"""),"REGIONAL I")</f>
        <v>REGIONAL I</v>
      </c>
      <c r="E2018" s="222" t="str">
        <f>IFERROR(__xludf.DUMMYFUNCTION("""COMPUTED_VALUE"""),"MEDAN")</f>
        <v>MEDAN</v>
      </c>
      <c r="F2018" s="222" t="str">
        <f>IFERROR(__xludf.DUMMYFUNCTION("""COMPUTED_VALUE"""),"TJR")</f>
        <v>TJR</v>
      </c>
      <c r="G2018" s="222" t="str">
        <f>IFERROR(__xludf.DUMMYFUNCTION("""COMPUTED_VALUE"""),"SUMBAGUT")</f>
        <v>SUMBAGUT</v>
      </c>
      <c r="H2018" s="222" t="str">
        <f>IFERROR(__xludf.DUMMYFUNCTION("""COMPUTED_VALUE"""),"MEDAN")</f>
        <v>MEDAN</v>
      </c>
      <c r="I2018" s="222" t="str">
        <f>IFERROR(__xludf.DUMMYFUNCTION("""COMPUTED_VALUE"""),"Batch 2")</f>
        <v>Batch 2</v>
      </c>
      <c r="J2018" s="225">
        <f>IFERROR(__xludf.DUMMYFUNCTION("""COMPUTED_VALUE"""),2.0)</f>
        <v>2</v>
      </c>
      <c r="K2018" s="224">
        <f>IFERROR(__xludf.DUMMYFUNCTION("""COMPUTED_VALUE"""),16.0)</f>
        <v>16</v>
      </c>
      <c r="L2018" s="226">
        <f>IFERROR(__xludf.DUMMYFUNCTION("""COMPUTED_VALUE"""),869418.0)</f>
        <v>869418</v>
      </c>
      <c r="M2018" s="227">
        <f>IFERROR(__xludf.DUMMYFUNCTION("""COMPUTED_VALUE"""),1.3910676E7)</f>
        <v>13910676</v>
      </c>
      <c r="N2018" s="222" t="str">
        <f>IFERROR(__xludf.DUMMYFUNCTION("""COMPUTED_VALUE"""),"SWAKELOLA")</f>
        <v>SWAKELOLA</v>
      </c>
      <c r="O2018" s="222" t="str">
        <f>IFERROR(__xludf.DUMMYFUNCTION("""COMPUTED_VALUE"""),"5. INSTALASI")</f>
        <v>5. INSTALASI</v>
      </c>
      <c r="P2018" s="222" t="str">
        <f>IFERROR(__xludf.DUMMYFUNCTION("""COMPUTED_VALUE"""),"5.6 Proses Penarikan Kabel")</f>
        <v>5.6 Proses Penarikan Kabel</v>
      </c>
      <c r="Q2018" s="222" t="str">
        <f>IFERROR(__xludf.DUMMYFUNCTION("""COMPUTED_VALUE"""),"20/04 penarikan kabel
15/04 proses matrial
10/04 take over ke swakelola dari mitra bsa
23/02 feeder ok 1 core
(08/01) Kendala dist dan feeder PDJ-FE full, proses aanwijziing, Proses mapping mitra (07/01) Persiapan")</f>
        <v>20/04 penarikan kabel
15/04 proses matrial
10/04 take over ke swakelola dari mitra bsa
23/02 feeder ok 1 core
(08/01) Kendala dist dan feeder PDJ-FE full, proses aanwijziing, Proses mapping mitra (07/01) Persiapan</v>
      </c>
      <c r="R2018" s="228">
        <f>IFERROR(__xludf.DUMMYFUNCTION("""COMPUTED_VALUE"""),46137.0)</f>
        <v>46137</v>
      </c>
      <c r="S2018" s="11" t="str">
        <f>IFERROR(__xludf.DUMMYFUNCTION("""COMPUTED_VALUE"""),"APR")</f>
        <v>APR</v>
      </c>
      <c r="T2018" s="73"/>
      <c r="U2018" s="11"/>
      <c r="V2018" s="229" t="str">
        <f>IFERROR(__xludf.DUMMYFUNCTION("""COMPUTED_VALUE"""),"27/Apr/2026")</f>
        <v>27/Apr/2026</v>
      </c>
      <c r="W2018" s="229"/>
      <c r="X2018" s="229" t="str">
        <f>IFERROR(__xludf.DUMMYFUNCTION("""COMPUTED_VALUE"""),"BELUM GOLIVE")</f>
        <v>BELUM GOLIVE</v>
      </c>
      <c r="Y2018" s="229"/>
      <c r="Z2018" s="229" t="str">
        <f>IFERROR(__xludf.DUMMYFUNCTION("""COMPUTED_VALUE"""),"#N/A")</f>
        <v>#N/A</v>
      </c>
      <c r="AA2018" s="229"/>
      <c r="AB2018" s="229"/>
      <c r="AC2018" s="229"/>
      <c r="AD2018" s="232"/>
      <c r="AE2018" s="233"/>
      <c r="AF2018" s="54"/>
      <c r="AG2018" s="54"/>
      <c r="AH2018" s="54"/>
      <c r="AI2018" s="55" t="str">
        <f t="shared" si="197"/>
        <v/>
      </c>
      <c r="AW2018" s="234"/>
      <c r="BP2018" s="11"/>
      <c r="BQ2018" s="11"/>
      <c r="BR2018" s="235"/>
      <c r="BV2018" s="158"/>
      <c r="BY2018" s="158"/>
      <c r="CB2018" s="158"/>
    </row>
    <row r="2019" ht="18.0" customHeight="1">
      <c r="A2019" s="222">
        <f>IFERROR(__xludf.DUMMYFUNCTION("""COMPUTED_VALUE"""),2026.0)</f>
        <v>2026</v>
      </c>
      <c r="B2019" s="221">
        <f>IFERROR(__xludf.DUMMYFUNCTION("""COMPUTED_VALUE"""),1.094994E7)</f>
        <v>10949940</v>
      </c>
      <c r="C2019" s="222" t="str">
        <f>IFERROR(__xludf.DUMMYFUNCTION("""COMPUTED_VALUE"""),"SMB P7I4 PT3-PDJ-FB-MARTABAK MESIR ZUL")</f>
        <v>SMB P7I4 PT3-PDJ-FB-MARTABAK MESIR ZUL</v>
      </c>
      <c r="D2019" s="222" t="str">
        <f>IFERROR(__xludf.DUMMYFUNCTION("""COMPUTED_VALUE"""),"REGIONAL I")</f>
        <v>REGIONAL I</v>
      </c>
      <c r="E2019" s="222" t="str">
        <f>IFERROR(__xludf.DUMMYFUNCTION("""COMPUTED_VALUE"""),"SUMBAR")</f>
        <v>SUMBAR</v>
      </c>
      <c r="F2019" s="222" t="str">
        <f>IFERROR(__xludf.DUMMYFUNCTION("""COMPUTED_VALUE"""),"PDJ")</f>
        <v>PDJ</v>
      </c>
      <c r="G2019" s="222" t="str">
        <f>IFERROR(__xludf.DUMMYFUNCTION("""COMPUTED_VALUE"""),"SUMBAGTENG")</f>
        <v>SUMBAGTENG</v>
      </c>
      <c r="H2019" s="222" t="str">
        <f>IFERROR(__xludf.DUMMYFUNCTION("""COMPUTED_VALUE"""),"BUKIT TINGGI")</f>
        <v>BUKIT TINGGI</v>
      </c>
      <c r="I2019" s="222" t="str">
        <f>IFERROR(__xludf.DUMMYFUNCTION("""COMPUTED_VALUE"""),"Batch 2")</f>
        <v>Batch 2</v>
      </c>
      <c r="J2019" s="225">
        <f>IFERROR(__xludf.DUMMYFUNCTION("""COMPUTED_VALUE"""),1.0)</f>
        <v>1</v>
      </c>
      <c r="K2019" s="224">
        <f>IFERROR(__xludf.DUMMYFUNCTION("""COMPUTED_VALUE"""),8.0)</f>
        <v>8</v>
      </c>
      <c r="L2019" s="226">
        <f>IFERROR(__xludf.DUMMYFUNCTION("""COMPUTED_VALUE"""),1522605.0)</f>
        <v>1522605</v>
      </c>
      <c r="M2019" s="227">
        <f>IFERROR(__xludf.DUMMYFUNCTION("""COMPUTED_VALUE"""),1.2180834E7)</f>
        <v>12180834</v>
      </c>
      <c r="N2019" s="222" t="str">
        <f>IFERROR(__xludf.DUMMYFUNCTION("""COMPUTED_VALUE"""),"PT RATRI PRIMA MANDIRI")</f>
        <v>PT RATRI PRIMA MANDIRI</v>
      </c>
      <c r="O2019" s="222" t="str">
        <f>IFERROR(__xludf.DUMMYFUNCTION("""COMPUTED_VALUE"""),"0. DROP")</f>
        <v>0. DROP</v>
      </c>
      <c r="P2019" s="222" t="str">
        <f>IFERROR(__xludf.DUMMYFUNCTION("""COMPUTED_VALUE"""),"0.3 Feeder Full")</f>
        <v>0.3 Feeder Full</v>
      </c>
      <c r="Q2019" s="222" t="str">
        <f>IFERROR(__xludf.DUMMYFUNCTION("""COMPUTED_VALUE"""),"(26/01) Kendala dist dan feeder PDJ-FE full ")</f>
        <v>(26/01) Kendala dist dan feeder PDJ-FE full </v>
      </c>
      <c r="R2019" s="228"/>
      <c r="S2019" s="11"/>
      <c r="T2019" s="11"/>
      <c r="U2019" s="11"/>
      <c r="V2019" s="229"/>
      <c r="W2019" s="229"/>
      <c r="X2019" s="229" t="str">
        <f>IFERROR(__xludf.DUMMYFUNCTION("""COMPUTED_VALUE"""),"BELUM GOLIVE")</f>
        <v>BELUM GOLIVE</v>
      </c>
      <c r="Y2019" s="229"/>
      <c r="Z2019" s="229" t="str">
        <f>IFERROR(__xludf.DUMMYFUNCTION("""COMPUTED_VALUE"""),"#N/A")</f>
        <v>#N/A</v>
      </c>
      <c r="AA2019" s="229"/>
      <c r="AB2019" s="229"/>
      <c r="AC2019" s="229"/>
      <c r="AD2019" s="232"/>
      <c r="AE2019" s="233"/>
      <c r="AF2019" s="54" t="str">
        <f>IFERROR(__xludf.DUMMYFUNCTION("""COMPUTED_VALUE"""),"Draft BA DROP")</f>
        <v>Draft BA DROP</v>
      </c>
      <c r="AG2019" s="54"/>
      <c r="AH2019" s="54"/>
      <c r="AI2019" s="55" t="str">
        <f t="shared" si="197"/>
        <v/>
      </c>
      <c r="AW2019" s="234"/>
      <c r="BP2019" s="11"/>
      <c r="BQ2019" s="11"/>
      <c r="BR2019" s="235"/>
      <c r="BV2019" s="158"/>
      <c r="BY2019" s="158"/>
      <c r="CB2019" s="158"/>
    </row>
    <row r="2020" ht="18.0" hidden="1" customHeight="1">
      <c r="A2020" s="222">
        <f>IFERROR(__xludf.DUMMYFUNCTION("""COMPUTED_VALUE"""),2026.0)</f>
        <v>2026</v>
      </c>
      <c r="B2020" s="221">
        <f>IFERROR(__xludf.DUMMYFUNCTION("""COMPUTED_VALUE"""),1.1271842E7)</f>
        <v>11271842</v>
      </c>
      <c r="C2020" s="222" t="str">
        <f>IFERROR(__xludf.DUMMYFUNCTION("""COMPUTED_VALUE"""),"MDN PT3 P1I1 TTG-FBE JL.BENDUNGAN 3")</f>
        <v>MDN PT3 P1I1 TTG-FBE JL.BENDUNGAN 3</v>
      </c>
      <c r="D2020" s="222" t="str">
        <f>IFERROR(__xludf.DUMMYFUNCTION("""COMPUTED_VALUE"""),"REGIONAL I")</f>
        <v>REGIONAL I</v>
      </c>
      <c r="E2020" s="222" t="str">
        <f>IFERROR(__xludf.DUMMYFUNCTION("""COMPUTED_VALUE"""),"MEDAN")</f>
        <v>MEDAN</v>
      </c>
      <c r="F2020" s="222" t="str">
        <f>IFERROR(__xludf.DUMMYFUNCTION("""COMPUTED_VALUE"""),"TTG")</f>
        <v>TTG</v>
      </c>
      <c r="G2020" s="222" t="str">
        <f>IFERROR(__xludf.DUMMYFUNCTION("""COMPUTED_VALUE"""),"SUMBAGUT")</f>
        <v>SUMBAGUT</v>
      </c>
      <c r="H2020" s="222" t="str">
        <f>IFERROR(__xludf.DUMMYFUNCTION("""COMPUTED_VALUE"""),"MEDAN")</f>
        <v>MEDAN</v>
      </c>
      <c r="I2020" s="222" t="str">
        <f>IFERROR(__xludf.DUMMYFUNCTION("""COMPUTED_VALUE"""),"Batch 2")</f>
        <v>Batch 2</v>
      </c>
      <c r="J2020" s="225">
        <f>IFERROR(__xludf.DUMMYFUNCTION("""COMPUTED_VALUE"""),4.0)</f>
        <v>4</v>
      </c>
      <c r="K2020" s="224">
        <f>IFERROR(__xludf.DUMMYFUNCTION("""COMPUTED_VALUE"""),32.0)</f>
        <v>32</v>
      </c>
      <c r="L2020" s="226">
        <f>IFERROR(__xludf.DUMMYFUNCTION("""COMPUTED_VALUE"""),573452.0)</f>
        <v>573452</v>
      </c>
      <c r="M2020" s="227">
        <f>IFERROR(__xludf.DUMMYFUNCTION("""COMPUTED_VALUE"""),1.835046E7)</f>
        <v>18350460</v>
      </c>
      <c r="N2020" s="222" t="str">
        <f>IFERROR(__xludf.DUMMYFUNCTION("""COMPUTED_VALUE"""),"PT GLOBAL KARYA WANDA")</f>
        <v>PT GLOBAL KARYA WANDA</v>
      </c>
      <c r="O2020" s="222" t="str">
        <f>IFERROR(__xludf.DUMMYFUNCTION("""COMPUTED_VALUE"""),"7. GOLIVE")</f>
        <v>7. GOLIVE</v>
      </c>
      <c r="P2020" s="222" t="str">
        <f>IFERROR(__xludf.DUMMYFUNCTION("""COMPUTED_VALUE"""),"7.2 Golive Full / OA / DONE OTB")</f>
        <v>7.2 Golive Full / OA / DONE OTB</v>
      </c>
      <c r="Q2020" s="222" t="str">
        <f>IFERROR(__xludf.DUMMYFUNCTION("""COMPUTED_VALUE"""),"16/04 abd done 15/04 install odp 13/03 pak RT sedang pulkam 12/03 alih mitra GKW 02/03 menunggu req material 19/01 pengecekan info redesign ke SDI")</f>
        <v>16/04 abd done 15/04 install odp 13/03 pak RT sedang pulkam 12/03 alih mitra GKW 02/03 menunggu req material 19/01 pengecekan info redesign ke SDI</v>
      </c>
      <c r="R2020" s="228">
        <f>IFERROR(__xludf.DUMMYFUNCTION("""COMPUTED_VALUE"""),46129.0)</f>
        <v>46129</v>
      </c>
      <c r="S2020" s="11" t="str">
        <f>IFERROR(__xludf.DUMMYFUNCTION("""COMPUTED_VALUE"""),"MAR")</f>
        <v>MAR</v>
      </c>
      <c r="T2020" s="73"/>
      <c r="U2020" s="11"/>
      <c r="V2020" s="229" t="str">
        <f>IFERROR(__xludf.DUMMYFUNCTION("""COMPUTED_VALUE"""),"28/Apr/2026")</f>
        <v>28/Apr/2026</v>
      </c>
      <c r="W2020" s="229"/>
      <c r="X2020" s="229" t="str">
        <f>IFERROR(__xludf.DUMMYFUNCTION("""COMPUTED_VALUE"""),"GOLIVE")</f>
        <v>GOLIVE</v>
      </c>
      <c r="Y2020" s="229" t="str">
        <f>IFERROR(__xludf.DUMMYFUNCTION("""COMPUTED_VALUE"""),"DONE")</f>
        <v>DONE</v>
      </c>
      <c r="Z2020" s="229" t="str">
        <f>IFERROR(__xludf.DUMMYFUNCTION("""COMPUTED_VALUE"""),"#N/A")</f>
        <v>#N/A</v>
      </c>
      <c r="AA2020" s="229">
        <f>IFERROR(__xludf.DUMMYFUNCTION("""COMPUTED_VALUE"""),3.0)</f>
        <v>3</v>
      </c>
      <c r="AB2020" s="229"/>
      <c r="AC2020" s="229" t="str">
        <f>IFERROR(__xludf.DUMMYFUNCTION("""COMPUTED_VALUE"""),"9284273#9284278")</f>
        <v>9284273#9284278</v>
      </c>
      <c r="AD2020" s="232">
        <f>IFERROR(__xludf.DUMMYFUNCTION("""COMPUTED_VALUE"""),24.0)</f>
        <v>24</v>
      </c>
      <c r="AE2020" s="233">
        <f>IFERROR(__xludf.DUMMYFUNCTION("""COMPUTED_VALUE"""),46129.0)</f>
        <v>46129</v>
      </c>
      <c r="AF2020" s="54"/>
      <c r="AG2020" s="54"/>
      <c r="AH2020" s="54"/>
      <c r="AI2020" s="55">
        <f t="shared" si="197"/>
        <v>0</v>
      </c>
      <c r="AW2020" s="234"/>
      <c r="BP2020" s="11"/>
      <c r="BQ2020" s="11"/>
      <c r="BR2020" s="235"/>
      <c r="BV2020" s="158"/>
      <c r="BY2020" s="158"/>
      <c r="CB2020" s="158"/>
    </row>
    <row r="2021" ht="18.0" hidden="1" customHeight="1">
      <c r="A2021" s="222">
        <f>IFERROR(__xludf.DUMMYFUNCTION("""COMPUTED_VALUE"""),2026.0)</f>
        <v>2026</v>
      </c>
      <c r="B2021" s="221">
        <f>IFERROR(__xludf.DUMMYFUNCTION("""COMPUTED_VALUE"""),1.1271978E7)</f>
        <v>11271978</v>
      </c>
      <c r="C2021" s="222" t="str">
        <f>IFERROR(__xludf.DUMMYFUNCTION("""COMPUTED_VALUE"""),"MDN PT3 P1I1 TTG-FGF JL.ROTAN GG.MAWAR")</f>
        <v>MDN PT3 P1I1 TTG-FGF JL.ROTAN GG.MAWAR</v>
      </c>
      <c r="D2021" s="222" t="str">
        <f>IFERROR(__xludf.DUMMYFUNCTION("""COMPUTED_VALUE"""),"REGIONAL I")</f>
        <v>REGIONAL I</v>
      </c>
      <c r="E2021" s="222" t="str">
        <f>IFERROR(__xludf.DUMMYFUNCTION("""COMPUTED_VALUE"""),"MEDAN")</f>
        <v>MEDAN</v>
      </c>
      <c r="F2021" s="222" t="str">
        <f>IFERROR(__xludf.DUMMYFUNCTION("""COMPUTED_VALUE"""),"TTG")</f>
        <v>TTG</v>
      </c>
      <c r="G2021" s="222" t="str">
        <f>IFERROR(__xludf.DUMMYFUNCTION("""COMPUTED_VALUE"""),"SUMBAGUT")</f>
        <v>SUMBAGUT</v>
      </c>
      <c r="H2021" s="222" t="str">
        <f>IFERROR(__xludf.DUMMYFUNCTION("""COMPUTED_VALUE"""),"MEDAN")</f>
        <v>MEDAN</v>
      </c>
      <c r="I2021" s="222" t="str">
        <f>IFERROR(__xludf.DUMMYFUNCTION("""COMPUTED_VALUE"""),"Batch 2")</f>
        <v>Batch 2</v>
      </c>
      <c r="J2021" s="225">
        <f>IFERROR(__xludf.DUMMYFUNCTION("""COMPUTED_VALUE"""),4.0)</f>
        <v>4</v>
      </c>
      <c r="K2021" s="224">
        <f>IFERROR(__xludf.DUMMYFUNCTION("""COMPUTED_VALUE"""),32.0)</f>
        <v>32</v>
      </c>
      <c r="L2021" s="226">
        <f>IFERROR(__xludf.DUMMYFUNCTION("""COMPUTED_VALUE"""),781628.0)</f>
        <v>781628</v>
      </c>
      <c r="M2021" s="227">
        <f>IFERROR(__xludf.DUMMYFUNCTION("""COMPUTED_VALUE"""),2.5012071E7)</f>
        <v>25012071</v>
      </c>
      <c r="N2021" s="222" t="str">
        <f>IFERROR(__xludf.DUMMYFUNCTION("""COMPUTED_VALUE"""),"SWAKELOLA")</f>
        <v>SWAKELOLA</v>
      </c>
      <c r="O2021" s="222" t="str">
        <f>IFERROR(__xludf.DUMMYFUNCTION("""COMPUTED_VALUE"""),"1. AANWIJZING")</f>
        <v>1. AANWIJZING</v>
      </c>
      <c r="P2021" s="222" t="str">
        <f>IFERROR(__xludf.DUMMYFUNCTION("""COMPUTED_VALUE"""),"1.6 Ongoing Aanwidjzing")</f>
        <v>1.6 Ongoing Aanwidjzing</v>
      </c>
      <c r="Q2021" s="222" t="str">
        <f>IFERROR(__xludf.DUMMYFUNCTION("""COMPUTED_VALUE"""),"20/04 ODC sudah upgrade pengecekan ulang core 02/02 Feeder Tidak Tembus")</f>
        <v>20/04 ODC sudah upgrade pengecekan ulang core 02/02 Feeder Tidak Tembus</v>
      </c>
      <c r="R2021" s="228"/>
      <c r="S2021" s="11"/>
      <c r="T2021" s="11"/>
      <c r="U2021" s="11"/>
      <c r="V2021" s="229"/>
      <c r="W2021" s="229"/>
      <c r="X2021" s="229" t="str">
        <f>IFERROR(__xludf.DUMMYFUNCTION("""COMPUTED_VALUE"""),"BELUM GOLIVE")</f>
        <v>BELUM GOLIVE</v>
      </c>
      <c r="Y2021" s="229"/>
      <c r="Z2021" s="229" t="str">
        <f>IFERROR(__xludf.DUMMYFUNCTION("""COMPUTED_VALUE"""),"#N/A")</f>
        <v>#N/A</v>
      </c>
      <c r="AA2021" s="229"/>
      <c r="AB2021" s="229"/>
      <c r="AC2021" s="229"/>
      <c r="AD2021" s="232"/>
      <c r="AE2021" s="233"/>
      <c r="AF2021" s="54"/>
      <c r="AG2021" s="54"/>
      <c r="AH2021" s="54"/>
      <c r="AI2021" s="55" t="str">
        <f t="shared" si="197"/>
        <v/>
      </c>
      <c r="AW2021" s="234"/>
      <c r="BP2021" s="11"/>
      <c r="BQ2021" s="11"/>
      <c r="BR2021" s="235"/>
      <c r="BV2021" s="158"/>
      <c r="BY2021" s="158"/>
      <c r="CB2021" s="158"/>
    </row>
    <row r="2022" ht="18.0" hidden="1" customHeight="1">
      <c r="A2022" s="222">
        <f>IFERROR(__xludf.DUMMYFUNCTION("""COMPUTED_VALUE"""),2026.0)</f>
        <v>2026</v>
      </c>
      <c r="B2022" s="221">
        <f>IFERROR(__xludf.DUMMYFUNCTION("""COMPUTED_VALUE"""),1.1349691E7)</f>
        <v>11349691</v>
      </c>
      <c r="C2022" s="222" t="str">
        <f>IFERROR(__xludf.DUMMYFUNCTION("""COMPUTED_VALUE"""),"MDN PT3 TTG-FGC PERUM COKLAT PERMAI")</f>
        <v>MDN PT3 TTG-FGC PERUM COKLAT PERMAI</v>
      </c>
      <c r="D2022" s="222" t="str">
        <f>IFERROR(__xludf.DUMMYFUNCTION("""COMPUTED_VALUE"""),"REGIONAL I")</f>
        <v>REGIONAL I</v>
      </c>
      <c r="E2022" s="222" t="str">
        <f>IFERROR(__xludf.DUMMYFUNCTION("""COMPUTED_VALUE"""),"MEDAN")</f>
        <v>MEDAN</v>
      </c>
      <c r="F2022" s="222" t="str">
        <f>IFERROR(__xludf.DUMMYFUNCTION("""COMPUTED_VALUE"""),"TTG")</f>
        <v>TTG</v>
      </c>
      <c r="G2022" s="222" t="str">
        <f>IFERROR(__xludf.DUMMYFUNCTION("""COMPUTED_VALUE"""),"SUMBAGUT")</f>
        <v>SUMBAGUT</v>
      </c>
      <c r="H2022" s="222" t="str">
        <f>IFERROR(__xludf.DUMMYFUNCTION("""COMPUTED_VALUE"""),"MEDAN")</f>
        <v>MEDAN</v>
      </c>
      <c r="I2022" s="222" t="str">
        <f>IFERROR(__xludf.DUMMYFUNCTION("""COMPUTED_VALUE"""),"Batch 2")</f>
        <v>Batch 2</v>
      </c>
      <c r="J2022" s="225">
        <f>IFERROR(__xludf.DUMMYFUNCTION("""COMPUTED_VALUE"""),6.0)</f>
        <v>6</v>
      </c>
      <c r="K2022" s="224">
        <f>IFERROR(__xludf.DUMMYFUNCTION("""COMPUTED_VALUE"""),48.0)</f>
        <v>48</v>
      </c>
      <c r="L2022" s="226">
        <f>IFERROR(__xludf.DUMMYFUNCTION("""COMPUTED_VALUE"""),1011042.0)</f>
        <v>1011042</v>
      </c>
      <c r="M2022" s="227">
        <f>IFERROR(__xludf.DUMMYFUNCTION("""COMPUTED_VALUE"""),4.8530016E7)</f>
        <v>48530016</v>
      </c>
      <c r="N2022" s="222" t="str">
        <f>IFERROR(__xludf.DUMMYFUNCTION("""COMPUTED_VALUE"""),"PT PRIMA INDO SENTOSA")</f>
        <v>PT PRIMA INDO SENTOSA</v>
      </c>
      <c r="O2022" s="222" t="str">
        <f>IFERROR(__xludf.DUMMYFUNCTION("""COMPUTED_VALUE"""),"3. PERIZINAN")</f>
        <v>3. PERIZINAN</v>
      </c>
      <c r="P2022" s="222" t="str">
        <f>IFERROR(__xludf.DUMMYFUNCTION("""COMPUTED_VALUE"""),"3.9 Izin Kades / Lurah / RTRW")</f>
        <v>3.9 Izin Kades / Lurah / RTRW</v>
      </c>
      <c r="Q2022" s="222" t="str">
        <f>IFERROR(__xludf.DUMMYFUNCTION("""COMPUTED_VALUE"""),"20/04 redesign 
(07/01) Persiapan")</f>
        <v>20/04 redesign 
(07/01) Persiapan</v>
      </c>
      <c r="R2022" s="228"/>
      <c r="S2022" s="11"/>
      <c r="T2022" s="73"/>
      <c r="U2022" s="11"/>
      <c r="V2022" s="229" t="str">
        <f>IFERROR(__xludf.DUMMYFUNCTION("""COMPUTED_VALUE"""),"27/Apr/2026")</f>
        <v>27/Apr/2026</v>
      </c>
      <c r="W2022" s="229"/>
      <c r="X2022" s="229" t="str">
        <f>IFERROR(__xludf.DUMMYFUNCTION("""COMPUTED_VALUE"""),"BELUM GOLIVE")</f>
        <v>BELUM GOLIVE</v>
      </c>
      <c r="Y2022" s="229"/>
      <c r="Z2022" s="229" t="str">
        <f>IFERROR(__xludf.DUMMYFUNCTION("""COMPUTED_VALUE"""),"#N/A")</f>
        <v>#N/A</v>
      </c>
      <c r="AA2022" s="229"/>
      <c r="AB2022" s="229"/>
      <c r="AC2022" s="229"/>
      <c r="AD2022" s="232"/>
      <c r="AE2022" s="233"/>
      <c r="AF2022" s="54"/>
      <c r="AG2022" s="54"/>
      <c r="AH2022" s="54"/>
      <c r="AI2022" s="55" t="str">
        <f t="shared" si="197"/>
        <v/>
      </c>
      <c r="AW2022" s="234"/>
      <c r="BP2022" s="11"/>
      <c r="BQ2022" s="11"/>
      <c r="BR2022" s="235"/>
      <c r="BV2022" s="158"/>
      <c r="BY2022" s="158"/>
      <c r="CB2022" s="158"/>
    </row>
    <row r="2023" ht="18.0" customHeight="1">
      <c r="A2023" s="222">
        <f>IFERROR(__xludf.DUMMYFUNCTION("""COMPUTED_VALUE"""),2026.0)</f>
        <v>2026</v>
      </c>
      <c r="B2023" s="221">
        <f>IFERROR(__xludf.DUMMYFUNCTION("""COMPUTED_VALUE"""),1.1297938E7)</f>
        <v>11297938</v>
      </c>
      <c r="C2023" s="222" t="str">
        <f>IFERROR(__xludf.DUMMYFUNCTION("""COMPUTED_VALUE"""),"RDR UBT PT4 P2I2 DESA SIKABU 2")</f>
        <v>RDR UBT PT4 P2I2 DESA SIKABU 2</v>
      </c>
      <c r="D2023" s="222" t="str">
        <f>IFERROR(__xludf.DUMMYFUNCTION("""COMPUTED_VALUE"""),"REGIONAL I")</f>
        <v>REGIONAL I</v>
      </c>
      <c r="E2023" s="222" t="str">
        <f>IFERROR(__xludf.DUMMYFUNCTION("""COMPUTED_VALUE"""),"RIDAR")</f>
        <v>RIDAR</v>
      </c>
      <c r="F2023" s="222" t="str">
        <f>IFERROR(__xludf.DUMMYFUNCTION("""COMPUTED_VALUE"""),"UBT")</f>
        <v>UBT</v>
      </c>
      <c r="G2023" s="222" t="str">
        <f>IFERROR(__xludf.DUMMYFUNCTION("""COMPUTED_VALUE"""),"SUMBAGTENG")</f>
        <v>SUMBAGTENG</v>
      </c>
      <c r="H2023" s="222" t="str">
        <f>IFERROR(__xludf.DUMMYFUNCTION("""COMPUTED_VALUE"""),"DUMAI")</f>
        <v>DUMAI</v>
      </c>
      <c r="I2023" s="222" t="str">
        <f>IFERROR(__xludf.DUMMYFUNCTION("""COMPUTED_VALUE"""),"Batch 2")</f>
        <v>Batch 2</v>
      </c>
      <c r="J2023" s="225">
        <f>IFERROR(__xludf.DUMMYFUNCTION("""COMPUTED_VALUE"""),24.0)</f>
        <v>24</v>
      </c>
      <c r="K2023" s="224">
        <f>IFERROR(__xludf.DUMMYFUNCTION("""COMPUTED_VALUE"""),192.0)</f>
        <v>192</v>
      </c>
      <c r="L2023" s="226">
        <f>IFERROR(__xludf.DUMMYFUNCTION("""COMPUTED_VALUE"""),1522729.0)</f>
        <v>1522729</v>
      </c>
      <c r="M2023" s="227">
        <f>IFERROR(__xludf.DUMMYFUNCTION("""COMPUTED_VALUE"""),2.92363896E8)</f>
        <v>292363896</v>
      </c>
      <c r="N2023" s="222" t="str">
        <f>IFERROR(__xludf.DUMMYFUNCTION("""COMPUTED_VALUE"""),"PT SINAR KEPRI SEJAHTERA")</f>
        <v>PT SINAR KEPRI SEJAHTERA</v>
      </c>
      <c r="O2023" s="222" t="str">
        <f>IFERROR(__xludf.DUMMYFUNCTION("""COMPUTED_VALUE"""),"0. DROP")</f>
        <v>0. DROP</v>
      </c>
      <c r="P2023" s="222" t="str">
        <f>IFERROR(__xludf.DUMMYFUNCTION("""COMPUTED_VALUE"""),"0.3 Feeder Full")</f>
        <v>0.3 Feeder Full</v>
      </c>
      <c r="Q2023" s="222" t="str">
        <f>IFERROR(__xludf.DUMMYFUNCTION("""COMPUTED_VALUE"""),"20/01 Drop uplink butuh repair (07/01) Persiapan")</f>
        <v>20/01 Drop uplink butuh repair (07/01) Persiapan</v>
      </c>
      <c r="R2023" s="228"/>
      <c r="S2023" s="11"/>
      <c r="T2023" s="11"/>
      <c r="U2023" s="11"/>
      <c r="V2023" s="229" t="str">
        <f>IFERROR(__xludf.DUMMYFUNCTION("""COMPUTED_VALUE"""),"TEGUH IMAM PERDANA")</f>
        <v>TEGUH IMAM PERDANA</v>
      </c>
      <c r="W2023" s="229" t="str">
        <f>IFERROR(__xludf.DUMMYFUNCTION("""COMPUTED_VALUE"""),"DESLITA RAHMADANI")</f>
        <v>DESLITA RAHMADANI</v>
      </c>
      <c r="X2023" s="229" t="str">
        <f>IFERROR(__xludf.DUMMYFUNCTION("""COMPUTED_VALUE"""),"BELUM GOLIVE")</f>
        <v>BELUM GOLIVE</v>
      </c>
      <c r="Y2023" s="229"/>
      <c r="Z2023" s="229"/>
      <c r="AA2023" s="229"/>
      <c r="AB2023" s="229"/>
      <c r="AC2023" s="229"/>
      <c r="AD2023" s="232"/>
      <c r="AE2023" s="233"/>
      <c r="AF2023" s="54"/>
      <c r="AG2023" s="54"/>
      <c r="AH2023" s="54"/>
      <c r="AI2023" s="55" t="str">
        <f t="shared" si="197"/>
        <v/>
      </c>
      <c r="AW2023" s="234"/>
      <c r="BP2023" s="11"/>
      <c r="BQ2023" s="11"/>
      <c r="BR2023" s="235"/>
      <c r="BV2023" s="158"/>
      <c r="BY2023" s="158"/>
      <c r="CB2023" s="158"/>
    </row>
    <row r="2024" ht="18.0" hidden="1" customHeight="1">
      <c r="A2024" s="222">
        <f>IFERROR(__xludf.DUMMYFUNCTION("""COMPUTED_VALUE"""),2026.0)</f>
        <v>2026</v>
      </c>
      <c r="B2024" s="221">
        <f>IFERROR(__xludf.DUMMYFUNCTION("""COMPUTED_VALUE"""),1.123714E7)</f>
        <v>11237140</v>
      </c>
      <c r="C2024" s="222" t="str">
        <f>IFERROR(__xludf.DUMMYFUNCTION("""COMPUTED_VALUE"""),"MDN PT3 P7I10 TJR-FK GG.SYUHADA")</f>
        <v>MDN PT3 P7I10 TJR-FK GG.SYUHADA</v>
      </c>
      <c r="D2024" s="222" t="str">
        <f>IFERROR(__xludf.DUMMYFUNCTION("""COMPUTED_VALUE"""),"REGIONAL I")</f>
        <v>REGIONAL I</v>
      </c>
      <c r="E2024" s="222" t="str">
        <f>IFERROR(__xludf.DUMMYFUNCTION("""COMPUTED_VALUE"""),"MEDAN")</f>
        <v>MEDAN</v>
      </c>
      <c r="F2024" s="222" t="str">
        <f>IFERROR(__xludf.DUMMYFUNCTION("""COMPUTED_VALUE"""),"TJR")</f>
        <v>TJR</v>
      </c>
      <c r="G2024" s="222" t="str">
        <f>IFERROR(__xludf.DUMMYFUNCTION("""COMPUTED_VALUE"""),"SUMBAGUT")</f>
        <v>SUMBAGUT</v>
      </c>
      <c r="H2024" s="222" t="str">
        <f>IFERROR(__xludf.DUMMYFUNCTION("""COMPUTED_VALUE"""),"MEDAN")</f>
        <v>MEDAN</v>
      </c>
      <c r="I2024" s="222" t="str">
        <f>IFERROR(__xludf.DUMMYFUNCTION("""COMPUTED_VALUE"""),"Batch 2")</f>
        <v>Batch 2</v>
      </c>
      <c r="J2024" s="225">
        <f>IFERROR(__xludf.DUMMYFUNCTION("""COMPUTED_VALUE"""),3.0)</f>
        <v>3</v>
      </c>
      <c r="K2024" s="224">
        <f>IFERROR(__xludf.DUMMYFUNCTION("""COMPUTED_VALUE"""),24.0)</f>
        <v>24</v>
      </c>
      <c r="L2024" s="226">
        <f>IFERROR(__xludf.DUMMYFUNCTION("""COMPUTED_VALUE"""),1081160.0)</f>
        <v>1081160</v>
      </c>
      <c r="M2024" s="227">
        <f>IFERROR(__xludf.DUMMYFUNCTION("""COMPUTED_VALUE"""),2.5947829E7)</f>
        <v>25947829</v>
      </c>
      <c r="N2024" s="222" t="str">
        <f>IFERROR(__xludf.DUMMYFUNCTION("""COMPUTED_VALUE"""),"PT MEDCOM SOLUTION")</f>
        <v>PT MEDCOM SOLUTION</v>
      </c>
      <c r="O2024" s="222" t="str">
        <f>IFERROR(__xludf.DUMMYFUNCTION("""COMPUTED_VALUE"""),"0. DROP")</f>
        <v>0. DROP</v>
      </c>
      <c r="P2024" s="222" t="str">
        <f>IFERROR(__xludf.DUMMYFUNCTION("""COMPUTED_VALUE"""),"0.2 Tidak Dapat Izin Warga/Kades/Lurah/Developer")</f>
        <v>0.2 Tidak Dapat Izin Warga/Kades/Lurah/Developer</v>
      </c>
      <c r="Q2024" s="222" t="str">
        <f>IFERROR(__xludf.DUMMYFUNCTION("""COMPUTED_VALUE"""),"19/01 tdk izin space tanam tiang warga
(07/01) Persiapan")</f>
        <v>19/01 tdk izin space tanam tiang warga
(07/01) Persiapan</v>
      </c>
      <c r="R2024" s="228"/>
      <c r="S2024" s="11"/>
      <c r="T2024" s="11"/>
      <c r="U2024" s="11"/>
      <c r="V2024" s="229"/>
      <c r="W2024" s="229"/>
      <c r="X2024" s="229" t="str">
        <f>IFERROR(__xludf.DUMMYFUNCTION("""COMPUTED_VALUE"""),"BELUM GOLIVE")</f>
        <v>BELUM GOLIVE</v>
      </c>
      <c r="Y2024" s="229"/>
      <c r="Z2024" s="229" t="str">
        <f>IFERROR(__xludf.DUMMYFUNCTION("""COMPUTED_VALUE"""),"#N/A")</f>
        <v>#N/A</v>
      </c>
      <c r="AA2024" s="229"/>
      <c r="AB2024" s="229"/>
      <c r="AC2024" s="229"/>
      <c r="AD2024" s="232"/>
      <c r="AE2024" s="233"/>
      <c r="AF2024" s="54" t="str">
        <f>IFERROR(__xludf.DUMMYFUNCTION("""COMPUTED_VALUE"""),"Draft BA DROP")</f>
        <v>Draft BA DROP</v>
      </c>
      <c r="AG2024" s="54"/>
      <c r="AH2024" s="54"/>
      <c r="AI2024" s="55" t="str">
        <f t="shared" si="197"/>
        <v/>
      </c>
      <c r="AW2024" s="234"/>
      <c r="BP2024" s="11"/>
      <c r="BQ2024" s="11"/>
      <c r="BR2024" s="235"/>
      <c r="BV2024" s="158"/>
      <c r="BY2024" s="158"/>
      <c r="CB2024" s="158"/>
    </row>
    <row r="2025" ht="18.0" hidden="1" customHeight="1">
      <c r="A2025" s="222">
        <f>IFERROR(__xludf.DUMMYFUNCTION("""COMPUTED_VALUE"""),2026.0)</f>
        <v>2026</v>
      </c>
      <c r="B2025" s="221">
        <f>IFERROR(__xludf.DUMMYFUNCTION("""COMPUTED_VALUE"""),1.1478826E7)</f>
        <v>11478826</v>
      </c>
      <c r="C2025" s="222" t="str">
        <f>IFERROR(__xludf.DUMMYFUNCTION("""COMPUTED_VALUE"""),"BNK-PT3-JPPTSEL-PADANG JATI 1-2-BNC-FDF")</f>
        <v>BNK-PT3-JPPTSEL-PADANG JATI 1-2-BNC-FDF</v>
      </c>
      <c r="D2025" s="222" t="str">
        <f>IFERROR(__xludf.DUMMYFUNCTION("""COMPUTED_VALUE"""),"REGIONAL I")</f>
        <v>REGIONAL I</v>
      </c>
      <c r="E2025" s="222" t="str">
        <f>IFERROR(__xludf.DUMMYFUNCTION("""COMPUTED_VALUE"""),"BENGKULU")</f>
        <v>BENGKULU</v>
      </c>
      <c r="F2025" s="222" t="str">
        <f>IFERROR(__xludf.DUMMYFUNCTION("""COMPUTED_VALUE"""),"BNC")</f>
        <v>BNC</v>
      </c>
      <c r="G2025" s="222" t="str">
        <f>IFERROR(__xludf.DUMMYFUNCTION("""COMPUTED_VALUE"""),"SUMBAGSEL")</f>
        <v>SUMBAGSEL</v>
      </c>
      <c r="H2025" s="222" t="str">
        <f>IFERROR(__xludf.DUMMYFUNCTION("""COMPUTED_VALUE"""),"BENGKULU")</f>
        <v>BENGKULU</v>
      </c>
      <c r="I2025" s="222" t="str">
        <f>IFERROR(__xludf.DUMMYFUNCTION("""COMPUTED_VALUE"""),"Batch 2")</f>
        <v>Batch 2</v>
      </c>
      <c r="J2025" s="225">
        <f>IFERROR(__xludf.DUMMYFUNCTION("""COMPUTED_VALUE"""),16.0)</f>
        <v>16</v>
      </c>
      <c r="K2025" s="224">
        <f>IFERROR(__xludf.DUMMYFUNCTION("""COMPUTED_VALUE"""),128.0)</f>
        <v>128</v>
      </c>
      <c r="L2025" s="226">
        <f>IFERROR(__xludf.DUMMYFUNCTION("""COMPUTED_VALUE"""),1527569.0)</f>
        <v>1527569</v>
      </c>
      <c r="M2025" s="227">
        <f>IFERROR(__xludf.DUMMYFUNCTION("""COMPUTED_VALUE"""),1.95528798E8)</f>
        <v>195528798</v>
      </c>
      <c r="N2025" s="222" t="str">
        <f>IFERROR(__xludf.DUMMYFUNCTION("""COMPUTED_VALUE"""),"PT Raharja Prakarsa Nusantara")</f>
        <v>PT Raharja Prakarsa Nusantara</v>
      </c>
      <c r="O2025" s="222" t="str">
        <f>IFERROR(__xludf.DUMMYFUNCTION("""COMPUTED_VALUE"""),"0. DROP")</f>
        <v>0. DROP</v>
      </c>
      <c r="P2025" s="222" t="str">
        <f>IFERROR(__xludf.DUMMYFUNCTION("""COMPUTED_VALUE"""),"0.2 Tidak Dapat Izin Warga/Kades/Lurah/Developer")</f>
        <v>0.2 Tidak Dapat Izin Warga/Kades/Lurah/Developer</v>
      </c>
      <c r="Q2025" s="222" t="str">
        <f>IFERROR(__xludf.DUMMYFUNCTION("""COMPUTED_VALUE"""),"22/2 tidak mendapat IZIN 23/01 : Drop by TSEL")</f>
        <v>22/2 tidak mendapat IZIN 23/01 : Drop by TSEL</v>
      </c>
      <c r="R2025" s="228"/>
      <c r="S2025" s="11"/>
      <c r="T2025" s="11"/>
      <c r="U2025" s="11"/>
      <c r="V2025" s="229"/>
      <c r="W2025" s="229"/>
      <c r="X2025" s="229" t="str">
        <f>IFERROR(__xludf.DUMMYFUNCTION("""COMPUTED_VALUE"""),"BELUM GOLIVE")</f>
        <v>BELUM GOLIVE</v>
      </c>
      <c r="Y2025" s="229"/>
      <c r="Z2025" s="229" t="str">
        <f>IFERROR(__xludf.DUMMYFUNCTION("""COMPUTED_VALUE"""),"#N/A")</f>
        <v>#N/A</v>
      </c>
      <c r="AA2025" s="229"/>
      <c r="AB2025" s="229"/>
      <c r="AC2025" s="229"/>
      <c r="AD2025" s="232"/>
      <c r="AE2025" s="233"/>
      <c r="AF2025" s="54" t="str">
        <f>IFERROR(__xludf.DUMMYFUNCTION("""COMPUTED_VALUE"""),"Draft BA DROP")</f>
        <v>Draft BA DROP</v>
      </c>
      <c r="AG2025" s="54"/>
      <c r="AH2025" s="54"/>
      <c r="AI2025" s="55" t="str">
        <f t="shared" si="197"/>
        <v/>
      </c>
      <c r="AW2025" s="234"/>
      <c r="BP2025" s="11"/>
      <c r="BQ2025" s="11"/>
      <c r="BR2025" s="235"/>
      <c r="BV2025" s="158"/>
      <c r="BY2025" s="158"/>
      <c r="CB2025" s="158"/>
    </row>
    <row r="2026" ht="18.0" customHeight="1">
      <c r="A2026" s="222">
        <f>IFERROR(__xludf.DUMMYFUNCTION("""COMPUTED_VALUE"""),2026.0)</f>
        <v>2026</v>
      </c>
      <c r="B2026" s="221">
        <f>IFERROR(__xludf.DUMMYFUNCTION("""COMPUTED_VALUE"""),1.1516615E7)</f>
        <v>11516615</v>
      </c>
      <c r="C2026" s="222" t="str">
        <f>IFERROR(__xludf.DUMMYFUNCTION("""COMPUTED_VALUE"""),"RKP PT3 TSEL BDS-FQ TIBAN GEMILANG")</f>
        <v>RKP PT3 TSEL BDS-FQ TIBAN GEMILANG</v>
      </c>
      <c r="D2026" s="222" t="str">
        <f>IFERROR(__xludf.DUMMYFUNCTION("""COMPUTED_VALUE"""),"REGIONAL I")</f>
        <v>REGIONAL I</v>
      </c>
      <c r="E2026" s="222" t="str">
        <f>IFERROR(__xludf.DUMMYFUNCTION("""COMPUTED_VALUE"""),"RIKEP")</f>
        <v>RIKEP</v>
      </c>
      <c r="F2026" s="222" t="str">
        <f>IFERROR(__xludf.DUMMYFUNCTION("""COMPUTED_VALUE"""),"DGS")</f>
        <v>DGS</v>
      </c>
      <c r="G2026" s="222" t="str">
        <f>IFERROR(__xludf.DUMMYFUNCTION("""COMPUTED_VALUE"""),"SUMBAGTENG")</f>
        <v>SUMBAGTENG</v>
      </c>
      <c r="H2026" s="222" t="str">
        <f>IFERROR(__xludf.DUMMYFUNCTION("""COMPUTED_VALUE"""),"BATAM")</f>
        <v>BATAM</v>
      </c>
      <c r="I2026" s="222" t="str">
        <f>IFERROR(__xludf.DUMMYFUNCTION("""COMPUTED_VALUE"""),"Batch 2")</f>
        <v>Batch 2</v>
      </c>
      <c r="J2026" s="225">
        <f>IFERROR(__xludf.DUMMYFUNCTION("""COMPUTED_VALUE"""),1.0)</f>
        <v>1</v>
      </c>
      <c r="K2026" s="224">
        <f>IFERROR(__xludf.DUMMYFUNCTION("""COMPUTED_VALUE"""),8.0)</f>
        <v>8</v>
      </c>
      <c r="L2026" s="226">
        <f>IFERROR(__xludf.DUMMYFUNCTION("""COMPUTED_VALUE"""),1532248.0)</f>
        <v>1532248</v>
      </c>
      <c r="M2026" s="227">
        <f>IFERROR(__xludf.DUMMYFUNCTION("""COMPUTED_VALUE"""),1.225798E7)</f>
        <v>12257980</v>
      </c>
      <c r="N2026" s="222" t="str">
        <f>IFERROR(__xludf.DUMMYFUNCTION("""COMPUTED_VALUE"""),"PT MITRA SETIA INDONESIA")</f>
        <v>PT MITRA SETIA INDONESIA</v>
      </c>
      <c r="O2026" s="222" t="str">
        <f>IFERROR(__xludf.DUMMYFUNCTION("""COMPUTED_VALUE"""),"7. GOLIVE")</f>
        <v>7. GOLIVE</v>
      </c>
      <c r="P2026" s="222" t="str">
        <f>IFERROR(__xludf.DUMMYFUNCTION("""COMPUTED_VALUE"""),"7.2 Golive Full / OA / DONE OTB")</f>
        <v>7.2 Golive Full / OA / DONE OTB</v>
      </c>
      <c r="Q2026" s="222" t="str">
        <f>IFERROR(__xludf.DUMMYFUNCTION("""COMPUTED_VALUE"""),"30/03 Proses GOLIVE. 12/03 Proses valins HI. 05/03 Terminasi butuh skywalker. 27/02 Terminasi ODP. 12/02 Proses req material. 09/02 Core dist dan feeder OK, proses perizinan. 28/01 Plan survey 29 Jan. 21/01 plan survey minggu depan tgl 26")</f>
        <v>30/03 Proses GOLIVE. 12/03 Proses valins HI. 05/03 Terminasi butuh skywalker. 27/02 Terminasi ODP. 12/02 Proses req material. 09/02 Core dist dan feeder OK, proses perizinan. 28/01 Plan survey 29 Jan. 21/01 plan survey minggu depan tgl 26</v>
      </c>
      <c r="R2026" s="228">
        <f>IFERROR(__xludf.DUMMYFUNCTION("""COMPUTED_VALUE"""),46091.0)</f>
        <v>46091</v>
      </c>
      <c r="S2026" s="11" t="str">
        <f>IFERROR(__xludf.DUMMYFUNCTION("""COMPUTED_VALUE"""),"MAR")</f>
        <v>MAR</v>
      </c>
      <c r="T2026" s="11"/>
      <c r="U2026" s="11" t="str">
        <f>IFERROR(__xludf.DUMMYFUNCTION("""COMPUTED_VALUE"""),"W09-166/2026")</f>
        <v>W09-166/2026</v>
      </c>
      <c r="V2026" s="229" t="str">
        <f>IFERROR(__xludf.DUMMYFUNCTION("""COMPUTED_VALUE"""),"GANI PRASTYO")</f>
        <v>GANI PRASTYO</v>
      </c>
      <c r="W2026" s="229" t="str">
        <f>IFERROR(__xludf.DUMMYFUNCTION("""COMPUTED_VALUE"""),"LEVITA INDRIYANI")</f>
        <v>LEVITA INDRIYANI</v>
      </c>
      <c r="X2026" s="229" t="str">
        <f>IFERROR(__xludf.DUMMYFUNCTION("""COMPUTED_VALUE"""),"GOLIVE")</f>
        <v>GOLIVE</v>
      </c>
      <c r="Y2026" s="229" t="str">
        <f>IFERROR(__xludf.DUMMYFUNCTION("""COMPUTED_VALUE"""),"DONE")</f>
        <v>DONE</v>
      </c>
      <c r="Z2026" s="229" t="str">
        <f>IFERROR(__xludf.DUMMYFUNCTION("""COMPUTED_VALUE"""),"#N/A")</f>
        <v>#N/A</v>
      </c>
      <c r="AA2026" s="229">
        <f>IFERROR(__xludf.DUMMYFUNCTION("""COMPUTED_VALUE"""),1.0)</f>
        <v>1</v>
      </c>
      <c r="AB2026" s="229"/>
      <c r="AC2026" s="229" t="str">
        <f>IFERROR(__xludf.DUMMYFUNCTION("""COMPUTED_VALUE"""),"9144349#9144354")</f>
        <v>9144349#9144354</v>
      </c>
      <c r="AD2026" s="232">
        <f>IFERROR(__xludf.DUMMYFUNCTION("""COMPUTED_VALUE"""),8.0)</f>
        <v>8</v>
      </c>
      <c r="AE2026" s="233">
        <f>IFERROR(__xludf.DUMMYFUNCTION("""COMPUTED_VALUE"""),46112.0)</f>
        <v>46112</v>
      </c>
      <c r="AF2026" s="54"/>
      <c r="AG2026" s="54"/>
      <c r="AH2026" s="54">
        <v>46138.0</v>
      </c>
      <c r="AI2026" s="237">
        <f>AH2026-NOW()</f>
        <v>-2.377989942</v>
      </c>
      <c r="AJ2026" s="229" t="str">
        <f>if(AI2026&gt;=0,"In Komitmen","Out Komitmen")</f>
        <v>Out Komitmen</v>
      </c>
      <c r="AW2026" s="234"/>
      <c r="BP2026" s="11"/>
      <c r="BQ2026" s="11"/>
      <c r="BR2026" s="235"/>
      <c r="BV2026" s="158"/>
      <c r="BY2026" s="158"/>
      <c r="CB2026" s="158"/>
    </row>
    <row r="2027" ht="18.0" customHeight="1">
      <c r="A2027" s="222">
        <f>IFERROR(__xludf.DUMMYFUNCTION("""COMPUTED_VALUE"""),2026.0)</f>
        <v>2026</v>
      </c>
      <c r="B2027" s="221">
        <f>IFERROR(__xludf.DUMMYFUNCTION("""COMPUTED_VALUE"""),1.1378173E7)</f>
        <v>11378173</v>
      </c>
      <c r="C2027" s="222" t="str">
        <f>IFERROR(__xludf.DUMMYFUNCTION("""COMPUTED_VALUE"""),"RKP PT4 TSEL DBS-FXX RAYA BAWAH DABO")</f>
        <v>RKP PT4 TSEL DBS-FXX RAYA BAWAH DABO</v>
      </c>
      <c r="D2027" s="222" t="str">
        <f>IFERROR(__xludf.DUMMYFUNCTION("""COMPUTED_VALUE"""),"REGIONAL I")</f>
        <v>REGIONAL I</v>
      </c>
      <c r="E2027" s="222" t="str">
        <f>IFERROR(__xludf.DUMMYFUNCTION("""COMPUTED_VALUE"""),"RIKEP")</f>
        <v>RIKEP</v>
      </c>
      <c r="F2027" s="222" t="str">
        <f>IFERROR(__xludf.DUMMYFUNCTION("""COMPUTED_VALUE"""),"DBS")</f>
        <v>DBS</v>
      </c>
      <c r="G2027" s="222" t="str">
        <f>IFERROR(__xludf.DUMMYFUNCTION("""COMPUTED_VALUE"""),"SUMBAGTENG")</f>
        <v>SUMBAGTENG</v>
      </c>
      <c r="H2027" s="222" t="str">
        <f>IFERROR(__xludf.DUMMYFUNCTION("""COMPUTED_VALUE"""),"BATAM")</f>
        <v>BATAM</v>
      </c>
      <c r="I2027" s="222" t="str">
        <f>IFERROR(__xludf.DUMMYFUNCTION("""COMPUTED_VALUE"""),"Batch 2")</f>
        <v>Batch 2</v>
      </c>
      <c r="J2027" s="225">
        <f>IFERROR(__xludf.DUMMYFUNCTION("""COMPUTED_VALUE"""),6.0)</f>
        <v>6</v>
      </c>
      <c r="K2027" s="224">
        <f>IFERROR(__xludf.DUMMYFUNCTION("""COMPUTED_VALUE"""),48.0)</f>
        <v>48</v>
      </c>
      <c r="L2027" s="226">
        <f>IFERROR(__xludf.DUMMYFUNCTION("""COMPUTED_VALUE"""),1533500.0)</f>
        <v>1533500</v>
      </c>
      <c r="M2027" s="227">
        <f>IFERROR(__xludf.DUMMYFUNCTION("""COMPUTED_VALUE"""),7.3607962E7)</f>
        <v>73607962</v>
      </c>
      <c r="N2027" s="222" t="str">
        <f>IFERROR(__xludf.DUMMYFUNCTION("""COMPUTED_VALUE"""),"SWAKELOLA")</f>
        <v>SWAKELOLA</v>
      </c>
      <c r="O2027" s="222" t="str">
        <f>IFERROR(__xludf.DUMMYFUNCTION("""COMPUTED_VALUE"""),"4. MATDEL")</f>
        <v>4. MATDEL</v>
      </c>
      <c r="P2027" s="222" t="str">
        <f>IFERROR(__xludf.DUMMYFUNCTION("""COMPUTED_VALUE"""),"4.3 Proses Kirim Mateial Kelokasi")</f>
        <v>4.3 Proses Kirim Mateial Kelokasi</v>
      </c>
      <c r="Q2027"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2027" s="228"/>
      <c r="S2027" s="11"/>
      <c r="T2027" s="11"/>
      <c r="U2027" s="11" t="str">
        <f>IFERROR(__xludf.DUMMYFUNCTION("""COMPUTED_VALUE"""),"W09-301/2026")</f>
        <v>W09-301/2026</v>
      </c>
      <c r="V2027" s="229" t="str">
        <f>IFERROR(__xludf.DUMMYFUNCTION("""COMPUTED_VALUE"""),"DEDY IRAWAN")</f>
        <v>DEDY IRAWAN</v>
      </c>
      <c r="W2027" s="229" t="str">
        <f>IFERROR(__xludf.DUMMYFUNCTION("""COMPUTED_VALUE"""),"LEVITA INDRIYANI")</f>
        <v>LEVITA INDRIYANI</v>
      </c>
      <c r="X2027" s="229" t="str">
        <f>IFERROR(__xludf.DUMMYFUNCTION("""COMPUTED_VALUE"""),"BELUM GOLIVE")</f>
        <v>BELUM GOLIVE</v>
      </c>
      <c r="Y2027" s="229"/>
      <c r="Z2027" s="229" t="str">
        <f>IFERROR(__xludf.DUMMYFUNCTION("""COMPUTED_VALUE"""),"#N/A")</f>
        <v>#N/A</v>
      </c>
      <c r="AA2027" s="229"/>
      <c r="AB2027" s="229"/>
      <c r="AC2027" s="229"/>
      <c r="AD2027" s="232"/>
      <c r="AE2027" s="233"/>
      <c r="AF2027" s="54"/>
      <c r="AG2027" s="54"/>
      <c r="AH2027" s="54"/>
      <c r="AI2027" s="55" t="str">
        <f t="shared" ref="AI2027:AI2029" si="198">IF(OR(R2027="",AE2027=""),"",R2027-AE2027)</f>
        <v/>
      </c>
      <c r="AW2027" s="234"/>
      <c r="BP2027" s="11"/>
      <c r="BQ2027" s="11"/>
      <c r="BR2027" s="235"/>
      <c r="BV2027" s="158"/>
      <c r="BY2027" s="158"/>
      <c r="CB2027" s="158"/>
    </row>
    <row r="2028" ht="18.0" hidden="1" customHeight="1">
      <c r="A2028" s="222">
        <f>IFERROR(__xludf.DUMMYFUNCTION("""COMPUTED_VALUE"""),2026.0)</f>
        <v>2026</v>
      </c>
      <c r="B2028" s="221">
        <f>IFERROR(__xludf.DUMMYFUNCTION("""COMPUTED_VALUE"""),1.1324089E7)</f>
        <v>11324089</v>
      </c>
      <c r="C2028" s="222" t="str">
        <f>IFERROR(__xludf.DUMMYFUNCTION("""COMPUTED_VALUE"""),"MDN PT3 DLT-FAD JL.ADI KARYA")</f>
        <v>MDN PT3 DLT-FAD JL.ADI KARYA</v>
      </c>
      <c r="D2028" s="222" t="str">
        <f>IFERROR(__xludf.DUMMYFUNCTION("""COMPUTED_VALUE"""),"REGIONAL I")</f>
        <v>REGIONAL I</v>
      </c>
      <c r="E2028" s="222" t="str">
        <f>IFERROR(__xludf.DUMMYFUNCTION("""COMPUTED_VALUE"""),"MEDAN")</f>
        <v>MEDAN</v>
      </c>
      <c r="F2028" s="222" t="str">
        <f>IFERROR(__xludf.DUMMYFUNCTION("""COMPUTED_VALUE"""),"DLT")</f>
        <v>DLT</v>
      </c>
      <c r="G2028" s="222" t="str">
        <f>IFERROR(__xludf.DUMMYFUNCTION("""COMPUTED_VALUE"""),"SUMBAGUT")</f>
        <v>SUMBAGUT</v>
      </c>
      <c r="H2028" s="222" t="str">
        <f>IFERROR(__xludf.DUMMYFUNCTION("""COMPUTED_VALUE"""),"MEDAN")</f>
        <v>MEDAN</v>
      </c>
      <c r="I2028" s="222" t="str">
        <f>IFERROR(__xludf.DUMMYFUNCTION("""COMPUTED_VALUE"""),"Batch 2")</f>
        <v>Batch 2</v>
      </c>
      <c r="J2028" s="225">
        <f>IFERROR(__xludf.DUMMYFUNCTION("""COMPUTED_VALUE"""),2.0)</f>
        <v>2</v>
      </c>
      <c r="K2028" s="224">
        <f>IFERROR(__xludf.DUMMYFUNCTION("""COMPUTED_VALUE"""),16.0)</f>
        <v>16</v>
      </c>
      <c r="L2028" s="226">
        <f>IFERROR(__xludf.DUMMYFUNCTION("""COMPUTED_VALUE"""),1190524.0)</f>
        <v>1190524</v>
      </c>
      <c r="M2028" s="227">
        <f>IFERROR(__xludf.DUMMYFUNCTION("""COMPUTED_VALUE"""),1.9048379E7)</f>
        <v>19048379</v>
      </c>
      <c r="N2028" s="222" t="str">
        <f>IFERROR(__xludf.DUMMYFUNCTION("""COMPUTED_VALUE"""),"PT UPENTEL INTERNASIONAL")</f>
        <v>PT UPENTEL INTERNASIONAL</v>
      </c>
      <c r="O2028" s="222" t="str">
        <f>IFERROR(__xludf.DUMMYFUNCTION("""COMPUTED_VALUE"""),"0. DROP")</f>
        <v>0. DROP</v>
      </c>
      <c r="P2028" s="222" t="str">
        <f>IFERROR(__xludf.DUMMYFUNCTION("""COMPUTED_VALUE"""),"0.4 CPP Tinggi Acc ED TIF")</f>
        <v>0.4 CPP Tinggi Acc ED TIF</v>
      </c>
      <c r="Q2028"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2028" s="228"/>
      <c r="S2028" s="11"/>
      <c r="T2028" s="11"/>
      <c r="U2028" s="11"/>
      <c r="V2028" s="229"/>
      <c r="W2028" s="229"/>
      <c r="X2028" s="229" t="str">
        <f>IFERROR(__xludf.DUMMYFUNCTION("""COMPUTED_VALUE"""),"BELUM GOLIVE")</f>
        <v>BELUM GOLIVE</v>
      </c>
      <c r="Y2028" s="229"/>
      <c r="Z2028" s="229" t="str">
        <f>IFERROR(__xludf.DUMMYFUNCTION("""COMPUTED_VALUE"""),"#N/A")</f>
        <v>#N/A</v>
      </c>
      <c r="AA2028" s="229"/>
      <c r="AB2028" s="229"/>
      <c r="AC2028" s="229"/>
      <c r="AD2028" s="232"/>
      <c r="AE2028" s="233"/>
      <c r="AF2028" s="54" t="str">
        <f>IFERROR(__xludf.DUMMYFUNCTION("""COMPUTED_VALUE"""),"Draft BA DROP")</f>
        <v>Draft BA DROP</v>
      </c>
      <c r="AG2028" s="54"/>
      <c r="AH2028" s="54"/>
      <c r="AI2028" s="55" t="str">
        <f t="shared" si="198"/>
        <v/>
      </c>
      <c r="AW2028" s="234"/>
      <c r="BP2028" s="11"/>
      <c r="BQ2028" s="11"/>
      <c r="BR2028" s="235"/>
      <c r="BV2028" s="158"/>
      <c r="BY2028" s="158"/>
      <c r="CB2028" s="158"/>
    </row>
    <row r="2029" ht="18.0" hidden="1" customHeight="1">
      <c r="A2029" s="222">
        <f>IFERROR(__xludf.DUMMYFUNCTION("""COMPUTED_VALUE"""),2026.0)</f>
        <v>2026</v>
      </c>
      <c r="B2029" s="221">
        <f>IFERROR(__xludf.DUMMYFUNCTION("""COMPUTED_VALUE"""),1.1367613E7)</f>
        <v>11367613</v>
      </c>
      <c r="C2029" s="222" t="str">
        <f>IFERROR(__xludf.DUMMYFUNCTION("""COMPUTED_VALUE"""),"MDN PT3 DELI SERDANG_16394")</f>
        <v>MDN PT3 DELI SERDANG_16394</v>
      </c>
      <c r="D2029" s="222" t="str">
        <f>IFERROR(__xludf.DUMMYFUNCTION("""COMPUTED_VALUE"""),"REGIONAL I")</f>
        <v>REGIONAL I</v>
      </c>
      <c r="E2029" s="222" t="str">
        <f>IFERROR(__xludf.DUMMYFUNCTION("""COMPUTED_VALUE"""),"MEDAN")</f>
        <v>MEDAN</v>
      </c>
      <c r="F2029" s="222" t="str">
        <f>IFERROR(__xludf.DUMMYFUNCTION("""COMPUTED_VALUE"""),"DLT")</f>
        <v>DLT</v>
      </c>
      <c r="G2029" s="222" t="str">
        <f>IFERROR(__xludf.DUMMYFUNCTION("""COMPUTED_VALUE"""),"SUMBAGUT")</f>
        <v>SUMBAGUT</v>
      </c>
      <c r="H2029" s="222" t="str">
        <f>IFERROR(__xludf.DUMMYFUNCTION("""COMPUTED_VALUE"""),"MEDAN")</f>
        <v>MEDAN</v>
      </c>
      <c r="I2029" s="222" t="str">
        <f>IFERROR(__xludf.DUMMYFUNCTION("""COMPUTED_VALUE"""),"Batch 2")</f>
        <v>Batch 2</v>
      </c>
      <c r="J2029" s="225">
        <f>IFERROR(__xludf.DUMMYFUNCTION("""COMPUTED_VALUE"""),1.0)</f>
        <v>1</v>
      </c>
      <c r="K2029" s="224">
        <f>IFERROR(__xludf.DUMMYFUNCTION("""COMPUTED_VALUE"""),8.0)</f>
        <v>8</v>
      </c>
      <c r="L2029" s="226">
        <f>IFERROR(__xludf.DUMMYFUNCTION("""COMPUTED_VALUE"""),397045.0)</f>
        <v>397045</v>
      </c>
      <c r="M2029" s="227">
        <f>IFERROR(__xludf.DUMMYFUNCTION("""COMPUTED_VALUE"""),3176357.0)</f>
        <v>3176357</v>
      </c>
      <c r="N2029" s="222" t="str">
        <f>IFERROR(__xludf.DUMMYFUNCTION("""COMPUTED_VALUE"""),"PT UPENTEL INTERNASIONAL")</f>
        <v>PT UPENTEL INTERNASIONAL</v>
      </c>
      <c r="O2029" s="222" t="str">
        <f>IFERROR(__xludf.DUMMYFUNCTION("""COMPUTED_VALUE"""),"0. DROP")</f>
        <v>0. DROP</v>
      </c>
      <c r="P2029" s="222" t="str">
        <f>IFERROR(__xludf.DUMMYFUNCTION("""COMPUTED_VALUE"""),"0.3 Feeder Full")</f>
        <v>0.3 Feeder Full</v>
      </c>
      <c r="Q2029"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2029" s="228"/>
      <c r="S2029" s="11"/>
      <c r="T2029" s="11"/>
      <c r="U2029" s="11"/>
      <c r="V2029" s="229"/>
      <c r="W2029" s="229"/>
      <c r="X2029" s="229" t="str">
        <f>IFERROR(__xludf.DUMMYFUNCTION("""COMPUTED_VALUE"""),"BELUM GOLIVE")</f>
        <v>BELUM GOLIVE</v>
      </c>
      <c r="Y2029" s="229"/>
      <c r="Z2029" s="229" t="str">
        <f>IFERROR(__xludf.DUMMYFUNCTION("""COMPUTED_VALUE"""),"#N/A")</f>
        <v>#N/A</v>
      </c>
      <c r="AA2029" s="229"/>
      <c r="AB2029" s="229"/>
      <c r="AC2029" s="229"/>
      <c r="AD2029" s="232"/>
      <c r="AE2029" s="233"/>
      <c r="AF2029" s="54"/>
      <c r="AG2029" s="54"/>
      <c r="AH2029" s="54"/>
      <c r="AI2029" s="55" t="str">
        <f t="shared" si="198"/>
        <v/>
      </c>
      <c r="AW2029" s="234"/>
      <c r="BP2029" s="11"/>
      <c r="BQ2029" s="11"/>
      <c r="BR2029" s="235"/>
      <c r="BV2029" s="158"/>
      <c r="BY2029" s="158"/>
      <c r="CB2029" s="158"/>
    </row>
    <row r="2030" ht="18.0" hidden="1" customHeight="1">
      <c r="A2030" s="222">
        <f>IFERROR(__xludf.DUMMYFUNCTION("""COMPUTED_VALUE"""),2026.0)</f>
        <v>2026</v>
      </c>
      <c r="B2030" s="221">
        <f>IFERROR(__xludf.DUMMYFUNCTION("""COMPUTED_VALUE"""),1.1082172E7)</f>
        <v>11082172</v>
      </c>
      <c r="C2030" s="222" t="str">
        <f>IFERROR(__xludf.DUMMYFUNCTION("""COMPUTED_VALUE"""),"MDN PT3 P7I1 CTD-FCP KOMP GRIYA PUKAT ASRI")</f>
        <v>MDN PT3 P7I1 CTD-FCP KOMP GRIYA PUKAT ASRI</v>
      </c>
      <c r="D2030" s="222" t="str">
        <f>IFERROR(__xludf.DUMMYFUNCTION("""COMPUTED_VALUE"""),"REGIONAL I")</f>
        <v>REGIONAL I</v>
      </c>
      <c r="E2030" s="222" t="str">
        <f>IFERROR(__xludf.DUMMYFUNCTION("""COMPUTED_VALUE"""),"MEDAN")</f>
        <v>MEDAN</v>
      </c>
      <c r="F2030" s="222" t="str">
        <f>IFERROR(__xludf.DUMMYFUNCTION("""COMPUTED_VALUE"""),"CTD")</f>
        <v>CTD</v>
      </c>
      <c r="G2030" s="222" t="str">
        <f>IFERROR(__xludf.DUMMYFUNCTION("""COMPUTED_VALUE"""),"SUMBAGUT")</f>
        <v>SUMBAGUT</v>
      </c>
      <c r="H2030" s="222" t="str">
        <f>IFERROR(__xludf.DUMMYFUNCTION("""COMPUTED_VALUE"""),"MEDAN")</f>
        <v>MEDAN</v>
      </c>
      <c r="I2030" s="222" t="str">
        <f>IFERROR(__xludf.DUMMYFUNCTION("""COMPUTED_VALUE"""),"Batch 2")</f>
        <v>Batch 2</v>
      </c>
      <c r="J2030" s="225">
        <f>IFERROR(__xludf.DUMMYFUNCTION("""COMPUTED_VALUE"""),10.0)</f>
        <v>10</v>
      </c>
      <c r="K2030" s="224">
        <f>IFERROR(__xludf.DUMMYFUNCTION("""COMPUTED_VALUE"""),80.0)</f>
        <v>80</v>
      </c>
      <c r="L2030" s="226">
        <f>IFERROR(__xludf.DUMMYFUNCTION("""COMPUTED_VALUE"""),1011008.0)</f>
        <v>1011008</v>
      </c>
      <c r="M2030" s="227">
        <f>IFERROR(__xludf.DUMMYFUNCTION("""COMPUTED_VALUE"""),8.0880589E7)</f>
        <v>80880589</v>
      </c>
      <c r="N2030" s="222" t="str">
        <f>IFERROR(__xludf.DUMMYFUNCTION("""COMPUTED_VALUE"""),"PT TRIPOLA PANATA")</f>
        <v>PT TRIPOLA PANATA</v>
      </c>
      <c r="O2030" s="222" t="str">
        <f>IFERROR(__xludf.DUMMYFUNCTION("""COMPUTED_VALUE"""),"2. DONE AANWIJZING")</f>
        <v>2. DONE AANWIJZING</v>
      </c>
      <c r="P2030" s="222" t="str">
        <f>IFERROR(__xludf.DUMMYFUNCTION("""COMPUTED_VALUE"""),"2.10 Kendala - Feeder Rusak")</f>
        <v>2.10 Kendala - Feeder Rusak</v>
      </c>
      <c r="Q2030" s="222" t="str">
        <f>IFERROR(__xludf.DUMMYFUNCTION("""COMPUTED_VALUE"""),"22/04 pengecekan tipus butuh QE
14/11 Feeder redeti
15/09 proses aanwijzing")</f>
        <v>22/04 pengecekan tipus butuh QE
14/11 Feeder redeti
15/09 proses aanwijzing</v>
      </c>
      <c r="R2030" s="228"/>
      <c r="S2030" s="11"/>
      <c r="T2030" s="11"/>
      <c r="U2030" s="11"/>
      <c r="V2030" s="229"/>
      <c r="W2030" s="229"/>
      <c r="X2030" s="229" t="str">
        <f>IFERROR(__xludf.DUMMYFUNCTION("""COMPUTED_VALUE"""),"BELUM GOLIVE")</f>
        <v>BELUM GOLIVE</v>
      </c>
      <c r="Y2030" s="229"/>
      <c r="Z2030" s="229" t="str">
        <f>IFERROR(__xludf.DUMMYFUNCTION("""COMPUTED_VALUE"""),"#N/A")</f>
        <v>#N/A</v>
      </c>
      <c r="AA2030" s="229"/>
      <c r="AB2030" s="229"/>
      <c r="AC2030" s="229"/>
      <c r="AD2030" s="232"/>
      <c r="AE2030" s="233"/>
      <c r="AF2030" s="54"/>
      <c r="AG2030" s="54"/>
      <c r="AH2030" s="54">
        <v>46130.0</v>
      </c>
      <c r="AI2030" s="237">
        <f>AH2030-NOW()</f>
        <v>-10.37798994</v>
      </c>
      <c r="AJ2030" s="229" t="str">
        <f>if(AI2030&gt;=0,"in Komitmen","Out komitmen")</f>
        <v>Out komitmen</v>
      </c>
      <c r="AK2030" s="229" t="s">
        <v>199</v>
      </c>
      <c r="AW2030" s="234"/>
      <c r="BP2030" s="11"/>
      <c r="BQ2030" s="11"/>
      <c r="BR2030" s="235"/>
      <c r="BV2030" s="158"/>
      <c r="BY2030" s="158"/>
      <c r="CB2030" s="158"/>
    </row>
    <row r="2031" ht="18.0" customHeight="1">
      <c r="A2031" s="222">
        <f>IFERROR(__xludf.DUMMYFUNCTION("""COMPUTED_VALUE"""),2026.0)</f>
        <v>2026</v>
      </c>
      <c r="B2031" s="221">
        <f>IFERROR(__xludf.DUMMYFUNCTION("""COMPUTED_VALUE"""),1.1198055E7)</f>
        <v>11198055</v>
      </c>
      <c r="C2031" s="222" t="str">
        <f>IFERROR(__xludf.DUMMYFUNCTION("""COMPUTED_VALUE"""),"RKP PT3 TSEL TJT-FG JL. JEND SUDIRMAN")</f>
        <v>RKP PT3 TSEL TJT-FG JL. JEND SUDIRMAN</v>
      </c>
      <c r="D2031" s="222" t="str">
        <f>IFERROR(__xludf.DUMMYFUNCTION("""COMPUTED_VALUE"""),"REGIONAL I")</f>
        <v>REGIONAL I</v>
      </c>
      <c r="E2031" s="222" t="str">
        <f>IFERROR(__xludf.DUMMYFUNCTION("""COMPUTED_VALUE"""),"RIKEP")</f>
        <v>RIKEP</v>
      </c>
      <c r="F2031" s="222" t="str">
        <f>IFERROR(__xludf.DUMMYFUNCTION("""COMPUTED_VALUE"""),"TJT")</f>
        <v>TJT</v>
      </c>
      <c r="G2031" s="222" t="str">
        <f>IFERROR(__xludf.DUMMYFUNCTION("""COMPUTED_VALUE"""),"SUMBAGTENG")</f>
        <v>SUMBAGTENG</v>
      </c>
      <c r="H2031" s="222" t="str">
        <f>IFERROR(__xludf.DUMMYFUNCTION("""COMPUTED_VALUE"""),"BATAM")</f>
        <v>BATAM</v>
      </c>
      <c r="I2031" s="222" t="str">
        <f>IFERROR(__xludf.DUMMYFUNCTION("""COMPUTED_VALUE"""),"Batch 2")</f>
        <v>Batch 2</v>
      </c>
      <c r="J2031" s="225">
        <f>IFERROR(__xludf.DUMMYFUNCTION("""COMPUTED_VALUE"""),6.0)</f>
        <v>6</v>
      </c>
      <c r="K2031" s="224">
        <f>IFERROR(__xludf.DUMMYFUNCTION("""COMPUTED_VALUE"""),48.0)</f>
        <v>48</v>
      </c>
      <c r="L2031" s="226">
        <f>IFERROR(__xludf.DUMMYFUNCTION("""COMPUTED_VALUE"""),1538871.0)</f>
        <v>1538871</v>
      </c>
      <c r="M2031" s="227">
        <f>IFERROR(__xludf.DUMMYFUNCTION("""COMPUTED_VALUE"""),7.3865773E7)</f>
        <v>73865773</v>
      </c>
      <c r="N2031" s="222" t="str">
        <f>IFERROR(__xludf.DUMMYFUNCTION("""COMPUTED_VALUE"""),"PT MITRA AKSES INSANI")</f>
        <v>PT MITRA AKSES INSANI</v>
      </c>
      <c r="O2031" s="222" t="str">
        <f>IFERROR(__xludf.DUMMYFUNCTION("""COMPUTED_VALUE"""),"7. GOLIVE")</f>
        <v>7. GOLIVE</v>
      </c>
      <c r="P2031" s="222" t="str">
        <f>IFERROR(__xludf.DUMMYFUNCTION("""COMPUTED_VALUE"""),"7.2 Golive Full / OA / DONE OTB")</f>
        <v>7.2 Golive Full / OA / DONE OTB</v>
      </c>
      <c r="Q2031" s="222" t="str">
        <f>IFERROR(__xludf.DUMMYFUNCTION("""COMPUTED_VALUE"""),"17/04 Plan GL HI. 13/04 Plan FI tanggal 21 apr plan GL tanggal 22 apr. 07/04 penarikan DONE, plan terminasi di pulau tanjung batu serial, target golive sesuai komitmen golive
31/03 Tim terminasi berangkat dari pulau batam ke pualau tanjung batu tanggal 04"&amp;" april, plan GL 16 apr. 27/03 Tim terminasi belum berangkat dari batam ke Pulau tanjung batu. 16/03 Tim terminasi berangkat ke pulau tanjung batu dari batam setelah lebaran. 
09/03 Terminasi ODP. 
05/ 03 proses penarikan kabel
26/02 Tanam tiang DONE, pros"&amp;"es tarik kabel tim serial. 13/02 Jadwal kapal ke pulau tanjung batu di hari rabu, karena kapal hari minggu sudah penuh. 09/02 LOP belum di survey oleh mitra, komitmen terakhi hari minggu tgl 8 feb tim berangkat ke pulau tanjung batu. 29/01 mitra MAI sudah"&amp;" acc dan plan survey senin 2 Februari. 21/01 Plan anwijzing Lokasi di pulau outer Tanjung batu")</f>
        <v>17/04 Plan GL HI. 13/04 Plan FI tanggal 21 apr plan GL tanggal 22 apr. 07/04 penarikan DONE, plan terminasi di pulau tanjung batu serial, target golive sesuai komitmen golive
31/03 Tim terminasi berangkat dari pulau batam ke pualau tanjung batu tanggal 04 april, plan GL 16 apr. 27/03 Tim terminasi belum berangkat dari batam ke Pulau tanjung batu. 16/03 Tim terminasi berangkat ke pulau tanjung batu dari batam setelah lebaran. 
09/03 Terminasi ODP. 
05/ 03 proses penarikan kabel
26/02 Tanam tiang DONE, proses tarik kabel tim serial.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2031" s="228">
        <f>IFERROR(__xludf.DUMMYFUNCTION("""COMPUTED_VALUE"""),46130.0)</f>
        <v>46130</v>
      </c>
      <c r="S2031" s="11" t="str">
        <f>IFERROR(__xludf.DUMMYFUNCTION("""COMPUTED_VALUE"""),"APR")</f>
        <v>APR</v>
      </c>
      <c r="T2031" s="73"/>
      <c r="U2031" s="11"/>
      <c r="V2031" s="229" t="str">
        <f>IFERROR(__xludf.DUMMYFUNCTION("""COMPUTED_VALUE"""),"MOHAMMAD FAUZY")</f>
        <v>MOHAMMAD FAUZY</v>
      </c>
      <c r="W2031" s="229" t="str">
        <f>IFERROR(__xludf.DUMMYFUNCTION("""COMPUTED_VALUE"""),"LEVITA INDRIYANI")</f>
        <v>LEVITA INDRIYANI</v>
      </c>
      <c r="X2031" s="229" t="str">
        <f>IFERROR(__xludf.DUMMYFUNCTION("""COMPUTED_VALUE"""),"GOLIVE")</f>
        <v>GOLIVE</v>
      </c>
      <c r="Y2031" s="229" t="str">
        <f>IFERROR(__xludf.DUMMYFUNCTION("""COMPUTED_VALUE"""),"DONE")</f>
        <v>DONE</v>
      </c>
      <c r="Z2031" s="229" t="str">
        <f>IFERROR(__xludf.DUMMYFUNCTION("""COMPUTED_VALUE"""),"#N/A")</f>
        <v>#N/A</v>
      </c>
      <c r="AA2031" s="229">
        <f>IFERROR(__xludf.DUMMYFUNCTION("""COMPUTED_VALUE"""),6.0)</f>
        <v>6</v>
      </c>
      <c r="AB2031" s="229"/>
      <c r="AC2031" s="229" t="str">
        <f>IFERROR(__xludf.DUMMYFUNCTION("""COMPUTED_VALUE"""),"9199888#9199893")</f>
        <v>9199888#9199893</v>
      </c>
      <c r="AD2031" s="232">
        <f>IFERROR(__xludf.DUMMYFUNCTION("""COMPUTED_VALUE"""),48.0)</f>
        <v>48</v>
      </c>
      <c r="AE2031" s="233">
        <f>IFERROR(__xludf.DUMMYFUNCTION("""COMPUTED_VALUE"""),46129.0)</f>
        <v>46129</v>
      </c>
      <c r="AF2031" s="54"/>
      <c r="AG2031" s="54"/>
      <c r="AH2031" s="54">
        <v>46130.0</v>
      </c>
      <c r="AI2031" s="55">
        <f>IF(OR(AH2031="",AE2031=""),"",AH2031-AE2031)</f>
        <v>1</v>
      </c>
      <c r="AJ2031" s="229" t="str">
        <f>if(AI2031&gt;=0,"Gl in Komitmen","Gl out komitmen")</f>
        <v>Gl in Komitmen</v>
      </c>
      <c r="AK2031" s="231" t="s">
        <v>199</v>
      </c>
      <c r="AW2031" s="234"/>
      <c r="BP2031" s="11"/>
      <c r="BQ2031" s="11"/>
      <c r="BR2031" s="235"/>
      <c r="BV2031" s="158"/>
      <c r="BY2031" s="158"/>
      <c r="CB2031" s="158"/>
    </row>
    <row r="2032" ht="18.0" customHeight="1">
      <c r="A2032" s="222">
        <f>IFERROR(__xludf.DUMMYFUNCTION("""COMPUTED_VALUE"""),2026.0)</f>
        <v>2026</v>
      </c>
      <c r="B2032" s="221">
        <f>IFERROR(__xludf.DUMMYFUNCTION("""COMPUTED_VALUE"""),1.1276305E7)</f>
        <v>11276305</v>
      </c>
      <c r="C2032" s="222" t="str">
        <f>IFERROR(__xludf.DUMMYFUNCTION("""COMPUTED_VALUE"""),"RKP PT3 TSEL LBJ-FBE HANG KESTURI SADAI")</f>
        <v>RKP PT3 TSEL LBJ-FBE HANG KESTURI SADAI</v>
      </c>
      <c r="D2032" s="222" t="str">
        <f>IFERROR(__xludf.DUMMYFUNCTION("""COMPUTED_VALUE"""),"REGIONAL I")</f>
        <v>REGIONAL I</v>
      </c>
      <c r="E2032" s="222" t="str">
        <f>IFERROR(__xludf.DUMMYFUNCTION("""COMPUTED_VALUE"""),"RIKEP")</f>
        <v>RIKEP</v>
      </c>
      <c r="F2032" s="222" t="str">
        <f>IFERROR(__xludf.DUMMYFUNCTION("""COMPUTED_VALUE"""),"LBJ")</f>
        <v>LBJ</v>
      </c>
      <c r="G2032" s="222" t="str">
        <f>IFERROR(__xludf.DUMMYFUNCTION("""COMPUTED_VALUE"""),"SUMBAGTENG")</f>
        <v>SUMBAGTENG</v>
      </c>
      <c r="H2032" s="222" t="str">
        <f>IFERROR(__xludf.DUMMYFUNCTION("""COMPUTED_VALUE"""),"BATAM")</f>
        <v>BATAM</v>
      </c>
      <c r="I2032" s="222" t="str">
        <f>IFERROR(__xludf.DUMMYFUNCTION("""COMPUTED_VALUE"""),"Batch 2")</f>
        <v>Batch 2</v>
      </c>
      <c r="J2032" s="225">
        <f>IFERROR(__xludf.DUMMYFUNCTION("""COMPUTED_VALUE"""),4.0)</f>
        <v>4</v>
      </c>
      <c r="K2032" s="224">
        <f>IFERROR(__xludf.DUMMYFUNCTION("""COMPUTED_VALUE"""),32.0)</f>
        <v>32</v>
      </c>
      <c r="L2032" s="226">
        <f>IFERROR(__xludf.DUMMYFUNCTION("""COMPUTED_VALUE"""),1538917.0)</f>
        <v>1538917</v>
      </c>
      <c r="M2032" s="227">
        <f>IFERROR(__xludf.DUMMYFUNCTION("""COMPUTED_VALUE"""),4.9245335E7)</f>
        <v>49245335</v>
      </c>
      <c r="N2032" s="222" t="str">
        <f>IFERROR(__xludf.DUMMYFUNCTION("""COMPUTED_VALUE"""),"PT HDUA PUTRA PRAJODA")</f>
        <v>PT HDUA PUTRA PRAJODA</v>
      </c>
      <c r="O2032" s="222" t="str">
        <f>IFERROR(__xludf.DUMMYFUNCTION("""COMPUTED_VALUE"""),"0. DROP")</f>
        <v>0. DROP</v>
      </c>
      <c r="P2032" s="222" t="str">
        <f>IFERROR(__xludf.DUMMYFUNCTION("""COMPUTED_VALUE"""),"0.2 Tidak Dapat Izin Warga/Kades/Lurah/Developer")</f>
        <v>0.2 Tidak Dapat Izin Warga/Kades/Lurah/Developer</v>
      </c>
      <c r="Q2032" s="222" t="str">
        <f>IFERROR(__xludf.DUMMYFUNCTION("""COMPUTED_VALUE"""),"04/03 RW tidak acc tanam tiang baru. 21/02 RT belum bisa di temui
16/02 Plan anwijzing 18 Feb. 11/02 Peralihan mitra. 28/01 Plan survey 29 Jan. 28/01 Mitra tripola belum ada PIC untuk anwijzing. 23/01 Plan anwijzing 26 Jan, pic mitra ada pertanggal 25 jan"&amp;". 21/01 proses penunjukan mitra ")</f>
        <v>04/03 RW tidak acc tanam tiang baru. 21/02 RT belum bisa di temui
16/02 Plan anwijzing 18 Feb. 11/02 Peralihan mitra. 28/01 Plan survey 29 Jan. 28/01 Mitra tripola belum ada PIC untuk anwijzing. 23/01 Plan anwijzing 26 Jan, pic mitra ada pertanggal 25 jan. 21/01 proses penunjukan mitra </v>
      </c>
      <c r="R2032" s="228"/>
      <c r="S2032" s="11"/>
      <c r="T2032" s="11"/>
      <c r="U2032" s="11"/>
      <c r="V2032" s="229" t="str">
        <f>IFERROR(__xludf.DUMMYFUNCTION("""COMPUTED_VALUE"""),"RONALDO LEO INFANTRI")</f>
        <v>RONALDO LEO INFANTRI</v>
      </c>
      <c r="W2032" s="229" t="str">
        <f>IFERROR(__xludf.DUMMYFUNCTION("""COMPUTED_VALUE"""),"LEVITA INDRIYANI")</f>
        <v>LEVITA INDRIYANI</v>
      </c>
      <c r="X2032" s="229" t="str">
        <f>IFERROR(__xludf.DUMMYFUNCTION("""COMPUTED_VALUE"""),"BELUM GOLIVE")</f>
        <v>BELUM GOLIVE</v>
      </c>
      <c r="Y2032" s="229"/>
      <c r="Z2032" s="229" t="str">
        <f>IFERROR(__xludf.DUMMYFUNCTION("""COMPUTED_VALUE"""),"#N/A")</f>
        <v>#N/A</v>
      </c>
      <c r="AA2032" s="229"/>
      <c r="AB2032" s="229"/>
      <c r="AC2032" s="229"/>
      <c r="AD2032" s="232"/>
      <c r="AE2032" s="233"/>
      <c r="AF2032" s="54"/>
      <c r="AG2032" s="54"/>
      <c r="AH2032" s="54"/>
      <c r="AI2032" s="55" t="str">
        <f t="shared" ref="AI2032:AI2039" si="199">IF(OR(R2032="",AE2032=""),"",R2032-AE2032)</f>
        <v/>
      </c>
      <c r="AW2032" s="234"/>
      <c r="BP2032" s="11"/>
      <c r="BQ2032" s="11"/>
      <c r="BR2032" s="235"/>
      <c r="BV2032" s="158"/>
      <c r="BY2032" s="158"/>
      <c r="CB2032" s="158"/>
    </row>
    <row r="2033" ht="18.0" hidden="1" customHeight="1">
      <c r="A2033" s="222">
        <f>IFERROR(__xludf.DUMMYFUNCTION("""COMPUTED_VALUE"""),2026.0)</f>
        <v>2026</v>
      </c>
      <c r="B2033" s="221">
        <f>IFERROR(__xludf.DUMMYFUNCTION("""COMPUTED_VALUE"""),1.1237173E7)</f>
        <v>11237173</v>
      </c>
      <c r="C2033" s="222" t="str">
        <f>IFERROR(__xludf.DUMMYFUNCTION("""COMPUTED_VALUE"""),"MDN PT3 P7I13 DLT-FA GG.AL-HUDA AJI BAHO")</f>
        <v>MDN PT3 P7I13 DLT-FA GG.AL-HUDA AJI BAHO</v>
      </c>
      <c r="D2033" s="222" t="str">
        <f>IFERROR(__xludf.DUMMYFUNCTION("""COMPUTED_VALUE"""),"REGIONAL I")</f>
        <v>REGIONAL I</v>
      </c>
      <c r="E2033" s="222" t="str">
        <f>IFERROR(__xludf.DUMMYFUNCTION("""COMPUTED_VALUE"""),"MEDAN")</f>
        <v>MEDAN</v>
      </c>
      <c r="F2033" s="222" t="str">
        <f>IFERROR(__xludf.DUMMYFUNCTION("""COMPUTED_VALUE"""),"DLT")</f>
        <v>DLT</v>
      </c>
      <c r="G2033" s="222" t="str">
        <f>IFERROR(__xludf.DUMMYFUNCTION("""COMPUTED_VALUE"""),"SUMBAGUT")</f>
        <v>SUMBAGUT</v>
      </c>
      <c r="H2033" s="222" t="str">
        <f>IFERROR(__xludf.DUMMYFUNCTION("""COMPUTED_VALUE"""),"MEDAN")</f>
        <v>MEDAN</v>
      </c>
      <c r="I2033" s="222" t="str">
        <f>IFERROR(__xludf.DUMMYFUNCTION("""COMPUTED_VALUE"""),"Batch 2")</f>
        <v>Batch 2</v>
      </c>
      <c r="J2033" s="225">
        <f>IFERROR(__xludf.DUMMYFUNCTION("""COMPUTED_VALUE"""),2.0)</f>
        <v>2</v>
      </c>
      <c r="K2033" s="224">
        <f>IFERROR(__xludf.DUMMYFUNCTION("""COMPUTED_VALUE"""),16.0)</f>
        <v>16</v>
      </c>
      <c r="L2033" s="226">
        <f>IFERROR(__xludf.DUMMYFUNCTION("""COMPUTED_VALUE"""),887875.0)</f>
        <v>887875</v>
      </c>
      <c r="M2033" s="227">
        <f>IFERROR(__xludf.DUMMYFUNCTION("""COMPUTED_VALUE"""),1.4205992E7)</f>
        <v>14205992</v>
      </c>
      <c r="N2033" s="222" t="str">
        <f>IFERROR(__xludf.DUMMYFUNCTION("""COMPUTED_VALUE"""),"PT SALTTEK DUMPANG JAYA")</f>
        <v>PT SALTTEK DUMPANG JAYA</v>
      </c>
      <c r="O2033" s="222" t="str">
        <f>IFERROR(__xludf.DUMMYFUNCTION("""COMPUTED_VALUE"""),"2. DONE AANWIJZING")</f>
        <v>2. DONE AANWIJZING</v>
      </c>
      <c r="P2033" s="222" t="str">
        <f>IFERROR(__xludf.DUMMYFUNCTION("""COMPUTED_VALUE"""),"2.10 Kendala - Feeder Rusak")</f>
        <v>2.10 Kendala - Feeder Rusak</v>
      </c>
      <c r="Q2033" s="222" t="str">
        <f>IFERROR(__xludf.DUMMYFUNCTION("""COMPUTED_VALUE"""),"(08/01) DROP, permintaan tsel (07/01) Persiapan")</f>
        <v>(08/01) DROP, permintaan tsel (07/01) Persiapan</v>
      </c>
      <c r="R2033" s="228"/>
      <c r="S2033" s="11"/>
      <c r="T2033" s="11"/>
      <c r="U2033" s="11"/>
      <c r="V2033" s="229"/>
      <c r="W2033" s="229"/>
      <c r="X2033" s="229" t="str">
        <f>IFERROR(__xludf.DUMMYFUNCTION("""COMPUTED_VALUE"""),"BELUM GOLIVE")</f>
        <v>BELUM GOLIVE</v>
      </c>
      <c r="Y2033" s="229"/>
      <c r="Z2033" s="229" t="str">
        <f>IFERROR(__xludf.DUMMYFUNCTION("""COMPUTED_VALUE"""),"#N/A")</f>
        <v>#N/A</v>
      </c>
      <c r="AA2033" s="229"/>
      <c r="AB2033" s="229"/>
      <c r="AC2033" s="229"/>
      <c r="AD2033" s="232"/>
      <c r="AE2033" s="233"/>
      <c r="AF2033" s="54"/>
      <c r="AG2033" s="54"/>
      <c r="AH2033" s="54"/>
      <c r="AI2033" s="55" t="str">
        <f t="shared" si="199"/>
        <v/>
      </c>
      <c r="AW2033" s="234"/>
      <c r="BP2033" s="11"/>
      <c r="BQ2033" s="11"/>
      <c r="BR2033" s="235"/>
      <c r="BV2033" s="158"/>
      <c r="BY2033" s="158"/>
      <c r="CB2033" s="158"/>
    </row>
    <row r="2034" ht="18.0" customHeight="1">
      <c r="A2034" s="222">
        <f>IFERROR(__xludf.DUMMYFUNCTION("""COMPUTED_VALUE"""),2026.0)</f>
        <v>2026</v>
      </c>
      <c r="B2034" s="221">
        <f>IFERROR(__xludf.DUMMYFUNCTION("""COMPUTED_VALUE"""),1.0529902E7)</f>
        <v>10529902</v>
      </c>
      <c r="C2034" s="222" t="str">
        <f>IFERROR(__xludf.DUMMYFUNCTION("""COMPUTED_VALUE"""),"SMB P4I1 SCATTER WALI NAGARI CUBADAK BASO")</f>
        <v>SMB P4I1 SCATTER WALI NAGARI CUBADAK BASO</v>
      </c>
      <c r="D2034" s="222" t="str">
        <f>IFERROR(__xludf.DUMMYFUNCTION("""COMPUTED_VALUE"""),"REGIONAL I")</f>
        <v>REGIONAL I</v>
      </c>
      <c r="E2034" s="222" t="str">
        <f>IFERROR(__xludf.DUMMYFUNCTION("""COMPUTED_VALUE"""),"SUMBAR")</f>
        <v>SUMBAR</v>
      </c>
      <c r="F2034" s="222" t="str">
        <f>IFERROR(__xludf.DUMMYFUNCTION("""COMPUTED_VALUE"""),"BSO")</f>
        <v>BSO</v>
      </c>
      <c r="G2034" s="222" t="str">
        <f>IFERROR(__xludf.DUMMYFUNCTION("""COMPUTED_VALUE"""),"SUMBAGTENG")</f>
        <v>SUMBAGTENG</v>
      </c>
      <c r="H2034" s="222" t="str">
        <f>IFERROR(__xludf.DUMMYFUNCTION("""COMPUTED_VALUE"""),"BUKIT TINGGI")</f>
        <v>BUKIT TINGGI</v>
      </c>
      <c r="I2034" s="222" t="str">
        <f>IFERROR(__xludf.DUMMYFUNCTION("""COMPUTED_VALUE"""),"Batch 2")</f>
        <v>Batch 2</v>
      </c>
      <c r="J2034" s="225">
        <f>IFERROR(__xludf.DUMMYFUNCTION("""COMPUTED_VALUE"""),4.0)</f>
        <v>4</v>
      </c>
      <c r="K2034" s="224">
        <f>IFERROR(__xludf.DUMMYFUNCTION("""COMPUTED_VALUE"""),32.0)</f>
        <v>32</v>
      </c>
      <c r="L2034" s="226">
        <f>IFERROR(__xludf.DUMMYFUNCTION("""COMPUTED_VALUE"""),1541580.0)</f>
        <v>1541580</v>
      </c>
      <c r="M2034" s="227">
        <f>IFERROR(__xludf.DUMMYFUNCTION("""COMPUTED_VALUE"""),4.9330544E7)</f>
        <v>49330544</v>
      </c>
      <c r="N2034" s="222" t="str">
        <f>IFERROR(__xludf.DUMMYFUNCTION("""COMPUTED_VALUE"""),"PT RATRI PRIMA MANDIRI")</f>
        <v>PT RATRI PRIMA MANDIRI</v>
      </c>
      <c r="O2034" s="222" t="str">
        <f>IFERROR(__xludf.DUMMYFUNCTION("""COMPUTED_VALUE"""),"0. DROP")</f>
        <v>0. DROP</v>
      </c>
      <c r="P2034" s="222" t="str">
        <f>IFERROR(__xludf.DUMMYFUNCTION("""COMPUTED_VALUE"""),"0.3 Feeder Full")</f>
        <v>0.3 Feeder Full</v>
      </c>
      <c r="Q2034" s="222" t="str">
        <f>IFERROR(__xludf.DUMMYFUNCTION("""COMPUTED_VALUE"""),"(05/03) Kendala feeder BSO-FB full  10/03   (02/03) proses aanwijziing (26/01) DROP, permintaan tsel (tidak potensial) ")</f>
        <v>(05/03) Kendala feeder BSO-FB full  10/03   (02/03) proses aanwijziing (26/01) DROP, permintaan tsel (tidak potensial) </v>
      </c>
      <c r="R2034" s="228"/>
      <c r="S2034" s="11"/>
      <c r="T2034" s="11"/>
      <c r="U2034" s="11"/>
      <c r="V2034" s="229" t="str">
        <f>IFERROR(__xludf.DUMMYFUNCTION("""COMPUTED_VALUE"""),"M. ARIF HAMADI")</f>
        <v>M. ARIF HAMADI</v>
      </c>
      <c r="W2034" s="229" t="str">
        <f>IFERROR(__xludf.DUMMYFUNCTION("""COMPUTED_VALUE"""),"MELKO NARWADI")</f>
        <v>MELKO NARWADI</v>
      </c>
      <c r="X2034" s="229" t="str">
        <f>IFERROR(__xludf.DUMMYFUNCTION("""COMPUTED_VALUE"""),"BELUM GOLIVE")</f>
        <v>BELUM GOLIVE</v>
      </c>
      <c r="Y2034" s="229"/>
      <c r="Z2034" s="229" t="str">
        <f>IFERROR(__xludf.DUMMYFUNCTION("""COMPUTED_VALUE"""),"#N/A")</f>
        <v>#N/A</v>
      </c>
      <c r="AA2034" s="229"/>
      <c r="AB2034" s="229"/>
      <c r="AC2034" s="229"/>
      <c r="AD2034" s="232"/>
      <c r="AE2034" s="233"/>
      <c r="AF2034" s="54"/>
      <c r="AG2034" s="54"/>
      <c r="AH2034" s="54"/>
      <c r="AI2034" s="55" t="str">
        <f t="shared" si="199"/>
        <v/>
      </c>
      <c r="AW2034" s="234"/>
      <c r="BP2034" s="11"/>
      <c r="BQ2034" s="11"/>
      <c r="BR2034" s="235"/>
      <c r="BV2034" s="158"/>
      <c r="BY2034" s="158"/>
      <c r="CB2034" s="158"/>
    </row>
    <row r="2035" ht="18.0" hidden="1" customHeight="1">
      <c r="A2035" s="222">
        <f>IFERROR(__xludf.DUMMYFUNCTION("""COMPUTED_VALUE"""),2026.0)</f>
        <v>2026</v>
      </c>
      <c r="B2035" s="221">
        <f>IFERROR(__xludf.DUMMYFUNCTION("""COMPUTED_VALUE"""),1.1237184E7)</f>
        <v>11237184</v>
      </c>
      <c r="C2035" s="222" t="str">
        <f>IFERROR(__xludf.DUMMYFUNCTION("""COMPUTED_VALUE"""),"MDN PT3 P7I13 DLT-FC GG.PERBATASAN")</f>
        <v>MDN PT3 P7I13 DLT-FC GG.PERBATASAN</v>
      </c>
      <c r="D2035" s="222" t="str">
        <f>IFERROR(__xludf.DUMMYFUNCTION("""COMPUTED_VALUE"""),"REGIONAL I")</f>
        <v>REGIONAL I</v>
      </c>
      <c r="E2035" s="222" t="str">
        <f>IFERROR(__xludf.DUMMYFUNCTION("""COMPUTED_VALUE"""),"MEDAN")</f>
        <v>MEDAN</v>
      </c>
      <c r="F2035" s="222" t="str">
        <f>IFERROR(__xludf.DUMMYFUNCTION("""COMPUTED_VALUE"""),"DLT")</f>
        <v>DLT</v>
      </c>
      <c r="G2035" s="222" t="str">
        <f>IFERROR(__xludf.DUMMYFUNCTION("""COMPUTED_VALUE"""),"SUMBAGUT")</f>
        <v>SUMBAGUT</v>
      </c>
      <c r="H2035" s="222" t="str">
        <f>IFERROR(__xludf.DUMMYFUNCTION("""COMPUTED_VALUE"""),"MEDAN")</f>
        <v>MEDAN</v>
      </c>
      <c r="I2035" s="222" t="str">
        <f>IFERROR(__xludf.DUMMYFUNCTION("""COMPUTED_VALUE"""),"Batch 2")</f>
        <v>Batch 2</v>
      </c>
      <c r="J2035" s="225">
        <f>IFERROR(__xludf.DUMMYFUNCTION("""COMPUTED_VALUE"""),6.0)</f>
        <v>6</v>
      </c>
      <c r="K2035" s="224">
        <f>IFERROR(__xludf.DUMMYFUNCTION("""COMPUTED_VALUE"""),48.0)</f>
        <v>48</v>
      </c>
      <c r="L2035" s="226">
        <f>IFERROR(__xludf.DUMMYFUNCTION("""COMPUTED_VALUE"""),770201.0)</f>
        <v>770201</v>
      </c>
      <c r="M2035" s="227">
        <f>IFERROR(__xludf.DUMMYFUNCTION("""COMPUTED_VALUE"""),3.696961E7)</f>
        <v>36969610</v>
      </c>
      <c r="N2035" s="222" t="str">
        <f>IFERROR(__xludf.DUMMYFUNCTION("""COMPUTED_VALUE"""),"PT SALTTEK DUMPANG JAYA")</f>
        <v>PT SALTTEK DUMPANG JAYA</v>
      </c>
      <c r="O2035" s="222" t="str">
        <f>IFERROR(__xludf.DUMMYFUNCTION("""COMPUTED_VALUE"""),"2. DONE AANWIJZING")</f>
        <v>2. DONE AANWIJZING</v>
      </c>
      <c r="P2035" s="222" t="str">
        <f>IFERROR(__xludf.DUMMYFUNCTION("""COMPUTED_VALUE"""),"2.10 Kendala - Feeder Rusak")</f>
        <v>2.10 Kendala - Feeder Rusak</v>
      </c>
      <c r="Q2035" s="222" t="str">
        <f>IFERROR(__xludf.DUMMYFUNCTION("""COMPUTED_VALUE"""),"05/02 Feeder Redti, Plan repair by mitra (07/01) Persiapan")</f>
        <v>05/02 Feeder Redti, Plan repair by mitra (07/01) Persiapan</v>
      </c>
      <c r="R2035" s="228"/>
      <c r="S2035" s="11"/>
      <c r="T2035" s="11"/>
      <c r="U2035" s="11"/>
      <c r="V2035" s="229"/>
      <c r="W2035" s="229"/>
      <c r="X2035" s="229" t="str">
        <f>IFERROR(__xludf.DUMMYFUNCTION("""COMPUTED_VALUE"""),"BELUM GOLIVE")</f>
        <v>BELUM GOLIVE</v>
      </c>
      <c r="Y2035" s="229"/>
      <c r="Z2035" s="229" t="str">
        <f>IFERROR(__xludf.DUMMYFUNCTION("""COMPUTED_VALUE"""),"#N/A")</f>
        <v>#N/A</v>
      </c>
      <c r="AA2035" s="229"/>
      <c r="AB2035" s="229"/>
      <c r="AC2035" s="229"/>
      <c r="AD2035" s="232"/>
      <c r="AE2035" s="233"/>
      <c r="AF2035" s="54"/>
      <c r="AG2035" s="54"/>
      <c r="AH2035" s="54"/>
      <c r="AI2035" s="55" t="str">
        <f t="shared" si="199"/>
        <v/>
      </c>
      <c r="AW2035" s="234"/>
      <c r="BP2035" s="11"/>
      <c r="BQ2035" s="11"/>
      <c r="BR2035" s="235"/>
      <c r="BV2035" s="158"/>
      <c r="BY2035" s="158"/>
      <c r="CB2035" s="158"/>
    </row>
    <row r="2036" ht="18.0" hidden="1" customHeight="1">
      <c r="A2036" s="222">
        <f>IFERROR(__xludf.DUMMYFUNCTION("""COMPUTED_VALUE"""),2026.0)</f>
        <v>2026</v>
      </c>
      <c r="B2036" s="221">
        <f>IFERROR(__xludf.DUMMYFUNCTION("""COMPUTED_VALUE"""),1.2055716E7)</f>
        <v>12055716</v>
      </c>
      <c r="C2036" s="222" t="str">
        <f>IFERROR(__xludf.DUMMYFUNCTION("""COMPUTED_VALUE"""),"ACH PT3 SKL-FJ GUNUNG MERIAH")</f>
        <v>ACH PT3 SKL-FJ GUNUNG MERIAH</v>
      </c>
      <c r="D2036" s="222" t="str">
        <f>IFERROR(__xludf.DUMMYFUNCTION("""COMPUTED_VALUE"""),"REGIONAL I")</f>
        <v>REGIONAL I</v>
      </c>
      <c r="E2036" s="222" t="str">
        <f>IFERROR(__xludf.DUMMYFUNCTION("""COMPUTED_VALUE"""),"ACEH")</f>
        <v>ACEH</v>
      </c>
      <c r="F2036" s="222" t="str">
        <f>IFERROR(__xludf.DUMMYFUNCTION("""COMPUTED_VALUE"""),"SKL")</f>
        <v>SKL</v>
      </c>
      <c r="G2036" s="222" t="str">
        <f>IFERROR(__xludf.DUMMYFUNCTION("""COMPUTED_VALUE"""),"SUMBAGUT")</f>
        <v>SUMBAGUT</v>
      </c>
      <c r="H2036" s="222" t="str">
        <f>IFERROR(__xludf.DUMMYFUNCTION("""COMPUTED_VALUE"""),"BANDA ACEH")</f>
        <v>BANDA ACEH</v>
      </c>
      <c r="I2036" s="222" t="str">
        <f>IFERROR(__xludf.DUMMYFUNCTION("""COMPUTED_VALUE"""),"Batch 2")</f>
        <v>Batch 2</v>
      </c>
      <c r="J2036" s="225">
        <f>IFERROR(__xludf.DUMMYFUNCTION("""COMPUTED_VALUE"""),26.0)</f>
        <v>26</v>
      </c>
      <c r="K2036" s="224">
        <f>IFERROR(__xludf.DUMMYFUNCTION("""COMPUTED_VALUE"""),208.0)</f>
        <v>208</v>
      </c>
      <c r="L2036" s="226">
        <f>IFERROR(__xludf.DUMMYFUNCTION("""COMPUTED_VALUE"""),1542483.0)</f>
        <v>1542483</v>
      </c>
      <c r="M2036" s="227">
        <f>IFERROR(__xludf.DUMMYFUNCTION("""COMPUTED_VALUE"""),3.20836283E8)</f>
        <v>320836283</v>
      </c>
      <c r="N2036" s="222" t="str">
        <f>IFERROR(__xludf.DUMMYFUNCTION("""COMPUTED_VALUE"""),"PT ARA PAYA INTAN")</f>
        <v>PT ARA PAYA INTAN</v>
      </c>
      <c r="O2036" s="222" t="str">
        <f>IFERROR(__xludf.DUMMYFUNCTION("""COMPUTED_VALUE"""),"7. GOLIVE")</f>
        <v>7. GOLIVE</v>
      </c>
      <c r="P2036" s="222" t="str">
        <f>IFERROR(__xludf.DUMMYFUNCTION("""COMPUTED_VALUE"""),"7.2 Golive Full / OA / DONE OTB")</f>
        <v>7.2 Golive Full / OA / DONE OTB</v>
      </c>
      <c r="Q2036" s="222" t="str">
        <f>IFERROR(__xludf.DUMMYFUNCTION("""COMPUTED_VALUE"""),"(25/03) Penarikan Kabel (10/03) Tanam Tiang (03/03) Tanam Tiang (24/02) DelMat (09/02) PO Material (06/02) Done Aanwijzing (06/02) survey ulang, pengecekan core feeder (29/01) Done Aanwijzing (07/01) Persiapan")</f>
        <v>(25/03) Penarikan Kabel (10/03) Tanam Tiang (03/03) Tanam Tiang (24/02) DelMat (09/02) PO Material (06/02) Done Aanwijzing (06/02) survey ulang, pengecekan core feeder (29/01) Done Aanwijzing (07/01) Persiapan</v>
      </c>
      <c r="R2036" s="228">
        <f>IFERROR(__xludf.DUMMYFUNCTION("""COMPUTED_VALUE"""),46110.0)</f>
        <v>46110</v>
      </c>
      <c r="S2036" s="11"/>
      <c r="T2036" s="73"/>
      <c r="U2036" s="11"/>
      <c r="V2036" s="229"/>
      <c r="W2036" s="229"/>
      <c r="X2036" s="229" t="str">
        <f>IFERROR(__xludf.DUMMYFUNCTION("""COMPUTED_VALUE"""),"GOLIVE")</f>
        <v>GOLIVE</v>
      </c>
      <c r="Y2036" s="229" t="str">
        <f>IFERROR(__xludf.DUMMYFUNCTION("""COMPUTED_VALUE"""),"DONE")</f>
        <v>DONE</v>
      </c>
      <c r="Z2036" s="229" t="str">
        <f>IFERROR(__xludf.DUMMYFUNCTION("""COMPUTED_VALUE"""),"#N/A")</f>
        <v>#N/A</v>
      </c>
      <c r="AA2036" s="229">
        <f>IFERROR(__xludf.DUMMYFUNCTION("""COMPUTED_VALUE"""),26.0)</f>
        <v>26</v>
      </c>
      <c r="AB2036" s="229"/>
      <c r="AC2036" s="229" t="str">
        <f>IFERROR(__xludf.DUMMYFUNCTION("""COMPUTED_VALUE"""),"9219205#9219210")</f>
        <v>9219205#9219210</v>
      </c>
      <c r="AD2036" s="232">
        <f>IFERROR(__xludf.DUMMYFUNCTION("""COMPUTED_VALUE"""),208.0)</f>
        <v>208</v>
      </c>
      <c r="AE2036" s="233">
        <f>IFERROR(__xludf.DUMMYFUNCTION("""COMPUTED_VALUE"""),46110.0)</f>
        <v>46110</v>
      </c>
      <c r="AF2036" s="54"/>
      <c r="AG2036" s="54"/>
      <c r="AH2036" s="54">
        <v>46136.0</v>
      </c>
      <c r="AI2036" s="55">
        <f t="shared" si="199"/>
        <v>0</v>
      </c>
      <c r="AW2036" s="234"/>
      <c r="BP2036" s="11"/>
      <c r="BQ2036" s="11"/>
      <c r="BR2036" s="235"/>
      <c r="BV2036" s="158"/>
      <c r="BY2036" s="158"/>
      <c r="CB2036" s="158"/>
    </row>
    <row r="2037" ht="18.0" hidden="1" customHeight="1">
      <c r="A2037" s="222">
        <f>IFERROR(__xludf.DUMMYFUNCTION("""COMPUTED_VALUE"""),2026.0)</f>
        <v>2026</v>
      </c>
      <c r="B2037" s="221">
        <f>IFERROR(__xludf.DUMMYFUNCTION("""COMPUTED_VALUE"""),1.1488288E7)</f>
        <v>11488288</v>
      </c>
      <c r="C2037" s="222" t="str">
        <f>IFERROR(__xludf.DUMMYFUNCTION("""COMPUTED_VALUE"""),"BBL PT3 Branching Gang Belakang Qyara 1")</f>
        <v>BBL PT3 Branching Gang Belakang Qyara 1</v>
      </c>
      <c r="D2037" s="222" t="str">
        <f>IFERROR(__xludf.DUMMYFUNCTION("""COMPUTED_VALUE"""),"REGIONAL I")</f>
        <v>REGIONAL I</v>
      </c>
      <c r="E2037" s="222" t="str">
        <f>IFERROR(__xludf.DUMMYFUNCTION("""COMPUTED_VALUE"""),"BABEL")</f>
        <v>BABEL</v>
      </c>
      <c r="F2037" s="222" t="str">
        <f>IFERROR(__xludf.DUMMYFUNCTION("""COMPUTED_VALUE"""),"TJN")</f>
        <v>TJN</v>
      </c>
      <c r="G2037" s="222" t="str">
        <f>IFERROR(__xludf.DUMMYFUNCTION("""COMPUTED_VALUE"""),"SUMBAGSEL")</f>
        <v>SUMBAGSEL</v>
      </c>
      <c r="H2037" s="222" t="str">
        <f>IFERROR(__xludf.DUMMYFUNCTION("""COMPUTED_VALUE"""),"PANGKAL PINANG")</f>
        <v>PANGKAL PINANG</v>
      </c>
      <c r="I2037" s="222" t="str">
        <f>IFERROR(__xludf.DUMMYFUNCTION("""COMPUTED_VALUE"""),"Batch 2")</f>
        <v>Batch 2</v>
      </c>
      <c r="J2037" s="225">
        <f>IFERROR(__xludf.DUMMYFUNCTION("""COMPUTED_VALUE"""),2.0)</f>
        <v>2</v>
      </c>
      <c r="K2037" s="224">
        <f>IFERROR(__xludf.DUMMYFUNCTION("""COMPUTED_VALUE"""),16.0)</f>
        <v>16</v>
      </c>
      <c r="L2037" s="226">
        <f>IFERROR(__xludf.DUMMYFUNCTION("""COMPUTED_VALUE"""),1542763.0)</f>
        <v>1542763</v>
      </c>
      <c r="M2037" s="227">
        <f>IFERROR(__xludf.DUMMYFUNCTION("""COMPUTED_VALUE"""),2.4684197E7)</f>
        <v>24684197</v>
      </c>
      <c r="N2037" s="222" t="str">
        <f>IFERROR(__xludf.DUMMYFUNCTION("""COMPUTED_VALUE"""),"SWAKELOLA")</f>
        <v>SWAKELOLA</v>
      </c>
      <c r="O2037" s="222" t="str">
        <f>IFERROR(__xludf.DUMMYFUNCTION("""COMPUTED_VALUE"""),"7. GOLIVE")</f>
        <v>7. GOLIVE</v>
      </c>
      <c r="P2037" s="222" t="str">
        <f>IFERROR(__xludf.DUMMYFUNCTION("""COMPUTED_VALUE"""),"7.2 Golive Full / OA / DONE OTB")</f>
        <v>7.2 Golive Full / OA / DONE OTB</v>
      </c>
      <c r="Q2037" s="222" t="str">
        <f>IFERROR(__xludf.DUMMYFUNCTION("""COMPUTED_VALUE"""),"(09/01) Done Go Live (07/1)  SUDAH READY ABD V4 NYA    31/12 Finish Instalasi 16/12 instalasi ODP 28/11 pengecekan panjar regional 10/11 pp pengecekan regional (07/11) PP masih revisi ulang (04/11) penganjuan PP kendala belm ttd pak HOREG (06/10) Proses T"&amp;"TD PP || 01/10 Pengambilan material kendala Project plan Mandor proses Evaluasi finance Area(19/09)Pengambilan material kendala Project plan Mandor proses Evaluasi finance Area (16/9) Pengajuan pp(15/9) proses matdel ke lokasi(10/09) Matdel WH ke Site")</f>
        <v>(09/01) Done Go Live (07/1)  SUDAH READY ABD V4 NYA    31/12 Finish Instalasi 16/12 instalasi ODP 28/11 pengecekan panjar regional 10/11 pp pengecekan regional (07/11) PP masih revisi ulang (04/11) penganjuan PP kendala belm ttd pak HOREG (06/10) Proses TTD PP || 01/10 Pengambilan material kendala Project plan Mandor proses Evaluasi finance Area(19/09)Pengambilan material kendala Project plan Mandor proses Evaluasi finance Area (16/9) Pengajuan pp(15/9) proses matdel ke lokasi(10/09) Matdel WH ke Site</v>
      </c>
      <c r="R2037" s="228"/>
      <c r="S2037" s="11"/>
      <c r="T2037" s="11"/>
      <c r="U2037" s="11"/>
      <c r="V2037" s="229"/>
      <c r="W2037" s="229"/>
      <c r="X2037" s="229" t="str">
        <f>IFERROR(__xludf.DUMMYFUNCTION("""COMPUTED_VALUE"""),"GOLIVE")</f>
        <v>GOLIVE</v>
      </c>
      <c r="Y2037" s="229" t="str">
        <f>IFERROR(__xludf.DUMMYFUNCTION("""COMPUTED_VALUE"""),"DONE")</f>
        <v>DONE</v>
      </c>
      <c r="Z2037" s="229" t="str">
        <f>IFERROR(__xludf.DUMMYFUNCTION("""COMPUTED_VALUE"""),"#N/A")</f>
        <v>#N/A</v>
      </c>
      <c r="AA2037" s="229">
        <f>IFERROR(__xludf.DUMMYFUNCTION("""COMPUTED_VALUE"""),2.0)</f>
        <v>2</v>
      </c>
      <c r="AB2037" s="229"/>
      <c r="AC2037" s="229" t="str">
        <f>IFERROR(__xludf.DUMMYFUNCTION("""COMPUTED_VALUE"""),"8931557#8931562")</f>
        <v>8931557#8931562</v>
      </c>
      <c r="AD2037" s="232">
        <f>IFERROR(__xludf.DUMMYFUNCTION("""COMPUTED_VALUE"""),16.0)</f>
        <v>16</v>
      </c>
      <c r="AE2037" s="233">
        <f>IFERROR(__xludf.DUMMYFUNCTION("""COMPUTED_VALUE"""),46036.0)</f>
        <v>46036</v>
      </c>
      <c r="AF2037" s="54" t="str">
        <f>IFERROR(__xludf.DUMMYFUNCTION("""COMPUTED_VALUE"""),"DONE")</f>
        <v>DONE</v>
      </c>
      <c r="AG2037" s="54"/>
      <c r="AH2037" s="54"/>
      <c r="AI2037" s="55" t="str">
        <f t="shared" si="199"/>
        <v/>
      </c>
      <c r="AW2037" s="234"/>
      <c r="BP2037" s="11"/>
      <c r="BQ2037" s="11"/>
      <c r="BR2037" s="235"/>
      <c r="BV2037" s="158"/>
      <c r="BY2037" s="158"/>
      <c r="CB2037" s="158"/>
    </row>
    <row r="2038" ht="18.0" customHeight="1">
      <c r="A2038" s="222">
        <f>IFERROR(__xludf.DUMMYFUNCTION("""COMPUTED_VALUE"""),2026.0)</f>
        <v>2026</v>
      </c>
      <c r="B2038" s="221">
        <f>IFERROR(__xludf.DUMMYFUNCTION("""COMPUTED_VALUE"""),1.1214315E7)</f>
        <v>11214315</v>
      </c>
      <c r="C2038" s="222" t="str">
        <f>IFERROR(__xludf.DUMMYFUNCTION("""COMPUTED_VALUE"""),"SMB P2I2 AOk424120602574672931de00")</f>
        <v>SMB P2I2 AOk424120602574672931de00</v>
      </c>
      <c r="D2038" s="222" t="str">
        <f>IFERROR(__xludf.DUMMYFUNCTION("""COMPUTED_VALUE"""),"REGIONAL I")</f>
        <v>REGIONAL I</v>
      </c>
      <c r="E2038" s="222" t="str">
        <f>IFERROR(__xludf.DUMMYFUNCTION("""COMPUTED_VALUE"""),"SUMBAR")</f>
        <v>SUMBAR</v>
      </c>
      <c r="F2038" s="222" t="str">
        <f>IFERROR(__xludf.DUMMYFUNCTION("""COMPUTED_VALUE"""),"PPJ")</f>
        <v>PPJ</v>
      </c>
      <c r="G2038" s="222" t="str">
        <f>IFERROR(__xludf.DUMMYFUNCTION("""COMPUTED_VALUE"""),"SUMBAGTENG")</f>
        <v>SUMBAGTENG</v>
      </c>
      <c r="H2038" s="222" t="str">
        <f>IFERROR(__xludf.DUMMYFUNCTION("""COMPUTED_VALUE"""),"BUKIT TINGGI")</f>
        <v>BUKIT TINGGI</v>
      </c>
      <c r="I2038" s="222" t="str">
        <f>IFERROR(__xludf.DUMMYFUNCTION("""COMPUTED_VALUE"""),"Batch 2")</f>
        <v>Batch 2</v>
      </c>
      <c r="J2038" s="225">
        <f>IFERROR(__xludf.DUMMYFUNCTION("""COMPUTED_VALUE"""),1.0)</f>
        <v>1</v>
      </c>
      <c r="K2038" s="224">
        <f>IFERROR(__xludf.DUMMYFUNCTION("""COMPUTED_VALUE"""),8.0)</f>
        <v>8</v>
      </c>
      <c r="L2038" s="226">
        <f>IFERROR(__xludf.DUMMYFUNCTION("""COMPUTED_VALUE"""),1543236.0)</f>
        <v>1543236</v>
      </c>
      <c r="M2038" s="227">
        <f>IFERROR(__xludf.DUMMYFUNCTION("""COMPUTED_VALUE"""),1.2345882E7)</f>
        <v>12345882</v>
      </c>
      <c r="N2038" s="222" t="str">
        <f>IFERROR(__xludf.DUMMYFUNCTION("""COMPUTED_VALUE"""),"PT TRI PENAMAS")</f>
        <v>PT TRI PENAMAS</v>
      </c>
      <c r="O2038" s="222" t="str">
        <f>IFERROR(__xludf.DUMMYFUNCTION("""COMPUTED_VALUE"""),"0. DROP")</f>
        <v>0. DROP</v>
      </c>
      <c r="P2038" s="222" t="str">
        <f>IFERROR(__xludf.DUMMYFUNCTION("""COMPUTED_VALUE"""),"0.5 DROP TSEL - Acc ED TIF")</f>
        <v>0.5 DROP TSEL - Acc ED TIF</v>
      </c>
      <c r="Q2038" s="222" t="str">
        <f>IFERROR(__xludf.DUMMYFUNCTION("""COMPUTED_VALUE"""),"(05/03) proses aanwijziing plan selesai 10/03   (02/03) proses aanwijziing (26/01) DROP, permintaan tsel (tidak potensial) ")</f>
        <v>(05/03) proses aanwijziing plan selesai 10/03   (02/03) proses aanwijziing (26/01) DROP, permintaan tsel (tidak potensial) </v>
      </c>
      <c r="R2038" s="228"/>
      <c r="S2038" s="11"/>
      <c r="T2038" s="11"/>
      <c r="U2038" s="11"/>
      <c r="V2038" s="229" t="str">
        <f>IFERROR(__xludf.DUMMYFUNCTION("""COMPUTED_VALUE"""),"DELPA YANDA")</f>
        <v>DELPA YANDA</v>
      </c>
      <c r="W2038" s="229" t="str">
        <f>IFERROR(__xludf.DUMMYFUNCTION("""COMPUTED_VALUE"""),"MELKO NARWADI")</f>
        <v>MELKO NARWADI</v>
      </c>
      <c r="X2038" s="229" t="str">
        <f>IFERROR(__xludf.DUMMYFUNCTION("""COMPUTED_VALUE"""),"BELUM GOLIVE")</f>
        <v>BELUM GOLIVE</v>
      </c>
      <c r="Y2038" s="229"/>
      <c r="Z2038" s="229" t="str">
        <f>IFERROR(__xludf.DUMMYFUNCTION("""COMPUTED_VALUE"""),"#N/A")</f>
        <v>#N/A</v>
      </c>
      <c r="AA2038" s="229"/>
      <c r="AB2038" s="229"/>
      <c r="AC2038" s="229"/>
      <c r="AD2038" s="232"/>
      <c r="AE2038" s="233"/>
      <c r="AF2038" s="54"/>
      <c r="AG2038" s="54"/>
      <c r="AH2038" s="54"/>
      <c r="AI2038" s="55" t="str">
        <f t="shared" si="199"/>
        <v/>
      </c>
      <c r="AW2038" s="234"/>
      <c r="BP2038" s="11"/>
      <c r="BQ2038" s="11"/>
      <c r="BR2038" s="235"/>
      <c r="BV2038" s="158"/>
      <c r="BY2038" s="158"/>
      <c r="CB2038" s="158"/>
    </row>
    <row r="2039" ht="18.0" hidden="1" customHeight="1">
      <c r="A2039" s="222">
        <f>IFERROR(__xludf.DUMMYFUNCTION("""COMPUTED_VALUE"""),2026.0)</f>
        <v>2026</v>
      </c>
      <c r="B2039" s="221">
        <f>IFERROR(__xludf.DUMMYFUNCTION("""COMPUTED_VALUE"""),1.1569883E7)</f>
        <v>11569883</v>
      </c>
      <c r="C2039" s="222" t="str">
        <f>IFERROR(__xludf.DUMMYFUNCTION("""COMPUTED_VALUE"""),"SMU BLG-FAJ CLUST BARUARA")</f>
        <v>SMU BLG-FAJ CLUST BARUARA</v>
      </c>
      <c r="D2039" s="222" t="str">
        <f>IFERROR(__xludf.DUMMYFUNCTION("""COMPUTED_VALUE"""),"REGIONAL I")</f>
        <v>REGIONAL I</v>
      </c>
      <c r="E2039" s="222" t="str">
        <f>IFERROR(__xludf.DUMMYFUNCTION("""COMPUTED_VALUE"""),"SUMUT")</f>
        <v>SUMUT</v>
      </c>
      <c r="F2039" s="222" t="str">
        <f>IFERROR(__xludf.DUMMYFUNCTION("""COMPUTED_VALUE"""),"BLG")</f>
        <v>BLG</v>
      </c>
      <c r="G2039" s="222" t="str">
        <f>IFERROR(__xludf.DUMMYFUNCTION("""COMPUTED_VALUE"""),"SUMBAGUT")</f>
        <v>SUMBAGUT</v>
      </c>
      <c r="H2039" s="222" t="str">
        <f>IFERROR(__xludf.DUMMYFUNCTION("""COMPUTED_VALUE"""),"PEMATANG SIANTAR")</f>
        <v>PEMATANG SIANTAR</v>
      </c>
      <c r="I2039" s="222" t="str">
        <f>IFERROR(__xludf.DUMMYFUNCTION("""COMPUTED_VALUE"""),"Batch 2")</f>
        <v>Batch 2</v>
      </c>
      <c r="J2039" s="225">
        <f>IFERROR(__xludf.DUMMYFUNCTION("""COMPUTED_VALUE"""),18.0)</f>
        <v>18</v>
      </c>
      <c r="K2039" s="224">
        <f>IFERROR(__xludf.DUMMYFUNCTION("""COMPUTED_VALUE"""),144.0)</f>
        <v>144</v>
      </c>
      <c r="L2039" s="226">
        <f>IFERROR(__xludf.DUMMYFUNCTION("""COMPUTED_VALUE"""),1543573.0)</f>
        <v>1543573</v>
      </c>
      <c r="M2039" s="227">
        <f>IFERROR(__xludf.DUMMYFUNCTION("""COMPUTED_VALUE"""),2.22274404E8)</f>
        <v>222274404</v>
      </c>
      <c r="N2039" s="222" t="str">
        <f>IFERROR(__xludf.DUMMYFUNCTION("""COMPUTED_VALUE"""),"PT ALAM UTAMA MULIA")</f>
        <v>PT ALAM UTAMA MULIA</v>
      </c>
      <c r="O2039" s="222" t="str">
        <f>IFERROR(__xludf.DUMMYFUNCTION("""COMPUTED_VALUE"""),"7. GOLIVE")</f>
        <v>7. GOLIVE</v>
      </c>
      <c r="P2039" s="222" t="str">
        <f>IFERROR(__xludf.DUMMYFUNCTION("""COMPUTED_VALUE"""),"7.2 Golive Full / OA / DONE OTB")</f>
        <v>7.2 Golive Full / OA / DONE OTB</v>
      </c>
      <c r="Q2039" s="222" t="str">
        <f>IFERROR(__xludf.DUMMYFUNCTION("""COMPUTED_VALUE"""),"23/2 Golive Parsial 1 odp,20/2 golive partial 7 odp, 6 odp proses abd, 5 proses valins dan cek redaman, 19/2 golive partial 7 odp, sisa 9 odp proses abd, 2 odp proses terminasi, 18/2 golive partial 7 odp, sisa 4 odp proses abd , 7 odp proses cek redaman d"&amp;"an valins , 16/2 sisa instal 7 odp, ku 12 (1750 selesai, tiang 4 selesai,16/2 sisa valins 18 odp , 13/2 proses abd 7 odp, sisa 11 odp kendala redaman masih ada yg redting dan loss,  12/2 proses valins 7 odp, sisa 11 odp kendala redaman masih ada yg redtin"&amp;"g dan loss,  11/2 proses valins 7 odp, sisa 11 odp kendala redaman masih ada yg redting dan loss, 10/2 proses valins 6 odp , sisa 12 odp kendala belum bisa valins, ,  9/2 proses valins 7 odp , sisa 11 odp kendala kabel cut dipotong otk, 6/2 proses valins "&amp;"7 odp , sisa 11 odp kendala kabel cut dipotong otk, 5/2 proses valins 7 odp , sisa 11 odp kendala kabel cut dipotong otk, 3/2 sisa terminasi di bastray odc paralel lanjut cek redaman dan valins 18 odp, 2/2 sisa terminasi 12 odp, 1/2 tema dilokasi proses p"&amp;"emasangan sisa odp, 30/1 ( hari ini pic mitra menuju siantar untuk kordinasi terkait kelanjutan sisa project), 28/1 prepair team untuk fu kembali terkait ijin sitac ( sesuai zoom mnggu ini tidak jalan lop akan kita alihkan ke mitra lain),  26/1 prepair te"&amp;"am untuk fu kembali terkait ijin sitac ( sesuai zoom mnggu ini tidak jalan lop akan kita alihkan ke mitra lain), 23/1 ( hari ini pic mitra menuju siantar untuk kordinasi terkait kelanjutan sisa project), 22/1 team menuju lokasi untuk lanjut progres sisa l"&amp;"apangan,21/1  plan proses finishing pekerjaan lapangan clear minggu ini ,  20/1  plan proses finishing pekerjaan lapangan clear minggu ini , 19/1 plan proses finishing pekerjaan lapangan clear minggu ini, 15/1 plan survey tanggal 17/1, 14/01  plan proses "&amp;"finishing pekerjaan lapangan clear minggu ini 18/1, 13/01  est pekerjaan lapangan clear minggu ini, (07/01) Persiapan")</f>
        <v>23/2 Golive Parsial 1 odp,20/2 golive partial 7 odp, 6 odp proses abd, 5 proses valins dan cek redaman, 19/2 golive partial 7 odp, sisa 9 odp proses abd, 2 odp proses terminasi, 18/2 golive partial 7 odp, sisa 4 odp proses abd , 7 odp proses cek redaman dan valins , 16/2 sisa instal 7 odp, ku 12 (1750 selesai, tiang 4 selesai,16/2 sisa valins 18 odp , 13/2 proses abd 7 odp, sisa 11 odp kendala redaman masih ada yg redting dan loss,  12/2 proses valins 7 odp, sisa 11 odp kendala redaman masih ada yg redting dan loss,  11/2 proses valins 7 odp, sisa 11 odp kendala redaman masih ada yg redting dan loss, 10/2 proses valins 6 odp , sisa 12 odp kendala belum bisa valins, ,  9/2 proses valins 7 odp , sisa 11 odp kendala kabel cut dipotong otk, 6/2 proses valins 7 odp , sisa 11 odp kendala kabel cut dipotong otk, 5/2 proses valins 7 odp , sisa 11 odp kendala kabel cut dipotong otk, 3/2 sisa terminasi di bastray odc paralel lanjut cek redaman dan valins 18 odp, 2/2 sisa terminasi 12 odp, 1/2 tema dilokasi proses pemasangan sisa odp, 30/1 ( hari ini pic mitra menuju siantar untuk kordinasi terkait kelanjutan sisa project), 28/1 prepair team untuk fu kembali terkait ijin sitac ( sesuai zoom mnggu ini tidak jalan lop akan kita alihkan ke mitra lain),  26/1 prepair team untuk fu kembali terkait ijin sitac ( sesuai zoom mnggu ini tidak jalan lop akan kita alihkan ke mitra lain), 23/1 ( hari ini pic mitra menuju siantar untuk kordinasi terkait kelanjutan sisa project), 22/1 team menuju lokasi untuk lanjut progres sisa lapangan,21/1  plan proses finishing pekerjaan lapangan clear minggu ini ,  20/1  plan proses finishing pekerjaan lapangan clear minggu ini , 19/1 plan proses finishing pekerjaan lapangan clear minggu ini, 15/1 plan survey tanggal 17/1, 14/01  plan proses finishing pekerjaan lapangan clear minggu ini 18/1, 13/01  est pekerjaan lapangan clear minggu ini, (07/01) Persiapan</v>
      </c>
      <c r="R2039" s="228">
        <f>IFERROR(__xludf.DUMMYFUNCTION("""COMPUTED_VALUE"""),46071.0)</f>
        <v>46071</v>
      </c>
      <c r="S2039" s="11"/>
      <c r="T2039" s="11"/>
      <c r="U2039" s="11" t="str">
        <f>IFERROR(__xludf.DUMMYFUNCTION("""COMPUTED_VALUE"""),"W03-1619/2025")</f>
        <v>W03-1619/2025</v>
      </c>
      <c r="V2039" s="229"/>
      <c r="W2039" s="229"/>
      <c r="X2039" s="229" t="str">
        <f>IFERROR(__xludf.DUMMYFUNCTION("""COMPUTED_VALUE"""),"GOLIVE")</f>
        <v>GOLIVE</v>
      </c>
      <c r="Y2039" s="229" t="str">
        <f>IFERROR(__xludf.DUMMYFUNCTION("""COMPUTED_VALUE"""),"DONE")</f>
        <v>DONE</v>
      </c>
      <c r="Z2039" s="229" t="str">
        <f>IFERROR(__xludf.DUMMYFUNCTION("""COMPUTED_VALUE"""),"#N/A")</f>
        <v>#N/A</v>
      </c>
      <c r="AA2039" s="229">
        <f>IFERROR(__xludf.DUMMYFUNCTION("""COMPUTED_VALUE"""),18.0)</f>
        <v>18</v>
      </c>
      <c r="AB2039" s="229"/>
      <c r="AC2039" s="229" t="str">
        <f>IFERROR(__xludf.DUMMYFUNCTION("""COMPUTED_VALUE"""),"9119350#9119355")</f>
        <v>9119350#9119355</v>
      </c>
      <c r="AD2039" s="232">
        <f>IFERROR(__xludf.DUMMYFUNCTION("""COMPUTED_VALUE"""),144.0)</f>
        <v>144</v>
      </c>
      <c r="AE2039" s="233">
        <f>IFERROR(__xludf.DUMMYFUNCTION("""COMPUTED_VALUE"""),46071.0)</f>
        <v>46071</v>
      </c>
      <c r="AF2039" s="54" t="str">
        <f>IFERROR(__xludf.DUMMYFUNCTION("""COMPUTED_VALUE"""),"DONE")</f>
        <v>DONE</v>
      </c>
      <c r="AG2039" s="54"/>
      <c r="AH2039" s="54">
        <v>46071.0</v>
      </c>
      <c r="AI2039" s="55">
        <f t="shared" si="199"/>
        <v>0</v>
      </c>
      <c r="AW2039" s="234"/>
      <c r="BP2039" s="11"/>
      <c r="BQ2039" s="11"/>
      <c r="BR2039" s="235"/>
      <c r="BV2039" s="158"/>
      <c r="BY2039" s="158"/>
      <c r="CB2039" s="158"/>
    </row>
    <row r="2040" ht="18.0" hidden="1" customHeight="1">
      <c r="A2040" s="222">
        <f>IFERROR(__xludf.DUMMYFUNCTION("""COMPUTED_VALUE"""),2026.0)</f>
        <v>2026</v>
      </c>
      <c r="B2040" s="221">
        <f>IFERROR(__xludf.DUMMYFUNCTION("""COMPUTED_VALUE"""),1.1573032E7)</f>
        <v>11573032</v>
      </c>
      <c r="C2040" s="222" t="str">
        <f>IFERROR(__xludf.DUMMYFUNCTION("""COMPUTED_VALUE"""),"SMU ODC-KBJ-FBH D01 MILALA - KACARIBU")</f>
        <v>SMU ODC-KBJ-FBH D01 MILALA - KACARIBU</v>
      </c>
      <c r="D2040" s="222" t="str">
        <f>IFERROR(__xludf.DUMMYFUNCTION("""COMPUTED_VALUE"""),"REGIONAL I")</f>
        <v>REGIONAL I</v>
      </c>
      <c r="E2040" s="222" t="str">
        <f>IFERROR(__xludf.DUMMYFUNCTION("""COMPUTED_VALUE"""),"SUMUT")</f>
        <v>SUMUT</v>
      </c>
      <c r="F2040" s="222" t="str">
        <f>IFERROR(__xludf.DUMMYFUNCTION("""COMPUTED_VALUE"""),"KBJ")</f>
        <v>KBJ</v>
      </c>
      <c r="G2040" s="222" t="str">
        <f>IFERROR(__xludf.DUMMYFUNCTION("""COMPUTED_VALUE"""),"SUMBAGUT")</f>
        <v>SUMBAGUT</v>
      </c>
      <c r="H2040" s="222" t="str">
        <f>IFERROR(__xludf.DUMMYFUNCTION("""COMPUTED_VALUE"""),"PEMATANG SIANTAR")</f>
        <v>PEMATANG SIANTAR</v>
      </c>
      <c r="I2040" s="222" t="str">
        <f>IFERROR(__xludf.DUMMYFUNCTION("""COMPUTED_VALUE"""),"Batch 2")</f>
        <v>Batch 2</v>
      </c>
      <c r="J2040" s="225">
        <f>IFERROR(__xludf.DUMMYFUNCTION("""COMPUTED_VALUE"""),19.0)</f>
        <v>19</v>
      </c>
      <c r="K2040" s="224">
        <f>IFERROR(__xludf.DUMMYFUNCTION("""COMPUTED_VALUE"""),144.0)</f>
        <v>144</v>
      </c>
      <c r="L2040" s="226">
        <f>IFERROR(__xludf.DUMMYFUNCTION("""COMPUTED_VALUE"""),1543597.0)</f>
        <v>1543597</v>
      </c>
      <c r="M2040" s="227">
        <f>IFERROR(__xludf.DUMMYFUNCTION("""COMPUTED_VALUE"""),2.2227786E8)</f>
        <v>222277860</v>
      </c>
      <c r="N2040" s="222" t="str">
        <f>IFERROR(__xludf.DUMMYFUNCTION("""COMPUTED_VALUE"""),"PT SALTTEK DUMPANG JAYA")</f>
        <v>PT SALTTEK DUMPANG JAYA</v>
      </c>
      <c r="O2040" s="222" t="str">
        <f>IFERROR(__xludf.DUMMYFUNCTION("""COMPUTED_VALUE"""),"7. GOLIVE")</f>
        <v>7. GOLIVE</v>
      </c>
      <c r="P2040" s="222" t="str">
        <f>IFERROR(__xludf.DUMMYFUNCTION("""COMPUTED_VALUE"""),"7.2 Golive Full / OA / DONE OTB")</f>
        <v>7.2 Golive Full / OA / DONE OTB</v>
      </c>
      <c r="Q2040" s="222" t="str">
        <f>IFERROR(__xludf.DUMMYFUNCTION("""COMPUTED_VALUE"""),"GOLIVE (07/01) Persiapan")</f>
        <v>GOLIVE (07/01) Persiapan</v>
      </c>
      <c r="R2040" s="228">
        <f>IFERROR(__xludf.DUMMYFUNCTION("""COMPUTED_VALUE"""),46030.0)</f>
        <v>46030</v>
      </c>
      <c r="S2040" s="11"/>
      <c r="T2040" s="11"/>
      <c r="U2040" s="11" t="str">
        <f>IFERROR(__xludf.DUMMYFUNCTION("""COMPUTED_VALUE"""),"W03-1397/2025")</f>
        <v>W03-1397/2025</v>
      </c>
      <c r="V2040" s="229"/>
      <c r="W2040" s="229"/>
      <c r="X2040" s="229" t="str">
        <f>IFERROR(__xludf.DUMMYFUNCTION("""COMPUTED_VALUE"""),"GOLIVE")</f>
        <v>GOLIVE</v>
      </c>
      <c r="Y2040" s="229" t="str">
        <f>IFERROR(__xludf.DUMMYFUNCTION("""COMPUTED_VALUE"""),"DONE")</f>
        <v>DONE</v>
      </c>
      <c r="Z2040" s="229" t="str">
        <f>IFERROR(__xludf.DUMMYFUNCTION("""COMPUTED_VALUE"""),"#N/A")</f>
        <v>#N/A</v>
      </c>
      <c r="AA2040" s="229">
        <f>IFERROR(__xludf.DUMMYFUNCTION("""COMPUTED_VALUE"""),18.0)</f>
        <v>18</v>
      </c>
      <c r="AB2040" s="229"/>
      <c r="AC2040" s="229" t="str">
        <f>IFERROR(__xludf.DUMMYFUNCTION("""COMPUTED_VALUE"""),"8904934#8904939")</f>
        <v>8904934#8904939</v>
      </c>
      <c r="AD2040" s="232">
        <f>IFERROR(__xludf.DUMMYFUNCTION("""COMPUTED_VALUE"""),144.0)</f>
        <v>144</v>
      </c>
      <c r="AE2040" s="233">
        <f>IFERROR(__xludf.DUMMYFUNCTION("""COMPUTED_VALUE"""),46030.0)</f>
        <v>46030</v>
      </c>
      <c r="AF2040" s="54"/>
      <c r="AG2040" s="54"/>
      <c r="AH2040" s="54">
        <v>46137.0</v>
      </c>
      <c r="AI2040" s="237">
        <f>AH2040-NOW()</f>
        <v>-3.377989942</v>
      </c>
      <c r="AJ2040" s="229" t="str">
        <f>if(AI2040&gt;=0,"In Komitmen","Out Komitmen")</f>
        <v>Out Komitmen</v>
      </c>
      <c r="AK2040" s="229" t="e">
        <v>#N/A</v>
      </c>
      <c r="AW2040" s="234"/>
      <c r="BP2040" s="11"/>
      <c r="BQ2040" s="11"/>
      <c r="BR2040" s="235"/>
      <c r="BV2040" s="158"/>
      <c r="BY2040" s="158"/>
      <c r="CB2040" s="158"/>
    </row>
    <row r="2041" ht="18.0" customHeight="1">
      <c r="A2041" s="222">
        <f>IFERROR(__xludf.DUMMYFUNCTION("""COMPUTED_VALUE"""),2026.0)</f>
        <v>2026</v>
      </c>
      <c r="B2041" s="221">
        <f>IFERROR(__xludf.DUMMYFUNCTION("""COMPUTED_VALUE"""),1.1299496E7)</f>
        <v>11299496</v>
      </c>
      <c r="C2041" s="222" t="str">
        <f>IFERROR(__xludf.DUMMYFUNCTION("""COMPUTED_VALUE"""),"RKP PT3 TSEL SGT-FB JL PALEM RAYA 2")</f>
        <v>RKP PT3 TSEL SGT-FB JL PALEM RAYA 2</v>
      </c>
      <c r="D2041" s="222" t="str">
        <f>IFERROR(__xludf.DUMMYFUNCTION("""COMPUTED_VALUE"""),"REGIONAL I")</f>
        <v>REGIONAL I</v>
      </c>
      <c r="E2041" s="222" t="str">
        <f>IFERROR(__xludf.DUMMYFUNCTION("""COMPUTED_VALUE"""),"RIKEP")</f>
        <v>RIKEP</v>
      </c>
      <c r="F2041" s="222" t="str">
        <f>IFERROR(__xludf.DUMMYFUNCTION("""COMPUTED_VALUE"""),"SGT")</f>
        <v>SGT</v>
      </c>
      <c r="G2041" s="222" t="str">
        <f>IFERROR(__xludf.DUMMYFUNCTION("""COMPUTED_VALUE"""),"SUMBAGTENG")</f>
        <v>SUMBAGTENG</v>
      </c>
      <c r="H2041" s="222" t="str">
        <f>IFERROR(__xludf.DUMMYFUNCTION("""COMPUTED_VALUE"""),"BATAM")</f>
        <v>BATAM</v>
      </c>
      <c r="I2041" s="222" t="str">
        <f>IFERROR(__xludf.DUMMYFUNCTION("""COMPUTED_VALUE"""),"Batch 2")</f>
        <v>Batch 2</v>
      </c>
      <c r="J2041" s="225">
        <f>IFERROR(__xludf.DUMMYFUNCTION("""COMPUTED_VALUE"""),1.0)</f>
        <v>1</v>
      </c>
      <c r="K2041" s="224">
        <f>IFERROR(__xludf.DUMMYFUNCTION("""COMPUTED_VALUE"""),8.0)</f>
        <v>8</v>
      </c>
      <c r="L2041" s="226">
        <f>IFERROR(__xludf.DUMMYFUNCTION("""COMPUTED_VALUE"""),1543673.0)</f>
        <v>1543673</v>
      </c>
      <c r="M2041" s="227">
        <f>IFERROR(__xludf.DUMMYFUNCTION("""COMPUTED_VALUE"""),1.2349377E7)</f>
        <v>12349377</v>
      </c>
      <c r="N2041" s="222" t="str">
        <f>IFERROR(__xludf.DUMMYFUNCTION("""COMPUTED_VALUE"""),"PT MITRA AKSES INSANI")</f>
        <v>PT MITRA AKSES INSANI</v>
      </c>
      <c r="O2041" s="222" t="str">
        <f>IFERROR(__xludf.DUMMYFUNCTION("""COMPUTED_VALUE"""),"4. MATDEL")</f>
        <v>4. MATDEL</v>
      </c>
      <c r="P2041" s="222" t="str">
        <f>IFERROR(__xludf.DUMMYFUNCTION("""COMPUTED_VALUE"""),"4.3 Proses Kirim Mateial Kelokasi")</f>
        <v>4.3 Proses Kirim Mateial Kelokasi</v>
      </c>
      <c r="Q2041" s="222" t="str">
        <f>IFERROR(__xludf.DUMMYFUNCTION("""COMPUTED_VALUE"""),"24/04 Take Over mitra, plan pengiriman material dan MP, tbc tanggal 20 Apr.
13/04 Menunggu pengiriman material dan prepare MP ke pulau sei guntung.
27/03 menunggu delivery material
05/03 menunggu delivery material
26/02 Pengiriman material 21/01 Proses pe"&amp;"rizinan")</f>
        <v>24/04 Take Over mitra, plan pengiriman material dan MP, tbc tanggal 20 Apr.
13/04 Menunggu pengiriman material dan prepare MP ke pulau sei guntung.
27/03 menunggu delivery material
05/03 menunggu delivery material
26/02 Pengiriman material 21/01 Proses perizinan</v>
      </c>
      <c r="R2041" s="228"/>
      <c r="S2041" s="11"/>
      <c r="T2041" s="11"/>
      <c r="U2041" s="11" t="str">
        <f>IFERROR(__xludf.DUMMYFUNCTION("""COMPUTED_VALUE"""),"W09-192/2026")</f>
        <v>W09-192/2026</v>
      </c>
      <c r="V2041" s="229" t="str">
        <f>IFERROR(__xludf.DUMMYFUNCTION("""COMPUTED_VALUE"""),"MOHAMMAD FAUZY")</f>
        <v>MOHAMMAD FAUZY</v>
      </c>
      <c r="W2041" s="229" t="str">
        <f>IFERROR(__xludf.DUMMYFUNCTION("""COMPUTED_VALUE"""),"LEVITA INDRIYANI")</f>
        <v>LEVITA INDRIYANI</v>
      </c>
      <c r="X2041" s="229" t="str">
        <f>IFERROR(__xludf.DUMMYFUNCTION("""COMPUTED_VALUE"""),"BELUM GOLIVE")</f>
        <v>BELUM GOLIVE</v>
      </c>
      <c r="Y2041" s="229"/>
      <c r="Z2041" s="229" t="str">
        <f>IFERROR(__xludf.DUMMYFUNCTION("""COMPUTED_VALUE"""),"#N/A")</f>
        <v>#N/A</v>
      </c>
      <c r="AA2041" s="229"/>
      <c r="AB2041" s="229"/>
      <c r="AC2041" s="229"/>
      <c r="AD2041" s="232"/>
      <c r="AE2041" s="233"/>
      <c r="AF2041" s="54"/>
      <c r="AG2041" s="54"/>
      <c r="AH2041" s="54"/>
      <c r="AI2041" s="55" t="str">
        <f t="shared" ref="AI2041:AI2051" si="200">IF(OR(R2041="",AE2041=""),"",R2041-AE2041)</f>
        <v/>
      </c>
      <c r="AW2041" s="234"/>
      <c r="BP2041" s="11"/>
      <c r="BQ2041" s="11"/>
      <c r="BR2041" s="235"/>
      <c r="BV2041" s="158"/>
      <c r="BY2041" s="158"/>
      <c r="CB2041" s="158"/>
    </row>
    <row r="2042" ht="18.0" hidden="1" customHeight="1">
      <c r="A2042" s="222">
        <f>IFERROR(__xludf.DUMMYFUNCTION("""COMPUTED_VALUE"""),2026.0)</f>
        <v>2026</v>
      </c>
      <c r="B2042" s="221">
        <f>IFERROR(__xludf.DUMMYFUNCTION("""COMPUTED_VALUE"""),1.1362706E7)</f>
        <v>11362706</v>
      </c>
      <c r="C2042" s="222" t="str">
        <f>IFERROR(__xludf.DUMMYFUNCTION("""COMPUTED_VALUE"""),"MDN PT3 P7I13 SPM-FBV GG.LANDASAN")</f>
        <v>MDN PT3 P7I13 SPM-FBV GG.LANDASAN</v>
      </c>
      <c r="D2042" s="222" t="str">
        <f>IFERROR(__xludf.DUMMYFUNCTION("""COMPUTED_VALUE"""),"REGIONAL I")</f>
        <v>REGIONAL I</v>
      </c>
      <c r="E2042" s="222" t="str">
        <f>IFERROR(__xludf.DUMMYFUNCTION("""COMPUTED_VALUE"""),"MEDAN")</f>
        <v>MEDAN</v>
      </c>
      <c r="F2042" s="222" t="str">
        <f>IFERROR(__xludf.DUMMYFUNCTION("""COMPUTED_VALUE"""),"SPM")</f>
        <v>SPM</v>
      </c>
      <c r="G2042" s="222" t="str">
        <f>IFERROR(__xludf.DUMMYFUNCTION("""COMPUTED_VALUE"""),"SUMBAGUT")</f>
        <v>SUMBAGUT</v>
      </c>
      <c r="H2042" s="222" t="str">
        <f>IFERROR(__xludf.DUMMYFUNCTION("""COMPUTED_VALUE"""),"MEDAN")</f>
        <v>MEDAN</v>
      </c>
      <c r="I2042" s="222" t="str">
        <f>IFERROR(__xludf.DUMMYFUNCTION("""COMPUTED_VALUE"""),"Batch 2")</f>
        <v>Batch 2</v>
      </c>
      <c r="J2042" s="225">
        <f>IFERROR(__xludf.DUMMYFUNCTION("""COMPUTED_VALUE"""),8.0)</f>
        <v>8</v>
      </c>
      <c r="K2042" s="224">
        <f>IFERROR(__xludf.DUMMYFUNCTION("""COMPUTED_VALUE"""),64.0)</f>
        <v>64</v>
      </c>
      <c r="L2042" s="226">
        <f>IFERROR(__xludf.DUMMYFUNCTION("""COMPUTED_VALUE"""),1065276.0)</f>
        <v>1065276</v>
      </c>
      <c r="M2042" s="227">
        <f>IFERROR(__xludf.DUMMYFUNCTION("""COMPUTED_VALUE"""),6.8177636E7)</f>
        <v>68177636</v>
      </c>
      <c r="N2042" s="222" t="str">
        <f>IFERROR(__xludf.DUMMYFUNCTION("""COMPUTED_VALUE"""),"PT UPENTEL INTERNASIONAL")</f>
        <v>PT UPENTEL INTERNASIONAL</v>
      </c>
      <c r="O2042" s="222" t="str">
        <f>IFERROR(__xludf.DUMMYFUNCTION("""COMPUTED_VALUE"""),"8. UJI TERIMA")</f>
        <v>8. UJI TERIMA</v>
      </c>
      <c r="P2042" s="222" t="str">
        <f>IFERROR(__xludf.DUMMYFUNCTION("""COMPUTED_VALUE"""),"8.1 Proses UT")</f>
        <v>8.1 Proses UT</v>
      </c>
      <c r="Q2042" s="222" t="str">
        <f>IFERROR(__xludf.DUMMYFUNCTION("""COMPUTED_VALUE"""),"24/02 terminasi di ODC 21/02 Penarikan KU 18/02 Req Material 06/02 Pengajuan biaya kompensasi kelurahan Sari Rejo
07/02 Done Order, Lnjut Aanwidzing")</f>
        <v>24/02 terminasi di ODC 21/02 Penarikan KU 18/02 Req Material 06/02 Pengajuan biaya kompensasi kelurahan Sari Rejo
07/02 Done Order, Lnjut Aanwidzing</v>
      </c>
      <c r="R2042" s="228"/>
      <c r="S2042" s="11"/>
      <c r="T2042" s="11"/>
      <c r="U2042" s="11" t="str">
        <f>IFERROR(__xludf.DUMMYFUNCTION("""COMPUTED_VALUE"""),"FALSE")</f>
        <v>FALSE</v>
      </c>
      <c r="V2042" s="229"/>
      <c r="W2042" s="229"/>
      <c r="X2042" s="229" t="str">
        <f>IFERROR(__xludf.DUMMYFUNCTION("""COMPUTED_VALUE"""),"GOLIVE")</f>
        <v>GOLIVE</v>
      </c>
      <c r="Y2042" s="229" t="str">
        <f>IFERROR(__xludf.DUMMYFUNCTION("""COMPUTED_VALUE"""),"DONE")</f>
        <v>DONE</v>
      </c>
      <c r="Z2042" s="229" t="str">
        <f>IFERROR(__xludf.DUMMYFUNCTION("""COMPUTED_VALUE"""),"#N/A")</f>
        <v>#N/A</v>
      </c>
      <c r="AA2042" s="229">
        <f>IFERROR(__xludf.DUMMYFUNCTION("""COMPUTED_VALUE"""),8.0)</f>
        <v>8</v>
      </c>
      <c r="AB2042" s="229"/>
      <c r="AC2042" s="229" t="str">
        <f>IFERROR(__xludf.DUMMYFUNCTION("""COMPUTED_VALUE"""),"9162854#9162859")</f>
        <v>9162854#9162859</v>
      </c>
      <c r="AD2042" s="232">
        <f>IFERROR(__xludf.DUMMYFUNCTION("""COMPUTED_VALUE"""),64.0)</f>
        <v>64</v>
      </c>
      <c r="AE2042" s="233">
        <f>IFERROR(__xludf.DUMMYFUNCTION("""COMPUTED_VALUE"""),46081.0)</f>
        <v>46081</v>
      </c>
      <c r="AF2042" s="54"/>
      <c r="AG2042" s="54"/>
      <c r="AH2042" s="54"/>
      <c r="AI2042" s="55" t="str">
        <f t="shared" si="200"/>
        <v/>
      </c>
      <c r="AW2042" s="234"/>
      <c r="BP2042" s="11"/>
      <c r="BQ2042" s="11"/>
      <c r="BR2042" s="235"/>
      <c r="BV2042" s="158"/>
      <c r="BY2042" s="158"/>
      <c r="CB2042" s="158"/>
    </row>
    <row r="2043" ht="18.0" hidden="1" customHeight="1">
      <c r="A2043" s="222">
        <f>IFERROR(__xludf.DUMMYFUNCTION("""COMPUTED_VALUE"""),2026.0)</f>
        <v>2026</v>
      </c>
      <c r="B2043" s="221">
        <f>IFERROR(__xludf.DUMMYFUNCTION("""COMPUTED_VALUE"""),1.0343467E7)</f>
        <v>10343467</v>
      </c>
      <c r="C2043" s="222" t="str">
        <f>IFERROR(__xludf.DUMMYFUNCTION("""COMPUTED_VALUE"""),"JBI-PT3 BRANCHING -PLTSEL-SPN-FL-TEGUH PRABOWO")</f>
        <v>JBI-PT3 BRANCHING -PLTSEL-SPN-FL-TEGUH PRABOWO</v>
      </c>
      <c r="D2043" s="222" t="str">
        <f>IFERROR(__xludf.DUMMYFUNCTION("""COMPUTED_VALUE"""),"REGIONAL I")</f>
        <v>REGIONAL I</v>
      </c>
      <c r="E2043" s="222" t="str">
        <f>IFERROR(__xludf.DUMMYFUNCTION("""COMPUTED_VALUE"""),"JAMBI")</f>
        <v>JAMBI</v>
      </c>
      <c r="F2043" s="222" t="str">
        <f>IFERROR(__xludf.DUMMYFUNCTION("""COMPUTED_VALUE"""),"SPN")</f>
        <v>SPN</v>
      </c>
      <c r="G2043" s="222" t="str">
        <f>IFERROR(__xludf.DUMMYFUNCTION("""COMPUTED_VALUE"""),"SUMBAGSEL")</f>
        <v>SUMBAGSEL</v>
      </c>
      <c r="H2043" s="222" t="str">
        <f>IFERROR(__xludf.DUMMYFUNCTION("""COMPUTED_VALUE"""),"JAMBI")</f>
        <v>JAMBI</v>
      </c>
      <c r="I2043" s="222" t="str">
        <f>IFERROR(__xludf.DUMMYFUNCTION("""COMPUTED_VALUE"""),"Batch 2")</f>
        <v>Batch 2</v>
      </c>
      <c r="J2043" s="225">
        <f>IFERROR(__xludf.DUMMYFUNCTION("""COMPUTED_VALUE"""),1.0)</f>
        <v>1</v>
      </c>
      <c r="K2043" s="224">
        <f>IFERROR(__xludf.DUMMYFUNCTION("""COMPUTED_VALUE"""),8.0)</f>
        <v>8</v>
      </c>
      <c r="L2043" s="226">
        <f>IFERROR(__xludf.DUMMYFUNCTION("""COMPUTED_VALUE"""),1544141.0)</f>
        <v>1544141</v>
      </c>
      <c r="M2043" s="227">
        <f>IFERROR(__xludf.DUMMYFUNCTION("""COMPUTED_VALUE"""),1.2353125E7)</f>
        <v>12353125</v>
      </c>
      <c r="N2043" s="222" t="str">
        <f>IFERROR(__xludf.DUMMYFUNCTION("""COMPUTED_VALUE"""),"PT SARANA MITRA PERSADA")</f>
        <v>PT SARANA MITRA PERSADA</v>
      </c>
      <c r="O2043" s="222" t="str">
        <f>IFERROR(__xludf.DUMMYFUNCTION("""COMPUTED_VALUE"""),"0. DROP")</f>
        <v>0. DROP</v>
      </c>
      <c r="P2043" s="222" t="str">
        <f>IFERROR(__xludf.DUMMYFUNCTION("""COMPUTED_VALUE"""),"0.5 DROP TSEL - Acc ED TIF")</f>
        <v>0.5 DROP TSEL - Acc ED TIF</v>
      </c>
      <c r="Q2043" s="222" t="str">
        <f>IFERROR(__xludf.DUMMYFUNCTION("""COMPUTED_VALUE"""),"(12/1) BA Drop Sirkulir - Permintaan Tsel Market tidak OK 17/11 HOLD, Permintaan TSEL 10/11 matdel (21/10) Mapping Mitra")</f>
        <v>(12/1) BA Drop Sirkulir - Permintaan Tsel Market tidak OK 17/11 HOLD, Permintaan TSEL 10/11 matdel (21/10) Mapping Mitra</v>
      </c>
      <c r="R2043" s="228"/>
      <c r="S2043" s="11"/>
      <c r="T2043" s="11"/>
      <c r="U2043" s="11"/>
      <c r="V2043" s="229"/>
      <c r="W2043" s="229"/>
      <c r="X2043" s="229" t="str">
        <f>IFERROR(__xludf.DUMMYFUNCTION("""COMPUTED_VALUE"""),"BELUM GOLIVE")</f>
        <v>BELUM GOLIVE</v>
      </c>
      <c r="Y2043" s="229"/>
      <c r="Z2043" s="229" t="str">
        <f>IFERROR(__xludf.DUMMYFUNCTION("""COMPUTED_VALUE"""),"#N/A")</f>
        <v>#N/A</v>
      </c>
      <c r="AA2043" s="229"/>
      <c r="AB2043" s="229"/>
      <c r="AC2043" s="229"/>
      <c r="AD2043" s="232"/>
      <c r="AE2043" s="233"/>
      <c r="AF2043" s="54"/>
      <c r="AG2043" s="54"/>
      <c r="AH2043" s="54"/>
      <c r="AI2043" s="55" t="str">
        <f t="shared" si="200"/>
        <v/>
      </c>
      <c r="AW2043" s="234"/>
      <c r="BP2043" s="11"/>
      <c r="BQ2043" s="11"/>
      <c r="BR2043" s="235"/>
      <c r="BV2043" s="158"/>
      <c r="BY2043" s="158"/>
      <c r="CB2043" s="158"/>
    </row>
    <row r="2044" ht="18.0" hidden="1" customHeight="1">
      <c r="A2044" s="222">
        <f>IFERROR(__xludf.DUMMYFUNCTION("""COMPUTED_VALUE"""),2026.0)</f>
        <v>2026</v>
      </c>
      <c r="B2044" s="221">
        <f>IFERROR(__xludf.DUMMYFUNCTION("""COMPUTED_VALUE"""),1.1389622E7)</f>
        <v>11389622</v>
      </c>
      <c r="C2044" s="222" t="str">
        <f>IFERROR(__xludf.DUMMYFUNCTION("""COMPUTED_VALUE"""),"MDN PT4 TJR-FAG GG.MASJID UJUNG SERDANG")</f>
        <v>MDN PT4 TJR-FAG GG.MASJID UJUNG SERDANG</v>
      </c>
      <c r="D2044" s="222" t="str">
        <f>IFERROR(__xludf.DUMMYFUNCTION("""COMPUTED_VALUE"""),"REGIONAL I")</f>
        <v>REGIONAL I</v>
      </c>
      <c r="E2044" s="222" t="str">
        <f>IFERROR(__xludf.DUMMYFUNCTION("""COMPUTED_VALUE"""),"MEDAN")</f>
        <v>MEDAN</v>
      </c>
      <c r="F2044" s="222" t="str">
        <f>IFERROR(__xludf.DUMMYFUNCTION("""COMPUTED_VALUE"""),"TJR")</f>
        <v>TJR</v>
      </c>
      <c r="G2044" s="222" t="str">
        <f>IFERROR(__xludf.DUMMYFUNCTION("""COMPUTED_VALUE"""),"SUMBAGUT")</f>
        <v>SUMBAGUT</v>
      </c>
      <c r="H2044" s="222" t="str">
        <f>IFERROR(__xludf.DUMMYFUNCTION("""COMPUTED_VALUE"""),"MEDAN")</f>
        <v>MEDAN</v>
      </c>
      <c r="I2044" s="222" t="str">
        <f>IFERROR(__xludf.DUMMYFUNCTION("""COMPUTED_VALUE"""),"Batch 2")</f>
        <v>Batch 2</v>
      </c>
      <c r="J2044" s="225">
        <f>IFERROR(__xludf.DUMMYFUNCTION("""COMPUTED_VALUE"""),19.0)</f>
        <v>19</v>
      </c>
      <c r="K2044" s="224">
        <f>IFERROR(__xludf.DUMMYFUNCTION("""COMPUTED_VALUE"""),152.0)</f>
        <v>152</v>
      </c>
      <c r="L2044" s="226">
        <f>IFERROR(__xludf.DUMMYFUNCTION("""COMPUTED_VALUE"""),1545850.0)</f>
        <v>1545850</v>
      </c>
      <c r="M2044" s="227">
        <f>IFERROR(__xludf.DUMMYFUNCTION("""COMPUTED_VALUE"""),2.34969082E8)</f>
        <v>234969082</v>
      </c>
      <c r="N2044" s="222" t="str">
        <f>IFERROR(__xludf.DUMMYFUNCTION("""COMPUTED_VALUE"""),"PT FIBERHOME TECHNOLOGIES INDONESIA")</f>
        <v>PT FIBERHOME TECHNOLOGIES INDONESIA</v>
      </c>
      <c r="O2044" s="222" t="str">
        <f>IFERROR(__xludf.DUMMYFUNCTION("""COMPUTED_VALUE"""),"0. DROP")</f>
        <v>0. DROP</v>
      </c>
      <c r="P2044" s="222" t="str">
        <f>IFERROR(__xludf.DUMMYFUNCTION("""COMPUTED_VALUE"""),"0.4 CPP Tinggi Acc ED TIF")</f>
        <v>0.4 CPP Tinggi Acc ED TIF</v>
      </c>
      <c r="Q2044" s="222" t="str">
        <f>IFERROR(__xludf.DUMMYFUNCTION("""COMPUTED_VALUE"""),"(05/02) ODC tidak bisa di buka di dalam tempel ban, (12/01) tidak dpt izin dari warga, (07/01) Persiapan")</f>
        <v>(05/02) ODC tidak bisa di buka di dalam tempel ban, (12/01) tidak dpt izin dari warga, (07/01) Persiapan</v>
      </c>
      <c r="R2044" s="228"/>
      <c r="S2044" s="11"/>
      <c r="T2044" s="11"/>
      <c r="U2044" s="11"/>
      <c r="V2044" s="229"/>
      <c r="W2044" s="229"/>
      <c r="X2044" s="229" t="str">
        <f>IFERROR(__xludf.DUMMYFUNCTION("""COMPUTED_VALUE"""),"BELUM GOLIVE")</f>
        <v>BELUM GOLIVE</v>
      </c>
      <c r="Y2044" s="229"/>
      <c r="Z2044" s="229" t="str">
        <f>IFERROR(__xludf.DUMMYFUNCTION("""COMPUTED_VALUE"""),"#N/A")</f>
        <v>#N/A</v>
      </c>
      <c r="AA2044" s="229"/>
      <c r="AB2044" s="229"/>
      <c r="AC2044" s="229"/>
      <c r="AD2044" s="232"/>
      <c r="AE2044" s="233"/>
      <c r="AF2044" s="54" t="str">
        <f>IFERROR(__xludf.DUMMYFUNCTION("""COMPUTED_VALUE"""),"Draft BA DROP")</f>
        <v>Draft BA DROP</v>
      </c>
      <c r="AG2044" s="54"/>
      <c r="AH2044" s="54"/>
      <c r="AI2044" s="55" t="str">
        <f t="shared" si="200"/>
        <v/>
      </c>
      <c r="AW2044" s="234"/>
      <c r="BP2044" s="11"/>
      <c r="BQ2044" s="11"/>
      <c r="BR2044" s="235"/>
      <c r="BV2044" s="158"/>
      <c r="BY2044" s="158"/>
      <c r="CB2044" s="158"/>
    </row>
    <row r="2045" ht="18.0" hidden="1" customHeight="1">
      <c r="A2045" s="222">
        <f>IFERROR(__xludf.DUMMYFUNCTION("""COMPUTED_VALUE"""),2026.0)</f>
        <v>2026</v>
      </c>
      <c r="B2045" s="221">
        <f>IFERROR(__xludf.DUMMYFUNCTION("""COMPUTED_VALUE"""),1.1356566E7)</f>
        <v>11356566</v>
      </c>
      <c r="C2045" s="222" t="str">
        <f>IFERROR(__xludf.DUMMYFUNCTION("""COMPUTED_VALUE"""),"SMS P2I2 PT3 PLJ FQ D02 JL PERJUANGAN")</f>
        <v>SMS P2I2 PT3 PLJ FQ D02 JL PERJUANGAN</v>
      </c>
      <c r="D2045" s="222" t="str">
        <f>IFERROR(__xludf.DUMMYFUNCTION("""COMPUTED_VALUE"""),"REGIONAL I")</f>
        <v>REGIONAL I</v>
      </c>
      <c r="E2045" s="222" t="str">
        <f>IFERROR(__xludf.DUMMYFUNCTION("""COMPUTED_VALUE"""),"SUMSEL")</f>
        <v>SUMSEL</v>
      </c>
      <c r="F2045" s="222" t="str">
        <f>IFERROR(__xludf.DUMMYFUNCTION("""COMPUTED_VALUE"""),"PLJ")</f>
        <v>PLJ</v>
      </c>
      <c r="G2045" s="222" t="str">
        <f>IFERROR(__xludf.DUMMYFUNCTION("""COMPUTED_VALUE"""),"SUMBAGSEL")</f>
        <v>SUMBAGSEL</v>
      </c>
      <c r="H2045" s="222" t="str">
        <f>IFERROR(__xludf.DUMMYFUNCTION("""COMPUTED_VALUE"""),"PALEMBANG")</f>
        <v>PALEMBANG</v>
      </c>
      <c r="I2045" s="222" t="str">
        <f>IFERROR(__xludf.DUMMYFUNCTION("""COMPUTED_VALUE"""),"Batch 2")</f>
        <v>Batch 2</v>
      </c>
      <c r="J2045" s="225">
        <f>IFERROR(__xludf.DUMMYFUNCTION("""COMPUTED_VALUE"""),2.0)</f>
        <v>2</v>
      </c>
      <c r="K2045" s="224">
        <f>IFERROR(__xludf.DUMMYFUNCTION("""COMPUTED_VALUE"""),16.0)</f>
        <v>16</v>
      </c>
      <c r="L2045" s="226">
        <f>IFERROR(__xludf.DUMMYFUNCTION("""COMPUTED_VALUE"""),1546482.0)</f>
        <v>1546482</v>
      </c>
      <c r="M2045" s="227">
        <f>IFERROR(__xludf.DUMMYFUNCTION("""COMPUTED_VALUE"""),2.4743703E7)</f>
        <v>24743703</v>
      </c>
      <c r="N2045" s="222" t="str">
        <f>IFERROR(__xludf.DUMMYFUNCTION("""COMPUTED_VALUE"""),"PT ACERO CETHA METALINDO")</f>
        <v>PT ACERO CETHA METALINDO</v>
      </c>
      <c r="O2045" s="222" t="str">
        <f>IFERROR(__xludf.DUMMYFUNCTION("""COMPUTED_VALUE"""),"0. DROP")</f>
        <v>0. DROP</v>
      </c>
      <c r="P2045" s="222" t="str">
        <f>IFERROR(__xludf.DUMMYFUNCTION("""COMPUTED_VALUE"""),"0.2 Tidak Dapat Izin Warga/Kades/Lurah/Developer")</f>
        <v>0.2 Tidak Dapat Izin Warga/Kades/Lurah/Developer</v>
      </c>
      <c r="Q2045" s="222" t="str">
        <f>IFERROR(__xludf.DUMMYFUNCTION("""COMPUTED_VALUE"""),"06/02 hasil review dri sales mau konfirme ke lapangan untuk izin, senin 09/02, 03/02 DROP, TIDAK MENDAPATKAN IZIN DARI WARGA, 07/01 DROP tidak dpt izin dari warga (21/01) DROP, tidak dpt izin dari warga, (15/1) drop (18/11) tidak masuk target optimis 2025"&amp;" (18/11 masih kendala perizinan dari warga RT sudah reroute tetap tidak dapat izin, 17/11 masih kendala perizinan dari warga RT sudah reroute tetap tidak dapat izin, (14/11) KENDALA WARGA TIDAK MENGIZINKAN , KONFIRM TSEL , PLAN KUNJUNGA BERSAMA SALSES 15 "&amp;"NOV (12/11) masih kendala perizinan rt, 11/11 masih menunggu perizinan RT (08/11) SUDAH ANWIJZING , LANJUT PERIZINAN RT 10 NOV (06/11) tidak dapat perizinan 5/11 baru selesai aanwidzjing 23/10 penunjukan mitra
 15/10 proses penunjukan mitra
 (08/10) penun"&amp;"jukan mitra")</f>
        <v>06/02 hasil review dri sales mau konfirme ke lapangan untuk izin, senin 09/02, 03/02 DROP, TIDAK MENDAPATKAN IZIN DARI WARGA, 07/01 DROP tidak dpt izin dari warga (21/01) DROP, tidak dpt izin dari warga, (15/1) drop (18/11) tidak masuk target optimis 2025 (18/11 masih kendala perizinan dari warga RT sudah reroute tetap tidak dapat izin, 17/11 masih kendala perizinan dari warga RT sudah reroute tetap tidak dapat izin, (14/11) KENDALA WARGA TIDAK MENGIZINKAN , KONFIRM TSEL , PLAN KUNJUNGA BERSAMA SALSES 15 NOV (12/11) masih kendala perizinan rt, 11/11 masih menunggu perizinan RT (08/11) SUDAH ANWIJZING , LANJUT PERIZINAN RT 10 NOV (06/11) tidak dapat perizinan 5/11 baru selesai aanwidzjing 23/10 penunjukan mitra
 15/10 proses penunjukan mitra
 (08/10) penunjukan mitra</v>
      </c>
      <c r="R2045" s="228"/>
      <c r="S2045" s="11"/>
      <c r="T2045" s="11"/>
      <c r="U2045" s="11"/>
      <c r="V2045" s="229" t="str">
        <f>IFERROR(__xludf.DUMMYFUNCTION("""COMPUTED_VALUE"""),"PRIGUS")</f>
        <v>PRIGUS</v>
      </c>
      <c r="W2045" s="229"/>
      <c r="X2045" s="229" t="str">
        <f>IFERROR(__xludf.DUMMYFUNCTION("""COMPUTED_VALUE"""),"BELUM GOLIVE")</f>
        <v>BELUM GOLIVE</v>
      </c>
      <c r="Y2045" s="229"/>
      <c r="Z2045" s="229" t="str">
        <f>IFERROR(__xludf.DUMMYFUNCTION("""COMPUTED_VALUE"""),"#N/A")</f>
        <v>#N/A</v>
      </c>
      <c r="AA2045" s="229"/>
      <c r="AB2045" s="229"/>
      <c r="AC2045" s="229"/>
      <c r="AD2045" s="232"/>
      <c r="AE2045" s="233"/>
      <c r="AF2045" s="54" t="str">
        <f>IFERROR(__xludf.DUMMYFUNCTION("""COMPUTED_VALUE"""),"Draft BA DROP")</f>
        <v>Draft BA DROP</v>
      </c>
      <c r="AG2045" s="54"/>
      <c r="AH2045" s="54"/>
      <c r="AI2045" s="55" t="str">
        <f t="shared" si="200"/>
        <v/>
      </c>
      <c r="AW2045" s="234"/>
      <c r="BP2045" s="11"/>
      <c r="BQ2045" s="11"/>
      <c r="BR2045" s="235"/>
      <c r="BV2045" s="158"/>
      <c r="BY2045" s="158"/>
      <c r="CB2045" s="158"/>
    </row>
    <row r="2046" ht="18.0" customHeight="1">
      <c r="A2046" s="222">
        <f>IFERROR(__xludf.DUMMYFUNCTION("""COMPUTED_VALUE"""),2026.0)</f>
        <v>2026</v>
      </c>
      <c r="B2046" s="221">
        <f>IFERROR(__xludf.DUMMYFUNCTION("""COMPUTED_VALUE"""),1.1516632E7)</f>
        <v>11516632</v>
      </c>
      <c r="C2046" s="222" t="str">
        <f>IFERROR(__xludf.DUMMYFUNCTION("""COMPUTED_VALUE"""),"RKP PT3 TSEL BDS-FC TAMAN HARAPAN INDAH")</f>
        <v>RKP PT3 TSEL BDS-FC TAMAN HARAPAN INDAH</v>
      </c>
      <c r="D2046" s="222" t="str">
        <f>IFERROR(__xludf.DUMMYFUNCTION("""COMPUTED_VALUE"""),"REGIONAL I")</f>
        <v>REGIONAL I</v>
      </c>
      <c r="E2046" s="222" t="str">
        <f>IFERROR(__xludf.DUMMYFUNCTION("""COMPUTED_VALUE"""),"RIKEP")</f>
        <v>RIKEP</v>
      </c>
      <c r="F2046" s="222" t="str">
        <f>IFERROR(__xludf.DUMMYFUNCTION("""COMPUTED_VALUE"""),"DGS")</f>
        <v>DGS</v>
      </c>
      <c r="G2046" s="222" t="str">
        <f>IFERROR(__xludf.DUMMYFUNCTION("""COMPUTED_VALUE"""),"SUMBAGTENG")</f>
        <v>SUMBAGTENG</v>
      </c>
      <c r="H2046" s="222" t="str">
        <f>IFERROR(__xludf.DUMMYFUNCTION("""COMPUTED_VALUE"""),"BATAM")</f>
        <v>BATAM</v>
      </c>
      <c r="I2046" s="222" t="str">
        <f>IFERROR(__xludf.DUMMYFUNCTION("""COMPUTED_VALUE"""),"Batch 2")</f>
        <v>Batch 2</v>
      </c>
      <c r="J2046" s="225">
        <f>IFERROR(__xludf.DUMMYFUNCTION("""COMPUTED_VALUE"""),9.0)</f>
        <v>9</v>
      </c>
      <c r="K2046" s="224">
        <f>IFERROR(__xludf.DUMMYFUNCTION("""COMPUTED_VALUE"""),72.0)</f>
        <v>72</v>
      </c>
      <c r="L2046" s="226">
        <f>IFERROR(__xludf.DUMMYFUNCTION("""COMPUTED_VALUE"""),1546775.0)</f>
        <v>1546775</v>
      </c>
      <c r="M2046" s="227">
        <f>IFERROR(__xludf.DUMMYFUNCTION("""COMPUTED_VALUE"""),1.11367755E8)</f>
        <v>111367755</v>
      </c>
      <c r="N2046" s="222" t="str">
        <f>IFERROR(__xludf.DUMMYFUNCTION("""COMPUTED_VALUE"""),"PT MITRA SETIA INDONESIA")</f>
        <v>PT MITRA SETIA INDONESIA</v>
      </c>
      <c r="O2046" s="222" t="str">
        <f>IFERROR(__xludf.DUMMYFUNCTION("""COMPUTED_VALUE"""),"0. DROP")</f>
        <v>0. DROP</v>
      </c>
      <c r="P2046" s="222" t="str">
        <f>IFERROR(__xludf.DUMMYFUNCTION("""COMPUTED_VALUE"""),"0.2 Tidak Dapat Izin Warga/Kades/Lurah/Developer")</f>
        <v>0.2 Tidak Dapat Izin Warga/Kades/Lurah/Developer</v>
      </c>
      <c r="Q2046" s="222" t="str">
        <f>IFERROR(__xludf.DUMMYFUNCTION("""COMPUTED_VALUE"""),"18/02 Izin d tolak developer. 09/02 LOP belum di sruvey. 28/01 Plan survey 29 Jan. 21/01 plan survey minggu depan tgl 26")</f>
        <v>18/02 Izin d tolak developer. 09/02 LOP belum di sruvey. 28/01 Plan survey 29 Jan. 21/01 plan survey minggu depan tgl 26</v>
      </c>
      <c r="R2046" s="228"/>
      <c r="S2046" s="11"/>
      <c r="T2046" s="11"/>
      <c r="U2046" s="11"/>
      <c r="V2046" s="229" t="str">
        <f>IFERROR(__xludf.DUMMYFUNCTION("""COMPUTED_VALUE"""),"GANI PRASTYO")</f>
        <v>GANI PRASTYO</v>
      </c>
      <c r="W2046" s="229" t="str">
        <f>IFERROR(__xludf.DUMMYFUNCTION("""COMPUTED_VALUE"""),"LEVITA INDRIYANI")</f>
        <v>LEVITA INDRIYANI</v>
      </c>
      <c r="X2046" s="229" t="str">
        <f>IFERROR(__xludf.DUMMYFUNCTION("""COMPUTED_VALUE"""),"BELUM GOLIVE")</f>
        <v>BELUM GOLIVE</v>
      </c>
      <c r="Y2046" s="229"/>
      <c r="Z2046" s="229" t="str">
        <f>IFERROR(__xludf.DUMMYFUNCTION("""COMPUTED_VALUE"""),"#N/A")</f>
        <v>#N/A</v>
      </c>
      <c r="AA2046" s="229"/>
      <c r="AB2046" s="229"/>
      <c r="AC2046" s="229"/>
      <c r="AD2046" s="232"/>
      <c r="AE2046" s="233"/>
      <c r="AF2046" s="54" t="str">
        <f>IFERROR(__xludf.DUMMYFUNCTION("""COMPUTED_VALUE"""),"Draft BA DROP")</f>
        <v>Draft BA DROP</v>
      </c>
      <c r="AG2046" s="54"/>
      <c r="AH2046" s="54"/>
      <c r="AI2046" s="55" t="str">
        <f t="shared" si="200"/>
        <v/>
      </c>
      <c r="AW2046" s="234"/>
      <c r="BP2046" s="11"/>
      <c r="BQ2046" s="11"/>
      <c r="BR2046" s="235"/>
      <c r="BV2046" s="158"/>
      <c r="BY2046" s="158"/>
      <c r="CB2046" s="158"/>
    </row>
    <row r="2047" ht="18.0" hidden="1" customHeight="1">
      <c r="A2047" s="222">
        <f>IFERROR(__xludf.DUMMYFUNCTION("""COMPUTED_VALUE"""),2026.0)</f>
        <v>2026</v>
      </c>
      <c r="B2047" s="221">
        <f>IFERROR(__xludf.DUMMYFUNCTION("""COMPUTED_VALUE"""),1.1219453E7)</f>
        <v>11219453</v>
      </c>
      <c r="C2047" s="222" t="str">
        <f>IFERROR(__xludf.DUMMYFUNCTION("""COMPUTED_VALUE"""),"MDN PT3 P7I12 TJR-FH GG.PEMBANGUNAN")</f>
        <v>MDN PT3 P7I12 TJR-FH GG.PEMBANGUNAN</v>
      </c>
      <c r="D2047" s="222" t="str">
        <f>IFERROR(__xludf.DUMMYFUNCTION("""COMPUTED_VALUE"""),"REGIONAL I")</f>
        <v>REGIONAL I</v>
      </c>
      <c r="E2047" s="222" t="str">
        <f>IFERROR(__xludf.DUMMYFUNCTION("""COMPUTED_VALUE"""),"MEDAN")</f>
        <v>MEDAN</v>
      </c>
      <c r="F2047" s="222" t="str">
        <f>IFERROR(__xludf.DUMMYFUNCTION("""COMPUTED_VALUE"""),"TJR")</f>
        <v>TJR</v>
      </c>
      <c r="G2047" s="222" t="str">
        <f>IFERROR(__xludf.DUMMYFUNCTION("""COMPUTED_VALUE"""),"SUMBAGUT")</f>
        <v>SUMBAGUT</v>
      </c>
      <c r="H2047" s="222" t="str">
        <f>IFERROR(__xludf.DUMMYFUNCTION("""COMPUTED_VALUE"""),"MEDAN")</f>
        <v>MEDAN</v>
      </c>
      <c r="I2047" s="222" t="str">
        <f>IFERROR(__xludf.DUMMYFUNCTION("""COMPUTED_VALUE"""),"Batch 2")</f>
        <v>Batch 2</v>
      </c>
      <c r="J2047" s="225">
        <f>IFERROR(__xludf.DUMMYFUNCTION("""COMPUTED_VALUE"""),4.0)</f>
        <v>4</v>
      </c>
      <c r="K2047" s="224">
        <f>IFERROR(__xludf.DUMMYFUNCTION("""COMPUTED_VALUE"""),32.0)</f>
        <v>32</v>
      </c>
      <c r="L2047" s="226">
        <f>IFERROR(__xludf.DUMMYFUNCTION("""COMPUTED_VALUE"""),983894.0)</f>
        <v>983894</v>
      </c>
      <c r="M2047" s="227">
        <f>IFERROR(__xludf.DUMMYFUNCTION("""COMPUTED_VALUE"""),3.1484606E7)</f>
        <v>31484606</v>
      </c>
      <c r="N2047" s="222" t="str">
        <f>IFERROR(__xludf.DUMMYFUNCTION("""COMPUTED_VALUE"""),"PT UPAYA TEKNIK")</f>
        <v>PT UPAYA TEKNIK</v>
      </c>
      <c r="O2047" s="222" t="str">
        <f>IFERROR(__xludf.DUMMYFUNCTION("""COMPUTED_VALUE"""),"0. DROP")</f>
        <v>0. DROP</v>
      </c>
      <c r="P2047" s="222" t="str">
        <f>IFERROR(__xludf.DUMMYFUNCTION("""COMPUTED_VALUE"""),"0.2 Tidak Dapat Izin Warga/Kades/Lurah/Developer")</f>
        <v>0.2 Tidak Dapat Izin Warga/Kades/Lurah/Developer</v>
      </c>
      <c r="Q2047" s="222" t="str">
        <f>IFERROR(__xludf.DUMMYFUNCTION("""COMPUTED_VALUE"""),"31/03 tidak ada izin penanaman tiang (space tanam tidak ada) 12/02 proses perizinan
09/02 feeder ok
(07/01) Persiapan")</f>
        <v>31/03 tidak ada izin penanaman tiang (space tanam tidak ada) 12/02 proses perizinan
09/02 feeder ok
(07/01) Persiapan</v>
      </c>
      <c r="R2047" s="228"/>
      <c r="S2047" s="11"/>
      <c r="T2047" s="11"/>
      <c r="U2047" s="11"/>
      <c r="V2047" s="229"/>
      <c r="W2047" s="229"/>
      <c r="X2047" s="229" t="str">
        <f>IFERROR(__xludf.DUMMYFUNCTION("""COMPUTED_VALUE"""),"BELUM GOLIVE")</f>
        <v>BELUM GOLIVE</v>
      </c>
      <c r="Y2047" s="229"/>
      <c r="Z2047" s="229" t="str">
        <f>IFERROR(__xludf.DUMMYFUNCTION("""COMPUTED_VALUE"""),"#N/A")</f>
        <v>#N/A</v>
      </c>
      <c r="AA2047" s="229"/>
      <c r="AB2047" s="229"/>
      <c r="AC2047" s="229"/>
      <c r="AD2047" s="232"/>
      <c r="AE2047" s="233"/>
      <c r="AF2047" s="54"/>
      <c r="AG2047" s="54"/>
      <c r="AH2047" s="54"/>
      <c r="AI2047" s="55" t="str">
        <f t="shared" si="200"/>
        <v/>
      </c>
      <c r="AW2047" s="234"/>
      <c r="BP2047" s="11"/>
      <c r="BQ2047" s="11"/>
      <c r="BR2047" s="235"/>
      <c r="BV2047" s="158"/>
      <c r="BY2047" s="158"/>
      <c r="CB2047" s="158"/>
    </row>
    <row r="2048" ht="18.0" hidden="1" customHeight="1">
      <c r="A2048" s="222">
        <f>IFERROR(__xludf.DUMMYFUNCTION("""COMPUTED_VALUE"""),2026.0)</f>
        <v>2026</v>
      </c>
      <c r="B2048" s="221">
        <f>IFERROR(__xludf.DUMMYFUNCTION("""COMPUTED_VALUE"""),1.1272475E7)</f>
        <v>11272475</v>
      </c>
      <c r="C2048" s="222" t="str">
        <f>IFERROR(__xludf.DUMMYFUNCTION("""COMPUTED_VALUE"""),"MDN PT3 P1I1 SPM-FAP VILLA GADING MAS 2")</f>
        <v>MDN PT3 P1I1 SPM-FAP VILLA GADING MAS 2</v>
      </c>
      <c r="D2048" s="222" t="str">
        <f>IFERROR(__xludf.DUMMYFUNCTION("""COMPUTED_VALUE"""),"REGIONAL I")</f>
        <v>REGIONAL I</v>
      </c>
      <c r="E2048" s="222" t="str">
        <f>IFERROR(__xludf.DUMMYFUNCTION("""COMPUTED_VALUE"""),"MEDAN")</f>
        <v>MEDAN</v>
      </c>
      <c r="F2048" s="222" t="str">
        <f>IFERROR(__xludf.DUMMYFUNCTION("""COMPUTED_VALUE"""),"SPM")</f>
        <v>SPM</v>
      </c>
      <c r="G2048" s="222" t="str">
        <f>IFERROR(__xludf.DUMMYFUNCTION("""COMPUTED_VALUE"""),"SUMBAGUT")</f>
        <v>SUMBAGUT</v>
      </c>
      <c r="H2048" s="222" t="str">
        <f>IFERROR(__xludf.DUMMYFUNCTION("""COMPUTED_VALUE"""),"MEDAN")</f>
        <v>MEDAN</v>
      </c>
      <c r="I2048" s="222" t="str">
        <f>IFERROR(__xludf.DUMMYFUNCTION("""COMPUTED_VALUE"""),"Batch 2")</f>
        <v>Batch 2</v>
      </c>
      <c r="J2048" s="225">
        <f>IFERROR(__xludf.DUMMYFUNCTION("""COMPUTED_VALUE"""),6.0)</f>
        <v>6</v>
      </c>
      <c r="K2048" s="224">
        <f>IFERROR(__xludf.DUMMYFUNCTION("""COMPUTED_VALUE"""),48.0)</f>
        <v>48</v>
      </c>
      <c r="L2048" s="226">
        <f>IFERROR(__xludf.DUMMYFUNCTION("""COMPUTED_VALUE"""),847920.0)</f>
        <v>847920</v>
      </c>
      <c r="M2048" s="227">
        <f>IFERROR(__xludf.DUMMYFUNCTION("""COMPUTED_VALUE"""),4.0700155E7)</f>
        <v>40700155</v>
      </c>
      <c r="N2048" s="222" t="str">
        <f>IFERROR(__xludf.DUMMYFUNCTION("""COMPUTED_VALUE"""),"PT UPENTEL INTERNASIONAL")</f>
        <v>PT UPENTEL INTERNASIONAL</v>
      </c>
      <c r="O2048" s="222" t="str">
        <f>IFERROR(__xludf.DUMMYFUNCTION("""COMPUTED_VALUE"""),"0. DROP")</f>
        <v>0. DROP</v>
      </c>
      <c r="P2048" s="222" t="str">
        <f>IFERROR(__xludf.DUMMYFUNCTION("""COMPUTED_VALUE"""),"0.2 Tidak Dapat Izin Warga/Kades/Lurah/Developer")</f>
        <v>0.2 Tidak Dapat Izin Warga/Kades/Lurah/Developer</v>
      </c>
      <c r="Q2048" s="222" t="str">
        <f>IFERROR(__xludf.DUMMYFUNCTION("""COMPUTED_VALUE"""),"31/03 tidak dapat izin melakukan pembangunan 05/02 Pengurusan izin ke developer feeder OK")</f>
        <v>31/03 tidak dapat izin melakukan pembangunan 05/02 Pengurusan izin ke developer feeder OK</v>
      </c>
      <c r="R2048" s="228"/>
      <c r="S2048" s="11"/>
      <c r="T2048" s="11"/>
      <c r="U2048" s="11"/>
      <c r="V2048" s="229"/>
      <c r="W2048" s="229"/>
      <c r="X2048" s="229" t="str">
        <f>IFERROR(__xludf.DUMMYFUNCTION("""COMPUTED_VALUE"""),"BELUM GOLIVE")</f>
        <v>BELUM GOLIVE</v>
      </c>
      <c r="Y2048" s="229"/>
      <c r="Z2048" s="229" t="str">
        <f>IFERROR(__xludf.DUMMYFUNCTION("""COMPUTED_VALUE"""),"#N/A")</f>
        <v>#N/A</v>
      </c>
      <c r="AA2048" s="229"/>
      <c r="AB2048" s="229"/>
      <c r="AC2048" s="229"/>
      <c r="AD2048" s="232"/>
      <c r="AE2048" s="233"/>
      <c r="AF2048" s="54"/>
      <c r="AG2048" s="54"/>
      <c r="AH2048" s="54"/>
      <c r="AI2048" s="55" t="str">
        <f t="shared" si="200"/>
        <v/>
      </c>
      <c r="AW2048" s="234"/>
      <c r="BP2048" s="11"/>
      <c r="BQ2048" s="11"/>
      <c r="BR2048" s="235"/>
      <c r="BV2048" s="158"/>
      <c r="BY2048" s="158"/>
      <c r="CB2048" s="158"/>
    </row>
    <row r="2049" ht="18.0" customHeight="1">
      <c r="A2049" s="222">
        <f>IFERROR(__xludf.DUMMYFUNCTION("""COMPUTED_VALUE"""),2026.0)</f>
        <v>2026</v>
      </c>
      <c r="B2049" s="221">
        <f>IFERROR(__xludf.DUMMYFUNCTION("""COMPUTED_VALUE"""),1.1189394E7)</f>
        <v>11189394</v>
      </c>
      <c r="C2049" s="222" t="str">
        <f>IFERROR(__xludf.DUMMYFUNCTION("""COMPUTED_VALUE"""),"SMB P1I1 MUNGKA 1")</f>
        <v>SMB P1I1 MUNGKA 1</v>
      </c>
      <c r="D2049" s="222" t="str">
        <f>IFERROR(__xludf.DUMMYFUNCTION("""COMPUTED_VALUE"""),"REGIONAL I")</f>
        <v>REGIONAL I</v>
      </c>
      <c r="E2049" s="222" t="str">
        <f>IFERROR(__xludf.DUMMYFUNCTION("""COMPUTED_VALUE"""),"SUMBAR")</f>
        <v>SUMBAR</v>
      </c>
      <c r="F2049" s="222" t="str">
        <f>IFERROR(__xludf.DUMMYFUNCTION("""COMPUTED_VALUE"""),"PDJ")</f>
        <v>PDJ</v>
      </c>
      <c r="G2049" s="222" t="str">
        <f>IFERROR(__xludf.DUMMYFUNCTION("""COMPUTED_VALUE"""),"SUMBAGTENG")</f>
        <v>SUMBAGTENG</v>
      </c>
      <c r="H2049" s="222" t="str">
        <f>IFERROR(__xludf.DUMMYFUNCTION("""COMPUTED_VALUE"""),"BUKIT TINGGI")</f>
        <v>BUKIT TINGGI</v>
      </c>
      <c r="I2049" s="222" t="str">
        <f>IFERROR(__xludf.DUMMYFUNCTION("""COMPUTED_VALUE"""),"Batch 2")</f>
        <v>Batch 2</v>
      </c>
      <c r="J2049" s="225">
        <f>IFERROR(__xludf.DUMMYFUNCTION("""COMPUTED_VALUE"""),4.0)</f>
        <v>4</v>
      </c>
      <c r="K2049" s="224">
        <f>IFERROR(__xludf.DUMMYFUNCTION("""COMPUTED_VALUE"""),32.0)</f>
        <v>32</v>
      </c>
      <c r="L2049" s="226">
        <f>IFERROR(__xludf.DUMMYFUNCTION("""COMPUTED_VALUE"""),1548523.0)</f>
        <v>1548523</v>
      </c>
      <c r="M2049" s="227">
        <f>IFERROR(__xludf.DUMMYFUNCTION("""COMPUTED_VALUE"""),4.9552728E7)</f>
        <v>49552728</v>
      </c>
      <c r="N2049" s="222" t="str">
        <f>IFERROR(__xludf.DUMMYFUNCTION("""COMPUTED_VALUE"""),"PT RATRI PRIMA MANDIRI")</f>
        <v>PT RATRI PRIMA MANDIRI</v>
      </c>
      <c r="O2049" s="222" t="str">
        <f>IFERROR(__xludf.DUMMYFUNCTION("""COMPUTED_VALUE"""),"8. UJI TERIMA")</f>
        <v>8. UJI TERIMA</v>
      </c>
      <c r="P2049" s="222" t="str">
        <f>IFERROR(__xludf.DUMMYFUNCTION("""COMPUTED_VALUE"""),"8.1 Proses UT")</f>
        <v>8.1 Proses UT</v>
      </c>
      <c r="Q2049" s="222" t="str">
        <f>IFERROR(__xludf.DUMMYFUNCTION("""COMPUTED_VALUE"""),"(18/02) proses valins PlAN UT 19/02 (29/01) proses delivery material  (21/01) proses CReate PID (07/01) Persiapan")</f>
        <v>(18/02) proses valins PlAN UT 19/02 (29/01) proses delivery material  (21/01) proses CReate PID (07/01) Persiapan</v>
      </c>
      <c r="R2049" s="228">
        <f>IFERROR(__xludf.DUMMYFUNCTION("""COMPUTED_VALUE"""),46065.0)</f>
        <v>46065</v>
      </c>
      <c r="S2049" s="11"/>
      <c r="T2049" s="11"/>
      <c r="U2049" s="11" t="str">
        <f>IFERROR(__xludf.DUMMYFUNCTION("""COMPUTED_VALUE"""),"TIF-1911/2026 26KT03R158-0014")</f>
        <v>TIF-1911/2026 26KT03R158-0014</v>
      </c>
      <c r="V2049" s="229" t="str">
        <f>IFERROR(__xludf.DUMMYFUNCTION("""COMPUTED_VALUE"""),"M. ARIF HAMADI")</f>
        <v>M. ARIF HAMADI</v>
      </c>
      <c r="W2049" s="229" t="str">
        <f>IFERROR(__xludf.DUMMYFUNCTION("""COMPUTED_VALUE"""),"MELKO NARWADI")</f>
        <v>MELKO NARWADI</v>
      </c>
      <c r="X2049" s="229" t="str">
        <f>IFERROR(__xludf.DUMMYFUNCTION("""COMPUTED_VALUE"""),"GOLIVE")</f>
        <v>GOLIVE</v>
      </c>
      <c r="Y2049" s="229" t="str">
        <f>IFERROR(__xludf.DUMMYFUNCTION("""COMPUTED_VALUE"""),"DONE")</f>
        <v>DONE</v>
      </c>
      <c r="Z2049" s="229" t="str">
        <f>IFERROR(__xludf.DUMMYFUNCTION("""COMPUTED_VALUE"""),"#N/A")</f>
        <v>#N/A</v>
      </c>
      <c r="AA2049" s="229">
        <f>IFERROR(__xludf.DUMMYFUNCTION("""COMPUTED_VALUE"""),18.0)</f>
        <v>18</v>
      </c>
      <c r="AB2049" s="229"/>
      <c r="AC2049" s="229" t="str">
        <f>IFERROR(__xludf.DUMMYFUNCTION("""COMPUTED_VALUE"""),"9134316#9134321")</f>
        <v>9134316#9134321</v>
      </c>
      <c r="AD2049" s="232">
        <f>IFERROR(__xludf.DUMMYFUNCTION("""COMPUTED_VALUE"""),144.0)</f>
        <v>144</v>
      </c>
      <c r="AE2049" s="233">
        <f>IFERROR(__xludf.DUMMYFUNCTION("""COMPUTED_VALUE"""),46075.0)</f>
        <v>46075</v>
      </c>
      <c r="AF2049" s="54"/>
      <c r="AG2049" s="54"/>
      <c r="AH2049" s="54">
        <v>46065.0</v>
      </c>
      <c r="AI2049" s="55">
        <f t="shared" si="200"/>
        <v>-10</v>
      </c>
      <c r="AW2049" s="234"/>
      <c r="BP2049" s="11"/>
      <c r="BQ2049" s="11"/>
      <c r="BR2049" s="235"/>
      <c r="BV2049" s="158"/>
      <c r="BY2049" s="158"/>
      <c r="CB2049" s="158"/>
    </row>
    <row r="2050" ht="18.0" hidden="1" customHeight="1">
      <c r="A2050" s="222">
        <f>IFERROR(__xludf.DUMMYFUNCTION("""COMPUTED_VALUE"""),2026.0)</f>
        <v>2026</v>
      </c>
      <c r="B2050" s="221">
        <f>IFERROR(__xludf.DUMMYFUNCTION("""COMPUTED_VALUE"""),1.1271793E7)</f>
        <v>11271793</v>
      </c>
      <c r="C2050" s="222" t="str">
        <f>IFERROR(__xludf.DUMMYFUNCTION("""COMPUTED_VALUE"""),"MDN PT3 P1I1 DLT-FK JL.TANGKAHAN BATU")</f>
        <v>MDN PT3 P1I1 DLT-FK JL.TANGKAHAN BATU</v>
      </c>
      <c r="D2050" s="222" t="str">
        <f>IFERROR(__xludf.DUMMYFUNCTION("""COMPUTED_VALUE"""),"REGIONAL I")</f>
        <v>REGIONAL I</v>
      </c>
      <c r="E2050" s="222" t="str">
        <f>IFERROR(__xludf.DUMMYFUNCTION("""COMPUTED_VALUE"""),"MEDAN")</f>
        <v>MEDAN</v>
      </c>
      <c r="F2050" s="222" t="str">
        <f>IFERROR(__xludf.DUMMYFUNCTION("""COMPUTED_VALUE"""),"DLT")</f>
        <v>DLT</v>
      </c>
      <c r="G2050" s="222" t="str">
        <f>IFERROR(__xludf.DUMMYFUNCTION("""COMPUTED_VALUE"""),"SUMBAGUT")</f>
        <v>SUMBAGUT</v>
      </c>
      <c r="H2050" s="222" t="str">
        <f>IFERROR(__xludf.DUMMYFUNCTION("""COMPUTED_VALUE"""),"MEDAN")</f>
        <v>MEDAN</v>
      </c>
      <c r="I2050" s="222" t="str">
        <f>IFERROR(__xludf.DUMMYFUNCTION("""COMPUTED_VALUE"""),"Batch 2")</f>
        <v>Batch 2</v>
      </c>
      <c r="J2050" s="225">
        <f>IFERROR(__xludf.DUMMYFUNCTION("""COMPUTED_VALUE"""),5.0)</f>
        <v>5</v>
      </c>
      <c r="K2050" s="224">
        <f>IFERROR(__xludf.DUMMYFUNCTION("""COMPUTED_VALUE"""),40.0)</f>
        <v>40</v>
      </c>
      <c r="L2050" s="226">
        <f>IFERROR(__xludf.DUMMYFUNCTION("""COMPUTED_VALUE"""),831332.0)</f>
        <v>831332</v>
      </c>
      <c r="M2050" s="227">
        <f>IFERROR(__xludf.DUMMYFUNCTION("""COMPUTED_VALUE"""),3.3253253E7)</f>
        <v>33253253</v>
      </c>
      <c r="N2050" s="222" t="str">
        <f>IFERROR(__xludf.DUMMYFUNCTION("""COMPUTED_VALUE"""),"PT UPENTEL INTERNASIONAL")</f>
        <v>PT UPENTEL INTERNASIONAL</v>
      </c>
      <c r="O2050" s="222" t="str">
        <f>IFERROR(__xludf.DUMMYFUNCTION("""COMPUTED_VALUE"""),"2. DONE AANWIJZING")</f>
        <v>2. DONE AANWIJZING</v>
      </c>
      <c r="P2050" s="222" t="str">
        <f>IFERROR(__xludf.DUMMYFUNCTION("""COMPUTED_VALUE"""),"2.10 Kendala - Feeder Rusak")</f>
        <v>2.10 Kendala - Feeder Rusak</v>
      </c>
      <c r="Q2050" s="222" t="str">
        <f>IFERROR(__xludf.DUMMYFUNCTION("""COMPUTED_VALUE"""),"08/03 Feeder Redti (30/01) Core Feeder Habis DLT FK")</f>
        <v>08/03 Feeder Redti (30/01) Core Feeder Habis DLT FK</v>
      </c>
      <c r="R2050" s="228"/>
      <c r="S2050" s="11"/>
      <c r="T2050" s="11"/>
      <c r="U2050" s="11"/>
      <c r="V2050" s="229"/>
      <c r="W2050" s="229"/>
      <c r="X2050" s="229" t="str">
        <f>IFERROR(__xludf.DUMMYFUNCTION("""COMPUTED_VALUE"""),"BELUM GOLIVE")</f>
        <v>BELUM GOLIVE</v>
      </c>
      <c r="Y2050" s="229"/>
      <c r="Z2050" s="229" t="str">
        <f>IFERROR(__xludf.DUMMYFUNCTION("""COMPUTED_VALUE"""),"#N/A")</f>
        <v>#N/A</v>
      </c>
      <c r="AA2050" s="229"/>
      <c r="AB2050" s="229"/>
      <c r="AC2050" s="229"/>
      <c r="AD2050" s="232"/>
      <c r="AE2050" s="233"/>
      <c r="AF2050" s="54"/>
      <c r="AG2050" s="54"/>
      <c r="AH2050" s="54"/>
      <c r="AI2050" s="55" t="str">
        <f t="shared" si="200"/>
        <v/>
      </c>
      <c r="AW2050" s="234"/>
      <c r="BP2050" s="11"/>
      <c r="BQ2050" s="11"/>
      <c r="BR2050" s="235"/>
      <c r="BV2050" s="158"/>
      <c r="BY2050" s="158"/>
      <c r="CB2050" s="158"/>
    </row>
    <row r="2051" ht="18.0" customHeight="1">
      <c r="A2051" s="222">
        <f>IFERROR(__xludf.DUMMYFUNCTION("""COMPUTED_VALUE"""),2026.0)</f>
        <v>2026</v>
      </c>
      <c r="B2051" s="221">
        <f>IFERROR(__xludf.DUMMYFUNCTION("""COMPUTED_VALUE"""),1.1560469E7)</f>
        <v>11560469</v>
      </c>
      <c r="C2051" s="222" t="str">
        <f>IFERROR(__xludf.DUMMYFUNCTION("""COMPUTED_VALUE"""),"RKP TSEL PT3 KMS-FBD KP BUGIS")</f>
        <v>RKP TSEL PT3 KMS-FBD KP BUGIS</v>
      </c>
      <c r="D2051" s="222" t="str">
        <f>IFERROR(__xludf.DUMMYFUNCTION("""COMPUTED_VALUE"""),"REGIONAL I")</f>
        <v>REGIONAL I</v>
      </c>
      <c r="E2051" s="222" t="str">
        <f>IFERROR(__xludf.DUMMYFUNCTION("""COMPUTED_VALUE"""),"RIKEP")</f>
        <v>RIKEP</v>
      </c>
      <c r="F2051" s="222" t="str">
        <f>IFERROR(__xludf.DUMMYFUNCTION("""COMPUTED_VALUE"""),"KMS")</f>
        <v>KMS</v>
      </c>
      <c r="G2051" s="222" t="str">
        <f>IFERROR(__xludf.DUMMYFUNCTION("""COMPUTED_VALUE"""),"SUMBAGTENG")</f>
        <v>SUMBAGTENG</v>
      </c>
      <c r="H2051" s="222" t="str">
        <f>IFERROR(__xludf.DUMMYFUNCTION("""COMPUTED_VALUE"""),"BATAM")</f>
        <v>BATAM</v>
      </c>
      <c r="I2051" s="222" t="str">
        <f>IFERROR(__xludf.DUMMYFUNCTION("""COMPUTED_VALUE"""),"Batch 2")</f>
        <v>Batch 2</v>
      </c>
      <c r="J2051" s="225">
        <f>IFERROR(__xludf.DUMMYFUNCTION("""COMPUTED_VALUE"""),9.0)</f>
        <v>9</v>
      </c>
      <c r="K2051" s="224">
        <f>IFERROR(__xludf.DUMMYFUNCTION("""COMPUTED_VALUE"""),72.0)</f>
        <v>72</v>
      </c>
      <c r="L2051" s="226">
        <f>IFERROR(__xludf.DUMMYFUNCTION("""COMPUTED_VALUE"""),1551043.0)</f>
        <v>1551043</v>
      </c>
      <c r="M2051" s="227">
        <f>IFERROR(__xludf.DUMMYFUNCTION("""COMPUTED_VALUE"""),1.11675095E8)</f>
        <v>111675095</v>
      </c>
      <c r="N2051" s="222" t="str">
        <f>IFERROR(__xludf.DUMMYFUNCTION("""COMPUTED_VALUE"""),"PT SALTTEK DUMPANG JAYA")</f>
        <v>PT SALTTEK DUMPANG JAYA</v>
      </c>
      <c r="O2051" s="222" t="str">
        <f>IFERROR(__xludf.DUMMYFUNCTION("""COMPUTED_VALUE"""),"0. DROP")</f>
        <v>0. DROP</v>
      </c>
      <c r="P2051" s="222" t="str">
        <f>IFERROR(__xludf.DUMMYFUNCTION("""COMPUTED_VALUE"""),"0.2 Tidak Dapat Izin Warga/Kades/Lurah/Developer")</f>
        <v>0.2 Tidak Dapat Izin Warga/Kades/Lurah/Developer</v>
      </c>
      <c r="Q2051" s="222" t="str">
        <f>IFERROR(__xludf.DUMMYFUNCTION("""COMPUTED_VALUE"""),"03/03  izin tidak di acc RT.  21/01 Progres req mat, plan install 27 Jan")</f>
        <v>03/03  izin tidak di acc RT.  21/01 Progres req mat, plan install 27 Jan</v>
      </c>
      <c r="R2051" s="228"/>
      <c r="S2051" s="11"/>
      <c r="T2051" s="11"/>
      <c r="U2051" s="11"/>
      <c r="V2051" s="229" t="str">
        <f>IFERROR(__xludf.DUMMYFUNCTION("""COMPUTED_VALUE"""),"DEDY IRAWAN")</f>
        <v>DEDY IRAWAN</v>
      </c>
      <c r="W2051" s="229" t="str">
        <f>IFERROR(__xludf.DUMMYFUNCTION("""COMPUTED_VALUE"""),"LEVITA INDRIYANI")</f>
        <v>LEVITA INDRIYANI</v>
      </c>
      <c r="X2051" s="229" t="str">
        <f>IFERROR(__xludf.DUMMYFUNCTION("""COMPUTED_VALUE"""),"BELUM GOLIVE")</f>
        <v>BELUM GOLIVE</v>
      </c>
      <c r="Y2051" s="229"/>
      <c r="Z2051" s="229" t="str">
        <f>IFERROR(__xludf.DUMMYFUNCTION("""COMPUTED_VALUE"""),"#N/A")</f>
        <v>#N/A</v>
      </c>
      <c r="AA2051" s="229"/>
      <c r="AB2051" s="229"/>
      <c r="AC2051" s="229"/>
      <c r="AD2051" s="232"/>
      <c r="AE2051" s="233"/>
      <c r="AF2051" s="54" t="str">
        <f>IFERROR(__xludf.DUMMYFUNCTION("""COMPUTED_VALUE"""),"Draft BA DROP")</f>
        <v>Draft BA DROP</v>
      </c>
      <c r="AG2051" s="54"/>
      <c r="AH2051" s="54"/>
      <c r="AI2051" s="55" t="str">
        <f t="shared" si="200"/>
        <v/>
      </c>
      <c r="AW2051" s="234"/>
      <c r="BP2051" s="11"/>
      <c r="BQ2051" s="11"/>
      <c r="BR2051" s="235"/>
      <c r="BV2051" s="158"/>
      <c r="BY2051" s="158"/>
      <c r="CB2051" s="158"/>
    </row>
    <row r="2052" ht="18.0" hidden="1" customHeight="1">
      <c r="A2052" s="222">
        <f>IFERROR(__xludf.DUMMYFUNCTION("""COMPUTED_VALUE"""),2026.0)</f>
        <v>2026</v>
      </c>
      <c r="B2052" s="221">
        <f>IFERROR(__xludf.DUMMYFUNCTION("""COMPUTED_VALUE"""),1.2108806E7)</f>
        <v>12108806</v>
      </c>
      <c r="C2052" s="222" t="str">
        <f>IFERROR(__xludf.DUMMYFUNCTION("""COMPUTED_VALUE"""),"LPG PT4 JPP PERUM DIANDRA KDT")</f>
        <v>LPG PT4 JPP PERUM DIANDRA KDT</v>
      </c>
      <c r="D2052" s="222" t="str">
        <f>IFERROR(__xludf.DUMMYFUNCTION("""COMPUTED_VALUE"""),"REGIONAL I")</f>
        <v>REGIONAL I</v>
      </c>
      <c r="E2052" s="222" t="str">
        <f>IFERROR(__xludf.DUMMYFUNCTION("""COMPUTED_VALUE"""),"LAMPUNG")</f>
        <v>LAMPUNG</v>
      </c>
      <c r="F2052" s="222" t="str">
        <f>IFERROR(__xludf.DUMMYFUNCTION("""COMPUTED_VALUE"""),"KDT")</f>
        <v>KDT</v>
      </c>
      <c r="G2052" s="222" t="str">
        <f>IFERROR(__xludf.DUMMYFUNCTION("""COMPUTED_VALUE"""),"SUMBAGSEL")</f>
        <v>SUMBAGSEL</v>
      </c>
      <c r="H2052" s="222" t="str">
        <f>IFERROR(__xludf.DUMMYFUNCTION("""COMPUTED_VALUE"""),"LAMPUNG")</f>
        <v>LAMPUNG</v>
      </c>
      <c r="I2052" s="222" t="str">
        <f>IFERROR(__xludf.DUMMYFUNCTION("""COMPUTED_VALUE"""),"Batch 2")</f>
        <v>Batch 2</v>
      </c>
      <c r="J2052" s="225">
        <f>IFERROR(__xludf.DUMMYFUNCTION("""COMPUTED_VALUE"""),9.0)</f>
        <v>9</v>
      </c>
      <c r="K2052" s="224">
        <f>IFERROR(__xludf.DUMMYFUNCTION("""COMPUTED_VALUE"""),72.0)</f>
        <v>72</v>
      </c>
      <c r="L2052" s="226">
        <f>IFERROR(__xludf.DUMMYFUNCTION("""COMPUTED_VALUE"""),1552766.0)</f>
        <v>1552766</v>
      </c>
      <c r="M2052" s="227">
        <f>IFERROR(__xludf.DUMMYFUNCTION("""COMPUTED_VALUE"""),1.1179909E8)</f>
        <v>111799090</v>
      </c>
      <c r="N2052" s="222" t="str">
        <f>IFERROR(__xludf.DUMMYFUNCTION("""COMPUTED_VALUE"""),"PT BANGTELINDO")</f>
        <v>PT BANGTELINDO</v>
      </c>
      <c r="O2052" s="222" t="str">
        <f>IFERROR(__xludf.DUMMYFUNCTION("""COMPUTED_VALUE"""),"0. DROP")</f>
        <v>0. DROP</v>
      </c>
      <c r="P2052" s="222" t="str">
        <f>IFERROR(__xludf.DUMMYFUNCTION("""COMPUTED_VALUE"""),"0.2 Tidak Dapat Izin Warga/Kades/Lurah/Developer")</f>
        <v>0.2 Tidak Dapat Izin Warga/Kades/Lurah/Developer</v>
      </c>
      <c r="Q2052" s="222" t="str">
        <f>IFERROR(__xludf.DUMMYFUNCTION("""COMPUTED_VALUE"""),"4/2 tidak dapat izin dari lurah")</f>
        <v>4/2 tidak dapat izin dari lurah</v>
      </c>
      <c r="R2052" s="228"/>
      <c r="S2052" s="11"/>
      <c r="T2052" s="11"/>
      <c r="U2052" s="11"/>
      <c r="V2052" s="229"/>
      <c r="W2052" s="229"/>
      <c r="X2052" s="229" t="str">
        <f>IFERROR(__xludf.DUMMYFUNCTION("""COMPUTED_VALUE"""),"BELUM GOLIVE")</f>
        <v>BELUM GOLIVE</v>
      </c>
      <c r="Y2052" s="229" t="str">
        <f>IFERROR(__xludf.DUMMYFUNCTION("""COMPUTED_VALUE"""),"PORT OLT Penuh")</f>
        <v>PORT OLT Penuh</v>
      </c>
      <c r="Z2052" s="229" t="str">
        <f>IFERROR(__xludf.DUMMYFUNCTION("""COMPUTED_VALUE"""),"#N/A")</f>
        <v>#N/A</v>
      </c>
      <c r="AA2052" s="229"/>
      <c r="AB2052" s="229"/>
      <c r="AC2052" s="229"/>
      <c r="AD2052" s="232"/>
      <c r="AE2052" s="233"/>
      <c r="AF2052" s="54" t="str">
        <f>IFERROR(__xludf.DUMMYFUNCTION("""COMPUTED_VALUE"""),"Draft BA DROP")</f>
        <v>Draft BA DROP</v>
      </c>
      <c r="AG2052" s="54"/>
      <c r="AH2052" s="54">
        <v>46128.0</v>
      </c>
      <c r="AI2052" s="237">
        <f>AH2052-NOW()</f>
        <v>-12.37798994</v>
      </c>
      <c r="AJ2052" s="229" t="str">
        <f t="shared" ref="AJ2052:AJ2053" si="201">if(AI2052&gt;=0,"In Komitmen","Out Komitmen")</f>
        <v>Out Komitmen</v>
      </c>
      <c r="AK2052" s="229" t="s">
        <v>199</v>
      </c>
      <c r="AW2052" s="234"/>
      <c r="BP2052" s="11"/>
      <c r="BQ2052" s="11"/>
      <c r="BR2052" s="235"/>
      <c r="BV2052" s="158"/>
      <c r="BY2052" s="158"/>
      <c r="CB2052" s="158"/>
    </row>
    <row r="2053" ht="18.0" customHeight="1">
      <c r="A2053" s="222">
        <f>IFERROR(__xludf.DUMMYFUNCTION("""COMPUTED_VALUE"""),2026.0)</f>
        <v>2026</v>
      </c>
      <c r="B2053" s="221">
        <f>IFERROR(__xludf.DUMMYFUNCTION("""COMPUTED_VALUE"""),1.1450053E7)</f>
        <v>11450053</v>
      </c>
      <c r="C2053" s="222" t="str">
        <f>IFERROR(__xludf.DUMMYFUNCTION("""COMPUTED_VALUE"""),"RKP PT3 TSEL TUB-FQ PANCA MARGA")</f>
        <v>RKP PT3 TSEL TUB-FQ PANCA MARGA</v>
      </c>
      <c r="D2053" s="222" t="str">
        <f>IFERROR(__xludf.DUMMYFUNCTION("""COMPUTED_VALUE"""),"REGIONAL I")</f>
        <v>REGIONAL I</v>
      </c>
      <c r="E2053" s="222" t="str">
        <f>IFERROR(__xludf.DUMMYFUNCTION("""COMPUTED_VALUE"""),"RIKEP")</f>
        <v>RIKEP</v>
      </c>
      <c r="F2053" s="222" t="str">
        <f>IFERROR(__xludf.DUMMYFUNCTION("""COMPUTED_VALUE"""),"TUB")</f>
        <v>TUB</v>
      </c>
      <c r="G2053" s="222" t="str">
        <f>IFERROR(__xludf.DUMMYFUNCTION("""COMPUTED_VALUE"""),"SUMBAGTENG")</f>
        <v>SUMBAGTENG</v>
      </c>
      <c r="H2053" s="222" t="str">
        <f>IFERROR(__xludf.DUMMYFUNCTION("""COMPUTED_VALUE"""),"BATAM")</f>
        <v>BATAM</v>
      </c>
      <c r="I2053" s="222" t="str">
        <f>IFERROR(__xludf.DUMMYFUNCTION("""COMPUTED_VALUE"""),"Batch 2")</f>
        <v>Batch 2</v>
      </c>
      <c r="J2053" s="225">
        <f>IFERROR(__xludf.DUMMYFUNCTION("""COMPUTED_VALUE"""),2.0)</f>
        <v>2</v>
      </c>
      <c r="K2053" s="224">
        <f>IFERROR(__xludf.DUMMYFUNCTION("""COMPUTED_VALUE"""),16.0)</f>
        <v>16</v>
      </c>
      <c r="L2053" s="226">
        <f>IFERROR(__xludf.DUMMYFUNCTION("""COMPUTED_VALUE"""),1554757.0)</f>
        <v>1554757</v>
      </c>
      <c r="M2053" s="227">
        <f>IFERROR(__xludf.DUMMYFUNCTION("""COMPUTED_VALUE"""),2.4876105E7)</f>
        <v>24876105</v>
      </c>
      <c r="N2053" s="222" t="str">
        <f>IFERROR(__xludf.DUMMYFUNCTION("""COMPUTED_VALUE"""),"PT SALTTEK DUMPANG JAYA")</f>
        <v>PT SALTTEK DUMPANG JAYA</v>
      </c>
      <c r="O2053" s="222" t="str">
        <f>IFERROR(__xludf.DUMMYFUNCTION("""COMPUTED_VALUE"""),"4. MATDEL")</f>
        <v>4. MATDEL</v>
      </c>
      <c r="P2053" s="222" t="str">
        <f>IFERROR(__xludf.DUMMYFUNCTION("""COMPUTED_VALUE"""),"4.3 Proses Kirim Mateial Kelokasi")</f>
        <v>4.3 Proses Kirim Mateial Kelokasi</v>
      </c>
      <c r="Q2053" s="222" t="str">
        <f>IFERROR(__xludf.DUMMYFUNCTION("""COMPUTED_VALUE"""),"24/04 Tim serial, di kerjakan setelah LOP TUB FC.
21/04 Material kabel PO belum sampai di WH.
20/04 Tim serial, masih progres di LOP tanjung pinang, plan naik ke uban dalam minggu ini. 
17/04 Tim serial, plan progres selasa plan GL sesuai target. 13/04  L"&amp;"OP Serial di pulau tanjung uban. Plan installasi tgl 27 Mei, Plan GL 31 Mei.30/03 MP mitra serial, fokus daerah tanjung pinang kota baru pindah ke tanjung uban. 27/03 MP mitra cuma ada 1 serial masih mengerjakan LOP lain / tematik lain. 05/03 Manpower Ser"&amp;"ial di wilayah tanjung uban, mengerjakan LOP lain. 25/02 Manpower Serial di wilayah tanjung uban, mengerjakan LOP lain.16/02 Plan progres tanggal 14 maret, Plan FI tanggal 17 maret.12/02 04/02 RW sudah ACC izin namun MP masih mengerjakan LOP lain di STO K"&amp;"MS.  28/01 Anwijzing OK volume ada kenaikan, proses perizinan. 21/01 Plan anwijzing di minggu depan 27 jan")</f>
        <v>24/04 Tim serial, di kerjakan setelah LOP TUB FC.
21/04 Material kabel PO belum sampai di WH.
20/04 Tim serial, masih progres di LOP tanjung pinang, plan naik ke uban dalam minggu ini. 
17/04 Tim serial, plan progres selasa plan GL sesuai target. 13/04  LOP Serial di pulau tanjung uban. Plan installasi tgl 27 Mei, Plan GL 31 Mei.30/03 MP mitra serial, fokus daerah tanjung pinang kota baru pindah ke tanjung uban. 27/03 MP mitra cuma ada 1 serial masih mengerjakan LOP lain / tematik lain. 05/03 Manpower Serial di wilayah tanjung uban, mengerjakan LOP lain. 25/02 Manpower Serial di wilayah tanjung uban, mengerjakan LOP lain.16/02 Plan progres tanggal 14 maret, Plan FI tanggal 17 maret.12/02 04/02 RW sudah ACC izin namun MP masih mengerjakan LOP lain di STO KMS.  28/01 Anwijzing OK volume ada kenaikan, proses perizinan. 21/01 Plan anwijzing di minggu depan 27 jan</v>
      </c>
      <c r="R2053" s="228"/>
      <c r="S2053" s="11"/>
      <c r="T2053" s="73"/>
      <c r="U2053" s="11" t="str">
        <f>IFERROR(__xludf.DUMMYFUNCTION("""COMPUTED_VALUE"""),"W09-152/2026")</f>
        <v>W09-152/2026</v>
      </c>
      <c r="V2053" s="229" t="str">
        <f>IFERROR(__xludf.DUMMYFUNCTION("""COMPUTED_VALUE"""),"DEDY IRAWAN")</f>
        <v>DEDY IRAWAN</v>
      </c>
      <c r="W2053" s="229" t="str">
        <f>IFERROR(__xludf.DUMMYFUNCTION("""COMPUTED_VALUE"""),"LEVITA INDRIYANI")</f>
        <v>LEVITA INDRIYANI</v>
      </c>
      <c r="X2053" s="229" t="str">
        <f>IFERROR(__xludf.DUMMYFUNCTION("""COMPUTED_VALUE"""),"BELUM GOLIVE")</f>
        <v>BELUM GOLIVE</v>
      </c>
      <c r="Y2053" s="229"/>
      <c r="Z2053" s="229" t="str">
        <f>IFERROR(__xludf.DUMMYFUNCTION("""COMPUTED_VALUE"""),"#N/A")</f>
        <v>#N/A</v>
      </c>
      <c r="AA2053" s="229"/>
      <c r="AB2053" s="229"/>
      <c r="AC2053" s="229"/>
      <c r="AD2053" s="232"/>
      <c r="AE2053" s="233"/>
      <c r="AF2053" s="54"/>
      <c r="AG2053" s="54"/>
      <c r="AH2053" s="54">
        <v>46128.0</v>
      </c>
      <c r="AI2053" s="55">
        <f>AH2053-TODAY()</f>
        <v>-12</v>
      </c>
      <c r="AJ2053" s="229" t="str">
        <f t="shared" si="201"/>
        <v>Out Komitmen</v>
      </c>
      <c r="AK2053" s="231" t="s">
        <v>199</v>
      </c>
      <c r="AW2053" s="234"/>
      <c r="BP2053" s="11"/>
      <c r="BQ2053" s="11"/>
      <c r="BR2053" s="235"/>
      <c r="BV2053" s="158"/>
      <c r="BY2053" s="158"/>
      <c r="CB2053" s="158"/>
    </row>
    <row r="2054" ht="18.0" hidden="1" customHeight="1">
      <c r="A2054" s="222">
        <f>IFERROR(__xludf.DUMMYFUNCTION("""COMPUTED_VALUE"""),2026.0)</f>
        <v>2026</v>
      </c>
      <c r="B2054" s="221">
        <f>IFERROR(__xludf.DUMMYFUNCTION("""COMPUTED_VALUE"""),1.1192731E7)</f>
        <v>11192731</v>
      </c>
      <c r="C2054" s="222" t="str">
        <f>IFERROR(__xludf.DUMMYFUNCTION("""COMPUTED_VALUE"""),"MDN PT3 LBP-FC JL.MESJID 1 GG.BERKAH")</f>
        <v>MDN PT3 LBP-FC JL.MESJID 1 GG.BERKAH</v>
      </c>
      <c r="D2054" s="222" t="str">
        <f>IFERROR(__xludf.DUMMYFUNCTION("""COMPUTED_VALUE"""),"REGIONAL I")</f>
        <v>REGIONAL I</v>
      </c>
      <c r="E2054" s="222" t="str">
        <f>IFERROR(__xludf.DUMMYFUNCTION("""COMPUTED_VALUE"""),"MEDAN")</f>
        <v>MEDAN</v>
      </c>
      <c r="F2054" s="222" t="str">
        <f>IFERROR(__xludf.DUMMYFUNCTION("""COMPUTED_VALUE"""),"LBP")</f>
        <v>LBP</v>
      </c>
      <c r="G2054" s="222" t="str">
        <f>IFERROR(__xludf.DUMMYFUNCTION("""COMPUTED_VALUE"""),"SUMBAGUT")</f>
        <v>SUMBAGUT</v>
      </c>
      <c r="H2054" s="222" t="str">
        <f>IFERROR(__xludf.DUMMYFUNCTION("""COMPUTED_VALUE"""),"MEDAN")</f>
        <v>MEDAN</v>
      </c>
      <c r="I2054" s="222" t="str">
        <f>IFERROR(__xludf.DUMMYFUNCTION("""COMPUTED_VALUE"""),"Batch 2")</f>
        <v>Batch 2</v>
      </c>
      <c r="J2054" s="225">
        <f>IFERROR(__xludf.DUMMYFUNCTION("""COMPUTED_VALUE"""),1.0)</f>
        <v>1</v>
      </c>
      <c r="K2054" s="224">
        <f>IFERROR(__xludf.DUMMYFUNCTION("""COMPUTED_VALUE"""),8.0)</f>
        <v>8</v>
      </c>
      <c r="L2054" s="226">
        <f>IFERROR(__xludf.DUMMYFUNCTION("""COMPUTED_VALUE"""),1133609.0)</f>
        <v>1133609</v>
      </c>
      <c r="M2054" s="227">
        <f>IFERROR(__xludf.DUMMYFUNCTION("""COMPUTED_VALUE"""),9068872.0)</f>
        <v>9068872</v>
      </c>
      <c r="N2054" s="222" t="str">
        <f>IFERROR(__xludf.DUMMYFUNCTION("""COMPUTED_VALUE"""),"PT TEKNOLOGI KARYA MANDIRI")</f>
        <v>PT TEKNOLOGI KARYA MANDIRI</v>
      </c>
      <c r="O2054" s="222" t="str">
        <f>IFERROR(__xludf.DUMMYFUNCTION("""COMPUTED_VALUE"""),"2. DONE AANWIJZING")</f>
        <v>2. DONE AANWIJZING</v>
      </c>
      <c r="P2054" s="222" t="str">
        <f>IFERROR(__xludf.DUMMYFUNCTION("""COMPUTED_VALUE"""),"2.9 Kendala - Distribusi Penuh / Rusak")</f>
        <v>2.9 Kendala - Distribusi Penuh / Rusak</v>
      </c>
      <c r="Q2054" s="222" t="str">
        <f>IFERROR(__xludf.DUMMYFUNCTION("""COMPUTED_VALUE"""),"20/04 pengecekan ulang 
06/01 distribusi tdk tembus
27/01 order mitra
(07/01) Persiapan")</f>
        <v>20/04 pengecekan ulang 
06/01 distribusi tdk tembus
27/01 order mitra
(07/01) Persiapan</v>
      </c>
      <c r="R2054" s="228"/>
      <c r="S2054" s="11"/>
      <c r="T2054" s="11"/>
      <c r="U2054" s="11"/>
      <c r="V2054" s="229"/>
      <c r="W2054" s="229"/>
      <c r="X2054" s="229" t="str">
        <f>IFERROR(__xludf.DUMMYFUNCTION("""COMPUTED_VALUE"""),"BELUM GOLIVE")</f>
        <v>BELUM GOLIVE</v>
      </c>
      <c r="Y2054" s="229"/>
      <c r="Z2054" s="229" t="str">
        <f>IFERROR(__xludf.DUMMYFUNCTION("""COMPUTED_VALUE"""),"#N/A")</f>
        <v>#N/A</v>
      </c>
      <c r="AA2054" s="229"/>
      <c r="AB2054" s="229"/>
      <c r="AC2054" s="229"/>
      <c r="AD2054" s="232"/>
      <c r="AE2054" s="233"/>
      <c r="AF2054" s="54"/>
      <c r="AG2054" s="54"/>
      <c r="AH2054" s="54"/>
      <c r="AI2054" s="55" t="str">
        <f t="shared" ref="AI2054:AI2067" si="202">IF(OR(R2054="",AE2054=""),"",R2054-AE2054)</f>
        <v/>
      </c>
      <c r="AW2054" s="234"/>
      <c r="BP2054" s="11"/>
      <c r="BQ2054" s="11"/>
      <c r="BR2054" s="235"/>
      <c r="BV2054" s="158"/>
      <c r="BY2054" s="158"/>
      <c r="CB2054" s="158"/>
    </row>
    <row r="2055" ht="18.0" hidden="1" customHeight="1">
      <c r="A2055" s="222">
        <f>IFERROR(__xludf.DUMMYFUNCTION("""COMPUTED_VALUE"""),2026.0)</f>
        <v>2026</v>
      </c>
      <c r="B2055" s="221">
        <f>IFERROR(__xludf.DUMMYFUNCTION("""COMPUTED_VALUE"""),1.1378074E7)</f>
        <v>11378074</v>
      </c>
      <c r="C2055" s="222" t="str">
        <f>IFERROR(__xludf.DUMMYFUNCTION("""COMPUTED_VALUE"""),"JBI-PT3-KOA-FT-SUNGAI LANDAI")</f>
        <v>JBI-PT3-KOA-FT-SUNGAI LANDAI</v>
      </c>
      <c r="D2055" s="222" t="str">
        <f>IFERROR(__xludf.DUMMYFUNCTION("""COMPUTED_VALUE"""),"REGIONAL I")</f>
        <v>REGIONAL I</v>
      </c>
      <c r="E2055" s="222" t="str">
        <f>IFERROR(__xludf.DUMMYFUNCTION("""COMPUTED_VALUE"""),"JAMBI")</f>
        <v>JAMBI</v>
      </c>
      <c r="F2055" s="222" t="str">
        <f>IFERROR(__xludf.DUMMYFUNCTION("""COMPUTED_VALUE"""),"KOA")</f>
        <v>KOA</v>
      </c>
      <c r="G2055" s="222" t="str">
        <f>IFERROR(__xludf.DUMMYFUNCTION("""COMPUTED_VALUE"""),"SUMBAGSEL")</f>
        <v>SUMBAGSEL</v>
      </c>
      <c r="H2055" s="222" t="str">
        <f>IFERROR(__xludf.DUMMYFUNCTION("""COMPUTED_VALUE"""),"JAMBI")</f>
        <v>JAMBI</v>
      </c>
      <c r="I2055" s="222" t="str">
        <f>IFERROR(__xludf.DUMMYFUNCTION("""COMPUTED_VALUE"""),"Batch 2")</f>
        <v>Batch 2</v>
      </c>
      <c r="J2055" s="225">
        <f>IFERROR(__xludf.DUMMYFUNCTION("""COMPUTED_VALUE"""),41.0)</f>
        <v>41</v>
      </c>
      <c r="K2055" s="224">
        <f>IFERROR(__xludf.DUMMYFUNCTION("""COMPUTED_VALUE"""),352.0)</f>
        <v>352</v>
      </c>
      <c r="L2055" s="226">
        <f>IFERROR(__xludf.DUMMYFUNCTION("""COMPUTED_VALUE"""),1558448.0)</f>
        <v>1558448</v>
      </c>
      <c r="M2055" s="227">
        <f>IFERROR(__xludf.DUMMYFUNCTION("""COMPUTED_VALUE"""),5.4857358E8)</f>
        <v>548573580</v>
      </c>
      <c r="N2055" s="222" t="str">
        <f>IFERROR(__xludf.DUMMYFUNCTION("""COMPUTED_VALUE"""),"PT ANGSO DUO TELEKOMUNIKASI")</f>
        <v>PT ANGSO DUO TELEKOMUNIKASI</v>
      </c>
      <c r="O2055" s="222" t="str">
        <f>IFERROR(__xludf.DUMMYFUNCTION("""COMPUTED_VALUE"""),"3. PERIZINAN")</f>
        <v>3. PERIZINAN</v>
      </c>
      <c r="P2055" s="222" t="str">
        <f>IFERROR(__xludf.DUMMYFUNCTION("""COMPUTED_VALUE"""),"3.1 Submit permohon ke PU")</f>
        <v>3.1 Submit permohon ke PU</v>
      </c>
      <c r="Q2055" s="222" t="str">
        <f>IFERROR(__xludf.DUMMYFUNCTION("""COMPUTED_VALUE"""),"22/04 done submit OSS Menunggu Jadwal Pemaparan PU 13/4 masih pendaftaran user  APP OSS oleh TIF 09/04 Berkas tinggal Upload, namun APP OSS masih pendaftaran user oleh TIF 08/04 Sirkulir Tif berkas surat permohonan Izin 06/04 Draf Perizinan PU Nasional OS"&amp;"S 22/2 Tahap negoisasi (12/1) plan sumbit Perizininan ke ED 19 Jan  (12/1) melewati jalan PU Nasional, 6,6 KM (17/11) BELUM OPTIMIS NOV25 , HOLD TIF (08/11) SURAT PU SUBMIT TGL 7 OKT , BLM ADA INFO DARI PU NAS (3/11) Periziinan PU nasional, berkas (15/10)"&amp;"PROSES REQ MATERIAL (25/09) Done anwijzing Perubahan design peletakan ODP dan sedang direvisi oleh tsel. Perizinan PU nas (23/09) Penjadwalan aanwijzing (16/09) Mapping mitra")</f>
        <v>22/04 done submit OSS Menunggu Jadwal Pemaparan PU 13/4 masih pendaftaran user  APP OSS oleh TIF 09/04 Berkas tinggal Upload, namun APP OSS masih pendaftaran user oleh TIF 08/04 Sirkulir Tif berkas surat permohonan Izin 06/04 Draf Perizinan PU Nasional OSS 22/2 Tahap negoisasi (12/1) plan sumbit Perizininan ke ED 19 Jan  (12/1) melewati jalan PU Nasional, 6,6 KM (17/11) BELUM OPTIMIS NOV25 , HOLD TIF (08/11) SURAT PU SUBMIT TGL 7 OKT , BLM ADA INFO DARI PU NAS (3/11) Periziinan PU nasional, berkas (15/10)PROSES REQ MATERIAL (25/09) Done anwijzing Perubahan design peletakan ODP dan sedang direvisi oleh tsel. Perizinan PU nas (23/09) Penjadwalan aanwijzing (16/09) Mapping mitra</v>
      </c>
      <c r="R2055" s="228"/>
      <c r="S2055" s="11"/>
      <c r="T2055" s="11" t="str">
        <f>IFERROR(__xludf.DUMMYFUNCTION("""COMPUTED_VALUE"""),"P1")</f>
        <v>P1</v>
      </c>
      <c r="U2055" s="11"/>
      <c r="V2055" s="229"/>
      <c r="W2055" s="229"/>
      <c r="X2055" s="229" t="str">
        <f>IFERROR(__xludf.DUMMYFUNCTION("""COMPUTED_VALUE"""),"BELUM GOLIVE")</f>
        <v>BELUM GOLIVE</v>
      </c>
      <c r="Y2055" s="229"/>
      <c r="Z2055" s="229" t="str">
        <f>IFERROR(__xludf.DUMMYFUNCTION("""COMPUTED_VALUE"""),"5. Done Integrasi")</f>
        <v>5. Done Integrasi</v>
      </c>
      <c r="AA2055" s="229"/>
      <c r="AB2055" s="229"/>
      <c r="AC2055" s="229"/>
      <c r="AD2055" s="232"/>
      <c r="AE2055" s="233"/>
      <c r="AF2055" s="54"/>
      <c r="AG2055" s="54"/>
      <c r="AH2055" s="54"/>
      <c r="AI2055" s="55" t="str">
        <f t="shared" si="202"/>
        <v/>
      </c>
      <c r="AW2055" s="234"/>
      <c r="BP2055" s="11"/>
      <c r="BQ2055" s="11"/>
      <c r="BR2055" s="235"/>
      <c r="BV2055" s="158"/>
      <c r="BY2055" s="158"/>
      <c r="CB2055" s="158"/>
    </row>
    <row r="2056" ht="18.0" hidden="1" customHeight="1">
      <c r="A2056" s="222">
        <f>IFERROR(__xludf.DUMMYFUNCTION("""COMPUTED_VALUE"""),2026.0)</f>
        <v>2026</v>
      </c>
      <c r="B2056" s="221">
        <f>IFERROR(__xludf.DUMMYFUNCTION("""COMPUTED_VALUE"""),1.1283199E7)</f>
        <v>11283199</v>
      </c>
      <c r="C2056" s="222" t="str">
        <f>IFERROR(__xludf.DUMMYFUNCTION("""COMPUTED_VALUE"""),"SMU PYB-FAZ CLUST DOLOK DARUSSALAM")</f>
        <v>SMU PYB-FAZ CLUST DOLOK DARUSSALAM</v>
      </c>
      <c r="D2056" s="222" t="str">
        <f>IFERROR(__xludf.DUMMYFUNCTION("""COMPUTED_VALUE"""),"REGIONAL I")</f>
        <v>REGIONAL I</v>
      </c>
      <c r="E2056" s="222" t="str">
        <f>IFERROR(__xludf.DUMMYFUNCTION("""COMPUTED_VALUE"""),"SUMUT")</f>
        <v>SUMUT</v>
      </c>
      <c r="F2056" s="222" t="str">
        <f>IFERROR(__xludf.DUMMYFUNCTION("""COMPUTED_VALUE"""),"PYB")</f>
        <v>PYB</v>
      </c>
      <c r="G2056" s="222" t="str">
        <f>IFERROR(__xludf.DUMMYFUNCTION("""COMPUTED_VALUE"""),"SUMBAGUT")</f>
        <v>SUMBAGUT</v>
      </c>
      <c r="H2056" s="222" t="str">
        <f>IFERROR(__xludf.DUMMYFUNCTION("""COMPUTED_VALUE"""),"PADANG SIDEMPUAN")</f>
        <v>PADANG SIDEMPUAN</v>
      </c>
      <c r="I2056" s="222" t="str">
        <f>IFERROR(__xludf.DUMMYFUNCTION("""COMPUTED_VALUE"""),"Batch 2")</f>
        <v>Batch 2</v>
      </c>
      <c r="J2056" s="225">
        <f>IFERROR(__xludf.DUMMYFUNCTION("""COMPUTED_VALUE"""),23.0)</f>
        <v>23</v>
      </c>
      <c r="K2056" s="224">
        <f>IFERROR(__xludf.DUMMYFUNCTION("""COMPUTED_VALUE"""),184.0)</f>
        <v>184</v>
      </c>
      <c r="L2056" s="226">
        <f>IFERROR(__xludf.DUMMYFUNCTION("""COMPUTED_VALUE"""),1559353.0)</f>
        <v>1559353</v>
      </c>
      <c r="M2056" s="227">
        <f>IFERROR(__xludf.DUMMYFUNCTION("""COMPUTED_VALUE"""),2.869208E8)</f>
        <v>286920800</v>
      </c>
      <c r="N2056" s="222" t="str">
        <f>IFERROR(__xludf.DUMMYFUNCTION("""COMPUTED_VALUE"""),"PT SALTTEK DUMPANG JAYA")</f>
        <v>PT SALTTEK DUMPANG JAYA</v>
      </c>
      <c r="O2056" s="222" t="str">
        <f>IFERROR(__xludf.DUMMYFUNCTION("""COMPUTED_VALUE"""),"3. PERIZINAN")</f>
        <v>3. PERIZINAN</v>
      </c>
      <c r="P2056" s="222" t="str">
        <f>IFERROR(__xludf.DUMMYFUNCTION("""COMPUTED_VALUE"""),"3.1 Submit permohon ke PU")</f>
        <v>3.1 Submit permohon ke PU</v>
      </c>
      <c r="Q2056" s="222" t="str">
        <f>IFERROR(__xludf.DUMMYFUNCTION("""COMPUTED_VALUE"""),"27/4 menunggu ttd GM terkait pengantar ijin pu kab,  24/4 menunggu ttd GM terkait pengantar ijin pu kab, 23/4 menunggu ttd GM terkait pengantar ijin pu kab,  22/4 menunggu ttd GM terkait pengantar ijin pu kab, 21/4 menunggu ttd GM terkait pengantar ijin p"&amp;"u kab, 20/4 menunggu ttd GM terkait pengantar ijin pu kab, 16/4 menunggu ttd GM terkait pengantar ijin pu kab, 15/4 menunggu approve pengantar ijin pu, 14/4 menunggu approve pengantar ijin pu, 13/4 prepair tim untuk survey redesain, 9/4 prepair team untuk"&amp;" survey redesign, 8/4 prepair team untuk survey redesign paling lambat rabu, 6/4 prepair team untuk survey redesign paling lambat rabu, 1/4 menunggu info terkait redesign tanpa menggunakan odc less, 31/3 menunggu info terkait redesign tanpa menggunakan od"&amp;"c less, 30/3 menunggu info terkait redesign tanpa menggunakan odc less, 27/3 menunggu info terkait redesign tanpa menggunakan odc less, 26/3 menunggu info terkait redesign tanpa menggunakan odc less, 22/3 menunggu info terkait redesign tanpa menggunakan o"&amp;"dc less,  18/3 menunggu info terkait redesign tanpa menggunakan odc less, 16/3 menunggu info terkait redesign tanpa menggunakan odc less, 13/3 menunggu info terkait redesign tanpa menggunakan odc less, 11/3 menunggu info terkait redesign tanpa menggunakan"&amp;" odc less, 9/3 menunggu info terkait redesign tanpa menggunakan odc less, 
9/3 menunggu info terkait redesign tanpa menggunakan odc less, 6/3 menunggu info terkait redesign tanpa menggunakan odc less, 5/3 proses pengiriman material ke lokasi, 4/3 proses p"&amp;"engiriman material ke lokasi, 3/3 proses pengiriman material ke lokasi, 2/3 proses input material di alista, 25/2 proses req matrial paralel input alista serta kordinasi dengan team regional terkait pola kerja menggunakan drop core, 24/2 menunggu req matr"&amp;"ial paraelel input alista, 20/2  hari ini submit boq survey redesign  ( izin pu kab 6 jt ), 19/2 plan survey ulang redesign besok 20 feb, kendala cpp 1,3,16/2 prepair team untu survey ulang terkait penambahan odp.13/2 menunggu kml boq redesign kendala cpp"&amp;" 1,3 jt, 12/2 menunggu kml boq redesign kendala cpp 1,3 jt,  11/2 menunggu kml boq redesign kendala cpp 1,3 jt,  10/2 menunggu kml boq redesign kendala cpp 1,3 jt, 9/2 menunggu kml boq redesign kendala cpp 1,5 jt,  6/2 menunggu kml boq redesign kendala cp"&amp;"p 1,5 jt, 5/2 menunggu kml boq redesign kendala cpp 1,5 jt, 3/2 menunggu kml boq redesign kendala cpp 1,5 jt, 2/2 menunggu kml boq redesign kendala cpp 1,5 jt, 1/2 menunggu kml boq redesign kendala cpp 1,5 jt, 30/1 menunggu kml boq redesign kendala cpp 1,"&amp;"5 jt, 28/1 menunggu kml boq redesign kendala cpp 1,5 jt, 27/1 menunggu info tif cpp 1,5 jt, 26/1 menunggu hasil report survey dan boq kml survey,  23/1 menunggu boq kml survey, 22/1 menunggu report hasil survey paralel boq kml, 21/1 menunggu report hasil "&amp;"survey paralel boq kml, 20/1 plan survey 22/1, 19/1 plan survey 22/1,  15/1 plan survey 22/1, 14/1 plan survey 21/1, 13/1 penunjukan mitra, (08/01) kendala feeder dan dist SLK-FN Full (07/01) Persiapan")</f>
        <v>27/4 menunggu ttd GM terkait pengantar ijin pu kab,  24/4 menunggu ttd GM terkait pengantar ijin pu kab, 23/4 menunggu ttd GM terkait pengantar ijin pu kab,  22/4 menunggu ttd GM terkait pengantar ijin pu kab, 21/4 menunggu ttd GM terkait pengantar ijin pu kab, 20/4 menunggu ttd GM terkait pengantar ijin pu kab, 16/4 menunggu ttd GM terkait pengantar ijin pu kab, 15/4 menunggu approve pengantar ijin pu, 14/4 menunggu approve pengantar ijin pu, 13/4 prepair tim untuk survey redesain, 9/4 prepair team untuk survey redesign, 8/4 prepair team untuk survey redesign paling lambat rabu, 6/4 prepair team untuk survey redesign paling lambat rabu, 1/4 menunggu info terkait redesign tanpa menggunakan odc less, 31/3 menunggu info terkait redesign tanpa menggunakan odc less, 30/3 menunggu info terkait redesign tanpa menggunakan odc less, 27/3 menunggu info terkait redesign tanpa menggunakan odc less, 26/3 menunggu info terkait redesign tanpa menggunakan odc less, 22/3 menunggu info terkait redesign tanpa menggunakan odc less,  18/3 menunggu info terkait redesign tanpa menggunakan odc less, 16/3 menunggu info terkait redesign tanpa menggunakan odc less, 13/3 menunggu info terkait redesign tanpa menggunakan odc less, 11/3 menunggu info terkait redesign tanpa menggunakan odc less, 9/3 menunggu info terkait redesign tanpa menggunakan odc less, 
9/3 menunggu info terkait redesign tanpa menggunakan odc less, 6/3 menunggu info terkait redesign tanpa menggunakan odc less, 5/3 proses pengiriman material ke lokasi, 4/3 proses pengiriman material ke lokasi, 3/3 proses pengiriman material ke lokasi, 2/3 proses input material di alista, 25/2 proses req matrial paralel input alista serta kordinasi dengan team regional terkait pola kerja menggunakan drop core, 24/2 menunggu req matrial paraelel input alista, 20/2  hari ini submit boq survey redesign  ( izin pu kab 6 jt ), 19/2 plan survey ulang redesign besok 20 feb, kendala cpp 1,3,16/2 prepair team untu survey ulang terkait penambahan odp.13/2 menunggu kml boq redesign kendala cpp 1,3 jt, 12/2 menunggu kml boq redesign kendala cpp 1,3 jt,  11/2 menunggu kml boq redesign kendala cpp 1,3 jt,  10/2 menunggu kml boq redesign kendala cpp 1,3 jt, 9/2 menunggu kml boq redesign kendala cpp 1,5 jt,  6/2 menunggu kml boq redesign kendala cpp 1,5 jt, 5/2 menunggu kml boq redesign kendala cpp 1,5 jt, 3/2 menunggu kml boq redesign kendala cpp 1,5 jt, 2/2 menunggu kml boq redesign kendala cpp 1,5 jt, 1/2 menunggu kml boq redesign kendala cpp 1,5 jt, 30/1 menunggu kml boq redesign kendala cpp 1,5 jt, 28/1 menunggu kml boq redesign kendala cpp 1,5 jt, 27/1 menunggu info tif cpp 1,5 jt, 26/1 menunggu hasil report survey dan boq kml survey,  23/1 menunggu boq kml survey, 22/1 menunggu report hasil survey paralel boq kml, 21/1 menunggu report hasil survey paralel boq kml, 20/1 plan survey 22/1, 19/1 plan survey 22/1,  15/1 plan survey 22/1, 14/1 plan survey 21/1, 13/1 penunjukan mitra, (08/01) kendala feeder dan dist SLK-FN Full (07/01) Persiapan</v>
      </c>
      <c r="R2056" s="228"/>
      <c r="S2056" s="11"/>
      <c r="T2056" s="73"/>
      <c r="U2056" s="11" t="str">
        <f>IFERROR(__xludf.DUMMYFUNCTION("""COMPUTED_VALUE"""),"TIF-1394/2026")</f>
        <v>TIF-1394/2026</v>
      </c>
      <c r="V2056" s="229"/>
      <c r="W2056" s="229" t="str">
        <f>IFERROR(__xludf.DUMMYFUNCTION("""COMPUTED_VALUE"""),"#N/A")</f>
        <v>#N/A</v>
      </c>
      <c r="X2056" s="229" t="str">
        <f>IFERROR(__xludf.DUMMYFUNCTION("""COMPUTED_VALUE"""),"BELUM GOLIVE")</f>
        <v>BELUM GOLIVE</v>
      </c>
      <c r="Y2056" s="229" t="str">
        <f>IFERROR(__xludf.DUMMYFUNCTION("""COMPUTED_VALUE"""),"Izin pu")</f>
        <v>Izin pu</v>
      </c>
      <c r="Z2056" s="229" t="str">
        <f>IFERROR(__xludf.DUMMYFUNCTION("""COMPUTED_VALUE"""),"#N/A")</f>
        <v>#N/A</v>
      </c>
      <c r="AA2056" s="229"/>
      <c r="AB2056" s="229"/>
      <c r="AC2056" s="229"/>
      <c r="AD2056" s="232"/>
      <c r="AE2056" s="233"/>
      <c r="AF2056" s="54"/>
      <c r="AG2056" s="54"/>
      <c r="AH2056" s="54">
        <v>46130.0</v>
      </c>
      <c r="AI2056" s="55" t="str">
        <f t="shared" si="202"/>
        <v/>
      </c>
      <c r="AW2056" s="234"/>
      <c r="BP2056" s="11"/>
      <c r="BQ2056" s="11"/>
      <c r="BR2056" s="235"/>
      <c r="BV2056" s="158"/>
      <c r="BY2056" s="158"/>
      <c r="CB2056" s="158"/>
    </row>
    <row r="2057" ht="18.0" customHeight="1">
      <c r="A2057" s="222">
        <f>IFERROR(__xludf.DUMMYFUNCTION("""COMPUTED_VALUE"""),2026.0)</f>
        <v>2026</v>
      </c>
      <c r="B2057" s="221">
        <f>IFERROR(__xludf.DUMMYFUNCTION("""COMPUTED_VALUE"""),1.0224715E7)</f>
        <v>10224715</v>
      </c>
      <c r="C2057" s="222" t="str">
        <f>IFERROR(__xludf.DUMMYFUNCTION("""COMPUTED_VALUE"""),"SMB P7I5 CLUSTER SLK FN")</f>
        <v>SMB P7I5 CLUSTER SLK FN</v>
      </c>
      <c r="D2057" s="222" t="str">
        <f>IFERROR(__xludf.DUMMYFUNCTION("""COMPUTED_VALUE"""),"REGIONAL I")</f>
        <v>REGIONAL I</v>
      </c>
      <c r="E2057" s="222" t="str">
        <f>IFERROR(__xludf.DUMMYFUNCTION("""COMPUTED_VALUE"""),"SUMBAR")</f>
        <v>SUMBAR</v>
      </c>
      <c r="F2057" s="222" t="str">
        <f>IFERROR(__xludf.DUMMYFUNCTION("""COMPUTED_VALUE"""),"SLK")</f>
        <v>SLK</v>
      </c>
      <c r="G2057" s="222" t="str">
        <f>IFERROR(__xludf.DUMMYFUNCTION("""COMPUTED_VALUE"""),"SUMBAGTENG")</f>
        <v>SUMBAGTENG</v>
      </c>
      <c r="H2057" s="222" t="str">
        <f>IFERROR(__xludf.DUMMYFUNCTION("""COMPUTED_VALUE"""),"PADANG")</f>
        <v>PADANG</v>
      </c>
      <c r="I2057" s="222" t="str">
        <f>IFERROR(__xludf.DUMMYFUNCTION("""COMPUTED_VALUE"""),"Batch 2")</f>
        <v>Batch 2</v>
      </c>
      <c r="J2057" s="225">
        <f>IFERROR(__xludf.DUMMYFUNCTION("""COMPUTED_VALUE"""),3.0)</f>
        <v>3</v>
      </c>
      <c r="K2057" s="224">
        <f>IFERROR(__xludf.DUMMYFUNCTION("""COMPUTED_VALUE"""),24.0)</f>
        <v>24</v>
      </c>
      <c r="L2057" s="226">
        <f>IFERROR(__xludf.DUMMYFUNCTION("""COMPUTED_VALUE"""),1562822.0)</f>
        <v>1562822</v>
      </c>
      <c r="M2057" s="227">
        <f>IFERROR(__xludf.DUMMYFUNCTION("""COMPUTED_VALUE"""),3.7507706E7)</f>
        <v>37507706</v>
      </c>
      <c r="N2057" s="222" t="str">
        <f>IFERROR(__xludf.DUMMYFUNCTION("""COMPUTED_VALUE"""),"PT TRI PENAMAS")</f>
        <v>PT TRI PENAMAS</v>
      </c>
      <c r="O2057" s="222" t="str">
        <f>IFERROR(__xludf.DUMMYFUNCTION("""COMPUTED_VALUE"""),"0. DROP")</f>
        <v>0. DROP</v>
      </c>
      <c r="P2057" s="222" t="str">
        <f>IFERROR(__xludf.DUMMYFUNCTION("""COMPUTED_VALUE"""),"0.3 Feeder Full")</f>
        <v>0.3 Feeder Full</v>
      </c>
      <c r="Q2057" s="222" t="str">
        <f>IFERROR(__xludf.DUMMYFUNCTION("""COMPUTED_VALUE"""),"(26/01) kendala feeder dan dist SLK-FN Full")</f>
        <v>(26/01) kendala feeder dan dist SLK-FN Full</v>
      </c>
      <c r="R2057" s="228"/>
      <c r="S2057" s="11"/>
      <c r="T2057" s="11"/>
      <c r="U2057" s="11"/>
      <c r="V2057" s="229"/>
      <c r="W2057" s="229"/>
      <c r="X2057" s="229" t="str">
        <f>IFERROR(__xludf.DUMMYFUNCTION("""COMPUTED_VALUE"""),"BELUM GOLIVE")</f>
        <v>BELUM GOLIVE</v>
      </c>
      <c r="Y2057" s="229"/>
      <c r="Z2057" s="229" t="str">
        <f>IFERROR(__xludf.DUMMYFUNCTION("""COMPUTED_VALUE"""),"#N/A")</f>
        <v>#N/A</v>
      </c>
      <c r="AA2057" s="229"/>
      <c r="AB2057" s="229"/>
      <c r="AC2057" s="229"/>
      <c r="AD2057" s="232"/>
      <c r="AE2057" s="233"/>
      <c r="AF2057" s="54" t="str">
        <f>IFERROR(__xludf.DUMMYFUNCTION("""COMPUTED_VALUE"""),"Draft BA DROP")</f>
        <v>Draft BA DROP</v>
      </c>
      <c r="AG2057" s="54"/>
      <c r="AH2057" s="54"/>
      <c r="AI2057" s="55" t="str">
        <f t="shared" si="202"/>
        <v/>
      </c>
      <c r="AW2057" s="234"/>
      <c r="BP2057" s="11"/>
      <c r="BQ2057" s="11"/>
      <c r="BR2057" s="235"/>
      <c r="BV2057" s="158"/>
      <c r="BY2057" s="158"/>
      <c r="CB2057" s="158"/>
    </row>
    <row r="2058" ht="18.0" hidden="1" customHeight="1">
      <c r="A2058" s="222">
        <f>IFERROR(__xludf.DUMMYFUNCTION("""COMPUTED_VALUE"""),2026.0)</f>
        <v>2026</v>
      </c>
      <c r="B2058" s="221">
        <f>IFERROR(__xludf.DUMMYFUNCTION("""COMPUTED_VALUE"""),1.1197143E7)</f>
        <v>11197143</v>
      </c>
      <c r="C2058" s="222" t="str">
        <f>IFERROR(__xludf.DUMMYFUNCTION("""COMPUTED_VALUE"""),"MDN PT3 P7I7 TJR-FAM GG.BUNTU BEDIMBAR")</f>
        <v>MDN PT3 P7I7 TJR-FAM GG.BUNTU BEDIMBAR</v>
      </c>
      <c r="D2058" s="222" t="str">
        <f>IFERROR(__xludf.DUMMYFUNCTION("""COMPUTED_VALUE"""),"REGIONAL I")</f>
        <v>REGIONAL I</v>
      </c>
      <c r="E2058" s="222" t="str">
        <f>IFERROR(__xludf.DUMMYFUNCTION("""COMPUTED_VALUE"""),"MEDAN")</f>
        <v>MEDAN</v>
      </c>
      <c r="F2058" s="222" t="str">
        <f>IFERROR(__xludf.DUMMYFUNCTION("""COMPUTED_VALUE"""),"TJR")</f>
        <v>TJR</v>
      </c>
      <c r="G2058" s="222" t="str">
        <f>IFERROR(__xludf.DUMMYFUNCTION("""COMPUTED_VALUE"""),"SUMBAGUT")</f>
        <v>SUMBAGUT</v>
      </c>
      <c r="H2058" s="222" t="str">
        <f>IFERROR(__xludf.DUMMYFUNCTION("""COMPUTED_VALUE"""),"MEDAN")</f>
        <v>MEDAN</v>
      </c>
      <c r="I2058" s="222" t="str">
        <f>IFERROR(__xludf.DUMMYFUNCTION("""COMPUTED_VALUE"""),"Batch 2")</f>
        <v>Batch 2</v>
      </c>
      <c r="J2058" s="225">
        <f>IFERROR(__xludf.DUMMYFUNCTION("""COMPUTED_VALUE"""),2.0)</f>
        <v>2</v>
      </c>
      <c r="K2058" s="224">
        <f>IFERROR(__xludf.DUMMYFUNCTION("""COMPUTED_VALUE"""),16.0)</f>
        <v>16</v>
      </c>
      <c r="L2058" s="226">
        <f>IFERROR(__xludf.DUMMYFUNCTION("""COMPUTED_VALUE"""),993296.0)</f>
        <v>993296</v>
      </c>
      <c r="M2058" s="227">
        <f>IFERROR(__xludf.DUMMYFUNCTION("""COMPUTED_VALUE"""),1.5892728E7)</f>
        <v>15892728</v>
      </c>
      <c r="N2058" s="222" t="str">
        <f>IFERROR(__xludf.DUMMYFUNCTION("""COMPUTED_VALUE"""),"PT UPAYA TEKNIK")</f>
        <v>PT UPAYA TEKNIK</v>
      </c>
      <c r="O2058" s="222" t="str">
        <f>IFERROR(__xludf.DUMMYFUNCTION("""COMPUTED_VALUE"""),"5. INSTALASI")</f>
        <v>5. INSTALASI</v>
      </c>
      <c r="P2058" s="222" t="str">
        <f>IFERROR(__xludf.DUMMYFUNCTION("""COMPUTED_VALUE"""),"5.6 Proses Penarikan Kabel")</f>
        <v>5.6 Proses Penarikan Kabel</v>
      </c>
      <c r="Q2058" s="222" t="str">
        <f>IFERROR(__xludf.DUMMYFUNCTION("""COMPUTED_VALUE"""),"20/04 OGP penarikan kabel
10/04 proses input matrial
31/03 menunggu req material 02/03 comcase kades 3Jt 
12/02 feeder ok, dist ok
(07/01) Persiapan")</f>
        <v>20/04 OGP penarikan kabel
10/04 proses input matrial
31/03 menunggu req material 02/03 comcase kades 3Jt 
12/02 feeder ok, dist ok
(07/01) Persiapan</v>
      </c>
      <c r="R2058" s="228">
        <f>IFERROR(__xludf.DUMMYFUNCTION("""COMPUTED_VALUE"""),46137.0)</f>
        <v>46137</v>
      </c>
      <c r="S2058" s="11" t="str">
        <f>IFERROR(__xludf.DUMMYFUNCTION("""COMPUTED_VALUE"""),"APR")</f>
        <v>APR</v>
      </c>
      <c r="T2058" s="73"/>
      <c r="U2058" s="11"/>
      <c r="V2058" s="229" t="str">
        <f>IFERROR(__xludf.DUMMYFUNCTION("""COMPUTED_VALUE"""),"09/Apr/2026")</f>
        <v>09/Apr/2026</v>
      </c>
      <c r="W2058" s="229"/>
      <c r="X2058" s="229" t="str">
        <f>IFERROR(__xludf.DUMMYFUNCTION("""COMPUTED_VALUE"""),"BELUM GOLIVE")</f>
        <v>BELUM GOLIVE</v>
      </c>
      <c r="Y2058" s="229"/>
      <c r="Z2058" s="229" t="str">
        <f>IFERROR(__xludf.DUMMYFUNCTION("""COMPUTED_VALUE"""),"#N/A")</f>
        <v>#N/A</v>
      </c>
      <c r="AA2058" s="229"/>
      <c r="AB2058" s="229"/>
      <c r="AC2058" s="229"/>
      <c r="AD2058" s="232"/>
      <c r="AE2058" s="233"/>
      <c r="AF2058" s="54"/>
      <c r="AG2058" s="54"/>
      <c r="AH2058" s="54">
        <v>46137.0</v>
      </c>
      <c r="AI2058" s="55" t="str">
        <f t="shared" si="202"/>
        <v/>
      </c>
      <c r="AW2058" s="234"/>
      <c r="BP2058" s="11"/>
      <c r="BQ2058" s="11"/>
      <c r="BR2058" s="235"/>
      <c r="BV2058" s="158"/>
      <c r="BY2058" s="158"/>
      <c r="CB2058" s="158"/>
    </row>
    <row r="2059" ht="18.0" hidden="1" customHeight="1">
      <c r="A2059" s="222">
        <f>IFERROR(__xludf.DUMMYFUNCTION("""COMPUTED_VALUE"""),2026.0)</f>
        <v>2026</v>
      </c>
      <c r="B2059" s="221">
        <f>IFERROR(__xludf.DUMMYFUNCTION("""COMPUTED_VALUE"""),1.1272037E7)</f>
        <v>11272037</v>
      </c>
      <c r="C2059" s="222" t="str">
        <f>IFERROR(__xludf.DUMMYFUNCTION("""COMPUTED_VALUE"""),"MDN PT3 P1I1 SPM-FCP GG.SIMALUNGUN")</f>
        <v>MDN PT3 P1I1 SPM-FCP GG.SIMALUNGUN</v>
      </c>
      <c r="D2059" s="222" t="str">
        <f>IFERROR(__xludf.DUMMYFUNCTION("""COMPUTED_VALUE"""),"REGIONAL I")</f>
        <v>REGIONAL I</v>
      </c>
      <c r="E2059" s="222" t="str">
        <f>IFERROR(__xludf.DUMMYFUNCTION("""COMPUTED_VALUE"""),"MEDAN")</f>
        <v>MEDAN</v>
      </c>
      <c r="F2059" s="222" t="str">
        <f>IFERROR(__xludf.DUMMYFUNCTION("""COMPUTED_VALUE"""),"SPM")</f>
        <v>SPM</v>
      </c>
      <c r="G2059" s="222" t="str">
        <f>IFERROR(__xludf.DUMMYFUNCTION("""COMPUTED_VALUE"""),"SUMBAGUT")</f>
        <v>SUMBAGUT</v>
      </c>
      <c r="H2059" s="222" t="str">
        <f>IFERROR(__xludf.DUMMYFUNCTION("""COMPUTED_VALUE"""),"MEDAN")</f>
        <v>MEDAN</v>
      </c>
      <c r="I2059" s="222" t="str">
        <f>IFERROR(__xludf.DUMMYFUNCTION("""COMPUTED_VALUE"""),"Batch 2")</f>
        <v>Batch 2</v>
      </c>
      <c r="J2059" s="225">
        <f>IFERROR(__xludf.DUMMYFUNCTION("""COMPUTED_VALUE"""),2.0)</f>
        <v>2</v>
      </c>
      <c r="K2059" s="224">
        <f>IFERROR(__xludf.DUMMYFUNCTION("""COMPUTED_VALUE"""),16.0)</f>
        <v>16</v>
      </c>
      <c r="L2059" s="226">
        <f>IFERROR(__xludf.DUMMYFUNCTION("""COMPUTED_VALUE"""),1022762.0)</f>
        <v>1022762</v>
      </c>
      <c r="M2059" s="227">
        <f>IFERROR(__xludf.DUMMYFUNCTION("""COMPUTED_VALUE"""),1.6364183E7)</f>
        <v>16364183</v>
      </c>
      <c r="N2059" s="222" t="str">
        <f>IFERROR(__xludf.DUMMYFUNCTION("""COMPUTED_VALUE"""),"PT UPENTEL INTERNASIONAL")</f>
        <v>PT UPENTEL INTERNASIONAL</v>
      </c>
      <c r="O2059" s="222" t="str">
        <f>IFERROR(__xludf.DUMMYFUNCTION("""COMPUTED_VALUE"""),"2. DONE AANWIJZING")</f>
        <v>2. DONE AANWIJZING</v>
      </c>
      <c r="P2059" s="222" t="str">
        <f>IFERROR(__xludf.DUMMYFUNCTION("""COMPUTED_VALUE"""),"2.9 Kendala - Distribusi Penuh / Rusak")</f>
        <v>2.9 Kendala - Distribusi Penuh / Rusak</v>
      </c>
      <c r="Q2059" s="222" t="str">
        <f>IFERROR(__xludf.DUMMYFUNCTION("""COMPUTED_VALUE"""),"01/11 Distribusi Penuh
(24/09) Perizinan Warga dan Kades / Lurah
(23/09) Perizinan Warga dan Kades / Lurah
15/09 proses aanwijzing")</f>
        <v>01/11 Distribusi Penuh
(24/09) Perizinan Warga dan Kades / Lurah
(23/09) Perizinan Warga dan Kades / Lurah
15/09 proses aanwijzing</v>
      </c>
      <c r="R2059" s="228"/>
      <c r="S2059" s="11"/>
      <c r="T2059" s="11"/>
      <c r="U2059" s="11"/>
      <c r="V2059" s="229"/>
      <c r="W2059" s="229"/>
      <c r="X2059" s="229" t="str">
        <f>IFERROR(__xludf.DUMMYFUNCTION("""COMPUTED_VALUE"""),"BELUM GOLIVE")</f>
        <v>BELUM GOLIVE</v>
      </c>
      <c r="Y2059" s="229"/>
      <c r="Z2059" s="229" t="str">
        <f>IFERROR(__xludf.DUMMYFUNCTION("""COMPUTED_VALUE"""),"#N/A")</f>
        <v>#N/A</v>
      </c>
      <c r="AA2059" s="229"/>
      <c r="AB2059" s="229"/>
      <c r="AC2059" s="229"/>
      <c r="AD2059" s="232"/>
      <c r="AE2059" s="233"/>
      <c r="AF2059" s="54"/>
      <c r="AG2059" s="54"/>
      <c r="AH2059" s="54"/>
      <c r="AI2059" s="55" t="str">
        <f t="shared" si="202"/>
        <v/>
      </c>
      <c r="AW2059" s="234"/>
      <c r="BP2059" s="11"/>
      <c r="BQ2059" s="11"/>
      <c r="BR2059" s="235"/>
      <c r="BV2059" s="158"/>
      <c r="BY2059" s="158"/>
      <c r="CB2059" s="158"/>
    </row>
    <row r="2060" ht="18.0" hidden="1" customHeight="1">
      <c r="A2060" s="222">
        <f>IFERROR(__xludf.DUMMYFUNCTION("""COMPUTED_VALUE"""),2026.0)</f>
        <v>2026</v>
      </c>
      <c r="B2060" s="221">
        <f>IFERROR(__xludf.DUMMYFUNCTION("""COMPUTED_VALUE"""),1.0977857E7)</f>
        <v>10977857</v>
      </c>
      <c r="C2060" s="222" t="str">
        <f>IFERROR(__xludf.DUMMYFUNCTION("""COMPUTED_VALUE"""),"ACH PT3 BIR-FB BR.D09 GEULANGGANG KULAM")</f>
        <v>ACH PT3 BIR-FB BR.D09 GEULANGGANG KULAM</v>
      </c>
      <c r="D2060" s="222" t="str">
        <f>IFERROR(__xludf.DUMMYFUNCTION("""COMPUTED_VALUE"""),"REGIONAL I")</f>
        <v>REGIONAL I</v>
      </c>
      <c r="E2060" s="222" t="str">
        <f>IFERROR(__xludf.DUMMYFUNCTION("""COMPUTED_VALUE"""),"ACEH")</f>
        <v>ACEH</v>
      </c>
      <c r="F2060" s="222" t="str">
        <f>IFERROR(__xludf.DUMMYFUNCTION("""COMPUTED_VALUE"""),"BIR")</f>
        <v>BIR</v>
      </c>
      <c r="G2060" s="222" t="str">
        <f>IFERROR(__xludf.DUMMYFUNCTION("""COMPUTED_VALUE"""),"SUMBAGUT")</f>
        <v>SUMBAGUT</v>
      </c>
      <c r="H2060" s="222" t="str">
        <f>IFERROR(__xludf.DUMMYFUNCTION("""COMPUTED_VALUE"""),"BANDA ACEH")</f>
        <v>BANDA ACEH</v>
      </c>
      <c r="I2060" s="222" t="str">
        <f>IFERROR(__xludf.DUMMYFUNCTION("""COMPUTED_VALUE"""),"Batch 2")</f>
        <v>Batch 2</v>
      </c>
      <c r="J2060" s="225">
        <f>IFERROR(__xludf.DUMMYFUNCTION("""COMPUTED_VALUE"""),7.0)</f>
        <v>7</v>
      </c>
      <c r="K2060" s="224">
        <f>IFERROR(__xludf.DUMMYFUNCTION("""COMPUTED_VALUE"""),56.0)</f>
        <v>56</v>
      </c>
      <c r="L2060" s="226">
        <f>IFERROR(__xludf.DUMMYFUNCTION("""COMPUTED_VALUE"""),1564691.0)</f>
        <v>1564691</v>
      </c>
      <c r="M2060" s="227">
        <f>IFERROR(__xludf.DUMMYFUNCTION("""COMPUTED_VALUE"""),8.7622653E7)</f>
        <v>87622653</v>
      </c>
      <c r="N2060" s="222" t="str">
        <f>IFERROR(__xludf.DUMMYFUNCTION("""COMPUTED_VALUE"""),"PT KANA PRISMA AKSES")</f>
        <v>PT KANA PRISMA AKSES</v>
      </c>
      <c r="O2060" s="222" t="str">
        <f>IFERROR(__xludf.DUMMYFUNCTION("""COMPUTED_VALUE"""),"0. DROP")</f>
        <v>0. DROP</v>
      </c>
      <c r="P2060" s="222" t="str">
        <f>IFERROR(__xludf.DUMMYFUNCTION("""COMPUTED_VALUE"""),"0.1 Double Order")</f>
        <v>0.1 Double Order</v>
      </c>
      <c r="Q2060" s="222" t="str">
        <f>IFERROR(__xludf.DUMMYFUNCTION("""COMPUTED_VALUE"""),"(07/02) Sudah GoLive dgn IHLD 11093583 (29/01) Done Aanwijzing (07/01) Persiapan")</f>
        <v>(07/02) Sudah GoLive dgn IHLD 11093583 (29/01) Done Aanwijzing (07/01) Persiapan</v>
      </c>
      <c r="R2060" s="228"/>
      <c r="S2060" s="11"/>
      <c r="T2060" s="11"/>
      <c r="U2060" s="11"/>
      <c r="V2060" s="229"/>
      <c r="W2060" s="229" t="str">
        <f>IFERROR(__xludf.DUMMYFUNCTION("""COMPUTED_VALUE"""),"AZMI SYUKRAN")</f>
        <v>AZMI SYUKRAN</v>
      </c>
      <c r="X2060" s="229" t="str">
        <f>IFERROR(__xludf.DUMMYFUNCTION("""COMPUTED_VALUE"""),"BELUM GOLIVE")</f>
        <v>BELUM GOLIVE</v>
      </c>
      <c r="Y2060" s="229"/>
      <c r="Z2060" s="229" t="str">
        <f>IFERROR(__xludf.DUMMYFUNCTION("""COMPUTED_VALUE"""),"#N/A")</f>
        <v>#N/A</v>
      </c>
      <c r="AA2060" s="229"/>
      <c r="AB2060" s="229"/>
      <c r="AC2060" s="229"/>
      <c r="AD2060" s="232"/>
      <c r="AE2060" s="233"/>
      <c r="AF2060" s="54" t="str">
        <f>IFERROR(__xludf.DUMMYFUNCTION("""COMPUTED_VALUE"""),"Draft BA DROP")</f>
        <v>Draft BA DROP</v>
      </c>
      <c r="AG2060" s="54"/>
      <c r="AH2060" s="54"/>
      <c r="AI2060" s="55" t="str">
        <f t="shared" si="202"/>
        <v/>
      </c>
      <c r="AW2060" s="234"/>
      <c r="BP2060" s="11"/>
      <c r="BQ2060" s="11"/>
      <c r="BR2060" s="235"/>
      <c r="BV2060" s="158"/>
      <c r="BY2060" s="158"/>
      <c r="CB2060" s="158"/>
    </row>
    <row r="2061" ht="18.0" hidden="1" customHeight="1">
      <c r="A2061" s="222">
        <f>IFERROR(__xludf.DUMMYFUNCTION("""COMPUTED_VALUE"""),2026.0)</f>
        <v>2026</v>
      </c>
      <c r="B2061" s="221">
        <f>IFERROR(__xludf.DUMMYFUNCTION("""COMPUTED_VALUE"""),1.1483751E7)</f>
        <v>11483751</v>
      </c>
      <c r="C2061" s="222" t="str">
        <f>IFERROR(__xludf.DUMMYFUNCTION("""COMPUTED_VALUE"""),"SMS P3I1 PT3 TMO FJ D01 DESA SUMBER ASRI")</f>
        <v>SMS P3I1 PT3 TMO FJ D01 DESA SUMBER ASRI</v>
      </c>
      <c r="D2061" s="222" t="str">
        <f>IFERROR(__xludf.DUMMYFUNCTION("""COMPUTED_VALUE"""),"REGIONAL I")</f>
        <v>REGIONAL I</v>
      </c>
      <c r="E2061" s="222" t="str">
        <f>IFERROR(__xludf.DUMMYFUNCTION("""COMPUTED_VALUE"""),"SUMSEL")</f>
        <v>SUMSEL</v>
      </c>
      <c r="F2061" s="222" t="str">
        <f>IFERROR(__xludf.DUMMYFUNCTION("""COMPUTED_VALUE"""),"TMO")</f>
        <v>TMO</v>
      </c>
      <c r="G2061" s="222" t="str">
        <f>IFERROR(__xludf.DUMMYFUNCTION("""COMPUTED_VALUE"""),"SUMBAGSEL")</f>
        <v>SUMBAGSEL</v>
      </c>
      <c r="H2061" s="222" t="str">
        <f>IFERROR(__xludf.DUMMYFUNCTION("""COMPUTED_VALUE"""),"BENGKULU")</f>
        <v>BENGKULU</v>
      </c>
      <c r="I2061" s="222" t="str">
        <f>IFERROR(__xludf.DUMMYFUNCTION("""COMPUTED_VALUE"""),"Batch 2")</f>
        <v>Batch 2</v>
      </c>
      <c r="J2061" s="225">
        <f>IFERROR(__xludf.DUMMYFUNCTION("""COMPUTED_VALUE"""),8.0)</f>
        <v>8</v>
      </c>
      <c r="K2061" s="224">
        <f>IFERROR(__xludf.DUMMYFUNCTION("""COMPUTED_VALUE"""),64.0)</f>
        <v>64</v>
      </c>
      <c r="L2061" s="226">
        <f>IFERROR(__xludf.DUMMYFUNCTION("""COMPUTED_VALUE"""),1567740.0)</f>
        <v>1567740</v>
      </c>
      <c r="M2061" s="227">
        <f>IFERROR(__xludf.DUMMYFUNCTION("""COMPUTED_VALUE"""),1.00335332E8)</f>
        <v>100335332</v>
      </c>
      <c r="N2061" s="222" t="str">
        <f>IFERROR(__xludf.DUMMYFUNCTION("""COMPUTED_VALUE"""),"PT HAN SUNG INDONESIA")</f>
        <v>PT HAN SUNG INDONESIA</v>
      </c>
      <c r="O2061" s="222" t="str">
        <f>IFERROR(__xludf.DUMMYFUNCTION("""COMPUTED_VALUE"""),"6. FINISH INSTALASI")</f>
        <v>6. FINISH INSTALASI</v>
      </c>
      <c r="P2061" s="222" t="str">
        <f>IFERROR(__xludf.DUMMYFUNCTION("""COMPUTED_VALUE"""),"6.6 Kendala - QE Feeder/Distribusi")</f>
        <v>6.6 Kendala - QE Feeder/Distribusi</v>
      </c>
      <c r="Q2061" s="222" t="str">
        <f>IFERROR(__xludf.DUMMYFUNCTION("""COMPUTED_VALUE"""),"27/04 MASIH PROSES PENGECEKAN QE FEEDER, 22/04 PROSES PENGECEKAN QE FEEDER, 15/04 Prses QE Plan Finish W5 April 09/04 Prses QE Plan Finish W5 April 06/04 Proses QE melalui swakelola plan minggu ini ambil material 26/03 MASIH PROSES PENCARIAN CORE FEEDER, "&amp;"25/03 BELUM ADA INFO TERKAIT KENDALA QE FEEDER, 21/03 MAU KOORDINASI DG TIM SEKTOR LINGGAU TERKAIT KENDALA QE FEEDER, 09/03 masih kendala QE FEEDER kabel 288, masih harus di usut. 03/03 masih kendala QE FEEDER kabel 288, masih harus di usut. (27/2) masih "&amp;"kendala QE FEEDER kabel 288, masih harus di usut.  22/2 masih kendala QE FEEDER kabel 288, masih harus di usut.  11/2 MASIH MENUNGGU PERBAIKAN  (31/1) belum ada info untuk perbaikan progress repair (28/1) konfirm tim mtc , plan progress qe minggu ini , es"&amp;"t  31 jan (26/1) SELESAI FISIK, KENDALA BUTUH QE FEEDER ODC (24/1) kendala minol (21/01) selesai fisik, data abd belum masuk ke sdi, (06/01)order JPP batch-2 2026 (30/12 feeder reti butuh QE, 08/12 feeder reti butuh QE, 25/11 feeder reti butuh QE, 20/11 f"&amp;"eeder reti butuh QE, 17/11 feeder reti butuh QE, (14/11) FEEDER KAP 24 - TERPAKAI  13 , SISA 9 ( LOSS 4 , REDTI 5 ) , PLAN PROGRESS SETELAH MARGASAKTI  (04/11) ODP Selesai, Feeder Riti (koordinasi dg MTC) (27/10) INSTALASI ODP 26/10 PENARIKAN KABEL 21/10 "&amp;"perapihan 08/10 material sdh d lokasi, menunggu antrian progres
(01/10) proses kirim material
(19/09) untuk izin kades masih menunggu kades msih d luar kota,
15/09 proses perizinan kades Sumber Asri. (10/09) aanwijzing done, ")</f>
        <v>27/04 MASIH PROSES PENGECEKAN QE FEEDER, 22/04 PROSES PENGECEKAN QE FEEDER, 15/04 Prses QE Plan Finish W5 April 09/04 Prses QE Plan Finish W5 April 06/04 Proses QE melalui swakelola plan minggu ini ambil material 26/03 MASIH PROSES PENCARIAN CORE FEEDER, 25/03 BELUM ADA INFO TERKAIT KENDALA QE FEEDER, 21/03 MAU KOORDINASI DG TIM SEKTOR LINGGAU TERKAIT KENDALA QE FEEDER, 09/03 masih kendala QE FEEDER kabel 288, masih harus di usut. 03/03 masih kendala QE FEEDER kabel 288, masih harus di usut. (27/2) masih kendala QE FEEDER kabel 288, masih harus di usut.  22/2 masih kendala QE FEEDER kabel 288, masih harus di usut.  11/2 MASIH MENUNGGU PERBAIKAN  (31/1) belum ada info untuk perbaikan progress repair (28/1) konfirm tim mtc , plan progress qe minggu ini , est  31 jan (26/1) SELESAI FISIK, KENDALA BUTUH QE FEEDER ODC (24/1) kendala minol (21/01) selesai fisik, data abd belum masuk ke sdi, (06/01)order JPP batch-2 2026 (30/12 feeder reti butuh QE, 08/12 feeder reti butuh QE, 25/11 feeder reti butuh QE, 20/11 feeder reti butuh QE, 17/11 feeder reti butuh QE, (14/11) FEEDER KAP 24 - TERPAKAI  13 , SISA 9 ( LOSS 4 , REDTI 5 ) , PLAN PROGRESS SETELAH MARGASAKTI  (04/11) ODP Selesai, Feeder Riti (koordinasi dg MTC) (27/10) INSTALASI ODP 26/10 PENARIKAN KABEL 21/10 perapihan 08/10 material sdh d lokasi, menunggu antrian progres
(01/10) proses kirim material
(19/09) untuk izin kades masih menunggu kades msih d luar kota,
15/09 proses perizinan kades Sumber Asri. (10/09) aanwijzing done, </v>
      </c>
      <c r="R2061" s="228">
        <f>IFERROR(__xludf.DUMMYFUNCTION("""COMPUTED_VALUE"""),46141.0)</f>
        <v>46141</v>
      </c>
      <c r="S2061" s="11" t="str">
        <f>IFERROR(__xludf.DUMMYFUNCTION("""COMPUTED_VALUE"""),"APR")</f>
        <v>APR</v>
      </c>
      <c r="T2061" s="73" t="str">
        <f>IFERROR(__xludf.DUMMYFUNCTION("""COMPUTED_VALUE"""),"P1")</f>
        <v>P1</v>
      </c>
      <c r="U2061" s="11"/>
      <c r="V2061" s="229" t="str">
        <f>IFERROR(__xludf.DUMMYFUNCTION("""COMPUTED_VALUE"""),"PUTRA")</f>
        <v>PUTRA</v>
      </c>
      <c r="W2061" s="229"/>
      <c r="X2061" s="229" t="str">
        <f>IFERROR(__xludf.DUMMYFUNCTION("""COMPUTED_VALUE"""),"BELUM GOLIVE")</f>
        <v>BELUM GOLIVE</v>
      </c>
      <c r="Y2061" s="229"/>
      <c r="Z2061" s="229" t="str">
        <f>IFERROR(__xludf.DUMMYFUNCTION("""COMPUTED_VALUE"""),"#N/A")</f>
        <v>#N/A</v>
      </c>
      <c r="AA2061" s="229"/>
      <c r="AB2061" s="229"/>
      <c r="AC2061" s="229"/>
      <c r="AD2061" s="232"/>
      <c r="AE2061" s="233"/>
      <c r="AF2061" s="54"/>
      <c r="AG2061" s="54"/>
      <c r="AH2061" s="54">
        <v>46141.0</v>
      </c>
      <c r="AI2061" s="55" t="str">
        <f t="shared" si="202"/>
        <v/>
      </c>
      <c r="AW2061" s="234"/>
      <c r="BP2061" s="11"/>
      <c r="BQ2061" s="11"/>
      <c r="BR2061" s="235"/>
      <c r="BV2061" s="158"/>
      <c r="BY2061" s="158"/>
      <c r="CB2061" s="158"/>
    </row>
    <row r="2062" ht="18.0" hidden="1" customHeight="1">
      <c r="A2062" s="222">
        <f>IFERROR(__xludf.DUMMYFUNCTION("""COMPUTED_VALUE"""),2026.0)</f>
        <v>2026</v>
      </c>
      <c r="B2062" s="221">
        <f>IFERROR(__xludf.DUMMYFUNCTION("""COMPUTED_VALUE"""),1.0900527E7)</f>
        <v>10900527</v>
      </c>
      <c r="C2062" s="222" t="str">
        <f>IFERROR(__xludf.DUMMYFUNCTION("""COMPUTED_VALUE"""),"ACH PT3 KGH-FAR COT SEURANI")</f>
        <v>ACH PT3 KGH-FAR COT SEURANI</v>
      </c>
      <c r="D2062" s="222" t="str">
        <f>IFERROR(__xludf.DUMMYFUNCTION("""COMPUTED_VALUE"""),"REGIONAL I")</f>
        <v>REGIONAL I</v>
      </c>
      <c r="E2062" s="222" t="str">
        <f>IFERROR(__xludf.DUMMYFUNCTION("""COMPUTED_VALUE"""),"ACEH")</f>
        <v>ACEH</v>
      </c>
      <c r="F2062" s="222" t="str">
        <f>IFERROR(__xludf.DUMMYFUNCTION("""COMPUTED_VALUE"""),"KGH")</f>
        <v>KGH</v>
      </c>
      <c r="G2062" s="222" t="str">
        <f>IFERROR(__xludf.DUMMYFUNCTION("""COMPUTED_VALUE"""),"SUMBAGUT")</f>
        <v>SUMBAGUT</v>
      </c>
      <c r="H2062" s="222" t="str">
        <f>IFERROR(__xludf.DUMMYFUNCTION("""COMPUTED_VALUE"""),"BINJAI")</f>
        <v>BINJAI</v>
      </c>
      <c r="I2062" s="222" t="str">
        <f>IFERROR(__xludf.DUMMYFUNCTION("""COMPUTED_VALUE"""),"Batch 2")</f>
        <v>Batch 2</v>
      </c>
      <c r="J2062" s="225">
        <f>IFERROR(__xludf.DUMMYFUNCTION("""COMPUTED_VALUE"""),4.0)</f>
        <v>4</v>
      </c>
      <c r="K2062" s="224">
        <f>IFERROR(__xludf.DUMMYFUNCTION("""COMPUTED_VALUE"""),32.0)</f>
        <v>32</v>
      </c>
      <c r="L2062" s="226">
        <f>IFERROR(__xludf.DUMMYFUNCTION("""COMPUTED_VALUE"""),1568361.0)</f>
        <v>1568361</v>
      </c>
      <c r="M2062" s="227">
        <f>IFERROR(__xludf.DUMMYFUNCTION("""COMPUTED_VALUE"""),5.0187546E7)</f>
        <v>50187546</v>
      </c>
      <c r="N2062" s="222" t="str">
        <f>IFERROR(__xludf.DUMMYFUNCTION("""COMPUTED_VALUE"""),"PT MITRA AKSES INSANI")</f>
        <v>PT MITRA AKSES INSANI</v>
      </c>
      <c r="O2062" s="222" t="str">
        <f>IFERROR(__xludf.DUMMYFUNCTION("""COMPUTED_VALUE"""),"0. DROP")</f>
        <v>0. DROP</v>
      </c>
      <c r="P2062" s="222" t="str">
        <f>IFERROR(__xludf.DUMMYFUNCTION("""COMPUTED_VALUE"""),"0.4 CPP Tinggi Acc ED TIF")</f>
        <v>0.4 CPP Tinggi Acc ED TIF</v>
      </c>
      <c r="Q2062" s="222" t="str">
        <f>IFERROR(__xludf.DUMMYFUNCTION("""COMPUTED_VALUE"""),"(07/01) Persiapan")</f>
        <v>(07/01) Persiapan</v>
      </c>
      <c r="R2062" s="228"/>
      <c r="S2062" s="11"/>
      <c r="T2062" s="11"/>
      <c r="U2062" s="11"/>
      <c r="V2062" s="229"/>
      <c r="W2062" s="229"/>
      <c r="X2062" s="229" t="str">
        <f>IFERROR(__xludf.DUMMYFUNCTION("""COMPUTED_VALUE"""),"BELUM GOLIVE")</f>
        <v>BELUM GOLIVE</v>
      </c>
      <c r="Y2062" s="229"/>
      <c r="Z2062" s="229" t="str">
        <f>IFERROR(__xludf.DUMMYFUNCTION("""COMPUTED_VALUE"""),"#N/A")</f>
        <v>#N/A</v>
      </c>
      <c r="AA2062" s="229"/>
      <c r="AB2062" s="229"/>
      <c r="AC2062" s="229"/>
      <c r="AD2062" s="232"/>
      <c r="AE2062" s="233"/>
      <c r="AF2062" s="54" t="str">
        <f>IFERROR(__xludf.DUMMYFUNCTION("""COMPUTED_VALUE"""),"Draft BA DROP")</f>
        <v>Draft BA DROP</v>
      </c>
      <c r="AG2062" s="54"/>
      <c r="AH2062" s="54"/>
      <c r="AI2062" s="55" t="str">
        <f t="shared" si="202"/>
        <v/>
      </c>
      <c r="AW2062" s="234"/>
      <c r="BP2062" s="11"/>
      <c r="BQ2062" s="11"/>
      <c r="BR2062" s="235"/>
      <c r="BV2062" s="158"/>
      <c r="BY2062" s="158"/>
      <c r="CB2062" s="158"/>
    </row>
    <row r="2063" ht="18.0" hidden="1" customHeight="1">
      <c r="A2063" s="222">
        <f>IFERROR(__xludf.DUMMYFUNCTION("""COMPUTED_VALUE"""),2026.0)</f>
        <v>2026</v>
      </c>
      <c r="B2063" s="221">
        <f>IFERROR(__xludf.DUMMYFUNCTION("""COMPUTED_VALUE"""),1.0997406E7)</f>
        <v>10997406</v>
      </c>
      <c r="C2063" s="222" t="str">
        <f>IFERROR(__xludf.DUMMYFUNCTION("""COMPUTED_VALUE"""),"LPG PT3 JPP JL CENDANA HAJIMENA KDT")</f>
        <v>LPG PT3 JPP JL CENDANA HAJIMENA KDT</v>
      </c>
      <c r="D2063" s="222" t="str">
        <f>IFERROR(__xludf.DUMMYFUNCTION("""COMPUTED_VALUE"""),"REGIONAL I")</f>
        <v>REGIONAL I</v>
      </c>
      <c r="E2063" s="222" t="str">
        <f>IFERROR(__xludf.DUMMYFUNCTION("""COMPUTED_VALUE"""),"LAMPUNG")</f>
        <v>LAMPUNG</v>
      </c>
      <c r="F2063" s="222" t="str">
        <f>IFERROR(__xludf.DUMMYFUNCTION("""COMPUTED_VALUE"""),"KDT")</f>
        <v>KDT</v>
      </c>
      <c r="G2063" s="222" t="str">
        <f>IFERROR(__xludf.DUMMYFUNCTION("""COMPUTED_VALUE"""),"SUMBAGSEL")</f>
        <v>SUMBAGSEL</v>
      </c>
      <c r="H2063" s="222" t="str">
        <f>IFERROR(__xludf.DUMMYFUNCTION("""COMPUTED_VALUE"""),"LAMPUNG")</f>
        <v>LAMPUNG</v>
      </c>
      <c r="I2063" s="222" t="str">
        <f>IFERROR(__xludf.DUMMYFUNCTION("""COMPUTED_VALUE"""),"Batch 2")</f>
        <v>Batch 2</v>
      </c>
      <c r="J2063" s="225">
        <f>IFERROR(__xludf.DUMMYFUNCTION("""COMPUTED_VALUE"""),4.0)</f>
        <v>4</v>
      </c>
      <c r="K2063" s="224">
        <f>IFERROR(__xludf.DUMMYFUNCTION("""COMPUTED_VALUE"""),32.0)</f>
        <v>32</v>
      </c>
      <c r="L2063" s="226">
        <f>IFERROR(__xludf.DUMMYFUNCTION("""COMPUTED_VALUE"""),1569821.0)</f>
        <v>1569821</v>
      </c>
      <c r="M2063" s="227">
        <f>IFERROR(__xludf.DUMMYFUNCTION("""COMPUTED_VALUE"""),5.0234263E7)</f>
        <v>50234263</v>
      </c>
      <c r="N2063" s="222" t="str">
        <f>IFERROR(__xludf.DUMMYFUNCTION("""COMPUTED_VALUE"""),"PT BANGTELINDO")</f>
        <v>PT BANGTELINDO</v>
      </c>
      <c r="O2063" s="222" t="str">
        <f>IFERROR(__xludf.DUMMYFUNCTION("""COMPUTED_VALUE"""),"0. DROP")</f>
        <v>0. DROP</v>
      </c>
      <c r="P2063" s="222" t="str">
        <f>IFERROR(__xludf.DUMMYFUNCTION("""COMPUTED_VALUE"""),"0.2 Tidak Dapat Izin Warga/Kades/Lurah/Developer")</f>
        <v>0.2 Tidak Dapat Izin Warga/Kades/Lurah/Developer</v>
      </c>
      <c r="Q2063" s="222" t="str">
        <f>IFERROR(__xludf.DUMMYFUNCTION("""COMPUTED_VALUE"""),"21/01 kendala surat perkim 
19/1 proses pengacekan core dan perizinan")</f>
        <v>21/01 kendala surat perkim 
19/1 proses pengacekan core dan perizinan</v>
      </c>
      <c r="R2063" s="228"/>
      <c r="S2063" s="11"/>
      <c r="T2063" s="11"/>
      <c r="U2063" s="11"/>
      <c r="V2063" s="229"/>
      <c r="W2063" s="229"/>
      <c r="X2063" s="229" t="str">
        <f>IFERROR(__xludf.DUMMYFUNCTION("""COMPUTED_VALUE"""),"BELUM GOLIVE")</f>
        <v>BELUM GOLIVE</v>
      </c>
      <c r="Y2063" s="229"/>
      <c r="Z2063" s="229" t="str">
        <f>IFERROR(__xludf.DUMMYFUNCTION("""COMPUTED_VALUE"""),"#N/A")</f>
        <v>#N/A</v>
      </c>
      <c r="AA2063" s="229"/>
      <c r="AB2063" s="229"/>
      <c r="AC2063" s="229"/>
      <c r="AD2063" s="232"/>
      <c r="AE2063" s="233"/>
      <c r="AF2063" s="54" t="str">
        <f>IFERROR(__xludf.DUMMYFUNCTION("""COMPUTED_VALUE"""),"Draft BA DROP")</f>
        <v>Draft BA DROP</v>
      </c>
      <c r="AG2063" s="54"/>
      <c r="AH2063" s="54"/>
      <c r="AI2063" s="55" t="str">
        <f t="shared" si="202"/>
        <v/>
      </c>
      <c r="AW2063" s="234"/>
      <c r="BP2063" s="11"/>
      <c r="BQ2063" s="11"/>
      <c r="BR2063" s="235"/>
      <c r="BV2063" s="158"/>
      <c r="BY2063" s="158"/>
      <c r="CB2063" s="158"/>
    </row>
    <row r="2064" ht="18.0" customHeight="1">
      <c r="A2064" s="222">
        <f>IFERROR(__xludf.DUMMYFUNCTION("""COMPUTED_VALUE"""),2026.0)</f>
        <v>2026</v>
      </c>
      <c r="B2064" s="221">
        <f>IFERROR(__xludf.DUMMYFUNCTION("""COMPUTED_VALUE"""),1.1096659E7)</f>
        <v>11096659</v>
      </c>
      <c r="C2064" s="222" t="str">
        <f>IFERROR(__xludf.DUMMYFUNCTION("""COMPUTED_VALUE"""),"SMB JPP MD PDG_SUMATERA BARAT_15091")</f>
        <v>SMB JPP MD PDG_SUMATERA BARAT_15091</v>
      </c>
      <c r="D2064" s="222" t="str">
        <f>IFERROR(__xludf.DUMMYFUNCTION("""COMPUTED_VALUE"""),"REGIONAL I")</f>
        <v>REGIONAL I</v>
      </c>
      <c r="E2064" s="222" t="str">
        <f>IFERROR(__xludf.DUMMYFUNCTION("""COMPUTED_VALUE"""),"SUMBAR")</f>
        <v>SUMBAR</v>
      </c>
      <c r="F2064" s="222" t="str">
        <f>IFERROR(__xludf.DUMMYFUNCTION("""COMPUTED_VALUE"""),"SIE")</f>
        <v>SIE</v>
      </c>
      <c r="G2064" s="222" t="str">
        <f>IFERROR(__xludf.DUMMYFUNCTION("""COMPUTED_VALUE"""),"SUMBAGTENG")</f>
        <v>SUMBAGTENG</v>
      </c>
      <c r="H2064" s="222" t="str">
        <f>IFERROR(__xludf.DUMMYFUNCTION("""COMPUTED_VALUE"""),"PADANG")</f>
        <v>PADANG</v>
      </c>
      <c r="I2064" s="222" t="str">
        <f>IFERROR(__xludf.DUMMYFUNCTION("""COMPUTED_VALUE"""),"Batch 2")</f>
        <v>Batch 2</v>
      </c>
      <c r="J2064" s="225">
        <f>IFERROR(__xludf.DUMMYFUNCTION("""COMPUTED_VALUE"""),2.0)</f>
        <v>2</v>
      </c>
      <c r="K2064" s="224">
        <f>IFERROR(__xludf.DUMMYFUNCTION("""COMPUTED_VALUE"""),16.0)</f>
        <v>16</v>
      </c>
      <c r="L2064" s="226">
        <f>IFERROR(__xludf.DUMMYFUNCTION("""COMPUTED_VALUE"""),1569861.0)</f>
        <v>1569861</v>
      </c>
      <c r="M2064" s="227">
        <f>IFERROR(__xludf.DUMMYFUNCTION("""COMPUTED_VALUE"""),2.5117764E7)</f>
        <v>25117764</v>
      </c>
      <c r="N2064" s="222" t="str">
        <f>IFERROR(__xludf.DUMMYFUNCTION("""COMPUTED_VALUE"""),"PT GARINDO TECHNO MANDIRI")</f>
        <v>PT GARINDO TECHNO MANDIRI</v>
      </c>
      <c r="O2064" s="222" t="str">
        <f>IFERROR(__xludf.DUMMYFUNCTION("""COMPUTED_VALUE"""),"0. DROP")</f>
        <v>0. DROP</v>
      </c>
      <c r="P2064" s="222" t="str">
        <f>IFERROR(__xludf.DUMMYFUNCTION("""COMPUTED_VALUE"""),"0.3 Feeder Full")</f>
        <v>0.3 Feeder Full</v>
      </c>
      <c r="Q2064" s="222" t="str">
        <f>IFERROR(__xludf.DUMMYFUNCTION("""COMPUTED_VALUE""")," (26/01) kendala feeder SIE-FF FULL ")</f>
        <v> (26/01) kendala feeder SIE-FF FULL </v>
      </c>
      <c r="R2064" s="228"/>
      <c r="S2064" s="11"/>
      <c r="T2064" s="11"/>
      <c r="U2064" s="11"/>
      <c r="V2064" s="229"/>
      <c r="W2064" s="229"/>
      <c r="X2064" s="229" t="str">
        <f>IFERROR(__xludf.DUMMYFUNCTION("""COMPUTED_VALUE"""),"BELUM GOLIVE")</f>
        <v>BELUM GOLIVE</v>
      </c>
      <c r="Y2064" s="229"/>
      <c r="Z2064" s="229" t="str">
        <f>IFERROR(__xludf.DUMMYFUNCTION("""COMPUTED_VALUE"""),"#N/A")</f>
        <v>#N/A</v>
      </c>
      <c r="AA2064" s="229"/>
      <c r="AB2064" s="229"/>
      <c r="AC2064" s="229"/>
      <c r="AD2064" s="232"/>
      <c r="AE2064" s="233"/>
      <c r="AF2064" s="54" t="str">
        <f>IFERROR(__xludf.DUMMYFUNCTION("""COMPUTED_VALUE"""),"Draft BA DROP")</f>
        <v>Draft BA DROP</v>
      </c>
      <c r="AG2064" s="54"/>
      <c r="AH2064" s="54"/>
      <c r="AI2064" s="55" t="str">
        <f t="shared" si="202"/>
        <v/>
      </c>
      <c r="AW2064" s="234"/>
      <c r="BP2064" s="11"/>
      <c r="BQ2064" s="11"/>
      <c r="BR2064" s="235"/>
      <c r="BV2064" s="158"/>
      <c r="BY2064" s="158"/>
      <c r="CB2064" s="158"/>
    </row>
    <row r="2065" ht="18.0" hidden="1" customHeight="1">
      <c r="A2065" s="222">
        <f>IFERROR(__xludf.DUMMYFUNCTION("""COMPUTED_VALUE"""),2026.0)</f>
        <v>2026</v>
      </c>
      <c r="B2065" s="221">
        <f>IFERROR(__xludf.DUMMYFUNCTION("""COMPUTED_VALUE"""),1.148751E7)</f>
        <v>11487510</v>
      </c>
      <c r="C2065" s="222" t="str">
        <f>IFERROR(__xludf.DUMMYFUNCTION("""COMPUTED_VALUE"""),"BNK-PT4-BNC-FEA-JPPTSEL- MALABERO")</f>
        <v>BNK-PT4-BNC-FEA-JPPTSEL- MALABERO</v>
      </c>
      <c r="D2065" s="222" t="str">
        <f>IFERROR(__xludf.DUMMYFUNCTION("""COMPUTED_VALUE"""),"REGIONAL I")</f>
        <v>REGIONAL I</v>
      </c>
      <c r="E2065" s="222" t="str">
        <f>IFERROR(__xludf.DUMMYFUNCTION("""COMPUTED_VALUE"""),"BENGKULU")</f>
        <v>BENGKULU</v>
      </c>
      <c r="F2065" s="222" t="str">
        <f>IFERROR(__xludf.DUMMYFUNCTION("""COMPUTED_VALUE"""),"BNC")</f>
        <v>BNC</v>
      </c>
      <c r="G2065" s="222" t="str">
        <f>IFERROR(__xludf.DUMMYFUNCTION("""COMPUTED_VALUE"""),"SUMBAGSEL")</f>
        <v>SUMBAGSEL</v>
      </c>
      <c r="H2065" s="222" t="str">
        <f>IFERROR(__xludf.DUMMYFUNCTION("""COMPUTED_VALUE"""),"BENGKULU")</f>
        <v>BENGKULU</v>
      </c>
      <c r="I2065" s="222" t="str">
        <f>IFERROR(__xludf.DUMMYFUNCTION("""COMPUTED_VALUE"""),"Batch 2")</f>
        <v>Batch 2</v>
      </c>
      <c r="J2065" s="225">
        <f>IFERROR(__xludf.DUMMYFUNCTION("""COMPUTED_VALUE"""),13.0)</f>
        <v>13</v>
      </c>
      <c r="K2065" s="224">
        <f>IFERROR(__xludf.DUMMYFUNCTION("""COMPUTED_VALUE"""),104.0)</f>
        <v>104</v>
      </c>
      <c r="L2065" s="226">
        <f>IFERROR(__xludf.DUMMYFUNCTION("""COMPUTED_VALUE"""),1572250.0)</f>
        <v>1572250</v>
      </c>
      <c r="M2065" s="227">
        <f>IFERROR(__xludf.DUMMYFUNCTION("""COMPUTED_VALUE"""),1.63513937E8)</f>
        <v>163513937</v>
      </c>
      <c r="N2065" s="222" t="str">
        <f>IFERROR(__xludf.DUMMYFUNCTION("""COMPUTED_VALUE"""),"SWAKELOLA")</f>
        <v>SWAKELOLA</v>
      </c>
      <c r="O2065" s="222" t="str">
        <f>IFERROR(__xludf.DUMMYFUNCTION("""COMPUTED_VALUE"""),"0. DROP")</f>
        <v>0. DROP</v>
      </c>
      <c r="P2065" s="222" t="str">
        <f>IFERROR(__xludf.DUMMYFUNCTION("""COMPUTED_VALUE"""),"0.2 Tidak Dapat Izin Warga/Kades/Lurah/Developer")</f>
        <v>0.2 Tidak Dapat Izin Warga/Kades/Lurah/Developer</v>
      </c>
      <c r="Q2065" s="222" t="str">
        <f>IFERROR(__xludf.DUMMYFUNCTION("""COMPUTED_VALUE"""),"22/2 tidak mendapat IZIN 23/01 : Drop by TSEL")</f>
        <v>22/2 tidak mendapat IZIN 23/01 : Drop by TSEL</v>
      </c>
      <c r="R2065" s="228"/>
      <c r="S2065" s="11"/>
      <c r="T2065" s="11"/>
      <c r="U2065" s="11"/>
      <c r="V2065" s="229"/>
      <c r="W2065" s="229"/>
      <c r="X2065" s="229" t="str">
        <f>IFERROR(__xludf.DUMMYFUNCTION("""COMPUTED_VALUE"""),"BELUM GOLIVE")</f>
        <v>BELUM GOLIVE</v>
      </c>
      <c r="Y2065" s="229"/>
      <c r="Z2065" s="229" t="str">
        <f>IFERROR(__xludf.DUMMYFUNCTION("""COMPUTED_VALUE"""),"#N/A")</f>
        <v>#N/A</v>
      </c>
      <c r="AA2065" s="229"/>
      <c r="AB2065" s="229"/>
      <c r="AC2065" s="229"/>
      <c r="AD2065" s="232"/>
      <c r="AE2065" s="233"/>
      <c r="AF2065" s="54" t="str">
        <f>IFERROR(__xludf.DUMMYFUNCTION("""COMPUTED_VALUE"""),"Draft BA DROP")</f>
        <v>Draft BA DROP</v>
      </c>
      <c r="AG2065" s="54"/>
      <c r="AH2065" s="54"/>
      <c r="AI2065" s="55" t="str">
        <f t="shared" si="202"/>
        <v/>
      </c>
      <c r="AW2065" s="234"/>
      <c r="BP2065" s="11"/>
      <c r="BQ2065" s="11"/>
      <c r="BR2065" s="235"/>
      <c r="BV2065" s="158"/>
      <c r="BY2065" s="158"/>
      <c r="CB2065" s="158"/>
    </row>
    <row r="2066" ht="18.0" hidden="1" customHeight="1">
      <c r="A2066" s="222">
        <f>IFERROR(__xludf.DUMMYFUNCTION("""COMPUTED_VALUE"""),2026.0)</f>
        <v>2026</v>
      </c>
      <c r="B2066" s="221">
        <f>IFERROR(__xludf.DUMMYFUNCTION("""COMPUTED_VALUE"""),1.1619436E7)</f>
        <v>11619436</v>
      </c>
      <c r="C2066" s="222" t="str">
        <f>IFERROR(__xludf.DUMMYFUNCTION("""COMPUTED_VALUE"""),"MDN PT3 SPM-FCU ASRAMA WIDURI_MD25")</f>
        <v>MDN PT3 SPM-FCU ASRAMA WIDURI_MD25</v>
      </c>
      <c r="D2066" s="222" t="str">
        <f>IFERROR(__xludf.DUMMYFUNCTION("""COMPUTED_VALUE"""),"REGIONAL I")</f>
        <v>REGIONAL I</v>
      </c>
      <c r="E2066" s="222" t="str">
        <f>IFERROR(__xludf.DUMMYFUNCTION("""COMPUTED_VALUE"""),"MEDAN")</f>
        <v>MEDAN</v>
      </c>
      <c r="F2066" s="222" t="str">
        <f>IFERROR(__xludf.DUMMYFUNCTION("""COMPUTED_VALUE"""),"SPM")</f>
        <v>SPM</v>
      </c>
      <c r="G2066" s="222" t="str">
        <f>IFERROR(__xludf.DUMMYFUNCTION("""COMPUTED_VALUE"""),"SUMBAGUT")</f>
        <v>SUMBAGUT</v>
      </c>
      <c r="H2066" s="222" t="str">
        <f>IFERROR(__xludf.DUMMYFUNCTION("""COMPUTED_VALUE"""),"MEDAN")</f>
        <v>MEDAN</v>
      </c>
      <c r="I2066" s="222" t="str">
        <f>IFERROR(__xludf.DUMMYFUNCTION("""COMPUTED_VALUE"""),"Batch 2")</f>
        <v>Batch 2</v>
      </c>
      <c r="J2066" s="225">
        <f>IFERROR(__xludf.DUMMYFUNCTION("""COMPUTED_VALUE"""),3.0)</f>
        <v>3</v>
      </c>
      <c r="K2066" s="224">
        <f>IFERROR(__xludf.DUMMYFUNCTION("""COMPUTED_VALUE"""),24.0)</f>
        <v>24</v>
      </c>
      <c r="L2066" s="226">
        <f>IFERROR(__xludf.DUMMYFUNCTION("""COMPUTED_VALUE"""),553099.0)</f>
        <v>553099</v>
      </c>
      <c r="M2066" s="227">
        <f>IFERROR(__xludf.DUMMYFUNCTION("""COMPUTED_VALUE"""),1.3274374E7)</f>
        <v>13274374</v>
      </c>
      <c r="N2066" s="222" t="str">
        <f>IFERROR(__xludf.DUMMYFUNCTION("""COMPUTED_VALUE"""),"PT BENWA  MITRA PRATAMA")</f>
        <v>PT BENWA  MITRA PRATAMA</v>
      </c>
      <c r="O2066" s="222" t="str">
        <f>IFERROR(__xludf.DUMMYFUNCTION("""COMPUTED_VALUE"""),"4. MATDEL")</f>
        <v>4. MATDEL</v>
      </c>
      <c r="P2066" s="222" t="str">
        <f>IFERROR(__xludf.DUMMYFUNCTION("""COMPUTED_VALUE"""),"4.2 Sudah Request Material (Alista)")</f>
        <v>4.2 Sudah Request Material (Alista)</v>
      </c>
      <c r="Q2066" s="222" t="str">
        <f>IFERROR(__xludf.DUMMYFUNCTION("""COMPUTED_VALUE"""),"21/04 pengambilan material manual 20/04 Commcase approved, lanjut progress 
15/04 pengurusan perizinan 09/04 butuh review hasil redesign 04/04 pengajuan new DS, DS eksisting tidak tembus 02/04 alih mitra ke BENWA 10/03 komitmen hasil aanwidzing (18/03) 18"&amp;"/02 Pengecekan DS 12/02 Done Order")</f>
        <v>21/04 pengambilan material manual 20/04 Commcase approved, lanjut progress 
15/04 pengurusan perizinan 09/04 butuh review hasil redesign 04/04 pengajuan new DS, DS eksisting tidak tembus 02/04 alih mitra ke BENWA 10/03 komitmen hasil aanwidzing (18/03) 18/02 Pengecekan DS 12/02 Done Order</v>
      </c>
      <c r="R2066" s="228">
        <f>IFERROR(__xludf.DUMMYFUNCTION("""COMPUTED_VALUE"""),46140.0)</f>
        <v>46140</v>
      </c>
      <c r="S2066" s="11"/>
      <c r="T2066" s="73"/>
      <c r="U2066" s="11"/>
      <c r="V2066" s="229" t="str">
        <f>IFERROR(__xludf.DUMMYFUNCTION("""COMPUTED_VALUE"""),"29/Apr/2026")</f>
        <v>29/Apr/2026</v>
      </c>
      <c r="W2066" s="229"/>
      <c r="X2066" s="229" t="str">
        <f>IFERROR(__xludf.DUMMYFUNCTION("""COMPUTED_VALUE"""),"BELUM GOLIVE")</f>
        <v>BELUM GOLIVE</v>
      </c>
      <c r="Y2066" s="229"/>
      <c r="Z2066" s="229" t="str">
        <f>IFERROR(__xludf.DUMMYFUNCTION("""COMPUTED_VALUE"""),"#N/A")</f>
        <v>#N/A</v>
      </c>
      <c r="AA2066" s="229"/>
      <c r="AB2066" s="229"/>
      <c r="AC2066" s="229"/>
      <c r="AD2066" s="232"/>
      <c r="AE2066" s="233"/>
      <c r="AF2066" s="54"/>
      <c r="AG2066" s="54"/>
      <c r="AH2066" s="54"/>
      <c r="AI2066" s="55" t="str">
        <f t="shared" si="202"/>
        <v/>
      </c>
      <c r="AW2066" s="234"/>
      <c r="BP2066" s="11"/>
      <c r="BQ2066" s="11"/>
      <c r="BR2066" s="235"/>
      <c r="BV2066" s="158"/>
      <c r="BY2066" s="158"/>
      <c r="CB2066" s="158"/>
    </row>
    <row r="2067" ht="18.0" hidden="1" customHeight="1">
      <c r="A2067" s="222">
        <f>IFERROR(__xludf.DUMMYFUNCTION("""COMPUTED_VALUE"""),2026.0)</f>
        <v>2026</v>
      </c>
      <c r="B2067" s="221">
        <f>IFERROR(__xludf.DUMMYFUNCTION("""COMPUTED_VALUE"""),1.1518072E7)</f>
        <v>11518072</v>
      </c>
      <c r="C2067" s="222" t="str">
        <f>IFERROR(__xludf.DUMMYFUNCTION("""COMPUTED_VALUE"""),"SMU NTL-FAB CLUST TABUYUNG")</f>
        <v>SMU NTL-FAB CLUST TABUYUNG</v>
      </c>
      <c r="D2067" s="222" t="str">
        <f>IFERROR(__xludf.DUMMYFUNCTION("""COMPUTED_VALUE"""),"REGIONAL I")</f>
        <v>REGIONAL I</v>
      </c>
      <c r="E2067" s="222" t="str">
        <f>IFERROR(__xludf.DUMMYFUNCTION("""COMPUTED_VALUE"""),"SUMUT")</f>
        <v>SUMUT</v>
      </c>
      <c r="F2067" s="222" t="str">
        <f>IFERROR(__xludf.DUMMYFUNCTION("""COMPUTED_VALUE"""),"PYB")</f>
        <v>PYB</v>
      </c>
      <c r="G2067" s="222" t="str">
        <f>IFERROR(__xludf.DUMMYFUNCTION("""COMPUTED_VALUE"""),"SUMBAGUT")</f>
        <v>SUMBAGUT</v>
      </c>
      <c r="H2067" s="222" t="str">
        <f>IFERROR(__xludf.DUMMYFUNCTION("""COMPUTED_VALUE"""),"PADANG SIDEMPUAN")</f>
        <v>PADANG SIDEMPUAN</v>
      </c>
      <c r="I2067" s="222" t="str">
        <f>IFERROR(__xludf.DUMMYFUNCTION("""COMPUTED_VALUE"""),"Batch 2")</f>
        <v>Batch 2</v>
      </c>
      <c r="J2067" s="225">
        <f>IFERROR(__xludf.DUMMYFUNCTION("""COMPUTED_VALUE"""),21.0)</f>
        <v>21</v>
      </c>
      <c r="K2067" s="224">
        <f>IFERROR(__xludf.DUMMYFUNCTION("""COMPUTED_VALUE"""),160.0)</f>
        <v>160</v>
      </c>
      <c r="L2067" s="226">
        <f>IFERROR(__xludf.DUMMYFUNCTION("""COMPUTED_VALUE"""),1573782.0)</f>
        <v>1573782</v>
      </c>
      <c r="M2067" s="227">
        <f>IFERROR(__xludf.DUMMYFUNCTION("""COMPUTED_VALUE"""),2.51805005E8)</f>
        <v>251805005</v>
      </c>
      <c r="N2067" s="222" t="str">
        <f>IFERROR(__xludf.DUMMYFUNCTION("""COMPUTED_VALUE"""),"PT ARTHA MANDIRI BERSAMA")</f>
        <v>PT ARTHA MANDIRI BERSAMA</v>
      </c>
      <c r="O2067" s="222" t="str">
        <f>IFERROR(__xludf.DUMMYFUNCTION("""COMPUTED_VALUE"""),"7. GOLIVE")</f>
        <v>7. GOLIVE</v>
      </c>
      <c r="P2067" s="222" t="str">
        <f>IFERROR(__xludf.DUMMYFUNCTION("""COMPUTED_VALUE"""),"7.1 Golive Parsial")</f>
        <v>7.1 Golive Parsial</v>
      </c>
      <c r="Q2067" s="222" t="str">
        <f>IFERROR(__xludf.DUMMYFUNCTION("""COMPUTED_VALUE"""),"full golive 6/2 Golive partial sisa 1 ODP-NTL-FAB-033 rusak, 5/2 progres valins odp oleh waspang,  3/2 sudah submit abd sisa valins odp, 2/2 sudah submit abd sisa valins odp, 1/2 sudah submit abd sisa valins odp, 30/1 sisa jumper paralel valins odp, 28/1 "&amp;"sisa jumper paralel valins odp,27/1 sisa jumper dan valisn odp, 26/1 sisa valins  ( kendala sistem masih eror), 23/1 plan team kelokasi sabtu 24/1 untuk lanjut progres penambahan 300m ( imbas posisi site/mini olt pindah),(menunggu mini olt) , 22/1 menungg"&amp;"u mini olt, paralel prepair team untuk lanjut progres penambahan 300m ( imbas posisi site/mini olt pindah),21/1 menunggu mini olt, paralel prepair team untuk lanjut progres penambahan 300m ( imbas posisi site/mini olt pindah),  19/1 menunggu mini olt, par"&amp;"alel menunggu info dari tif terkait adanya penambaha kabel dan tiang  imbas pemindahan site mini olt, 15/01 menunggu mini olt, 14/01 menunggu mini olt, 13/1 menunggu mini olt, (07/01) Persiapan")</f>
        <v>full golive 6/2 Golive partial sisa 1 ODP-NTL-FAB-033 rusak, 5/2 progres valins odp oleh waspang,  3/2 sudah submit abd sisa valins odp, 2/2 sudah submit abd sisa valins odp, 1/2 sudah submit abd sisa valins odp, 30/1 sisa jumper paralel valins odp, 28/1 sisa jumper paralel valins odp,27/1 sisa jumper dan valisn odp, 26/1 sisa valins  ( kendala sistem masih eror), 23/1 plan team kelokasi sabtu 24/1 untuk lanjut progres penambahan 300m ( imbas posisi site/mini olt pindah),(menunggu mini olt) , 22/1 menunggu mini olt, paralel prepair team untuk lanjut progres penambahan 300m ( imbas posisi site/mini olt pindah),21/1 menunggu mini olt, paralel prepair team untuk lanjut progres penambahan 300m ( imbas posisi site/mini olt pindah),  19/1 menunggu mini olt, paralel menunggu info dari tif terkait adanya penambaha kabel dan tiang  imbas pemindahan site mini olt, 15/01 menunggu mini olt, 14/01 menunggu mini olt, 13/1 menunggu mini olt, (07/01) Persiapan</v>
      </c>
      <c r="R2067" s="228">
        <f>IFERROR(__xludf.DUMMYFUNCTION("""COMPUTED_VALUE"""),46059.0)</f>
        <v>46059</v>
      </c>
      <c r="S2067" s="11"/>
      <c r="T2067" s="11"/>
      <c r="U2067" s="11" t="str">
        <f>IFERROR(__xludf.DUMMYFUNCTION("""COMPUTED_VALUE"""),"W03-1618/2025")</f>
        <v>W03-1618/2025</v>
      </c>
      <c r="V2067" s="229"/>
      <c r="W2067" s="229"/>
      <c r="X2067" s="229" t="str">
        <f>IFERROR(__xludf.DUMMYFUNCTION("""COMPUTED_VALUE"""),"GOLIVE")</f>
        <v>GOLIVE</v>
      </c>
      <c r="Y2067" s="229" t="str">
        <f>IFERROR(__xludf.DUMMYFUNCTION("""COMPUTED_VALUE"""),"DONE")</f>
        <v>DONE</v>
      </c>
      <c r="Z2067" s="229" t="str">
        <f>IFERROR(__xludf.DUMMYFUNCTION("""COMPUTED_VALUE"""),"5. Done Integrasi")</f>
        <v>5. Done Integrasi</v>
      </c>
      <c r="AA2067" s="229">
        <f>IFERROR(__xludf.DUMMYFUNCTION("""COMPUTED_VALUE"""),20.0)</f>
        <v>20</v>
      </c>
      <c r="AB2067" s="229"/>
      <c r="AC2067" s="229" t="str">
        <f>IFERROR(__xludf.DUMMYFUNCTION("""COMPUTED_VALUE"""),"9051309#9051314")</f>
        <v>9051309#9051314</v>
      </c>
      <c r="AD2067" s="232">
        <f>IFERROR(__xludf.DUMMYFUNCTION("""COMPUTED_VALUE"""),160.0)</f>
        <v>160</v>
      </c>
      <c r="AE2067" s="233">
        <f>IFERROR(__xludf.DUMMYFUNCTION("""COMPUTED_VALUE"""),46059.0)</f>
        <v>46059</v>
      </c>
      <c r="AF2067" s="54"/>
      <c r="AG2067" s="54"/>
      <c r="AH2067" s="54">
        <v>46059.0</v>
      </c>
      <c r="AI2067" s="55">
        <f t="shared" si="202"/>
        <v>0</v>
      </c>
      <c r="AW2067" s="234"/>
      <c r="BP2067" s="11"/>
      <c r="BQ2067" s="11"/>
      <c r="BR2067" s="235"/>
      <c r="BV2067" s="158"/>
      <c r="BY2067" s="158"/>
      <c r="CB2067" s="158"/>
    </row>
    <row r="2068" ht="18.0" customHeight="1">
      <c r="A2068" s="222">
        <f>IFERROR(__xludf.DUMMYFUNCTION("""COMPUTED_VALUE"""),2026.0)</f>
        <v>2026</v>
      </c>
      <c r="B2068" s="221">
        <f>IFERROR(__xludf.DUMMYFUNCTION("""COMPUTED_VALUE"""),1.1346282E7)</f>
        <v>11346282</v>
      </c>
      <c r="C2068" s="222" t="str">
        <f>IFERROR(__xludf.DUMMYFUNCTION("""COMPUTED_VALUE"""),"RDR JPP PT4 Lubuk Jawi")</f>
        <v>RDR JPP PT4 Lubuk Jawi</v>
      </c>
      <c r="D2068" s="222" t="str">
        <f>IFERROR(__xludf.DUMMYFUNCTION("""COMPUTED_VALUE"""),"REGIONAL I")</f>
        <v>REGIONAL I</v>
      </c>
      <c r="E2068" s="222" t="str">
        <f>IFERROR(__xludf.DUMMYFUNCTION("""COMPUTED_VALUE"""),"RIDAR")</f>
        <v>RIDAR</v>
      </c>
      <c r="F2068" s="222" t="str">
        <f>IFERROR(__xludf.DUMMYFUNCTION("""COMPUTED_VALUE"""),"BGU")</f>
        <v>BGU</v>
      </c>
      <c r="G2068" s="222" t="str">
        <f>IFERROR(__xludf.DUMMYFUNCTION("""COMPUTED_VALUE"""),"SUMBAGTENG")</f>
        <v>SUMBAGTENG</v>
      </c>
      <c r="H2068" s="222" t="str">
        <f>IFERROR(__xludf.DUMMYFUNCTION("""COMPUTED_VALUE"""),"DUMAI")</f>
        <v>DUMAI</v>
      </c>
      <c r="I2068" s="222" t="str">
        <f>IFERROR(__xludf.DUMMYFUNCTION("""COMPUTED_VALUE"""),"Batch 2")</f>
        <v>Batch 2</v>
      </c>
      <c r="J2068" s="225">
        <f>IFERROR(__xludf.DUMMYFUNCTION("""COMPUTED_VALUE"""),21.0)</f>
        <v>21</v>
      </c>
      <c r="K2068" s="224">
        <f>IFERROR(__xludf.DUMMYFUNCTION("""COMPUTED_VALUE"""),160.0)</f>
        <v>160</v>
      </c>
      <c r="L2068" s="226">
        <f>IFERROR(__xludf.DUMMYFUNCTION("""COMPUTED_VALUE"""),1575030.0)</f>
        <v>1575030</v>
      </c>
      <c r="M2068" s="227">
        <f>IFERROR(__xludf.DUMMYFUNCTION("""COMPUTED_VALUE"""),2.52004753E8)</f>
        <v>252004753</v>
      </c>
      <c r="N2068" s="222" t="str">
        <f>IFERROR(__xludf.DUMMYFUNCTION("""COMPUTED_VALUE"""),"PT DWI MITRA JAYA UTAMA")</f>
        <v>PT DWI MITRA JAYA UTAMA</v>
      </c>
      <c r="O2068" s="222" t="str">
        <f>IFERROR(__xludf.DUMMYFUNCTION("""COMPUTED_VALUE"""),"7. GOLIVE")</f>
        <v>7. GOLIVE</v>
      </c>
      <c r="P2068" s="222" t="str">
        <f>IFERROR(__xludf.DUMMYFUNCTION("""COMPUTED_VALUE"""),"7.2 Golive Full / OA / DONE OTB")</f>
        <v>7.2 Golive Full / OA / DONE OTB</v>
      </c>
      <c r="Q2068" s="222" t="str">
        <f>IFERROR(__xludf.DUMMYFUNCTION("""COMPUTED_VALUE"""),"(07/01) Persiapan")</f>
        <v>(07/01) Persiapan</v>
      </c>
      <c r="R2068" s="228"/>
      <c r="S2068" s="11"/>
      <c r="T2068" s="11"/>
      <c r="U2068" s="11" t="str">
        <f>IFERROR(__xludf.DUMMYFUNCTION("""COMPUTED_VALUE"""),"W08-720/2025")</f>
        <v>W08-720/2025</v>
      </c>
      <c r="V2068" s="229" t="str">
        <f>IFERROR(__xludf.DUMMYFUNCTION("""COMPUTED_VALUE"""),"ADIL WAHYUDI")</f>
        <v>ADIL WAHYUDI</v>
      </c>
      <c r="W2068" s="229" t="str">
        <f>IFERROR(__xludf.DUMMYFUNCTION("""COMPUTED_VALUE"""),"ANZALA SAKINAH")</f>
        <v>ANZALA SAKINAH</v>
      </c>
      <c r="X2068" s="229" t="str">
        <f>IFERROR(__xludf.DUMMYFUNCTION("""COMPUTED_VALUE"""),"GOLIVE")</f>
        <v>GOLIVE</v>
      </c>
      <c r="Y2068" s="229" t="str">
        <f>IFERROR(__xludf.DUMMYFUNCTION("""COMPUTED_VALUE"""),"DONE")</f>
        <v>DONE</v>
      </c>
      <c r="Z2068" s="229" t="str">
        <f>IFERROR(__xludf.DUMMYFUNCTION("""COMPUTED_VALUE"""),"5. Done Integrasi")</f>
        <v>5. Done Integrasi</v>
      </c>
      <c r="AA2068" s="229">
        <f>IFERROR(__xludf.DUMMYFUNCTION("""COMPUTED_VALUE"""),20.0)</f>
        <v>20</v>
      </c>
      <c r="AB2068" s="229"/>
      <c r="AC2068" s="229" t="str">
        <f>IFERROR(__xludf.DUMMYFUNCTION("""COMPUTED_VALUE"""),"8923690#8923695")</f>
        <v>8923690#8923695</v>
      </c>
      <c r="AD2068" s="232">
        <f>IFERROR(__xludf.DUMMYFUNCTION("""COMPUTED_VALUE"""),160.0)</f>
        <v>160</v>
      </c>
      <c r="AE2068" s="233">
        <f>IFERROR(__xludf.DUMMYFUNCTION("""COMPUTED_VALUE"""),46030.0)</f>
        <v>46030</v>
      </c>
      <c r="AF2068" s="54"/>
      <c r="AG2068" s="54"/>
      <c r="AH2068" s="54"/>
      <c r="AI2068" s="55" t="str">
        <f>IF(OR(AH2068="",AE2068=""),"",AH2068-AE2068)</f>
        <v/>
      </c>
      <c r="AW2068" s="234"/>
      <c r="BP2068" s="11"/>
      <c r="BQ2068" s="11"/>
      <c r="BR2068" s="235"/>
      <c r="BV2068" s="158"/>
      <c r="BY2068" s="158"/>
      <c r="CB2068" s="158"/>
    </row>
    <row r="2069" ht="18.0" hidden="1" customHeight="1">
      <c r="A2069" s="222">
        <f>IFERROR(__xludf.DUMMYFUNCTION("""COMPUTED_VALUE"""),2026.0)</f>
        <v>2026</v>
      </c>
      <c r="B2069" s="221">
        <f>IFERROR(__xludf.DUMMYFUNCTION("""COMPUTED_VALUE"""),1.127243E7)</f>
        <v>11272430</v>
      </c>
      <c r="C2069" s="222" t="str">
        <f>IFERROR(__xludf.DUMMYFUNCTION("""COMPUTED_VALUE"""),"MDN PT3 P1I1 BJI-FAD JL.DANAU TEMPE 3")</f>
        <v>MDN PT3 P1I1 BJI-FAD JL.DANAU TEMPE 3</v>
      </c>
      <c r="D2069" s="222" t="str">
        <f>IFERROR(__xludf.DUMMYFUNCTION("""COMPUTED_VALUE"""),"REGIONAL I")</f>
        <v>REGIONAL I</v>
      </c>
      <c r="E2069" s="222" t="str">
        <f>IFERROR(__xludf.DUMMYFUNCTION("""COMPUTED_VALUE"""),"MEDAN")</f>
        <v>MEDAN</v>
      </c>
      <c r="F2069" s="222" t="str">
        <f>IFERROR(__xludf.DUMMYFUNCTION("""COMPUTED_VALUE"""),"BJI")</f>
        <v>BJI</v>
      </c>
      <c r="G2069" s="222" t="str">
        <f>IFERROR(__xludf.DUMMYFUNCTION("""COMPUTED_VALUE"""),"SUMBAGUT")</f>
        <v>SUMBAGUT</v>
      </c>
      <c r="H2069" s="222" t="str">
        <f>IFERROR(__xludf.DUMMYFUNCTION("""COMPUTED_VALUE"""),"BINJAI")</f>
        <v>BINJAI</v>
      </c>
      <c r="I2069" s="222" t="str">
        <f>IFERROR(__xludf.DUMMYFUNCTION("""COMPUTED_VALUE"""),"Batch 2")</f>
        <v>Batch 2</v>
      </c>
      <c r="J2069" s="225">
        <f>IFERROR(__xludf.DUMMYFUNCTION("""COMPUTED_VALUE"""),12.0)</f>
        <v>12</v>
      </c>
      <c r="K2069" s="224">
        <f>IFERROR(__xludf.DUMMYFUNCTION("""COMPUTED_VALUE"""),96.0)</f>
        <v>96</v>
      </c>
      <c r="L2069" s="226">
        <f>IFERROR(__xludf.DUMMYFUNCTION("""COMPUTED_VALUE"""),716043.0)</f>
        <v>716043</v>
      </c>
      <c r="M2069" s="227">
        <f>IFERROR(__xludf.DUMMYFUNCTION("""COMPUTED_VALUE"""),6.8740054E7)</f>
        <v>68740054</v>
      </c>
      <c r="N2069" s="222" t="str">
        <f>IFERROR(__xludf.DUMMYFUNCTION("""COMPUTED_VALUE"""),"PT FIBERHOME TECHNOLOGIES INDONESIA")</f>
        <v>PT FIBERHOME TECHNOLOGIES INDONESIA</v>
      </c>
      <c r="O2069" s="222" t="str">
        <f>IFERROR(__xludf.DUMMYFUNCTION("""COMPUTED_VALUE"""),"7. GOLIVE")</f>
        <v>7. GOLIVE</v>
      </c>
      <c r="P2069" s="222" t="str">
        <f>IFERROR(__xludf.DUMMYFUNCTION("""COMPUTED_VALUE"""),"7.2 Golive Full / OA / DONE OTB")</f>
        <v>7.2 Golive Full / OA / DONE OTB</v>
      </c>
      <c r="Q2069" s="222" t="str">
        <f>IFERROR(__xludf.DUMMYFUNCTION("""COMPUTED_VALUE"""),"09/04 penarikan kabel kabel 31/03 penarikan sampai ODC (07/01) Persiapan")</f>
        <v>09/04 penarikan kabel kabel 31/03 penarikan sampai ODC (07/01) Persiapan</v>
      </c>
      <c r="R2069" s="228">
        <f>IFERROR(__xludf.DUMMYFUNCTION("""COMPUTED_VALUE"""),46135.0)</f>
        <v>46135</v>
      </c>
      <c r="S2069" s="11" t="str">
        <f>IFERROR(__xludf.DUMMYFUNCTION("""COMPUTED_VALUE"""),"APR")</f>
        <v>APR</v>
      </c>
      <c r="T2069" s="73"/>
      <c r="U2069" s="11"/>
      <c r="V2069" s="229" t="str">
        <f>IFERROR(__xludf.DUMMYFUNCTION("""COMPUTED_VALUE"""),"17/Apr/2026")</f>
        <v>17/Apr/2026</v>
      </c>
      <c r="W2069" s="229"/>
      <c r="X2069" s="229" t="str">
        <f>IFERROR(__xludf.DUMMYFUNCTION("""COMPUTED_VALUE"""),"GOLIVE")</f>
        <v>GOLIVE</v>
      </c>
      <c r="Y2069" s="229" t="str">
        <f>IFERROR(__xludf.DUMMYFUNCTION("""COMPUTED_VALUE"""),"DONE")</f>
        <v>DONE</v>
      </c>
      <c r="Z2069" s="229" t="str">
        <f>IFERROR(__xludf.DUMMYFUNCTION("""COMPUTED_VALUE"""),"#N/A")</f>
        <v>#N/A</v>
      </c>
      <c r="AA2069" s="229">
        <f>IFERROR(__xludf.DUMMYFUNCTION("""COMPUTED_VALUE"""),10.0)</f>
        <v>10</v>
      </c>
      <c r="AB2069" s="229"/>
      <c r="AC2069" s="229" t="str">
        <f>IFERROR(__xludf.DUMMYFUNCTION("""COMPUTED_VALUE"""),"9306722#9306727")</f>
        <v>9306722#9306727</v>
      </c>
      <c r="AD2069" s="232">
        <f>IFERROR(__xludf.DUMMYFUNCTION("""COMPUTED_VALUE"""),80.0)</f>
        <v>80</v>
      </c>
      <c r="AE2069" s="233">
        <f>IFERROR(__xludf.DUMMYFUNCTION("""COMPUTED_VALUE"""),46135.0)</f>
        <v>46135</v>
      </c>
      <c r="AF2069" s="54"/>
      <c r="AG2069" s="54"/>
      <c r="AH2069" s="54"/>
      <c r="AI2069" s="55">
        <f t="shared" ref="AI2069:AI2083" si="203">IF(OR(R2069="",AE2069=""),"",R2069-AE2069)</f>
        <v>0</v>
      </c>
      <c r="AW2069" s="234"/>
      <c r="BP2069" s="11"/>
      <c r="BQ2069" s="11"/>
      <c r="BR2069" s="235"/>
      <c r="BV2069" s="158"/>
      <c r="BY2069" s="158"/>
      <c r="CB2069" s="158"/>
    </row>
    <row r="2070" ht="18.0" hidden="1" customHeight="1">
      <c r="A2070" s="222">
        <f>IFERROR(__xludf.DUMMYFUNCTION("""COMPUTED_VALUE"""),2026.0)</f>
        <v>2026</v>
      </c>
      <c r="B2070" s="221">
        <f>IFERROR(__xludf.DUMMYFUNCTION("""COMPUTED_VALUE"""),1.1483456E7)</f>
        <v>11483456</v>
      </c>
      <c r="C2070" s="222" t="str">
        <f>IFERROR(__xludf.DUMMYFUNCTION("""COMPUTED_VALUE"""),"BBL PT4 P4I4 RIAU Silip - Memarong CSF")</f>
        <v>BBL PT4 P4I4 RIAU Silip - Memarong CSF</v>
      </c>
      <c r="D2070" s="222" t="str">
        <f>IFERROR(__xludf.DUMMYFUNCTION("""COMPUTED_VALUE"""),"REGIONAL I")</f>
        <v>REGIONAL I</v>
      </c>
      <c r="E2070" s="222" t="str">
        <f>IFERROR(__xludf.DUMMYFUNCTION("""COMPUTED_VALUE"""),"BABEL")</f>
        <v>BABEL</v>
      </c>
      <c r="F2070" s="222" t="str">
        <f>IFERROR(__xludf.DUMMYFUNCTION("""COMPUTED_VALUE"""),"SLT")</f>
        <v>SLT</v>
      </c>
      <c r="G2070" s="222" t="str">
        <f>IFERROR(__xludf.DUMMYFUNCTION("""COMPUTED_VALUE"""),"SUMBAGSEL")</f>
        <v>SUMBAGSEL</v>
      </c>
      <c r="H2070" s="222" t="str">
        <f>IFERROR(__xludf.DUMMYFUNCTION("""COMPUTED_VALUE"""),"PANGKAL PINANG")</f>
        <v>PANGKAL PINANG</v>
      </c>
      <c r="I2070" s="222" t="str">
        <f>IFERROR(__xludf.DUMMYFUNCTION("""COMPUTED_VALUE"""),"Batch 2")</f>
        <v>Batch 2</v>
      </c>
      <c r="J2070" s="225">
        <f>IFERROR(__xludf.DUMMYFUNCTION("""COMPUTED_VALUE"""),46.0)</f>
        <v>46</v>
      </c>
      <c r="K2070" s="224">
        <f>IFERROR(__xludf.DUMMYFUNCTION("""COMPUTED_VALUE"""),472.0)</f>
        <v>472</v>
      </c>
      <c r="L2070" s="226">
        <f>IFERROR(__xludf.DUMMYFUNCTION("""COMPUTED_VALUE"""),1575768.0)</f>
        <v>1575768</v>
      </c>
      <c r="M2070" s="227">
        <f>IFERROR(__xludf.DUMMYFUNCTION("""COMPUTED_VALUE"""),7.43762277E8)</f>
        <v>743762277</v>
      </c>
      <c r="N2070" s="222" t="str">
        <f>IFERROR(__xludf.DUMMYFUNCTION("""COMPUTED_VALUE"""),"PT BAYUMI CAHAYA NUSANTARA")</f>
        <v>PT BAYUMI CAHAYA NUSANTARA</v>
      </c>
      <c r="O2070" s="222" t="str">
        <f>IFERROR(__xludf.DUMMYFUNCTION("""COMPUTED_VALUE"""),"7. GOLIVE")</f>
        <v>7. GOLIVE</v>
      </c>
      <c r="P2070" s="222" t="str">
        <f>IFERROR(__xludf.DUMMYFUNCTION("""COMPUTED_VALUE"""),"7.2 Golive Full / OA / DONE OTB")</f>
        <v>7.2 Golive Full / OA / DONE OTB</v>
      </c>
      <c r="Q2070" s="222" t="str">
        <f>IFERROR(__xludf.DUMMYFUNCTION("""COMPUTED_VALUE"""),"24/03 finish instalasi (16/03) Plan Golive 25 Mar 12/3 proses valins 11/03 Instalasi ODP 04/03 perapian (26/2) plan golive 25 mar  karena butuh mini OLT 23/02 terminasi ODP (22/02) penanaman tiang 152/188 (19/02) pemasangan aksesoris label (18/02) penarik"&amp;"an kabel done (16/2)penarikan 6350/8100 , tiang 138/187(13/02) penarikan kabel dan instalasi ODC (12/02) penarikan kabel dan tanam tiang 62/65 (11/2) penarikan kbael dan tanam tiang , butuh mini olt juga  10/02 penarikan kabel 24D 3400/3850, 48D 850 done "&amp;"(09/02) penarikan kabel 24D 2500/3850, tanam tiang 47/65 (06/2) perlu minol olt , tanam tiang 40/188 , tarik kabel 0/13700 , (28/1) progess penarikan (26/01) penarikan kabel (14/01) material onsite (13/1) MATDEL (06/01)order JPP batch-2 2026 (02/01 matdel"&amp;" (16/12) hold 28/11 proses DRM mitra (27/11) created PID done (26/11) created pid kendala budget (21/11) PU nasional 20/11 create PID kendala budget 7/11 Penunjukan mitra")</f>
        <v>24/03 finish instalasi (16/03) Plan Golive 25 Mar 12/3 proses valins 11/03 Instalasi ODP 04/03 perapian (26/2) plan golive 25 mar  karena butuh mini OLT 23/02 terminasi ODP (22/02) penanaman tiang 152/188 (19/02) pemasangan aksesoris label (18/02) penarikan kabel done (16/2)penarikan 6350/8100 , tiang 138/187(13/02) penarikan kabel dan instalasi ODC (12/02) penarikan kabel dan tanam tiang 62/65 (11/2) penarikan kbael dan tanam tiang , butuh mini olt juga  10/02 penarikan kabel 24D 3400/3850, 48D 850 done (09/02) penarikan kabel 24D 2500/3850, tanam tiang 47/65 (06/2) perlu minol olt , tanam tiang 40/188 , tarik kabel 0/13700 , (28/1) progess penarikan (26/01) penarikan kabel (14/01) material onsite (13/1) MATDEL (06/01)order JPP batch-2 2026 (02/01 matdel (16/12) hold 28/11 proses DRM mitra (27/11) created PID done (26/11) created pid kendala budget (21/11) PU nasional 20/11 create PID kendala budget 7/11 Penunjukan mitra</v>
      </c>
      <c r="R2070" s="228">
        <f>IFERROR(__xludf.DUMMYFUNCTION("""COMPUTED_VALUE"""),46106.0)</f>
        <v>46106</v>
      </c>
      <c r="S2070" s="11" t="str">
        <f>IFERROR(__xludf.DUMMYFUNCTION("""COMPUTED_VALUE"""),"MAR")</f>
        <v>MAR</v>
      </c>
      <c r="T2070" s="11" t="str">
        <f>IFERROR(__xludf.DUMMYFUNCTION("""COMPUTED_VALUE"""),"P1")</f>
        <v>P1</v>
      </c>
      <c r="U2070" s="11"/>
      <c r="V2070" s="229"/>
      <c r="W2070" s="229"/>
      <c r="X2070" s="229" t="str">
        <f>IFERROR(__xludf.DUMMYFUNCTION("""COMPUTED_VALUE"""),"GOLIVE")</f>
        <v>GOLIVE</v>
      </c>
      <c r="Y2070" s="229" t="str">
        <f>IFERROR(__xludf.DUMMYFUNCTION("""COMPUTED_VALUE"""),"DONE")</f>
        <v>DONE</v>
      </c>
      <c r="Z2070" s="229" t="str">
        <f>IFERROR(__xludf.DUMMYFUNCTION("""COMPUTED_VALUE"""),"#N/A")</f>
        <v>#N/A</v>
      </c>
      <c r="AA2070" s="229">
        <f>IFERROR(__xludf.DUMMYFUNCTION("""COMPUTED_VALUE"""),36.0)</f>
        <v>36</v>
      </c>
      <c r="AB2070" s="229">
        <f>IFERROR(__xludf.DUMMYFUNCTION("""COMPUTED_VALUE"""),12.0)</f>
        <v>12</v>
      </c>
      <c r="AC2070" s="229" t="str">
        <f>IFERROR(__xludf.DUMMYFUNCTION("""COMPUTED_VALUE"""),"9200613#9200618")</f>
        <v>9200613#9200618</v>
      </c>
      <c r="AD2070" s="232">
        <f>IFERROR(__xludf.DUMMYFUNCTION("""COMPUTED_VALUE"""),480.0)</f>
        <v>480</v>
      </c>
      <c r="AE2070" s="233">
        <f>IFERROR(__xludf.DUMMYFUNCTION("""COMPUTED_VALUE"""),46109.0)</f>
        <v>46109</v>
      </c>
      <c r="AF2070" s="54"/>
      <c r="AG2070" s="54"/>
      <c r="AH2070" s="54">
        <v>46106.0</v>
      </c>
      <c r="AI2070" s="55">
        <f t="shared" si="203"/>
        <v>-3</v>
      </c>
      <c r="AW2070" s="234"/>
      <c r="BP2070" s="11"/>
      <c r="BQ2070" s="11"/>
      <c r="BR2070" s="235"/>
      <c r="BV2070" s="158"/>
      <c r="BY2070" s="158"/>
      <c r="CB2070" s="158"/>
    </row>
    <row r="2071" ht="18.0" customHeight="1">
      <c r="A2071" s="222">
        <f>IFERROR(__xludf.DUMMYFUNCTION("""COMPUTED_VALUE"""),2026.0)</f>
        <v>2026</v>
      </c>
      <c r="B2071" s="221">
        <f>IFERROR(__xludf.DUMMYFUNCTION("""COMPUTED_VALUE"""),1.0566795E7)</f>
        <v>10566795</v>
      </c>
      <c r="C2071" s="222" t="str">
        <f>IFERROR(__xludf.DUMMYFUNCTION("""COMPUTED_VALUE"""),"SMB P1I1 STTF GASAN KECIL")</f>
        <v>SMB P1I1 STTF GASAN KECIL</v>
      </c>
      <c r="D2071" s="222" t="str">
        <f>IFERROR(__xludf.DUMMYFUNCTION("""COMPUTED_VALUE"""),"REGIONAL I")</f>
        <v>REGIONAL I</v>
      </c>
      <c r="E2071" s="222" t="str">
        <f>IFERROR(__xludf.DUMMYFUNCTION("""COMPUTED_VALUE"""),"SUMBAR")</f>
        <v>SUMBAR</v>
      </c>
      <c r="F2071" s="222" t="str">
        <f>IFERROR(__xludf.DUMMYFUNCTION("""COMPUTED_VALUE"""),"TKU")</f>
        <v>TKU</v>
      </c>
      <c r="G2071" s="222" t="str">
        <f>IFERROR(__xludf.DUMMYFUNCTION("""COMPUTED_VALUE"""),"SUMBAGTENG")</f>
        <v>SUMBAGTENG</v>
      </c>
      <c r="H2071" s="222" t="str">
        <f>IFERROR(__xludf.DUMMYFUNCTION("""COMPUTED_VALUE"""),"BUKIT TINGGI")</f>
        <v>BUKIT TINGGI</v>
      </c>
      <c r="I2071" s="222" t="str">
        <f>IFERROR(__xludf.DUMMYFUNCTION("""COMPUTED_VALUE"""),"Batch 2")</f>
        <v>Batch 2</v>
      </c>
      <c r="J2071" s="225">
        <f>IFERROR(__xludf.DUMMYFUNCTION("""COMPUTED_VALUE"""),6.0)</f>
        <v>6</v>
      </c>
      <c r="K2071" s="224">
        <f>IFERROR(__xludf.DUMMYFUNCTION("""COMPUTED_VALUE"""),48.0)</f>
        <v>48</v>
      </c>
      <c r="L2071" s="226">
        <f>IFERROR(__xludf.DUMMYFUNCTION("""COMPUTED_VALUE"""),1576741.0)</f>
        <v>1576741</v>
      </c>
      <c r="M2071" s="227">
        <f>IFERROR(__xludf.DUMMYFUNCTION("""COMPUTED_VALUE"""),7.5683564E7)</f>
        <v>75683564</v>
      </c>
      <c r="N2071" s="222" t="str">
        <f>IFERROR(__xludf.DUMMYFUNCTION("""COMPUTED_VALUE"""),"PT TIGA AKSES MANDIRI")</f>
        <v>PT TIGA AKSES MANDIRI</v>
      </c>
      <c r="O2071" s="222" t="str">
        <f>IFERROR(__xludf.DUMMYFUNCTION("""COMPUTED_VALUE"""),"8. UJI TERIMA")</f>
        <v>8. UJI TERIMA</v>
      </c>
      <c r="P2071" s="222" t="str">
        <f>IFERROR(__xludf.DUMMYFUNCTION("""COMPUTED_VALUE"""),"8.1 Proses UT")</f>
        <v>8.1 Proses UT</v>
      </c>
      <c r="Q2071" s="222" t="str">
        <f>IFERROR(__xludf.DUMMYFUNCTION("""COMPUTED_VALUE"""),"(16/03) ABD done ke SDI (05/03) proses create PID  3/3 Meeting ED1 - TAREGION - TA AREA ACC CPP Tinggi LANJUT (27/01) Cpp tinggi butuh tambah 4 odp")</f>
        <v>(16/03) ABD done ke SDI (05/03) proses create PID  3/3 Meeting ED1 - TAREGION - TA AREA ACC CPP Tinggi LANJUT (27/01) Cpp tinggi butuh tambah 4 odp</v>
      </c>
      <c r="R2071" s="228">
        <f>IFERROR(__xludf.DUMMYFUNCTION("""COMPUTED_VALUE"""),46112.0)</f>
        <v>46112</v>
      </c>
      <c r="S2071" s="238" t="str">
        <f>IFERROR(__xludf.DUMMYFUNCTION("""COMPUTED_VALUE"""),"MAR")</f>
        <v>MAR</v>
      </c>
      <c r="T2071" s="238"/>
      <c r="U2071" s="238" t="str">
        <f>IFERROR(__xludf.DUMMYFUNCTION("""COMPUTED_VALUE"""),"TIF-5471/2026  26KT03R107-0017")</f>
        <v>TIF-5471/2026  26KT03R107-0017</v>
      </c>
      <c r="V2071" s="229" t="str">
        <f>IFERROR(__xludf.DUMMYFUNCTION("""COMPUTED_VALUE"""),"JANUAR RIZAL")</f>
        <v>JANUAR RIZAL</v>
      </c>
      <c r="W2071" s="229" t="str">
        <f>IFERROR(__xludf.DUMMYFUNCTION("""COMPUTED_VALUE"""),"MELKO NARWADI")</f>
        <v>MELKO NARWADI</v>
      </c>
      <c r="X2071" s="229" t="str">
        <f>IFERROR(__xludf.DUMMYFUNCTION("""COMPUTED_VALUE"""),"GOLIVE")</f>
        <v>GOLIVE</v>
      </c>
      <c r="Y2071" s="229" t="str">
        <f>IFERROR(__xludf.DUMMYFUNCTION("""COMPUTED_VALUE"""),"DONE")</f>
        <v>DONE</v>
      </c>
      <c r="Z2071" s="229" t="str">
        <f>IFERROR(__xludf.DUMMYFUNCTION("""COMPUTED_VALUE"""),"#N/A")</f>
        <v>#N/A</v>
      </c>
      <c r="AA2071" s="229">
        <f>IFERROR(__xludf.DUMMYFUNCTION("""COMPUTED_VALUE"""),6.0)</f>
        <v>6</v>
      </c>
      <c r="AB2071" s="229"/>
      <c r="AC2071" s="229" t="str">
        <f>IFERROR(__xludf.DUMMYFUNCTION("""COMPUTED_VALUE"""),"9211399#9211404")</f>
        <v>9211399#9211404</v>
      </c>
      <c r="AD2071" s="232">
        <f>IFERROR(__xludf.DUMMYFUNCTION("""COMPUTED_VALUE"""),48.0)</f>
        <v>48</v>
      </c>
      <c r="AE2071" s="233">
        <f>IFERROR(__xludf.DUMMYFUNCTION("""COMPUTED_VALUE"""),46098.0)</f>
        <v>46098</v>
      </c>
      <c r="AF2071" s="54"/>
      <c r="AG2071" s="54"/>
      <c r="AH2071" s="54">
        <v>46112.0</v>
      </c>
      <c r="AI2071" s="55">
        <f t="shared" si="203"/>
        <v>14</v>
      </c>
      <c r="AW2071" s="234"/>
      <c r="BP2071" s="11"/>
      <c r="BQ2071" s="11"/>
      <c r="BR2071" s="235"/>
      <c r="BV2071" s="158"/>
      <c r="BY2071" s="158"/>
      <c r="CB2071" s="158"/>
    </row>
    <row r="2072" ht="18.0" hidden="1" customHeight="1">
      <c r="A2072" s="222">
        <f>IFERROR(__xludf.DUMMYFUNCTION("""COMPUTED_VALUE"""),2026.0)</f>
        <v>2026</v>
      </c>
      <c r="B2072" s="221">
        <f>IFERROR(__xludf.DUMMYFUNCTION("""COMPUTED_VALUE"""),1.138336E7)</f>
        <v>11383360</v>
      </c>
      <c r="C2072" s="222" t="str">
        <f>IFERROR(__xludf.DUMMYFUNCTION("""COMPUTED_VALUE"""),"MDN PT3 P2I1 BJI-FHC JL.PETANI BINJAI")</f>
        <v>MDN PT3 P2I1 BJI-FHC JL.PETANI BINJAI</v>
      </c>
      <c r="D2072" s="222" t="str">
        <f>IFERROR(__xludf.DUMMYFUNCTION("""COMPUTED_VALUE"""),"REGIONAL I")</f>
        <v>REGIONAL I</v>
      </c>
      <c r="E2072" s="222" t="str">
        <f>IFERROR(__xludf.DUMMYFUNCTION("""COMPUTED_VALUE"""),"MEDAN")</f>
        <v>MEDAN</v>
      </c>
      <c r="F2072" s="222" t="str">
        <f>IFERROR(__xludf.DUMMYFUNCTION("""COMPUTED_VALUE"""),"BJI")</f>
        <v>BJI</v>
      </c>
      <c r="G2072" s="222" t="str">
        <f>IFERROR(__xludf.DUMMYFUNCTION("""COMPUTED_VALUE"""),"SUMBAGUT")</f>
        <v>SUMBAGUT</v>
      </c>
      <c r="H2072" s="222" t="str">
        <f>IFERROR(__xludf.DUMMYFUNCTION("""COMPUTED_VALUE"""),"BINJAI")</f>
        <v>BINJAI</v>
      </c>
      <c r="I2072" s="222" t="str">
        <f>IFERROR(__xludf.DUMMYFUNCTION("""COMPUTED_VALUE"""),"Batch 2")</f>
        <v>Batch 2</v>
      </c>
      <c r="J2072" s="225">
        <f>IFERROR(__xludf.DUMMYFUNCTION("""COMPUTED_VALUE"""),9.0)</f>
        <v>9</v>
      </c>
      <c r="K2072" s="224">
        <f>IFERROR(__xludf.DUMMYFUNCTION("""COMPUTED_VALUE"""),72.0)</f>
        <v>72</v>
      </c>
      <c r="L2072" s="226">
        <f>IFERROR(__xludf.DUMMYFUNCTION("""COMPUTED_VALUE"""),807058.0)</f>
        <v>807058</v>
      </c>
      <c r="M2072" s="227">
        <f>IFERROR(__xludf.DUMMYFUNCTION("""COMPUTED_VALUE"""),5.8108156E7)</f>
        <v>58108156</v>
      </c>
      <c r="N2072" s="222" t="str">
        <f>IFERROR(__xludf.DUMMYFUNCTION("""COMPUTED_VALUE"""),"PT FIBERHOME TECHNOLOGIES INDONESIA")</f>
        <v>PT FIBERHOME TECHNOLOGIES INDONESIA</v>
      </c>
      <c r="O2072" s="222" t="str">
        <f>IFERROR(__xludf.DUMMYFUNCTION("""COMPUTED_VALUE"""),"0. DROP")</f>
        <v>0. DROP</v>
      </c>
      <c r="P2072" s="222" t="str">
        <f>IFERROR(__xludf.DUMMYFUNCTION("""COMPUTED_VALUE"""),"0.2 Tidak Dapat Izin Warga/Kades/Lurah/Developer")</f>
        <v>0.2 Tidak Dapat Izin Warga/Kades/Lurah/Developer</v>
      </c>
      <c r="Q2072" s="222" t="str">
        <f>IFERROR(__xludf.DUMMYFUNCTION("""COMPUTED_VALUE"""),"31/03 tidak ada perizinan tanam tiang (07/01) Persiapan")</f>
        <v>31/03 tidak ada perizinan tanam tiang (07/01) Persiapan</v>
      </c>
      <c r="R2072" s="228"/>
      <c r="S2072" s="11"/>
      <c r="T2072" s="11"/>
      <c r="U2072" s="11"/>
      <c r="V2072" s="229"/>
      <c r="W2072" s="229"/>
      <c r="X2072" s="229" t="str">
        <f>IFERROR(__xludf.DUMMYFUNCTION("""COMPUTED_VALUE"""),"BELUM GOLIVE")</f>
        <v>BELUM GOLIVE</v>
      </c>
      <c r="Y2072" s="229"/>
      <c r="Z2072" s="229" t="str">
        <f>IFERROR(__xludf.DUMMYFUNCTION("""COMPUTED_VALUE"""),"#N/A")</f>
        <v>#N/A</v>
      </c>
      <c r="AA2072" s="229"/>
      <c r="AB2072" s="229"/>
      <c r="AC2072" s="229"/>
      <c r="AD2072" s="232"/>
      <c r="AE2072" s="233"/>
      <c r="AF2072" s="54"/>
      <c r="AG2072" s="54"/>
      <c r="AH2072" s="54"/>
      <c r="AI2072" s="55" t="str">
        <f t="shared" si="203"/>
        <v/>
      </c>
      <c r="AW2072" s="234"/>
      <c r="BP2072" s="11"/>
      <c r="BQ2072" s="11"/>
      <c r="BR2072" s="235"/>
      <c r="BV2072" s="158"/>
      <c r="BY2072" s="158"/>
      <c r="CB2072" s="158"/>
    </row>
    <row r="2073" ht="18.0" hidden="1" customHeight="1">
      <c r="A2073" s="222">
        <f>IFERROR(__xludf.DUMMYFUNCTION("""COMPUTED_VALUE"""),2026.0)</f>
        <v>2026</v>
      </c>
      <c r="B2073" s="221">
        <f>IFERROR(__xludf.DUMMYFUNCTION("""COMPUTED_VALUE"""),1.1391783E7)</f>
        <v>11391783</v>
      </c>
      <c r="C2073" s="222" t="str">
        <f>IFERROR(__xludf.DUMMYFUNCTION("""COMPUTED_VALUE"""),"MDN PT3 BJI-FEE LANGKAT_478")</f>
        <v>MDN PT3 BJI-FEE LANGKAT_478</v>
      </c>
      <c r="D2073" s="222" t="str">
        <f>IFERROR(__xludf.DUMMYFUNCTION("""COMPUTED_VALUE"""),"REGIONAL I")</f>
        <v>REGIONAL I</v>
      </c>
      <c r="E2073" s="222" t="str">
        <f>IFERROR(__xludf.DUMMYFUNCTION("""COMPUTED_VALUE"""),"MEDAN")</f>
        <v>MEDAN</v>
      </c>
      <c r="F2073" s="222" t="str">
        <f>IFERROR(__xludf.DUMMYFUNCTION("""COMPUTED_VALUE"""),"BJI")</f>
        <v>BJI</v>
      </c>
      <c r="G2073" s="222" t="str">
        <f>IFERROR(__xludf.DUMMYFUNCTION("""COMPUTED_VALUE"""),"SUMBAGUT")</f>
        <v>SUMBAGUT</v>
      </c>
      <c r="H2073" s="222" t="str">
        <f>IFERROR(__xludf.DUMMYFUNCTION("""COMPUTED_VALUE"""),"BINJAI")</f>
        <v>BINJAI</v>
      </c>
      <c r="I2073" s="222" t="str">
        <f>IFERROR(__xludf.DUMMYFUNCTION("""COMPUTED_VALUE"""),"Batch 2")</f>
        <v>Batch 2</v>
      </c>
      <c r="J2073" s="225">
        <f>IFERROR(__xludf.DUMMYFUNCTION("""COMPUTED_VALUE"""),10.0)</f>
        <v>10</v>
      </c>
      <c r="K2073" s="224">
        <f>IFERROR(__xludf.DUMMYFUNCTION("""COMPUTED_VALUE"""),80.0)</f>
        <v>80</v>
      </c>
      <c r="L2073" s="226">
        <f>IFERROR(__xludf.DUMMYFUNCTION("""COMPUTED_VALUE"""),1369987.0)</f>
        <v>1369987</v>
      </c>
      <c r="M2073" s="227">
        <f>IFERROR(__xludf.DUMMYFUNCTION("""COMPUTED_VALUE"""),1.0959889E8)</f>
        <v>109598890</v>
      </c>
      <c r="N2073" s="222" t="str">
        <f>IFERROR(__xludf.DUMMYFUNCTION("""COMPUTED_VALUE"""),"PT FIBERHOME TECHNOLOGIES INDONESIA")</f>
        <v>PT FIBERHOME TECHNOLOGIES INDONESIA</v>
      </c>
      <c r="O2073" s="222" t="str">
        <f>IFERROR(__xludf.DUMMYFUNCTION("""COMPUTED_VALUE"""),"0. DROP")</f>
        <v>0. DROP</v>
      </c>
      <c r="P2073" s="222" t="str">
        <f>IFERROR(__xludf.DUMMYFUNCTION("""COMPUTED_VALUE"""),"0.4 CPP Tinggi Acc ED TIF")</f>
        <v>0.4 CPP Tinggi Acc ED TIF</v>
      </c>
      <c r="Q2073" s="222" t="str">
        <f>IFERROR(__xludf.DUMMYFUNCTION("""COMPUTED_VALUE"""),"(07/01) Persiapan")</f>
        <v>(07/01) Persiapan</v>
      </c>
      <c r="R2073" s="228"/>
      <c r="S2073" s="11"/>
      <c r="T2073" s="11"/>
      <c r="U2073" s="11"/>
      <c r="V2073" s="229"/>
      <c r="W2073" s="229"/>
      <c r="X2073" s="229" t="str">
        <f>IFERROR(__xludf.DUMMYFUNCTION("""COMPUTED_VALUE"""),"BELUM GOLIVE")</f>
        <v>BELUM GOLIVE</v>
      </c>
      <c r="Y2073" s="229"/>
      <c r="Z2073" s="229" t="str">
        <f>IFERROR(__xludf.DUMMYFUNCTION("""COMPUTED_VALUE"""),"#N/A")</f>
        <v>#N/A</v>
      </c>
      <c r="AA2073" s="229"/>
      <c r="AB2073" s="229"/>
      <c r="AC2073" s="229"/>
      <c r="AD2073" s="232"/>
      <c r="AE2073" s="233"/>
      <c r="AF2073" s="54" t="str">
        <f>IFERROR(__xludf.DUMMYFUNCTION("""COMPUTED_VALUE"""),"Draft BA DROP")</f>
        <v>Draft BA DROP</v>
      </c>
      <c r="AG2073" s="54"/>
      <c r="AH2073" s="54"/>
      <c r="AI2073" s="55" t="str">
        <f t="shared" si="203"/>
        <v/>
      </c>
      <c r="AW2073" s="234"/>
      <c r="BP2073" s="11"/>
      <c r="BQ2073" s="11"/>
      <c r="BR2073" s="235"/>
      <c r="BV2073" s="158"/>
      <c r="BY2073" s="158"/>
      <c r="CB2073" s="158"/>
    </row>
    <row r="2074" ht="18.0" hidden="1" customHeight="1">
      <c r="A2074" s="222">
        <f>IFERROR(__xludf.DUMMYFUNCTION("""COMPUTED_VALUE"""),2026.0)</f>
        <v>2026</v>
      </c>
      <c r="B2074" s="221">
        <f>IFERROR(__xludf.DUMMYFUNCTION("""COMPUTED_VALUE"""),1.1625799E7)</f>
        <v>11625799</v>
      </c>
      <c r="C2074" s="222" t="str">
        <f>IFERROR(__xludf.DUMMYFUNCTION("""COMPUTED_VALUE"""),"MDN PT3 TTG-FM GRIYA DUREN_MD25")</f>
        <v>MDN PT3 TTG-FM GRIYA DUREN_MD25</v>
      </c>
      <c r="D2074" s="222" t="str">
        <f>IFERROR(__xludf.DUMMYFUNCTION("""COMPUTED_VALUE"""),"REGIONAL I")</f>
        <v>REGIONAL I</v>
      </c>
      <c r="E2074" s="222" t="str">
        <f>IFERROR(__xludf.DUMMYFUNCTION("""COMPUTED_VALUE"""),"MEDAN")</f>
        <v>MEDAN</v>
      </c>
      <c r="F2074" s="222" t="str">
        <f>IFERROR(__xludf.DUMMYFUNCTION("""COMPUTED_VALUE"""),"TTG")</f>
        <v>TTG</v>
      </c>
      <c r="G2074" s="222" t="str">
        <f>IFERROR(__xludf.DUMMYFUNCTION("""COMPUTED_VALUE"""),"SUMBAGUT")</f>
        <v>SUMBAGUT</v>
      </c>
      <c r="H2074" s="222" t="str">
        <f>IFERROR(__xludf.DUMMYFUNCTION("""COMPUTED_VALUE"""),"MEDAN")</f>
        <v>MEDAN</v>
      </c>
      <c r="I2074" s="222" t="str">
        <f>IFERROR(__xludf.DUMMYFUNCTION("""COMPUTED_VALUE"""),"Batch 2")</f>
        <v>Batch 2</v>
      </c>
      <c r="J2074" s="225">
        <f>IFERROR(__xludf.DUMMYFUNCTION("""COMPUTED_VALUE"""),4.0)</f>
        <v>4</v>
      </c>
      <c r="K2074" s="224">
        <f>IFERROR(__xludf.DUMMYFUNCTION("""COMPUTED_VALUE"""),32.0)</f>
        <v>32</v>
      </c>
      <c r="L2074" s="226">
        <f>IFERROR(__xludf.DUMMYFUNCTION("""COMPUTED_VALUE"""),866127.0)</f>
        <v>866127</v>
      </c>
      <c r="M2074" s="227">
        <f>IFERROR(__xludf.DUMMYFUNCTION("""COMPUTED_VALUE"""),2.7716054E7)</f>
        <v>27716054</v>
      </c>
      <c r="N2074" s="222" t="str">
        <f>IFERROR(__xludf.DUMMYFUNCTION("""COMPUTED_VALUE"""),"SWAKELOLA")</f>
        <v>SWAKELOLA</v>
      </c>
      <c r="O2074" s="222" t="str">
        <f>IFERROR(__xludf.DUMMYFUNCTION("""COMPUTED_VALUE"""),"0. DROP")</f>
        <v>0. DROP</v>
      </c>
      <c r="P2074" s="222" t="str">
        <f>IFERROR(__xludf.DUMMYFUNCTION("""COMPUTED_VALUE"""),"0.3 Feeder Full")</f>
        <v>0.3 Feeder Full</v>
      </c>
      <c r="Q2074" s="222" t="str">
        <f>IFERROR(__xludf.DUMMYFUNCTION("""COMPUTED_VALUE"""),"08/03 Feeder Penuh 14/11 Feeder redeti
15/09 proses aanwijzing")</f>
        <v>08/03 Feeder Penuh 14/11 Feeder redeti
15/09 proses aanwijzing</v>
      </c>
      <c r="R2074" s="228"/>
      <c r="S2074" s="11"/>
      <c r="T2074" s="11"/>
      <c r="U2074" s="11"/>
      <c r="V2074" s="229"/>
      <c r="W2074" s="229"/>
      <c r="X2074" s="229" t="str">
        <f>IFERROR(__xludf.DUMMYFUNCTION("""COMPUTED_VALUE"""),"BELUM GOLIVE")</f>
        <v>BELUM GOLIVE</v>
      </c>
      <c r="Y2074" s="229"/>
      <c r="Z2074" s="229" t="str">
        <f>IFERROR(__xludf.DUMMYFUNCTION("""COMPUTED_VALUE"""),"#N/A")</f>
        <v>#N/A</v>
      </c>
      <c r="AA2074" s="229"/>
      <c r="AB2074" s="229"/>
      <c r="AC2074" s="229"/>
      <c r="AD2074" s="232"/>
      <c r="AE2074" s="233"/>
      <c r="AF2074" s="54"/>
      <c r="AG2074" s="54"/>
      <c r="AH2074" s="54"/>
      <c r="AI2074" s="55" t="str">
        <f t="shared" si="203"/>
        <v/>
      </c>
      <c r="AW2074" s="234"/>
      <c r="BP2074" s="11"/>
      <c r="BQ2074" s="11"/>
      <c r="BR2074" s="235"/>
      <c r="BV2074" s="158"/>
      <c r="BY2074" s="158"/>
      <c r="CB2074" s="158"/>
    </row>
    <row r="2075" ht="18.0" hidden="1" customHeight="1">
      <c r="A2075" s="222">
        <f>IFERROR(__xludf.DUMMYFUNCTION("""COMPUTED_VALUE"""),2026.0)</f>
        <v>2026</v>
      </c>
      <c r="B2075" s="221">
        <f>IFERROR(__xludf.DUMMYFUNCTION("""COMPUTED_VALUE"""),1.162621E7)</f>
        <v>11626210</v>
      </c>
      <c r="C2075" s="222" t="str">
        <f>IFERROR(__xludf.DUMMYFUNCTION("""COMPUTED_VALUE"""),"MDN PT3 DLT-FU XENIA VILLAGE_MD25")</f>
        <v>MDN PT3 DLT-FU XENIA VILLAGE_MD25</v>
      </c>
      <c r="D2075" s="222" t="str">
        <f>IFERROR(__xludf.DUMMYFUNCTION("""COMPUTED_VALUE"""),"REGIONAL I")</f>
        <v>REGIONAL I</v>
      </c>
      <c r="E2075" s="222" t="str">
        <f>IFERROR(__xludf.DUMMYFUNCTION("""COMPUTED_VALUE"""),"MEDAN")</f>
        <v>MEDAN</v>
      </c>
      <c r="F2075" s="222" t="str">
        <f>IFERROR(__xludf.DUMMYFUNCTION("""COMPUTED_VALUE"""),"DLT")</f>
        <v>DLT</v>
      </c>
      <c r="G2075" s="222" t="str">
        <f>IFERROR(__xludf.DUMMYFUNCTION("""COMPUTED_VALUE"""),"SUMBAGUT")</f>
        <v>SUMBAGUT</v>
      </c>
      <c r="H2075" s="222" t="str">
        <f>IFERROR(__xludf.DUMMYFUNCTION("""COMPUTED_VALUE"""),"MEDAN")</f>
        <v>MEDAN</v>
      </c>
      <c r="I2075" s="222" t="str">
        <f>IFERROR(__xludf.DUMMYFUNCTION("""COMPUTED_VALUE"""),"Batch 2")</f>
        <v>Batch 2</v>
      </c>
      <c r="J2075" s="225">
        <f>IFERROR(__xludf.DUMMYFUNCTION("""COMPUTED_VALUE"""),6.0)</f>
        <v>6</v>
      </c>
      <c r="K2075" s="224">
        <f>IFERROR(__xludf.DUMMYFUNCTION("""COMPUTED_VALUE"""),48.0)</f>
        <v>48</v>
      </c>
      <c r="L2075" s="226">
        <f>IFERROR(__xludf.DUMMYFUNCTION("""COMPUTED_VALUE"""),1079334.0)</f>
        <v>1079334</v>
      </c>
      <c r="M2075" s="227">
        <f>IFERROR(__xludf.DUMMYFUNCTION("""COMPUTED_VALUE"""),5.1808012E7)</f>
        <v>51808012</v>
      </c>
      <c r="N2075" s="222" t="str">
        <f>IFERROR(__xludf.DUMMYFUNCTION("""COMPUTED_VALUE"""),"PT UPENTEL INTERNASIONAL")</f>
        <v>PT UPENTEL INTERNASIONAL</v>
      </c>
      <c r="O2075" s="222" t="str">
        <f>IFERROR(__xludf.DUMMYFUNCTION("""COMPUTED_VALUE"""),"2. DONE AANWIJZING")</f>
        <v>2. DONE AANWIJZING</v>
      </c>
      <c r="P2075" s="222" t="str">
        <f>IFERROR(__xludf.DUMMYFUNCTION("""COMPUTED_VALUE"""),"2.10 Kendala - Feeder Rusak")</f>
        <v>2.10 Kendala - Feeder Rusak</v>
      </c>
      <c r="Q2075" s="222" t="str">
        <f>IFERROR(__xludf.DUMMYFUNCTION("""COMPUTED_VALUE"""),"14/11 Feeder redeti
15/09 proses aanwijzing")</f>
        <v>14/11 Feeder redeti
15/09 proses aanwijzing</v>
      </c>
      <c r="R2075" s="228"/>
      <c r="S2075" s="11"/>
      <c r="T2075" s="11"/>
      <c r="U2075" s="11"/>
      <c r="V2075" s="229"/>
      <c r="W2075" s="229"/>
      <c r="X2075" s="229" t="str">
        <f>IFERROR(__xludf.DUMMYFUNCTION("""COMPUTED_VALUE"""),"BELUM GOLIVE")</f>
        <v>BELUM GOLIVE</v>
      </c>
      <c r="Y2075" s="229"/>
      <c r="Z2075" s="229" t="str">
        <f>IFERROR(__xludf.DUMMYFUNCTION("""COMPUTED_VALUE"""),"#N/A")</f>
        <v>#N/A</v>
      </c>
      <c r="AA2075" s="229"/>
      <c r="AB2075" s="229"/>
      <c r="AC2075" s="229"/>
      <c r="AD2075" s="232"/>
      <c r="AE2075" s="233"/>
      <c r="AF2075" s="54"/>
      <c r="AG2075" s="54"/>
      <c r="AH2075" s="54"/>
      <c r="AI2075" s="55" t="str">
        <f t="shared" si="203"/>
        <v/>
      </c>
      <c r="AW2075" s="234"/>
      <c r="BP2075" s="11"/>
      <c r="BQ2075" s="11"/>
      <c r="BR2075" s="235"/>
      <c r="BV2075" s="158"/>
      <c r="BY2075" s="158"/>
      <c r="CB2075" s="158"/>
    </row>
    <row r="2076" ht="18.0" customHeight="1">
      <c r="A2076" s="222">
        <f>IFERROR(__xludf.DUMMYFUNCTION("""COMPUTED_VALUE"""),2026.0)</f>
        <v>2026</v>
      </c>
      <c r="B2076" s="221">
        <f>IFERROR(__xludf.DUMMYFUNCTION("""COMPUTED_VALUE"""),1.1346052E7)</f>
        <v>11346052</v>
      </c>
      <c r="C2076" s="222" t="str">
        <f>IFERROR(__xludf.DUMMYFUNCTION("""COMPUTED_VALUE"""),"RDR RGT PT3 P2I2 RIAU_95")</f>
        <v>RDR RGT PT3 P2I2 RIAU_95</v>
      </c>
      <c r="D2076" s="222" t="str">
        <f>IFERROR(__xludf.DUMMYFUNCTION("""COMPUTED_VALUE"""),"REGIONAL I")</f>
        <v>REGIONAL I</v>
      </c>
      <c r="E2076" s="222" t="str">
        <f>IFERROR(__xludf.DUMMYFUNCTION("""COMPUTED_VALUE"""),"RIDAR")</f>
        <v>RIDAR</v>
      </c>
      <c r="F2076" s="222" t="str">
        <f>IFERROR(__xludf.DUMMYFUNCTION("""COMPUTED_VALUE"""),"RGT")</f>
        <v>RGT</v>
      </c>
      <c r="G2076" s="222" t="str">
        <f>IFERROR(__xludf.DUMMYFUNCTION("""COMPUTED_VALUE"""),"SUMBAGTENG")</f>
        <v>SUMBAGTENG</v>
      </c>
      <c r="H2076" s="222" t="str">
        <f>IFERROR(__xludf.DUMMYFUNCTION("""COMPUTED_VALUE"""),"PEKANBARU")</f>
        <v>PEKANBARU</v>
      </c>
      <c r="I2076" s="222" t="str">
        <f>IFERROR(__xludf.DUMMYFUNCTION("""COMPUTED_VALUE"""),"Batch 2")</f>
        <v>Batch 2</v>
      </c>
      <c r="J2076" s="225">
        <f>IFERROR(__xludf.DUMMYFUNCTION("""COMPUTED_VALUE"""),21.0)</f>
        <v>21</v>
      </c>
      <c r="K2076" s="224">
        <f>IFERROR(__xludf.DUMMYFUNCTION("""COMPUTED_VALUE"""),168.0)</f>
        <v>168</v>
      </c>
      <c r="L2076" s="226">
        <f>IFERROR(__xludf.DUMMYFUNCTION("""COMPUTED_VALUE"""),1577280.0)</f>
        <v>1577280</v>
      </c>
      <c r="M2076" s="227">
        <f>IFERROR(__xludf.DUMMYFUNCTION("""COMPUTED_VALUE"""),2.64982891E8)</f>
        <v>264982891</v>
      </c>
      <c r="N2076" s="222" t="str">
        <f>IFERROR(__xludf.DUMMYFUNCTION("""COMPUTED_VALUE"""),"PT LIBER PERSADA MANDIRI")</f>
        <v>PT LIBER PERSADA MANDIRI</v>
      </c>
      <c r="O2076" s="222" t="str">
        <f>IFERROR(__xludf.DUMMYFUNCTION("""COMPUTED_VALUE"""),"2. DONE AANWIJZING")</f>
        <v>2. DONE AANWIJZING</v>
      </c>
      <c r="P2076" s="222" t="str">
        <f>IFERROR(__xludf.DUMMYFUNCTION("""COMPUTED_VALUE"""),"2.10 Kendala - Feeder Rusak")</f>
        <v>2.10 Kendala - Feeder Rusak</v>
      </c>
      <c r="Q2076" s="222" t="str">
        <f>IFERROR(__xludf.DUMMYFUNCTION("""COMPUTED_VALUE"""),"20/04 Pengambilan ulang hasil ukur OTDR 13/04 Kendala Feeder rusak, ogp pengecekan ulang untuk hasil ukur 08/04 Kendala Feeder rusak, ogp pengecekan ulang untuk hasil ukur 03/03 Pengecekan ulang core uplink 20/01 Drop kendala uplink tidak ready (07/01) Pe"&amp;"rsiapan")</f>
        <v>20/04 Pengambilan ulang hasil ukur OTDR 13/04 Kendala Feeder rusak, ogp pengecekan ulang untuk hasil ukur 08/04 Kendala Feeder rusak, ogp pengecekan ulang untuk hasil ukur 03/03 Pengecekan ulang core uplink 20/01 Drop kendala uplink tidak ready (07/01) Persiapan</v>
      </c>
      <c r="R2076" s="228"/>
      <c r="S2076" s="11"/>
      <c r="T2076" s="11"/>
      <c r="U2076" s="11"/>
      <c r="V2076" s="229" t="str">
        <f>IFERROR(__xludf.DUMMYFUNCTION("""COMPUTED_VALUE"""),"ONDI EKA SAPUTRA")</f>
        <v>ONDI EKA SAPUTRA</v>
      </c>
      <c r="W2076" s="229" t="str">
        <f>IFERROR(__xludf.DUMMYFUNCTION("""COMPUTED_VALUE"""),"DESLITA RAHMADANI")</f>
        <v>DESLITA RAHMADANI</v>
      </c>
      <c r="X2076" s="229" t="str">
        <f>IFERROR(__xludf.DUMMYFUNCTION("""COMPUTED_VALUE"""),"BELUM GOLIVE")</f>
        <v>BELUM GOLIVE</v>
      </c>
      <c r="Y2076" s="229"/>
      <c r="Z2076" s="229" t="str">
        <f>IFERROR(__xludf.DUMMYFUNCTION("""COMPUTED_VALUE"""),"#N/A")</f>
        <v>#N/A</v>
      </c>
      <c r="AA2076" s="229"/>
      <c r="AB2076" s="229"/>
      <c r="AC2076" s="229"/>
      <c r="AD2076" s="232"/>
      <c r="AE2076" s="233"/>
      <c r="AF2076" s="54"/>
      <c r="AG2076" s="54"/>
      <c r="AH2076" s="54"/>
      <c r="AI2076" s="55" t="str">
        <f t="shared" si="203"/>
        <v/>
      </c>
      <c r="AW2076" s="234"/>
      <c r="BP2076" s="11"/>
      <c r="BQ2076" s="11"/>
      <c r="BR2076" s="235"/>
      <c r="BV2076" s="158"/>
      <c r="BY2076" s="158"/>
      <c r="CB2076" s="158"/>
    </row>
    <row r="2077" ht="18.0" hidden="1" customHeight="1">
      <c r="A2077" s="222">
        <f>IFERROR(__xludf.DUMMYFUNCTION("""COMPUTED_VALUE"""),2026.0)</f>
        <v>2026</v>
      </c>
      <c r="B2077" s="221">
        <f>IFERROR(__xludf.DUMMYFUNCTION("""COMPUTED_VALUE"""),1.1619438E7)</f>
        <v>11619438</v>
      </c>
      <c r="C2077" s="222" t="str">
        <f>IFERROR(__xludf.DUMMYFUNCTION("""COMPUTED_VALUE"""),"MDN PT3 CTD-FAM KOMP CITRA SEROJA_MD25")</f>
        <v>MDN PT3 CTD-FAM KOMP CITRA SEROJA_MD25</v>
      </c>
      <c r="D2077" s="222" t="str">
        <f>IFERROR(__xludf.DUMMYFUNCTION("""COMPUTED_VALUE"""),"REGIONAL I")</f>
        <v>REGIONAL I</v>
      </c>
      <c r="E2077" s="222" t="str">
        <f>IFERROR(__xludf.DUMMYFUNCTION("""COMPUTED_VALUE"""),"MEDAN")</f>
        <v>MEDAN</v>
      </c>
      <c r="F2077" s="222" t="str">
        <f>IFERROR(__xludf.DUMMYFUNCTION("""COMPUTED_VALUE"""),"CTD")</f>
        <v>CTD</v>
      </c>
      <c r="G2077" s="222" t="str">
        <f>IFERROR(__xludf.DUMMYFUNCTION("""COMPUTED_VALUE"""),"SUMBAGUT")</f>
        <v>SUMBAGUT</v>
      </c>
      <c r="H2077" s="222" t="str">
        <f>IFERROR(__xludf.DUMMYFUNCTION("""COMPUTED_VALUE"""),"MEDAN")</f>
        <v>MEDAN</v>
      </c>
      <c r="I2077" s="222" t="str">
        <f>IFERROR(__xludf.DUMMYFUNCTION("""COMPUTED_VALUE"""),"Batch 2")</f>
        <v>Batch 2</v>
      </c>
      <c r="J2077" s="225">
        <f>IFERROR(__xludf.DUMMYFUNCTION("""COMPUTED_VALUE"""),5.0)</f>
        <v>5</v>
      </c>
      <c r="K2077" s="224">
        <f>IFERROR(__xludf.DUMMYFUNCTION("""COMPUTED_VALUE"""),40.0)</f>
        <v>40</v>
      </c>
      <c r="L2077" s="226">
        <f>IFERROR(__xludf.DUMMYFUNCTION("""COMPUTED_VALUE"""),694642.0)</f>
        <v>694642</v>
      </c>
      <c r="M2077" s="227">
        <f>IFERROR(__xludf.DUMMYFUNCTION("""COMPUTED_VALUE"""),2.7785645E7)</f>
        <v>27785645</v>
      </c>
      <c r="N2077" s="222" t="str">
        <f>IFERROR(__xludf.DUMMYFUNCTION("""COMPUTED_VALUE"""),"PT MITRA AKSES INSANI")</f>
        <v>PT MITRA AKSES INSANI</v>
      </c>
      <c r="O2077" s="222" t="str">
        <f>IFERROR(__xludf.DUMMYFUNCTION("""COMPUTED_VALUE"""),"0. DROP")</f>
        <v>0. DROP</v>
      </c>
      <c r="P2077" s="222" t="str">
        <f>IFERROR(__xludf.DUMMYFUNCTION("""COMPUTED_VALUE"""),"0.3 Feeder Full")</f>
        <v>0.3 Feeder Full</v>
      </c>
      <c r="Q2077" s="222" t="str">
        <f>IFERROR(__xludf.DUMMYFUNCTION("""COMPUTED_VALUE"""),"08/03 Feeder Penuh 14/11 Feeder redeti
5/11 Feeder Redaman Tinggi
1/11 Aaanwijzing")</f>
        <v>08/03 Feeder Penuh 14/11 Feeder redeti
5/11 Feeder Redaman Tinggi
1/11 Aaanwijzing</v>
      </c>
      <c r="R2077" s="228"/>
      <c r="S2077" s="11"/>
      <c r="T2077" s="11"/>
      <c r="U2077" s="11"/>
      <c r="V2077" s="229"/>
      <c r="W2077" s="229"/>
      <c r="X2077" s="229" t="str">
        <f>IFERROR(__xludf.DUMMYFUNCTION("""COMPUTED_VALUE"""),"BELUM GOLIVE")</f>
        <v>BELUM GOLIVE</v>
      </c>
      <c r="Y2077" s="229"/>
      <c r="Z2077" s="229" t="str">
        <f>IFERROR(__xludf.DUMMYFUNCTION("""COMPUTED_VALUE"""),"#N/A")</f>
        <v>#N/A</v>
      </c>
      <c r="AA2077" s="229"/>
      <c r="AB2077" s="229"/>
      <c r="AC2077" s="229"/>
      <c r="AD2077" s="232"/>
      <c r="AE2077" s="233"/>
      <c r="AF2077" s="54"/>
      <c r="AG2077" s="54"/>
      <c r="AH2077" s="54"/>
      <c r="AI2077" s="55" t="str">
        <f t="shared" si="203"/>
        <v/>
      </c>
      <c r="AW2077" s="234"/>
      <c r="BP2077" s="11"/>
      <c r="BQ2077" s="11"/>
      <c r="BR2077" s="235"/>
      <c r="BV2077" s="158"/>
      <c r="BY2077" s="158"/>
      <c r="CB2077" s="158"/>
    </row>
    <row r="2078" ht="18.0" hidden="1" customHeight="1">
      <c r="A2078" s="222">
        <f>IFERROR(__xludf.DUMMYFUNCTION("""COMPUTED_VALUE"""),2026.0)</f>
        <v>2026</v>
      </c>
      <c r="B2078" s="221">
        <f>IFERROR(__xludf.DUMMYFUNCTION("""COMPUTED_VALUE"""),1.1968492E7)</f>
        <v>11968492</v>
      </c>
      <c r="C2078" s="222" t="str">
        <f>IFERROR(__xludf.DUMMYFUNCTION("""COMPUTED_VALUE"""),"MDN PT3 LBP-FX JL.BATU VII_MD25")</f>
        <v>MDN PT3 LBP-FX JL.BATU VII_MD25</v>
      </c>
      <c r="D2078" s="222" t="str">
        <f>IFERROR(__xludf.DUMMYFUNCTION("""COMPUTED_VALUE"""),"REGIONAL I")</f>
        <v>REGIONAL I</v>
      </c>
      <c r="E2078" s="222" t="str">
        <f>IFERROR(__xludf.DUMMYFUNCTION("""COMPUTED_VALUE"""),"MEDAN")</f>
        <v>MEDAN</v>
      </c>
      <c r="F2078" s="222" t="str">
        <f>IFERROR(__xludf.DUMMYFUNCTION("""COMPUTED_VALUE"""),"LBP")</f>
        <v>LBP</v>
      </c>
      <c r="G2078" s="222" t="str">
        <f>IFERROR(__xludf.DUMMYFUNCTION("""COMPUTED_VALUE"""),"SUMBAGUT")</f>
        <v>SUMBAGUT</v>
      </c>
      <c r="H2078" s="222" t="str">
        <f>IFERROR(__xludf.DUMMYFUNCTION("""COMPUTED_VALUE"""),"MEDAN")</f>
        <v>MEDAN</v>
      </c>
      <c r="I2078" s="222" t="str">
        <f>IFERROR(__xludf.DUMMYFUNCTION("""COMPUTED_VALUE"""),"Batch 2")</f>
        <v>Batch 2</v>
      </c>
      <c r="J2078" s="225">
        <f>IFERROR(__xludf.DUMMYFUNCTION("""COMPUTED_VALUE"""),6.0)</f>
        <v>6</v>
      </c>
      <c r="K2078" s="224">
        <f>IFERROR(__xludf.DUMMYFUNCTION("""COMPUTED_VALUE"""),48.0)</f>
        <v>48</v>
      </c>
      <c r="L2078" s="226">
        <f>IFERROR(__xludf.DUMMYFUNCTION("""COMPUTED_VALUE"""),878656.0)</f>
        <v>878656</v>
      </c>
      <c r="M2078" s="227">
        <f>IFERROR(__xludf.DUMMYFUNCTION("""COMPUTED_VALUE"""),4.2175461E7)</f>
        <v>42175461</v>
      </c>
      <c r="N2078" s="222" t="str">
        <f>IFERROR(__xludf.DUMMYFUNCTION("""COMPUTED_VALUE"""),"PT TEKNOLOGI KARYA MANDIRI")</f>
        <v>PT TEKNOLOGI KARYA MANDIRI</v>
      </c>
      <c r="O2078" s="222" t="str">
        <f>IFERROR(__xludf.DUMMYFUNCTION("""COMPUTED_VALUE"""),"7. GOLIVE")</f>
        <v>7. GOLIVE</v>
      </c>
      <c r="P2078" s="222" t="str">
        <f>IFERROR(__xludf.DUMMYFUNCTION("""COMPUTED_VALUE"""),"7.2 Golive Full / OA / DONE OTB")</f>
        <v>7.2 Golive Full / OA / DONE OTB</v>
      </c>
      <c r="Q2078" s="222" t="str">
        <f>IFERROR(__xludf.DUMMYFUNCTION("""COMPUTED_VALUE"""),"14/04 golive sdi
13/04 pengecekan abd mancore
11/04 pemasangan odp &amp; terminasi
10/04 proses tanam tiang
07/04 proses matrial
04/04 feeder ok
(07/01) Persiapan")</f>
        <v>14/04 golive sdi
13/04 pengecekan abd mancore
11/04 pemasangan odp &amp; terminasi
10/04 proses tanam tiang
07/04 proses matrial
04/04 feeder ok
(07/01) Persiapan</v>
      </c>
      <c r="R2078" s="228">
        <f>IFERROR(__xludf.DUMMYFUNCTION("""COMPUTED_VALUE"""),46126.0)</f>
        <v>46126</v>
      </c>
      <c r="S2078" s="11"/>
      <c r="T2078" s="73"/>
      <c r="U2078" s="11"/>
      <c r="V2078" s="229" t="str">
        <f>IFERROR(__xludf.DUMMYFUNCTION("""COMPUTED_VALUE"""),"13/Apr/2026")</f>
        <v>13/Apr/2026</v>
      </c>
      <c r="W2078" s="229"/>
      <c r="X2078" s="229" t="str">
        <f>IFERROR(__xludf.DUMMYFUNCTION("""COMPUTED_VALUE"""),"GOLIVE")</f>
        <v>GOLIVE</v>
      </c>
      <c r="Y2078" s="229" t="str">
        <f>IFERROR(__xludf.DUMMYFUNCTION("""COMPUTED_VALUE"""),"DONE")</f>
        <v>DONE</v>
      </c>
      <c r="Z2078" s="229" t="str">
        <f>IFERROR(__xludf.DUMMYFUNCTION("""COMPUTED_VALUE"""),"#N/A")</f>
        <v>#N/A</v>
      </c>
      <c r="AA2078" s="229">
        <f>IFERROR(__xludf.DUMMYFUNCTION("""COMPUTED_VALUE"""),6.0)</f>
        <v>6</v>
      </c>
      <c r="AB2078" s="229"/>
      <c r="AC2078" s="229" t="str">
        <f>IFERROR(__xludf.DUMMYFUNCTION("""COMPUTED_VALUE"""),"9271383#9271388")</f>
        <v>9271383#9271388</v>
      </c>
      <c r="AD2078" s="232">
        <f>IFERROR(__xludf.DUMMYFUNCTION("""COMPUTED_VALUE"""),48.0)</f>
        <v>48</v>
      </c>
      <c r="AE2078" s="233">
        <f>IFERROR(__xludf.DUMMYFUNCTION("""COMPUTED_VALUE"""),46126.0)</f>
        <v>46126</v>
      </c>
      <c r="AF2078" s="54"/>
      <c r="AG2078" s="54"/>
      <c r="AH2078" s="54"/>
      <c r="AI2078" s="55">
        <f t="shared" si="203"/>
        <v>0</v>
      </c>
      <c r="AW2078" s="234"/>
      <c r="BP2078" s="11"/>
      <c r="BQ2078" s="11"/>
      <c r="BR2078" s="235"/>
      <c r="BV2078" s="158"/>
      <c r="BY2078" s="158"/>
      <c r="CB2078" s="158"/>
    </row>
    <row r="2079" ht="18.0" hidden="1" customHeight="1">
      <c r="A2079" s="222">
        <f>IFERROR(__xludf.DUMMYFUNCTION("""COMPUTED_VALUE"""),2026.0)</f>
        <v>2026</v>
      </c>
      <c r="B2079" s="221">
        <f>IFERROR(__xludf.DUMMYFUNCTION("""COMPUTED_VALUE"""),1.2090999E7)</f>
        <v>12090999</v>
      </c>
      <c r="C2079" s="222" t="str">
        <f>IFERROR(__xludf.DUMMYFUNCTION("""COMPUTED_VALUE"""),"MDN PT3 PDB-FN KOMP D'REGALLE_MD25")</f>
        <v>MDN PT3 PDB-FN KOMP D'REGALLE_MD25</v>
      </c>
      <c r="D2079" s="222" t="str">
        <f>IFERROR(__xludf.DUMMYFUNCTION("""COMPUTED_VALUE"""),"REGIONAL I")</f>
        <v>REGIONAL I</v>
      </c>
      <c r="E2079" s="222" t="str">
        <f>IFERROR(__xludf.DUMMYFUNCTION("""COMPUTED_VALUE"""),"MEDAN")</f>
        <v>MEDAN</v>
      </c>
      <c r="F2079" s="222" t="str">
        <f>IFERROR(__xludf.DUMMYFUNCTION("""COMPUTED_VALUE"""),"PDB")</f>
        <v>PDB</v>
      </c>
      <c r="G2079" s="222" t="str">
        <f>IFERROR(__xludf.DUMMYFUNCTION("""COMPUTED_VALUE"""),"SUMBAGUT")</f>
        <v>SUMBAGUT</v>
      </c>
      <c r="H2079" s="222" t="str">
        <f>IFERROR(__xludf.DUMMYFUNCTION("""COMPUTED_VALUE"""),"MEDAN")</f>
        <v>MEDAN</v>
      </c>
      <c r="I2079" s="222" t="str">
        <f>IFERROR(__xludf.DUMMYFUNCTION("""COMPUTED_VALUE"""),"Batch 2")</f>
        <v>Batch 2</v>
      </c>
      <c r="J2079" s="225">
        <f>IFERROR(__xludf.DUMMYFUNCTION("""COMPUTED_VALUE"""),12.0)</f>
        <v>12</v>
      </c>
      <c r="K2079" s="224">
        <f>IFERROR(__xludf.DUMMYFUNCTION("""COMPUTED_VALUE"""),96.0)</f>
        <v>96</v>
      </c>
      <c r="L2079" s="226">
        <f>IFERROR(__xludf.DUMMYFUNCTION("""COMPUTED_VALUE"""),812793.0)</f>
        <v>812793</v>
      </c>
      <c r="M2079" s="227">
        <f>IFERROR(__xludf.DUMMYFUNCTION("""COMPUTED_VALUE"""),7.8028055E7)</f>
        <v>78028055</v>
      </c>
      <c r="N2079" s="222" t="str">
        <f>IFERROR(__xludf.DUMMYFUNCTION("""COMPUTED_VALUE"""),"PT BANGUN PRIMA SEMESTA")</f>
        <v>PT BANGUN PRIMA SEMESTA</v>
      </c>
      <c r="O2079" s="222" t="str">
        <f>IFERROR(__xludf.DUMMYFUNCTION("""COMPUTED_VALUE"""),"2. DONE AANWIJZING")</f>
        <v>2. DONE AANWIJZING</v>
      </c>
      <c r="P2079" s="222" t="str">
        <f>IFERROR(__xludf.DUMMYFUNCTION("""COMPUTED_VALUE"""),"2.10 Kendala - Feeder Rusak")</f>
        <v>2.10 Kendala - Feeder Rusak</v>
      </c>
      <c r="Q2079" s="222" t="str">
        <f>IFERROR(__xludf.DUMMYFUNCTION("""COMPUTED_VALUE"""),"15/01 Feeder Redaman TInggi
14/11 propose drop cut off order 2025")</f>
        <v>15/01 Feeder Redaman TInggi
14/11 propose drop cut off order 2025</v>
      </c>
      <c r="R2079" s="228"/>
      <c r="S2079" s="11"/>
      <c r="T2079" s="11"/>
      <c r="U2079" s="11"/>
      <c r="V2079" s="229"/>
      <c r="W2079" s="229"/>
      <c r="X2079" s="229" t="str">
        <f>IFERROR(__xludf.DUMMYFUNCTION("""COMPUTED_VALUE"""),"BELUM GOLIVE")</f>
        <v>BELUM GOLIVE</v>
      </c>
      <c r="Y2079" s="229"/>
      <c r="Z2079" s="229" t="str">
        <f>IFERROR(__xludf.DUMMYFUNCTION("""COMPUTED_VALUE"""),"#N/A")</f>
        <v>#N/A</v>
      </c>
      <c r="AA2079" s="229"/>
      <c r="AB2079" s="229"/>
      <c r="AC2079" s="229"/>
      <c r="AD2079" s="232"/>
      <c r="AE2079" s="233"/>
      <c r="AF2079" s="54"/>
      <c r="AG2079" s="54"/>
      <c r="AH2079" s="54"/>
      <c r="AI2079" s="55" t="str">
        <f t="shared" si="203"/>
        <v/>
      </c>
      <c r="AW2079" s="234"/>
      <c r="BP2079" s="11"/>
      <c r="BQ2079" s="11"/>
      <c r="BR2079" s="235"/>
      <c r="BV2079" s="158"/>
      <c r="BY2079" s="158"/>
      <c r="CB2079" s="158"/>
    </row>
    <row r="2080" ht="18.0" hidden="1" customHeight="1">
      <c r="A2080" s="222">
        <f>IFERROR(__xludf.DUMMYFUNCTION("""COMPUTED_VALUE"""),2026.0)</f>
        <v>2026</v>
      </c>
      <c r="B2080" s="221">
        <f>IFERROR(__xludf.DUMMYFUNCTION("""COMPUTED_VALUE"""),1.2091088E7)</f>
        <v>12091088</v>
      </c>
      <c r="C2080" s="222" t="str">
        <f>IFERROR(__xludf.DUMMYFUNCTION("""COMPUTED_VALUE"""),"MDN PT3 PDB-FAC TASBIH 2")</f>
        <v>MDN PT3 PDB-FAC TASBIH 2</v>
      </c>
      <c r="D2080" s="222" t="str">
        <f>IFERROR(__xludf.DUMMYFUNCTION("""COMPUTED_VALUE"""),"REGIONAL I")</f>
        <v>REGIONAL I</v>
      </c>
      <c r="E2080" s="222" t="str">
        <f>IFERROR(__xludf.DUMMYFUNCTION("""COMPUTED_VALUE"""),"MEDAN")</f>
        <v>MEDAN</v>
      </c>
      <c r="F2080" s="222" t="str">
        <f>IFERROR(__xludf.DUMMYFUNCTION("""COMPUTED_VALUE"""),"PDB")</f>
        <v>PDB</v>
      </c>
      <c r="G2080" s="222" t="str">
        <f>IFERROR(__xludf.DUMMYFUNCTION("""COMPUTED_VALUE"""),"SUMBAGUT")</f>
        <v>SUMBAGUT</v>
      </c>
      <c r="H2080" s="222" t="str">
        <f>IFERROR(__xludf.DUMMYFUNCTION("""COMPUTED_VALUE"""),"MEDAN")</f>
        <v>MEDAN</v>
      </c>
      <c r="I2080" s="222" t="str">
        <f>IFERROR(__xludf.DUMMYFUNCTION("""COMPUTED_VALUE"""),"Batch 2")</f>
        <v>Batch 2</v>
      </c>
      <c r="J2080" s="225">
        <f>IFERROR(__xludf.DUMMYFUNCTION("""COMPUTED_VALUE"""),6.0)</f>
        <v>6</v>
      </c>
      <c r="K2080" s="224">
        <f>IFERROR(__xludf.DUMMYFUNCTION("""COMPUTED_VALUE"""),48.0)</f>
        <v>48</v>
      </c>
      <c r="L2080" s="226">
        <f>IFERROR(__xludf.DUMMYFUNCTION("""COMPUTED_VALUE"""),521237.0)</f>
        <v>521237</v>
      </c>
      <c r="M2080" s="227">
        <f>IFERROR(__xludf.DUMMYFUNCTION("""COMPUTED_VALUE"""),2.5019364E7)</f>
        <v>25019364</v>
      </c>
      <c r="N2080" s="222" t="str">
        <f>IFERROR(__xludf.DUMMYFUNCTION("""COMPUTED_VALUE"""),"PT GLOBAL KARYA WANDA")</f>
        <v>PT GLOBAL KARYA WANDA</v>
      </c>
      <c r="O2080" s="222" t="str">
        <f>IFERROR(__xludf.DUMMYFUNCTION("""COMPUTED_VALUE"""),"7. GOLIVE")</f>
        <v>7. GOLIVE</v>
      </c>
      <c r="P2080" s="222" t="str">
        <f>IFERROR(__xludf.DUMMYFUNCTION("""COMPUTED_VALUE"""),"7.2 Golive Full / OA / DONE OTB")</f>
        <v>7.2 Golive Full / OA / DONE OTB</v>
      </c>
      <c r="Q2080" s="222" t="str">
        <f>IFERROR(__xludf.DUMMYFUNCTION("""COMPUTED_VALUE"""),"09/04 pemasangan ODP 08/04 penarikan kabel
31/03 commcase acc, lnjut menunggu matdel 02/03 menunggu eval 26/02 done order")</f>
        <v>09/04 pemasangan ODP 08/04 penarikan kabel
31/03 commcase acc, lnjut menunggu matdel 02/03 menunggu eval 26/02 done order</v>
      </c>
      <c r="R2080" s="228">
        <f>IFERROR(__xludf.DUMMYFUNCTION("""COMPUTED_VALUE"""),46126.0)</f>
        <v>46126</v>
      </c>
      <c r="S2080" s="11"/>
      <c r="T2080" s="73"/>
      <c r="U2080" s="11"/>
      <c r="V2080" s="229" t="str">
        <f>IFERROR(__xludf.DUMMYFUNCTION("""COMPUTED_VALUE"""),"13/Apr/2026")</f>
        <v>13/Apr/2026</v>
      </c>
      <c r="W2080" s="229"/>
      <c r="X2080" s="229" t="str">
        <f>IFERROR(__xludf.DUMMYFUNCTION("""COMPUTED_VALUE"""),"GOLIVE")</f>
        <v>GOLIVE</v>
      </c>
      <c r="Y2080" s="229" t="str">
        <f>IFERROR(__xludf.DUMMYFUNCTION("""COMPUTED_VALUE"""),"DONE")</f>
        <v>DONE</v>
      </c>
      <c r="Z2080" s="229" t="str">
        <f>IFERROR(__xludf.DUMMYFUNCTION("""COMPUTED_VALUE"""),"#N/A")</f>
        <v>#N/A</v>
      </c>
      <c r="AA2080" s="229">
        <f>IFERROR(__xludf.DUMMYFUNCTION("""COMPUTED_VALUE"""),6.0)</f>
        <v>6</v>
      </c>
      <c r="AB2080" s="229"/>
      <c r="AC2080" s="229" t="str">
        <f>IFERROR(__xludf.DUMMYFUNCTION("""COMPUTED_VALUE"""),"9270732#9270737")</f>
        <v>9270732#9270737</v>
      </c>
      <c r="AD2080" s="232">
        <f>IFERROR(__xludf.DUMMYFUNCTION("""COMPUTED_VALUE"""),48.0)</f>
        <v>48</v>
      </c>
      <c r="AE2080" s="233">
        <f>IFERROR(__xludf.DUMMYFUNCTION("""COMPUTED_VALUE"""),46126.0)</f>
        <v>46126</v>
      </c>
      <c r="AF2080" s="54"/>
      <c r="AG2080" s="54"/>
      <c r="AH2080" s="54"/>
      <c r="AI2080" s="55">
        <f t="shared" si="203"/>
        <v>0</v>
      </c>
      <c r="AW2080" s="234"/>
      <c r="BP2080" s="11"/>
      <c r="BQ2080" s="11"/>
      <c r="BR2080" s="235"/>
      <c r="BV2080" s="158"/>
      <c r="BY2080" s="158"/>
      <c r="CB2080" s="158"/>
    </row>
    <row r="2081" ht="18.0" hidden="1" customHeight="1">
      <c r="A2081" s="222">
        <f>IFERROR(__xludf.DUMMYFUNCTION("""COMPUTED_VALUE"""),2026.0)</f>
        <v>2026</v>
      </c>
      <c r="B2081" s="221">
        <f>IFERROR(__xludf.DUMMYFUNCTION("""COMPUTED_VALUE"""),1.1192681E7)</f>
        <v>11192681</v>
      </c>
      <c r="C2081" s="222" t="str">
        <f>IFERROR(__xludf.DUMMYFUNCTION("""COMPUTED_VALUE"""),"MDN PT3 P7I8 GLG-FH JL.INPRES PISANG")</f>
        <v>MDN PT3 P7I8 GLG-FH JL.INPRES PISANG</v>
      </c>
      <c r="D2081" s="222" t="str">
        <f>IFERROR(__xludf.DUMMYFUNCTION("""COMPUTED_VALUE"""),"REGIONAL I")</f>
        <v>REGIONAL I</v>
      </c>
      <c r="E2081" s="222" t="str">
        <f>IFERROR(__xludf.DUMMYFUNCTION("""COMPUTED_VALUE"""),"MEDAN")</f>
        <v>MEDAN</v>
      </c>
      <c r="F2081" s="222" t="str">
        <f>IFERROR(__xludf.DUMMYFUNCTION("""COMPUTED_VALUE"""),"GLG")</f>
        <v>GLG</v>
      </c>
      <c r="G2081" s="222" t="str">
        <f>IFERROR(__xludf.DUMMYFUNCTION("""COMPUTED_VALUE"""),"SUMBAGUT")</f>
        <v>SUMBAGUT</v>
      </c>
      <c r="H2081" s="222" t="str">
        <f>IFERROR(__xludf.DUMMYFUNCTION("""COMPUTED_VALUE"""),"MEDAN")</f>
        <v>MEDAN</v>
      </c>
      <c r="I2081" s="222" t="str">
        <f>IFERROR(__xludf.DUMMYFUNCTION("""COMPUTED_VALUE"""),"Batch 2")</f>
        <v>Batch 2</v>
      </c>
      <c r="J2081" s="225">
        <f>IFERROR(__xludf.DUMMYFUNCTION("""COMPUTED_VALUE"""),9.0)</f>
        <v>9</v>
      </c>
      <c r="K2081" s="224">
        <f>IFERROR(__xludf.DUMMYFUNCTION("""COMPUTED_VALUE"""),72.0)</f>
        <v>72</v>
      </c>
      <c r="L2081" s="226">
        <f>IFERROR(__xludf.DUMMYFUNCTION("""COMPUTED_VALUE"""),1015748.0)</f>
        <v>1015748</v>
      </c>
      <c r="M2081" s="227">
        <f>IFERROR(__xludf.DUMMYFUNCTION("""COMPUTED_VALUE"""),7.3133815E7)</f>
        <v>73133815</v>
      </c>
      <c r="N2081" s="222" t="str">
        <f>IFERROR(__xludf.DUMMYFUNCTION("""COMPUTED_VALUE"""),"PT NIAGA NUSANTARA DIVA")</f>
        <v>PT NIAGA NUSANTARA DIVA</v>
      </c>
      <c r="O2081" s="222" t="str">
        <f>IFERROR(__xludf.DUMMYFUNCTION("""COMPUTED_VALUE"""),"2. DONE AANWIJZING")</f>
        <v>2. DONE AANWIJZING</v>
      </c>
      <c r="P2081" s="222" t="str">
        <f>IFERROR(__xludf.DUMMYFUNCTION("""COMPUTED_VALUE"""),"2.10 Kendala - Feeder Rusak")</f>
        <v>2.10 Kendala - Feeder Rusak</v>
      </c>
      <c r="Q2081" s="222" t="str">
        <f>IFERROR(__xludf.DUMMYFUNCTION("""COMPUTED_VALUE"""),"20/04 pengecekan tipus/butuh qe
05/02 feeder loss/rusak 
(07/01) Persiapan")</f>
        <v>20/04 pengecekan tipus/butuh qe
05/02 feeder loss/rusak 
(07/01) Persiapan</v>
      </c>
      <c r="R2081" s="228"/>
      <c r="S2081" s="11"/>
      <c r="T2081" s="11"/>
      <c r="U2081" s="11"/>
      <c r="V2081" s="229"/>
      <c r="W2081" s="229"/>
      <c r="X2081" s="229" t="str">
        <f>IFERROR(__xludf.DUMMYFUNCTION("""COMPUTED_VALUE"""),"BELUM GOLIVE")</f>
        <v>BELUM GOLIVE</v>
      </c>
      <c r="Y2081" s="229"/>
      <c r="Z2081" s="229" t="str">
        <f>IFERROR(__xludf.DUMMYFUNCTION("""COMPUTED_VALUE"""),"#N/A")</f>
        <v>#N/A</v>
      </c>
      <c r="AA2081" s="229"/>
      <c r="AB2081" s="229"/>
      <c r="AC2081" s="229"/>
      <c r="AD2081" s="232"/>
      <c r="AE2081" s="233"/>
      <c r="AF2081" s="54"/>
      <c r="AG2081" s="54"/>
      <c r="AH2081" s="54"/>
      <c r="AI2081" s="55" t="str">
        <f t="shared" si="203"/>
        <v/>
      </c>
      <c r="AW2081" s="234"/>
      <c r="BP2081" s="11"/>
      <c r="BQ2081" s="11"/>
      <c r="BR2081" s="235"/>
      <c r="BV2081" s="158"/>
      <c r="BY2081" s="158"/>
      <c r="CB2081" s="158"/>
    </row>
    <row r="2082" ht="18.0" hidden="1" customHeight="1">
      <c r="A2082" s="222">
        <f>IFERROR(__xludf.DUMMYFUNCTION("""COMPUTED_VALUE"""),2026.0)</f>
        <v>2026</v>
      </c>
      <c r="B2082" s="221">
        <f>IFERROR(__xludf.DUMMYFUNCTION("""COMPUTED_VALUE"""),1.2090065E7)</f>
        <v>12090065</v>
      </c>
      <c r="C2082" s="222" t="str">
        <f>IFERROR(__xludf.DUMMYFUNCTION("""COMPUTED_VALUE"""),"MDN PT3 SPM-FAX JL.KARYA APRIL_MD25")</f>
        <v>MDN PT3 SPM-FAX JL.KARYA APRIL_MD25</v>
      </c>
      <c r="D2082" s="222" t="str">
        <f>IFERROR(__xludf.DUMMYFUNCTION("""COMPUTED_VALUE"""),"REGIONAL I")</f>
        <v>REGIONAL I</v>
      </c>
      <c r="E2082" s="222" t="str">
        <f>IFERROR(__xludf.DUMMYFUNCTION("""COMPUTED_VALUE"""),"MEDAN")</f>
        <v>MEDAN</v>
      </c>
      <c r="F2082" s="222" t="str">
        <f>IFERROR(__xludf.DUMMYFUNCTION("""COMPUTED_VALUE"""),"SPM")</f>
        <v>SPM</v>
      </c>
      <c r="G2082" s="222" t="str">
        <f>IFERROR(__xludf.DUMMYFUNCTION("""COMPUTED_VALUE"""),"SUMBAGUT")</f>
        <v>SUMBAGUT</v>
      </c>
      <c r="H2082" s="222" t="str">
        <f>IFERROR(__xludf.DUMMYFUNCTION("""COMPUTED_VALUE"""),"MEDAN")</f>
        <v>MEDAN</v>
      </c>
      <c r="I2082" s="222" t="str">
        <f>IFERROR(__xludf.DUMMYFUNCTION("""COMPUTED_VALUE"""),"Batch 2")</f>
        <v>Batch 2</v>
      </c>
      <c r="J2082" s="225">
        <f>IFERROR(__xludf.DUMMYFUNCTION("""COMPUTED_VALUE"""),3.0)</f>
        <v>3</v>
      </c>
      <c r="K2082" s="224">
        <f>IFERROR(__xludf.DUMMYFUNCTION("""COMPUTED_VALUE"""),24.0)</f>
        <v>24</v>
      </c>
      <c r="L2082" s="226">
        <f>IFERROR(__xludf.DUMMYFUNCTION("""COMPUTED_VALUE"""),387087.0)</f>
        <v>387087</v>
      </c>
      <c r="M2082" s="227">
        <f>IFERROR(__xludf.DUMMYFUNCTION("""COMPUTED_VALUE"""),9290082.0)</f>
        <v>9290082</v>
      </c>
      <c r="N2082" s="222" t="str">
        <f>IFERROR(__xludf.DUMMYFUNCTION("""COMPUTED_VALUE"""),"PT WALET SOLUSINDO")</f>
        <v>PT WALET SOLUSINDO</v>
      </c>
      <c r="O2082" s="222" t="str">
        <f>IFERROR(__xludf.DUMMYFUNCTION("""COMPUTED_VALUE"""),"0. DROP")</f>
        <v>0. DROP</v>
      </c>
      <c r="P2082" s="222" t="str">
        <f>IFERROR(__xludf.DUMMYFUNCTION("""COMPUTED_VALUE"""),"0.3 Feeder Full")</f>
        <v>0.3 Feeder Full</v>
      </c>
      <c r="Q2082" s="222" t="str">
        <f>IFERROR(__xludf.DUMMYFUNCTION("""COMPUTED_VALUE"""),"08/03 Feeder Penuh 18/02 Feeder tidak tembus 12/02 Done Order")</f>
        <v>08/03 Feeder Penuh 18/02 Feeder tidak tembus 12/02 Done Order</v>
      </c>
      <c r="R2082" s="228"/>
      <c r="S2082" s="11"/>
      <c r="T2082" s="11"/>
      <c r="U2082" s="11"/>
      <c r="V2082" s="229"/>
      <c r="W2082" s="229"/>
      <c r="X2082" s="229" t="str">
        <f>IFERROR(__xludf.DUMMYFUNCTION("""COMPUTED_VALUE"""),"BELUM GOLIVE")</f>
        <v>BELUM GOLIVE</v>
      </c>
      <c r="Y2082" s="229"/>
      <c r="Z2082" s="229" t="str">
        <f>IFERROR(__xludf.DUMMYFUNCTION("""COMPUTED_VALUE"""),"#N/A")</f>
        <v>#N/A</v>
      </c>
      <c r="AA2082" s="229"/>
      <c r="AB2082" s="229"/>
      <c r="AC2082" s="229"/>
      <c r="AD2082" s="232"/>
      <c r="AE2082" s="233"/>
      <c r="AF2082" s="54"/>
      <c r="AG2082" s="54"/>
      <c r="AH2082" s="54"/>
      <c r="AI2082" s="55" t="str">
        <f t="shared" si="203"/>
        <v/>
      </c>
      <c r="AW2082" s="234"/>
      <c r="BP2082" s="11"/>
      <c r="BQ2082" s="11"/>
      <c r="BR2082" s="235"/>
      <c r="BV2082" s="158"/>
      <c r="BY2082" s="158"/>
      <c r="CB2082" s="158"/>
    </row>
    <row r="2083" ht="18.0" hidden="1" customHeight="1">
      <c r="A2083" s="222">
        <f>IFERROR(__xludf.DUMMYFUNCTION("""COMPUTED_VALUE"""),2026.0)</f>
        <v>2026</v>
      </c>
      <c r="B2083" s="221">
        <f>IFERROR(__xludf.DUMMYFUNCTION("""COMPUTED_VALUE"""),1.2090169E7)</f>
        <v>12090169</v>
      </c>
      <c r="C2083" s="222" t="str">
        <f>IFERROR(__xludf.DUMMYFUNCTION("""COMPUTED_VALUE"""),"MDN PT3 SPM-FCH JL.BAJAK V_MD25")</f>
        <v>MDN PT3 SPM-FCH JL.BAJAK V_MD25</v>
      </c>
      <c r="D2083" s="222" t="str">
        <f>IFERROR(__xludf.DUMMYFUNCTION("""COMPUTED_VALUE"""),"REGIONAL I")</f>
        <v>REGIONAL I</v>
      </c>
      <c r="E2083" s="222" t="str">
        <f>IFERROR(__xludf.DUMMYFUNCTION("""COMPUTED_VALUE"""),"MEDAN")</f>
        <v>MEDAN</v>
      </c>
      <c r="F2083" s="222" t="str">
        <f>IFERROR(__xludf.DUMMYFUNCTION("""COMPUTED_VALUE"""),"SPM")</f>
        <v>SPM</v>
      </c>
      <c r="G2083" s="222" t="str">
        <f>IFERROR(__xludf.DUMMYFUNCTION("""COMPUTED_VALUE"""),"SUMBAGUT")</f>
        <v>SUMBAGUT</v>
      </c>
      <c r="H2083" s="222" t="str">
        <f>IFERROR(__xludf.DUMMYFUNCTION("""COMPUTED_VALUE"""),"MEDAN")</f>
        <v>MEDAN</v>
      </c>
      <c r="I2083" s="222" t="str">
        <f>IFERROR(__xludf.DUMMYFUNCTION("""COMPUTED_VALUE"""),"Batch 2")</f>
        <v>Batch 2</v>
      </c>
      <c r="J2083" s="225">
        <f>IFERROR(__xludf.DUMMYFUNCTION("""COMPUTED_VALUE"""),3.0)</f>
        <v>3</v>
      </c>
      <c r="K2083" s="224">
        <f>IFERROR(__xludf.DUMMYFUNCTION("""COMPUTED_VALUE"""),24.0)</f>
        <v>24</v>
      </c>
      <c r="L2083" s="226">
        <f>IFERROR(__xludf.DUMMYFUNCTION("""COMPUTED_VALUE"""),1022877.0)</f>
        <v>1022877</v>
      </c>
      <c r="M2083" s="227">
        <f>IFERROR(__xludf.DUMMYFUNCTION("""COMPUTED_VALUE"""),2.4549026E7)</f>
        <v>24549026</v>
      </c>
      <c r="N2083" s="222" t="str">
        <f>IFERROR(__xludf.DUMMYFUNCTION("""COMPUTED_VALUE"""),"PT UPENTEL INTERNASIONAL")</f>
        <v>PT UPENTEL INTERNASIONAL</v>
      </c>
      <c r="O2083" s="222" t="str">
        <f>IFERROR(__xludf.DUMMYFUNCTION("""COMPUTED_VALUE"""),"3. PERIZINAN")</f>
        <v>3. PERIZINAN</v>
      </c>
      <c r="P2083" s="222" t="str">
        <f>IFERROR(__xludf.DUMMYFUNCTION("""COMPUTED_VALUE"""),"3.9 Izin Kades / Lurah / RTRW")</f>
        <v>3.9 Izin Kades / Lurah / RTRW</v>
      </c>
      <c r="Q2083" s="222" t="str">
        <f>IFERROR(__xludf.DUMMYFUNCTION("""COMPUTED_VALUE"""),"20/04 pengurusan izin ke kelurahan 16/04 req pembuatan BA Pengantar perizinan ke TIF 09/04 pembuatan surat pengantar 06/04 pembuatan surat pengantar kelurahan 31/03 revisit terkait perizinan estimasi (01/04) 28/03 redesign approved 04/03 menunggu eval ken"&amp;"aikan nilai BoQ &gt; 10% 03/03 pengajuan redesign NEW DS 27/02 done order")</f>
        <v>20/04 pengurusan izin ke kelurahan 16/04 req pembuatan BA Pengantar perizinan ke TIF 09/04 pembuatan surat pengantar 06/04 pembuatan surat pengantar kelurahan 31/03 revisit terkait perizinan estimasi (01/04) 28/03 redesign approved 04/03 menunggu eval kenaikan nilai BoQ &gt; 10% 03/03 pengajuan redesign NEW DS 27/02 done order</v>
      </c>
      <c r="R2083" s="228"/>
      <c r="S2083" s="11"/>
      <c r="T2083" s="73"/>
      <c r="U2083" s="11"/>
      <c r="V2083" s="229" t="str">
        <f>IFERROR(__xludf.DUMMYFUNCTION("""COMPUTED_VALUE"""),"28/Apr/2026")</f>
        <v>28/Apr/2026</v>
      </c>
      <c r="W2083" s="229"/>
      <c r="X2083" s="229" t="str">
        <f>IFERROR(__xludf.DUMMYFUNCTION("""COMPUTED_VALUE"""),"BELUM GOLIVE")</f>
        <v>BELUM GOLIVE</v>
      </c>
      <c r="Y2083" s="229"/>
      <c r="Z2083" s="229" t="str">
        <f>IFERROR(__xludf.DUMMYFUNCTION("""COMPUTED_VALUE"""),"#N/A")</f>
        <v>#N/A</v>
      </c>
      <c r="AA2083" s="229"/>
      <c r="AB2083" s="229"/>
      <c r="AC2083" s="229"/>
      <c r="AD2083" s="232"/>
      <c r="AE2083" s="233"/>
      <c r="AF2083" s="54"/>
      <c r="AG2083" s="54"/>
      <c r="AH2083" s="54"/>
      <c r="AI2083" s="55" t="str">
        <f t="shared" si="203"/>
        <v/>
      </c>
      <c r="AW2083" s="234"/>
      <c r="BP2083" s="11"/>
      <c r="BQ2083" s="11"/>
      <c r="BR2083" s="235"/>
      <c r="BV2083" s="158"/>
      <c r="BY2083" s="158"/>
      <c r="CB2083" s="158"/>
    </row>
    <row r="2084" ht="18.0" hidden="1" customHeight="1">
      <c r="A2084" s="222">
        <f>IFERROR(__xludf.DUMMYFUNCTION("""COMPUTED_VALUE"""),2026.0)</f>
        <v>2026</v>
      </c>
      <c r="B2084" s="221">
        <f>IFERROR(__xludf.DUMMYFUNCTION("""COMPUTED_VALUE"""),1.1365037E7)</f>
        <v>11365037</v>
      </c>
      <c r="C2084" s="222" t="str">
        <f>IFERROR(__xludf.DUMMYFUNCTION("""COMPUTED_VALUE"""),"MDN PT3 P7I9 BJI-FRC JL.MULYO REJO")</f>
        <v>MDN PT3 P7I9 BJI-FRC JL.MULYO REJO</v>
      </c>
      <c r="D2084" s="222" t="str">
        <f>IFERROR(__xludf.DUMMYFUNCTION("""COMPUTED_VALUE"""),"REGIONAL I")</f>
        <v>REGIONAL I</v>
      </c>
      <c r="E2084" s="222" t="str">
        <f>IFERROR(__xludf.DUMMYFUNCTION("""COMPUTED_VALUE"""),"MEDAN")</f>
        <v>MEDAN</v>
      </c>
      <c r="F2084" s="222" t="str">
        <f>IFERROR(__xludf.DUMMYFUNCTION("""COMPUTED_VALUE"""),"BJI")</f>
        <v>BJI</v>
      </c>
      <c r="G2084" s="222" t="str">
        <f>IFERROR(__xludf.DUMMYFUNCTION("""COMPUTED_VALUE"""),"SUMBAGUT")</f>
        <v>SUMBAGUT</v>
      </c>
      <c r="H2084" s="222" t="str">
        <f>IFERROR(__xludf.DUMMYFUNCTION("""COMPUTED_VALUE"""),"BINJAI")</f>
        <v>BINJAI</v>
      </c>
      <c r="I2084" s="222" t="str">
        <f>IFERROR(__xludf.DUMMYFUNCTION("""COMPUTED_VALUE"""),"Batch 2")</f>
        <v>Batch 2</v>
      </c>
      <c r="J2084" s="225">
        <f>IFERROR(__xludf.DUMMYFUNCTION("""COMPUTED_VALUE"""),3.0)</f>
        <v>3</v>
      </c>
      <c r="K2084" s="224">
        <f>IFERROR(__xludf.DUMMYFUNCTION("""COMPUTED_VALUE"""),24.0)</f>
        <v>24</v>
      </c>
      <c r="L2084" s="226">
        <f>IFERROR(__xludf.DUMMYFUNCTION("""COMPUTED_VALUE"""),1265103.0)</f>
        <v>1265103</v>
      </c>
      <c r="M2084" s="227">
        <f>IFERROR(__xludf.DUMMYFUNCTION("""COMPUTED_VALUE"""),3.0362465E7)</f>
        <v>30362465</v>
      </c>
      <c r="N2084" s="222" t="str">
        <f>IFERROR(__xludf.DUMMYFUNCTION("""COMPUTED_VALUE"""),"PT ALAM UTAMA MULIA")</f>
        <v>PT ALAM UTAMA MULIA</v>
      </c>
      <c r="O2084" s="222" t="str">
        <f>IFERROR(__xludf.DUMMYFUNCTION("""COMPUTED_VALUE"""),"0. DROP")</f>
        <v>0. DROP</v>
      </c>
      <c r="P2084" s="222" t="str">
        <f>IFERROR(__xludf.DUMMYFUNCTION("""COMPUTED_VALUE"""),"0.4 CPP Tinggi Acc ED TIF")</f>
        <v>0.4 CPP Tinggi Acc ED TIF</v>
      </c>
      <c r="Q2084" s="222" t="str">
        <f>IFERROR(__xludf.DUMMYFUNCTION("""COMPUTED_VALUE"""),"16/10 Feeder Redaman Tinggi
(24/09) Perizinan Warga dan Kades / Lurah
(23/09) Perizinan Warga dan Kades / Lurah
15/09 proses aanwijzing")</f>
        <v>16/10 Feeder Redaman Tinggi
(24/09) Perizinan Warga dan Kades / Lurah
(23/09) Perizinan Warga dan Kades / Lurah
15/09 proses aanwijzing</v>
      </c>
      <c r="R2084" s="228"/>
      <c r="S2084" s="11"/>
      <c r="T2084" s="11"/>
      <c r="U2084" s="11"/>
      <c r="V2084" s="229"/>
      <c r="W2084" s="229"/>
      <c r="X2084" s="229" t="str">
        <f>IFERROR(__xludf.DUMMYFUNCTION("""COMPUTED_VALUE"""),"BELUM GOLIVE")</f>
        <v>BELUM GOLIVE</v>
      </c>
      <c r="Y2084" s="229"/>
      <c r="Z2084" s="229" t="str">
        <f>IFERROR(__xludf.DUMMYFUNCTION("""COMPUTED_VALUE"""),"#N/A")</f>
        <v>#N/A</v>
      </c>
      <c r="AA2084" s="229"/>
      <c r="AB2084" s="229"/>
      <c r="AC2084" s="229"/>
      <c r="AD2084" s="232"/>
      <c r="AE2084" s="233"/>
      <c r="AF2084" s="54" t="str">
        <f>IFERROR(__xludf.DUMMYFUNCTION("""COMPUTED_VALUE"""),"Draft BA DROP")</f>
        <v>Draft BA DROP</v>
      </c>
      <c r="AG2084" s="54"/>
      <c r="AH2084" s="54">
        <v>46134.0</v>
      </c>
      <c r="AI2084" s="237">
        <f>AH2084-NOW()</f>
        <v>-6.377989942</v>
      </c>
      <c r="AJ2084" s="229" t="str">
        <f>if(AI2084&gt;=0,"In Komitmen","Out Komitmen")</f>
        <v>Out Komitmen</v>
      </c>
      <c r="AK2084" s="229" t="s">
        <v>199</v>
      </c>
      <c r="AW2084" s="234"/>
      <c r="BP2084" s="11"/>
      <c r="BQ2084" s="11"/>
      <c r="BR2084" s="235"/>
      <c r="BV2084" s="158"/>
      <c r="BY2084" s="158"/>
      <c r="CB2084" s="158"/>
    </row>
    <row r="2085" ht="18.0" customHeight="1">
      <c r="A2085" s="222">
        <f>IFERROR(__xludf.DUMMYFUNCTION("""COMPUTED_VALUE"""),2026.0)</f>
        <v>2026</v>
      </c>
      <c r="B2085" s="221">
        <f>IFERROR(__xludf.DUMMYFUNCTION("""COMPUTED_VALUE"""),1.1288367E7)</f>
        <v>11288367</v>
      </c>
      <c r="C2085" s="222" t="str">
        <f>IFERROR(__xludf.DUMMYFUNCTION("""COMPUTED_VALUE"""),"RDR PPN PT4 P2I2 PASAR MUARA RUMBAI")</f>
        <v>RDR PPN PT4 P2I2 PASAR MUARA RUMBAI</v>
      </c>
      <c r="D2085" s="222" t="str">
        <f>IFERROR(__xludf.DUMMYFUNCTION("""COMPUTED_VALUE"""),"REGIONAL I")</f>
        <v>REGIONAL I</v>
      </c>
      <c r="E2085" s="222" t="str">
        <f>IFERROR(__xludf.DUMMYFUNCTION("""COMPUTED_VALUE"""),"RIDAR")</f>
        <v>RIDAR</v>
      </c>
      <c r="F2085" s="222" t="str">
        <f>IFERROR(__xludf.DUMMYFUNCTION("""COMPUTED_VALUE"""),"PPN")</f>
        <v>PPN</v>
      </c>
      <c r="G2085" s="222" t="str">
        <f>IFERROR(__xludf.DUMMYFUNCTION("""COMPUTED_VALUE"""),"SUMBAGTENG")</f>
        <v>SUMBAGTENG</v>
      </c>
      <c r="H2085" s="222" t="str">
        <f>IFERROR(__xludf.DUMMYFUNCTION("""COMPUTED_VALUE"""),"DUMAI")</f>
        <v>DUMAI</v>
      </c>
      <c r="I2085" s="222" t="str">
        <f>IFERROR(__xludf.DUMMYFUNCTION("""COMPUTED_VALUE"""),"Batch 2")</f>
        <v>Batch 2</v>
      </c>
      <c r="J2085" s="225">
        <f>IFERROR(__xludf.DUMMYFUNCTION("""COMPUTED_VALUE"""),36.0)</f>
        <v>36</v>
      </c>
      <c r="K2085" s="224">
        <f>IFERROR(__xludf.DUMMYFUNCTION("""COMPUTED_VALUE"""),280.0)</f>
        <v>280</v>
      </c>
      <c r="L2085" s="226">
        <f>IFERROR(__xludf.DUMMYFUNCTION("""COMPUTED_VALUE"""),1580932.0)</f>
        <v>1580932</v>
      </c>
      <c r="M2085" s="227">
        <f>IFERROR(__xludf.DUMMYFUNCTION("""COMPUTED_VALUE"""),4.42660832E8)</f>
        <v>442660832</v>
      </c>
      <c r="N2085" s="222" t="str">
        <f>IFERROR(__xludf.DUMMYFUNCTION("""COMPUTED_VALUE"""),"PT LIBER PERSADA MANDIRI")</f>
        <v>PT LIBER PERSADA MANDIRI</v>
      </c>
      <c r="O2085" s="222" t="str">
        <f>IFERROR(__xludf.DUMMYFUNCTION("""COMPUTED_VALUE"""),"7. GOLIVE")</f>
        <v>7. GOLIVE</v>
      </c>
      <c r="P2085" s="222" t="str">
        <f>IFERROR(__xludf.DUMMYFUNCTION("""COMPUTED_VALUE"""),"7.2 Golive Full / OA / DONE OTB")</f>
        <v>7.2 Golive Full / OA / DONE OTB</v>
      </c>
      <c r="Q2085" s="222" t="str">
        <f>IFERROR(__xludf.DUMMYFUNCTION("""COMPUTED_VALUE"""),"20/04 Terminasi ODP 13/04 Tim gali baru selesai dari pekerjaan Node B, estimasi 2hr lagi sudah lanjut progres 06/04 Menunggu tim gali sampai di pekanbaru 27/03 Menunggu tim gali sampai di pekanbaru, berangkat dari jawa tgl 30 Mar 16/03 Pekerjaan PT3 sudah"&amp;" selesai, Pekerjaan feeder di lanjut setelah RAFI 05/03 Penanaman tiang dan penarikan kabe l20/02 Plan selesai Fisik 06 Mar 10/02 Pengitiman material ke Lokasi 29/01 Menunggu Order Mini OLT 21/01 Terget selesai survey 24 Jan (07/01) Persiapan")</f>
        <v>20/04 Terminasi ODP 13/04 Tim gali baru selesai dari pekerjaan Node B, estimasi 2hr lagi sudah lanjut progres 06/04 Menunggu tim gali sampai di pekanbaru 27/03 Menunggu tim gali sampai di pekanbaru, berangkat dari jawa tgl 30 Mar 16/03 Pekerjaan PT3 sudah selesai, Pekerjaan feeder di lanjut setelah RAFI 05/03 Penanaman tiang dan penarikan kabe l20/02 Plan selesai Fisik 06 Mar 10/02 Pengitiman material ke Lokasi 29/01 Menunggu Order Mini OLT 21/01 Terget selesai survey 24 Jan (07/01) Persiapan</v>
      </c>
      <c r="R2085" s="228">
        <f>IFERROR(__xludf.DUMMYFUNCTION("""COMPUTED_VALUE"""),46139.0)</f>
        <v>46139</v>
      </c>
      <c r="S2085" s="11" t="str">
        <f>IFERROR(__xludf.DUMMYFUNCTION("""COMPUTED_VALUE"""),"APR")</f>
        <v>APR</v>
      </c>
      <c r="T2085" s="11" t="str">
        <f>IFERROR(__xludf.DUMMYFUNCTION("""COMPUTED_VALUE"""),"P1")</f>
        <v>P1</v>
      </c>
      <c r="U2085" s="11" t="str">
        <f>IFERROR(__xludf.DUMMYFUNCTION("""COMPUTED_VALUE"""),"W08-1605/2025")</f>
        <v>W08-1605/2025</v>
      </c>
      <c r="V2085" s="229" t="str">
        <f>IFERROR(__xludf.DUMMYFUNCTION("""COMPUTED_VALUE"""),"ONDI EKA SAPUTRA")</f>
        <v>ONDI EKA SAPUTRA</v>
      </c>
      <c r="W2085" s="229" t="str">
        <f>IFERROR(__xludf.DUMMYFUNCTION("""COMPUTED_VALUE"""),"DESLITA RAHMADANI")</f>
        <v>DESLITA RAHMADANI</v>
      </c>
      <c r="X2085" s="229" t="str">
        <f>IFERROR(__xludf.DUMMYFUNCTION("""COMPUTED_VALUE"""),"GOLIVE")</f>
        <v>GOLIVE</v>
      </c>
      <c r="Y2085" s="229" t="str">
        <f>IFERROR(__xludf.DUMMYFUNCTION("""COMPUTED_VALUE"""),"DONE")</f>
        <v>DONE</v>
      </c>
      <c r="Z2085" s="229"/>
      <c r="AA2085" s="229">
        <f>IFERROR(__xludf.DUMMYFUNCTION("""COMPUTED_VALUE"""),38.0)</f>
        <v>38</v>
      </c>
      <c r="AB2085" s="229"/>
      <c r="AC2085" s="229" t="str">
        <f>IFERROR(__xludf.DUMMYFUNCTION("""COMPUTED_VALUE"""),"9317300#9317305")</f>
        <v>9317300#9317305</v>
      </c>
      <c r="AD2085" s="232">
        <f>IFERROR(__xludf.DUMMYFUNCTION("""COMPUTED_VALUE"""),304.0)</f>
        <v>304</v>
      </c>
      <c r="AE2085" s="233">
        <f>IFERROR(__xludf.DUMMYFUNCTION("""COMPUTED_VALUE"""),46139.0)</f>
        <v>46139</v>
      </c>
      <c r="AF2085" s="54"/>
      <c r="AG2085" s="54"/>
      <c r="AH2085" s="54">
        <v>46142.0</v>
      </c>
      <c r="AI2085" s="55">
        <f>AH2085-AE2085</f>
        <v>3</v>
      </c>
      <c r="AJ2085" s="229" t="str">
        <f>if(AI2085&gt;=0,"Gl in Komitmen","Gl out komitmen")</f>
        <v>Gl in Komitmen</v>
      </c>
      <c r="AK2085" s="231" t="s">
        <v>199</v>
      </c>
      <c r="AW2085" s="234"/>
      <c r="BP2085" s="11"/>
      <c r="BQ2085" s="11"/>
      <c r="BR2085" s="235"/>
      <c r="BV2085" s="158"/>
      <c r="BY2085" s="158"/>
      <c r="CB2085" s="158"/>
    </row>
    <row r="2086" ht="18.0" customHeight="1">
      <c r="A2086" s="222">
        <f>IFERROR(__xludf.DUMMYFUNCTION("""COMPUTED_VALUE"""),2026.0)</f>
        <v>2026</v>
      </c>
      <c r="B2086" s="221">
        <f>IFERROR(__xludf.DUMMYFUNCTION("""COMPUTED_VALUE"""),1.1552643E7)</f>
        <v>11552643</v>
      </c>
      <c r="C2086" s="222" t="str">
        <f>IFERROR(__xludf.DUMMYFUNCTION("""COMPUTED_VALUE"""),"RDR JPP PT3 KOTA PEKANBARU_9258")</f>
        <v>RDR JPP PT3 KOTA PEKANBARU_9258</v>
      </c>
      <c r="D2086" s="222" t="str">
        <f>IFERROR(__xludf.DUMMYFUNCTION("""COMPUTED_VALUE"""),"REGIONAL I")</f>
        <v>REGIONAL I</v>
      </c>
      <c r="E2086" s="222" t="str">
        <f>IFERROR(__xludf.DUMMYFUNCTION("""COMPUTED_VALUE"""),"RIDAR")</f>
        <v>RIDAR</v>
      </c>
      <c r="F2086" s="222" t="str">
        <f>IFERROR(__xludf.DUMMYFUNCTION("""COMPUTED_VALUE"""),"PBB")</f>
        <v>PBB</v>
      </c>
      <c r="G2086" s="222" t="str">
        <f>IFERROR(__xludf.DUMMYFUNCTION("""COMPUTED_VALUE"""),"SUMBAGTENG")</f>
        <v>SUMBAGTENG</v>
      </c>
      <c r="H2086" s="222" t="str">
        <f>IFERROR(__xludf.DUMMYFUNCTION("""COMPUTED_VALUE"""),"PEKANBARU")</f>
        <v>PEKANBARU</v>
      </c>
      <c r="I2086" s="222" t="str">
        <f>IFERROR(__xludf.DUMMYFUNCTION("""COMPUTED_VALUE"""),"Batch 2")</f>
        <v>Batch 2</v>
      </c>
      <c r="J2086" s="225">
        <f>IFERROR(__xludf.DUMMYFUNCTION("""COMPUTED_VALUE"""),6.0)</f>
        <v>6</v>
      </c>
      <c r="K2086" s="224">
        <f>IFERROR(__xludf.DUMMYFUNCTION("""COMPUTED_VALUE"""),48.0)</f>
        <v>48</v>
      </c>
      <c r="L2086" s="226">
        <f>IFERROR(__xludf.DUMMYFUNCTION("""COMPUTED_VALUE"""),1581792.0)</f>
        <v>1581792</v>
      </c>
      <c r="M2086" s="227">
        <f>IFERROR(__xludf.DUMMYFUNCTION("""COMPUTED_VALUE"""),7.592597E7)</f>
        <v>75925970</v>
      </c>
      <c r="N2086" s="222" t="str">
        <f>IFERROR(__xludf.DUMMYFUNCTION("""COMPUTED_VALUE"""),"PT LIBER PERSADA MANDIRI")</f>
        <v>PT LIBER PERSADA MANDIRI</v>
      </c>
      <c r="O2086" s="222" t="str">
        <f>IFERROR(__xludf.DUMMYFUNCTION("""COMPUTED_VALUE"""),"0. DROP")</f>
        <v>0. DROP</v>
      </c>
      <c r="P2086" s="222" t="str">
        <f>IFERROR(__xludf.DUMMYFUNCTION("""COMPUTED_VALUE"""),"0.2 Tidak Dapat Izin Warga/Kades/Lurah/Developer")</f>
        <v>0.2 Tidak Dapat Izin Warga/Kades/Lurah/Developer</v>
      </c>
      <c r="Q2086" s="222" t="str">
        <f>IFERROR(__xludf.DUMMYFUNCTION("""COMPUTED_VALUE"""),"13/03 Tidak di kasih izin oleh anggota DPRD yg tinggal di lokasi pekerjaan 10/02 Penanaman tiang Penarikan kabel 29/01 Antrian review hasil anwidzing 21/01 Terget selesai survey 24 Jan (07/01) Persiapan")</f>
        <v>13/03 Tidak di kasih izin oleh anggota DPRD yg tinggal di lokasi pekerjaan 10/02 Penanaman tiang Penarikan kabel 29/01 Antrian review hasil anwidzing 21/01 Terget selesai survey 24 Jan (07/01) Persiapan</v>
      </c>
      <c r="R2086" s="228"/>
      <c r="S2086" s="11"/>
      <c r="T2086" s="11"/>
      <c r="U2086" s="11"/>
      <c r="V2086" s="229" t="str">
        <f>IFERROR(__xludf.DUMMYFUNCTION("""COMPUTED_VALUE"""),"ONDI EKA SAPUTRA")</f>
        <v>ONDI EKA SAPUTRA</v>
      </c>
      <c r="W2086" s="229" t="str">
        <f>IFERROR(__xludf.DUMMYFUNCTION("""COMPUTED_VALUE"""),"DESLITA RAHMADANI")</f>
        <v>DESLITA RAHMADANI</v>
      </c>
      <c r="X2086" s="229" t="str">
        <f>IFERROR(__xludf.DUMMYFUNCTION("""COMPUTED_VALUE"""),"BELUM GOLIVE")</f>
        <v>BELUM GOLIVE</v>
      </c>
      <c r="Y2086" s="229"/>
      <c r="Z2086" s="229" t="str">
        <f>IFERROR(__xludf.DUMMYFUNCTION("""COMPUTED_VALUE"""),"#N/A")</f>
        <v>#N/A</v>
      </c>
      <c r="AA2086" s="229"/>
      <c r="AB2086" s="229"/>
      <c r="AC2086" s="229"/>
      <c r="AD2086" s="232"/>
      <c r="AE2086" s="233"/>
      <c r="AF2086" s="54" t="str">
        <f>IFERROR(__xludf.DUMMYFUNCTION("""COMPUTED_VALUE"""),"Draft BA DROP")</f>
        <v>Draft BA DROP</v>
      </c>
      <c r="AG2086" s="54"/>
      <c r="AH2086" s="54"/>
      <c r="AI2086" s="55" t="str">
        <f t="shared" ref="AI2086:AI2108" si="204">IF(OR(R2086="",AE2086=""),"",R2086-AE2086)</f>
        <v/>
      </c>
      <c r="AW2086" s="234"/>
      <c r="BP2086" s="11"/>
      <c r="BQ2086" s="11"/>
      <c r="BR2086" s="235"/>
      <c r="BV2086" s="158"/>
      <c r="BY2086" s="158"/>
      <c r="CB2086" s="158"/>
    </row>
    <row r="2087" ht="18.0" hidden="1" customHeight="1">
      <c r="A2087" s="222">
        <f>IFERROR(__xludf.DUMMYFUNCTION("""COMPUTED_VALUE"""),2026.0)</f>
        <v>2026</v>
      </c>
      <c r="B2087" s="221">
        <f>IFERROR(__xludf.DUMMYFUNCTION("""COMPUTED_VALUE"""),1.2090498E7)</f>
        <v>12090498</v>
      </c>
      <c r="C2087" s="222" t="str">
        <f>IFERROR(__xludf.DUMMYFUNCTION("""COMPUTED_VALUE"""),"MDN PT3 TTG-FK EITO RESIDENCE_MD25")</f>
        <v>MDN PT3 TTG-FK EITO RESIDENCE_MD25</v>
      </c>
      <c r="D2087" s="222" t="str">
        <f>IFERROR(__xludf.DUMMYFUNCTION("""COMPUTED_VALUE"""),"REGIONAL I")</f>
        <v>REGIONAL I</v>
      </c>
      <c r="E2087" s="222" t="str">
        <f>IFERROR(__xludf.DUMMYFUNCTION("""COMPUTED_VALUE"""),"MEDAN")</f>
        <v>MEDAN</v>
      </c>
      <c r="F2087" s="222" t="str">
        <f>IFERROR(__xludf.DUMMYFUNCTION("""COMPUTED_VALUE"""),"TTG")</f>
        <v>TTG</v>
      </c>
      <c r="G2087" s="222" t="str">
        <f>IFERROR(__xludf.DUMMYFUNCTION("""COMPUTED_VALUE"""),"SUMBAGUT")</f>
        <v>SUMBAGUT</v>
      </c>
      <c r="H2087" s="222" t="str">
        <f>IFERROR(__xludf.DUMMYFUNCTION("""COMPUTED_VALUE"""),"MEDAN")</f>
        <v>MEDAN</v>
      </c>
      <c r="I2087" s="222" t="str">
        <f>IFERROR(__xludf.DUMMYFUNCTION("""COMPUTED_VALUE"""),"Batch 2")</f>
        <v>Batch 2</v>
      </c>
      <c r="J2087" s="225">
        <f>IFERROR(__xludf.DUMMYFUNCTION("""COMPUTED_VALUE"""),3.0)</f>
        <v>3</v>
      </c>
      <c r="K2087" s="224">
        <f>IFERROR(__xludf.DUMMYFUNCTION("""COMPUTED_VALUE"""),24.0)</f>
        <v>24</v>
      </c>
      <c r="L2087" s="226">
        <f>IFERROR(__xludf.DUMMYFUNCTION("""COMPUTED_VALUE"""),749866.0)</f>
        <v>749866</v>
      </c>
      <c r="M2087" s="227">
        <f>IFERROR(__xludf.DUMMYFUNCTION("""COMPUTED_VALUE"""),1.7996772E7)</f>
        <v>17996772</v>
      </c>
      <c r="N2087" s="222" t="str">
        <f>IFERROR(__xludf.DUMMYFUNCTION("""COMPUTED_VALUE"""),"SWAKELOLA")</f>
        <v>SWAKELOLA</v>
      </c>
      <c r="O2087" s="222" t="str">
        <f>IFERROR(__xludf.DUMMYFUNCTION("""COMPUTED_VALUE"""),"1. AANWIJZING")</f>
        <v>1. AANWIJZING</v>
      </c>
      <c r="P2087" s="222" t="str">
        <f>IFERROR(__xludf.DUMMYFUNCTION("""COMPUTED_VALUE"""),"1.6 Ongoing Aanwidjzing")</f>
        <v>1.6 Ongoing Aanwidjzing</v>
      </c>
      <c r="Q2087" s="222" t="str">
        <f>IFERROR(__xludf.DUMMYFUNCTION("""COMPUTED_VALUE"""),"20/04 pengecekan ulang core terkendala (07/01) Persiapan")</f>
        <v>20/04 pengecekan ulang core terkendala (07/01) Persiapan</v>
      </c>
      <c r="R2087" s="228"/>
      <c r="S2087" s="11"/>
      <c r="T2087" s="11"/>
      <c r="U2087" s="11"/>
      <c r="V2087" s="229"/>
      <c r="W2087" s="229"/>
      <c r="X2087" s="229" t="str">
        <f>IFERROR(__xludf.DUMMYFUNCTION("""COMPUTED_VALUE"""),"BELUM GOLIVE")</f>
        <v>BELUM GOLIVE</v>
      </c>
      <c r="Y2087" s="229"/>
      <c r="Z2087" s="229" t="str">
        <f>IFERROR(__xludf.DUMMYFUNCTION("""COMPUTED_VALUE"""),"#N/A")</f>
        <v>#N/A</v>
      </c>
      <c r="AA2087" s="229"/>
      <c r="AB2087" s="229"/>
      <c r="AC2087" s="229"/>
      <c r="AD2087" s="232"/>
      <c r="AE2087" s="233"/>
      <c r="AF2087" s="54"/>
      <c r="AG2087" s="54"/>
      <c r="AH2087" s="54"/>
      <c r="AI2087" s="55" t="str">
        <f t="shared" si="204"/>
        <v/>
      </c>
      <c r="AW2087" s="234"/>
      <c r="BP2087" s="11"/>
      <c r="BQ2087" s="11"/>
      <c r="BR2087" s="235"/>
      <c r="BV2087" s="158"/>
      <c r="BY2087" s="158"/>
      <c r="CB2087" s="158"/>
    </row>
    <row r="2088" ht="18.0" hidden="1" customHeight="1">
      <c r="A2088" s="222">
        <f>IFERROR(__xludf.DUMMYFUNCTION("""COMPUTED_VALUE"""),2026.0)</f>
        <v>2026</v>
      </c>
      <c r="B2088" s="221">
        <f>IFERROR(__xludf.DUMMYFUNCTION("""COMPUTED_VALUE"""),1.1456826E7)</f>
        <v>11456826</v>
      </c>
      <c r="C2088" s="222" t="str">
        <f>IFERROR(__xludf.DUMMYFUNCTION("""COMPUTED_VALUE"""),"SMU TRT-FAN CLUST PANGARIBUAN")</f>
        <v>SMU TRT-FAN CLUST PANGARIBUAN</v>
      </c>
      <c r="D2088" s="222" t="str">
        <f>IFERROR(__xludf.DUMMYFUNCTION("""COMPUTED_VALUE"""),"REGIONAL I")</f>
        <v>REGIONAL I</v>
      </c>
      <c r="E2088" s="222" t="str">
        <f>IFERROR(__xludf.DUMMYFUNCTION("""COMPUTED_VALUE"""),"SUMUT")</f>
        <v>SUMUT</v>
      </c>
      <c r="F2088" s="222" t="str">
        <f>IFERROR(__xludf.DUMMYFUNCTION("""COMPUTED_VALUE"""),"TRT")</f>
        <v>TRT</v>
      </c>
      <c r="G2088" s="222" t="str">
        <f>IFERROR(__xludf.DUMMYFUNCTION("""COMPUTED_VALUE"""),"SUMBAGUT")</f>
        <v>SUMBAGUT</v>
      </c>
      <c r="H2088" s="222" t="str">
        <f>IFERROR(__xludf.DUMMYFUNCTION("""COMPUTED_VALUE"""),"PADANG SIDEMPUAN")</f>
        <v>PADANG SIDEMPUAN</v>
      </c>
      <c r="I2088" s="222" t="str">
        <f>IFERROR(__xludf.DUMMYFUNCTION("""COMPUTED_VALUE"""),"Batch 2")</f>
        <v>Batch 2</v>
      </c>
      <c r="J2088" s="225">
        <f>IFERROR(__xludf.DUMMYFUNCTION("""COMPUTED_VALUE"""),16.0)</f>
        <v>16</v>
      </c>
      <c r="K2088" s="224">
        <f>IFERROR(__xludf.DUMMYFUNCTION("""COMPUTED_VALUE"""),128.0)</f>
        <v>128</v>
      </c>
      <c r="L2088" s="226">
        <f>IFERROR(__xludf.DUMMYFUNCTION("""COMPUTED_VALUE"""),1583117.0)</f>
        <v>1583117</v>
      </c>
      <c r="M2088" s="227">
        <f>IFERROR(__xludf.DUMMYFUNCTION("""COMPUTED_VALUE"""),2.02638966E8)</f>
        <v>202638966</v>
      </c>
      <c r="N2088" s="222" t="str">
        <f>IFERROR(__xludf.DUMMYFUNCTION("""COMPUTED_VALUE"""),"PT ARTHA MANDIRI BERSAMA")</f>
        <v>PT ARTHA MANDIRI BERSAMA</v>
      </c>
      <c r="O2088" s="222" t="str">
        <f>IFERROR(__xludf.DUMMYFUNCTION("""COMPUTED_VALUE"""),"4. MATDEL")</f>
        <v>4. MATDEL</v>
      </c>
      <c r="P2088" s="222" t="str">
        <f>IFERROR(__xludf.DUMMYFUNCTION("""COMPUTED_VALUE"""),"4.2 Sudah Request Material (Alista)")</f>
        <v>4.2 Sudah Request Material (Alista)</v>
      </c>
      <c r="Q2088" s="222" t="str">
        <f>IFERROR(__xludf.DUMMYFUNCTION("""COMPUTED_VALUE"""),"27/4 menunggu redesign boq kml dari sdi, 24/4 proses pengajuan penambahan 6 odp ke tsel, 23/4 masih evalusi nilai, 22/4 masih evalusi nilai, 21/4 Masih evaluasi nilai, 20/4 pengiriman material ke lokasi est MOS 23 April 2026 16/4 menunggu ttd GM terkait p"&amp;"engantar ijin pu, 15/4 menunggu approv pengantar ijin pu, 14/4 menunggu approv pengantar ijin pu, 13/4 menunggu approv pengantar ijin pu, 9/4 menunggu pengajuan pengantar izin pu kab, 8/4 menunggu pengajuan pengantar izin pu kab, 6/4 menunggu pengajuan pe"&amp;"ngantar izin pu kab dari mitra, 5/4 menunggu pengajuan pengantar izin pu kab dari mitra, 1/4 menunggu pengajuan pengantar izin pu kab dari mitra, 31/3 menunggu pengajuan pengantar izin pu kab dari mitra, 30/3 menunggu pengajuan pengantar izin pu kab dari "&amp;"mitra, 27/3 menunggu pengajuan pengantar izin pu kab dari mitra, 26/3 menunggu pengajuan pengantar izin pu kab, 22/3 menunggu pengajuan pengantar izin pu kab, 18/3 menunggu pengajuan pengantar izin pu kab,   16/3 menunggu pengajuan pengantar izin pu kab, "&amp;" , 3/3 meeting ED1-ED-RSBU-TA1: drop cpp tinggi 2/3 cpp tinggi 1,5,  menunggu redesign dari sdi, 27/2 cpp tinggi 1,5,  menunggu redesign dari sdi, 25/2 cpp tinggi 1,5, 24/2 sudah diajukan ke tsel dan tif terkait plan new distrubusi dikarnakan core dis but"&amp;"uh qe, 23/2 sudah diajukan ke tsel dan tif terkait plan new distrubusi dikarnakan core dis butuh qe,22/2 hari ini pengajuan redesign new disbaru ke sdi/tsel,  20/2 hari ini pengajuan redesign new disbaru ke sdi/tsel, 19/2 menunggu boq kml survey incloude "&amp;"kebutuhan qe paralel hari ini waspang ke lokasi untuk fu terkait izin sitac, 16/2 menunggu boq kml hasil survey incloude kebutuhan qe distribusi,  13/2 menunggu boq kml hasil survey incloude kebutuhan qe distribusi,  12/2 menunggu boq kml hasil survey inc"&amp;"loude kebutuhan qe distribusi, 11/2 menunggu boq kml hasil survey incloude kebutuhan qe distribusi, 10/2 menunggu boq kml hasil survey incloude kebutuhan qe distribusi, 9/2 menunggu boq kml hasil survey incloude kebutuhan qe distribusi,6/2 menunggu boq km"&amp;"l hasil survey incloude kebutuhan qe distribusi,  5/2 menunggu boq kml hasil survey incloude kebutuhan qe distribusi, 3/2 prepair team untuk survey kelokasi (pengalihan dari mitra pt.aum), 2/2 prepair team untuk survey kelokasi (pengalihan dari mitra pt.a"&amp;"um), 1/2 plan besok team turun kelokasi untuk lanjut perizina sitac, 30/1 prepair team untuk fu kembali terkait ijin sitac ( sesuai zoom mnggu ini tidak jalan lop akan kita alihkan ke mitra lain),  28/1 prepair team untuk fu kembali terkait ijin sitac ( s"&amp;"esuai zoom mnggu ini tidak jalan lop akan kita alihkan ke mitra lain), 27/1 prepair team untuk fu kembali terkait ijin sitac ( sesuai zoom mnggu ini tidak jalan lop akan kita alihkan ke mitra lain), 26/1 prepair team untuk fu kembali terkait ijin sitac ( "&amp;"sesuai zoom mnggu ini tidak jalan lop akan kita alihkan ke mitra lain), 23/1 ( hari ini pic mitra menuju siantar untuk kordinasi terkait kelanjutan project) prepair team untuk fu kembali terkait ijin sitac, 22/1 team menuju lokasi untuk fu kembali terkait"&amp;" ijin sitac, 21/1 plan team turun ke lokasi 22/1 terkait ijin sitac odc, (apabila tidak kunjung jalan  kita plankan pengalihan ke mitra lain), 20/1 prepair team untuk negosiasi ulang terkait izin sitac,  19/1 prepair team untuk negosiasi ulang terkait izi"&amp;"n sitac, 15/01 plan jumat tanggal 16/01 tim turun ke lokasi untuk negosiasi terkait perizinan sitac, 14/01 plan jumat tanggal 16/01 tim turun ke lokasi untuk negosiasi terkait perizinan sitac, 13/01 plan jumat tanggal 16/01 tim turun ke lokasi untuk negos"&amp;"iasi terkait perizinan sitac, (07/01) Persiapan")</f>
        <v>27/4 menunggu redesign boq kml dari sdi, 24/4 proses pengajuan penambahan 6 odp ke tsel, 23/4 masih evalusi nilai, 22/4 masih evalusi nilai, 21/4 Masih evaluasi nilai, 20/4 pengiriman material ke lokasi est MOS 23 April 2026 16/4 menunggu ttd GM terkait pengantar ijin pu, 15/4 menunggu approv pengantar ijin pu, 14/4 menunggu approv pengantar ijin pu, 13/4 menunggu approv pengantar ijin pu, 9/4 menunggu pengajuan pengantar izin pu kab, 8/4 menunggu pengajuan pengantar izin pu kab, 6/4 menunggu pengajuan pengantar izin pu kab dari mitra, 5/4 menunggu pengajuan pengantar izin pu kab dari mitra, 1/4 menunggu pengajuan pengantar izin pu kab dari mitra, 31/3 menunggu pengajuan pengantar izin pu kab dari mitra, 30/3 menunggu pengajuan pengantar izin pu kab dari mitra, 27/3 menunggu pengajuan pengantar izin pu kab dari mitra, 26/3 menunggu pengajuan pengantar izin pu kab, 22/3 menunggu pengajuan pengantar izin pu kab, 18/3 menunggu pengajuan pengantar izin pu kab,   16/3 menunggu pengajuan pengantar izin pu kab,  , 3/3 meeting ED1-ED-RSBU-TA1: drop cpp tinggi 2/3 cpp tinggi 1,5,  menunggu redesign dari sdi, 27/2 cpp tinggi 1,5,  menunggu redesign dari sdi, 25/2 cpp tinggi 1,5, 24/2 sudah diajukan ke tsel dan tif terkait plan new distrubusi dikarnakan core dis butuh qe, 23/2 sudah diajukan ke tsel dan tif terkait plan new distrubusi dikarnakan core dis butuh qe,22/2 hari ini pengajuan redesign new disbaru ke sdi/tsel,  20/2 hari ini pengajuan redesign new disbaru ke sdi/tsel, 19/2 menunggu boq kml survey incloude kebutuhan qe paralel hari ini waspang ke lokasi untuk fu terkait izin sitac, 16/2 menunggu boq kml hasil survey incloude kebutuhan qe distribusi,  13/2 menunggu boq kml hasil survey incloude kebutuhan qe distribusi,  12/2 menunggu boq kml hasil survey incloude kebutuhan qe distribusi, 11/2 menunggu boq kml hasil survey incloude kebutuhan qe distribusi, 10/2 menunggu boq kml hasil survey incloude kebutuhan qe distribusi, 9/2 menunggu boq kml hasil survey incloude kebutuhan qe distribusi,6/2 menunggu boq kml hasil survey incloude kebutuhan qe distribusi,  5/2 menunggu boq kml hasil survey incloude kebutuhan qe distribusi, 3/2 prepair team untuk survey kelokasi (pengalihan dari mitra pt.aum), 2/2 prepair team untuk survey kelokasi (pengalihan dari mitra pt.aum), 1/2 plan besok team turun kelokasi untuk lanjut perizina sitac, 30/1 prepair team untuk fu kembali terkait ijin sitac ( sesuai zoom mnggu ini tidak jalan lop akan kita alihkan ke mitra lain),  28/1 prepair team untuk fu kembali terkait ijin sitac ( sesuai zoom mnggu ini tidak jalan lop akan kita alihkan ke mitra lain), 27/1 prepair team untuk fu kembali terkait ijin sitac ( sesuai zoom mnggu ini tidak jalan lop akan kita alihkan ke mitra lain), 26/1 prepair team untuk fu kembali terkait ijin sitac ( sesuai zoom mnggu ini tidak jalan lop akan kita alihkan ke mitra lain), 23/1 ( hari ini pic mitra menuju siantar untuk kordinasi terkait kelanjutan project) prepair team untuk fu kembali terkait ijin sitac, 22/1 team menuju lokasi untuk fu kembali terkait ijin sitac, 21/1 plan team turun ke lokasi 22/1 terkait ijin sitac odc, (apabila tidak kunjung jalan  kita plankan pengalihan ke mitra lain), 20/1 prepair team untuk negosiasi ulang terkait izin sitac,  19/1 prepair team untuk negosiasi ulang terkait izin sitac, 15/01 plan jumat tanggal 16/01 tim turun ke lokasi untuk negosiasi terkait perizinan sitac, 14/01 plan jumat tanggal 16/01 tim turun ke lokasi untuk negosiasi terkait perizinan sitac, 13/01 plan jumat tanggal 16/01 tim turun ke lokasi untuk negosiasi terkait perizinan sitac, (07/01) Persiapan</v>
      </c>
      <c r="R2088" s="228"/>
      <c r="S2088" s="11"/>
      <c r="T2088" s="11"/>
      <c r="U2088" s="11" t="str">
        <f>IFERROR(__xludf.DUMMYFUNCTION("""COMPUTED_VALUE"""),"W03-1613/2025")</f>
        <v>W03-1613/2025</v>
      </c>
      <c r="V2088" s="229"/>
      <c r="W2088" s="229"/>
      <c r="X2088" s="229" t="str">
        <f>IFERROR(__xludf.DUMMYFUNCTION("""COMPUTED_VALUE"""),"BELUM GOLIVE")</f>
        <v>BELUM GOLIVE</v>
      </c>
      <c r="Y2088" s="229" t="str">
        <f>IFERROR(__xludf.DUMMYFUNCTION("""COMPUTED_VALUE"""),"QE Distribusi, Izin pu")</f>
        <v>QE Distribusi, Izin pu</v>
      </c>
      <c r="Z2088" s="229" t="str">
        <f>IFERROR(__xludf.DUMMYFUNCTION("""COMPUTED_VALUE"""),"#N/A")</f>
        <v>#N/A</v>
      </c>
      <c r="AA2088" s="229"/>
      <c r="AB2088" s="229"/>
      <c r="AC2088" s="229"/>
      <c r="AD2088" s="232"/>
      <c r="AE2088" s="233"/>
      <c r="AF2088" s="54" t="str">
        <f>IFERROR(__xludf.DUMMYFUNCTION("""COMPUTED_VALUE"""),"Draft BA DROP")</f>
        <v>Draft BA DROP</v>
      </c>
      <c r="AG2088" s="54"/>
      <c r="AH2088" s="54"/>
      <c r="AI2088" s="55" t="str">
        <f t="shared" si="204"/>
        <v/>
      </c>
      <c r="AW2088" s="234"/>
      <c r="BP2088" s="11"/>
      <c r="BQ2088" s="11"/>
      <c r="BR2088" s="235"/>
      <c r="BV2088" s="158"/>
      <c r="BY2088" s="158"/>
      <c r="CB2088" s="158"/>
    </row>
    <row r="2089" ht="18.0" hidden="1" customHeight="1">
      <c r="A2089" s="222">
        <f>IFERROR(__xludf.DUMMYFUNCTION("""COMPUTED_VALUE"""),2026.0)</f>
        <v>2026</v>
      </c>
      <c r="B2089" s="221">
        <f>IFERROR(__xludf.DUMMYFUNCTION("""COMPUTED_VALUE"""),1.2090839E7)</f>
        <v>12090839</v>
      </c>
      <c r="C2089" s="222" t="str">
        <f>IFERROR(__xludf.DUMMYFUNCTION("""COMPUTED_VALUE"""),"MDN PT3 TTG-FBH TOPAZ RESIDENCE_MD25")</f>
        <v>MDN PT3 TTG-FBH TOPAZ RESIDENCE_MD25</v>
      </c>
      <c r="D2089" s="222" t="str">
        <f>IFERROR(__xludf.DUMMYFUNCTION("""COMPUTED_VALUE"""),"REGIONAL I")</f>
        <v>REGIONAL I</v>
      </c>
      <c r="E2089" s="222" t="str">
        <f>IFERROR(__xludf.DUMMYFUNCTION("""COMPUTED_VALUE"""),"MEDAN")</f>
        <v>MEDAN</v>
      </c>
      <c r="F2089" s="222" t="str">
        <f>IFERROR(__xludf.DUMMYFUNCTION("""COMPUTED_VALUE"""),"TTG")</f>
        <v>TTG</v>
      </c>
      <c r="G2089" s="222" t="str">
        <f>IFERROR(__xludf.DUMMYFUNCTION("""COMPUTED_VALUE"""),"SUMBAGUT")</f>
        <v>SUMBAGUT</v>
      </c>
      <c r="H2089" s="222" t="str">
        <f>IFERROR(__xludf.DUMMYFUNCTION("""COMPUTED_VALUE"""),"MEDAN")</f>
        <v>MEDAN</v>
      </c>
      <c r="I2089" s="222" t="str">
        <f>IFERROR(__xludf.DUMMYFUNCTION("""COMPUTED_VALUE"""),"Batch 2")</f>
        <v>Batch 2</v>
      </c>
      <c r="J2089" s="225">
        <f>IFERROR(__xludf.DUMMYFUNCTION("""COMPUTED_VALUE"""),3.0)</f>
        <v>3</v>
      </c>
      <c r="K2089" s="224">
        <f>IFERROR(__xludf.DUMMYFUNCTION("""COMPUTED_VALUE"""),24.0)</f>
        <v>24</v>
      </c>
      <c r="L2089" s="226">
        <f>IFERROR(__xludf.DUMMYFUNCTION("""COMPUTED_VALUE"""),728816.0)</f>
        <v>728816</v>
      </c>
      <c r="M2089" s="227">
        <f>IFERROR(__xludf.DUMMYFUNCTION("""COMPUTED_VALUE"""),1.7491566E7)</f>
        <v>17491566</v>
      </c>
      <c r="N2089" s="222" t="str">
        <f>IFERROR(__xludf.DUMMYFUNCTION("""COMPUTED_VALUE"""),"PT PRIMA INDO SENTOSA")</f>
        <v>PT PRIMA INDO SENTOSA</v>
      </c>
      <c r="O2089" s="222" t="str">
        <f>IFERROR(__xludf.DUMMYFUNCTION("""COMPUTED_VALUE"""),"3. PERIZINAN")</f>
        <v>3. PERIZINAN</v>
      </c>
      <c r="P2089" s="222" t="str">
        <f>IFERROR(__xludf.DUMMYFUNCTION("""COMPUTED_VALUE"""),"3.10 Izin Developer / Private area")</f>
        <v>3.10 Izin Developer / Private area</v>
      </c>
      <c r="Q2089" s="222" t="str">
        <f>IFERROR(__xludf.DUMMYFUNCTION("""COMPUTED_VALUE"""),"09/04 take over mitra lain 10/03 komitmen hasil aanwidzing W2 Apr 2026 12/02 Perizinan ke Komplek (CHAM)")</f>
        <v>09/04 take over mitra lain 10/03 komitmen hasil aanwidzing W2 Apr 2026 12/02 Perizinan ke Komplek (CHAM)</v>
      </c>
      <c r="R2089" s="228"/>
      <c r="S2089" s="11"/>
      <c r="T2089" s="73"/>
      <c r="U2089" s="11"/>
      <c r="V2089" s="229" t="str">
        <f>IFERROR(__xludf.DUMMYFUNCTION("""COMPUTED_VALUE"""),"27/Apr/2026")</f>
        <v>27/Apr/2026</v>
      </c>
      <c r="W2089" s="229"/>
      <c r="X2089" s="229" t="str">
        <f>IFERROR(__xludf.DUMMYFUNCTION("""COMPUTED_VALUE"""),"BELUM GOLIVE")</f>
        <v>BELUM GOLIVE</v>
      </c>
      <c r="Y2089" s="229"/>
      <c r="Z2089" s="229" t="str">
        <f>IFERROR(__xludf.DUMMYFUNCTION("""COMPUTED_VALUE"""),"#N/A")</f>
        <v>#N/A</v>
      </c>
      <c r="AA2089" s="229"/>
      <c r="AB2089" s="229"/>
      <c r="AC2089" s="229"/>
      <c r="AD2089" s="232"/>
      <c r="AE2089" s="233"/>
      <c r="AF2089" s="54"/>
      <c r="AG2089" s="54"/>
      <c r="AH2089" s="54"/>
      <c r="AI2089" s="55" t="str">
        <f t="shared" si="204"/>
        <v/>
      </c>
      <c r="AW2089" s="234"/>
      <c r="BP2089" s="11"/>
      <c r="BQ2089" s="11"/>
      <c r="BR2089" s="235"/>
      <c r="BV2089" s="158"/>
      <c r="BY2089" s="158"/>
      <c r="CB2089" s="158"/>
    </row>
    <row r="2090" ht="18.0" hidden="1" customHeight="1">
      <c r="A2090" s="222">
        <f>IFERROR(__xludf.DUMMYFUNCTION("""COMPUTED_VALUE"""),2026.0)</f>
        <v>2026</v>
      </c>
      <c r="B2090" s="221">
        <f>IFERROR(__xludf.DUMMYFUNCTION("""COMPUTED_VALUE"""),1.1276614E7)</f>
        <v>11276614</v>
      </c>
      <c r="C2090" s="222" t="str">
        <f>IFERROR(__xludf.DUMMYFUNCTION("""COMPUTED_VALUE"""),"JBI-PT4 MINI OLT-STO MBN-DESA LUBUK RUSO")</f>
        <v>JBI-PT4 MINI OLT-STO MBN-DESA LUBUK RUSO</v>
      </c>
      <c r="D2090" s="222" t="str">
        <f>IFERROR(__xludf.DUMMYFUNCTION("""COMPUTED_VALUE"""),"REGIONAL I")</f>
        <v>REGIONAL I</v>
      </c>
      <c r="E2090" s="222" t="str">
        <f>IFERROR(__xludf.DUMMYFUNCTION("""COMPUTED_VALUE"""),"JAMBI")</f>
        <v>JAMBI</v>
      </c>
      <c r="F2090" s="222" t="str">
        <f>IFERROR(__xludf.DUMMYFUNCTION("""COMPUTED_VALUE"""),"MBN")</f>
        <v>MBN</v>
      </c>
      <c r="G2090" s="222" t="str">
        <f>IFERROR(__xludf.DUMMYFUNCTION("""COMPUTED_VALUE"""),"SUMBAGSEL")</f>
        <v>SUMBAGSEL</v>
      </c>
      <c r="H2090" s="222" t="str">
        <f>IFERROR(__xludf.DUMMYFUNCTION("""COMPUTED_VALUE"""),"JAMBI")</f>
        <v>JAMBI</v>
      </c>
      <c r="I2090" s="222" t="str">
        <f>IFERROR(__xludf.DUMMYFUNCTION("""COMPUTED_VALUE"""),"Batch 2")</f>
        <v>Batch 2</v>
      </c>
      <c r="J2090" s="225">
        <f>IFERROR(__xludf.DUMMYFUNCTION("""COMPUTED_VALUE"""),27.0)</f>
        <v>27</v>
      </c>
      <c r="K2090" s="224">
        <f>IFERROR(__xludf.DUMMYFUNCTION("""COMPUTED_VALUE"""),208.0)</f>
        <v>208</v>
      </c>
      <c r="L2090" s="226">
        <f>IFERROR(__xludf.DUMMYFUNCTION("""COMPUTED_VALUE"""),1586725.0)</f>
        <v>1586725</v>
      </c>
      <c r="M2090" s="227">
        <f>IFERROR(__xludf.DUMMYFUNCTION("""COMPUTED_VALUE"""),3.30038632E8)</f>
        <v>330038632</v>
      </c>
      <c r="N2090" s="222" t="str">
        <f>IFERROR(__xludf.DUMMYFUNCTION("""COMPUTED_VALUE"""),"PT TRIPUTRA ANDALAN")</f>
        <v>PT TRIPUTRA ANDALAN</v>
      </c>
      <c r="O2090" s="222" t="str">
        <f>IFERROR(__xludf.DUMMYFUNCTION("""COMPUTED_VALUE"""),"8. UJI TERIMA")</f>
        <v>8. UJI TERIMA</v>
      </c>
      <c r="P2090" s="222" t="str">
        <f>IFERROR(__xludf.DUMMYFUNCTION("""COMPUTED_VALUE"""),"8.1 Proses UT")</f>
        <v>8.1 Proses UT</v>
      </c>
      <c r="Q2090" s="222" t="str">
        <f>IFERROR(__xludf.DUMMYFUNCTION("""COMPUTED_VALUE"""),"(20/01) Golive (07/01) Persiapan (12/1) sudah Sumbit ABD Main core ke SDI  7/1 SELESAI FISIK (06/01)order JPP batch-2 2026 (2/12 PLAN CT UT 4 DES (17/11) Tanam Tiang 39/133 sisa 94 (12/ 11) TANAM TIANG 11/11 tanam tiang , progres hari ini gali lubang 35 1"&amp;"0/11 TANAM TIANG 18/133 , KABEL 670/6200 , ODP 0/29 (08/11)TANAM TIANG 18/133 , KABEL 670/6200 , ODP 0/29 (7/11) tanam tiang 6/11 tanam tiang (4/11) plan 5/11 mitra ambil matrial(15/10) PROSES INPUT MATERIAL 07/10 Done Aanwijzing (23/09) Penjadwalan aanwi"&amp;"jzing (16/09) ")</f>
        <v>(20/01) Golive (07/01) Persiapan (12/1) sudah Sumbit ABD Main core ke SDI  7/1 SELESAI FISIK (06/01)order JPP batch-2 2026 (2/12 PLAN CT UT 4 DES (17/11) Tanam Tiang 39/133 sisa 94 (12/ 11) TANAM TIANG 11/11 tanam tiang , progres hari ini gali lubang 35 10/11 TANAM TIANG 18/133 , KABEL 670/6200 , ODP 0/29 (08/11)TANAM TIANG 18/133 , KABEL 670/6200 , ODP 0/29 (7/11) tanam tiang 6/11 tanam tiang (4/11) plan 5/11 mitra ambil matrial(15/10) PROSES INPUT MATERIAL 07/10 Done Aanwijzing (23/09) Penjadwalan aanwijzing (16/09) </v>
      </c>
      <c r="R2090" s="228"/>
      <c r="S2090" s="11"/>
      <c r="T2090" s="11"/>
      <c r="U2090" s="11"/>
      <c r="V2090" s="229"/>
      <c r="W2090" s="229"/>
      <c r="X2090" s="229" t="str">
        <f>IFERROR(__xludf.DUMMYFUNCTION("""COMPUTED_VALUE"""),"GOLIVE")</f>
        <v>GOLIVE</v>
      </c>
      <c r="Y2090" s="229" t="str">
        <f>IFERROR(__xludf.DUMMYFUNCTION("""COMPUTED_VALUE"""),"DONE")</f>
        <v>DONE</v>
      </c>
      <c r="Z2090" s="229" t="str">
        <f>IFERROR(__xludf.DUMMYFUNCTION("""COMPUTED_VALUE"""),"5. Done Integrasi")</f>
        <v>5. Done Integrasi</v>
      </c>
      <c r="AA2090" s="229">
        <f>IFERROR(__xludf.DUMMYFUNCTION("""COMPUTED_VALUE"""),26.0)</f>
        <v>26</v>
      </c>
      <c r="AB2090" s="229"/>
      <c r="AC2090" s="229" t="str">
        <f>IFERROR(__xludf.DUMMYFUNCTION("""COMPUTED_VALUE"""),"8970135#8970140")</f>
        <v>8970135#8970140</v>
      </c>
      <c r="AD2090" s="232">
        <f>IFERROR(__xludf.DUMMYFUNCTION("""COMPUTED_VALUE"""),208.0)</f>
        <v>208</v>
      </c>
      <c r="AE2090" s="233">
        <f>IFERROR(__xludf.DUMMYFUNCTION("""COMPUTED_VALUE"""),46042.0)</f>
        <v>46042</v>
      </c>
      <c r="AF2090" s="54"/>
      <c r="AG2090" s="54"/>
      <c r="AH2090" s="54"/>
      <c r="AI2090" s="55" t="str">
        <f t="shared" si="204"/>
        <v/>
      </c>
      <c r="AW2090" s="234"/>
      <c r="BP2090" s="11"/>
      <c r="BQ2090" s="11"/>
      <c r="BR2090" s="235"/>
      <c r="BV2090" s="158"/>
      <c r="BY2090" s="158"/>
      <c r="CB2090" s="158"/>
    </row>
    <row r="2091" ht="18.0" hidden="1" customHeight="1">
      <c r="A2091" s="222">
        <f>IFERROR(__xludf.DUMMYFUNCTION("""COMPUTED_VALUE"""),2026.0)</f>
        <v>2026</v>
      </c>
      <c r="B2091" s="221">
        <f>IFERROR(__xludf.DUMMYFUNCTION("""COMPUTED_VALUE"""),1.1187433E7)</f>
        <v>11187433</v>
      </c>
      <c r="C2091" s="222" t="str">
        <f>IFERROR(__xludf.DUMMYFUNCTION("""COMPUTED_VALUE"""),"MDN PT3 PUB-FCP CEMARA PARK SPBT")</f>
        <v>MDN PT3 PUB-FCP CEMARA PARK SPBT</v>
      </c>
      <c r="D2091" s="222" t="str">
        <f>IFERROR(__xludf.DUMMYFUNCTION("""COMPUTED_VALUE"""),"REGIONAL I")</f>
        <v>REGIONAL I</v>
      </c>
      <c r="E2091" s="222" t="str">
        <f>IFERROR(__xludf.DUMMYFUNCTION("""COMPUTED_VALUE"""),"MEDAN")</f>
        <v>MEDAN</v>
      </c>
      <c r="F2091" s="222" t="str">
        <f>IFERROR(__xludf.DUMMYFUNCTION("""COMPUTED_VALUE"""),"PUB")</f>
        <v>PUB</v>
      </c>
      <c r="G2091" s="222" t="str">
        <f>IFERROR(__xludf.DUMMYFUNCTION("""COMPUTED_VALUE"""),"SUMBAGUT")</f>
        <v>SUMBAGUT</v>
      </c>
      <c r="H2091" s="222" t="str">
        <f>IFERROR(__xludf.DUMMYFUNCTION("""COMPUTED_VALUE"""),"MEDAN")</f>
        <v>MEDAN</v>
      </c>
      <c r="I2091" s="222" t="str">
        <f>IFERROR(__xludf.DUMMYFUNCTION("""COMPUTED_VALUE"""),"Batch 2")</f>
        <v>Batch 2</v>
      </c>
      <c r="J2091" s="225">
        <f>IFERROR(__xludf.DUMMYFUNCTION("""COMPUTED_VALUE"""),10.0)</f>
        <v>10</v>
      </c>
      <c r="K2091" s="224">
        <f>IFERROR(__xludf.DUMMYFUNCTION("""COMPUTED_VALUE"""),80.0)</f>
        <v>80</v>
      </c>
      <c r="L2091" s="226">
        <f>IFERROR(__xludf.DUMMYFUNCTION("""COMPUTED_VALUE"""),1589132.0)</f>
        <v>1589132</v>
      </c>
      <c r="M2091" s="227">
        <f>IFERROR(__xludf.DUMMYFUNCTION("""COMPUTED_VALUE"""),1.27130548E8)</f>
        <v>127130548</v>
      </c>
      <c r="N2091" s="222" t="str">
        <f>IFERROR(__xludf.DUMMYFUNCTION("""COMPUTED_VALUE"""),"PT BENWA  MITRA PRATAMA")</f>
        <v>PT BENWA  MITRA PRATAMA</v>
      </c>
      <c r="O2091" s="222" t="str">
        <f>IFERROR(__xludf.DUMMYFUNCTION("""COMPUTED_VALUE"""),"0. DROP")</f>
        <v>0. DROP</v>
      </c>
      <c r="P2091" s="222" t="str">
        <f>IFERROR(__xludf.DUMMYFUNCTION("""COMPUTED_VALUE"""),"0.4 CPP Tinggi Acc ED TIF")</f>
        <v>0.4 CPP Tinggi Acc ED TIF</v>
      </c>
      <c r="Q2091" s="222" t="str">
        <f>IFERROR(__xludf.DUMMYFUNCTION("""COMPUTED_VALUE"""),"10/02 Komitmen Aanwidzing 13/02/2026 08/02 Done Order, lnjut Aanwidzing")</f>
        <v>10/02 Komitmen Aanwidzing 13/02/2026 08/02 Done Order, lnjut Aanwidzing</v>
      </c>
      <c r="R2091" s="228"/>
      <c r="S2091" s="11"/>
      <c r="T2091" s="11"/>
      <c r="U2091" s="11"/>
      <c r="V2091" s="229"/>
      <c r="W2091" s="229"/>
      <c r="X2091" s="229" t="str">
        <f>IFERROR(__xludf.DUMMYFUNCTION("""COMPUTED_VALUE"""),"BELUM GOLIVE")</f>
        <v>BELUM GOLIVE</v>
      </c>
      <c r="Y2091" s="229"/>
      <c r="Z2091" s="229" t="str">
        <f>IFERROR(__xludf.DUMMYFUNCTION("""COMPUTED_VALUE"""),"#N/A")</f>
        <v>#N/A</v>
      </c>
      <c r="AA2091" s="229"/>
      <c r="AB2091" s="229"/>
      <c r="AC2091" s="229"/>
      <c r="AD2091" s="232"/>
      <c r="AE2091" s="233"/>
      <c r="AF2091" s="54" t="str">
        <f>IFERROR(__xludf.DUMMYFUNCTION("""COMPUTED_VALUE"""),"Draft BA DROP")</f>
        <v>Draft BA DROP</v>
      </c>
      <c r="AG2091" s="54"/>
      <c r="AH2091" s="54"/>
      <c r="AI2091" s="55" t="str">
        <f t="shared" si="204"/>
        <v/>
      </c>
      <c r="AW2091" s="234"/>
      <c r="BP2091" s="11"/>
      <c r="BQ2091" s="11"/>
      <c r="BR2091" s="235"/>
      <c r="BV2091" s="158"/>
      <c r="BY2091" s="158"/>
      <c r="CB2091" s="158"/>
    </row>
    <row r="2092" ht="18.0" hidden="1" customHeight="1">
      <c r="A2092" s="222">
        <f>IFERROR(__xludf.DUMMYFUNCTION("""COMPUTED_VALUE"""),2026.0)</f>
        <v>2026</v>
      </c>
      <c r="B2092" s="221">
        <f>IFERROR(__xludf.DUMMYFUNCTION("""COMPUTED_VALUE"""),1.1187911E7)</f>
        <v>11187911</v>
      </c>
      <c r="C2092" s="222" t="str">
        <f>IFERROR(__xludf.DUMMYFUNCTION("""COMPUTED_VALUE"""),"MDN PT3 P7I10 SKI-FBL JL.DENAI GG.WAKAF")</f>
        <v>MDN PT3 P7I10 SKI-FBL JL.DENAI GG.WAKAF</v>
      </c>
      <c r="D2092" s="222" t="str">
        <f>IFERROR(__xludf.DUMMYFUNCTION("""COMPUTED_VALUE"""),"REGIONAL I")</f>
        <v>REGIONAL I</v>
      </c>
      <c r="E2092" s="222" t="str">
        <f>IFERROR(__xludf.DUMMYFUNCTION("""COMPUTED_VALUE"""),"MEDAN")</f>
        <v>MEDAN</v>
      </c>
      <c r="F2092" s="222" t="str">
        <f>IFERROR(__xludf.DUMMYFUNCTION("""COMPUTED_VALUE"""),"SKI")</f>
        <v>SKI</v>
      </c>
      <c r="G2092" s="222" t="str">
        <f>IFERROR(__xludf.DUMMYFUNCTION("""COMPUTED_VALUE"""),"SUMBAGUT")</f>
        <v>SUMBAGUT</v>
      </c>
      <c r="H2092" s="222" t="str">
        <f>IFERROR(__xludf.DUMMYFUNCTION("""COMPUTED_VALUE"""),"MEDAN")</f>
        <v>MEDAN</v>
      </c>
      <c r="I2092" s="222" t="str">
        <f>IFERROR(__xludf.DUMMYFUNCTION("""COMPUTED_VALUE"""),"Batch 2")</f>
        <v>Batch 2</v>
      </c>
      <c r="J2092" s="225">
        <f>IFERROR(__xludf.DUMMYFUNCTION("""COMPUTED_VALUE"""),3.0)</f>
        <v>3</v>
      </c>
      <c r="K2092" s="224">
        <f>IFERROR(__xludf.DUMMYFUNCTION("""COMPUTED_VALUE"""),24.0)</f>
        <v>24</v>
      </c>
      <c r="L2092" s="226">
        <f>IFERROR(__xludf.DUMMYFUNCTION("""COMPUTED_VALUE"""),989843.0)</f>
        <v>989843</v>
      </c>
      <c r="M2092" s="227">
        <f>IFERROR(__xludf.DUMMYFUNCTION("""COMPUTED_VALUE"""),2.3756212E7)</f>
        <v>23756212</v>
      </c>
      <c r="N2092" s="222" t="str">
        <f>IFERROR(__xludf.DUMMYFUNCTION("""COMPUTED_VALUE"""),"PT UPENTEL INTERNASIONAL")</f>
        <v>PT UPENTEL INTERNASIONAL</v>
      </c>
      <c r="O2092" s="222" t="str">
        <f>IFERROR(__xludf.DUMMYFUNCTION("""COMPUTED_VALUE"""),"2. DONE AANWIJZING")</f>
        <v>2. DONE AANWIJZING</v>
      </c>
      <c r="P2092" s="222" t="str">
        <f>IFERROR(__xludf.DUMMYFUNCTION("""COMPUTED_VALUE"""),"2.9 Kendala - Distribusi Penuh / Rusak")</f>
        <v>2.9 Kendala - Distribusi Penuh / Rusak</v>
      </c>
      <c r="Q2092" s="222" t="str">
        <f>IFERROR(__xludf.DUMMYFUNCTION("""COMPUTED_VALUE"""),"21/04 pengecekan tipus / butuh qe
01/11 Distribusi Penuh (24/09) Perizinan Warga dan Kades / Lurah
(23/09) Perizinan Warga dan Kades / Lurah
15/09 proses aanwijzing")</f>
        <v>21/04 pengecekan tipus / butuh qe
01/11 Distribusi Penuh (24/09) Perizinan Warga dan Kades / Lurah
(23/09) Perizinan Warga dan Kades / Lurah
15/09 proses aanwijzing</v>
      </c>
      <c r="R2092" s="228"/>
      <c r="S2092" s="11"/>
      <c r="T2092" s="11"/>
      <c r="U2092" s="11"/>
      <c r="V2092" s="229"/>
      <c r="W2092" s="229"/>
      <c r="X2092" s="229" t="str">
        <f>IFERROR(__xludf.DUMMYFUNCTION("""COMPUTED_VALUE"""),"BELUM GOLIVE")</f>
        <v>BELUM GOLIVE</v>
      </c>
      <c r="Y2092" s="229"/>
      <c r="Z2092" s="229" t="str">
        <f>IFERROR(__xludf.DUMMYFUNCTION("""COMPUTED_VALUE"""),"#N/A")</f>
        <v>#N/A</v>
      </c>
      <c r="AA2092" s="229"/>
      <c r="AB2092" s="229"/>
      <c r="AC2092" s="229"/>
      <c r="AD2092" s="232"/>
      <c r="AE2092" s="233"/>
      <c r="AF2092" s="54"/>
      <c r="AG2092" s="54"/>
      <c r="AH2092" s="54"/>
      <c r="AI2092" s="55" t="str">
        <f t="shared" si="204"/>
        <v/>
      </c>
      <c r="AW2092" s="234"/>
      <c r="BP2092" s="11"/>
      <c r="BQ2092" s="11"/>
      <c r="BR2092" s="235"/>
      <c r="BV2092" s="158"/>
      <c r="BY2092" s="158"/>
      <c r="CB2092" s="158"/>
    </row>
    <row r="2093" ht="18.0" hidden="1" customHeight="1">
      <c r="A2093" s="222">
        <f>IFERROR(__xludf.DUMMYFUNCTION("""COMPUTED_VALUE"""),2026.0)</f>
        <v>2026</v>
      </c>
      <c r="B2093" s="221">
        <f>IFERROR(__xludf.DUMMYFUNCTION("""COMPUTED_VALUE"""),1.118792E7)</f>
        <v>11187920</v>
      </c>
      <c r="C2093" s="222" t="str">
        <f>IFERROR(__xludf.DUMMYFUNCTION("""COMPUTED_VALUE"""),"MDN PT3 SKI-FAL JL.TANGGUK BONGKAR V")</f>
        <v>MDN PT3 SKI-FAL JL.TANGGUK BONGKAR V</v>
      </c>
      <c r="D2093" s="222" t="str">
        <f>IFERROR(__xludf.DUMMYFUNCTION("""COMPUTED_VALUE"""),"REGIONAL I")</f>
        <v>REGIONAL I</v>
      </c>
      <c r="E2093" s="222" t="str">
        <f>IFERROR(__xludf.DUMMYFUNCTION("""COMPUTED_VALUE"""),"MEDAN")</f>
        <v>MEDAN</v>
      </c>
      <c r="F2093" s="222" t="str">
        <f>IFERROR(__xludf.DUMMYFUNCTION("""COMPUTED_VALUE"""),"SKI")</f>
        <v>SKI</v>
      </c>
      <c r="G2093" s="222" t="str">
        <f>IFERROR(__xludf.DUMMYFUNCTION("""COMPUTED_VALUE"""),"SUMBAGUT")</f>
        <v>SUMBAGUT</v>
      </c>
      <c r="H2093" s="222" t="str">
        <f>IFERROR(__xludf.DUMMYFUNCTION("""COMPUTED_VALUE"""),"MEDAN")</f>
        <v>MEDAN</v>
      </c>
      <c r="I2093" s="222" t="str">
        <f>IFERROR(__xludf.DUMMYFUNCTION("""COMPUTED_VALUE"""),"Batch 2")</f>
        <v>Batch 2</v>
      </c>
      <c r="J2093" s="225">
        <f>IFERROR(__xludf.DUMMYFUNCTION("""COMPUTED_VALUE"""),4.0)</f>
        <v>4</v>
      </c>
      <c r="K2093" s="224">
        <f>IFERROR(__xludf.DUMMYFUNCTION("""COMPUTED_VALUE"""),32.0)</f>
        <v>32</v>
      </c>
      <c r="L2093" s="226">
        <f>IFERROR(__xludf.DUMMYFUNCTION("""COMPUTED_VALUE"""),999327.0)</f>
        <v>999327</v>
      </c>
      <c r="M2093" s="227">
        <f>IFERROR(__xludf.DUMMYFUNCTION("""COMPUTED_VALUE"""),3.197845E7)</f>
        <v>31978450</v>
      </c>
      <c r="N2093" s="222" t="str">
        <f>IFERROR(__xludf.DUMMYFUNCTION("""COMPUTED_VALUE"""),"PT UPENTEL INTERNASIONAL")</f>
        <v>PT UPENTEL INTERNASIONAL</v>
      </c>
      <c r="O2093" s="222" t="str">
        <f>IFERROR(__xludf.DUMMYFUNCTION("""COMPUTED_VALUE"""),"2. DONE AANWIJZING")</f>
        <v>2. DONE AANWIJZING</v>
      </c>
      <c r="P2093" s="222" t="str">
        <f>IFERROR(__xludf.DUMMYFUNCTION("""COMPUTED_VALUE"""),"2.9 Kendala - Distribusi Penuh / Rusak")</f>
        <v>2.9 Kendala - Distribusi Penuh / Rusak</v>
      </c>
      <c r="Q2093" s="222" t="str">
        <f>IFERROR(__xludf.DUMMYFUNCTION("""COMPUTED_VALUE"""),"21/04 proses anwjing ulang
01/11 Distribusi Penuh (24/09) Perizinan Warga dan Kades / Lurah
(23/09) Perizinan Warga dan Kades / Lurah
15/09 proses aanwijzing")</f>
        <v>21/04 proses anwjing ulang
01/11 Distribusi Penuh (24/09) Perizinan Warga dan Kades / Lurah
(23/09) Perizinan Warga dan Kades / Lurah
15/09 proses aanwijzing</v>
      </c>
      <c r="R2093" s="228"/>
      <c r="S2093" s="11"/>
      <c r="T2093" s="11"/>
      <c r="U2093" s="11"/>
      <c r="V2093" s="229"/>
      <c r="W2093" s="229"/>
      <c r="X2093" s="229" t="str">
        <f>IFERROR(__xludf.DUMMYFUNCTION("""COMPUTED_VALUE"""),"BELUM GOLIVE")</f>
        <v>BELUM GOLIVE</v>
      </c>
      <c r="Y2093" s="229"/>
      <c r="Z2093" s="229" t="str">
        <f>IFERROR(__xludf.DUMMYFUNCTION("""COMPUTED_VALUE"""),"#N/A")</f>
        <v>#N/A</v>
      </c>
      <c r="AA2093" s="229"/>
      <c r="AB2093" s="229"/>
      <c r="AC2093" s="229"/>
      <c r="AD2093" s="232"/>
      <c r="AE2093" s="233"/>
      <c r="AF2093" s="54"/>
      <c r="AG2093" s="54"/>
      <c r="AH2093" s="54"/>
      <c r="AI2093" s="55" t="str">
        <f t="shared" si="204"/>
        <v/>
      </c>
      <c r="AW2093" s="234"/>
      <c r="BP2093" s="11"/>
      <c r="BQ2093" s="11"/>
      <c r="BR2093" s="235"/>
      <c r="BV2093" s="158"/>
      <c r="BY2093" s="158"/>
      <c r="CB2093" s="158"/>
    </row>
    <row r="2094" ht="18.0" hidden="1" customHeight="1">
      <c r="A2094" s="222">
        <f>IFERROR(__xludf.DUMMYFUNCTION("""COMPUTED_VALUE"""),2026.0)</f>
        <v>2026</v>
      </c>
      <c r="B2094" s="221">
        <f>IFERROR(__xludf.DUMMYFUNCTION("""COMPUTED_VALUE"""),1.1368038E7)</f>
        <v>11368038</v>
      </c>
      <c r="C2094" s="222" t="str">
        <f>IFERROR(__xludf.DUMMYFUNCTION("""COMPUTED_VALUE"""),"MDN PT3 P1I1 SKI-FAL JL.MERPATI 1")</f>
        <v>MDN PT3 P1I1 SKI-FAL JL.MERPATI 1</v>
      </c>
      <c r="D2094" s="222" t="str">
        <f>IFERROR(__xludf.DUMMYFUNCTION("""COMPUTED_VALUE"""),"REGIONAL I")</f>
        <v>REGIONAL I</v>
      </c>
      <c r="E2094" s="222" t="str">
        <f>IFERROR(__xludf.DUMMYFUNCTION("""COMPUTED_VALUE"""),"MEDAN")</f>
        <v>MEDAN</v>
      </c>
      <c r="F2094" s="222" t="str">
        <f>IFERROR(__xludf.DUMMYFUNCTION("""COMPUTED_VALUE"""),"SKI")</f>
        <v>SKI</v>
      </c>
      <c r="G2094" s="222" t="str">
        <f>IFERROR(__xludf.DUMMYFUNCTION("""COMPUTED_VALUE"""),"SUMBAGUT")</f>
        <v>SUMBAGUT</v>
      </c>
      <c r="H2094" s="222" t="str">
        <f>IFERROR(__xludf.DUMMYFUNCTION("""COMPUTED_VALUE"""),"MEDAN")</f>
        <v>MEDAN</v>
      </c>
      <c r="I2094" s="222" t="str">
        <f>IFERROR(__xludf.DUMMYFUNCTION("""COMPUTED_VALUE"""),"Batch 2")</f>
        <v>Batch 2</v>
      </c>
      <c r="J2094" s="225">
        <f>IFERROR(__xludf.DUMMYFUNCTION("""COMPUTED_VALUE"""),6.0)</f>
        <v>6</v>
      </c>
      <c r="K2094" s="224">
        <f>IFERROR(__xludf.DUMMYFUNCTION("""COMPUTED_VALUE"""),48.0)</f>
        <v>48</v>
      </c>
      <c r="L2094" s="226">
        <f>IFERROR(__xludf.DUMMYFUNCTION("""COMPUTED_VALUE"""),869513.0)</f>
        <v>869513</v>
      </c>
      <c r="M2094" s="227">
        <f>IFERROR(__xludf.DUMMYFUNCTION("""COMPUTED_VALUE"""),4.1736599E7)</f>
        <v>41736599</v>
      </c>
      <c r="N2094" s="222" t="str">
        <f>IFERROR(__xludf.DUMMYFUNCTION("""COMPUTED_VALUE"""),"PT UPENTEL INTERNASIONAL")</f>
        <v>PT UPENTEL INTERNASIONAL</v>
      </c>
      <c r="O2094" s="222" t="str">
        <f>IFERROR(__xludf.DUMMYFUNCTION("""COMPUTED_VALUE"""),"2. DONE AANWIJZING")</f>
        <v>2. DONE AANWIJZING</v>
      </c>
      <c r="P2094" s="222" t="str">
        <f>IFERROR(__xludf.DUMMYFUNCTION("""COMPUTED_VALUE"""),"2.9 Kendala - Distribusi Penuh / Rusak")</f>
        <v>2.9 Kendala - Distribusi Penuh / Rusak</v>
      </c>
      <c r="Q2094" s="222" t="str">
        <f>IFERROR(__xludf.DUMMYFUNCTION("""COMPUTED_VALUE"""),"21/04 proses anwjing ulang
01/11 Distribusi Penuh (24/09) Perizinan Warga dan Kades / Lurah
(23/09) Perizinan Warga dan Kades / Lurah
15/09 proses aanwijzing")</f>
        <v>21/04 proses anwjing ulang
01/11 Distribusi Penuh (24/09) Perizinan Warga dan Kades / Lurah
(23/09) Perizinan Warga dan Kades / Lurah
15/09 proses aanwijzing</v>
      </c>
      <c r="R2094" s="228"/>
      <c r="S2094" s="11"/>
      <c r="T2094" s="11"/>
      <c r="U2094" s="11"/>
      <c r="V2094" s="229"/>
      <c r="W2094" s="229"/>
      <c r="X2094" s="229" t="str">
        <f>IFERROR(__xludf.DUMMYFUNCTION("""COMPUTED_VALUE"""),"BELUM GOLIVE")</f>
        <v>BELUM GOLIVE</v>
      </c>
      <c r="Y2094" s="229"/>
      <c r="Z2094" s="229" t="str">
        <f>IFERROR(__xludf.DUMMYFUNCTION("""COMPUTED_VALUE"""),"#N/A")</f>
        <v>#N/A</v>
      </c>
      <c r="AA2094" s="229"/>
      <c r="AB2094" s="229"/>
      <c r="AC2094" s="229"/>
      <c r="AD2094" s="232"/>
      <c r="AE2094" s="233"/>
      <c r="AF2094" s="54"/>
      <c r="AG2094" s="54"/>
      <c r="AH2094" s="54"/>
      <c r="AI2094" s="55" t="str">
        <f t="shared" si="204"/>
        <v/>
      </c>
      <c r="AW2094" s="234"/>
      <c r="BP2094" s="11"/>
      <c r="BQ2094" s="11"/>
      <c r="BR2094" s="235"/>
      <c r="BV2094" s="158"/>
      <c r="BY2094" s="158"/>
      <c r="CB2094" s="158"/>
    </row>
    <row r="2095" ht="18.0" hidden="1" customHeight="1">
      <c r="A2095" s="222">
        <f>IFERROR(__xludf.DUMMYFUNCTION("""COMPUTED_VALUE"""),2026.0)</f>
        <v>2026</v>
      </c>
      <c r="B2095" s="221">
        <f>IFERROR(__xludf.DUMMYFUNCTION("""COMPUTED_VALUE"""),1.1533428E7)</f>
        <v>11533428</v>
      </c>
      <c r="C2095" s="222" t="str">
        <f>IFERROR(__xludf.DUMMYFUNCTION("""COMPUTED_VALUE"""),"MDN PT3 SKI-FBL ODP PRIORITAS_MD25")</f>
        <v>MDN PT3 SKI-FBL ODP PRIORITAS_MD25</v>
      </c>
      <c r="D2095" s="222" t="str">
        <f>IFERROR(__xludf.DUMMYFUNCTION("""COMPUTED_VALUE"""),"REGIONAL I")</f>
        <v>REGIONAL I</v>
      </c>
      <c r="E2095" s="222" t="str">
        <f>IFERROR(__xludf.DUMMYFUNCTION("""COMPUTED_VALUE"""),"MEDAN")</f>
        <v>MEDAN</v>
      </c>
      <c r="F2095" s="222" t="str">
        <f>IFERROR(__xludf.DUMMYFUNCTION("""COMPUTED_VALUE"""),"SKI")</f>
        <v>SKI</v>
      </c>
      <c r="G2095" s="222" t="str">
        <f>IFERROR(__xludf.DUMMYFUNCTION("""COMPUTED_VALUE"""),"SUMBAGUT")</f>
        <v>SUMBAGUT</v>
      </c>
      <c r="H2095" s="222" t="str">
        <f>IFERROR(__xludf.DUMMYFUNCTION("""COMPUTED_VALUE"""),"MEDAN")</f>
        <v>MEDAN</v>
      </c>
      <c r="I2095" s="222" t="str">
        <f>IFERROR(__xludf.DUMMYFUNCTION("""COMPUTED_VALUE"""),"Batch 2")</f>
        <v>Batch 2</v>
      </c>
      <c r="J2095" s="225">
        <f>IFERROR(__xludf.DUMMYFUNCTION("""COMPUTED_VALUE"""),10.0)</f>
        <v>10</v>
      </c>
      <c r="K2095" s="224">
        <f>IFERROR(__xludf.DUMMYFUNCTION("""COMPUTED_VALUE"""),80.0)</f>
        <v>80</v>
      </c>
      <c r="L2095" s="226">
        <f>IFERROR(__xludf.DUMMYFUNCTION("""COMPUTED_VALUE"""),628815.0)</f>
        <v>628815</v>
      </c>
      <c r="M2095" s="227">
        <f>IFERROR(__xludf.DUMMYFUNCTION("""COMPUTED_VALUE"""),5.0305185E7)</f>
        <v>50305185</v>
      </c>
      <c r="N2095" s="222" t="str">
        <f>IFERROR(__xludf.DUMMYFUNCTION("""COMPUTED_VALUE"""),"PT UPENTEL INTERNASIONAL")</f>
        <v>PT UPENTEL INTERNASIONAL</v>
      </c>
      <c r="O2095" s="222" t="str">
        <f>IFERROR(__xludf.DUMMYFUNCTION("""COMPUTED_VALUE"""),"2. DONE AANWIJZING")</f>
        <v>2. DONE AANWIJZING</v>
      </c>
      <c r="P2095" s="222" t="str">
        <f>IFERROR(__xludf.DUMMYFUNCTION("""COMPUTED_VALUE"""),"2.9 Kendala - Distribusi Penuh / Rusak")</f>
        <v>2.9 Kendala - Distribusi Penuh / Rusak</v>
      </c>
      <c r="Q2095" s="222" t="str">
        <f>IFERROR(__xludf.DUMMYFUNCTION("""COMPUTED_VALUE"""),"21/04 proses anwjing ulang
01/11 Distribusi Penuh (24/09) Perizinan Warga dan Kades / Lurah
(23/09) Perizinan Warga dan Kades / Lurah
15/09 proses aanwijzing")</f>
        <v>21/04 proses anwjing ulang
01/11 Distribusi Penuh (24/09) Perizinan Warga dan Kades / Lurah
(23/09) Perizinan Warga dan Kades / Lurah
15/09 proses aanwijzing</v>
      </c>
      <c r="R2095" s="228"/>
      <c r="S2095" s="11"/>
      <c r="T2095" s="11"/>
      <c r="U2095" s="11"/>
      <c r="V2095" s="229"/>
      <c r="W2095" s="229"/>
      <c r="X2095" s="229" t="str">
        <f>IFERROR(__xludf.DUMMYFUNCTION("""COMPUTED_VALUE"""),"BELUM GOLIVE")</f>
        <v>BELUM GOLIVE</v>
      </c>
      <c r="Y2095" s="229"/>
      <c r="Z2095" s="229" t="str">
        <f>IFERROR(__xludf.DUMMYFUNCTION("""COMPUTED_VALUE"""),"#N/A")</f>
        <v>#N/A</v>
      </c>
      <c r="AA2095" s="229"/>
      <c r="AB2095" s="229"/>
      <c r="AC2095" s="229"/>
      <c r="AD2095" s="232"/>
      <c r="AE2095" s="233"/>
      <c r="AF2095" s="54"/>
      <c r="AG2095" s="54"/>
      <c r="AH2095" s="54"/>
      <c r="AI2095" s="55" t="str">
        <f t="shared" si="204"/>
        <v/>
      </c>
      <c r="AW2095" s="234"/>
      <c r="BP2095" s="11"/>
      <c r="BQ2095" s="11"/>
      <c r="BR2095" s="235"/>
      <c r="BV2095" s="158"/>
      <c r="BY2095" s="158"/>
      <c r="CB2095" s="158"/>
    </row>
    <row r="2096" ht="18.0" hidden="1" customHeight="1">
      <c r="A2096" s="222">
        <f>IFERROR(__xludf.DUMMYFUNCTION("""COMPUTED_VALUE"""),2026.0)</f>
        <v>2026</v>
      </c>
      <c r="B2096" s="221">
        <f>IFERROR(__xludf.DUMMYFUNCTION("""COMPUTED_VALUE"""),1.1388984E7)</f>
        <v>11388984</v>
      </c>
      <c r="C2096" s="222" t="str">
        <f>IFERROR(__xludf.DUMMYFUNCTION("""COMPUTED_VALUE"""),"ACH PT3 BNN-FB LAM UJONG")</f>
        <v>ACH PT3 BNN-FB LAM UJONG</v>
      </c>
      <c r="D2096" s="222" t="str">
        <f>IFERROR(__xludf.DUMMYFUNCTION("""COMPUTED_VALUE"""),"REGIONAL I")</f>
        <v>REGIONAL I</v>
      </c>
      <c r="E2096" s="222" t="str">
        <f>IFERROR(__xludf.DUMMYFUNCTION("""COMPUTED_VALUE"""),"ACEH")</f>
        <v>ACEH</v>
      </c>
      <c r="F2096" s="222" t="str">
        <f>IFERROR(__xludf.DUMMYFUNCTION("""COMPUTED_VALUE"""),"BNN")</f>
        <v>BNN</v>
      </c>
      <c r="G2096" s="222" t="str">
        <f>IFERROR(__xludf.DUMMYFUNCTION("""COMPUTED_VALUE"""),"SUMBAGUT")</f>
        <v>SUMBAGUT</v>
      </c>
      <c r="H2096" s="222" t="str">
        <f>IFERROR(__xludf.DUMMYFUNCTION("""COMPUTED_VALUE"""),"BANDA ACEH")</f>
        <v>BANDA ACEH</v>
      </c>
      <c r="I2096" s="222" t="str">
        <f>IFERROR(__xludf.DUMMYFUNCTION("""COMPUTED_VALUE"""),"Batch 2")</f>
        <v>Batch 2</v>
      </c>
      <c r="J2096" s="225">
        <f>IFERROR(__xludf.DUMMYFUNCTION("""COMPUTED_VALUE"""),26.0)</f>
        <v>26</v>
      </c>
      <c r="K2096" s="224">
        <f>IFERROR(__xludf.DUMMYFUNCTION("""COMPUTED_VALUE"""),208.0)</f>
        <v>208</v>
      </c>
      <c r="L2096" s="226">
        <f>IFERROR(__xludf.DUMMYFUNCTION("""COMPUTED_VALUE"""),1589301.0)</f>
        <v>1589301</v>
      </c>
      <c r="M2096" s="227">
        <f>IFERROR(__xludf.DUMMYFUNCTION("""COMPUTED_VALUE"""),3.30574485E8)</f>
        <v>330574485</v>
      </c>
      <c r="N2096" s="222" t="str">
        <f>IFERROR(__xludf.DUMMYFUNCTION("""COMPUTED_VALUE"""),"PT TRIPOLA PANATA")</f>
        <v>PT TRIPOLA PANATA</v>
      </c>
      <c r="O2096" s="222" t="str">
        <f>IFERROR(__xludf.DUMMYFUNCTION("""COMPUTED_VALUE"""),"2. DONE AANWIJZING")</f>
        <v>2. DONE AANWIJZING</v>
      </c>
      <c r="P2096" s="222" t="str">
        <f>IFERROR(__xludf.DUMMYFUNCTION("""COMPUTED_VALUE"""),"2.10 Kendala - Feeder Rusak")</f>
        <v>2.10 Kendala - Feeder Rusak</v>
      </c>
      <c r="Q2096" s="222" t="str">
        <f>IFERROR(__xludf.DUMMYFUNCTION("""COMPUTED_VALUE"""),"(07/02) Validasi Core Existing (07/01) Persiapan")</f>
        <v>(07/02) Validasi Core Existing (07/01) Persiapan</v>
      </c>
      <c r="R2096" s="228"/>
      <c r="S2096" s="11"/>
      <c r="T2096" s="11"/>
      <c r="U2096" s="11"/>
      <c r="V2096" s="229"/>
      <c r="W2096" s="229"/>
      <c r="X2096" s="229" t="str">
        <f>IFERROR(__xludf.DUMMYFUNCTION("""COMPUTED_VALUE"""),"BELUM GOLIVE")</f>
        <v>BELUM GOLIVE</v>
      </c>
      <c r="Y2096" s="229"/>
      <c r="Z2096" s="229" t="str">
        <f>IFERROR(__xludf.DUMMYFUNCTION("""COMPUTED_VALUE"""),"#N/A")</f>
        <v>#N/A</v>
      </c>
      <c r="AA2096" s="229"/>
      <c r="AB2096" s="229"/>
      <c r="AC2096" s="229"/>
      <c r="AD2096" s="232"/>
      <c r="AE2096" s="233"/>
      <c r="AF2096" s="54"/>
      <c r="AG2096" s="54"/>
      <c r="AH2096" s="54"/>
      <c r="AI2096" s="55" t="str">
        <f t="shared" si="204"/>
        <v/>
      </c>
      <c r="AW2096" s="234"/>
      <c r="BP2096" s="11"/>
      <c r="BQ2096" s="11"/>
      <c r="BR2096" s="235"/>
      <c r="BV2096" s="158"/>
      <c r="BY2096" s="158"/>
      <c r="CB2096" s="158"/>
    </row>
    <row r="2097" ht="18.0" customHeight="1">
      <c r="A2097" s="222">
        <f>IFERROR(__xludf.DUMMYFUNCTION("""COMPUTED_VALUE"""),2026.0)</f>
        <v>2026</v>
      </c>
      <c r="B2097" s="221">
        <f>IFERROR(__xludf.DUMMYFUNCTION("""COMPUTED_VALUE"""),1.1086277E7)</f>
        <v>11086277</v>
      </c>
      <c r="C2097" s="222" t="str">
        <f>IFERROR(__xludf.DUMMYFUNCTION("""COMPUTED_VALUE"""),"SMB P1I1 STTF PT2 Simpang Sungai Kapur")</f>
        <v>SMB P1I1 STTF PT2 Simpang Sungai Kapur</v>
      </c>
      <c r="D2097" s="222" t="str">
        <f>IFERROR(__xludf.DUMMYFUNCTION("""COMPUTED_VALUE"""),"REGIONAL I")</f>
        <v>REGIONAL I</v>
      </c>
      <c r="E2097" s="222" t="str">
        <f>IFERROR(__xludf.DUMMYFUNCTION("""COMPUTED_VALUE"""),"SUMBAR")</f>
        <v>SUMBAR</v>
      </c>
      <c r="F2097" s="222" t="str">
        <f>IFERROR(__xludf.DUMMYFUNCTION("""COMPUTED_VALUE"""),"MLH")</f>
        <v>MLH</v>
      </c>
      <c r="G2097" s="222" t="str">
        <f>IFERROR(__xludf.DUMMYFUNCTION("""COMPUTED_VALUE"""),"SUMBAGTENG")</f>
        <v>SUMBAGTENG</v>
      </c>
      <c r="H2097" s="222" t="str">
        <f>IFERROR(__xludf.DUMMYFUNCTION("""COMPUTED_VALUE"""),"PADANG")</f>
        <v>PADANG</v>
      </c>
      <c r="I2097" s="222" t="str">
        <f>IFERROR(__xludf.DUMMYFUNCTION("""COMPUTED_VALUE"""),"Batch 2")</f>
        <v>Batch 2</v>
      </c>
      <c r="J2097" s="225">
        <f>IFERROR(__xludf.DUMMYFUNCTION("""COMPUTED_VALUE"""),10.0)</f>
        <v>10</v>
      </c>
      <c r="K2097" s="224">
        <f>IFERROR(__xludf.DUMMYFUNCTION("""COMPUTED_VALUE"""),80.0)</f>
        <v>80</v>
      </c>
      <c r="L2097" s="226">
        <f>IFERROR(__xludf.DUMMYFUNCTION("""COMPUTED_VALUE"""),1589698.0)</f>
        <v>1589698</v>
      </c>
      <c r="M2097" s="227">
        <f>IFERROR(__xludf.DUMMYFUNCTION("""COMPUTED_VALUE"""),1.27175823E8)</f>
        <v>127175823</v>
      </c>
      <c r="N2097" s="222" t="str">
        <f>IFERROR(__xludf.DUMMYFUNCTION("""COMPUTED_VALUE"""),"PT WIRA MUDA OPTIMA")</f>
        <v>PT WIRA MUDA OPTIMA</v>
      </c>
      <c r="O2097" s="222" t="str">
        <f>IFERROR(__xludf.DUMMYFUNCTION("""COMPUTED_VALUE"""),"2. DONE AANWIJZING")</f>
        <v>2. DONE AANWIJZING</v>
      </c>
      <c r="P2097" s="222" t="str">
        <f>IFERROR(__xludf.DUMMYFUNCTION("""COMPUTED_VALUE"""),"2.9 Kendala - Distribusi Penuh / Rusak")</f>
        <v>2.9 Kendala - Distribusi Penuh / Rusak</v>
      </c>
      <c r="Q2097" s="222" t="str">
        <f>IFERROR(__xludf.DUMMYFUNCTION("""COMPUTED_VALUE"""),"(27/01) kendala dist 3 MLH-FD tidak ada yg tembus (07/01) Persiapan")</f>
        <v>(27/01) kendala dist 3 MLH-FD tidak ada yg tembus (07/01) Persiapan</v>
      </c>
      <c r="R2097" s="228"/>
      <c r="S2097" s="11"/>
      <c r="T2097" s="11"/>
      <c r="U2097" s="11"/>
      <c r="V2097" s="229"/>
      <c r="W2097" s="229"/>
      <c r="X2097" s="229" t="str">
        <f>IFERROR(__xludf.DUMMYFUNCTION("""COMPUTED_VALUE"""),"BELUM GOLIVE")</f>
        <v>BELUM GOLIVE</v>
      </c>
      <c r="Y2097" s="229"/>
      <c r="Z2097" s="229" t="str">
        <f>IFERROR(__xludf.DUMMYFUNCTION("""COMPUTED_VALUE"""),"#N/A")</f>
        <v>#N/A</v>
      </c>
      <c r="AA2097" s="229"/>
      <c r="AB2097" s="229"/>
      <c r="AC2097" s="229"/>
      <c r="AD2097" s="232"/>
      <c r="AE2097" s="233"/>
      <c r="AF2097" s="54"/>
      <c r="AG2097" s="54"/>
      <c r="AH2097" s="54"/>
      <c r="AI2097" s="55" t="str">
        <f t="shared" si="204"/>
        <v/>
      </c>
      <c r="AW2097" s="234"/>
      <c r="BP2097" s="11"/>
      <c r="BQ2097" s="11"/>
      <c r="BR2097" s="235"/>
      <c r="BV2097" s="158"/>
      <c r="BY2097" s="158"/>
      <c r="CB2097" s="158"/>
    </row>
    <row r="2098" ht="18.0" hidden="1" customHeight="1">
      <c r="A2098" s="222">
        <f>IFERROR(__xludf.DUMMYFUNCTION("""COMPUTED_VALUE"""),2026.0)</f>
        <v>2026</v>
      </c>
      <c r="B2098" s="221">
        <f>IFERROR(__xludf.DUMMYFUNCTION("""COMPUTED_VALUE"""),1.153339E7)</f>
        <v>11533390</v>
      </c>
      <c r="C2098" s="222" t="str">
        <f>IFERROR(__xludf.DUMMYFUNCTION("""COMPUTED_VALUE"""),"MDN PT3 SPM-FCF JL.TIRTA")</f>
        <v>MDN PT3 SPM-FCF JL.TIRTA</v>
      </c>
      <c r="D2098" s="222" t="str">
        <f>IFERROR(__xludf.DUMMYFUNCTION("""COMPUTED_VALUE"""),"REGIONAL I")</f>
        <v>REGIONAL I</v>
      </c>
      <c r="E2098" s="222" t="str">
        <f>IFERROR(__xludf.DUMMYFUNCTION("""COMPUTED_VALUE"""),"MEDAN")</f>
        <v>MEDAN</v>
      </c>
      <c r="F2098" s="222" t="str">
        <f>IFERROR(__xludf.DUMMYFUNCTION("""COMPUTED_VALUE"""),"SPM")</f>
        <v>SPM</v>
      </c>
      <c r="G2098" s="222" t="str">
        <f>IFERROR(__xludf.DUMMYFUNCTION("""COMPUTED_VALUE"""),"SUMBAGUT")</f>
        <v>SUMBAGUT</v>
      </c>
      <c r="H2098" s="222" t="str">
        <f>IFERROR(__xludf.DUMMYFUNCTION("""COMPUTED_VALUE"""),"MEDAN")</f>
        <v>MEDAN</v>
      </c>
      <c r="I2098" s="222" t="str">
        <f>IFERROR(__xludf.DUMMYFUNCTION("""COMPUTED_VALUE"""),"Batch 2")</f>
        <v>Batch 2</v>
      </c>
      <c r="J2098" s="225">
        <f>IFERROR(__xludf.DUMMYFUNCTION("""COMPUTED_VALUE"""),7.0)</f>
        <v>7</v>
      </c>
      <c r="K2098" s="224">
        <f>IFERROR(__xludf.DUMMYFUNCTION("""COMPUTED_VALUE"""),56.0)</f>
        <v>56</v>
      </c>
      <c r="L2098" s="226">
        <f>IFERROR(__xludf.DUMMYFUNCTION("""COMPUTED_VALUE"""),996821.0)</f>
        <v>996821</v>
      </c>
      <c r="M2098" s="227">
        <f>IFERROR(__xludf.DUMMYFUNCTION("""COMPUTED_VALUE"""),5.5821957E7)</f>
        <v>55821957</v>
      </c>
      <c r="N2098" s="222" t="str">
        <f>IFERROR(__xludf.DUMMYFUNCTION("""COMPUTED_VALUE"""),"PT WALET SOLUSINDO")</f>
        <v>PT WALET SOLUSINDO</v>
      </c>
      <c r="O2098" s="222" t="str">
        <f>IFERROR(__xludf.DUMMYFUNCTION("""COMPUTED_VALUE"""),"3. PERIZINAN")</f>
        <v>3. PERIZINAN</v>
      </c>
      <c r="P2098" s="222" t="str">
        <f>IFERROR(__xludf.DUMMYFUNCTION("""COMPUTED_VALUE"""),"3.13 Pengajuan Biaya Comcase")</f>
        <v>3.13 Pengajuan Biaya Comcase</v>
      </c>
      <c r="Q2098" s="222" t="str">
        <f>IFERROR(__xludf.DUMMYFUNCTION("""COMPUTED_VALUE"""),"20/04 pengajuan biaya prelim 7jt 09/04 nego perizinan 14/04 08/04 perizinan dipermasalahkan pengurusan izin tanam tiang diurus kembali 10/03 menunggu approval prelim 24/02 Penanaman tiang 18/02 sudah pengambilan material 13/10 Req Pengambilan Material")</f>
        <v>20/04 pengajuan biaya prelim 7jt 09/04 nego perizinan 14/04 08/04 perizinan dipermasalahkan pengurusan izin tanam tiang diurus kembali 10/03 menunggu approval prelim 24/02 Penanaman tiang 18/02 sudah pengambilan material 13/10 Req Pengambilan Material</v>
      </c>
      <c r="R2098" s="228"/>
      <c r="S2098" s="11"/>
      <c r="T2098" s="73"/>
      <c r="U2098" s="11"/>
      <c r="V2098" s="229"/>
      <c r="W2098" s="229" t="str">
        <f>IFERROR(__xludf.DUMMYFUNCTION("""COMPUTED_VALUE"""),"#N/A")</f>
        <v>#N/A</v>
      </c>
      <c r="X2098" s="229" t="str">
        <f>IFERROR(__xludf.DUMMYFUNCTION("""COMPUTED_VALUE"""),"BELUM GOLIVE")</f>
        <v>BELUM GOLIVE</v>
      </c>
      <c r="Y2098" s="229"/>
      <c r="Z2098" s="229" t="str">
        <f>IFERROR(__xludf.DUMMYFUNCTION("""COMPUTED_VALUE"""),"#N/A")</f>
        <v>#N/A</v>
      </c>
      <c r="AA2098" s="229"/>
      <c r="AB2098" s="229"/>
      <c r="AC2098" s="229"/>
      <c r="AD2098" s="232"/>
      <c r="AE2098" s="233"/>
      <c r="AF2098" s="54"/>
      <c r="AG2098" s="54"/>
      <c r="AH2098" s="54"/>
      <c r="AI2098" s="55" t="str">
        <f t="shared" si="204"/>
        <v/>
      </c>
      <c r="AW2098" s="234"/>
      <c r="BP2098" s="11"/>
      <c r="BQ2098" s="11"/>
      <c r="BR2098" s="235"/>
      <c r="BV2098" s="158"/>
      <c r="BY2098" s="158"/>
      <c r="CB2098" s="158"/>
    </row>
    <row r="2099" ht="18.0" hidden="1" customHeight="1">
      <c r="A2099" s="222">
        <f>IFERROR(__xludf.DUMMYFUNCTION("""COMPUTED_VALUE"""),2026.0)</f>
        <v>2026</v>
      </c>
      <c r="B2099" s="221">
        <f>IFERROR(__xludf.DUMMYFUNCTION("""COMPUTED_VALUE"""),1.1194121E7)</f>
        <v>11194121</v>
      </c>
      <c r="C2099" s="222" t="str">
        <f>IFERROR(__xludf.DUMMYFUNCTION("""COMPUTED_VALUE"""),"MDN PT3 TTG-FBZ JL.BUNGA HERBA SEMPAKATA")</f>
        <v>MDN PT3 TTG-FBZ JL.BUNGA HERBA SEMPAKATA</v>
      </c>
      <c r="D2099" s="222" t="str">
        <f>IFERROR(__xludf.DUMMYFUNCTION("""COMPUTED_VALUE"""),"REGIONAL I")</f>
        <v>REGIONAL I</v>
      </c>
      <c r="E2099" s="222" t="str">
        <f>IFERROR(__xludf.DUMMYFUNCTION("""COMPUTED_VALUE"""),"MEDAN")</f>
        <v>MEDAN</v>
      </c>
      <c r="F2099" s="222" t="str">
        <f>IFERROR(__xludf.DUMMYFUNCTION("""COMPUTED_VALUE"""),"TTG")</f>
        <v>TTG</v>
      </c>
      <c r="G2099" s="222" t="str">
        <f>IFERROR(__xludf.DUMMYFUNCTION("""COMPUTED_VALUE"""),"SUMBAGUT")</f>
        <v>SUMBAGUT</v>
      </c>
      <c r="H2099" s="222" t="str">
        <f>IFERROR(__xludf.DUMMYFUNCTION("""COMPUTED_VALUE"""),"MEDAN")</f>
        <v>MEDAN</v>
      </c>
      <c r="I2099" s="222" t="str">
        <f>IFERROR(__xludf.DUMMYFUNCTION("""COMPUTED_VALUE"""),"Batch 2")</f>
        <v>Batch 2</v>
      </c>
      <c r="J2099" s="225">
        <f>IFERROR(__xludf.DUMMYFUNCTION("""COMPUTED_VALUE"""),8.0)</f>
        <v>8</v>
      </c>
      <c r="K2099" s="224">
        <f>IFERROR(__xludf.DUMMYFUNCTION("""COMPUTED_VALUE"""),64.0)</f>
        <v>64</v>
      </c>
      <c r="L2099" s="226">
        <f>IFERROR(__xludf.DUMMYFUNCTION("""COMPUTED_VALUE"""),865083.0)</f>
        <v>865083</v>
      </c>
      <c r="M2099" s="227">
        <f>IFERROR(__xludf.DUMMYFUNCTION("""COMPUTED_VALUE"""),5.5365306E7)</f>
        <v>55365306</v>
      </c>
      <c r="N2099" s="222" t="str">
        <f>IFERROR(__xludf.DUMMYFUNCTION("""COMPUTED_VALUE"""),"SWAKELOLA")</f>
        <v>SWAKELOLA</v>
      </c>
      <c r="O2099" s="222" t="str">
        <f>IFERROR(__xludf.DUMMYFUNCTION("""COMPUTED_VALUE"""),"0. DROP")</f>
        <v>0. DROP</v>
      </c>
      <c r="P2099" s="222" t="str">
        <f>IFERROR(__xludf.DUMMYFUNCTION("""COMPUTED_VALUE"""),"0.2 Tidak Dapat Izin Warga/Kades/Lurah/Developer")</f>
        <v>0.2 Tidak Dapat Izin Warga/Kades/Lurah/Developer</v>
      </c>
      <c r="Q2099" s="222" t="str">
        <f>IFERROR(__xludf.DUMMYFUNCTION("""COMPUTED_VALUE"""),"26/01 ODP TIDAK BISA DIBUKA TERHALANG REKLAME WARGA")</f>
        <v>26/01 ODP TIDAK BISA DIBUKA TERHALANG REKLAME WARGA</v>
      </c>
      <c r="R2099" s="228"/>
      <c r="S2099" s="11"/>
      <c r="T2099" s="11"/>
      <c r="U2099" s="11"/>
      <c r="V2099" s="229"/>
      <c r="W2099" s="229"/>
      <c r="X2099" s="229" t="str">
        <f>IFERROR(__xludf.DUMMYFUNCTION("""COMPUTED_VALUE"""),"BELUM GOLIVE")</f>
        <v>BELUM GOLIVE</v>
      </c>
      <c r="Y2099" s="229"/>
      <c r="Z2099" s="229" t="str">
        <f>IFERROR(__xludf.DUMMYFUNCTION("""COMPUTED_VALUE"""),"#N/A")</f>
        <v>#N/A</v>
      </c>
      <c r="AA2099" s="229"/>
      <c r="AB2099" s="229"/>
      <c r="AC2099" s="229"/>
      <c r="AD2099" s="232"/>
      <c r="AE2099" s="233"/>
      <c r="AF2099" s="54" t="str">
        <f>IFERROR(__xludf.DUMMYFUNCTION("""COMPUTED_VALUE"""),"Draft BA DROP")</f>
        <v>Draft BA DROP</v>
      </c>
      <c r="AG2099" s="54"/>
      <c r="AH2099" s="54"/>
      <c r="AI2099" s="55" t="str">
        <f t="shared" si="204"/>
        <v/>
      </c>
      <c r="AW2099" s="234"/>
      <c r="BP2099" s="11"/>
      <c r="BQ2099" s="11"/>
      <c r="BR2099" s="235"/>
      <c r="BV2099" s="158"/>
      <c r="BY2099" s="158"/>
      <c r="CB2099" s="158"/>
    </row>
    <row r="2100" ht="18.0" hidden="1" customHeight="1">
      <c r="A2100" s="222">
        <f>IFERROR(__xludf.DUMMYFUNCTION("""COMPUTED_VALUE"""),2026.0)</f>
        <v>2026</v>
      </c>
      <c r="B2100" s="221">
        <f>IFERROR(__xludf.DUMMYFUNCTION("""COMPUTED_VALUE"""),1.1264536E7)</f>
        <v>11264536</v>
      </c>
      <c r="C2100" s="222" t="str">
        <f>IFERROR(__xludf.DUMMYFUNCTION("""COMPUTED_VALUE"""),"JBI-MICRODEMAND-PT3-SPN-FT-SUNGAI ABU")</f>
        <v>JBI-MICRODEMAND-PT3-SPN-FT-SUNGAI ABU</v>
      </c>
      <c r="D2100" s="222" t="str">
        <f>IFERROR(__xludf.DUMMYFUNCTION("""COMPUTED_VALUE"""),"REGIONAL I")</f>
        <v>REGIONAL I</v>
      </c>
      <c r="E2100" s="222" t="str">
        <f>IFERROR(__xludf.DUMMYFUNCTION("""COMPUTED_VALUE"""),"JAMBI")</f>
        <v>JAMBI</v>
      </c>
      <c r="F2100" s="222" t="str">
        <f>IFERROR(__xludf.DUMMYFUNCTION("""COMPUTED_VALUE"""),"SPN")</f>
        <v>SPN</v>
      </c>
      <c r="G2100" s="222" t="str">
        <f>IFERROR(__xludf.DUMMYFUNCTION("""COMPUTED_VALUE"""),"SUMBAGSEL")</f>
        <v>SUMBAGSEL</v>
      </c>
      <c r="H2100" s="222" t="str">
        <f>IFERROR(__xludf.DUMMYFUNCTION("""COMPUTED_VALUE"""),"JAMBI")</f>
        <v>JAMBI</v>
      </c>
      <c r="I2100" s="222" t="str">
        <f>IFERROR(__xludf.DUMMYFUNCTION("""COMPUTED_VALUE"""),"Batch 2")</f>
        <v>Batch 2</v>
      </c>
      <c r="J2100" s="225">
        <f>IFERROR(__xludf.DUMMYFUNCTION("""COMPUTED_VALUE"""),20.0)</f>
        <v>20</v>
      </c>
      <c r="K2100" s="224">
        <f>IFERROR(__xludf.DUMMYFUNCTION("""COMPUTED_VALUE"""),160.0)</f>
        <v>160</v>
      </c>
      <c r="L2100" s="226">
        <f>IFERROR(__xludf.DUMMYFUNCTION("""COMPUTED_VALUE"""),1590814.0)</f>
        <v>1590814</v>
      </c>
      <c r="M2100" s="227">
        <f>IFERROR(__xludf.DUMMYFUNCTION("""COMPUTED_VALUE"""),2.54530192E8)</f>
        <v>254530192</v>
      </c>
      <c r="N2100" s="222" t="str">
        <f>IFERROR(__xludf.DUMMYFUNCTION("""COMPUTED_VALUE"""),"PT SARANA MITRA PERSADA")</f>
        <v>PT SARANA MITRA PERSADA</v>
      </c>
      <c r="O2100" s="222" t="str">
        <f>IFERROR(__xludf.DUMMYFUNCTION("""COMPUTED_VALUE"""),"8. UJI TERIMA")</f>
        <v>8. UJI TERIMA</v>
      </c>
      <c r="P2100" s="222" t="str">
        <f>IFERROR(__xludf.DUMMYFUNCTION("""COMPUTED_VALUE"""),"8.1 Proses UT")</f>
        <v>8.1 Proses UT</v>
      </c>
      <c r="Q2100" s="222" t="str">
        <f>IFERROR(__xludf.DUMMYFUNCTION("""COMPUTED_VALUE"""),"(24/1) golive 24 jan 2026 (12/1) proses golive 7/1 FINISH INSTALASI (06/01)order JPP batch-2 2026 (28/11 TANAM TIANG 0/83 (KENDALA HUJAN)(17/11) tim masih mengerjakan lokasi lain (10/11) kabel 8900 , tiang 83 , odp 18 (10/11) matdel (17/10) Mapping Mitra")</f>
        <v>(24/1) golive 24 jan 2026 (12/1) proses golive 7/1 FINISH INSTALASI (06/01)order JPP batch-2 2026 (28/11 TANAM TIANG 0/83 (KENDALA HUJAN)(17/11) tim masih mengerjakan lokasi lain (10/11) kabel 8900 , tiang 83 , odp 18 (10/11) matdel (17/10) Mapping Mitra</v>
      </c>
      <c r="R2100" s="228"/>
      <c r="S2100" s="11"/>
      <c r="T2100" s="11"/>
      <c r="U2100" s="11"/>
      <c r="V2100" s="229"/>
      <c r="W2100" s="229"/>
      <c r="X2100" s="229" t="str">
        <f>IFERROR(__xludf.DUMMYFUNCTION("""COMPUTED_VALUE"""),"GOLIVE")</f>
        <v>GOLIVE</v>
      </c>
      <c r="Y2100" s="229" t="str">
        <f>IFERROR(__xludf.DUMMYFUNCTION("""COMPUTED_VALUE"""),"DONE")</f>
        <v>DONE</v>
      </c>
      <c r="Z2100" s="229" t="str">
        <f>IFERROR(__xludf.DUMMYFUNCTION("""COMPUTED_VALUE"""),"#N/A")</f>
        <v>#N/A</v>
      </c>
      <c r="AA2100" s="229">
        <f>IFERROR(__xludf.DUMMYFUNCTION("""COMPUTED_VALUE"""),18.0)</f>
        <v>18</v>
      </c>
      <c r="AB2100" s="229"/>
      <c r="AC2100" s="229" t="str">
        <f>IFERROR(__xludf.DUMMYFUNCTION("""COMPUTED_VALUE"""),"8960834#8960839")</f>
        <v>8960834#8960839</v>
      </c>
      <c r="AD2100" s="232">
        <f>IFERROR(__xludf.DUMMYFUNCTION("""COMPUTED_VALUE"""),144.0)</f>
        <v>144</v>
      </c>
      <c r="AE2100" s="233">
        <f>IFERROR(__xludf.DUMMYFUNCTION("""COMPUTED_VALUE"""),46046.0)</f>
        <v>46046</v>
      </c>
      <c r="AF2100" s="54"/>
      <c r="AG2100" s="54"/>
      <c r="AH2100" s="54"/>
      <c r="AI2100" s="55" t="str">
        <f t="shared" si="204"/>
        <v/>
      </c>
      <c r="AW2100" s="234"/>
      <c r="BP2100" s="11"/>
      <c r="BQ2100" s="11"/>
      <c r="BR2100" s="235"/>
      <c r="BV2100" s="158"/>
      <c r="BY2100" s="158"/>
      <c r="CB2100" s="158"/>
    </row>
    <row r="2101" ht="18.0" customHeight="1">
      <c r="A2101" s="222">
        <f>IFERROR(__xludf.DUMMYFUNCTION("""COMPUTED_VALUE"""),2026.0)</f>
        <v>2026</v>
      </c>
      <c r="B2101" s="221">
        <f>IFERROR(__xludf.DUMMYFUNCTION("""COMPUTED_VALUE"""),1.0979555E7)</f>
        <v>10979555</v>
      </c>
      <c r="C2101" s="222" t="str">
        <f>IFERROR(__xludf.DUMMYFUNCTION("""COMPUTED_VALUE"""),"SMB P7I3 Jl. Bawah Duku SLK")</f>
        <v>SMB P7I3 Jl. Bawah Duku SLK</v>
      </c>
      <c r="D2101" s="222" t="str">
        <f>IFERROR(__xludf.DUMMYFUNCTION("""COMPUTED_VALUE"""),"REGIONAL I")</f>
        <v>REGIONAL I</v>
      </c>
      <c r="E2101" s="222" t="str">
        <f>IFERROR(__xludf.DUMMYFUNCTION("""COMPUTED_VALUE"""),"SUMBAR")</f>
        <v>SUMBAR</v>
      </c>
      <c r="F2101" s="222" t="str">
        <f>IFERROR(__xludf.DUMMYFUNCTION("""COMPUTED_VALUE"""),"SLK")</f>
        <v>SLK</v>
      </c>
      <c r="G2101" s="222" t="str">
        <f>IFERROR(__xludf.DUMMYFUNCTION("""COMPUTED_VALUE"""),"SUMBAGTENG")</f>
        <v>SUMBAGTENG</v>
      </c>
      <c r="H2101" s="222" t="str">
        <f>IFERROR(__xludf.DUMMYFUNCTION("""COMPUTED_VALUE"""),"PADANG")</f>
        <v>PADANG</v>
      </c>
      <c r="I2101" s="222" t="str">
        <f>IFERROR(__xludf.DUMMYFUNCTION("""COMPUTED_VALUE"""),"Batch 2")</f>
        <v>Batch 2</v>
      </c>
      <c r="J2101" s="225">
        <f>IFERROR(__xludf.DUMMYFUNCTION("""COMPUTED_VALUE"""),2.0)</f>
        <v>2</v>
      </c>
      <c r="K2101" s="224">
        <f>IFERROR(__xludf.DUMMYFUNCTION("""COMPUTED_VALUE"""),16.0)</f>
        <v>16</v>
      </c>
      <c r="L2101" s="226">
        <f>IFERROR(__xludf.DUMMYFUNCTION("""COMPUTED_VALUE"""),1593094.0)</f>
        <v>1593094</v>
      </c>
      <c r="M2101" s="227">
        <f>IFERROR(__xludf.DUMMYFUNCTION("""COMPUTED_VALUE"""),2.548949E7)</f>
        <v>25489490</v>
      </c>
      <c r="N2101" s="222" t="str">
        <f>IFERROR(__xludf.DUMMYFUNCTION("""COMPUTED_VALUE"""),"PT TRI PENAMAS")</f>
        <v>PT TRI PENAMAS</v>
      </c>
      <c r="O2101" s="222" t="str">
        <f>IFERROR(__xludf.DUMMYFUNCTION("""COMPUTED_VALUE"""),"8. UJI TERIMA")</f>
        <v>8. UJI TERIMA</v>
      </c>
      <c r="P2101" s="222" t="str">
        <f>IFERROR(__xludf.DUMMYFUNCTION("""COMPUTED_VALUE"""),"8.1 Proses UT")</f>
        <v>8.1 Proses UT</v>
      </c>
      <c r="Q2101" s="222" t="str">
        <f>IFERROR(__xludf.DUMMYFUNCTION("""COMPUTED_VALUE"""),"(07/01) Persiapan")</f>
        <v>(07/01) Persiapan</v>
      </c>
      <c r="R2101" s="228"/>
      <c r="S2101" s="11"/>
      <c r="T2101" s="11"/>
      <c r="U2101" s="11" t="str">
        <f>IFERROR(__xludf.DUMMYFUNCTION("""COMPUTED_VALUE"""),"W10-1818/2025 25KT03R158-0559")</f>
        <v>W10-1818/2025 25KT03R158-0559</v>
      </c>
      <c r="V2101" s="229" t="str">
        <f>IFERROR(__xludf.DUMMYFUNCTION("""COMPUTED_VALUE"""),"FABIO RAHMAN")</f>
        <v>FABIO RAHMAN</v>
      </c>
      <c r="W2101" s="229" t="str">
        <f>IFERROR(__xludf.DUMMYFUNCTION("""COMPUTED_VALUE"""),"MELKO NARWADI")</f>
        <v>MELKO NARWADI</v>
      </c>
      <c r="X2101" s="229" t="str">
        <f>IFERROR(__xludf.DUMMYFUNCTION("""COMPUTED_VALUE"""),"GOLIVE")</f>
        <v>GOLIVE</v>
      </c>
      <c r="Y2101" s="229" t="str">
        <f>IFERROR(__xludf.DUMMYFUNCTION("""COMPUTED_VALUE"""),"DONE")</f>
        <v>DONE</v>
      </c>
      <c r="Z2101" s="229" t="str">
        <f>IFERROR(__xludf.DUMMYFUNCTION("""COMPUTED_VALUE"""),"#N/A")</f>
        <v>#N/A</v>
      </c>
      <c r="AA2101" s="229">
        <f>IFERROR(__xludf.DUMMYFUNCTION("""COMPUTED_VALUE"""),2.0)</f>
        <v>2</v>
      </c>
      <c r="AB2101" s="229"/>
      <c r="AC2101" s="229" t="str">
        <f>IFERROR(__xludf.DUMMYFUNCTION("""COMPUTED_VALUE"""),"8934818#8934823")</f>
        <v>8934818#8934823</v>
      </c>
      <c r="AD2101" s="232">
        <f>IFERROR(__xludf.DUMMYFUNCTION("""COMPUTED_VALUE"""),16.0)</f>
        <v>16</v>
      </c>
      <c r="AE2101" s="233">
        <f>IFERROR(__xludf.DUMMYFUNCTION("""COMPUTED_VALUE"""),46030.0)</f>
        <v>46030</v>
      </c>
      <c r="AF2101" s="54"/>
      <c r="AG2101" s="54"/>
      <c r="AH2101" s="54"/>
      <c r="AI2101" s="55" t="str">
        <f t="shared" si="204"/>
        <v/>
      </c>
      <c r="AW2101" s="234"/>
      <c r="BP2101" s="11"/>
      <c r="BQ2101" s="11"/>
      <c r="BR2101" s="235"/>
      <c r="BV2101" s="158"/>
      <c r="BY2101" s="158"/>
      <c r="CB2101" s="158"/>
    </row>
    <row r="2102" ht="18.0" hidden="1" customHeight="1">
      <c r="A2102" s="222">
        <f>IFERROR(__xludf.DUMMYFUNCTION("""COMPUTED_VALUE"""),2026.0)</f>
        <v>2026</v>
      </c>
      <c r="B2102" s="221">
        <f>IFERROR(__xludf.DUMMYFUNCTION("""COMPUTED_VALUE"""),1.210876E7)</f>
        <v>12108760</v>
      </c>
      <c r="C2102" s="222" t="str">
        <f>IFERROR(__xludf.DUMMYFUNCTION("""COMPUTED_VALUE"""),"LPG PT3 JPP PERUM JATIMULYO PERDANA KDT")</f>
        <v>LPG PT3 JPP PERUM JATIMULYO PERDANA KDT</v>
      </c>
      <c r="D2102" s="222" t="str">
        <f>IFERROR(__xludf.DUMMYFUNCTION("""COMPUTED_VALUE"""),"REGIONAL I")</f>
        <v>REGIONAL I</v>
      </c>
      <c r="E2102" s="222" t="str">
        <f>IFERROR(__xludf.DUMMYFUNCTION("""COMPUTED_VALUE"""),"LAMPUNG")</f>
        <v>LAMPUNG</v>
      </c>
      <c r="F2102" s="222" t="str">
        <f>IFERROR(__xludf.DUMMYFUNCTION("""COMPUTED_VALUE"""),"KDT")</f>
        <v>KDT</v>
      </c>
      <c r="G2102" s="222" t="str">
        <f>IFERROR(__xludf.DUMMYFUNCTION("""COMPUTED_VALUE"""),"SUMBAGSEL")</f>
        <v>SUMBAGSEL</v>
      </c>
      <c r="H2102" s="222" t="str">
        <f>IFERROR(__xludf.DUMMYFUNCTION("""COMPUTED_VALUE"""),"LAMPUNG")</f>
        <v>LAMPUNG</v>
      </c>
      <c r="I2102" s="222" t="str">
        <f>IFERROR(__xludf.DUMMYFUNCTION("""COMPUTED_VALUE"""),"Batch 2")</f>
        <v>Batch 2</v>
      </c>
      <c r="J2102" s="225">
        <f>IFERROR(__xludf.DUMMYFUNCTION("""COMPUTED_VALUE"""),12.0)</f>
        <v>12</v>
      </c>
      <c r="K2102" s="224">
        <f>IFERROR(__xludf.DUMMYFUNCTION("""COMPUTED_VALUE"""),96.0)</f>
        <v>96</v>
      </c>
      <c r="L2102" s="226">
        <f>IFERROR(__xludf.DUMMYFUNCTION("""COMPUTED_VALUE"""),1593519.0)</f>
        <v>1593519</v>
      </c>
      <c r="M2102" s="227">
        <f>IFERROR(__xludf.DUMMYFUNCTION("""COMPUTED_VALUE"""),1.52977736E8)</f>
        <v>152977736</v>
      </c>
      <c r="N2102" s="222" t="str">
        <f>IFERROR(__xludf.DUMMYFUNCTION("""COMPUTED_VALUE"""),"PT BANGTELINDO")</f>
        <v>PT BANGTELINDO</v>
      </c>
      <c r="O2102" s="222" t="str">
        <f>IFERROR(__xludf.DUMMYFUNCTION("""COMPUTED_VALUE"""),"0. DROP")</f>
        <v>0. DROP</v>
      </c>
      <c r="P2102" s="222" t="str">
        <f>IFERROR(__xludf.DUMMYFUNCTION("""COMPUTED_VALUE"""),"0.2 Tidak Dapat Izin Warga/Kades/Lurah/Developer")</f>
        <v>0.2 Tidak Dapat Izin Warga/Kades/Lurah/Developer</v>
      </c>
      <c r="Q2102" s="222" t="str">
        <f>IFERROR(__xludf.DUMMYFUNCTION("""COMPUTED_VALUE"""),"09/04 Drop karena tidak mendapat izin dari perumahan 8/4 proses perizinan ke lurah 06/04 Proses Perizinan piha Kelurahan &amp; perkim 2/4  progres perizinan dan pengecekan core
31/3  progres perizinan dan pengecekan core")</f>
        <v>09/04 Drop karena tidak mendapat izin dari perumahan 8/4 proses perizinan ke lurah 06/04 Proses Perizinan piha Kelurahan &amp; perkim 2/4  progres perizinan dan pengecekan core
31/3  progres perizinan dan pengecekan core</v>
      </c>
      <c r="R2102" s="228"/>
      <c r="S2102" s="11"/>
      <c r="T2102" s="11" t="str">
        <f>IFERROR(__xludf.DUMMYFUNCTION("""COMPUTED_VALUE"""),"P1")</f>
        <v>P1</v>
      </c>
      <c r="U2102" s="11"/>
      <c r="V2102" s="229"/>
      <c r="W2102" s="229"/>
      <c r="X2102" s="229" t="str">
        <f>IFERROR(__xludf.DUMMYFUNCTION("""COMPUTED_VALUE"""),"BELUM GOLIVE")</f>
        <v>BELUM GOLIVE</v>
      </c>
      <c r="Y2102" s="229"/>
      <c r="Z2102" s="229" t="str">
        <f>IFERROR(__xludf.DUMMYFUNCTION("""COMPUTED_VALUE"""),"#N/A")</f>
        <v>#N/A</v>
      </c>
      <c r="AA2102" s="229"/>
      <c r="AB2102" s="229"/>
      <c r="AC2102" s="229"/>
      <c r="AD2102" s="232"/>
      <c r="AE2102" s="233"/>
      <c r="AF2102" s="54"/>
      <c r="AG2102" s="54"/>
      <c r="AH2102" s="54"/>
      <c r="AI2102" s="55" t="str">
        <f t="shared" si="204"/>
        <v/>
      </c>
      <c r="AW2102" s="234"/>
      <c r="BP2102" s="11"/>
      <c r="BQ2102" s="11"/>
      <c r="BR2102" s="235"/>
      <c r="BV2102" s="158"/>
      <c r="BY2102" s="158"/>
      <c r="CB2102" s="158"/>
    </row>
    <row r="2103" ht="18.0" hidden="1" customHeight="1">
      <c r="A2103" s="222">
        <f>IFERROR(__xludf.DUMMYFUNCTION("""COMPUTED_VALUE"""),2026.0)</f>
        <v>2026</v>
      </c>
      <c r="B2103" s="221">
        <f>IFERROR(__xludf.DUMMYFUNCTION("""COMPUTED_VALUE"""),1.144041E7)</f>
        <v>11440410</v>
      </c>
      <c r="C2103" s="222" t="str">
        <f>IFERROR(__xludf.DUMMYFUNCTION("""COMPUTED_VALUE"""),"BNK-PT3-PDW-JPPTSEL- LUBUK SAHUNG")</f>
        <v>BNK-PT3-PDW-JPPTSEL- LUBUK SAHUNG</v>
      </c>
      <c r="D2103" s="222" t="str">
        <f>IFERROR(__xludf.DUMMYFUNCTION("""COMPUTED_VALUE"""),"REGIONAL I")</f>
        <v>REGIONAL I</v>
      </c>
      <c r="E2103" s="222" t="str">
        <f>IFERROR(__xludf.DUMMYFUNCTION("""COMPUTED_VALUE"""),"BENGKULU")</f>
        <v>BENGKULU</v>
      </c>
      <c r="F2103" s="222" t="str">
        <f>IFERROR(__xludf.DUMMYFUNCTION("""COMPUTED_VALUE"""),"PDW")</f>
        <v>PDW</v>
      </c>
      <c r="G2103" s="222" t="str">
        <f>IFERROR(__xludf.DUMMYFUNCTION("""COMPUTED_VALUE"""),"SUMBAGSEL")</f>
        <v>SUMBAGSEL</v>
      </c>
      <c r="H2103" s="222" t="str">
        <f>IFERROR(__xludf.DUMMYFUNCTION("""COMPUTED_VALUE"""),"BENGKULU")</f>
        <v>BENGKULU</v>
      </c>
      <c r="I2103" s="222" t="str">
        <f>IFERROR(__xludf.DUMMYFUNCTION("""COMPUTED_VALUE"""),"Batch 2")</f>
        <v>Batch 2</v>
      </c>
      <c r="J2103" s="225">
        <f>IFERROR(__xludf.DUMMYFUNCTION("""COMPUTED_VALUE"""),16.0)</f>
        <v>16</v>
      </c>
      <c r="K2103" s="224">
        <f>IFERROR(__xludf.DUMMYFUNCTION("""COMPUTED_VALUE"""),128.0)</f>
        <v>128</v>
      </c>
      <c r="L2103" s="226">
        <f>IFERROR(__xludf.DUMMYFUNCTION("""COMPUTED_VALUE"""),1595631.0)</f>
        <v>1595631</v>
      </c>
      <c r="M2103" s="227">
        <f>IFERROR(__xludf.DUMMYFUNCTION("""COMPUTED_VALUE"""),2.04240656E8)</f>
        <v>204240656</v>
      </c>
      <c r="N2103" s="222" t="str">
        <f>IFERROR(__xludf.DUMMYFUNCTION("""COMPUTED_VALUE"""),"PT SARANA MITRA PERSADA")</f>
        <v>PT SARANA MITRA PERSADA</v>
      </c>
      <c r="O2103" s="222" t="str">
        <f>IFERROR(__xludf.DUMMYFUNCTION("""COMPUTED_VALUE"""),"5. INSTALASI")</f>
        <v>5. INSTALASI</v>
      </c>
      <c r="P2103" s="222" t="str">
        <f>IFERROR(__xludf.DUMMYFUNCTION("""COMPUTED_VALUE"""),"5.13 Kendala - Dependensi LOP lain")</f>
        <v>5.13 Kendala - Dependensi LOP lain</v>
      </c>
      <c r="Q2103" s="222" t="str">
        <f>IFERROR(__xludf.DUMMYFUNCTION("""COMPUTED_VALUE"""),"28/04: instal ODP, depedensi seluma 496 // 24/04 : Pengecoran Tiang // 23/04: progres tarik kabel 24c 4.400/6.110m // 19/04 : Penanaman Tiang 9 // 16/04: gali lobang dan tanam tiang // 15/04: Pengecatan tiang dan proses gali lobang // 13/04: proses pick u"&amp;"p dan delivery material // 09/04  Menunggu operasional pengiriman material (comcase kades meminta uang sebesar 1 juta rupiah) 03/04 : plan pick up material di tgl 6 april, dikarenakan mitra masih menunggu perilisan dana dari pihak HO Mitra // 20/03: plan "&amp;"pickup material tanggal week pertama bulan april // 16/03: Proses PR PO // 13/03: menunggu approval Pak Arief // 10/03: proses create PID // 09/03 Review Evaluasi Dengan TIF terkait hasil aandzing 06/03 : proses evaluasi hasil aanwidjzing // 04/03 : surve"&amp;"y perizinan // 3/3 menunggu konfirmasi TIF terkait kelanjutanya 23/01 : CATUAN DEPEDENSI DARI SELUMA_496, BELUM GL KENDALA CATUAN FEEDER EKSISTING RUSAK IMBAS DARI PEMBANGUNAN PDAM""")</f>
        <v>28/04: instal ODP, depedensi seluma 496 // 24/04 : Pengecoran Tiang // 23/04: progres tarik kabel 24c 4.400/6.110m // 19/04 : Penanaman Tiang 9 // 16/04: gali lobang dan tanam tiang // 15/04: Pengecatan tiang dan proses gali lobang // 13/04: proses pick up dan delivery material // 09/04  Menunggu operasional pengiriman material (comcase kades meminta uang sebesar 1 juta rupiah) 03/04 : plan pick up material di tgl 6 april, dikarenakan mitra masih menunggu perilisan dana dari pihak HO Mitra // 20/03: plan pickup material tanggal week pertama bulan april // 16/03: Proses PR PO // 13/03: menunggu approval Pak Arief // 10/03: proses create PID // 09/03 Review Evaluasi Dengan TIF terkait hasil aandzing 06/03 : proses evaluasi hasil aanwidjzing // 04/03 : survey perizinan // 3/3 menunggu konfirmasi TIF terkait kelanjutanya 23/01 : CATUAN DEPEDENSI DARI SELUMA_496, BELUM GL KENDALA CATUAN FEEDER EKSISTING RUSAK IMBAS DARI PEMBANGUNAN PDAM"</v>
      </c>
      <c r="R2103" s="228"/>
      <c r="S2103" s="11"/>
      <c r="T2103" s="73"/>
      <c r="U2103" s="11"/>
      <c r="V2103" s="229"/>
      <c r="W2103" s="229"/>
      <c r="X2103" s="229" t="str">
        <f>IFERROR(__xludf.DUMMYFUNCTION("""COMPUTED_VALUE"""),"BELUM GOLIVE")</f>
        <v>BELUM GOLIVE</v>
      </c>
      <c r="Y2103" s="229"/>
      <c r="Z2103" s="229" t="str">
        <f>IFERROR(__xludf.DUMMYFUNCTION("""COMPUTED_VALUE"""),"#N/A")</f>
        <v>#N/A</v>
      </c>
      <c r="AA2103" s="229"/>
      <c r="AB2103" s="229"/>
      <c r="AC2103" s="229"/>
      <c r="AD2103" s="232"/>
      <c r="AE2103" s="233"/>
      <c r="AF2103" s="54"/>
      <c r="AG2103" s="54"/>
      <c r="AH2103" s="54">
        <v>46142.0</v>
      </c>
      <c r="AI2103" s="55" t="str">
        <f t="shared" si="204"/>
        <v/>
      </c>
      <c r="AW2103" s="234"/>
      <c r="BP2103" s="11"/>
      <c r="BQ2103" s="11"/>
      <c r="BR2103" s="235"/>
      <c r="BV2103" s="158"/>
      <c r="BY2103" s="158"/>
      <c r="CB2103" s="158"/>
    </row>
    <row r="2104" ht="18.0" hidden="1" customHeight="1">
      <c r="A2104" s="222">
        <f>IFERROR(__xludf.DUMMYFUNCTION("""COMPUTED_VALUE"""),2026.0)</f>
        <v>2026</v>
      </c>
      <c r="B2104" s="221">
        <f>IFERROR(__xludf.DUMMYFUNCTION("""COMPUTED_VALUE"""),1.1448167E7)</f>
        <v>11448167</v>
      </c>
      <c r="C2104" s="222" t="str">
        <f>IFERROR(__xludf.DUMMYFUNCTION("""COMPUTED_VALUE"""),"SMU PSP-FAI D11 CLUST TANGSI MANUNGGANG")</f>
        <v>SMU PSP-FAI D11 CLUST TANGSI MANUNGGANG</v>
      </c>
      <c r="D2104" s="222" t="str">
        <f>IFERROR(__xludf.DUMMYFUNCTION("""COMPUTED_VALUE"""),"REGIONAL I")</f>
        <v>REGIONAL I</v>
      </c>
      <c r="E2104" s="222" t="str">
        <f>IFERROR(__xludf.DUMMYFUNCTION("""COMPUTED_VALUE"""),"SUMUT")</f>
        <v>SUMUT</v>
      </c>
      <c r="F2104" s="222" t="str">
        <f>IFERROR(__xludf.DUMMYFUNCTION("""COMPUTED_VALUE"""),"PSP")</f>
        <v>PSP</v>
      </c>
      <c r="G2104" s="222" t="str">
        <f>IFERROR(__xludf.DUMMYFUNCTION("""COMPUTED_VALUE"""),"SUMBAGUT")</f>
        <v>SUMBAGUT</v>
      </c>
      <c r="H2104" s="222" t="str">
        <f>IFERROR(__xludf.DUMMYFUNCTION("""COMPUTED_VALUE"""),"PADANG SIDEMPUAN")</f>
        <v>PADANG SIDEMPUAN</v>
      </c>
      <c r="I2104" s="222" t="str">
        <f>IFERROR(__xludf.DUMMYFUNCTION("""COMPUTED_VALUE"""),"Batch 2")</f>
        <v>Batch 2</v>
      </c>
      <c r="J2104" s="225">
        <f>IFERROR(__xludf.DUMMYFUNCTION("""COMPUTED_VALUE"""),17.0)</f>
        <v>17</v>
      </c>
      <c r="K2104" s="224">
        <f>IFERROR(__xludf.DUMMYFUNCTION("""COMPUTED_VALUE"""),136.0)</f>
        <v>136</v>
      </c>
      <c r="L2104" s="226">
        <f>IFERROR(__xludf.DUMMYFUNCTION("""COMPUTED_VALUE"""),1595732.0)</f>
        <v>1595732</v>
      </c>
      <c r="M2104" s="227">
        <f>IFERROR(__xludf.DUMMYFUNCTION("""COMPUTED_VALUE"""),2.17019467E8)</f>
        <v>217019467</v>
      </c>
      <c r="N2104" s="222" t="str">
        <f>IFERROR(__xludf.DUMMYFUNCTION("""COMPUTED_VALUE"""),"PT ARTHA MANDIRI BERSAMA")</f>
        <v>PT ARTHA MANDIRI BERSAMA</v>
      </c>
      <c r="O2104" s="222" t="str">
        <f>IFERROR(__xludf.DUMMYFUNCTION("""COMPUTED_VALUE"""),"7. GOLIVE")</f>
        <v>7. GOLIVE</v>
      </c>
      <c r="P2104" s="222" t="str">
        <f>IFERROR(__xludf.DUMMYFUNCTION("""COMPUTED_VALUE"""),"7.2 Golive Full / OA / DONE OTB")</f>
        <v>7.2 Golive Full / OA / DONE OTB</v>
      </c>
      <c r="Q2104" s="222" t="str">
        <f>IFERROR(__xludf.DUMMYFUNCTION("""COMPUTED_VALUE"""),"16/2 validasi sdi 8 odp sisa 9 odp redting -21/-22, 13/2 proses abd 6 odp, sisa 11 kendala redting -21 &amp; -22, 12/2 prepair team kelokasi kendala odp redting -21 plan sabtu 14 feb, 11/2 prepair team kelokasi kendala odp redting -21 plan sabtu 14 feb, 10/2 "&amp;"kendala odp redting -21,  9/2 Proses valins 17 odp, 6/2 team partial di lop node b, sisa pemasangan  19 odp,  5/2 team partial di lop node b, sisa pemasangan  19 odp, 3/2 team partial di lop node b, sisa pemasangan  19 odp, 2/2 team partial di lop node b,"&amp;" sisa pemasangan  19 odp, 1/2 team partial di lop node b, sisa pemasangan  19 odp, 30/1 team partial di lop node b, sisa pemasangan  19 odp, 28/1 team partial di lop node b, sisa pemasangan  19 odp,  27/1 team partial di lop node b, sisa pemasangan  19 od"&amp;"p, 26/01 team partial di lop node b,  sisa pemasangan  19 odp,  23/01 team partial di lop tabuyung,  sisa pemasangan  19 odp,  22/01 prepair team untuk lanjut sisa pemasangan  19 odp, 21/01 prepair team untuk lanjut sisa pemasangan  19 odp, 19/01 sisa ins"&amp;"talasi 19 odp, 15/01 sisa instalasi 19 odp,plan progres hari senin tgl 19/01, 14/01 sisa instalasi 19 odp,plan progres hari senin tgl 19/01,  13/01 sisa instalasi 19 odp,plan progres hari senin tgl 19/01,(07/01) Persiapan")</f>
        <v>16/2 validasi sdi 8 odp sisa 9 odp redting -21/-22, 13/2 proses abd 6 odp, sisa 11 kendala redting -21 &amp; -22, 12/2 prepair team kelokasi kendala odp redting -21 plan sabtu 14 feb, 11/2 prepair team kelokasi kendala odp redting -21 plan sabtu 14 feb, 10/2 kendala odp redting -21,  9/2 Proses valins 17 odp, 6/2 team partial di lop node b, sisa pemasangan  19 odp,  5/2 team partial di lop node b, sisa pemasangan  19 odp, 3/2 team partial di lop node b, sisa pemasangan  19 odp, 2/2 team partial di lop node b, sisa pemasangan  19 odp, 1/2 team partial di lop node b, sisa pemasangan  19 odp, 30/1 team partial di lop node b, sisa pemasangan  19 odp, 28/1 team partial di lop node b, sisa pemasangan  19 odp,  27/1 team partial di lop node b, sisa pemasangan  19 odp, 26/01 team partial di lop node b,  sisa pemasangan  19 odp,  23/01 team partial di lop tabuyung,  sisa pemasangan  19 odp,  22/01 prepair team untuk lanjut sisa pemasangan  19 odp, 21/01 prepair team untuk lanjut sisa pemasangan  19 odp, 19/01 sisa instalasi 19 odp, 15/01 sisa instalasi 19 odp,plan progres hari senin tgl 19/01, 14/01 sisa instalasi 19 odp,plan progres hari senin tgl 19/01,  13/01 sisa instalasi 19 odp,plan progres hari senin tgl 19/01,(07/01) Persiapan</v>
      </c>
      <c r="R2104" s="228">
        <f>IFERROR(__xludf.DUMMYFUNCTION("""COMPUTED_VALUE"""),46071.0)</f>
        <v>46071</v>
      </c>
      <c r="S2104" s="11"/>
      <c r="T2104" s="11"/>
      <c r="U2104" s="11" t="str">
        <f>IFERROR(__xludf.DUMMYFUNCTION("""COMPUTED_VALUE"""),"W03-1609/2025")</f>
        <v>W03-1609/2025</v>
      </c>
      <c r="V2104" s="229"/>
      <c r="W2104" s="229"/>
      <c r="X2104" s="229" t="str">
        <f>IFERROR(__xludf.DUMMYFUNCTION("""COMPUTED_VALUE"""),"GOLIVE")</f>
        <v>GOLIVE</v>
      </c>
      <c r="Y2104" s="229" t="str">
        <f>IFERROR(__xludf.DUMMYFUNCTION("""COMPUTED_VALUE"""),"DONE")</f>
        <v>DONE</v>
      </c>
      <c r="Z2104" s="229" t="str">
        <f>IFERROR(__xludf.DUMMYFUNCTION("""COMPUTED_VALUE"""),"#N/A")</f>
        <v>#N/A</v>
      </c>
      <c r="AA2104" s="229">
        <f>IFERROR(__xludf.DUMMYFUNCTION("""COMPUTED_VALUE"""),10.0)</f>
        <v>10</v>
      </c>
      <c r="AB2104" s="229"/>
      <c r="AC2104" s="229" t="str">
        <f>IFERROR(__xludf.DUMMYFUNCTION("""COMPUTED_VALUE"""),"9116276#9116281")</f>
        <v>9116276#9116281</v>
      </c>
      <c r="AD2104" s="232">
        <f>IFERROR(__xludf.DUMMYFUNCTION("""COMPUTED_VALUE"""),80.0)</f>
        <v>80</v>
      </c>
      <c r="AE2104" s="233">
        <f>IFERROR(__xludf.DUMMYFUNCTION("""COMPUTED_VALUE"""),46071.0)</f>
        <v>46071</v>
      </c>
      <c r="AF2104" s="54"/>
      <c r="AG2104" s="54"/>
      <c r="AH2104" s="54">
        <v>46071.0</v>
      </c>
      <c r="AI2104" s="55">
        <f t="shared" si="204"/>
        <v>0</v>
      </c>
      <c r="AW2104" s="234"/>
      <c r="BP2104" s="11"/>
      <c r="BQ2104" s="11"/>
      <c r="BR2104" s="235"/>
      <c r="BV2104" s="158"/>
      <c r="BY2104" s="158"/>
      <c r="CB2104" s="158"/>
    </row>
    <row r="2105" ht="18.0" hidden="1" customHeight="1">
      <c r="A2105" s="222">
        <f>IFERROR(__xludf.DUMMYFUNCTION("""COMPUTED_VALUE"""),2026.0)</f>
        <v>2026</v>
      </c>
      <c r="B2105" s="221">
        <f>IFERROR(__xludf.DUMMYFUNCTION("""COMPUTED_VALUE"""),1.136351E7)</f>
        <v>11363510</v>
      </c>
      <c r="C2105" s="222" t="str">
        <f>IFERROR(__xludf.DUMMYFUNCTION("""COMPUTED_VALUE"""),"LPG PT3 JPP MD PRINGSEWU_71 PRW")</f>
        <v>LPG PT3 JPP MD PRINGSEWU_71 PRW</v>
      </c>
      <c r="D2105" s="222" t="str">
        <f>IFERROR(__xludf.DUMMYFUNCTION("""COMPUTED_VALUE"""),"REGIONAL I")</f>
        <v>REGIONAL I</v>
      </c>
      <c r="E2105" s="222" t="str">
        <f>IFERROR(__xludf.DUMMYFUNCTION("""COMPUTED_VALUE"""),"LAMPUNG")</f>
        <v>LAMPUNG</v>
      </c>
      <c r="F2105" s="222" t="str">
        <f>IFERROR(__xludf.DUMMYFUNCTION("""COMPUTED_VALUE"""),"GDT")</f>
        <v>GDT</v>
      </c>
      <c r="G2105" s="222" t="str">
        <f>IFERROR(__xludf.DUMMYFUNCTION("""COMPUTED_VALUE"""),"SUMBAGSEL")</f>
        <v>SUMBAGSEL</v>
      </c>
      <c r="H2105" s="222" t="str">
        <f>IFERROR(__xludf.DUMMYFUNCTION("""COMPUTED_VALUE"""),"LAMPUNG")</f>
        <v>LAMPUNG</v>
      </c>
      <c r="I2105" s="222" t="str">
        <f>IFERROR(__xludf.DUMMYFUNCTION("""COMPUTED_VALUE"""),"Batch 2")</f>
        <v>Batch 2</v>
      </c>
      <c r="J2105" s="225">
        <f>IFERROR(__xludf.DUMMYFUNCTION("""COMPUTED_VALUE"""),12.0)</f>
        <v>12</v>
      </c>
      <c r="K2105" s="224">
        <f>IFERROR(__xludf.DUMMYFUNCTION("""COMPUTED_VALUE"""),96.0)</f>
        <v>96</v>
      </c>
      <c r="L2105" s="226">
        <f>IFERROR(__xludf.DUMMYFUNCTION("""COMPUTED_VALUE"""),1600804.0)</f>
        <v>1600804</v>
      </c>
      <c r="M2105" s="227">
        <f>IFERROR(__xludf.DUMMYFUNCTION("""COMPUTED_VALUE"""),1.5367711E8)</f>
        <v>153677110</v>
      </c>
      <c r="N2105" s="222" t="str">
        <f>IFERROR(__xludf.DUMMYFUNCTION("""COMPUTED_VALUE"""),"SWAKELOLA")</f>
        <v>SWAKELOLA</v>
      </c>
      <c r="O2105" s="222" t="str">
        <f>IFERROR(__xludf.DUMMYFUNCTION("""COMPUTED_VALUE"""),"2. DONE AANWIJZING")</f>
        <v>2. DONE AANWIJZING</v>
      </c>
      <c r="P2105" s="222" t="str">
        <f>IFERROR(__xludf.DUMMYFUNCTION("""COMPUTED_VALUE"""),"2.1 Sudah Aanwidjzing - Collect BOQ KML")</f>
        <v>2.1 Sudah Aanwidjzing - Collect BOQ KML</v>
      </c>
      <c r="Q2105" s="222" t="str">
        <f>IFERROR(__xludf.DUMMYFUNCTION("""COMPUTED_VALUE"""),"24/4 proses project plan, 09/04 Plan Matdel, Bisa BA Manual   8/4 proses perizinan kepada lurah 
5/3 progres perizinan,, 20/2 cpp naik , butuh interasi ulang 
4/2 stok material kosong ,estimasi tiba 07/2
3/2 proses pengajuan PR/PO")</f>
        <v>24/4 proses project plan, 09/04 Plan Matdel, Bisa BA Manual   8/4 proses perizinan kepada lurah 
5/3 progres perizinan,, 20/2 cpp naik , butuh interasi ulang 
4/2 stok material kosong ,estimasi tiba 07/2
3/2 proses pengajuan PR/PO</v>
      </c>
      <c r="R2105" s="228"/>
      <c r="S2105" s="11"/>
      <c r="T2105" s="11"/>
      <c r="U2105" s="11" t="str">
        <f>IFERROR(__xludf.DUMMYFUNCTION("""COMPUTED_VALUE"""),"W02-563/2025")</f>
        <v>W02-563/2025</v>
      </c>
      <c r="V2105" s="229"/>
      <c r="W2105" s="229"/>
      <c r="X2105" s="229" t="str">
        <f>IFERROR(__xludf.DUMMYFUNCTION("""COMPUTED_VALUE"""),"BELUM GOLIVE")</f>
        <v>BELUM GOLIVE</v>
      </c>
      <c r="Y2105" s="229"/>
      <c r="Z2105" s="229" t="str">
        <f>IFERROR(__xludf.DUMMYFUNCTION("""COMPUTED_VALUE"""),"#N/A")</f>
        <v>#N/A</v>
      </c>
      <c r="AA2105" s="229"/>
      <c r="AB2105" s="229"/>
      <c r="AC2105" s="229"/>
      <c r="AD2105" s="232"/>
      <c r="AE2105" s="233"/>
      <c r="AF2105" s="54"/>
      <c r="AG2105" s="54"/>
      <c r="AH2105" s="54"/>
      <c r="AI2105" s="55" t="str">
        <f t="shared" si="204"/>
        <v/>
      </c>
      <c r="AW2105" s="234"/>
      <c r="BP2105" s="11"/>
      <c r="BQ2105" s="11"/>
      <c r="BR2105" s="235"/>
      <c r="BV2105" s="158"/>
      <c r="BY2105" s="158"/>
      <c r="CB2105" s="158"/>
    </row>
    <row r="2106" ht="18.0" hidden="1" customHeight="1">
      <c r="A2106" s="222">
        <f>IFERROR(__xludf.DUMMYFUNCTION("""COMPUTED_VALUE"""),2026.0)</f>
        <v>2026</v>
      </c>
      <c r="B2106" s="221">
        <f>IFERROR(__xludf.DUMMYFUNCTION("""COMPUTED_VALUE"""),1.1079304E7)</f>
        <v>11079304</v>
      </c>
      <c r="C2106" s="222" t="str">
        <f>IFERROR(__xludf.DUMMYFUNCTION("""COMPUTED_VALUE"""),"MDN PT4 P7I3 PDB-FD PRUM GRY MUTIARA4")</f>
        <v>MDN PT4 P7I3 PDB-FD PRUM GRY MUTIARA4</v>
      </c>
      <c r="D2106" s="222" t="str">
        <f>IFERROR(__xludf.DUMMYFUNCTION("""COMPUTED_VALUE"""),"REGIONAL I")</f>
        <v>REGIONAL I</v>
      </c>
      <c r="E2106" s="222" t="str">
        <f>IFERROR(__xludf.DUMMYFUNCTION("""COMPUTED_VALUE"""),"MEDAN")</f>
        <v>MEDAN</v>
      </c>
      <c r="F2106" s="222" t="str">
        <f>IFERROR(__xludf.DUMMYFUNCTION("""COMPUTED_VALUE"""),"PDB")</f>
        <v>PDB</v>
      </c>
      <c r="G2106" s="222" t="str">
        <f>IFERROR(__xludf.DUMMYFUNCTION("""COMPUTED_VALUE"""),"SUMBAGUT")</f>
        <v>SUMBAGUT</v>
      </c>
      <c r="H2106" s="222" t="str">
        <f>IFERROR(__xludf.DUMMYFUNCTION("""COMPUTED_VALUE"""),"MEDAN")</f>
        <v>MEDAN</v>
      </c>
      <c r="I2106" s="222" t="str">
        <f>IFERROR(__xludf.DUMMYFUNCTION("""COMPUTED_VALUE"""),"Batch 2")</f>
        <v>Batch 2</v>
      </c>
      <c r="J2106" s="225">
        <f>IFERROR(__xludf.DUMMYFUNCTION("""COMPUTED_VALUE"""),13.0)</f>
        <v>13</v>
      </c>
      <c r="K2106" s="224">
        <f>IFERROR(__xludf.DUMMYFUNCTION("""COMPUTED_VALUE"""),104.0)</f>
        <v>104</v>
      </c>
      <c r="L2106" s="226">
        <f>IFERROR(__xludf.DUMMYFUNCTION("""COMPUTED_VALUE"""),1600999.0)</f>
        <v>1600999</v>
      </c>
      <c r="M2106" s="227">
        <f>IFERROR(__xludf.DUMMYFUNCTION("""COMPUTED_VALUE"""),1.66503821E8)</f>
        <v>166503821</v>
      </c>
      <c r="N2106" s="222" t="str">
        <f>IFERROR(__xludf.DUMMYFUNCTION("""COMPUTED_VALUE"""),"PT ASWA KARYA DIFA")</f>
        <v>PT ASWA KARYA DIFA</v>
      </c>
      <c r="O2106" s="222" t="str">
        <f>IFERROR(__xludf.DUMMYFUNCTION("""COMPUTED_VALUE"""),"0. DROP")</f>
        <v>0. DROP</v>
      </c>
      <c r="P2106" s="222" t="str">
        <f>IFERROR(__xludf.DUMMYFUNCTION("""COMPUTED_VALUE"""),"0.4 CPP Tinggi Acc ED TIF")</f>
        <v>0.4 CPP Tinggi Acc ED TIF</v>
      </c>
      <c r="Q2106" s="222" t="str">
        <f>IFERROR(__xludf.DUMMYFUNCTION("""COMPUTED_VALUE"""),"01/11 Feeder LOS
1/11 Aaanwijzing")</f>
        <v>01/11 Feeder LOS
1/11 Aaanwijzing</v>
      </c>
      <c r="R2106" s="228"/>
      <c r="S2106" s="11"/>
      <c r="T2106" s="11"/>
      <c r="U2106" s="11"/>
      <c r="V2106" s="229"/>
      <c r="W2106" s="229"/>
      <c r="X2106" s="229" t="str">
        <f>IFERROR(__xludf.DUMMYFUNCTION("""COMPUTED_VALUE"""),"BELUM GOLIVE")</f>
        <v>BELUM GOLIVE</v>
      </c>
      <c r="Y2106" s="229"/>
      <c r="Z2106" s="229" t="str">
        <f>IFERROR(__xludf.DUMMYFUNCTION("""COMPUTED_VALUE"""),"#N/A")</f>
        <v>#N/A</v>
      </c>
      <c r="AA2106" s="229"/>
      <c r="AB2106" s="229"/>
      <c r="AC2106" s="229"/>
      <c r="AD2106" s="232"/>
      <c r="AE2106" s="233"/>
      <c r="AF2106" s="54" t="str">
        <f>IFERROR(__xludf.DUMMYFUNCTION("""COMPUTED_VALUE"""),"Draft BA DROP")</f>
        <v>Draft BA DROP</v>
      </c>
      <c r="AG2106" s="54"/>
      <c r="AH2106" s="54"/>
      <c r="AI2106" s="55" t="str">
        <f t="shared" si="204"/>
        <v/>
      </c>
      <c r="AW2106" s="234"/>
      <c r="BP2106" s="11"/>
      <c r="BQ2106" s="11"/>
      <c r="BR2106" s="235"/>
      <c r="BV2106" s="158"/>
      <c r="BY2106" s="158"/>
      <c r="CB2106" s="158"/>
    </row>
    <row r="2107" ht="18.0" hidden="1" customHeight="1">
      <c r="A2107" s="222">
        <f>IFERROR(__xludf.DUMMYFUNCTION("""COMPUTED_VALUE"""),2026.0)</f>
        <v>2026</v>
      </c>
      <c r="B2107" s="221">
        <f>IFERROR(__xludf.DUMMYFUNCTION("""COMPUTED_VALUE"""),1.1533491E7)</f>
        <v>11533491</v>
      </c>
      <c r="C2107" s="222" t="str">
        <f>IFERROR(__xludf.DUMMYFUNCTION("""COMPUTED_VALUE"""),"MDN PT3 TTG-FBQ JL.LUKU I")</f>
        <v>MDN PT3 TTG-FBQ JL.LUKU I</v>
      </c>
      <c r="D2107" s="222" t="str">
        <f>IFERROR(__xludf.DUMMYFUNCTION("""COMPUTED_VALUE"""),"REGIONAL I")</f>
        <v>REGIONAL I</v>
      </c>
      <c r="E2107" s="222" t="str">
        <f>IFERROR(__xludf.DUMMYFUNCTION("""COMPUTED_VALUE"""),"MEDAN")</f>
        <v>MEDAN</v>
      </c>
      <c r="F2107" s="222" t="str">
        <f>IFERROR(__xludf.DUMMYFUNCTION("""COMPUTED_VALUE"""),"TTG")</f>
        <v>TTG</v>
      </c>
      <c r="G2107" s="222" t="str">
        <f>IFERROR(__xludf.DUMMYFUNCTION("""COMPUTED_VALUE"""),"SUMBAGUT")</f>
        <v>SUMBAGUT</v>
      </c>
      <c r="H2107" s="222" t="str">
        <f>IFERROR(__xludf.DUMMYFUNCTION("""COMPUTED_VALUE"""),"MEDAN")</f>
        <v>MEDAN</v>
      </c>
      <c r="I2107" s="222" t="str">
        <f>IFERROR(__xludf.DUMMYFUNCTION("""COMPUTED_VALUE"""),"Batch 2")</f>
        <v>Batch 2</v>
      </c>
      <c r="J2107" s="225">
        <f>IFERROR(__xludf.DUMMYFUNCTION("""COMPUTED_VALUE"""),6.0)</f>
        <v>6</v>
      </c>
      <c r="K2107" s="224">
        <f>IFERROR(__xludf.DUMMYFUNCTION("""COMPUTED_VALUE"""),48.0)</f>
        <v>48</v>
      </c>
      <c r="L2107" s="226">
        <f>IFERROR(__xludf.DUMMYFUNCTION("""COMPUTED_VALUE"""),661732.0)</f>
        <v>661732</v>
      </c>
      <c r="M2107" s="227">
        <f>IFERROR(__xludf.DUMMYFUNCTION("""COMPUTED_VALUE"""),3.1763122E7)</f>
        <v>31763122</v>
      </c>
      <c r="N2107" s="222" t="str">
        <f>IFERROR(__xludf.DUMMYFUNCTION("""COMPUTED_VALUE"""),"PT WALET SOLUSINDO")</f>
        <v>PT WALET SOLUSINDO</v>
      </c>
      <c r="O2107" s="222" t="str">
        <f>IFERROR(__xludf.DUMMYFUNCTION("""COMPUTED_VALUE"""),"1. AANWIJZING")</f>
        <v>1. AANWIJZING</v>
      </c>
      <c r="P2107" s="222" t="str">
        <f>IFERROR(__xludf.DUMMYFUNCTION("""COMPUTED_VALUE"""),"1.6 Ongoing Aanwidjzing")</f>
        <v>1.6 Ongoing Aanwidjzing</v>
      </c>
      <c r="Q2107" s="222" t="str">
        <f>IFERROR(__xludf.DUMMYFUNCTION("""COMPUTED_VALUE"""),"20/04 pengukuran ulang ke lokasi 14/11 Feeder redeti
16/10 Feeder Redaman Tinggi
(24/09) Perizinan Warga dan Kades / Lurah
(23/09) Perizinan Warga dan Kades / Lurah
15/09 proses aanwijzing")</f>
        <v>20/04 pengukuran ulang ke lokasi 14/11 Feeder redeti
16/10 Feeder Redaman Tinggi
(24/09) Perizinan Warga dan Kades / Lurah
(23/09) Perizinan Warga dan Kades / Lurah
15/09 proses aanwijzing</v>
      </c>
      <c r="R2107" s="228"/>
      <c r="S2107" s="11"/>
      <c r="T2107" s="11"/>
      <c r="U2107" s="11"/>
      <c r="V2107" s="229"/>
      <c r="W2107" s="229"/>
      <c r="X2107" s="229" t="str">
        <f>IFERROR(__xludf.DUMMYFUNCTION("""COMPUTED_VALUE"""),"BELUM GOLIVE")</f>
        <v>BELUM GOLIVE</v>
      </c>
      <c r="Y2107" s="229"/>
      <c r="Z2107" s="229" t="str">
        <f>IFERROR(__xludf.DUMMYFUNCTION("""COMPUTED_VALUE"""),"#N/A")</f>
        <v>#N/A</v>
      </c>
      <c r="AA2107" s="229"/>
      <c r="AB2107" s="229"/>
      <c r="AC2107" s="229"/>
      <c r="AD2107" s="232"/>
      <c r="AE2107" s="233"/>
      <c r="AF2107" s="54"/>
      <c r="AG2107" s="54"/>
      <c r="AH2107" s="54"/>
      <c r="AI2107" s="55" t="str">
        <f t="shared" si="204"/>
        <v/>
      </c>
      <c r="AW2107" s="234"/>
      <c r="BP2107" s="11"/>
      <c r="BQ2107" s="11"/>
      <c r="BR2107" s="235"/>
      <c r="BV2107" s="158"/>
      <c r="BY2107" s="158"/>
      <c r="CB2107" s="158"/>
    </row>
    <row r="2108" ht="18.0" hidden="1" customHeight="1">
      <c r="A2108" s="222">
        <f>IFERROR(__xludf.DUMMYFUNCTION("""COMPUTED_VALUE"""),2026.0)</f>
        <v>2026</v>
      </c>
      <c r="B2108" s="221">
        <f>IFERROR(__xludf.DUMMYFUNCTION("""COMPUTED_VALUE"""),1.136477E7)</f>
        <v>11364770</v>
      </c>
      <c r="C2108" s="222" t="str">
        <f>IFERROR(__xludf.DUMMYFUNCTION("""COMPUTED_VALUE"""),"SMS P2I2 PT3 KAG FJ D03 SDN 01 MAMGUM J")</f>
        <v>SMS P2I2 PT3 KAG FJ D03 SDN 01 MAMGUM J</v>
      </c>
      <c r="D2108" s="222" t="str">
        <f>IFERROR(__xludf.DUMMYFUNCTION("""COMPUTED_VALUE"""),"REGIONAL I")</f>
        <v>REGIONAL I</v>
      </c>
      <c r="E2108" s="222" t="str">
        <f>IFERROR(__xludf.DUMMYFUNCTION("""COMPUTED_VALUE"""),"SUMSEL")</f>
        <v>SUMSEL</v>
      </c>
      <c r="F2108" s="222" t="str">
        <f>IFERROR(__xludf.DUMMYFUNCTION("""COMPUTED_VALUE"""),"KAG")</f>
        <v>KAG</v>
      </c>
      <c r="G2108" s="222" t="str">
        <f>IFERROR(__xludf.DUMMYFUNCTION("""COMPUTED_VALUE"""),"SUMBAGSEL")</f>
        <v>SUMBAGSEL</v>
      </c>
      <c r="H2108" s="222" t="str">
        <f>IFERROR(__xludf.DUMMYFUNCTION("""COMPUTED_VALUE"""),"PALEMBANG")</f>
        <v>PALEMBANG</v>
      </c>
      <c r="I2108" s="222" t="str">
        <f>IFERROR(__xludf.DUMMYFUNCTION("""COMPUTED_VALUE"""),"Batch 2")</f>
        <v>Batch 2</v>
      </c>
      <c r="J2108" s="225">
        <f>IFERROR(__xludf.DUMMYFUNCTION("""COMPUTED_VALUE"""),5.0)</f>
        <v>5</v>
      </c>
      <c r="K2108" s="224">
        <f>IFERROR(__xludf.DUMMYFUNCTION("""COMPUTED_VALUE"""),40.0)</f>
        <v>40</v>
      </c>
      <c r="L2108" s="226">
        <f>IFERROR(__xludf.DUMMYFUNCTION("""COMPUTED_VALUE"""),1604981.0)</f>
        <v>1604981</v>
      </c>
      <c r="M2108" s="227">
        <f>IFERROR(__xludf.DUMMYFUNCTION("""COMPUTED_VALUE"""),6.4199238E7)</f>
        <v>64199238</v>
      </c>
      <c r="N2108" s="222" t="str">
        <f>IFERROR(__xludf.DUMMYFUNCTION("""COMPUTED_VALUE"""),"PT SARANA MITRA PERSADA")</f>
        <v>PT SARANA MITRA PERSADA</v>
      </c>
      <c r="O2108" s="222" t="str">
        <f>IFERROR(__xludf.DUMMYFUNCTION("""COMPUTED_VALUE"""),"7. GOLIVE")</f>
        <v>7. GOLIVE</v>
      </c>
      <c r="P2108" s="222" t="str">
        <f>IFERROR(__xludf.DUMMYFUNCTION("""COMPUTED_VALUE"""),"7.2 Golive Full / OA / DONE OTB")</f>
        <v>7.2 Golive Full / OA / DONE OTB</v>
      </c>
      <c r="Q2108" s="222" t="str">
        <f>IFERROR(__xludf.DUMMYFUNCTION("""COMPUTED_VALUE"""),"13/02 DONE SUBMIT ABD KE SDI, 11/2  Plan 12 FEB lanjut perkerjaan  31/01 menunggu jadwal eksekusi dari tim maintence (28/1) konfirm tim mtc , plan progress blm ada karena feeder banyak olt dan site critical (26/1) SELESAI FISIK, KENDALA BUTUH QE FEEDER OD"&amp;"C (24/1) maish berkoordinasi dengan ti MTC TA mengenai repair (21/01) selesai fisik, kendala feeder butuh repiar sdh berkoordinasi dg tim MTC TA untk bantu repair, 21/11 menunggu QE Feeder, 18/11 selesai fisik menunggu QE Feeder, 17/11 tarik kabel dan pas"&amp;"ang aksesoris 13/11 tarik kabel dan pasang aksesoris, 11/11 Tarik kabel dan pasang aksesoris 10/11 delivery material 04/11 sudah aanwidjzing 3/11 sudah aanwidjzing 09/10 Proses negosiasi perizinan dengan Kades08/10 selesai survey ulng dg mitra SMP, proses"&amp;" pembuatan DRM mtra
01/10 peralihan mitra ke SMP. (19/09) belum dpt konfirm dri mitra CCSI untuk lanjut Progres atau tidak
(16/9)menunggu konfirm mitra CCSI untuk lanjut proses PR PO
(09/09) menunggu konfirm mitra CCSI untuk lanjut proses PR PO
(29/08) pr"&amp;"oses PR PO Ke mitra CCSI
(25/08) tgl 25/08 aanwijzinf dg sales tsel, perubahan mitra menjadi PT CCSI
(19/08) menunggu jadwal aanwizjing bareng sales
(14/08) menunggu jadwal aanwizjing bareng sales
(05/08) buat janji dg sales untuk aanwizjing")</f>
        <v>13/02 DONE SUBMIT ABD KE SDI, 11/2  Plan 12 FEB lanjut perkerjaan  31/01 menunggu jadwal eksekusi dari tim maintence (28/1) konfirm tim mtc , plan progress blm ada karena feeder banyak olt dan site critical (26/1) SELESAI FISIK, KENDALA BUTUH QE FEEDER ODC (24/1) maish berkoordinasi dengan ti MTC TA mengenai repair (21/01) selesai fisik, kendala feeder butuh repiar sdh berkoordinasi dg tim MTC TA untk bantu repair, 21/11 menunggu QE Feeder, 18/11 selesai fisik menunggu QE Feeder, 17/11 tarik kabel dan pasang aksesoris 13/11 tarik kabel dan pasang aksesoris, 11/11 Tarik kabel dan pasang aksesoris 10/11 delivery material 04/11 sudah aanwidjzing 3/11 sudah aanwidjzing 09/10 Proses negosiasi perizinan dengan Kades08/10 selesai survey ulng dg mitra SMP, proses pembuatan DRM mtra
01/10 peralihan mitra ke SMP. (19/09) belum dpt konfirm dri mitra CCSI untuk lanjut Progres atau tidak
(16/9)menunggu konfirm mitra CCSI untuk lanjut proses PR PO
(09/09) menunggu konfirm mitra CCSI untuk lanjut proses PR PO
(29/08) proses PR PO Ke mitra CCSI
(25/08) tgl 25/08 aanwijzinf dg sales tsel, perubahan mitra menjadi PT CCSI
(19/08) menunggu jadwal aanwizjing bareng sales
(14/08) menunggu jadwal aanwizjing bareng sales
(05/08) buat janji dg sales untuk aanwizjing</v>
      </c>
      <c r="R2108" s="228">
        <f>IFERROR(__xludf.DUMMYFUNCTION("""COMPUTED_VALUE"""),46063.0)</f>
        <v>46063</v>
      </c>
      <c r="S2108" s="11"/>
      <c r="T2108" s="11"/>
      <c r="U2108" s="11"/>
      <c r="V2108" s="229" t="str">
        <f>IFERROR(__xludf.DUMMYFUNCTION("""COMPUTED_VALUE"""),"RENALDO")</f>
        <v>RENALDO</v>
      </c>
      <c r="W2108" s="229"/>
      <c r="X2108" s="229" t="str">
        <f>IFERROR(__xludf.DUMMYFUNCTION("""COMPUTED_VALUE"""),"GOLIVE")</f>
        <v>GOLIVE</v>
      </c>
      <c r="Y2108" s="229" t="str">
        <f>IFERROR(__xludf.DUMMYFUNCTION("""COMPUTED_VALUE"""),"DONE")</f>
        <v>DONE</v>
      </c>
      <c r="Z2108" s="229" t="str">
        <f>IFERROR(__xludf.DUMMYFUNCTION("""COMPUTED_VALUE"""),"#N/A")</f>
        <v>#N/A</v>
      </c>
      <c r="AA2108" s="229">
        <f>IFERROR(__xludf.DUMMYFUNCTION("""COMPUTED_VALUE"""),3.0)</f>
        <v>3</v>
      </c>
      <c r="AB2108" s="229"/>
      <c r="AC2108" s="229" t="str">
        <f>IFERROR(__xludf.DUMMYFUNCTION("""COMPUTED_VALUE"""),"9099454#9099459")</f>
        <v>9099454#9099459</v>
      </c>
      <c r="AD2108" s="232">
        <f>IFERROR(__xludf.DUMMYFUNCTION("""COMPUTED_VALUE"""),24.0)</f>
        <v>24</v>
      </c>
      <c r="AE2108" s="233">
        <f>IFERROR(__xludf.DUMMYFUNCTION("""COMPUTED_VALUE"""),46064.0)</f>
        <v>46064</v>
      </c>
      <c r="AF2108" s="54"/>
      <c r="AG2108" s="54"/>
      <c r="AH2108" s="54">
        <v>46063.0</v>
      </c>
      <c r="AI2108" s="55">
        <f t="shared" si="204"/>
        <v>-1</v>
      </c>
      <c r="AW2108" s="234"/>
      <c r="BP2108" s="11"/>
      <c r="BQ2108" s="11"/>
      <c r="BR2108" s="235"/>
      <c r="BV2108" s="158"/>
      <c r="BY2108" s="158"/>
      <c r="CB2108" s="158"/>
    </row>
    <row r="2109" ht="18.0" hidden="1" customHeight="1">
      <c r="A2109" s="222">
        <f>IFERROR(__xludf.DUMMYFUNCTION("""COMPUTED_VALUE"""),2026.0)</f>
        <v>2026</v>
      </c>
      <c r="B2109" s="221">
        <f>IFERROR(__xludf.DUMMYFUNCTION("""COMPUTED_VALUE"""),1.1318632E7)</f>
        <v>11318632</v>
      </c>
      <c r="C2109" s="222" t="str">
        <f>IFERROR(__xludf.DUMMYFUNCTION("""COMPUTED_VALUE"""),"BNK-PT3-BNC-JPPTSEL-ANGGUT DALAM")</f>
        <v>BNK-PT3-BNC-JPPTSEL-ANGGUT DALAM</v>
      </c>
      <c r="D2109" s="222" t="str">
        <f>IFERROR(__xludf.DUMMYFUNCTION("""COMPUTED_VALUE"""),"REGIONAL I")</f>
        <v>REGIONAL I</v>
      </c>
      <c r="E2109" s="222" t="str">
        <f>IFERROR(__xludf.DUMMYFUNCTION("""COMPUTED_VALUE"""),"BENGKULU")</f>
        <v>BENGKULU</v>
      </c>
      <c r="F2109" s="222" t="str">
        <f>IFERROR(__xludf.DUMMYFUNCTION("""COMPUTED_VALUE"""),"BNC")</f>
        <v>BNC</v>
      </c>
      <c r="G2109" s="222" t="str">
        <f>IFERROR(__xludf.DUMMYFUNCTION("""COMPUTED_VALUE"""),"SUMBAGSEL")</f>
        <v>SUMBAGSEL</v>
      </c>
      <c r="H2109" s="222" t="str">
        <f>IFERROR(__xludf.DUMMYFUNCTION("""COMPUTED_VALUE"""),"BENGKULU")</f>
        <v>BENGKULU</v>
      </c>
      <c r="I2109" s="222" t="str">
        <f>IFERROR(__xludf.DUMMYFUNCTION("""COMPUTED_VALUE"""),"Batch 2")</f>
        <v>Batch 2</v>
      </c>
      <c r="J2109" s="225">
        <f>IFERROR(__xludf.DUMMYFUNCTION("""COMPUTED_VALUE"""),8.0)</f>
        <v>8</v>
      </c>
      <c r="K2109" s="224">
        <f>IFERROR(__xludf.DUMMYFUNCTION("""COMPUTED_VALUE"""),64.0)</f>
        <v>64</v>
      </c>
      <c r="L2109" s="226">
        <f>IFERROR(__xludf.DUMMYFUNCTION("""COMPUTED_VALUE"""),1028146.0)</f>
        <v>1028146</v>
      </c>
      <c r="M2109" s="227">
        <f>IFERROR(__xludf.DUMMYFUNCTION("""COMPUTED_VALUE"""),6.5801289E7)</f>
        <v>65801289</v>
      </c>
      <c r="N2109" s="222" t="str">
        <f>IFERROR(__xludf.DUMMYFUNCTION("""COMPUTED_VALUE"""),"PT SARANA MITRA PERSADA")</f>
        <v>PT SARANA MITRA PERSADA</v>
      </c>
      <c r="O2109" s="222" t="str">
        <f>IFERROR(__xludf.DUMMYFUNCTION("""COMPUTED_VALUE"""),"0. DROP")</f>
        <v>0. DROP</v>
      </c>
      <c r="P2109" s="222" t="str">
        <f>IFERROR(__xludf.DUMMYFUNCTION("""COMPUTED_VALUE"""),"0.2 Tidak Dapat Izin Warga/Kades/Lurah/Developer")</f>
        <v>0.2 Tidak Dapat Izin Warga/Kades/Lurah/Developer</v>
      </c>
      <c r="Q2109" s="222" t="str">
        <f>IFERROR(__xludf.DUMMYFUNCTION("""COMPUTED_VALUE""")," 23/01 : Drop by TSEL22/2 tidak mendapat IZIN")</f>
        <v> 23/01 : Drop by TSEL22/2 tidak mendapat IZIN</v>
      </c>
      <c r="R2109" s="228"/>
      <c r="S2109" s="11"/>
      <c r="T2109" s="11"/>
      <c r="U2109" s="11"/>
      <c r="V2109" s="229"/>
      <c r="W2109" s="229"/>
      <c r="X2109" s="229" t="str">
        <f>IFERROR(__xludf.DUMMYFUNCTION("""COMPUTED_VALUE"""),"BELUM GOLIVE")</f>
        <v>BELUM GOLIVE</v>
      </c>
      <c r="Y2109" s="229"/>
      <c r="Z2109" s="229" t="str">
        <f>IFERROR(__xludf.DUMMYFUNCTION("""COMPUTED_VALUE"""),"#N/A")</f>
        <v>#N/A</v>
      </c>
      <c r="AA2109" s="229"/>
      <c r="AB2109" s="229"/>
      <c r="AC2109" s="229"/>
      <c r="AD2109" s="232"/>
      <c r="AE2109" s="233"/>
      <c r="AF2109" s="54" t="str">
        <f>IFERROR(__xludf.DUMMYFUNCTION("""COMPUTED_VALUE"""),"Draft BA DROP")</f>
        <v>Draft BA DROP</v>
      </c>
      <c r="AG2109" s="54"/>
      <c r="AH2109" s="54">
        <v>46138.0</v>
      </c>
      <c r="AI2109" s="237">
        <f>AH2109-NOW()</f>
        <v>-2.377989942</v>
      </c>
      <c r="AJ2109" s="229" t="str">
        <f>if(AI2109&gt;=0,"In Komitmen","Out Komitmen")</f>
        <v>Out Komitmen</v>
      </c>
      <c r="AK2109" s="229" t="e">
        <v>#N/A</v>
      </c>
      <c r="AW2109" s="234"/>
      <c r="BP2109" s="11"/>
      <c r="BQ2109" s="11"/>
      <c r="BR2109" s="235"/>
      <c r="BV2109" s="158"/>
      <c r="BY2109" s="158"/>
      <c r="CB2109" s="158"/>
    </row>
    <row r="2110" ht="18.0" customHeight="1">
      <c r="A2110" s="222">
        <f>IFERROR(__xludf.DUMMYFUNCTION("""COMPUTED_VALUE"""),2026.0)</f>
        <v>2026</v>
      </c>
      <c r="B2110" s="221">
        <f>IFERROR(__xludf.DUMMYFUNCTION("""COMPUTED_VALUE"""),1.1266661E7)</f>
        <v>11266661</v>
      </c>
      <c r="C2110" s="222" t="str">
        <f>IFERROR(__xludf.DUMMYFUNCTION("""COMPUTED_VALUE"""),"RKP PT4 TSEL DBS-FXX DESA NEREKEH LINGGA")</f>
        <v>RKP PT4 TSEL DBS-FXX DESA NEREKEH LINGGA</v>
      </c>
      <c r="D2110" s="222" t="str">
        <f>IFERROR(__xludf.DUMMYFUNCTION("""COMPUTED_VALUE"""),"REGIONAL I")</f>
        <v>REGIONAL I</v>
      </c>
      <c r="E2110" s="222" t="str">
        <f>IFERROR(__xludf.DUMMYFUNCTION("""COMPUTED_VALUE"""),"RIKEP")</f>
        <v>RIKEP</v>
      </c>
      <c r="F2110" s="222" t="str">
        <f>IFERROR(__xludf.DUMMYFUNCTION("""COMPUTED_VALUE"""),"DBS")</f>
        <v>DBS</v>
      </c>
      <c r="G2110" s="222" t="str">
        <f>IFERROR(__xludf.DUMMYFUNCTION("""COMPUTED_VALUE"""),"SUMBAGTENG")</f>
        <v>SUMBAGTENG</v>
      </c>
      <c r="H2110" s="222" t="str">
        <f>IFERROR(__xludf.DUMMYFUNCTION("""COMPUTED_VALUE"""),"BATAM")</f>
        <v>BATAM</v>
      </c>
      <c r="I2110" s="222" t="str">
        <f>IFERROR(__xludf.DUMMYFUNCTION("""COMPUTED_VALUE"""),"Batch 2")</f>
        <v>Batch 2</v>
      </c>
      <c r="J2110" s="225">
        <f>IFERROR(__xludf.DUMMYFUNCTION("""COMPUTED_VALUE"""),5.0)</f>
        <v>5</v>
      </c>
      <c r="K2110" s="224">
        <f>IFERROR(__xludf.DUMMYFUNCTION("""COMPUTED_VALUE"""),40.0)</f>
        <v>40</v>
      </c>
      <c r="L2110" s="226">
        <f>IFERROR(__xludf.DUMMYFUNCTION("""COMPUTED_VALUE"""),1605496.0)</f>
        <v>1605496</v>
      </c>
      <c r="M2110" s="227">
        <f>IFERROR(__xludf.DUMMYFUNCTION("""COMPUTED_VALUE"""),6.4219832E7)</f>
        <v>64219832</v>
      </c>
      <c r="N2110" s="222" t="str">
        <f>IFERROR(__xludf.DUMMYFUNCTION("""COMPUTED_VALUE"""),"SWAKELOLA")</f>
        <v>SWAKELOLA</v>
      </c>
      <c r="O2110" s="222" t="str">
        <f>IFERROR(__xludf.DUMMYFUNCTION("""COMPUTED_VALUE"""),"4. MATDEL")</f>
        <v>4. MATDEL</v>
      </c>
      <c r="P2110" s="222" t="str">
        <f>IFERROR(__xludf.DUMMYFUNCTION("""COMPUTED_VALUE"""),"4.3 Proses Kirim Mateial Kelokasi")</f>
        <v>4.3 Proses Kirim Mateial Kelokasi</v>
      </c>
      <c r="Q2110" s="222" t="str">
        <f>IFERROR(__xludf.DUMMYFUNCTION("""COMPUTED_VALUE"""),"17/04 menunggu PO material, estimasi sampai WH Tanjung pinang, tgl tanggal 20 apr. 13/04 Tiang baru sampai WH TPI, tinggal Kabel ADSS masih menunggu bongkar muat di pelabuhan. 
06/04 PO Kabel sudah sampai di WH Tanjung Pinang, untuk material tiang masih d"&amp;"i pelabuhan, 3-4 hari lagi informasi sampai di gudang TPI. 30/03 Req done, menunggu PO material sampai ke WH Tanjung pinang dan di kirim ke Pulau dabo dan Pulau Lingga.10/03 menunggu PO material sampai di pulau tanjung pinang dan pengiriman material ke pu"&amp;"lau dabo singkep dan lingga. 05/03 Anwijzing OK, perizinan OK.  proses pembuatan BOQ KML Survey dan eval. 03/03 On Going survey ke pulau dabo singkep dan pulau lingga. 12/02 Lokasi di pulau outer lingga dan dabo singkep. 09/02 wilsus masih blm sempat untu"&amp;"k survey di pulau. 22/01 Plan anwijzing mitra di pulau, tanggal 26 Jan 2026")</f>
        <v>17/04 menunggu PO material, estimasi sampai WH Tanjung pinang, tgl tanggal 20 apr. 13/04 Tiang baru sampai WH TPI, tinggal Kabel ADSS masih menunggu bongkar muat di pelabuhan. 
06/04 PO Kabel sudah sampai di WH Tanjung Pinang, untuk material tiang masih di pelabuhan, 3-4 hari lagi informasi sampai di gudang TPI. 30/03 Req done, menunggu PO material sampai ke WH Tanjung pinang dan di kirim ke Pulau dabo dan Pulau Lingga.10/03 menunggu PO material sampai di pulau tanjung pinang dan pengiriman material ke pulau dabo singkep dan lingga. 05/03 Anwijzing OK, perizinan OK.  proses pembuatan BOQ KML Survey dan eval. 03/03 On Going survey ke pulau dabo singkep dan pulau lingga. 12/02 Lokasi di pulau outer lingga dan dabo singkep. 09/02 wilsus masih blm sempat untuk survey di pulau. 22/01 Plan anwijzing mitra di pulau, tanggal 26 Jan 2026</v>
      </c>
      <c r="R2110" s="228"/>
      <c r="S2110" s="11"/>
      <c r="T2110" s="11"/>
      <c r="U2110" s="11" t="str">
        <f>IFERROR(__xludf.DUMMYFUNCTION("""COMPUTED_VALUE"""),"TIF-8274/2026
")</f>
        <v>TIF-8274/2026
</v>
      </c>
      <c r="V2110" s="229" t="str">
        <f>IFERROR(__xludf.DUMMYFUNCTION("""COMPUTED_VALUE"""),"DEDY IRAWAN")</f>
        <v>DEDY IRAWAN</v>
      </c>
      <c r="W2110" s="229" t="str">
        <f>IFERROR(__xludf.DUMMYFUNCTION("""COMPUTED_VALUE"""),"LEVITA INDRIYANI")</f>
        <v>LEVITA INDRIYANI</v>
      </c>
      <c r="X2110" s="229" t="str">
        <f>IFERROR(__xludf.DUMMYFUNCTION("""COMPUTED_VALUE"""),"BELUM GOLIVE")</f>
        <v>BELUM GOLIVE</v>
      </c>
      <c r="Y2110" s="229"/>
      <c r="Z2110" s="229"/>
      <c r="AA2110" s="229"/>
      <c r="AB2110" s="229"/>
      <c r="AC2110" s="229"/>
      <c r="AD2110" s="232"/>
      <c r="AE2110" s="233"/>
      <c r="AF2110" s="54"/>
      <c r="AG2110" s="54"/>
      <c r="AH2110" s="54">
        <v>46127.0</v>
      </c>
      <c r="AI2110" s="55" t="str">
        <f>IF(OR(R2110="",AE2110=""),"",R2110-AE2110)</f>
        <v/>
      </c>
      <c r="AJ2110" s="229" t="str">
        <f t="shared" ref="AJ2110:AJ2111" si="205">if(AI2110&gt;=0,"Gl in Komitmen","Gl out komitmen")</f>
        <v>Gl in Komitmen</v>
      </c>
      <c r="AW2110" s="234"/>
      <c r="BP2110" s="11"/>
      <c r="BQ2110" s="11"/>
      <c r="BR2110" s="235"/>
      <c r="BV2110" s="158"/>
      <c r="BY2110" s="158"/>
      <c r="CB2110" s="158"/>
    </row>
    <row r="2111" ht="18.0" customHeight="1">
      <c r="A2111" s="222">
        <f>IFERROR(__xludf.DUMMYFUNCTION("""COMPUTED_VALUE"""),2026.0)</f>
        <v>2026</v>
      </c>
      <c r="B2111" s="221">
        <f>IFERROR(__xludf.DUMMYFUNCTION("""COMPUTED_VALUE"""),1.1521979E7)</f>
        <v>11521979</v>
      </c>
      <c r="C2111" s="222" t="str">
        <f>IFERROR(__xludf.DUMMYFUNCTION("""COMPUTED_VALUE"""),"SMB P3I1 Siguntur SGD")</f>
        <v>SMB P3I1 Siguntur SGD</v>
      </c>
      <c r="D2111" s="222" t="str">
        <f>IFERROR(__xludf.DUMMYFUNCTION("""COMPUTED_VALUE"""),"REGIONAL I")</f>
        <v>REGIONAL I</v>
      </c>
      <c r="E2111" s="222" t="str">
        <f>IFERROR(__xludf.DUMMYFUNCTION("""COMPUTED_VALUE"""),"SUMBAR")</f>
        <v>SUMBAR</v>
      </c>
      <c r="F2111" s="222" t="str">
        <f>IFERROR(__xludf.DUMMYFUNCTION("""COMPUTED_VALUE"""),"SGD")</f>
        <v>SGD</v>
      </c>
      <c r="G2111" s="222" t="str">
        <f>IFERROR(__xludf.DUMMYFUNCTION("""COMPUTED_VALUE"""),"SUMBAGTENG")</f>
        <v>SUMBAGTENG</v>
      </c>
      <c r="H2111" s="222" t="str">
        <f>IFERROR(__xludf.DUMMYFUNCTION("""COMPUTED_VALUE"""),"PADANG")</f>
        <v>PADANG</v>
      </c>
      <c r="I2111" s="222" t="str">
        <f>IFERROR(__xludf.DUMMYFUNCTION("""COMPUTED_VALUE"""),"Batch 2")</f>
        <v>Batch 2</v>
      </c>
      <c r="J2111" s="225">
        <f>IFERROR(__xludf.DUMMYFUNCTION("""COMPUTED_VALUE"""),9.0)</f>
        <v>9</v>
      </c>
      <c r="K2111" s="224">
        <f>IFERROR(__xludf.DUMMYFUNCTION("""COMPUTED_VALUE"""),72.0)</f>
        <v>72</v>
      </c>
      <c r="L2111" s="226">
        <f>IFERROR(__xludf.DUMMYFUNCTION("""COMPUTED_VALUE"""),1608737.0)</f>
        <v>1608737</v>
      </c>
      <c r="M2111" s="227">
        <f>IFERROR(__xludf.DUMMYFUNCTION("""COMPUTED_VALUE"""),1.15829043E8)</f>
        <v>115829043</v>
      </c>
      <c r="N2111" s="222" t="str">
        <f>IFERROR(__xludf.DUMMYFUNCTION("""COMPUTED_VALUE"""),"PT TIGA AKSES MANDIRI")</f>
        <v>PT TIGA AKSES MANDIRI</v>
      </c>
      <c r="O2111" s="222" t="str">
        <f>IFERROR(__xludf.DUMMYFUNCTION("""COMPUTED_VALUE"""),"7. GOLIVE")</f>
        <v>7. GOLIVE</v>
      </c>
      <c r="P2111" s="222" t="str">
        <f>IFERROR(__xludf.DUMMYFUNCTION("""COMPUTED_VALUE"""),"7.2 Golive Full / OA / DONE OTB")</f>
        <v>7.2 Golive Full / OA / DONE OTB</v>
      </c>
      <c r="Q2111" s="222" t="str">
        <f>IFERROR(__xludf.DUMMYFUNCTION("""COMPUTED_VALUE"""),"(13/04) ABD sudah submit ke sdi (06/04) proses valins (02/04) terminasi  (30/03) tanam tiang  (27/03) Prgores tanam tiang (16/03) proses matdel KE SITE (05/03) proses create PID  3/3 Meeting ED1 - TAREGION - TA AREA ACC CPP Tinggi LANJUT (05/02)  CPP 1,2."&amp;". kenaikan lebih dari 10% ")</f>
        <v>(13/04) ABD sudah submit ke sdi (06/04) proses valins (02/04) terminasi  (30/03) tanam tiang  (27/03) Prgores tanam tiang (16/03) proses matdel KE SITE (05/03) proses create PID  3/3 Meeting ED1 - TAREGION - TA AREA ACC CPP Tinggi LANJUT (05/02)  CPP 1,2.. kenaikan lebih dari 10% </v>
      </c>
      <c r="R2111" s="228">
        <f>IFERROR(__xludf.DUMMYFUNCTION("""COMPUTED_VALUE"""),46127.0)</f>
        <v>46127</v>
      </c>
      <c r="S2111" s="11" t="str">
        <f>IFERROR(__xludf.DUMMYFUNCTION("""COMPUTED_VALUE"""),"MAR")</f>
        <v>MAR</v>
      </c>
      <c r="T2111" s="73" t="str">
        <f>IFERROR(__xludf.DUMMYFUNCTION("""COMPUTED_VALUE"""),"P1")</f>
        <v>P1</v>
      </c>
      <c r="U2111" s="11" t="str">
        <f>IFERROR(__xludf.DUMMYFUNCTION("""COMPUTED_VALUE"""),"TIF-5473/2026  26KT03R158-0063")</f>
        <v>TIF-5473/2026  26KT03R158-0063</v>
      </c>
      <c r="V2111" s="229" t="str">
        <f>IFERROR(__xludf.DUMMYFUNCTION("""COMPUTED_VALUE"""),"YULIO NOVIKO")</f>
        <v>YULIO NOVIKO</v>
      </c>
      <c r="W2111" s="229" t="str">
        <f>IFERROR(__xludf.DUMMYFUNCTION("""COMPUTED_VALUE"""),"MELKO NARWADI")</f>
        <v>MELKO NARWADI</v>
      </c>
      <c r="X2111" s="229" t="str">
        <f>IFERROR(__xludf.DUMMYFUNCTION("""COMPUTED_VALUE"""),"GOLIVE")</f>
        <v>GOLIVE</v>
      </c>
      <c r="Y2111" s="229" t="str">
        <f>IFERROR(__xludf.DUMMYFUNCTION("""COMPUTED_VALUE"""),"DONE")</f>
        <v>DONE</v>
      </c>
      <c r="Z2111" s="229" t="str">
        <f>IFERROR(__xludf.DUMMYFUNCTION("""COMPUTED_VALUE"""),"#N/A")</f>
        <v>#N/A</v>
      </c>
      <c r="AA2111" s="229">
        <f>IFERROR(__xludf.DUMMYFUNCTION("""COMPUTED_VALUE"""),15.0)</f>
        <v>15</v>
      </c>
      <c r="AB2111" s="229"/>
      <c r="AC2111" s="229" t="str">
        <f>IFERROR(__xludf.DUMMYFUNCTION("""COMPUTED_VALUE"""),"9259784#9259789")</f>
        <v>9259784#9259789</v>
      </c>
      <c r="AD2111" s="232">
        <f>IFERROR(__xludf.DUMMYFUNCTION("""COMPUTED_VALUE"""),120.0)</f>
        <v>120</v>
      </c>
      <c r="AE2111" s="233">
        <f>IFERROR(__xludf.DUMMYFUNCTION("""COMPUTED_VALUE"""),46127.0)</f>
        <v>46127</v>
      </c>
      <c r="AF2111" s="54"/>
      <c r="AG2111" s="54"/>
      <c r="AH2111" s="54">
        <v>46128.0</v>
      </c>
      <c r="AI2111" s="55">
        <f>IF(OR(AH2111="",AE2111=""),"",AH2111-AE2111)</f>
        <v>1</v>
      </c>
      <c r="AJ2111" s="229" t="str">
        <f t="shared" si="205"/>
        <v>Gl in Komitmen</v>
      </c>
      <c r="AK2111" s="231" t="s">
        <v>199</v>
      </c>
      <c r="AW2111" s="234"/>
      <c r="BP2111" s="11"/>
      <c r="BQ2111" s="11"/>
      <c r="BR2111" s="235"/>
      <c r="BV2111" s="158"/>
      <c r="BY2111" s="158"/>
      <c r="CB2111" s="158"/>
    </row>
    <row r="2112" ht="18.0" hidden="1" customHeight="1">
      <c r="A2112" s="222">
        <f>IFERROR(__xludf.DUMMYFUNCTION("""COMPUTED_VALUE"""),2026.0)</f>
        <v>2026</v>
      </c>
      <c r="B2112" s="221">
        <f>IFERROR(__xludf.DUMMYFUNCTION("""COMPUTED_VALUE"""),1.1410456E7)</f>
        <v>11410456</v>
      </c>
      <c r="C2112" s="222" t="str">
        <f>IFERROR(__xludf.DUMMYFUNCTION("""COMPUTED_VALUE"""),"BNK-PT3-BRC-JPPTSEL- KANDANG LIMUN 2")</f>
        <v>BNK-PT3-BRC-JPPTSEL- KANDANG LIMUN 2</v>
      </c>
      <c r="D2112" s="222" t="str">
        <f>IFERROR(__xludf.DUMMYFUNCTION("""COMPUTED_VALUE"""),"REGIONAL I")</f>
        <v>REGIONAL I</v>
      </c>
      <c r="E2112" s="222" t="str">
        <f>IFERROR(__xludf.DUMMYFUNCTION("""COMPUTED_VALUE"""),"BENGKULU")</f>
        <v>BENGKULU</v>
      </c>
      <c r="F2112" s="222" t="str">
        <f>IFERROR(__xludf.DUMMYFUNCTION("""COMPUTED_VALUE"""),"BNC")</f>
        <v>BNC</v>
      </c>
      <c r="G2112" s="222" t="str">
        <f>IFERROR(__xludf.DUMMYFUNCTION("""COMPUTED_VALUE"""),"SUMBAGSEL")</f>
        <v>SUMBAGSEL</v>
      </c>
      <c r="H2112" s="222" t="str">
        <f>IFERROR(__xludf.DUMMYFUNCTION("""COMPUTED_VALUE"""),"BENGKULU")</f>
        <v>BENGKULU</v>
      </c>
      <c r="I2112" s="222" t="str">
        <f>IFERROR(__xludf.DUMMYFUNCTION("""COMPUTED_VALUE"""),"Batch 2")</f>
        <v>Batch 2</v>
      </c>
      <c r="J2112" s="225">
        <f>IFERROR(__xludf.DUMMYFUNCTION("""COMPUTED_VALUE"""),10.0)</f>
        <v>10</v>
      </c>
      <c r="K2112" s="224">
        <f>IFERROR(__xludf.DUMMYFUNCTION("""COMPUTED_VALUE"""),80.0)</f>
        <v>80</v>
      </c>
      <c r="L2112" s="226">
        <f>IFERROR(__xludf.DUMMYFUNCTION("""COMPUTED_VALUE"""),819642.0)</f>
        <v>819642</v>
      </c>
      <c r="M2112" s="227">
        <f>IFERROR(__xludf.DUMMYFUNCTION("""COMPUTED_VALUE"""),6.5571286E7)</f>
        <v>65571286</v>
      </c>
      <c r="N2112" s="222" t="str">
        <f>IFERROR(__xludf.DUMMYFUNCTION("""COMPUTED_VALUE"""),"SWAKELOLA")</f>
        <v>SWAKELOLA</v>
      </c>
      <c r="O2112" s="222" t="str">
        <f>IFERROR(__xludf.DUMMYFUNCTION("""COMPUTED_VALUE"""),"0. DROP")</f>
        <v>0. DROP</v>
      </c>
      <c r="P2112" s="222" t="str">
        <f>IFERROR(__xludf.DUMMYFUNCTION("""COMPUTED_VALUE"""),"0.2 Tidak Dapat Izin Warga/Kades/Lurah/Developer")</f>
        <v>0.2 Tidak Dapat Izin Warga/Kades/Lurah/Developer</v>
      </c>
      <c r="Q2112" s="222" t="str">
        <f>IFERROR(__xludf.DUMMYFUNCTION("""COMPUTED_VALUE""")," 23/01 : Drop by TSEL22/2 tidak mendapat IZIN")</f>
        <v> 23/01 : Drop by TSEL22/2 tidak mendapat IZIN</v>
      </c>
      <c r="R2112" s="228"/>
      <c r="S2112" s="11"/>
      <c r="T2112" s="11"/>
      <c r="U2112" s="11"/>
      <c r="V2112" s="229"/>
      <c r="W2112" s="229"/>
      <c r="X2112" s="229" t="str">
        <f>IFERROR(__xludf.DUMMYFUNCTION("""COMPUTED_VALUE"""),"BELUM GOLIVE")</f>
        <v>BELUM GOLIVE</v>
      </c>
      <c r="Y2112" s="229"/>
      <c r="Z2112" s="229" t="str">
        <f>IFERROR(__xludf.DUMMYFUNCTION("""COMPUTED_VALUE"""),"#N/A")</f>
        <v>#N/A</v>
      </c>
      <c r="AA2112" s="229"/>
      <c r="AB2112" s="229"/>
      <c r="AC2112" s="229"/>
      <c r="AD2112" s="232"/>
      <c r="AE2112" s="233"/>
      <c r="AF2112" s="54" t="str">
        <f>IFERROR(__xludf.DUMMYFUNCTION("""COMPUTED_VALUE"""),"Draft BA DROP")</f>
        <v>Draft BA DROP</v>
      </c>
      <c r="AG2112" s="54"/>
      <c r="AH2112" s="54"/>
      <c r="AI2112" s="55" t="str">
        <f t="shared" ref="AI2112:AI2130" si="206">IF(OR(R2112="",AE2112=""),"",R2112-AE2112)</f>
        <v/>
      </c>
      <c r="AW2112" s="234"/>
      <c r="BP2112" s="11"/>
      <c r="BQ2112" s="11"/>
      <c r="BR2112" s="235"/>
      <c r="BV2112" s="158"/>
      <c r="BY2112" s="158"/>
      <c r="CB2112" s="158"/>
    </row>
    <row r="2113" ht="18.0" hidden="1" customHeight="1">
      <c r="A2113" s="222">
        <f>IFERROR(__xludf.DUMMYFUNCTION("""COMPUTED_VALUE"""),2026.0)</f>
        <v>2026</v>
      </c>
      <c r="B2113" s="221">
        <f>IFERROR(__xludf.DUMMYFUNCTION("""COMPUTED_VALUE"""),1.1076716E7)</f>
        <v>11076716</v>
      </c>
      <c r="C2113" s="222" t="str">
        <f>IFERROR(__xludf.DUMMYFUNCTION("""COMPUTED_VALUE"""),"ACH PT4 DAR-FBF PERUM HADRAH LABUY_MD")</f>
        <v>ACH PT4 DAR-FBF PERUM HADRAH LABUY_MD</v>
      </c>
      <c r="D2113" s="222" t="str">
        <f>IFERROR(__xludf.DUMMYFUNCTION("""COMPUTED_VALUE"""),"REGIONAL I")</f>
        <v>REGIONAL I</v>
      </c>
      <c r="E2113" s="222" t="str">
        <f>IFERROR(__xludf.DUMMYFUNCTION("""COMPUTED_VALUE"""),"ACEH")</f>
        <v>ACEH</v>
      </c>
      <c r="F2113" s="222" t="str">
        <f>IFERROR(__xludf.DUMMYFUNCTION("""COMPUTED_VALUE"""),"DAR")</f>
        <v>DAR</v>
      </c>
      <c r="G2113" s="222" t="str">
        <f>IFERROR(__xludf.DUMMYFUNCTION("""COMPUTED_VALUE"""),"SUMBAGUT")</f>
        <v>SUMBAGUT</v>
      </c>
      <c r="H2113" s="222" t="str">
        <f>IFERROR(__xludf.DUMMYFUNCTION("""COMPUTED_VALUE"""),"BANDA ACEH")</f>
        <v>BANDA ACEH</v>
      </c>
      <c r="I2113" s="222" t="str">
        <f>IFERROR(__xludf.DUMMYFUNCTION("""COMPUTED_VALUE"""),"Batch 2")</f>
        <v>Batch 2</v>
      </c>
      <c r="J2113" s="225">
        <f>IFERROR(__xludf.DUMMYFUNCTION("""COMPUTED_VALUE"""),66.0)</f>
        <v>66</v>
      </c>
      <c r="K2113" s="224">
        <f>IFERROR(__xludf.DUMMYFUNCTION("""COMPUTED_VALUE"""),560.0)</f>
        <v>560</v>
      </c>
      <c r="L2113" s="226">
        <f>IFERROR(__xludf.DUMMYFUNCTION("""COMPUTED_VALUE"""),1609459.0)</f>
        <v>1609459</v>
      </c>
      <c r="M2113" s="227">
        <f>IFERROR(__xludf.DUMMYFUNCTION("""COMPUTED_VALUE"""),9.01296555E8)</f>
        <v>901296555</v>
      </c>
      <c r="N2113" s="222" t="str">
        <f>IFERROR(__xludf.DUMMYFUNCTION("""COMPUTED_VALUE"""),"PT NIAGA NUSANTARA DIVA")</f>
        <v>PT NIAGA NUSANTARA DIVA</v>
      </c>
      <c r="O2113" s="222" t="str">
        <f>IFERROR(__xludf.DUMMYFUNCTION("""COMPUTED_VALUE"""),"7. GOLIVE")</f>
        <v>7. GOLIVE</v>
      </c>
      <c r="P2113" s="222" t="str">
        <f>IFERROR(__xludf.DUMMYFUNCTION("""COMPUTED_VALUE"""),"7.2 Golive Full / OA / DONE OTB")</f>
        <v>7.2 Golive Full / OA / DONE OTB</v>
      </c>
      <c r="Q2113" s="222" t="str">
        <f>IFERROR(__xludf.DUMMYFUNCTION("""COMPUTED_VALUE"""),"(11/02)terminasi (29/01) Penarikan Kabel (07/01) Persiapan")</f>
        <v>(11/02)terminasi (29/01) Penarikan Kabel (07/01) Persiapan</v>
      </c>
      <c r="R2113" s="228">
        <f>IFERROR(__xludf.DUMMYFUNCTION("""COMPUTED_VALUE"""),46075.0)</f>
        <v>46075</v>
      </c>
      <c r="S2113" s="11"/>
      <c r="T2113" s="11"/>
      <c r="U2113" s="11"/>
      <c r="V2113" s="229"/>
      <c r="W2113" s="229"/>
      <c r="X2113" s="229" t="str">
        <f>IFERROR(__xludf.DUMMYFUNCTION("""COMPUTED_VALUE"""),"GOLIVE")</f>
        <v>GOLIVE</v>
      </c>
      <c r="Y2113" s="229" t="str">
        <f>IFERROR(__xludf.DUMMYFUNCTION("""COMPUTED_VALUE"""),"DONE")</f>
        <v>DONE</v>
      </c>
      <c r="Z2113" s="229" t="str">
        <f>IFERROR(__xludf.DUMMYFUNCTION("""COMPUTED_VALUE"""),"#N/A")</f>
        <v>#N/A</v>
      </c>
      <c r="AA2113" s="229">
        <f>IFERROR(__xludf.DUMMYFUNCTION("""COMPUTED_VALUE"""),67.0)</f>
        <v>67</v>
      </c>
      <c r="AB2113" s="229"/>
      <c r="AC2113" s="229" t="str">
        <f>IFERROR(__xludf.DUMMYFUNCTION("""COMPUTED_VALUE"""),"9124526#9124531")</f>
        <v>9124526#9124531</v>
      </c>
      <c r="AD2113" s="232">
        <f>IFERROR(__xludf.DUMMYFUNCTION("""COMPUTED_VALUE"""),536.0)</f>
        <v>536</v>
      </c>
      <c r="AE2113" s="233">
        <f>IFERROR(__xludf.DUMMYFUNCTION("""COMPUTED_VALUE"""),46075.0)</f>
        <v>46075</v>
      </c>
      <c r="AF2113" s="54"/>
      <c r="AG2113" s="54"/>
      <c r="AH2113" s="54">
        <v>46075.0</v>
      </c>
      <c r="AI2113" s="55">
        <f t="shared" si="206"/>
        <v>0</v>
      </c>
      <c r="AW2113" s="234"/>
      <c r="BP2113" s="11"/>
      <c r="BQ2113" s="11"/>
      <c r="BR2113" s="235"/>
      <c r="BV2113" s="158"/>
      <c r="BY2113" s="158"/>
      <c r="CB2113" s="158"/>
    </row>
    <row r="2114" ht="18.0" customHeight="1">
      <c r="A2114" s="222">
        <f>IFERROR(__xludf.DUMMYFUNCTION("""COMPUTED_VALUE"""),2026.0)</f>
        <v>2026</v>
      </c>
      <c r="B2114" s="221">
        <f>IFERROR(__xludf.DUMMYFUNCTION("""COMPUTED_VALUE"""),1.1297607E7)</f>
        <v>11297607</v>
      </c>
      <c r="C2114" s="222" t="str">
        <f>IFERROR(__xludf.DUMMYFUNCTION("""COMPUTED_VALUE"""),"RDR BKN PT4 P1I2 DESA KOTO TUO")</f>
        <v>RDR BKN PT4 P1I2 DESA KOTO TUO</v>
      </c>
      <c r="D2114" s="222" t="str">
        <f>IFERROR(__xludf.DUMMYFUNCTION("""COMPUTED_VALUE"""),"REGIONAL I")</f>
        <v>REGIONAL I</v>
      </c>
      <c r="E2114" s="222" t="str">
        <f>IFERROR(__xludf.DUMMYFUNCTION("""COMPUTED_VALUE"""),"RIDAR")</f>
        <v>RIDAR</v>
      </c>
      <c r="F2114" s="222" t="str">
        <f>IFERROR(__xludf.DUMMYFUNCTION("""COMPUTED_VALUE"""),"BKN")</f>
        <v>BKN</v>
      </c>
      <c r="G2114" s="222" t="str">
        <f>IFERROR(__xludf.DUMMYFUNCTION("""COMPUTED_VALUE"""),"SUMBAGTENG")</f>
        <v>SUMBAGTENG</v>
      </c>
      <c r="H2114" s="222" t="str">
        <f>IFERROR(__xludf.DUMMYFUNCTION("""COMPUTED_VALUE"""),"DUMAI")</f>
        <v>DUMAI</v>
      </c>
      <c r="I2114" s="222" t="str">
        <f>IFERROR(__xludf.DUMMYFUNCTION("""COMPUTED_VALUE"""),"Batch 2")</f>
        <v>Batch 2</v>
      </c>
      <c r="J2114" s="225">
        <f>IFERROR(__xludf.DUMMYFUNCTION("""COMPUTED_VALUE"""),44.0)</f>
        <v>44</v>
      </c>
      <c r="K2114" s="224">
        <f>IFERROR(__xludf.DUMMYFUNCTION("""COMPUTED_VALUE"""),352.0)</f>
        <v>352</v>
      </c>
      <c r="L2114" s="226">
        <f>IFERROR(__xludf.DUMMYFUNCTION("""COMPUTED_VALUE"""),1613442.0)</f>
        <v>1613442</v>
      </c>
      <c r="M2114" s="227">
        <f>IFERROR(__xludf.DUMMYFUNCTION("""COMPUTED_VALUE"""),5.6793131E8)</f>
        <v>567931310</v>
      </c>
      <c r="N2114" s="222" t="str">
        <f>IFERROR(__xludf.DUMMYFUNCTION("""COMPUTED_VALUE"""),"PT TSUIKA BERKAH RAYA")</f>
        <v>PT TSUIKA BERKAH RAYA</v>
      </c>
      <c r="O2114" s="222" t="str">
        <f>IFERROR(__xludf.DUMMYFUNCTION("""COMPUTED_VALUE"""),"0. DROP")</f>
        <v>0. DROP</v>
      </c>
      <c r="P2114" s="222" t="str">
        <f>IFERROR(__xludf.DUMMYFUNCTION("""COMPUTED_VALUE"""),"0.3 Feeder Full")</f>
        <v>0.3 Feeder Full</v>
      </c>
      <c r="Q2114" s="222" t="str">
        <f>IFERROR(__xludf.DUMMYFUNCTION("""COMPUTED_VALUE"""),"13/04 Kendala Feeder full 27/03 Antrian review dengan TIF 16/03 Antrian review dengan TIF 05/03 Antrian Review dengan TIF 09/02 Antrian Review 20/01 Core uplink tidak ready (07/01) Persiapan")</f>
        <v>13/04 Kendala Feeder full 27/03 Antrian review dengan TIF 16/03 Antrian review dengan TIF 05/03 Antrian Review dengan TIF 09/02 Antrian Review 20/01 Core uplink tidak ready (07/01) Persiapan</v>
      </c>
      <c r="R2114" s="228"/>
      <c r="S2114" s="11"/>
      <c r="T2114" s="11" t="str">
        <f>IFERROR(__xludf.DUMMYFUNCTION("""COMPUTED_VALUE"""),"P1")</f>
        <v>P1</v>
      </c>
      <c r="U2114" s="11"/>
      <c r="V2114" s="229" t="str">
        <f>IFERROR(__xludf.DUMMYFUNCTION("""COMPUTED_VALUE"""),"GUSKAR DIYONAL")</f>
        <v>GUSKAR DIYONAL</v>
      </c>
      <c r="W2114" s="229" t="str">
        <f>IFERROR(__xludf.DUMMYFUNCTION("""COMPUTED_VALUE"""),"ANZALA SAKINAH")</f>
        <v>ANZALA SAKINAH</v>
      </c>
      <c r="X2114" s="229" t="str">
        <f>IFERROR(__xludf.DUMMYFUNCTION("""COMPUTED_VALUE"""),"BELUM GOLIVE")</f>
        <v>BELUM GOLIVE</v>
      </c>
      <c r="Y2114" s="229"/>
      <c r="Z2114" s="229"/>
      <c r="AA2114" s="229"/>
      <c r="AB2114" s="229"/>
      <c r="AC2114" s="229"/>
      <c r="AD2114" s="232"/>
      <c r="AE2114" s="233"/>
      <c r="AF2114" s="54"/>
      <c r="AG2114" s="54"/>
      <c r="AH2114" s="54"/>
      <c r="AI2114" s="55" t="str">
        <f t="shared" si="206"/>
        <v/>
      </c>
      <c r="AW2114" s="234"/>
      <c r="BP2114" s="11"/>
      <c r="BQ2114" s="11"/>
      <c r="BR2114" s="235"/>
      <c r="BV2114" s="158"/>
      <c r="BY2114" s="158"/>
      <c r="CB2114" s="158"/>
    </row>
    <row r="2115" ht="18.0" customHeight="1">
      <c r="A2115" s="222">
        <f>IFERROR(__xludf.DUMMYFUNCTION("""COMPUTED_VALUE"""),2026.0)</f>
        <v>2026</v>
      </c>
      <c r="B2115" s="221">
        <f>IFERROR(__xludf.DUMMYFUNCTION("""COMPUTED_VALUE"""),1.1551974E7)</f>
        <v>11551974</v>
      </c>
      <c r="C2115" s="222" t="str">
        <f>IFERROR(__xludf.DUMMYFUNCTION("""COMPUTED_VALUE"""),"RKP TSEL PT3 BTC-FCE CITRA MAS")</f>
        <v>RKP TSEL PT3 BTC-FCE CITRA MAS</v>
      </c>
      <c r="D2115" s="222" t="str">
        <f>IFERROR(__xludf.DUMMYFUNCTION("""COMPUTED_VALUE"""),"REGIONAL I")</f>
        <v>REGIONAL I</v>
      </c>
      <c r="E2115" s="222" t="str">
        <f>IFERROR(__xludf.DUMMYFUNCTION("""COMPUTED_VALUE"""),"RIKEP")</f>
        <v>RIKEP</v>
      </c>
      <c r="F2115" s="222" t="str">
        <f>IFERROR(__xludf.DUMMYFUNCTION("""COMPUTED_VALUE"""),"BTC")</f>
        <v>BTC</v>
      </c>
      <c r="G2115" s="222" t="str">
        <f>IFERROR(__xludf.DUMMYFUNCTION("""COMPUTED_VALUE"""),"SUMBAGTENG")</f>
        <v>SUMBAGTENG</v>
      </c>
      <c r="H2115" s="222" t="str">
        <f>IFERROR(__xludf.DUMMYFUNCTION("""COMPUTED_VALUE"""),"BATAM")</f>
        <v>BATAM</v>
      </c>
      <c r="I2115" s="222" t="str">
        <f>IFERROR(__xludf.DUMMYFUNCTION("""COMPUTED_VALUE"""),"Batch 2")</f>
        <v>Batch 2</v>
      </c>
      <c r="J2115" s="225">
        <f>IFERROR(__xludf.DUMMYFUNCTION("""COMPUTED_VALUE"""),2.0)</f>
        <v>2</v>
      </c>
      <c r="K2115" s="224">
        <f>IFERROR(__xludf.DUMMYFUNCTION("""COMPUTED_VALUE"""),16.0)</f>
        <v>16</v>
      </c>
      <c r="L2115" s="226">
        <f>IFERROR(__xludf.DUMMYFUNCTION("""COMPUTED_VALUE"""),1615128.0)</f>
        <v>1615128</v>
      </c>
      <c r="M2115" s="227">
        <f>IFERROR(__xludf.DUMMYFUNCTION("""COMPUTED_VALUE"""),2.5842044E7)</f>
        <v>25842044</v>
      </c>
      <c r="N2115" s="222" t="str">
        <f>IFERROR(__xludf.DUMMYFUNCTION("""COMPUTED_VALUE"""),"PT MITRA SETIA INDONESIA")</f>
        <v>PT MITRA SETIA INDONESIA</v>
      </c>
      <c r="O2115" s="222" t="str">
        <f>IFERROR(__xludf.DUMMYFUNCTION("""COMPUTED_VALUE"""),"0. DROP")</f>
        <v>0. DROP</v>
      </c>
      <c r="P2115" s="222" t="str">
        <f>IFERROR(__xludf.DUMMYFUNCTION("""COMPUTED_VALUE"""),"0.2 Tidak Dapat Izin Warga/Kades/Lurah/Developer")</f>
        <v>0.2 Tidak Dapat Izin Warga/Kades/Lurah/Developer</v>
      </c>
      <c r="Q2115" s="222" t="str">
        <f>IFERROR(__xludf.DUMMYFUNCTION("""COMPUTED_VALUE"""),"26/02 Izin tidak di acc karena sdah kerja sama dengan provider BBT. 21/02 Peralihan mitra karena mitra tidak ada MP, dari mitra PT ALTONG ke PT MSI. 09/02 izin belum di FU oleh mitra altong. 28/01 Perizinan Ke RT/RW. 26/01  Mitra PT Altong menolak order a"&amp;"lasan MP, peralihan mitra. 21/01 plan fu perizinan tanggal 26 Jan")</f>
        <v>26/02 Izin tidak di acc karena sdah kerja sama dengan provider BBT. 21/02 Peralihan mitra karena mitra tidak ada MP, dari mitra PT ALTONG ke PT MSI. 09/02 izin belum di FU oleh mitra altong. 28/01 Perizinan Ke RT/RW. 26/01  Mitra PT Altong menolak order alasan MP, peralihan mitra. 21/01 plan fu perizinan tanggal 26 Jan</v>
      </c>
      <c r="R2115" s="228"/>
      <c r="S2115" s="11"/>
      <c r="T2115" s="11"/>
      <c r="U2115" s="11"/>
      <c r="V2115" s="229" t="str">
        <f>IFERROR(__xludf.DUMMYFUNCTION("""COMPUTED_VALUE"""),"GANI PRASTYO")</f>
        <v>GANI PRASTYO</v>
      </c>
      <c r="W2115" s="229" t="str">
        <f>IFERROR(__xludf.DUMMYFUNCTION("""COMPUTED_VALUE"""),"LEVITA INDRIYANI")</f>
        <v>LEVITA INDRIYANI</v>
      </c>
      <c r="X2115" s="229" t="str">
        <f>IFERROR(__xludf.DUMMYFUNCTION("""COMPUTED_VALUE"""),"BELUM GOLIVE")</f>
        <v>BELUM GOLIVE</v>
      </c>
      <c r="Y2115" s="229"/>
      <c r="Z2115" s="229" t="str">
        <f>IFERROR(__xludf.DUMMYFUNCTION("""COMPUTED_VALUE"""),"#N/A")</f>
        <v>#N/A</v>
      </c>
      <c r="AA2115" s="229"/>
      <c r="AB2115" s="229"/>
      <c r="AC2115" s="229"/>
      <c r="AD2115" s="232"/>
      <c r="AE2115" s="233"/>
      <c r="AF2115" s="54" t="str">
        <f>IFERROR(__xludf.DUMMYFUNCTION("""COMPUTED_VALUE"""),"Draft BA DROP")</f>
        <v>Draft BA DROP</v>
      </c>
      <c r="AG2115" s="54"/>
      <c r="AH2115" s="54"/>
      <c r="AI2115" s="55" t="str">
        <f t="shared" si="206"/>
        <v/>
      </c>
      <c r="AW2115" s="234"/>
      <c r="BP2115" s="11"/>
      <c r="BQ2115" s="11"/>
      <c r="BR2115" s="235"/>
      <c r="BV2115" s="158"/>
      <c r="BY2115" s="158"/>
      <c r="CB2115" s="158"/>
    </row>
    <row r="2116" ht="18.0" hidden="1" customHeight="1">
      <c r="A2116" s="222">
        <f>IFERROR(__xludf.DUMMYFUNCTION("""COMPUTED_VALUE"""),2026.0)</f>
        <v>2026</v>
      </c>
      <c r="B2116" s="221">
        <f>IFERROR(__xludf.DUMMYFUNCTION("""COMPUTED_VALUE"""),1.2018618E7)</f>
        <v>12018618</v>
      </c>
      <c r="C2116" s="222" t="str">
        <f>IFERROR(__xludf.DUMMYFUNCTION("""COMPUTED_VALUE"""),"SMU ODC-LBK-FAF D03 Desa Gajah_KIS")</f>
        <v>SMU ODC-LBK-FAF D03 Desa Gajah_KIS</v>
      </c>
      <c r="D2116" s="222" t="str">
        <f>IFERROR(__xludf.DUMMYFUNCTION("""COMPUTED_VALUE"""),"REGIONAL I")</f>
        <v>REGIONAL I</v>
      </c>
      <c r="E2116" s="222" t="str">
        <f>IFERROR(__xludf.DUMMYFUNCTION("""COMPUTED_VALUE"""),"SUMUT")</f>
        <v>SUMUT</v>
      </c>
      <c r="F2116" s="222" t="str">
        <f>IFERROR(__xludf.DUMMYFUNCTION("""COMPUTED_VALUE"""),"LBK")</f>
        <v>LBK</v>
      </c>
      <c r="G2116" s="222" t="str">
        <f>IFERROR(__xludf.DUMMYFUNCTION("""COMPUTED_VALUE"""),"SUMBAGUT")</f>
        <v>SUMBAGUT</v>
      </c>
      <c r="H2116" s="222" t="str">
        <f>IFERROR(__xludf.DUMMYFUNCTION("""COMPUTED_VALUE"""),"PEMATANG SIANTAR")</f>
        <v>PEMATANG SIANTAR</v>
      </c>
      <c r="I2116" s="222" t="str">
        <f>IFERROR(__xludf.DUMMYFUNCTION("""COMPUTED_VALUE"""),"Batch 2")</f>
        <v>Batch 2</v>
      </c>
      <c r="J2116" s="225">
        <f>IFERROR(__xludf.DUMMYFUNCTION("""COMPUTED_VALUE"""),10.0)</f>
        <v>10</v>
      </c>
      <c r="K2116" s="224">
        <f>IFERROR(__xludf.DUMMYFUNCTION("""COMPUTED_VALUE"""),80.0)</f>
        <v>80</v>
      </c>
      <c r="L2116" s="226">
        <f>IFERROR(__xludf.DUMMYFUNCTION("""COMPUTED_VALUE"""),1615406.0)</f>
        <v>1615406</v>
      </c>
      <c r="M2116" s="227">
        <f>IFERROR(__xludf.DUMMYFUNCTION("""COMPUTED_VALUE"""),1.29232442E8)</f>
        <v>129232442</v>
      </c>
      <c r="N2116" s="222" t="str">
        <f>IFERROR(__xludf.DUMMYFUNCTION("""COMPUTED_VALUE"""),"PT ARTHA MANDIRI BERSAMA")</f>
        <v>PT ARTHA MANDIRI BERSAMA</v>
      </c>
      <c r="O2116" s="222" t="str">
        <f>IFERROR(__xludf.DUMMYFUNCTION("""COMPUTED_VALUE"""),"8. UJI TERIMA")</f>
        <v>8. UJI TERIMA</v>
      </c>
      <c r="P2116" s="222" t="str">
        <f>IFERROR(__xludf.DUMMYFUNCTION("""COMPUTED_VALUE"""),"8.1 Proses UT")</f>
        <v>8.1 Proses UT</v>
      </c>
      <c r="Q2116" s="222" t="str">
        <f>IFERROR(__xludf.DUMMYFUNCTION("""COMPUTED_VALUE"""),"Golive, 6/2  proses valins 2 odp sisa 7 odp proses repair kabel exis,  5/2 sisa repair kabel exis lanjut cek redamn dan valins, 4/2 tanam tiang 2 seg (30 btg sisa 2 btg), penarikan KU 12 (4260 sisa 90),  ODP 9 belum progres,  2/2 tanam tiang 2 seg (30 btg"&amp;" sisa 29 btg), penarikan KU belum ada progres, pemasangan ODP blm ada progres, 1/2 prepair team untuk pengambilan matrial dari gudang, 30/1 prepair team untuk pengambilan matrial dari gudang, 28/1 proses tiket matrial, 27/1 proses req matrial, 26/1 menung"&amp;"gu req matrial, 23/1 menunggu info tif terkait cpp 1,3, dan plan menggunakan tiang 2 seg dengan cpp 1,2 ( sisa feeder 2 core  tidak tembus,), 22/1 pengajuan ke tif terkait cpp 1,3, ( sisa feeder 2 core  tidak tembus,) 21/1 menunggu info tif terkait cpp 1,"&amp;"3, 20/1 proses boq kml survey incloude kebutuh qe, sisa feeder 2 core  tidak tembus,19/1 menunggu report survey dari lapangan paralel boq kml, 15/1 menunggu report survey dari lapangan paralel boq kml, 14/01 prepare tim untuk penjadwalan survey, 13/01 pre"&amp;"pare tim untuk penjadwalan survey (07/01) Persiapan")</f>
        <v>Golive, 6/2  proses valins 2 odp sisa 7 odp proses repair kabel exis,  5/2 sisa repair kabel exis lanjut cek redamn dan valins, 4/2 tanam tiang 2 seg (30 btg sisa 2 btg), penarikan KU 12 (4260 sisa 90),  ODP 9 belum progres,  2/2 tanam tiang 2 seg (30 btg sisa 29 btg), penarikan KU belum ada progres, pemasangan ODP blm ada progres, 1/2 prepair team untuk pengambilan matrial dari gudang, 30/1 prepair team untuk pengambilan matrial dari gudang, 28/1 proses tiket matrial, 27/1 proses req matrial, 26/1 menunggu req matrial, 23/1 menunggu info tif terkait cpp 1,3, dan plan menggunakan tiang 2 seg dengan cpp 1,2 ( sisa feeder 2 core  tidak tembus,), 22/1 pengajuan ke tif terkait cpp 1,3, ( sisa feeder 2 core  tidak tembus,) 21/1 menunggu info tif terkait cpp 1,3, 20/1 proses boq kml survey incloude kebutuh qe, sisa feeder 2 core  tidak tembus,19/1 menunggu report survey dari lapangan paralel boq kml, 15/1 menunggu report survey dari lapangan paralel boq kml, 14/01 prepare tim untuk penjadwalan survey, 13/01 prepare tim untuk penjadwalan survey (07/01) Persiapan</v>
      </c>
      <c r="R2116" s="228">
        <f>IFERROR(__xludf.DUMMYFUNCTION("""COMPUTED_VALUE"""),46060.0)</f>
        <v>46060</v>
      </c>
      <c r="S2116" s="11"/>
      <c r="T2116" s="11"/>
      <c r="U2116" s="11" t="str">
        <f>IFERROR(__xludf.DUMMYFUNCTION("""COMPUTED_VALUE"""),"TIF-1396/2026")</f>
        <v>TIF-1396/2026</v>
      </c>
      <c r="V2116" s="229"/>
      <c r="W2116" s="229"/>
      <c r="X2116" s="229" t="str">
        <f>IFERROR(__xludf.DUMMYFUNCTION("""COMPUTED_VALUE"""),"GOLIVE")</f>
        <v>GOLIVE</v>
      </c>
      <c r="Y2116" s="229" t="str">
        <f>IFERROR(__xludf.DUMMYFUNCTION("""COMPUTED_VALUE"""),"DONE")</f>
        <v>DONE</v>
      </c>
      <c r="Z2116" s="229" t="str">
        <f>IFERROR(__xludf.DUMMYFUNCTION("""COMPUTED_VALUE"""),"#N/A")</f>
        <v>#N/A</v>
      </c>
      <c r="AA2116" s="229">
        <f>IFERROR(__xludf.DUMMYFUNCTION("""COMPUTED_VALUE"""),9.0)</f>
        <v>9</v>
      </c>
      <c r="AB2116" s="229"/>
      <c r="AC2116" s="229" t="str">
        <f>IFERROR(__xludf.DUMMYFUNCTION("""COMPUTED_VALUE"""),"9082710#9082715")</f>
        <v>9082710#9082715</v>
      </c>
      <c r="AD2116" s="232">
        <f>IFERROR(__xludf.DUMMYFUNCTION("""COMPUTED_VALUE"""),72.0)</f>
        <v>72</v>
      </c>
      <c r="AE2116" s="233">
        <f>IFERROR(__xludf.DUMMYFUNCTION("""COMPUTED_VALUE"""),46060.0)</f>
        <v>46060</v>
      </c>
      <c r="AF2116" s="54"/>
      <c r="AG2116" s="54"/>
      <c r="AH2116" s="54">
        <v>46060.0</v>
      </c>
      <c r="AI2116" s="55">
        <f t="shared" si="206"/>
        <v>0</v>
      </c>
      <c r="AW2116" s="234"/>
      <c r="BP2116" s="11"/>
      <c r="BQ2116" s="11"/>
      <c r="BR2116" s="235"/>
      <c r="BV2116" s="158"/>
      <c r="BY2116" s="158"/>
      <c r="CB2116" s="158"/>
    </row>
    <row r="2117" ht="18.0" hidden="1" customHeight="1">
      <c r="A2117" s="222">
        <f>IFERROR(__xludf.DUMMYFUNCTION("""COMPUTED_VALUE"""),2026.0)</f>
        <v>2026</v>
      </c>
      <c r="B2117" s="221">
        <f>IFERROR(__xludf.DUMMYFUNCTION("""COMPUTED_VALUE"""),1.1628775E7)</f>
        <v>11628775</v>
      </c>
      <c r="C2117" s="222" t="str">
        <f>IFERROR(__xludf.DUMMYFUNCTION("""COMPUTED_VALUE"""),"LPG PT3 JPP LAMPUNG TENGAH_94 BDA")</f>
        <v>LPG PT3 JPP LAMPUNG TENGAH_94 BDA</v>
      </c>
      <c r="D2117" s="222" t="str">
        <f>IFERROR(__xludf.DUMMYFUNCTION("""COMPUTED_VALUE"""),"REGIONAL I")</f>
        <v>REGIONAL I</v>
      </c>
      <c r="E2117" s="222" t="str">
        <f>IFERROR(__xludf.DUMMYFUNCTION("""COMPUTED_VALUE"""),"LAMPUNG")</f>
        <v>LAMPUNG</v>
      </c>
      <c r="F2117" s="222" t="str">
        <f>IFERROR(__xludf.DUMMYFUNCTION("""COMPUTED_VALUE"""),"BDA")</f>
        <v>BDA</v>
      </c>
      <c r="G2117" s="222" t="str">
        <f>IFERROR(__xludf.DUMMYFUNCTION("""COMPUTED_VALUE"""),"SUMBAGSEL")</f>
        <v>SUMBAGSEL</v>
      </c>
      <c r="H2117" s="222" t="str">
        <f>IFERROR(__xludf.DUMMYFUNCTION("""COMPUTED_VALUE"""),"LAMPUNG")</f>
        <v>LAMPUNG</v>
      </c>
      <c r="I2117" s="222" t="str">
        <f>IFERROR(__xludf.DUMMYFUNCTION("""COMPUTED_VALUE"""),"Batch 2")</f>
        <v>Batch 2</v>
      </c>
      <c r="J2117" s="225">
        <f>IFERROR(__xludf.DUMMYFUNCTION("""COMPUTED_VALUE"""),20.0)</f>
        <v>20</v>
      </c>
      <c r="K2117" s="224">
        <f>IFERROR(__xludf.DUMMYFUNCTION("""COMPUTED_VALUE"""),160.0)</f>
        <v>160</v>
      </c>
      <c r="L2117" s="226">
        <f>IFERROR(__xludf.DUMMYFUNCTION("""COMPUTED_VALUE"""),1615752.0)</f>
        <v>1615752</v>
      </c>
      <c r="M2117" s="227">
        <f>IFERROR(__xludf.DUMMYFUNCTION("""COMPUTED_VALUE"""),2.58520179E8)</f>
        <v>258520179</v>
      </c>
      <c r="N2117" s="222" t="str">
        <f>IFERROR(__xludf.DUMMYFUNCTION("""COMPUTED_VALUE"""),"PT KOPRASI PILAR UTAMA")</f>
        <v>PT KOPRASI PILAR UTAMA</v>
      </c>
      <c r="O2117" s="222" t="str">
        <f>IFERROR(__xludf.DUMMYFUNCTION("""COMPUTED_VALUE"""),"7. GOLIVE")</f>
        <v>7. GOLIVE</v>
      </c>
      <c r="P2117" s="222" t="str">
        <f>IFERROR(__xludf.DUMMYFUNCTION("""COMPUTED_VALUE"""),"7.2 Golive Full / OA / DONE OTB")</f>
        <v>7.2 Golive Full / OA / DONE OTB</v>
      </c>
      <c r="Q2117" s="222" t="str">
        <f>IFERROR(__xludf.DUMMYFUNCTION("""COMPUTED_VALUE"""),"27/4 proses valid 4, 22/4 proses perapihan cat dan cor, 20/4 proses penarikan kabel, plan fi 24/4, plan golive 25/4, 17/4 proses penanaman tiang, 09/04  plan matdel 13/4 dengan BA Manual 0 8/4 plan matdel 14/4, 06/04 Proses PR PO baru selesai aandwizing p"&amp;"ergantian mitra AUM 2/4 proses pengajuan PR/PO 
31/3 proses pengajuan PR/PO 
25/3  Progres perizinan pararel   Proses peralihan MITRA karena Mitra overload  27/2 PROSES AMD BUGET 
23/2 proses amf budget 18/2 insert cut FLHP GPON 3 - proses matdel 6/2   bu"&amp;"tuh penmabahan modul sllot olt 
30/1 butuh penmabahan modul sllot olt 
19/1 MINI OLT HABIS")</f>
        <v>27/4 proses valid 4, 22/4 proses perapihan cat dan cor, 20/4 proses penarikan kabel, plan fi 24/4, plan golive 25/4, 17/4 proses penanaman tiang, 09/04  plan matdel 13/4 dengan BA Manual 0 8/4 plan matdel 14/4, 06/04 Proses PR PO baru selesai aandwizing pergantian mitra AUM 2/4 proses pengajuan PR/PO 
31/3 proses pengajuan PR/PO 
25/3  Progres perizinan pararel   Proses peralihan MITRA karena Mitra overload  27/2 PROSES AMD BUGET 
23/2 proses amf budget 18/2 insert cut FLHP GPON 3 - proses matdel 6/2   butuh penmabahan modul sllot olt 
30/1 butuh penmabahan modul sllot olt 
19/1 MINI OLT HABIS</v>
      </c>
      <c r="R2117" s="228">
        <f>IFERROR(__xludf.DUMMYFUNCTION("""COMPUTED_VALUE"""),46140.0)</f>
        <v>46140</v>
      </c>
      <c r="S2117" s="11" t="str">
        <f>IFERROR(__xludf.DUMMYFUNCTION("""COMPUTED_VALUE"""),"APR")</f>
        <v>APR</v>
      </c>
      <c r="T2117" s="73"/>
      <c r="U2117" s="11" t="str">
        <f>IFERROR(__xludf.DUMMYFUNCTION("""COMPUTED_VALUE"""),"W02-456/2025")</f>
        <v>W02-456/2025</v>
      </c>
      <c r="V2117" s="229"/>
      <c r="W2117" s="229"/>
      <c r="X2117" s="229" t="str">
        <f>IFERROR(__xludf.DUMMYFUNCTION("""COMPUTED_VALUE"""),"GOLIVE")</f>
        <v>GOLIVE</v>
      </c>
      <c r="Y2117" s="229" t="str">
        <f>IFERROR(__xludf.DUMMYFUNCTION("""COMPUTED_VALUE"""),"DONE")</f>
        <v>DONE</v>
      </c>
      <c r="Z2117" s="229" t="str">
        <f>IFERROR(__xludf.DUMMYFUNCTION("""COMPUTED_VALUE"""),"#N/A")</f>
        <v>#N/A</v>
      </c>
      <c r="AA2117" s="229">
        <f>IFERROR(__xludf.DUMMYFUNCTION("""COMPUTED_VALUE"""),24.0)</f>
        <v>24</v>
      </c>
      <c r="AB2117" s="229"/>
      <c r="AC2117" s="229" t="str">
        <f>IFERROR(__xludf.DUMMYFUNCTION("""COMPUTED_VALUE"""),"9315871#9315876")</f>
        <v>9315871#9315876</v>
      </c>
      <c r="AD2117" s="232">
        <f>IFERROR(__xludf.DUMMYFUNCTION("""COMPUTED_VALUE"""),192.0)</f>
        <v>192</v>
      </c>
      <c r="AE2117" s="233">
        <f>IFERROR(__xludf.DUMMYFUNCTION("""COMPUTED_VALUE"""),46139.0)</f>
        <v>46139</v>
      </c>
      <c r="AF2117" s="54"/>
      <c r="AG2117" s="54"/>
      <c r="AH2117" s="54">
        <v>46142.0</v>
      </c>
      <c r="AI2117" s="55">
        <f t="shared" si="206"/>
        <v>1</v>
      </c>
      <c r="AW2117" s="234"/>
      <c r="BP2117" s="11"/>
      <c r="BQ2117" s="11"/>
      <c r="BR2117" s="235"/>
      <c r="BV2117" s="158"/>
      <c r="BY2117" s="158"/>
      <c r="CB2117" s="158"/>
    </row>
    <row r="2118" ht="18.0" hidden="1" customHeight="1">
      <c r="A2118" s="222">
        <f>IFERROR(__xludf.DUMMYFUNCTION("""COMPUTED_VALUE"""),2026.0)</f>
        <v>2026</v>
      </c>
      <c r="B2118" s="221">
        <f>IFERROR(__xludf.DUMMYFUNCTION("""COMPUTED_VALUE"""),1.1533327E7)</f>
        <v>11533327</v>
      </c>
      <c r="C2118" s="222" t="str">
        <f>IFERROR(__xludf.DUMMYFUNCTION("""COMPUTED_VALUE"""),"BNK-PT3-BNC-JPPTSEL- JL. GEDANG 2")</f>
        <v>BNK-PT3-BNC-JPPTSEL- JL. GEDANG 2</v>
      </c>
      <c r="D2118" s="222" t="str">
        <f>IFERROR(__xludf.DUMMYFUNCTION("""COMPUTED_VALUE"""),"REGIONAL I")</f>
        <v>REGIONAL I</v>
      </c>
      <c r="E2118" s="222" t="str">
        <f>IFERROR(__xludf.DUMMYFUNCTION("""COMPUTED_VALUE"""),"BENGKULU")</f>
        <v>BENGKULU</v>
      </c>
      <c r="F2118" s="222" t="str">
        <f>IFERROR(__xludf.DUMMYFUNCTION("""COMPUTED_VALUE"""),"BNC")</f>
        <v>BNC</v>
      </c>
      <c r="G2118" s="222" t="str">
        <f>IFERROR(__xludf.DUMMYFUNCTION("""COMPUTED_VALUE"""),"SUMBAGSEL")</f>
        <v>SUMBAGSEL</v>
      </c>
      <c r="H2118" s="222" t="str">
        <f>IFERROR(__xludf.DUMMYFUNCTION("""COMPUTED_VALUE"""),"BENGKULU")</f>
        <v>BENGKULU</v>
      </c>
      <c r="I2118" s="222" t="str">
        <f>IFERROR(__xludf.DUMMYFUNCTION("""COMPUTED_VALUE"""),"Batch 2")</f>
        <v>Batch 2</v>
      </c>
      <c r="J2118" s="225">
        <f>IFERROR(__xludf.DUMMYFUNCTION("""COMPUTED_VALUE"""),13.0)</f>
        <v>13</v>
      </c>
      <c r="K2118" s="224">
        <f>IFERROR(__xludf.DUMMYFUNCTION("""COMPUTED_VALUE"""),104.0)</f>
        <v>104</v>
      </c>
      <c r="L2118" s="226">
        <f>IFERROR(__xludf.DUMMYFUNCTION("""COMPUTED_VALUE"""),605504.0)</f>
        <v>605504</v>
      </c>
      <c r="M2118" s="227">
        <f>IFERROR(__xludf.DUMMYFUNCTION("""COMPUTED_VALUE"""),6.2972398E7)</f>
        <v>62972398</v>
      </c>
      <c r="N2118" s="222" t="str">
        <f>IFERROR(__xludf.DUMMYFUNCTION("""COMPUTED_VALUE"""),"SWAKELOLA")</f>
        <v>SWAKELOLA</v>
      </c>
      <c r="O2118" s="222" t="str">
        <f>IFERROR(__xludf.DUMMYFUNCTION("""COMPUTED_VALUE"""),"0. DROP")</f>
        <v>0. DROP</v>
      </c>
      <c r="P2118" s="222" t="str">
        <f>IFERROR(__xludf.DUMMYFUNCTION("""COMPUTED_VALUE"""),"0.2 Tidak Dapat Izin Warga/Kades/Lurah/Developer")</f>
        <v>0.2 Tidak Dapat Izin Warga/Kades/Lurah/Developer</v>
      </c>
      <c r="Q2118" s="222" t="str">
        <f>IFERROR(__xludf.DUMMYFUNCTION("""COMPUTED_VALUE""")," 23/01 : Drop by TSEL22/2 tidak mendapat IZIN")</f>
        <v> 23/01 : Drop by TSEL22/2 tidak mendapat IZIN</v>
      </c>
      <c r="R2118" s="228"/>
      <c r="S2118" s="11"/>
      <c r="T2118" s="11"/>
      <c r="U2118" s="11"/>
      <c r="V2118" s="229"/>
      <c r="W2118" s="229"/>
      <c r="X2118" s="229" t="str">
        <f>IFERROR(__xludf.DUMMYFUNCTION("""COMPUTED_VALUE"""),"BELUM GOLIVE")</f>
        <v>BELUM GOLIVE</v>
      </c>
      <c r="Y2118" s="229"/>
      <c r="Z2118" s="229" t="str">
        <f>IFERROR(__xludf.DUMMYFUNCTION("""COMPUTED_VALUE"""),"#N/A")</f>
        <v>#N/A</v>
      </c>
      <c r="AA2118" s="229"/>
      <c r="AB2118" s="229"/>
      <c r="AC2118" s="229"/>
      <c r="AD2118" s="232"/>
      <c r="AE2118" s="233"/>
      <c r="AF2118" s="54" t="str">
        <f>IFERROR(__xludf.DUMMYFUNCTION("""COMPUTED_VALUE"""),"Draft BA DROP")</f>
        <v>Draft BA DROP</v>
      </c>
      <c r="AG2118" s="54"/>
      <c r="AH2118" s="54"/>
      <c r="AI2118" s="55" t="str">
        <f t="shared" si="206"/>
        <v/>
      </c>
      <c r="AW2118" s="234"/>
      <c r="BP2118" s="11"/>
      <c r="BQ2118" s="11"/>
      <c r="BR2118" s="235"/>
      <c r="BV2118" s="158"/>
      <c r="BY2118" s="158"/>
      <c r="CB2118" s="158"/>
    </row>
    <row r="2119" ht="18.0" hidden="1" customHeight="1">
      <c r="A2119" s="222">
        <f>IFERROR(__xludf.DUMMYFUNCTION("""COMPUTED_VALUE"""),2026.0)</f>
        <v>2026</v>
      </c>
      <c r="B2119" s="221">
        <f>IFERROR(__xludf.DUMMYFUNCTION("""COMPUTED_VALUE"""),1.1536174E7)</f>
        <v>11536174</v>
      </c>
      <c r="C2119" s="222" t="str">
        <f>IFERROR(__xludf.DUMMYFUNCTION("""COMPUTED_VALUE"""),"BNK-PT3 BRC-BNC-JPPTSEL- KEBUN TEBENG 2")</f>
        <v>BNK-PT3 BRC-BNC-JPPTSEL- KEBUN TEBENG 2</v>
      </c>
      <c r="D2119" s="222" t="str">
        <f>IFERROR(__xludf.DUMMYFUNCTION("""COMPUTED_VALUE"""),"REGIONAL I")</f>
        <v>REGIONAL I</v>
      </c>
      <c r="E2119" s="222" t="str">
        <f>IFERROR(__xludf.DUMMYFUNCTION("""COMPUTED_VALUE"""),"BENGKULU")</f>
        <v>BENGKULU</v>
      </c>
      <c r="F2119" s="222" t="str">
        <f>IFERROR(__xludf.DUMMYFUNCTION("""COMPUTED_VALUE"""),"BNC")</f>
        <v>BNC</v>
      </c>
      <c r="G2119" s="222" t="str">
        <f>IFERROR(__xludf.DUMMYFUNCTION("""COMPUTED_VALUE"""),"SUMBAGSEL")</f>
        <v>SUMBAGSEL</v>
      </c>
      <c r="H2119" s="222" t="str">
        <f>IFERROR(__xludf.DUMMYFUNCTION("""COMPUTED_VALUE"""),"BENGKULU")</f>
        <v>BENGKULU</v>
      </c>
      <c r="I2119" s="222" t="str">
        <f>IFERROR(__xludf.DUMMYFUNCTION("""COMPUTED_VALUE"""),"Batch 2")</f>
        <v>Batch 2</v>
      </c>
      <c r="J2119" s="225">
        <f>IFERROR(__xludf.DUMMYFUNCTION("""COMPUTED_VALUE"""),8.0)</f>
        <v>8</v>
      </c>
      <c r="K2119" s="224">
        <f>IFERROR(__xludf.DUMMYFUNCTION("""COMPUTED_VALUE"""),64.0)</f>
        <v>64</v>
      </c>
      <c r="L2119" s="226">
        <f>IFERROR(__xludf.DUMMYFUNCTION("""COMPUTED_VALUE"""),743299.0)</f>
        <v>743299</v>
      </c>
      <c r="M2119" s="227">
        <f>IFERROR(__xludf.DUMMYFUNCTION("""COMPUTED_VALUE"""),4.7571073E7)</f>
        <v>47571073</v>
      </c>
      <c r="N2119" s="222" t="str">
        <f>IFERROR(__xludf.DUMMYFUNCTION("""COMPUTED_VALUE"""),"SWAKELOLA")</f>
        <v>SWAKELOLA</v>
      </c>
      <c r="O2119" s="222" t="str">
        <f>IFERROR(__xludf.DUMMYFUNCTION("""COMPUTED_VALUE"""),"0. DROP")</f>
        <v>0. DROP</v>
      </c>
      <c r="P2119" s="222" t="str">
        <f>IFERROR(__xludf.DUMMYFUNCTION("""COMPUTED_VALUE"""),"0.2 Tidak Dapat Izin Warga/Kades/Lurah/Developer")</f>
        <v>0.2 Tidak Dapat Izin Warga/Kades/Lurah/Developer</v>
      </c>
      <c r="Q2119" s="222" t="str">
        <f>IFERROR(__xludf.DUMMYFUNCTION("""COMPUTED_VALUE""")," 23/01 : Drop by TSEL22/2 tidak mendapat IZIN")</f>
        <v> 23/01 : Drop by TSEL22/2 tidak mendapat IZIN</v>
      </c>
      <c r="R2119" s="228"/>
      <c r="S2119" s="11"/>
      <c r="T2119" s="11"/>
      <c r="U2119" s="11"/>
      <c r="V2119" s="229"/>
      <c r="W2119" s="229"/>
      <c r="X2119" s="229" t="str">
        <f>IFERROR(__xludf.DUMMYFUNCTION("""COMPUTED_VALUE"""),"BELUM GOLIVE")</f>
        <v>BELUM GOLIVE</v>
      </c>
      <c r="Y2119" s="229"/>
      <c r="Z2119" s="229" t="str">
        <f>IFERROR(__xludf.DUMMYFUNCTION("""COMPUTED_VALUE"""),"#N/A")</f>
        <v>#N/A</v>
      </c>
      <c r="AA2119" s="229"/>
      <c r="AB2119" s="229"/>
      <c r="AC2119" s="229"/>
      <c r="AD2119" s="232"/>
      <c r="AE2119" s="233"/>
      <c r="AF2119" s="54" t="str">
        <f>IFERROR(__xludf.DUMMYFUNCTION("""COMPUTED_VALUE"""),"Draft BA DROP")</f>
        <v>Draft BA DROP</v>
      </c>
      <c r="AG2119" s="54"/>
      <c r="AH2119" s="54"/>
      <c r="AI2119" s="55" t="str">
        <f t="shared" si="206"/>
        <v/>
      </c>
      <c r="AW2119" s="234"/>
      <c r="BP2119" s="11"/>
      <c r="BQ2119" s="11"/>
      <c r="BR2119" s="235"/>
      <c r="BV2119" s="158"/>
      <c r="BY2119" s="158"/>
      <c r="CB2119" s="158"/>
    </row>
    <row r="2120" ht="18.0" hidden="1" customHeight="1">
      <c r="A2120" s="222">
        <f>IFERROR(__xludf.DUMMYFUNCTION("""COMPUTED_VALUE"""),2026.0)</f>
        <v>2026</v>
      </c>
      <c r="B2120" s="221">
        <f>IFERROR(__xludf.DUMMYFUNCTION("""COMPUTED_VALUE"""),1.1536815E7)</f>
        <v>11536815</v>
      </c>
      <c r="C2120" s="222" t="str">
        <f>IFERROR(__xludf.DUMMYFUNCTION("""COMPUTED_VALUE"""),"BNK-PT3-BNC-JPPTSEL- KP. KELAWI")</f>
        <v>BNK-PT3-BNC-JPPTSEL- KP. KELAWI</v>
      </c>
      <c r="D2120" s="222" t="str">
        <f>IFERROR(__xludf.DUMMYFUNCTION("""COMPUTED_VALUE"""),"REGIONAL I")</f>
        <v>REGIONAL I</v>
      </c>
      <c r="E2120" s="222" t="str">
        <f>IFERROR(__xludf.DUMMYFUNCTION("""COMPUTED_VALUE"""),"BENGKULU")</f>
        <v>BENGKULU</v>
      </c>
      <c r="F2120" s="222" t="str">
        <f>IFERROR(__xludf.DUMMYFUNCTION("""COMPUTED_VALUE"""),"BNC")</f>
        <v>BNC</v>
      </c>
      <c r="G2120" s="222" t="str">
        <f>IFERROR(__xludf.DUMMYFUNCTION("""COMPUTED_VALUE"""),"SUMBAGSEL")</f>
        <v>SUMBAGSEL</v>
      </c>
      <c r="H2120" s="222" t="str">
        <f>IFERROR(__xludf.DUMMYFUNCTION("""COMPUTED_VALUE"""),"BENGKULU")</f>
        <v>BENGKULU</v>
      </c>
      <c r="I2120" s="222" t="str">
        <f>IFERROR(__xludf.DUMMYFUNCTION("""COMPUTED_VALUE"""),"Batch 2")</f>
        <v>Batch 2</v>
      </c>
      <c r="J2120" s="225">
        <f>IFERROR(__xludf.DUMMYFUNCTION("""COMPUTED_VALUE"""),8.0)</f>
        <v>8</v>
      </c>
      <c r="K2120" s="224">
        <f>IFERROR(__xludf.DUMMYFUNCTION("""COMPUTED_VALUE"""),64.0)</f>
        <v>64</v>
      </c>
      <c r="L2120" s="226">
        <f>IFERROR(__xludf.DUMMYFUNCTION("""COMPUTED_VALUE"""),798148.0)</f>
        <v>798148</v>
      </c>
      <c r="M2120" s="227">
        <f>IFERROR(__xludf.DUMMYFUNCTION("""COMPUTED_VALUE"""),5.1081423E7)</f>
        <v>51081423</v>
      </c>
      <c r="N2120" s="222" t="str">
        <f>IFERROR(__xludf.DUMMYFUNCTION("""COMPUTED_VALUE"""),"SWAKELOLA")</f>
        <v>SWAKELOLA</v>
      </c>
      <c r="O2120" s="222" t="str">
        <f>IFERROR(__xludf.DUMMYFUNCTION("""COMPUTED_VALUE"""),"0. DROP")</f>
        <v>0. DROP</v>
      </c>
      <c r="P2120" s="222" t="str">
        <f>IFERROR(__xludf.DUMMYFUNCTION("""COMPUTED_VALUE"""),"0.2 Tidak Dapat Izin Warga/Kades/Lurah/Developer")</f>
        <v>0.2 Tidak Dapat Izin Warga/Kades/Lurah/Developer</v>
      </c>
      <c r="Q2120" s="222" t="str">
        <f>IFERROR(__xludf.DUMMYFUNCTION("""COMPUTED_VALUE""")," 23/01 : Drop by TSEL22/2 tidak mendapat IZIN")</f>
        <v> 23/01 : Drop by TSEL22/2 tidak mendapat IZIN</v>
      </c>
      <c r="R2120" s="228"/>
      <c r="S2120" s="11"/>
      <c r="T2120" s="11"/>
      <c r="U2120" s="11"/>
      <c r="V2120" s="229"/>
      <c r="W2120" s="229"/>
      <c r="X2120" s="229" t="str">
        <f>IFERROR(__xludf.DUMMYFUNCTION("""COMPUTED_VALUE"""),"BELUM GOLIVE")</f>
        <v>BELUM GOLIVE</v>
      </c>
      <c r="Y2120" s="229"/>
      <c r="Z2120" s="229" t="str">
        <f>IFERROR(__xludf.DUMMYFUNCTION("""COMPUTED_VALUE"""),"#N/A")</f>
        <v>#N/A</v>
      </c>
      <c r="AA2120" s="229"/>
      <c r="AB2120" s="229"/>
      <c r="AC2120" s="229"/>
      <c r="AD2120" s="232"/>
      <c r="AE2120" s="233"/>
      <c r="AF2120" s="54" t="str">
        <f>IFERROR(__xludf.DUMMYFUNCTION("""COMPUTED_VALUE"""),"Draft BA DROP")</f>
        <v>Draft BA DROP</v>
      </c>
      <c r="AG2120" s="54"/>
      <c r="AH2120" s="54"/>
      <c r="AI2120" s="55" t="str">
        <f t="shared" si="206"/>
        <v/>
      </c>
      <c r="AW2120" s="234"/>
      <c r="BP2120" s="11"/>
      <c r="BQ2120" s="11"/>
      <c r="BR2120" s="235"/>
      <c r="BV2120" s="158"/>
      <c r="BY2120" s="158"/>
      <c r="CB2120" s="158"/>
    </row>
    <row r="2121" ht="18.0" hidden="1" customHeight="1">
      <c r="A2121" s="222">
        <f>IFERROR(__xludf.DUMMYFUNCTION("""COMPUTED_VALUE"""),2026.0)</f>
        <v>2026</v>
      </c>
      <c r="B2121" s="221">
        <f>IFERROR(__xludf.DUMMYFUNCTION("""COMPUTED_VALUE"""),1.1541065E7)</f>
        <v>11541065</v>
      </c>
      <c r="C2121" s="222" t="str">
        <f>IFERROR(__xludf.DUMMYFUNCTION("""COMPUTED_VALUE"""),"BNK-PT3-BNC-FBB-BENTIRING PERMAI")</f>
        <v>BNK-PT3-BNC-FBB-BENTIRING PERMAI</v>
      </c>
      <c r="D2121" s="222" t="str">
        <f>IFERROR(__xludf.DUMMYFUNCTION("""COMPUTED_VALUE"""),"REGIONAL I")</f>
        <v>REGIONAL I</v>
      </c>
      <c r="E2121" s="222" t="str">
        <f>IFERROR(__xludf.DUMMYFUNCTION("""COMPUTED_VALUE"""),"BENGKULU")</f>
        <v>BENGKULU</v>
      </c>
      <c r="F2121" s="222" t="str">
        <f>IFERROR(__xludf.DUMMYFUNCTION("""COMPUTED_VALUE"""),"BNC")</f>
        <v>BNC</v>
      </c>
      <c r="G2121" s="222" t="str">
        <f>IFERROR(__xludf.DUMMYFUNCTION("""COMPUTED_VALUE"""),"SUMBAGSEL")</f>
        <v>SUMBAGSEL</v>
      </c>
      <c r="H2121" s="222" t="str">
        <f>IFERROR(__xludf.DUMMYFUNCTION("""COMPUTED_VALUE"""),"BENGKULU")</f>
        <v>BENGKULU</v>
      </c>
      <c r="I2121" s="222" t="str">
        <f>IFERROR(__xludf.DUMMYFUNCTION("""COMPUTED_VALUE"""),"Batch 2")</f>
        <v>Batch 2</v>
      </c>
      <c r="J2121" s="225">
        <f>IFERROR(__xludf.DUMMYFUNCTION("""COMPUTED_VALUE"""),19.0)</f>
        <v>19</v>
      </c>
      <c r="K2121" s="224">
        <f>IFERROR(__xludf.DUMMYFUNCTION("""COMPUTED_VALUE"""),152.0)</f>
        <v>152</v>
      </c>
      <c r="L2121" s="226">
        <f>IFERROR(__xludf.DUMMYFUNCTION("""COMPUTED_VALUE"""),861747.0)</f>
        <v>861747</v>
      </c>
      <c r="M2121" s="227">
        <f>IFERROR(__xludf.DUMMYFUNCTION("""COMPUTED_VALUE"""),1.30985517E8)</f>
        <v>130985517</v>
      </c>
      <c r="N2121" s="222" t="str">
        <f>IFERROR(__xludf.DUMMYFUNCTION("""COMPUTED_VALUE"""),"PT Raharja Prakarsa Nusantara")</f>
        <v>PT Raharja Prakarsa Nusantara</v>
      </c>
      <c r="O2121" s="222" t="str">
        <f>IFERROR(__xludf.DUMMYFUNCTION("""COMPUTED_VALUE"""),"0. DROP")</f>
        <v>0. DROP</v>
      </c>
      <c r="P2121" s="222" t="str">
        <f>IFERROR(__xludf.DUMMYFUNCTION("""COMPUTED_VALUE"""),"0.2 Tidak Dapat Izin Warga/Kades/Lurah/Developer")</f>
        <v>0.2 Tidak Dapat Izin Warga/Kades/Lurah/Developer</v>
      </c>
      <c r="Q2121" s="222" t="str">
        <f>IFERROR(__xludf.DUMMYFUNCTION("""COMPUTED_VALUE""")," 23/01 : Drop by TSEL22/2 tidak mendapat IZIN")</f>
        <v> 23/01 : Drop by TSEL22/2 tidak mendapat IZIN</v>
      </c>
      <c r="R2121" s="228"/>
      <c r="S2121" s="11"/>
      <c r="T2121" s="11"/>
      <c r="U2121" s="11"/>
      <c r="V2121" s="229"/>
      <c r="W2121" s="229"/>
      <c r="X2121" s="229" t="str">
        <f>IFERROR(__xludf.DUMMYFUNCTION("""COMPUTED_VALUE"""),"BELUM GOLIVE")</f>
        <v>BELUM GOLIVE</v>
      </c>
      <c r="Y2121" s="229"/>
      <c r="Z2121" s="229" t="str">
        <f>IFERROR(__xludf.DUMMYFUNCTION("""COMPUTED_VALUE"""),"#N/A")</f>
        <v>#N/A</v>
      </c>
      <c r="AA2121" s="229"/>
      <c r="AB2121" s="229"/>
      <c r="AC2121" s="229"/>
      <c r="AD2121" s="232"/>
      <c r="AE2121" s="233"/>
      <c r="AF2121" s="54" t="str">
        <f>IFERROR(__xludf.DUMMYFUNCTION("""COMPUTED_VALUE"""),"Draft BA DROP")</f>
        <v>Draft BA DROP</v>
      </c>
      <c r="AG2121" s="54"/>
      <c r="AH2121" s="54"/>
      <c r="AI2121" s="55" t="str">
        <f t="shared" si="206"/>
        <v/>
      </c>
      <c r="AW2121" s="234"/>
      <c r="BP2121" s="11"/>
      <c r="BQ2121" s="11"/>
      <c r="BR2121" s="235"/>
      <c r="BV2121" s="158"/>
      <c r="BY2121" s="158"/>
      <c r="CB2121" s="158"/>
    </row>
    <row r="2122" ht="18.0" hidden="1" customHeight="1">
      <c r="A2122" s="222">
        <f>IFERROR(__xludf.DUMMYFUNCTION("""COMPUTED_VALUE"""),2026.0)</f>
        <v>2026</v>
      </c>
      <c r="B2122" s="221">
        <f>IFERROR(__xludf.DUMMYFUNCTION("""COMPUTED_VALUE"""),1.1445575E7)</f>
        <v>11445575</v>
      </c>
      <c r="C2122" s="222" t="str">
        <f>IFERROR(__xludf.DUMMYFUNCTION("""COMPUTED_VALUE"""),"BNK-PT3 BRC-PDW-FDH-JPPTSEL-PAGAR DEWA 3")</f>
        <v>BNK-PT3 BRC-PDW-FDH-JPPTSEL-PAGAR DEWA 3</v>
      </c>
      <c r="D2122" s="222" t="str">
        <f>IFERROR(__xludf.DUMMYFUNCTION("""COMPUTED_VALUE"""),"REGIONAL I")</f>
        <v>REGIONAL I</v>
      </c>
      <c r="E2122" s="222" t="str">
        <f>IFERROR(__xludf.DUMMYFUNCTION("""COMPUTED_VALUE"""),"BENGKULU")</f>
        <v>BENGKULU</v>
      </c>
      <c r="F2122" s="222" t="str">
        <f>IFERROR(__xludf.DUMMYFUNCTION("""COMPUTED_VALUE"""),"PDW")</f>
        <v>PDW</v>
      </c>
      <c r="G2122" s="222" t="str">
        <f>IFERROR(__xludf.DUMMYFUNCTION("""COMPUTED_VALUE"""),"SUMBAGSEL")</f>
        <v>SUMBAGSEL</v>
      </c>
      <c r="H2122" s="222" t="str">
        <f>IFERROR(__xludf.DUMMYFUNCTION("""COMPUTED_VALUE"""),"BENGKULU")</f>
        <v>BENGKULU</v>
      </c>
      <c r="I2122" s="222" t="str">
        <f>IFERROR(__xludf.DUMMYFUNCTION("""COMPUTED_VALUE"""),"Batch 2")</f>
        <v>Batch 2</v>
      </c>
      <c r="J2122" s="225">
        <f>IFERROR(__xludf.DUMMYFUNCTION("""COMPUTED_VALUE"""),8.0)</f>
        <v>8</v>
      </c>
      <c r="K2122" s="224">
        <f>IFERROR(__xludf.DUMMYFUNCTION("""COMPUTED_VALUE"""),64.0)</f>
        <v>64</v>
      </c>
      <c r="L2122" s="226">
        <f>IFERROR(__xludf.DUMMYFUNCTION("""COMPUTED_VALUE"""),1076247.0)</f>
        <v>1076247</v>
      </c>
      <c r="M2122" s="227">
        <f>IFERROR(__xludf.DUMMYFUNCTION("""COMPUTED_VALUE"""),6.8879773E7)</f>
        <v>68879773</v>
      </c>
      <c r="N2122" s="222" t="str">
        <f>IFERROR(__xludf.DUMMYFUNCTION("""COMPUTED_VALUE"""),"PT JAGO MULTI DIMENSI")</f>
        <v>PT JAGO MULTI DIMENSI</v>
      </c>
      <c r="O2122" s="222" t="str">
        <f>IFERROR(__xludf.DUMMYFUNCTION("""COMPUTED_VALUE"""),"0. DROP")</f>
        <v>0. DROP</v>
      </c>
      <c r="P2122" s="222" t="str">
        <f>IFERROR(__xludf.DUMMYFUNCTION("""COMPUTED_VALUE"""),"0.2 Tidak Dapat Izin Warga/Kades/Lurah/Developer")</f>
        <v>0.2 Tidak Dapat Izin Warga/Kades/Lurah/Developer</v>
      </c>
      <c r="Q2122" s="222" t="str">
        <f>IFERROR(__xludf.DUMMYFUNCTION("""COMPUTED_VALUE""")," 23/01 : Drop by TSEL22/2 tidak mendapat IZIN")</f>
        <v> 23/01 : Drop by TSEL22/2 tidak mendapat IZIN</v>
      </c>
      <c r="R2122" s="228"/>
      <c r="S2122" s="11"/>
      <c r="T2122" s="11"/>
      <c r="U2122" s="11"/>
      <c r="V2122" s="229"/>
      <c r="W2122" s="229"/>
      <c r="X2122" s="229" t="str">
        <f>IFERROR(__xludf.DUMMYFUNCTION("""COMPUTED_VALUE"""),"BELUM GOLIVE")</f>
        <v>BELUM GOLIVE</v>
      </c>
      <c r="Y2122" s="229"/>
      <c r="Z2122" s="229" t="str">
        <f>IFERROR(__xludf.DUMMYFUNCTION("""COMPUTED_VALUE"""),"#N/A")</f>
        <v>#N/A</v>
      </c>
      <c r="AA2122" s="229"/>
      <c r="AB2122" s="229"/>
      <c r="AC2122" s="229"/>
      <c r="AD2122" s="232"/>
      <c r="AE2122" s="233"/>
      <c r="AF2122" s="54" t="str">
        <f>IFERROR(__xludf.DUMMYFUNCTION("""COMPUTED_VALUE"""),"Draft BA DROP")</f>
        <v>Draft BA DROP</v>
      </c>
      <c r="AG2122" s="54"/>
      <c r="AH2122" s="54"/>
      <c r="AI2122" s="55" t="str">
        <f t="shared" si="206"/>
        <v/>
      </c>
      <c r="AW2122" s="234"/>
      <c r="BP2122" s="11"/>
      <c r="BQ2122" s="11"/>
      <c r="BR2122" s="235"/>
      <c r="BV2122" s="158"/>
      <c r="BY2122" s="158"/>
      <c r="CB2122" s="158"/>
    </row>
    <row r="2123" ht="18.0" hidden="1" customHeight="1">
      <c r="A2123" s="222">
        <f>IFERROR(__xludf.DUMMYFUNCTION("""COMPUTED_VALUE"""),2026.0)</f>
        <v>2026</v>
      </c>
      <c r="B2123" s="221">
        <f>IFERROR(__xludf.DUMMYFUNCTION("""COMPUTED_VALUE"""),1.1483106E7)</f>
        <v>11483106</v>
      </c>
      <c r="C2123" s="222" t="str">
        <f>IFERROR(__xludf.DUMMYFUNCTION("""COMPUTED_VALUE"""),"BNK-PT3-BRC-JPPTSEL-SUMUR DEWA-PDW-FA")</f>
        <v>BNK-PT3-BRC-JPPTSEL-SUMUR DEWA-PDW-FA</v>
      </c>
      <c r="D2123" s="222" t="str">
        <f>IFERROR(__xludf.DUMMYFUNCTION("""COMPUTED_VALUE"""),"REGIONAL I")</f>
        <v>REGIONAL I</v>
      </c>
      <c r="E2123" s="222" t="str">
        <f>IFERROR(__xludf.DUMMYFUNCTION("""COMPUTED_VALUE"""),"BENGKULU")</f>
        <v>BENGKULU</v>
      </c>
      <c r="F2123" s="222" t="str">
        <f>IFERROR(__xludf.DUMMYFUNCTION("""COMPUTED_VALUE"""),"PDW")</f>
        <v>PDW</v>
      </c>
      <c r="G2123" s="222" t="str">
        <f>IFERROR(__xludf.DUMMYFUNCTION("""COMPUTED_VALUE"""),"SUMBAGSEL")</f>
        <v>SUMBAGSEL</v>
      </c>
      <c r="H2123" s="222" t="str">
        <f>IFERROR(__xludf.DUMMYFUNCTION("""COMPUTED_VALUE"""),"BENGKULU")</f>
        <v>BENGKULU</v>
      </c>
      <c r="I2123" s="222" t="str">
        <f>IFERROR(__xludf.DUMMYFUNCTION("""COMPUTED_VALUE"""),"Batch 2")</f>
        <v>Batch 2</v>
      </c>
      <c r="J2123" s="225">
        <f>IFERROR(__xludf.DUMMYFUNCTION("""COMPUTED_VALUE"""),9.0)</f>
        <v>9</v>
      </c>
      <c r="K2123" s="224">
        <f>IFERROR(__xludf.DUMMYFUNCTION("""COMPUTED_VALUE"""),72.0)</f>
        <v>72</v>
      </c>
      <c r="L2123" s="226">
        <f>IFERROR(__xludf.DUMMYFUNCTION("""COMPUTED_VALUE"""),1080550.0)</f>
        <v>1080550</v>
      </c>
      <c r="M2123" s="227">
        <f>IFERROR(__xludf.DUMMYFUNCTION("""COMPUTED_VALUE"""),7.7799573E7)</f>
        <v>77799573</v>
      </c>
      <c r="N2123" s="222" t="str">
        <f>IFERROR(__xludf.DUMMYFUNCTION("""COMPUTED_VALUE"""),"PT JAGO MULTI DIMENSI")</f>
        <v>PT JAGO MULTI DIMENSI</v>
      </c>
      <c r="O2123" s="222" t="str">
        <f>IFERROR(__xludf.DUMMYFUNCTION("""COMPUTED_VALUE"""),"0. DROP")</f>
        <v>0. DROP</v>
      </c>
      <c r="P2123" s="222" t="str">
        <f>IFERROR(__xludf.DUMMYFUNCTION("""COMPUTED_VALUE"""),"0.2 Tidak Dapat Izin Warga/Kades/Lurah/Developer")</f>
        <v>0.2 Tidak Dapat Izin Warga/Kades/Lurah/Developer</v>
      </c>
      <c r="Q2123" s="222" t="str">
        <f>IFERROR(__xludf.DUMMYFUNCTION("""COMPUTED_VALUE""")," 23/01 : Redesain PT3 // 22/1 tidak mendapat izin tanam tiang dari warga setempat")</f>
        <v> 23/01 : Redesain PT3 // 22/1 tidak mendapat izin tanam tiang dari warga setempat</v>
      </c>
      <c r="R2123" s="228"/>
      <c r="S2123" s="11"/>
      <c r="T2123" s="11"/>
      <c r="U2123" s="11"/>
      <c r="V2123" s="229"/>
      <c r="W2123" s="229"/>
      <c r="X2123" s="229" t="str">
        <f>IFERROR(__xludf.DUMMYFUNCTION("""COMPUTED_VALUE"""),"BELUM GOLIVE")</f>
        <v>BELUM GOLIVE</v>
      </c>
      <c r="Y2123" s="229"/>
      <c r="Z2123" s="229" t="str">
        <f>IFERROR(__xludf.DUMMYFUNCTION("""COMPUTED_VALUE"""),"#N/A")</f>
        <v>#N/A</v>
      </c>
      <c r="AA2123" s="229"/>
      <c r="AB2123" s="229"/>
      <c r="AC2123" s="229"/>
      <c r="AD2123" s="232"/>
      <c r="AE2123" s="233"/>
      <c r="AF2123" s="54" t="str">
        <f>IFERROR(__xludf.DUMMYFUNCTION("""COMPUTED_VALUE"""),"Draft BA DROP")</f>
        <v>Draft BA DROP</v>
      </c>
      <c r="AG2123" s="54"/>
      <c r="AH2123" s="54"/>
      <c r="AI2123" s="55" t="str">
        <f t="shared" si="206"/>
        <v/>
      </c>
      <c r="AW2123" s="234"/>
      <c r="BP2123" s="11"/>
      <c r="BQ2123" s="11"/>
      <c r="BR2123" s="235"/>
      <c r="BV2123" s="158"/>
      <c r="BY2123" s="158"/>
      <c r="CB2123" s="158"/>
    </row>
    <row r="2124" ht="18.0" hidden="1" customHeight="1">
      <c r="A2124" s="222">
        <f>IFERROR(__xludf.DUMMYFUNCTION("""COMPUTED_VALUE"""),2026.0)</f>
        <v>2026</v>
      </c>
      <c r="B2124" s="221">
        <f>IFERROR(__xludf.DUMMYFUNCTION("""COMPUTED_VALUE"""),1.1536045E7)</f>
        <v>11536045</v>
      </c>
      <c r="C2124" s="222" t="str">
        <f>IFERROR(__xludf.DUMMYFUNCTION("""COMPUTED_VALUE"""),"BNK-PT3 BRC-BNC-JPPTSEL- PANORAMA")</f>
        <v>BNK-PT3 BRC-BNC-JPPTSEL- PANORAMA</v>
      </c>
      <c r="D2124" s="222" t="str">
        <f>IFERROR(__xludf.DUMMYFUNCTION("""COMPUTED_VALUE"""),"REGIONAL I")</f>
        <v>REGIONAL I</v>
      </c>
      <c r="E2124" s="222" t="str">
        <f>IFERROR(__xludf.DUMMYFUNCTION("""COMPUTED_VALUE"""),"BENGKULU")</f>
        <v>BENGKULU</v>
      </c>
      <c r="F2124" s="222" t="str">
        <f>IFERROR(__xludf.DUMMYFUNCTION("""COMPUTED_VALUE"""),"PDW")</f>
        <v>PDW</v>
      </c>
      <c r="G2124" s="222" t="str">
        <f>IFERROR(__xludf.DUMMYFUNCTION("""COMPUTED_VALUE"""),"SUMBAGSEL")</f>
        <v>SUMBAGSEL</v>
      </c>
      <c r="H2124" s="222" t="str">
        <f>IFERROR(__xludf.DUMMYFUNCTION("""COMPUTED_VALUE"""),"BENGKULU")</f>
        <v>BENGKULU</v>
      </c>
      <c r="I2124" s="222" t="str">
        <f>IFERROR(__xludf.DUMMYFUNCTION("""COMPUTED_VALUE"""),"Batch 2")</f>
        <v>Batch 2</v>
      </c>
      <c r="J2124" s="225">
        <f>IFERROR(__xludf.DUMMYFUNCTION("""COMPUTED_VALUE"""),7.0)</f>
        <v>7</v>
      </c>
      <c r="K2124" s="224">
        <f>IFERROR(__xludf.DUMMYFUNCTION("""COMPUTED_VALUE"""),56.0)</f>
        <v>56</v>
      </c>
      <c r="L2124" s="226">
        <f>IFERROR(__xludf.DUMMYFUNCTION("""COMPUTED_VALUE"""),859980.0)</f>
        <v>859980</v>
      </c>
      <c r="M2124" s="227">
        <f>IFERROR(__xludf.DUMMYFUNCTION("""COMPUTED_VALUE"""),4.815883E7)</f>
        <v>48158830</v>
      </c>
      <c r="N2124" s="222" t="str">
        <f>IFERROR(__xludf.DUMMYFUNCTION("""COMPUTED_VALUE"""),"PT TUGU PRIMA SEJAHTERA")</f>
        <v>PT TUGU PRIMA SEJAHTERA</v>
      </c>
      <c r="O2124" s="222" t="str">
        <f>IFERROR(__xludf.DUMMYFUNCTION("""COMPUTED_VALUE"""),"0. DROP")</f>
        <v>0. DROP</v>
      </c>
      <c r="P2124" s="222" t="str">
        <f>IFERROR(__xludf.DUMMYFUNCTION("""COMPUTED_VALUE"""),"0.2 Tidak Dapat Izin Warga/Kades/Lurah/Developer")</f>
        <v>0.2 Tidak Dapat Izin Warga/Kades/Lurah/Developer</v>
      </c>
      <c r="Q2124" s="222" t="str">
        <f>IFERROR(__xludf.DUMMYFUNCTION("""COMPUTED_VALUE"""),"02/03 : Kendala Perizinan dari warga setempat // 08/01 : kendala feeder penuh, feeder SWL-FB FULL (07/01) Persiapan")</f>
        <v>02/03 : Kendala Perizinan dari warga setempat // 08/01 : kendala feeder penuh, feeder SWL-FB FULL (07/01) Persiapan</v>
      </c>
      <c r="R2124" s="228"/>
      <c r="S2124" s="11"/>
      <c r="T2124" s="11"/>
      <c r="U2124" s="11"/>
      <c r="V2124" s="229"/>
      <c r="W2124" s="229"/>
      <c r="X2124" s="229" t="str">
        <f>IFERROR(__xludf.DUMMYFUNCTION("""COMPUTED_VALUE"""),"BELUM GOLIVE")</f>
        <v>BELUM GOLIVE</v>
      </c>
      <c r="Y2124" s="229"/>
      <c r="Z2124" s="229" t="str">
        <f>IFERROR(__xludf.DUMMYFUNCTION("""COMPUTED_VALUE"""),"#N/A")</f>
        <v>#N/A</v>
      </c>
      <c r="AA2124" s="229"/>
      <c r="AB2124" s="229"/>
      <c r="AC2124" s="229"/>
      <c r="AD2124" s="232"/>
      <c r="AE2124" s="233"/>
      <c r="AF2124" s="54" t="str">
        <f>IFERROR(__xludf.DUMMYFUNCTION("""COMPUTED_VALUE"""),"Draft BA DROP")</f>
        <v>Draft BA DROP</v>
      </c>
      <c r="AG2124" s="54"/>
      <c r="AH2124" s="54"/>
      <c r="AI2124" s="55" t="str">
        <f t="shared" si="206"/>
        <v/>
      </c>
      <c r="AW2124" s="234"/>
      <c r="BP2124" s="11"/>
      <c r="BQ2124" s="11"/>
      <c r="BR2124" s="235"/>
      <c r="BV2124" s="158"/>
      <c r="BY2124" s="158"/>
      <c r="CB2124" s="158"/>
    </row>
    <row r="2125" ht="18.0" customHeight="1">
      <c r="A2125" s="222">
        <f>IFERROR(__xludf.DUMMYFUNCTION("""COMPUTED_VALUE"""),2026.0)</f>
        <v>2026</v>
      </c>
      <c r="B2125" s="221">
        <f>IFERROR(__xludf.DUMMYFUNCTION("""COMPUTED_VALUE"""),1.1589247E7)</f>
        <v>11589247</v>
      </c>
      <c r="C2125" s="222" t="str">
        <f>IFERROR(__xludf.DUMMYFUNCTION("""COMPUTED_VALUE"""),"SMB STTF - HELMIKE PIPIN-SYAFRIDAJ")</f>
        <v>SMB STTF - HELMIKE PIPIN-SYAFRIDAJ</v>
      </c>
      <c r="D2125" s="222" t="str">
        <f>IFERROR(__xludf.DUMMYFUNCTION("""COMPUTED_VALUE"""),"REGIONAL I")</f>
        <v>REGIONAL I</v>
      </c>
      <c r="E2125" s="222" t="str">
        <f>IFERROR(__xludf.DUMMYFUNCTION("""COMPUTED_VALUE"""),"SUMBAR")</f>
        <v>SUMBAR</v>
      </c>
      <c r="F2125" s="222" t="str">
        <f>IFERROR(__xludf.DUMMYFUNCTION("""COMPUTED_VALUE"""),"SWL")</f>
        <v>SWL</v>
      </c>
      <c r="G2125" s="222" t="str">
        <f>IFERROR(__xludf.DUMMYFUNCTION("""COMPUTED_VALUE"""),"SUMBAGTENG")</f>
        <v>SUMBAGTENG</v>
      </c>
      <c r="H2125" s="222" t="str">
        <f>IFERROR(__xludf.DUMMYFUNCTION("""COMPUTED_VALUE"""),"PADANG")</f>
        <v>PADANG</v>
      </c>
      <c r="I2125" s="222" t="str">
        <f>IFERROR(__xludf.DUMMYFUNCTION("""COMPUTED_VALUE"""),"Batch 2")</f>
        <v>Batch 2</v>
      </c>
      <c r="J2125" s="225">
        <f>IFERROR(__xludf.DUMMYFUNCTION("""COMPUTED_VALUE"""),5.0)</f>
        <v>5</v>
      </c>
      <c r="K2125" s="224">
        <f>IFERROR(__xludf.DUMMYFUNCTION("""COMPUTED_VALUE"""),40.0)</f>
        <v>40</v>
      </c>
      <c r="L2125" s="226">
        <f>IFERROR(__xludf.DUMMYFUNCTION("""COMPUTED_VALUE"""),1616037.0)</f>
        <v>1616037</v>
      </c>
      <c r="M2125" s="227">
        <f>IFERROR(__xludf.DUMMYFUNCTION("""COMPUTED_VALUE"""),6.4641469E7)</f>
        <v>64641469</v>
      </c>
      <c r="N2125" s="222" t="str">
        <f>IFERROR(__xludf.DUMMYFUNCTION("""COMPUTED_VALUE"""),"PT TANJUNG PUTRA PRIMA")</f>
        <v>PT TANJUNG PUTRA PRIMA</v>
      </c>
      <c r="O2125" s="222" t="str">
        <f>IFERROR(__xludf.DUMMYFUNCTION("""COMPUTED_VALUE"""),"8. UJI TERIMA")</f>
        <v>8. UJI TERIMA</v>
      </c>
      <c r="P2125" s="222" t="str">
        <f>IFERROR(__xludf.DUMMYFUNCTION("""COMPUTED_VALUE"""),"8.1 Proses UT")</f>
        <v>8.1 Proses UT</v>
      </c>
      <c r="Q2125" s="222" t="str">
        <f>IFERROR(__xludf.DUMMYFUNCTION("""COMPUTED_VALUE"""),"(02/03) ABD OGP submit ke sdi (18/02) Terminasi odp PLAN FI 19/02 (29/01) proses delivery material  (21/01) proses CReate PID (07/01) Persiapan")</f>
        <v>(02/03) ABD OGP submit ke sdi (18/02) Terminasi odp PLAN FI 19/02 (29/01) proses delivery material  (21/01) proses CReate PID (07/01) Persiapan</v>
      </c>
      <c r="R2125" s="228">
        <f>IFERROR(__xludf.DUMMYFUNCTION("""COMPUTED_VALUE"""),46085.0)</f>
        <v>46085</v>
      </c>
      <c r="S2125" s="11" t="str">
        <f>IFERROR(__xludf.DUMMYFUNCTION("""COMPUTED_VALUE"""),"MAR")</f>
        <v>MAR</v>
      </c>
      <c r="T2125" s="11"/>
      <c r="U2125" s="11" t="str">
        <f>IFERROR(__xludf.DUMMYFUNCTION("""COMPUTED_VALUE"""),"TIF-1826/2026 26KT03R158-0004")</f>
        <v>TIF-1826/2026 26KT03R158-0004</v>
      </c>
      <c r="V2125" s="229" t="str">
        <f>IFERROR(__xludf.DUMMYFUNCTION("""COMPUTED_VALUE"""),"YULIO NOVIKO")</f>
        <v>YULIO NOVIKO</v>
      </c>
      <c r="W2125" s="229" t="str">
        <f>IFERROR(__xludf.DUMMYFUNCTION("""COMPUTED_VALUE"""),"MELKO NARWADI")</f>
        <v>MELKO NARWADI</v>
      </c>
      <c r="X2125" s="229" t="str">
        <f>IFERROR(__xludf.DUMMYFUNCTION("""COMPUTED_VALUE"""),"GOLIVE")</f>
        <v>GOLIVE</v>
      </c>
      <c r="Y2125" s="229" t="str">
        <f>IFERROR(__xludf.DUMMYFUNCTION("""COMPUTED_VALUE"""),"DONE")</f>
        <v>DONE</v>
      </c>
      <c r="Z2125" s="229" t="str">
        <f>IFERROR(__xludf.DUMMYFUNCTION("""COMPUTED_VALUE"""),"#N/A")</f>
        <v>#N/A</v>
      </c>
      <c r="AA2125" s="229">
        <f>IFERROR(__xludf.DUMMYFUNCTION("""COMPUTED_VALUE"""),4.0)</f>
        <v>4</v>
      </c>
      <c r="AB2125" s="229"/>
      <c r="AC2125" s="229" t="str">
        <f>IFERROR(__xludf.DUMMYFUNCTION("""COMPUTED_VALUE"""),"9168832#9168838")</f>
        <v>9168832#9168838</v>
      </c>
      <c r="AD2125" s="232">
        <f>IFERROR(__xludf.DUMMYFUNCTION("""COMPUTED_VALUE"""),32.0)</f>
        <v>32</v>
      </c>
      <c r="AE2125" s="233">
        <f>IFERROR(__xludf.DUMMYFUNCTION("""COMPUTED_VALUE"""),46085.0)</f>
        <v>46085</v>
      </c>
      <c r="AF2125" s="54"/>
      <c r="AG2125" s="54"/>
      <c r="AH2125" s="54">
        <v>46085.0</v>
      </c>
      <c r="AI2125" s="55">
        <f t="shared" si="206"/>
        <v>0</v>
      </c>
      <c r="AW2125" s="234"/>
      <c r="BP2125" s="11"/>
      <c r="BQ2125" s="11"/>
      <c r="BR2125" s="235"/>
      <c r="BV2125" s="158"/>
      <c r="BY2125" s="158"/>
      <c r="CB2125" s="158"/>
    </row>
    <row r="2126" ht="18.0" hidden="1" customHeight="1">
      <c r="A2126" s="222">
        <f>IFERROR(__xludf.DUMMYFUNCTION("""COMPUTED_VALUE"""),2026.0)</f>
        <v>2026</v>
      </c>
      <c r="B2126" s="221">
        <f>IFERROR(__xludf.DUMMYFUNCTION("""COMPUTED_VALUE"""),1.1411295E7)</f>
        <v>11411295</v>
      </c>
      <c r="C2126" s="222" t="str">
        <f>IFERROR(__xludf.DUMMYFUNCTION("""COMPUTED_VALUE"""),"BNK-PT3-REJANG LEBONG_18449")</f>
        <v>BNK-PT3-REJANG LEBONG_18449</v>
      </c>
      <c r="D2126" s="222" t="str">
        <f>IFERROR(__xludf.DUMMYFUNCTION("""COMPUTED_VALUE"""),"REGIONAL I")</f>
        <v>REGIONAL I</v>
      </c>
      <c r="E2126" s="222" t="str">
        <f>IFERROR(__xludf.DUMMYFUNCTION("""COMPUTED_VALUE"""),"BENGKULU")</f>
        <v>BENGKULU</v>
      </c>
      <c r="F2126" s="222" t="str">
        <f>IFERROR(__xludf.DUMMYFUNCTION("""COMPUTED_VALUE"""),"CRP")</f>
        <v>CRP</v>
      </c>
      <c r="G2126" s="222" t="str">
        <f>IFERROR(__xludf.DUMMYFUNCTION("""COMPUTED_VALUE"""),"SUMBAGSEL")</f>
        <v>SUMBAGSEL</v>
      </c>
      <c r="H2126" s="222" t="str">
        <f>IFERROR(__xludf.DUMMYFUNCTION("""COMPUTED_VALUE"""),"BENGKULU")</f>
        <v>BENGKULU</v>
      </c>
      <c r="I2126" s="222" t="str">
        <f>IFERROR(__xludf.DUMMYFUNCTION("""COMPUTED_VALUE"""),"Batch 2")</f>
        <v>Batch 2</v>
      </c>
      <c r="J2126" s="225">
        <f>IFERROR(__xludf.DUMMYFUNCTION("""COMPUTED_VALUE"""),10.0)</f>
        <v>10</v>
      </c>
      <c r="K2126" s="224">
        <f>IFERROR(__xludf.DUMMYFUNCTION("""COMPUTED_VALUE"""),80.0)</f>
        <v>80</v>
      </c>
      <c r="L2126" s="226">
        <f>IFERROR(__xludf.DUMMYFUNCTION("""COMPUTED_VALUE"""),1090793.0)</f>
        <v>1090793</v>
      </c>
      <c r="M2126" s="227">
        <f>IFERROR(__xludf.DUMMYFUNCTION("""COMPUTED_VALUE"""),8.7263373E7)</f>
        <v>87263373</v>
      </c>
      <c r="N2126" s="222" t="str">
        <f>IFERROR(__xludf.DUMMYFUNCTION("""COMPUTED_VALUE"""),"PT Raharja Prakarsa Nusantara")</f>
        <v>PT Raharja Prakarsa Nusantara</v>
      </c>
      <c r="O2126" s="222" t="str">
        <f>IFERROR(__xludf.DUMMYFUNCTION("""COMPUTED_VALUE"""),"7. GOLIVE")</f>
        <v>7. GOLIVE</v>
      </c>
      <c r="P2126" s="222" t="str">
        <f>IFERROR(__xludf.DUMMYFUNCTION("""COMPUTED_VALUE"""),"7.2 Golive Full / OA / DONE OTB")</f>
        <v>7.2 Golive Full / OA / DONE OTB</v>
      </c>
      <c r="Q2126" s="222" t="str">
        <f>IFERROR(__xludf.DUMMYFUNCTION("""COMPUTED_VALUE"""),"14/01 : Proses golive // (07/01) Persiapan")</f>
        <v>14/01 : Proses golive // (07/01) Persiapan</v>
      </c>
      <c r="R2126" s="228"/>
      <c r="S2126" s="11"/>
      <c r="T2126" s="11"/>
      <c r="U2126" s="11" t="str">
        <f>IFERROR(__xludf.DUMMYFUNCTION("""COMPUTED_VALUE"""),"W06-380/2025")</f>
        <v>W06-380/2025</v>
      </c>
      <c r="V2126" s="229"/>
      <c r="W2126" s="229"/>
      <c r="X2126" s="229" t="str">
        <f>IFERROR(__xludf.DUMMYFUNCTION("""COMPUTED_VALUE"""),"GOLIVE")</f>
        <v>GOLIVE</v>
      </c>
      <c r="Y2126" s="229" t="str">
        <f>IFERROR(__xludf.DUMMYFUNCTION("""COMPUTED_VALUE"""),"DONE")</f>
        <v>DONE</v>
      </c>
      <c r="Z2126" s="229" t="str">
        <f>IFERROR(__xludf.DUMMYFUNCTION("""COMPUTED_VALUE"""),"#N/A")</f>
        <v>#N/A</v>
      </c>
      <c r="AA2126" s="229">
        <f>IFERROR(__xludf.DUMMYFUNCTION("""COMPUTED_VALUE"""),10.0)</f>
        <v>10</v>
      </c>
      <c r="AB2126" s="229"/>
      <c r="AC2126" s="229" t="str">
        <f>IFERROR(__xludf.DUMMYFUNCTION("""COMPUTED_VALUE"""),"8938521#8938526")</f>
        <v>8938521#8938526</v>
      </c>
      <c r="AD2126" s="232">
        <f>IFERROR(__xludf.DUMMYFUNCTION("""COMPUTED_VALUE"""),80.0)</f>
        <v>80</v>
      </c>
      <c r="AE2126" s="233">
        <f>IFERROR(__xludf.DUMMYFUNCTION("""COMPUTED_VALUE"""),46043.0)</f>
        <v>46043</v>
      </c>
      <c r="AF2126" s="54"/>
      <c r="AG2126" s="54"/>
      <c r="AH2126" s="54"/>
      <c r="AI2126" s="55" t="str">
        <f t="shared" si="206"/>
        <v/>
      </c>
      <c r="AW2126" s="234"/>
      <c r="BP2126" s="11"/>
      <c r="BQ2126" s="11"/>
      <c r="BR2126" s="235"/>
      <c r="BV2126" s="158"/>
      <c r="BY2126" s="158"/>
      <c r="CB2126" s="158"/>
    </row>
    <row r="2127" ht="18.0" hidden="1" customHeight="1">
      <c r="A2127" s="222">
        <f>IFERROR(__xludf.DUMMYFUNCTION("""COMPUTED_VALUE"""),2026.0)</f>
        <v>2026</v>
      </c>
      <c r="B2127" s="221">
        <f>IFERROR(__xludf.DUMMYFUNCTION("""COMPUTED_VALUE"""),1.1494228E7)</f>
        <v>11494228</v>
      </c>
      <c r="C2127" s="222" t="str">
        <f>IFERROR(__xludf.DUMMYFUNCTION("""COMPUTED_VALUE"""),"BNK-PT3-JPPTSEL-PEMATANG GUBERNUR")</f>
        <v>BNK-PT3-JPPTSEL-PEMATANG GUBERNUR</v>
      </c>
      <c r="D2127" s="222" t="str">
        <f>IFERROR(__xludf.DUMMYFUNCTION("""COMPUTED_VALUE"""),"REGIONAL I")</f>
        <v>REGIONAL I</v>
      </c>
      <c r="E2127" s="222" t="str">
        <f>IFERROR(__xludf.DUMMYFUNCTION("""COMPUTED_VALUE"""),"BENGKULU")</f>
        <v>BENGKULU</v>
      </c>
      <c r="F2127" s="222" t="str">
        <f>IFERROR(__xludf.DUMMYFUNCTION("""COMPUTED_VALUE"""),"BNC")</f>
        <v>BNC</v>
      </c>
      <c r="G2127" s="222" t="str">
        <f>IFERROR(__xludf.DUMMYFUNCTION("""COMPUTED_VALUE"""),"SUMBAGSEL")</f>
        <v>SUMBAGSEL</v>
      </c>
      <c r="H2127" s="222" t="str">
        <f>IFERROR(__xludf.DUMMYFUNCTION("""COMPUTED_VALUE"""),"BENGKULU")</f>
        <v>BENGKULU</v>
      </c>
      <c r="I2127" s="222" t="str">
        <f>IFERROR(__xludf.DUMMYFUNCTION("""COMPUTED_VALUE"""),"Batch 2")</f>
        <v>Batch 2</v>
      </c>
      <c r="J2127" s="225">
        <f>IFERROR(__xludf.DUMMYFUNCTION("""COMPUTED_VALUE"""),14.0)</f>
        <v>14</v>
      </c>
      <c r="K2127" s="224">
        <f>IFERROR(__xludf.DUMMYFUNCTION("""COMPUTED_VALUE"""),112.0)</f>
        <v>112</v>
      </c>
      <c r="L2127" s="226">
        <f>IFERROR(__xludf.DUMMYFUNCTION("""COMPUTED_VALUE"""),1068542.0)</f>
        <v>1068542</v>
      </c>
      <c r="M2127" s="227">
        <f>IFERROR(__xludf.DUMMYFUNCTION("""COMPUTED_VALUE"""),1.19676642E8)</f>
        <v>119676642</v>
      </c>
      <c r="N2127" s="222" t="str">
        <f>IFERROR(__xludf.DUMMYFUNCTION("""COMPUTED_VALUE"""),"PT HASSANAH MULIA JAYA")</f>
        <v>PT HASSANAH MULIA JAYA</v>
      </c>
      <c r="O2127" s="222" t="str">
        <f>IFERROR(__xludf.DUMMYFUNCTION("""COMPUTED_VALUE"""),"7. GOLIVE")</f>
        <v>7. GOLIVE</v>
      </c>
      <c r="P2127" s="222" t="str">
        <f>IFERROR(__xludf.DUMMYFUNCTION("""COMPUTED_VALUE"""),"7.2 Golive Full / OA / DONE OTB")</f>
        <v>7.2 Golive Full / OA / DONE OTB</v>
      </c>
      <c r="Q2127" s="222" t="str">
        <f>IFERROR(__xludf.DUMMYFUNCTION("""COMPUTED_VALUE"""),"30/01 : Done GOLIVE // 29/01 : revisi ABD // 14/01 : Proses golive // (07/01) Persiapan")</f>
        <v>30/01 : Done GOLIVE // 29/01 : revisi ABD // 14/01 : Proses golive // (07/01) Persiapan</v>
      </c>
      <c r="R2127" s="228"/>
      <c r="S2127" s="11"/>
      <c r="T2127" s="11"/>
      <c r="U2127" s="11" t="str">
        <f>IFERROR(__xludf.DUMMYFUNCTION("""COMPUTED_VALUE"""),"W06-370/2025")</f>
        <v>W06-370/2025</v>
      </c>
      <c r="V2127" s="229"/>
      <c r="W2127" s="229"/>
      <c r="X2127" s="229" t="str">
        <f>IFERROR(__xludf.DUMMYFUNCTION("""COMPUTED_VALUE"""),"GOLIVE")</f>
        <v>GOLIVE</v>
      </c>
      <c r="Y2127" s="229" t="str">
        <f>IFERROR(__xludf.DUMMYFUNCTION("""COMPUTED_VALUE"""),"DONE")</f>
        <v>DONE</v>
      </c>
      <c r="Z2127" s="229" t="str">
        <f>IFERROR(__xludf.DUMMYFUNCTION("""COMPUTED_VALUE"""),"#N/A")</f>
        <v>#N/A</v>
      </c>
      <c r="AA2127" s="229">
        <f>IFERROR(__xludf.DUMMYFUNCTION("""COMPUTED_VALUE"""),12.0)</f>
        <v>12</v>
      </c>
      <c r="AB2127" s="229"/>
      <c r="AC2127" s="229" t="str">
        <f>IFERROR(__xludf.DUMMYFUNCTION("""COMPUTED_VALUE"""),"8937241#8937246")</f>
        <v>8937241#8937246</v>
      </c>
      <c r="AD2127" s="232">
        <f>IFERROR(__xludf.DUMMYFUNCTION("""COMPUTED_VALUE"""),96.0)</f>
        <v>96</v>
      </c>
      <c r="AE2127" s="233">
        <f>IFERROR(__xludf.DUMMYFUNCTION("""COMPUTED_VALUE"""),46052.0)</f>
        <v>46052</v>
      </c>
      <c r="AF2127" s="54"/>
      <c r="AG2127" s="54"/>
      <c r="AH2127" s="54"/>
      <c r="AI2127" s="55" t="str">
        <f t="shared" si="206"/>
        <v/>
      </c>
      <c r="AW2127" s="234"/>
      <c r="BP2127" s="11"/>
      <c r="BQ2127" s="11"/>
      <c r="BR2127" s="235"/>
      <c r="BV2127" s="158"/>
      <c r="BY2127" s="158"/>
      <c r="CB2127" s="158"/>
    </row>
    <row r="2128" ht="18.0" hidden="1" customHeight="1">
      <c r="A2128" s="222">
        <f>IFERROR(__xludf.DUMMYFUNCTION("""COMPUTED_VALUE"""),2026.0)</f>
        <v>2026</v>
      </c>
      <c r="B2128" s="221">
        <f>IFERROR(__xludf.DUMMYFUNCTION("""COMPUTED_VALUE"""),1.1667178E7)</f>
        <v>11667178</v>
      </c>
      <c r="C2128" s="222" t="str">
        <f>IFERROR(__xludf.DUMMYFUNCTION("""COMPUTED_VALUE"""),"SMU BGO-FAC D03 CLUST HAPESONG BR")</f>
        <v>SMU BGO-FAC D03 CLUST HAPESONG BR</v>
      </c>
      <c r="D2128" s="222" t="str">
        <f>IFERROR(__xludf.DUMMYFUNCTION("""COMPUTED_VALUE"""),"REGIONAL I")</f>
        <v>REGIONAL I</v>
      </c>
      <c r="E2128" s="222" t="str">
        <f>IFERROR(__xludf.DUMMYFUNCTION("""COMPUTED_VALUE"""),"SUMUT")</f>
        <v>SUMUT</v>
      </c>
      <c r="F2128" s="222" t="str">
        <f>IFERROR(__xludf.DUMMYFUNCTION("""COMPUTED_VALUE"""),"BGO")</f>
        <v>BGO</v>
      </c>
      <c r="G2128" s="222" t="str">
        <f>IFERROR(__xludf.DUMMYFUNCTION("""COMPUTED_VALUE"""),"SUMBAGUT")</f>
        <v>SUMBAGUT</v>
      </c>
      <c r="H2128" s="222" t="str">
        <f>IFERROR(__xludf.DUMMYFUNCTION("""COMPUTED_VALUE"""),"PADANG SIDEMPUAN")</f>
        <v>PADANG SIDEMPUAN</v>
      </c>
      <c r="I2128" s="222" t="str">
        <f>IFERROR(__xludf.DUMMYFUNCTION("""COMPUTED_VALUE"""),"Batch 2")</f>
        <v>Batch 2</v>
      </c>
      <c r="J2128" s="225">
        <f>IFERROR(__xludf.DUMMYFUNCTION("""COMPUTED_VALUE"""),2.0)</f>
        <v>2</v>
      </c>
      <c r="K2128" s="224">
        <f>IFERROR(__xludf.DUMMYFUNCTION("""COMPUTED_VALUE"""),16.0)</f>
        <v>16</v>
      </c>
      <c r="L2128" s="226">
        <f>IFERROR(__xludf.DUMMYFUNCTION("""COMPUTED_VALUE"""),1007368.0)</f>
        <v>1007368</v>
      </c>
      <c r="M2128" s="227">
        <f>IFERROR(__xludf.DUMMYFUNCTION("""COMPUTED_VALUE"""),1.6117877E7)</f>
        <v>16117877</v>
      </c>
      <c r="N2128" s="222" t="str">
        <f>IFERROR(__xludf.DUMMYFUNCTION("""COMPUTED_VALUE"""),"PT TRIPOLA PANATA")</f>
        <v>PT TRIPOLA PANATA</v>
      </c>
      <c r="O2128" s="222" t="str">
        <f>IFERROR(__xludf.DUMMYFUNCTION("""COMPUTED_VALUE"""),"7. GOLIVE")</f>
        <v>7. GOLIVE</v>
      </c>
      <c r="P2128" s="222" t="str">
        <f>IFERROR(__xludf.DUMMYFUNCTION("""COMPUTED_VALUE"""),"7.2 Golive Full / OA / DONE OTB")</f>
        <v>7.2 Golive Full / OA / DONE OTB</v>
      </c>
      <c r="Q2128" s="222" t="str">
        <f>IFERROR(__xludf.DUMMYFUNCTION("""COMPUTED_VALUE"""),"golive (07/01) Persiapan")</f>
        <v>golive (07/01) Persiapan</v>
      </c>
      <c r="R2128" s="228">
        <f>IFERROR(__xludf.DUMMYFUNCTION("""COMPUTED_VALUE"""),46030.0)</f>
        <v>46030</v>
      </c>
      <c r="S2128" s="11"/>
      <c r="T2128" s="11"/>
      <c r="U2128" s="11" t="str">
        <f>IFERROR(__xludf.DUMMYFUNCTION("""COMPUTED_VALUE"""),"W03-1408/2025")</f>
        <v>W03-1408/2025</v>
      </c>
      <c r="V2128" s="229"/>
      <c r="W2128" s="229"/>
      <c r="X2128" s="229" t="str">
        <f>IFERROR(__xludf.DUMMYFUNCTION("""COMPUTED_VALUE"""),"GOLIVE")</f>
        <v>GOLIVE</v>
      </c>
      <c r="Y2128" s="229" t="str">
        <f>IFERROR(__xludf.DUMMYFUNCTION("""COMPUTED_VALUE"""),"DONE")</f>
        <v>DONE</v>
      </c>
      <c r="Z2128" s="229" t="str">
        <f>IFERROR(__xludf.DUMMYFUNCTION("""COMPUTED_VALUE"""),"#N/A")</f>
        <v>#N/A</v>
      </c>
      <c r="AA2128" s="229">
        <f>IFERROR(__xludf.DUMMYFUNCTION("""COMPUTED_VALUE"""),2.0)</f>
        <v>2</v>
      </c>
      <c r="AB2128" s="229"/>
      <c r="AC2128" s="229" t="str">
        <f>IFERROR(__xludf.DUMMYFUNCTION("""COMPUTED_VALUE"""),"8894794#8894799")</f>
        <v>8894794#8894799</v>
      </c>
      <c r="AD2128" s="232">
        <f>IFERROR(__xludf.DUMMYFUNCTION("""COMPUTED_VALUE"""),16.0)</f>
        <v>16</v>
      </c>
      <c r="AE2128" s="233">
        <f>IFERROR(__xludf.DUMMYFUNCTION("""COMPUTED_VALUE"""),46030.0)</f>
        <v>46030</v>
      </c>
      <c r="AF2128" s="54"/>
      <c r="AG2128" s="54"/>
      <c r="AH2128" s="54">
        <v>46030.0</v>
      </c>
      <c r="AI2128" s="55">
        <f t="shared" si="206"/>
        <v>0</v>
      </c>
      <c r="AW2128" s="234"/>
      <c r="BP2128" s="11"/>
      <c r="BQ2128" s="11"/>
      <c r="BR2128" s="235"/>
      <c r="BV2128" s="158"/>
      <c r="BY2128" s="158"/>
      <c r="CB2128" s="158"/>
    </row>
    <row r="2129" ht="18.0" hidden="1" customHeight="1">
      <c r="A2129" s="222">
        <f>IFERROR(__xludf.DUMMYFUNCTION("""COMPUTED_VALUE"""),2026.0)</f>
        <v>2026</v>
      </c>
      <c r="B2129" s="221">
        <f>IFERROR(__xludf.DUMMYFUNCTION("""COMPUTED_VALUE"""),1.1384324E7)</f>
        <v>11384324</v>
      </c>
      <c r="C2129" s="222" t="str">
        <f>IFERROR(__xludf.DUMMYFUNCTION("""COMPUTED_VALUE"""),"SMU BGO-FAB D02 CLUST HAJORAN")</f>
        <v>SMU BGO-FAB D02 CLUST HAJORAN</v>
      </c>
      <c r="D2129" s="222" t="str">
        <f>IFERROR(__xludf.DUMMYFUNCTION("""COMPUTED_VALUE"""),"REGIONAL I")</f>
        <v>REGIONAL I</v>
      </c>
      <c r="E2129" s="222" t="str">
        <f>IFERROR(__xludf.DUMMYFUNCTION("""COMPUTED_VALUE"""),"SUMUT")</f>
        <v>SUMUT</v>
      </c>
      <c r="F2129" s="222" t="str">
        <f>IFERROR(__xludf.DUMMYFUNCTION("""COMPUTED_VALUE"""),"BGO")</f>
        <v>BGO</v>
      </c>
      <c r="G2129" s="222" t="str">
        <f>IFERROR(__xludf.DUMMYFUNCTION("""COMPUTED_VALUE"""),"SUMBAGUT")</f>
        <v>SUMBAGUT</v>
      </c>
      <c r="H2129" s="222" t="str">
        <f>IFERROR(__xludf.DUMMYFUNCTION("""COMPUTED_VALUE"""),"PADANG SIDEMPUAN")</f>
        <v>PADANG SIDEMPUAN</v>
      </c>
      <c r="I2129" s="222" t="str">
        <f>IFERROR(__xludf.DUMMYFUNCTION("""COMPUTED_VALUE"""),"Batch 2")</f>
        <v>Batch 2</v>
      </c>
      <c r="J2129" s="225">
        <f>IFERROR(__xludf.DUMMYFUNCTION("""COMPUTED_VALUE"""),5.0)</f>
        <v>5</v>
      </c>
      <c r="K2129" s="224">
        <f>IFERROR(__xludf.DUMMYFUNCTION("""COMPUTED_VALUE"""),40.0)</f>
        <v>40</v>
      </c>
      <c r="L2129" s="226">
        <f>IFERROR(__xludf.DUMMYFUNCTION("""COMPUTED_VALUE"""),531476.0)</f>
        <v>531476</v>
      </c>
      <c r="M2129" s="227">
        <f>IFERROR(__xludf.DUMMYFUNCTION("""COMPUTED_VALUE"""),2.1259028E7)</f>
        <v>21259028</v>
      </c>
      <c r="N2129" s="222" t="str">
        <f>IFERROR(__xludf.DUMMYFUNCTION("""COMPUTED_VALUE"""),"PT TRIPOLA PANATA")</f>
        <v>PT TRIPOLA PANATA</v>
      </c>
      <c r="O2129" s="222" t="str">
        <f>IFERROR(__xludf.DUMMYFUNCTION("""COMPUTED_VALUE"""),"7. GOLIVE")</f>
        <v>7. GOLIVE</v>
      </c>
      <c r="P2129" s="222" t="str">
        <f>IFERROR(__xludf.DUMMYFUNCTION("""COMPUTED_VALUE"""),"7.2 Golive Full / OA / DONE OTB")</f>
        <v>7.2 Golive Full / OA / DONE OTB</v>
      </c>
      <c r="Q2129" s="222" t="str">
        <f>IFERROR(__xludf.DUMMYFUNCTION("""COMPUTED_VALUE"""),"24/2 Golive, 23/2 plan hari ini submit abd, 22/2 sisa valins, 20/2 prepair team untuk lanjut progres instalasi odp , 19/2 prepair team untuk lanjut progres instalasi odp,jika hari ini tidak ada kepastian, sisa progres akan kita ambil alih untuk potong tag"&amp;"ihan, 16/2 prepair team untuk lanjut instal odp , 13/2 prepair team untuk lanjut instal odp paralel prepair penecekan redaman di odc yg baru di relok,  12/2 prepair team untuk lanjut instal odp paralel prepair penecekan redaman di odc yg baru di relok, 11"&amp;"/2 prepair team untuk lanjut instal odp paralel prepair penecekan redaman di odc yg baru di relok, 10/2 sisa pasang odp, menunggu boq volume pekerjaan sudah selesai (tdk bisa dilanjut kendala perangkat odc terbawa banjir), 9/2 sisa pasang odp, menunggu bo"&amp;"q volume pekerjaan sudah selesai (tdk bisa dilanjut kendala perangkat odc terbawa banjir), 6/2 sisa pasang odp, menunggu boq volume pekerjaan sudah selesai (tdk bisa dilanjut kendala perangkat odc terbawa banjir),   5/2 sisa pasang odp, menunggu boq volum"&amp;"e pekerjaan sudah selesai (tdk bisa dilanjut kendala perangkat odc terbawa banjir),  3/2 sisa pasang odp, menunggu boq volume pekerjaan sudah selesai (tdk bisa dilanjut kendala perangkat odc terbawa banjir), 2/2 sisa pasang odp, menunggu boq volume pekerj"&amp;"aan sudah selesai (tdk bisa dilanjut kendala perangkat odc terbawa banjir), 1/2 sisa pasang odp, menunggu boq volume pekerjaan sudah selesai (tdk bisa dilanjut kendala perangkat odc terbawa banjir), 30/01 menunggu boq volume pekerjaan sudah selesai (tdk b"&amp;"isa dilanjut kendala perangkat odc terbawa banjir),  28/01 menunggu boq volume pekerjaan sudah selesai (tdk bisa dilanjut kendala perangkat odc terbawa banjir), 27/01 menunggu boq volume pekerjaan sudah selesai (tdk bisa dilanjut kendala perangkat odc ter"&amp;"bawa banjir), 26/01 menunggu boq volume pekerjaan sudah selesai (tdk bisa dilanjut kendala perangkat odc terbawa banjir),23/01 menunggu boq volume pekerjaan sudah selesai (tdk bisa dilanjut kendala perangkat odc terbawa banjir),   22/01 menunggu boq volum"&amp;"e pekerjaan sudah selesai (tdk bisa dilanjut kendala perangkat odc terbawa banjir),  21/01 menunggu boq volume pekerjaan sudah selesai (tdk bisa dilanjut kendala perangkat odc terbawa banjir),  20/01 menunggu boq volume pekerjaan sudah selesai (tdk bisa d"&amp;"ilanjut kendala perangkat odc terbawa banjir), 19/01 menunggu boq volume pekerjaan sudah selesai (tdk bisa dilanjut kendala perangkat odc terbawa banjir),  15/01 menunggu boq volume pekerjaan sudah selesai (tdk bisa dilanjut kendala perangkat odc terbawa "&amp;"banjir), 14/01 menunggu boq volume pekerjaan sudah selesai (tdk bisa dilanjut kendala perangkat odc terbawa banjir), 13/01 menunggu boq volume pekerjaan sudah selesai (tdk bisa dilanjut kendala perangkat odc terbawa banjir), (07/01) Persiapan")</f>
        <v>24/2 Golive, 23/2 plan hari ini submit abd, 22/2 sisa valins, 20/2 prepair team untuk lanjut progres instalasi odp , 19/2 prepair team untuk lanjut progres instalasi odp,jika hari ini tidak ada kepastian, sisa progres akan kita ambil alih untuk potong tagihan, 16/2 prepair team untuk lanjut instal odp , 13/2 prepair team untuk lanjut instal odp paralel prepair penecekan redaman di odc yg baru di relok,  12/2 prepair team untuk lanjut instal odp paralel prepair penecekan redaman di odc yg baru di relok, 11/2 prepair team untuk lanjut instal odp paralel prepair penecekan redaman di odc yg baru di relok, 10/2 sisa pasang odp, menunggu boq volume pekerjaan sudah selesai (tdk bisa dilanjut kendala perangkat odc terbawa banjir), 9/2 sisa pasang odp, menunggu boq volume pekerjaan sudah selesai (tdk bisa dilanjut kendala perangkat odc terbawa banjir), 6/2 sisa pasang odp, menunggu boq volume pekerjaan sudah selesai (tdk bisa dilanjut kendala perangkat odc terbawa banjir),   5/2 sisa pasang odp, menunggu boq volume pekerjaan sudah selesai (tdk bisa dilanjut kendala perangkat odc terbawa banjir),  3/2 sisa pasang odp, menunggu boq volume pekerjaan sudah selesai (tdk bisa dilanjut kendala perangkat odc terbawa banjir), 2/2 sisa pasang odp, menunggu boq volume pekerjaan sudah selesai (tdk bisa dilanjut kendala perangkat odc terbawa banjir), 1/2 sisa pasang odp, menunggu boq volume pekerjaan sudah selesai (tdk bisa dilanjut kendala perangkat odc terbawa banjir), 30/01 menunggu boq volume pekerjaan sudah selesai (tdk bisa dilanjut kendala perangkat odc terbawa banjir),  28/01 menunggu boq volume pekerjaan sudah selesai (tdk bisa dilanjut kendala perangkat odc terbawa banjir), 27/01 menunggu boq volume pekerjaan sudah selesai (tdk bisa dilanjut kendala perangkat odc terbawa banjir), 26/01 menunggu boq volume pekerjaan sudah selesai (tdk bisa dilanjut kendala perangkat odc terbawa banjir),23/01 menunggu boq volume pekerjaan sudah selesai (tdk bisa dilanjut kendala perangkat odc terbawa banjir),   22/01 menunggu boq volume pekerjaan sudah selesai (tdk bisa dilanjut kendala perangkat odc terbawa banjir),  21/01 menunggu boq volume pekerjaan sudah selesai (tdk bisa dilanjut kendala perangkat odc terbawa banjir),  20/01 menunggu boq volume pekerjaan sudah selesai (tdk bisa dilanjut kendala perangkat odc terbawa banjir), 19/01 menunggu boq volume pekerjaan sudah selesai (tdk bisa dilanjut kendala perangkat odc terbawa banjir),  15/01 menunggu boq volume pekerjaan sudah selesai (tdk bisa dilanjut kendala perangkat odc terbawa banjir), 14/01 menunggu boq volume pekerjaan sudah selesai (tdk bisa dilanjut kendala perangkat odc terbawa banjir), 13/01 menunggu boq volume pekerjaan sudah selesai (tdk bisa dilanjut kendala perangkat odc terbawa banjir), (07/01) Persiapan</v>
      </c>
      <c r="R2129" s="228"/>
      <c r="S2129" s="11"/>
      <c r="T2129" s="11"/>
      <c r="U2129" s="11" t="str">
        <f>IFERROR(__xludf.DUMMYFUNCTION("""COMPUTED_VALUE"""),"W03-1411/2025")</f>
        <v>W03-1411/2025</v>
      </c>
      <c r="V2129" s="229"/>
      <c r="W2129" s="229"/>
      <c r="X2129" s="229" t="str">
        <f>IFERROR(__xludf.DUMMYFUNCTION("""COMPUTED_VALUE"""),"GOLIVE")</f>
        <v>GOLIVE</v>
      </c>
      <c r="Y2129" s="229" t="str">
        <f>IFERROR(__xludf.DUMMYFUNCTION("""COMPUTED_VALUE"""),"DONE")</f>
        <v>DONE</v>
      </c>
      <c r="Z2129" s="229" t="str">
        <f>IFERROR(__xludf.DUMMYFUNCTION("""COMPUTED_VALUE"""),"#N/A")</f>
        <v>#N/A</v>
      </c>
      <c r="AA2129" s="229">
        <f>IFERROR(__xludf.DUMMYFUNCTION("""COMPUTED_VALUE"""),5.0)</f>
        <v>5</v>
      </c>
      <c r="AB2129" s="229"/>
      <c r="AC2129" s="229" t="str">
        <f>IFERROR(__xludf.DUMMYFUNCTION("""COMPUTED_VALUE"""),"9143203#9143208")</f>
        <v>9143203#9143208</v>
      </c>
      <c r="AD2129" s="232">
        <f>IFERROR(__xludf.DUMMYFUNCTION("""COMPUTED_VALUE"""),40.0)</f>
        <v>40</v>
      </c>
      <c r="AE2129" s="233">
        <f>IFERROR(__xludf.DUMMYFUNCTION("""COMPUTED_VALUE"""),46077.0)</f>
        <v>46077</v>
      </c>
      <c r="AF2129" s="54"/>
      <c r="AG2129" s="54"/>
      <c r="AH2129" s="54"/>
      <c r="AI2129" s="55" t="str">
        <f t="shared" si="206"/>
        <v/>
      </c>
      <c r="AW2129" s="234"/>
      <c r="BP2129" s="11"/>
      <c r="BQ2129" s="11"/>
      <c r="BR2129" s="235"/>
      <c r="BV2129" s="158"/>
      <c r="BY2129" s="158"/>
      <c r="CB2129" s="158"/>
    </row>
    <row r="2130" ht="18.0" hidden="1" customHeight="1">
      <c r="A2130" s="222">
        <f>IFERROR(__xludf.DUMMYFUNCTION("""COMPUTED_VALUE"""),2026.0)</f>
        <v>2026</v>
      </c>
      <c r="B2130" s="221">
        <f>IFERROR(__xludf.DUMMYFUNCTION("""COMPUTED_VALUE"""),1.2026513E7)</f>
        <v>12026513</v>
      </c>
      <c r="C2130" s="222" t="str">
        <f>IFERROR(__xludf.DUMMYFUNCTION("""COMPUTED_VALUE"""),"SMU PT3 ANP-FAG CLUST INNER ANP")</f>
        <v>SMU PT3 ANP-FAG CLUST INNER ANP</v>
      </c>
      <c r="D2130" s="222" t="str">
        <f>IFERROR(__xludf.DUMMYFUNCTION("""COMPUTED_VALUE"""),"REGIONAL I")</f>
        <v>REGIONAL I</v>
      </c>
      <c r="E2130" s="222" t="str">
        <f>IFERROR(__xludf.DUMMYFUNCTION("""COMPUTED_VALUE"""),"SUMUT")</f>
        <v>SUMUT</v>
      </c>
      <c r="F2130" s="222" t="str">
        <f>IFERROR(__xludf.DUMMYFUNCTION("""COMPUTED_VALUE"""),"ANP")</f>
        <v>ANP</v>
      </c>
      <c r="G2130" s="222" t="str">
        <f>IFERROR(__xludf.DUMMYFUNCTION("""COMPUTED_VALUE"""),"SUMBAGUT")</f>
        <v>SUMBAGUT</v>
      </c>
      <c r="H2130" s="222" t="str">
        <f>IFERROR(__xludf.DUMMYFUNCTION("""COMPUTED_VALUE"""),"RANTAU PRAPAT")</f>
        <v>RANTAU PRAPAT</v>
      </c>
      <c r="I2130" s="222" t="str">
        <f>IFERROR(__xludf.DUMMYFUNCTION("""COMPUTED_VALUE"""),"Batch 2")</f>
        <v>Batch 2</v>
      </c>
      <c r="J2130" s="225">
        <f>IFERROR(__xludf.DUMMYFUNCTION("""COMPUTED_VALUE"""),146.0)</f>
        <v>146</v>
      </c>
      <c r="K2130" s="224">
        <f>IFERROR(__xludf.DUMMYFUNCTION("""COMPUTED_VALUE"""),1168.0)</f>
        <v>1168</v>
      </c>
      <c r="L2130" s="226">
        <f>IFERROR(__xludf.DUMMYFUNCTION("""COMPUTED_VALUE"""),893446.0)</f>
        <v>893446</v>
      </c>
      <c r="M2130" s="227">
        <f>IFERROR(__xludf.DUMMYFUNCTION("""COMPUTED_VALUE"""),1.043544408E9)</f>
        <v>1043544408</v>
      </c>
      <c r="N2130" s="222" t="str">
        <f>IFERROR(__xludf.DUMMYFUNCTION("""COMPUTED_VALUE"""),"PT ARTHA MANDIRI BERSAMA")</f>
        <v>PT ARTHA MANDIRI BERSAMA</v>
      </c>
      <c r="O2130" s="222" t="str">
        <f>IFERROR(__xludf.DUMMYFUNCTION("""COMPUTED_VALUE"""),"7. GOLIVE")</f>
        <v>7. GOLIVE</v>
      </c>
      <c r="P2130" s="222" t="str">
        <f>IFERROR(__xludf.DUMMYFUNCTION("""COMPUTED_VALUE"""),"7.1 Golive Parsial")</f>
        <v>7.1 Golive Parsial</v>
      </c>
      <c r="Q2130" s="222" t="str">
        <f>IFERROR(__xludf.DUMMYFUNCTION("""COMPUTED_VALUE"""),"27/3 plan progres senin 30 maret, 16/3 plan golive partial 39 odp sudah di submit ke sdi, sisa 107 odp proses instalasi ( butuh qe feder ), 13/3 instal odp 146 sisa 100, 39 sudah valins, 107 blm valins, 12/3 proses valins partial dis 3 dan 8 total 39 odp "&amp;"sisa 10, sisa pekerjaan instal 146 odp sisa 100, ku12 (12960 selesai, ku, ku24 (18985 selesai, tiang 235 selesai, 11/3 team proses valins partial d3 dan d8, 10/3 plan besok 11 maret  team turun kelokasi untuk lanjut progres instal 146 odp sisa 113, ku12 ("&amp;"12960 selesai, ku, ku24 (18985 selesai, tiang 235 selesai, 9/3 plan besok 11 maret  team turun kelokasi untuk lanjut progres instal 146 odp sisa 113, ku12 (12960 selesai, ku, ku24 (18985 selesai, tiang 235 selesai, 6/3 plan submit partial /distribusi, pro"&amp;"ses instal 146 odp sisa 113, ku12 (12960 selesai, ku, ku24 (18985 selesai, tiang 235 selesai,  4/3 plan submit partial /distribusi, proses instal 146 odp sisa 113, ku12 (12960 selesai, ku, ku24 (18985 selesai, tiang 235 selesai, 3/3 plan submit partial /d"&amp;"istribusi, proses instal 146 odp sisa 113, ku12 (12960 selesai, ku, ku24 (18985 selesai, tiang 235 selesai, 2/3 plan submit partial /distribusi, proses instal 146 odp sisa 113, ku12 (12960 selesai, ku, ku24 (18985 selesai, tiang 235 selesai, 27/2 plan sub"&amp;"mit partial /distribusi, proses instal 146 odp sisa 119, ku12 (12960 selesai, ku, ku24 (18985 selesai, tiang 235 selesai, 25/2 plan submit partial /distribusi, proses instal 146 odp sisa 119, ku12 (12960 selesai, ku, ku24 (18985 selesai, tiang 235 selesai"&amp;",  24/2 plan submit partial /distribusi, proses instal 146 odp sisa 119, ku12 (12960 selesai, ku, ku24 (18985 selesai, tiang 235 selesai,   23/2 plan submit partial /distribusi, proses instal 146 odp sisa 119, ku12 (12960 selesai, ku, ku24 (18985 selesai,"&amp;" tiang 235 selesai,  20/2 plan submit partial /distribusi, proses instal 146 odp sisa 119, ku12 (12960 selesai, ku, ku24 (18985 selesai, tiang 235 selesai,  19/2 proses instal 146 odp sisa 119, ku12 (12960 selesai, ku, ku24 (18985 selesai, tiang 235 seles"&amp;"ai, 18/2 proses instal 146 odp sisa 119, ku12 (12960 selesai, ku, ku24 (18985 selesai, tiang 235 selesai, 16/2 proses instal 146 odp sisa 119, ku12 (12960 selesai, ku, ku24 (18985 selesai, tiang 235 selesai, 13/2 proses instal 146 odp sisa 125, ku12 (1296"&amp;"0 selesai, ku, ku24 (18985 selesai, tiang 235 selesai, 12/2 sisa instal 146 odp,  11/2 sisa instal 146 odp, 10/2 sisa instal 146 odp, 9/2 team partial di lop psp fai, 6/2 team partial di lop node b,  sisa pemasangan  146 odp,   5/2 team partial di lop nod"&amp;"e b,  sisa pemasangan  146 odp,  3/2 team partial di lop node b,  sisa pemasangan  146 odp,  2/2 team partial di lop node b,  sisa pemasangan  146 odp, 1/2 team partial di lop node b,  sisa pemasangan  146 odp, 30/1 team partial di lop node b,  sisa pemas"&amp;"angan  146 odp, 28/1 team partial di lop node b,  sisa pemasangan  146 odp, 27/1 team partial di lop node b,  sisa pemasangan  146 odp, 26/1 team partial di lop node b,  sisa pemasangan  146 odp, 23/01 team partial di lop tabuyung,  sisa pemasangan  146 o"&amp;"dp,22/1 prepair team untuk lanjut sisa pemasangan 146 odp, 19/01 sisa instalasi 146 odp,21/01 prepair team untuk lanjut sisa pemasangan 146 odp,  19/01 sisa instalasi 146 odp, 15/01 sisa instalasi 146 odp, plan progres hari senin tgl 19/01, 14/01 sisa ins"&amp;"talasi 146 odp,plan progres hari senin tgl 19/01, 13/01 sisa instalasi 146 odp,plan progres hari senin tgl 19/01, (08/01) Penarikan KU")</f>
        <v>27/3 plan progres senin 30 maret, 16/3 plan golive partial 39 odp sudah di submit ke sdi, sisa 107 odp proses instalasi ( butuh qe feder ), 13/3 instal odp 146 sisa 100, 39 sudah valins, 107 blm valins, 12/3 proses valins partial dis 3 dan 8 total 39 odp sisa 10, sisa pekerjaan instal 146 odp sisa 100, ku12 (12960 selesai, ku, ku24 (18985 selesai, tiang 235 selesai, 11/3 team proses valins partial d3 dan d8, 10/3 plan besok 11 maret  team turun kelokasi untuk lanjut progres instal 146 odp sisa 113, ku12 (12960 selesai, ku, ku24 (18985 selesai, tiang 235 selesai, 9/3 plan besok 11 maret  team turun kelokasi untuk lanjut progres instal 146 odp sisa 113, ku12 (12960 selesai, ku, ku24 (18985 selesai, tiang 235 selesai, 6/3 plan submit partial /distribusi, proses instal 146 odp sisa 113, ku12 (12960 selesai, ku, ku24 (18985 selesai, tiang 235 selesai,  4/3 plan submit partial /distribusi, proses instal 146 odp sisa 113, ku12 (12960 selesai, ku, ku24 (18985 selesai, tiang 235 selesai, 3/3 plan submit partial /distribusi, proses instal 146 odp sisa 113, ku12 (12960 selesai, ku, ku24 (18985 selesai, tiang 235 selesai, 2/3 plan submit partial /distribusi, proses instal 146 odp sisa 113, ku12 (12960 selesai, ku, ku24 (18985 selesai, tiang 235 selesai, 27/2 plan submit partial /distribusi, proses instal 146 odp sisa 119, ku12 (12960 selesai, ku, ku24 (18985 selesai, tiang 235 selesai, 25/2 plan submit partial /distribusi, proses instal 146 odp sisa 119, ku12 (12960 selesai, ku, ku24 (18985 selesai, tiang 235 selesai,  24/2 plan submit partial /distribusi, proses instal 146 odp sisa 119, ku12 (12960 selesai, ku, ku24 (18985 selesai, tiang 235 selesai,   23/2 plan submit partial /distribusi, proses instal 146 odp sisa 119, ku12 (12960 selesai, ku, ku24 (18985 selesai, tiang 235 selesai,  20/2 plan submit partial /distribusi, proses instal 146 odp sisa 119, ku12 (12960 selesai, ku, ku24 (18985 selesai, tiang 235 selesai,  19/2 proses instal 146 odp sisa 119, ku12 (12960 selesai, ku, ku24 (18985 selesai, tiang 235 selesai, 18/2 proses instal 146 odp sisa 119, ku12 (12960 selesai, ku, ku24 (18985 selesai, tiang 235 selesai, 16/2 proses instal 146 odp sisa 119, ku12 (12960 selesai, ku, ku24 (18985 selesai, tiang 235 selesai, 13/2 proses instal 146 odp sisa 125, ku12 (12960 selesai, ku, ku24 (18985 selesai, tiang 235 selesai, 12/2 sisa instal 146 odp,  11/2 sisa instal 146 odp, 10/2 sisa instal 146 odp, 9/2 team partial di lop psp fai, 6/2 team partial di lop node b,  sisa pemasangan  146 odp,   5/2 team partial di lop node b,  sisa pemasangan  146 odp,  3/2 team partial di lop node b,  sisa pemasangan  146 odp,  2/2 team partial di lop node b,  sisa pemasangan  146 odp, 1/2 team partial di lop node b,  sisa pemasangan  146 odp, 30/1 team partial di lop node b,  sisa pemasangan  146 odp, 28/1 team partial di lop node b,  sisa pemasangan  146 odp, 27/1 team partial di lop node b,  sisa pemasangan  146 odp, 26/1 team partial di lop node b,  sisa pemasangan  146 odp, 23/01 team partial di lop tabuyung,  sisa pemasangan  146 odp,22/1 prepair team untuk lanjut sisa pemasangan 146 odp, 19/01 sisa instalasi 146 odp,21/01 prepair team untuk lanjut sisa pemasangan 146 odp,  19/01 sisa instalasi 146 odp, 15/01 sisa instalasi 146 odp, plan progres hari senin tgl 19/01, 14/01 sisa instalasi 146 odp,plan progres hari senin tgl 19/01, 13/01 sisa instalasi 146 odp,plan progres hari senin tgl 19/01, (08/01) Penarikan KU</v>
      </c>
      <c r="R2130" s="228">
        <f>IFERROR(__xludf.DUMMYFUNCTION("""COMPUTED_VALUE"""),46097.0)</f>
        <v>46097</v>
      </c>
      <c r="S2130" s="11"/>
      <c r="T2130" s="11"/>
      <c r="U2130" s="11" t="str">
        <f>IFERROR(__xludf.DUMMYFUNCTION("""COMPUTED_VALUE"""),"W03-1627/2025")</f>
        <v>W03-1627/2025</v>
      </c>
      <c r="V2130" s="229"/>
      <c r="W2130" s="229"/>
      <c r="X2130" s="229" t="str">
        <f>IFERROR(__xludf.DUMMYFUNCTION("""COMPUTED_VALUE"""),"GOLIVE")</f>
        <v>GOLIVE</v>
      </c>
      <c r="Y2130" s="229" t="str">
        <f>IFERROR(__xludf.DUMMYFUNCTION("""COMPUTED_VALUE"""),"Golive Parsial")</f>
        <v>Golive Parsial</v>
      </c>
      <c r="Z2130" s="229" t="str">
        <f>IFERROR(__xludf.DUMMYFUNCTION("""COMPUTED_VALUE"""),"#N/A")</f>
        <v>#N/A</v>
      </c>
      <c r="AA2130" s="229">
        <f>IFERROR(__xludf.DUMMYFUNCTION("""COMPUTED_VALUE"""),39.0)</f>
        <v>39</v>
      </c>
      <c r="AB2130" s="229"/>
      <c r="AC2130" s="229" t="str">
        <f>IFERROR(__xludf.DUMMYFUNCTION("""COMPUTED_VALUE"""),"9211002#9211007, 9211544#9211549")</f>
        <v>9211002#9211007, 9211544#9211549</v>
      </c>
      <c r="AD2130" s="232">
        <f>IFERROR(__xludf.DUMMYFUNCTION("""COMPUTED_VALUE"""),312.0)</f>
        <v>312</v>
      </c>
      <c r="AE2130" s="233">
        <f>IFERROR(__xludf.DUMMYFUNCTION("""COMPUTED_VALUE"""),46097.0)</f>
        <v>46097</v>
      </c>
      <c r="AF2130" s="54"/>
      <c r="AG2130" s="54"/>
      <c r="AH2130" s="54">
        <v>46097.0</v>
      </c>
      <c r="AI2130" s="55">
        <f t="shared" si="206"/>
        <v>0</v>
      </c>
      <c r="AW2130" s="234"/>
      <c r="BP2130" s="11"/>
      <c r="BQ2130" s="11"/>
      <c r="BR2130" s="235"/>
      <c r="BV2130" s="158"/>
      <c r="BY2130" s="158"/>
      <c r="CB2130" s="158"/>
    </row>
    <row r="2131" ht="18.0" customHeight="1">
      <c r="A2131" s="222">
        <f>IFERROR(__xludf.DUMMYFUNCTION("""COMPUTED_VALUE"""),2026.0)</f>
        <v>2026</v>
      </c>
      <c r="B2131" s="221">
        <f>IFERROR(__xludf.DUMMYFUNCTION("""COMPUTED_VALUE"""),1.1539895E7)</f>
        <v>11539895</v>
      </c>
      <c r="C2131" s="222" t="str">
        <f>IFERROR(__xludf.DUMMYFUNCTION("""COMPUTED_VALUE"""),"RKP TSEL PT3 LBJ-FBZ BUKIT JODOH")</f>
        <v>RKP TSEL PT3 LBJ-FBZ BUKIT JODOH</v>
      </c>
      <c r="D2131" s="222" t="str">
        <f>IFERROR(__xludf.DUMMYFUNCTION("""COMPUTED_VALUE"""),"REGIONAL I")</f>
        <v>REGIONAL I</v>
      </c>
      <c r="E2131" s="222" t="str">
        <f>IFERROR(__xludf.DUMMYFUNCTION("""COMPUTED_VALUE"""),"RIKEP")</f>
        <v>RIKEP</v>
      </c>
      <c r="F2131" s="222" t="str">
        <f>IFERROR(__xludf.DUMMYFUNCTION("""COMPUTED_VALUE"""),"LBJ")</f>
        <v>LBJ</v>
      </c>
      <c r="G2131" s="222" t="str">
        <f>IFERROR(__xludf.DUMMYFUNCTION("""COMPUTED_VALUE"""),"SUMBAGTENG")</f>
        <v>SUMBAGTENG</v>
      </c>
      <c r="H2131" s="222" t="str">
        <f>IFERROR(__xludf.DUMMYFUNCTION("""COMPUTED_VALUE"""),"BATAM")</f>
        <v>BATAM</v>
      </c>
      <c r="I2131" s="222" t="str">
        <f>IFERROR(__xludf.DUMMYFUNCTION("""COMPUTED_VALUE"""),"Batch 2")</f>
        <v>Batch 2</v>
      </c>
      <c r="J2131" s="225">
        <f>IFERROR(__xludf.DUMMYFUNCTION("""COMPUTED_VALUE"""),4.0)</f>
        <v>4</v>
      </c>
      <c r="K2131" s="224">
        <f>IFERROR(__xludf.DUMMYFUNCTION("""COMPUTED_VALUE"""),32.0)</f>
        <v>32</v>
      </c>
      <c r="L2131" s="226">
        <f>IFERROR(__xludf.DUMMYFUNCTION("""COMPUTED_VALUE"""),488844.0)</f>
        <v>488844</v>
      </c>
      <c r="M2131" s="227">
        <f>IFERROR(__xludf.DUMMYFUNCTION("""COMPUTED_VALUE"""),1.5642987E7)</f>
        <v>15642987</v>
      </c>
      <c r="N2131" s="222" t="str">
        <f>IFERROR(__xludf.DUMMYFUNCTION("""COMPUTED_VALUE"""),"PT TRIPOLA PANATA")</f>
        <v>PT TRIPOLA PANATA</v>
      </c>
      <c r="O2131" s="222" t="str">
        <f>IFERROR(__xludf.DUMMYFUNCTION("""COMPUTED_VALUE"""),"7. GOLIVE")</f>
        <v>7. GOLIVE</v>
      </c>
      <c r="P2131" s="222" t="str">
        <f>IFERROR(__xludf.DUMMYFUNCTION("""COMPUTED_VALUE"""),"7.2 Golive Full / OA / DONE OTB")</f>
        <v>7.2 Golive Full / OA / DONE OTB</v>
      </c>
      <c r="Q2131" s="222" t="str">
        <f>IFERROR(__xludf.DUMMYFUNCTION("""COMPUTED_VALUE"""),"golive")</f>
        <v>golive</v>
      </c>
      <c r="R2131" s="228"/>
      <c r="S2131" s="11"/>
      <c r="T2131" s="11"/>
      <c r="U2131" s="11" t="str">
        <f>IFERROR(__xludf.DUMMYFUNCTION("""COMPUTED_VALUE"""),"W09-1001/2025")</f>
        <v>W09-1001/2025</v>
      </c>
      <c r="V2131" s="229" t="str">
        <f>IFERROR(__xludf.DUMMYFUNCTION("""COMPUTED_VALUE"""),"RONALDO LEO INFANTRI")</f>
        <v>RONALDO LEO INFANTRI</v>
      </c>
      <c r="W2131" s="229" t="str">
        <f>IFERROR(__xludf.DUMMYFUNCTION("""COMPUTED_VALUE"""),"LEVITA INDRIYANI")</f>
        <v>LEVITA INDRIYANI</v>
      </c>
      <c r="X2131" s="229" t="str">
        <f>IFERROR(__xludf.DUMMYFUNCTION("""COMPUTED_VALUE"""),"GOLIVE")</f>
        <v>GOLIVE</v>
      </c>
      <c r="Y2131" s="229" t="str">
        <f>IFERROR(__xludf.DUMMYFUNCTION("""COMPUTED_VALUE"""),"DONE")</f>
        <v>DONE</v>
      </c>
      <c r="Z2131" s="229" t="str">
        <f>IFERROR(__xludf.DUMMYFUNCTION("""COMPUTED_VALUE"""),"#N/A")</f>
        <v>#N/A</v>
      </c>
      <c r="AA2131" s="229">
        <f>IFERROR(__xludf.DUMMYFUNCTION("""COMPUTED_VALUE"""),4.0)</f>
        <v>4</v>
      </c>
      <c r="AB2131" s="229"/>
      <c r="AC2131" s="229" t="str">
        <f>IFERROR(__xludf.DUMMYFUNCTION("""COMPUTED_VALUE"""),"8982693#8982698")</f>
        <v>8982693#8982698</v>
      </c>
      <c r="AD2131" s="232">
        <f>IFERROR(__xludf.DUMMYFUNCTION("""COMPUTED_VALUE"""),32.0)</f>
        <v>32</v>
      </c>
      <c r="AE2131" s="233">
        <f>IFERROR(__xludf.DUMMYFUNCTION("""COMPUTED_VALUE"""),46041.0)</f>
        <v>46041</v>
      </c>
      <c r="AF2131" s="54"/>
      <c r="AG2131" s="54"/>
      <c r="AH2131" s="54"/>
      <c r="AI2131" s="55" t="str">
        <f>IF(OR(AH2131="",AE2131=""),"",AH2131-AE2131)</f>
        <v/>
      </c>
      <c r="AW2131" s="234"/>
      <c r="BP2131" s="11"/>
      <c r="BQ2131" s="11"/>
      <c r="BR2131" s="235"/>
      <c r="BV2131" s="158"/>
      <c r="BY2131" s="158"/>
      <c r="CB2131" s="158"/>
    </row>
    <row r="2132" ht="18.0" hidden="1" customHeight="1">
      <c r="A2132" s="222">
        <f>IFERROR(__xludf.DUMMYFUNCTION("""COMPUTED_VALUE"""),2026.0)</f>
        <v>2026</v>
      </c>
      <c r="B2132" s="221">
        <f>IFERROR(__xludf.DUMMYFUNCTION("""COMPUTED_VALUE"""),1.135034E7)</f>
        <v>11350340</v>
      </c>
      <c r="C2132" s="222" t="str">
        <f>IFERROR(__xludf.DUMMYFUNCTION("""COMPUTED_VALUE"""),"ACH PT4 BNA-FAH LAMSEUPEUNG_MD")</f>
        <v>ACH PT4 BNA-FAH LAMSEUPEUNG_MD</v>
      </c>
      <c r="D2132" s="222" t="str">
        <f>IFERROR(__xludf.DUMMYFUNCTION("""COMPUTED_VALUE"""),"REGIONAL I")</f>
        <v>REGIONAL I</v>
      </c>
      <c r="E2132" s="222" t="str">
        <f>IFERROR(__xludf.DUMMYFUNCTION("""COMPUTED_VALUE"""),"ACEH")</f>
        <v>ACEH</v>
      </c>
      <c r="F2132" s="222" t="str">
        <f>IFERROR(__xludf.DUMMYFUNCTION("""COMPUTED_VALUE"""),"BNA")</f>
        <v>BNA</v>
      </c>
      <c r="G2132" s="222" t="str">
        <f>IFERROR(__xludf.DUMMYFUNCTION("""COMPUTED_VALUE"""),"SUMBAGUT")</f>
        <v>SUMBAGUT</v>
      </c>
      <c r="H2132" s="222" t="str">
        <f>IFERROR(__xludf.DUMMYFUNCTION("""COMPUTED_VALUE"""),"BANDA ACEH")</f>
        <v>BANDA ACEH</v>
      </c>
      <c r="I2132" s="222" t="str">
        <f>IFERROR(__xludf.DUMMYFUNCTION("""COMPUTED_VALUE"""),"Batch 2")</f>
        <v>Batch 2</v>
      </c>
      <c r="J2132" s="225">
        <f>IFERROR(__xludf.DUMMYFUNCTION("""COMPUTED_VALUE"""),25.0)</f>
        <v>25</v>
      </c>
      <c r="K2132" s="224">
        <f>IFERROR(__xludf.DUMMYFUNCTION("""COMPUTED_VALUE"""),200.0)</f>
        <v>200</v>
      </c>
      <c r="L2132" s="226">
        <f>IFERROR(__xludf.DUMMYFUNCTION("""COMPUTED_VALUE"""),1623981.0)</f>
        <v>1623981</v>
      </c>
      <c r="M2132" s="227">
        <f>IFERROR(__xludf.DUMMYFUNCTION("""COMPUTED_VALUE"""),3.24796135E8)</f>
        <v>324796135</v>
      </c>
      <c r="N2132" s="222" t="str">
        <f>IFERROR(__xludf.DUMMYFUNCTION("""COMPUTED_VALUE"""),"PT TRIPOLA PANATA")</f>
        <v>PT TRIPOLA PANATA</v>
      </c>
      <c r="O2132" s="222" t="str">
        <f>IFERROR(__xludf.DUMMYFUNCTION("""COMPUTED_VALUE"""),"4. MATDEL")</f>
        <v>4. MATDEL</v>
      </c>
      <c r="P2132" s="222" t="str">
        <f>IFERROR(__xludf.DUMMYFUNCTION("""COMPUTED_VALUE"""),"4.2 Sudah Request Material (Alista)")</f>
        <v>4.2 Sudah Request Material (Alista)</v>
      </c>
      <c r="Q2132" s="222" t="str">
        <f>IFERROR(__xludf.DUMMYFUNCTION("""COMPUTED_VALUE"""),"20/04 material pengiriman TAG Tiang dan ODC dr Langsa
(01/04) Delmat dari pabrik ke WH (07/02) Proses Kordinasi dgn Pihak PU(22/01) Perizinan 10 Kampung dan PU Balai (07/01) Persiapan")</f>
        <v>20/04 material pengiriman TAG Tiang dan ODC dr Langsa
(01/04) Delmat dari pabrik ke WH (07/02) Proses Kordinasi dgn Pihak PU(22/01) Perizinan 10 Kampung dan PU Balai (07/01) Persiapan</v>
      </c>
      <c r="R2132" s="228"/>
      <c r="S2132" s="11"/>
      <c r="T2132" s="73" t="str">
        <f>IFERROR(__xludf.DUMMYFUNCTION("""COMPUTED_VALUE"""),"P1")</f>
        <v>P1</v>
      </c>
      <c r="U2132" s="11"/>
      <c r="V2132" s="229" t="str">
        <f>IFERROR(__xludf.DUMMYFUNCTION("""COMPUTED_VALUE"""),"19/Apr/2026")</f>
        <v>19/Apr/2026</v>
      </c>
      <c r="W2132" s="229"/>
      <c r="X2132" s="229" t="str">
        <f>IFERROR(__xludf.DUMMYFUNCTION("""COMPUTED_VALUE"""),"BELUM GOLIVE")</f>
        <v>BELUM GOLIVE</v>
      </c>
      <c r="Y2132" s="229"/>
      <c r="Z2132" s="229" t="str">
        <f>IFERROR(__xludf.DUMMYFUNCTION("""COMPUTED_VALUE"""),"#N/A")</f>
        <v>#N/A</v>
      </c>
      <c r="AA2132" s="229"/>
      <c r="AB2132" s="229"/>
      <c r="AC2132" s="229"/>
      <c r="AD2132" s="232"/>
      <c r="AE2132" s="233"/>
      <c r="AF2132" s="54"/>
      <c r="AG2132" s="54"/>
      <c r="AH2132" s="54"/>
      <c r="AI2132" s="55" t="str">
        <f t="shared" ref="AI2132:AI2143" si="207">IF(OR(R2132="",AE2132=""),"",R2132-AE2132)</f>
        <v/>
      </c>
      <c r="AW2132" s="234"/>
      <c r="BP2132" s="11"/>
      <c r="BQ2132" s="11"/>
      <c r="BR2132" s="235"/>
      <c r="BV2132" s="158"/>
      <c r="BY2132" s="158"/>
      <c r="CB2132" s="158"/>
    </row>
    <row r="2133" ht="18.0" hidden="1" customHeight="1">
      <c r="A2133" s="222">
        <f>IFERROR(__xludf.DUMMYFUNCTION("""COMPUTED_VALUE"""),2026.0)</f>
        <v>2026</v>
      </c>
      <c r="B2133" s="221">
        <f>IFERROR(__xludf.DUMMYFUNCTION("""COMPUTED_VALUE"""),1.1409304E7)</f>
        <v>11409304</v>
      </c>
      <c r="C2133" s="222" t="str">
        <f>IFERROR(__xludf.DUMMYFUNCTION("""COMPUTED_VALUE"""),"BNK-PT3 BRC-CRP-FY-JPPTSEL-BUKIT BARISAN")</f>
        <v>BNK-PT3 BRC-CRP-FY-JPPTSEL-BUKIT BARISAN</v>
      </c>
      <c r="D2133" s="222" t="str">
        <f>IFERROR(__xludf.DUMMYFUNCTION("""COMPUTED_VALUE"""),"REGIONAL I")</f>
        <v>REGIONAL I</v>
      </c>
      <c r="E2133" s="222" t="str">
        <f>IFERROR(__xludf.DUMMYFUNCTION("""COMPUTED_VALUE"""),"BENGKULU")</f>
        <v>BENGKULU</v>
      </c>
      <c r="F2133" s="222" t="str">
        <f>IFERROR(__xludf.DUMMYFUNCTION("""COMPUTED_VALUE"""),"CRP")</f>
        <v>CRP</v>
      </c>
      <c r="G2133" s="222" t="str">
        <f>IFERROR(__xludf.DUMMYFUNCTION("""COMPUTED_VALUE"""),"SUMBAGSEL")</f>
        <v>SUMBAGSEL</v>
      </c>
      <c r="H2133" s="222" t="str">
        <f>IFERROR(__xludf.DUMMYFUNCTION("""COMPUTED_VALUE"""),"BENGKULU")</f>
        <v>BENGKULU</v>
      </c>
      <c r="I2133" s="222" t="str">
        <f>IFERROR(__xludf.DUMMYFUNCTION("""COMPUTED_VALUE"""),"Batch 2")</f>
        <v>Batch 2</v>
      </c>
      <c r="J2133" s="225">
        <f>IFERROR(__xludf.DUMMYFUNCTION("""COMPUTED_VALUE"""),9.0)</f>
        <v>9</v>
      </c>
      <c r="K2133" s="224">
        <f>IFERROR(__xludf.DUMMYFUNCTION("""COMPUTED_VALUE"""),72.0)</f>
        <v>72</v>
      </c>
      <c r="L2133" s="226">
        <f>IFERROR(__xludf.DUMMYFUNCTION("""COMPUTED_VALUE"""),1624696.0)</f>
        <v>1624696</v>
      </c>
      <c r="M2133" s="227">
        <f>IFERROR(__xludf.DUMMYFUNCTION("""COMPUTED_VALUE"""),1.16978108E8)</f>
        <v>116978108</v>
      </c>
      <c r="N2133" s="222" t="str">
        <f>IFERROR(__xludf.DUMMYFUNCTION("""COMPUTED_VALUE"""),"PT TELAGA RESTU ABADI")</f>
        <v>PT TELAGA RESTU ABADI</v>
      </c>
      <c r="O2133" s="222" t="str">
        <f>IFERROR(__xludf.DUMMYFUNCTION("""COMPUTED_VALUE"""),"7. GOLIVE")</f>
        <v>7. GOLIVE</v>
      </c>
      <c r="P2133" s="222" t="str">
        <f>IFERROR(__xludf.DUMMYFUNCTION("""COMPUTED_VALUE"""),"7.2 Golive Full / OA / DONE OTB")</f>
        <v>7.2 Golive Full / OA / DONE OTB</v>
      </c>
      <c r="Q2133" s="222" t="str">
        <f>IFERROR(__xludf.DUMMYFUNCTION("""COMPUTED_VALUE"""),"14/01 : Proses golive // (07/01) Persiapan")</f>
        <v>14/01 : Proses golive // (07/01) Persiapan</v>
      </c>
      <c r="R2133" s="228"/>
      <c r="S2133" s="11"/>
      <c r="T2133" s="11"/>
      <c r="U2133" s="11" t="str">
        <f>IFERROR(__xludf.DUMMYFUNCTION("""COMPUTED_VALUE"""),"W06-376/2025")</f>
        <v>W06-376/2025</v>
      </c>
      <c r="V2133" s="229"/>
      <c r="W2133" s="229"/>
      <c r="X2133" s="229" t="str">
        <f>IFERROR(__xludf.DUMMYFUNCTION("""COMPUTED_VALUE"""),"GOLIVE")</f>
        <v>GOLIVE</v>
      </c>
      <c r="Y2133" s="229" t="str">
        <f>IFERROR(__xludf.DUMMYFUNCTION("""COMPUTED_VALUE"""),"DONE")</f>
        <v>DONE</v>
      </c>
      <c r="Z2133" s="229" t="str">
        <f>IFERROR(__xludf.DUMMYFUNCTION("""COMPUTED_VALUE"""),"#N/A")</f>
        <v>#N/A</v>
      </c>
      <c r="AA2133" s="229">
        <f>IFERROR(__xludf.DUMMYFUNCTION("""COMPUTED_VALUE"""),9.0)</f>
        <v>9</v>
      </c>
      <c r="AB2133" s="229"/>
      <c r="AC2133" s="229" t="str">
        <f>IFERROR(__xludf.DUMMYFUNCTION("""COMPUTED_VALUE"""),"8773413#8773419")</f>
        <v>8773413#8773419</v>
      </c>
      <c r="AD2133" s="232">
        <f>IFERROR(__xludf.DUMMYFUNCTION("""COMPUTED_VALUE"""),72.0)</f>
        <v>72</v>
      </c>
      <c r="AE2133" s="233">
        <f>IFERROR(__xludf.DUMMYFUNCTION("""COMPUTED_VALUE"""),46042.0)</f>
        <v>46042</v>
      </c>
      <c r="AF2133" s="54"/>
      <c r="AG2133" s="54"/>
      <c r="AH2133" s="54"/>
      <c r="AI2133" s="55" t="str">
        <f t="shared" si="207"/>
        <v/>
      </c>
      <c r="AW2133" s="234"/>
      <c r="BP2133" s="11"/>
      <c r="BQ2133" s="11"/>
      <c r="BR2133" s="235"/>
      <c r="BV2133" s="158"/>
      <c r="BY2133" s="158"/>
      <c r="CB2133" s="158"/>
    </row>
    <row r="2134" ht="18.0" hidden="1" customHeight="1">
      <c r="A2134" s="222">
        <f>IFERROR(__xludf.DUMMYFUNCTION("""COMPUTED_VALUE"""),2026.0)</f>
        <v>2026</v>
      </c>
      <c r="B2134" s="221">
        <f>IFERROR(__xludf.DUMMYFUNCTION("""COMPUTED_VALUE"""),1.1365452E7)</f>
        <v>11365452</v>
      </c>
      <c r="C2134" s="222" t="str">
        <f>IFERROR(__xludf.DUMMYFUNCTION("""COMPUTED_VALUE"""),"BNK-PT3-TIS-FC-JPPTSEL-Talang Saling")</f>
        <v>BNK-PT3-TIS-FC-JPPTSEL-Talang Saling</v>
      </c>
      <c r="D2134" s="222" t="str">
        <f>IFERROR(__xludf.DUMMYFUNCTION("""COMPUTED_VALUE"""),"REGIONAL I")</f>
        <v>REGIONAL I</v>
      </c>
      <c r="E2134" s="222" t="str">
        <f>IFERROR(__xludf.DUMMYFUNCTION("""COMPUTED_VALUE"""),"BENGKULU")</f>
        <v>BENGKULU</v>
      </c>
      <c r="F2134" s="222" t="str">
        <f>IFERROR(__xludf.DUMMYFUNCTION("""COMPUTED_VALUE"""),"TIS")</f>
        <v>TIS</v>
      </c>
      <c r="G2134" s="222" t="str">
        <f>IFERROR(__xludf.DUMMYFUNCTION("""COMPUTED_VALUE"""),"SUMBAGSEL")</f>
        <v>SUMBAGSEL</v>
      </c>
      <c r="H2134" s="222" t="str">
        <f>IFERROR(__xludf.DUMMYFUNCTION("""COMPUTED_VALUE"""),"BENGKULU")</f>
        <v>BENGKULU</v>
      </c>
      <c r="I2134" s="222" t="str">
        <f>IFERROR(__xludf.DUMMYFUNCTION("""COMPUTED_VALUE"""),"Batch 2")</f>
        <v>Batch 2</v>
      </c>
      <c r="J2134" s="225">
        <f>IFERROR(__xludf.DUMMYFUNCTION("""COMPUTED_VALUE"""),15.0)</f>
        <v>15</v>
      </c>
      <c r="K2134" s="224">
        <f>IFERROR(__xludf.DUMMYFUNCTION("""COMPUTED_VALUE"""),120.0)</f>
        <v>120</v>
      </c>
      <c r="L2134" s="226">
        <f>IFERROR(__xludf.DUMMYFUNCTION("""COMPUTED_VALUE"""),894023.0)</f>
        <v>894023</v>
      </c>
      <c r="M2134" s="227">
        <f>IFERROR(__xludf.DUMMYFUNCTION("""COMPUTED_VALUE"""),1.0728274E8)</f>
        <v>107282740</v>
      </c>
      <c r="N2134" s="222" t="str">
        <f>IFERROR(__xludf.DUMMYFUNCTION("""COMPUTED_VALUE"""),"PT JAGO MULTI DIMENSI")</f>
        <v>PT JAGO MULTI DIMENSI</v>
      </c>
      <c r="O2134" s="222" t="str">
        <f>IFERROR(__xludf.DUMMYFUNCTION("""COMPUTED_VALUE"""),"7. GOLIVE")</f>
        <v>7. GOLIVE</v>
      </c>
      <c r="P2134" s="222" t="str">
        <f>IFERROR(__xludf.DUMMYFUNCTION("""COMPUTED_VALUE"""),"7.2 Golive Full / OA / DONE OTB")</f>
        <v>7.2 Golive Full / OA / DONE OTB</v>
      </c>
      <c r="Q2134" s="222" t="str">
        <f>IFERROR(__xludf.DUMMYFUNCTION("""COMPUTED_VALUE"""),"14/01 : Proses golive // (07/01) Persiapan")</f>
        <v>14/01 : Proses golive // (07/01) Persiapan</v>
      </c>
      <c r="R2134" s="228"/>
      <c r="S2134" s="11"/>
      <c r="T2134" s="11"/>
      <c r="U2134" s="11" t="str">
        <f>IFERROR(__xludf.DUMMYFUNCTION("""COMPUTED_VALUE"""),"W06-275/2025")</f>
        <v>W06-275/2025</v>
      </c>
      <c r="V2134" s="229"/>
      <c r="W2134" s="229"/>
      <c r="X2134" s="229" t="str">
        <f>IFERROR(__xludf.DUMMYFUNCTION("""COMPUTED_VALUE"""),"GOLIVE")</f>
        <v>GOLIVE</v>
      </c>
      <c r="Y2134" s="229" t="str">
        <f>IFERROR(__xludf.DUMMYFUNCTION("""COMPUTED_VALUE"""),"DONE")</f>
        <v>DONE</v>
      </c>
      <c r="Z2134" s="229" t="str">
        <f>IFERROR(__xludf.DUMMYFUNCTION("""COMPUTED_VALUE"""),"#N/A")</f>
        <v>#N/A</v>
      </c>
      <c r="AA2134" s="229">
        <f>IFERROR(__xludf.DUMMYFUNCTION("""COMPUTED_VALUE"""),15.0)</f>
        <v>15</v>
      </c>
      <c r="AB2134" s="229"/>
      <c r="AC2134" s="229" t="str">
        <f>IFERROR(__xludf.DUMMYFUNCTION("""COMPUTED_VALUE"""),"8966536#8966541")</f>
        <v>8966536#8966541</v>
      </c>
      <c r="AD2134" s="232">
        <f>IFERROR(__xludf.DUMMYFUNCTION("""COMPUTED_VALUE"""),120.0)</f>
        <v>120</v>
      </c>
      <c r="AE2134" s="233">
        <f>IFERROR(__xludf.DUMMYFUNCTION("""COMPUTED_VALUE"""),46037.0)</f>
        <v>46037</v>
      </c>
      <c r="AF2134" s="54"/>
      <c r="AG2134" s="54"/>
      <c r="AH2134" s="54"/>
      <c r="AI2134" s="55" t="str">
        <f t="shared" si="207"/>
        <v/>
      </c>
      <c r="AW2134" s="234"/>
      <c r="BP2134" s="11"/>
      <c r="BQ2134" s="11"/>
      <c r="BR2134" s="235"/>
      <c r="BV2134" s="158"/>
      <c r="BY2134" s="158"/>
      <c r="CB2134" s="158"/>
    </row>
    <row r="2135" ht="18.0" hidden="1" customHeight="1">
      <c r="A2135" s="222">
        <f>IFERROR(__xludf.DUMMYFUNCTION("""COMPUTED_VALUE"""),2026.0)</f>
        <v>2026</v>
      </c>
      <c r="B2135" s="221">
        <f>IFERROR(__xludf.DUMMYFUNCTION("""COMPUTED_VALUE"""),1.153573E7)</f>
        <v>11535730</v>
      </c>
      <c r="C2135" s="222" t="str">
        <f>IFERROR(__xludf.DUMMYFUNCTION("""COMPUTED_VALUE"""),"MDN PT3 TJR-FX JL.MUNGKUR GG.SOSIAL")</f>
        <v>MDN PT3 TJR-FX JL.MUNGKUR GG.SOSIAL</v>
      </c>
      <c r="D2135" s="222" t="str">
        <f>IFERROR(__xludf.DUMMYFUNCTION("""COMPUTED_VALUE"""),"REGIONAL I")</f>
        <v>REGIONAL I</v>
      </c>
      <c r="E2135" s="222" t="str">
        <f>IFERROR(__xludf.DUMMYFUNCTION("""COMPUTED_VALUE"""),"MEDAN")</f>
        <v>MEDAN</v>
      </c>
      <c r="F2135" s="222" t="str">
        <f>IFERROR(__xludf.DUMMYFUNCTION("""COMPUTED_VALUE"""),"TJR")</f>
        <v>TJR</v>
      </c>
      <c r="G2135" s="222" t="str">
        <f>IFERROR(__xludf.DUMMYFUNCTION("""COMPUTED_VALUE"""),"SUMBAGUT")</f>
        <v>SUMBAGUT</v>
      </c>
      <c r="H2135" s="222" t="str">
        <f>IFERROR(__xludf.DUMMYFUNCTION("""COMPUTED_VALUE"""),"MEDAN")</f>
        <v>MEDAN</v>
      </c>
      <c r="I2135" s="222" t="str">
        <f>IFERROR(__xludf.DUMMYFUNCTION("""COMPUTED_VALUE"""),"Batch 2")</f>
        <v>Batch 2</v>
      </c>
      <c r="J2135" s="225">
        <f>IFERROR(__xludf.DUMMYFUNCTION("""COMPUTED_VALUE"""),3.0)</f>
        <v>3</v>
      </c>
      <c r="K2135" s="224">
        <f>IFERROR(__xludf.DUMMYFUNCTION("""COMPUTED_VALUE"""),24.0)</f>
        <v>24</v>
      </c>
      <c r="L2135" s="226">
        <f>IFERROR(__xludf.DUMMYFUNCTION("""COMPUTED_VALUE"""),1074481.0)</f>
        <v>1074481</v>
      </c>
      <c r="M2135" s="227">
        <f>IFERROR(__xludf.DUMMYFUNCTION("""COMPUTED_VALUE"""),2.5787536E7)</f>
        <v>25787536</v>
      </c>
      <c r="N2135" s="222" t="str">
        <f>IFERROR(__xludf.DUMMYFUNCTION("""COMPUTED_VALUE"""),"PT TEKNOLOGI KARYA MANDIRI")</f>
        <v>PT TEKNOLOGI KARYA MANDIRI</v>
      </c>
      <c r="O2135" s="222" t="str">
        <f>IFERROR(__xludf.DUMMYFUNCTION("""COMPUTED_VALUE"""),"7. GOLIVE")</f>
        <v>7. GOLIVE</v>
      </c>
      <c r="P2135" s="222" t="str">
        <f>IFERROR(__xludf.DUMMYFUNCTION("""COMPUTED_VALUE"""),"7.2 Golive Full / OA / DONE OTB")</f>
        <v>7.2 Golive Full / OA / DONE OTB</v>
      </c>
      <c r="Q2135" s="222" t="str">
        <f>IFERROR(__xludf.DUMMYFUNCTION("""COMPUTED_VALUE"""),"13/03 golive sdi
13/03 pengecekan abd mancore 
(08/01) kendala feeder penuh, KENDALA FEEDER TRS-FA FULL, BUTUH NEW FEEDER (07/01) Persiapan")</f>
        <v>13/03 golive sdi
13/03 pengecekan abd mancore 
(08/01) kendala feeder penuh, KENDALA FEEDER TRS-FA FULL, BUTUH NEW FEEDER (07/01) Persiapan</v>
      </c>
      <c r="R2135" s="228">
        <f>IFERROR(__xludf.DUMMYFUNCTION("""COMPUTED_VALUE"""),46094.0)</f>
        <v>46094</v>
      </c>
      <c r="S2135" s="11" t="str">
        <f>IFERROR(__xludf.DUMMYFUNCTION("""COMPUTED_VALUE"""),"MAR")</f>
        <v>MAR</v>
      </c>
      <c r="T2135" s="11"/>
      <c r="U2135" s="11"/>
      <c r="V2135" s="229"/>
      <c r="W2135" s="229"/>
      <c r="X2135" s="229" t="str">
        <f>IFERROR(__xludf.DUMMYFUNCTION("""COMPUTED_VALUE"""),"GOLIVE")</f>
        <v>GOLIVE</v>
      </c>
      <c r="Y2135" s="229" t="str">
        <f>IFERROR(__xludf.DUMMYFUNCTION("""COMPUTED_VALUE"""),"DONE")</f>
        <v>DONE</v>
      </c>
      <c r="Z2135" s="229" t="str">
        <f>IFERROR(__xludf.DUMMYFUNCTION("""COMPUTED_VALUE"""),"#N/A")</f>
        <v>#N/A</v>
      </c>
      <c r="AA2135" s="229">
        <f>IFERROR(__xludf.DUMMYFUNCTION("""COMPUTED_VALUE"""),3.0)</f>
        <v>3</v>
      </c>
      <c r="AB2135" s="229"/>
      <c r="AC2135" s="229" t="str">
        <f>IFERROR(__xludf.DUMMYFUNCTION("""COMPUTED_VALUE"""),"9197884#9197889")</f>
        <v>9197884#9197889</v>
      </c>
      <c r="AD2135" s="232">
        <f>IFERROR(__xludf.DUMMYFUNCTION("""COMPUTED_VALUE"""),24.0)</f>
        <v>24</v>
      </c>
      <c r="AE2135" s="233">
        <f>IFERROR(__xludf.DUMMYFUNCTION("""COMPUTED_VALUE"""),46094.0)</f>
        <v>46094</v>
      </c>
      <c r="AF2135" s="54"/>
      <c r="AG2135" s="54"/>
      <c r="AH2135" s="54">
        <v>46094.0</v>
      </c>
      <c r="AI2135" s="55">
        <f t="shared" si="207"/>
        <v>0</v>
      </c>
      <c r="AW2135" s="234"/>
      <c r="BP2135" s="11"/>
      <c r="BQ2135" s="11"/>
      <c r="BR2135" s="235"/>
      <c r="BV2135" s="158"/>
      <c r="BY2135" s="158"/>
      <c r="CB2135" s="158"/>
    </row>
    <row r="2136" ht="18.0" customHeight="1">
      <c r="A2136" s="222">
        <f>IFERROR(__xludf.DUMMYFUNCTION("""COMPUTED_VALUE"""),2026.0)</f>
        <v>2026</v>
      </c>
      <c r="B2136" s="221">
        <f>IFERROR(__xludf.DUMMYFUNCTION("""COMPUTED_VALUE"""),1.1380372E7)</f>
        <v>11380372</v>
      </c>
      <c r="C2136" s="222" t="str">
        <f>IFERROR(__xludf.DUMMYFUNCTION("""COMPUTED_VALUE"""),"SMB P2I2 MD KOTA PADANG_7734")</f>
        <v>SMB P2I2 MD KOTA PADANG_7734</v>
      </c>
      <c r="D2136" s="222" t="str">
        <f>IFERROR(__xludf.DUMMYFUNCTION("""COMPUTED_VALUE"""),"REGIONAL I")</f>
        <v>REGIONAL I</v>
      </c>
      <c r="E2136" s="222" t="str">
        <f>IFERROR(__xludf.DUMMYFUNCTION("""COMPUTED_VALUE"""),"SUMBAR")</f>
        <v>SUMBAR</v>
      </c>
      <c r="F2136" s="222" t="str">
        <f>IFERROR(__xludf.DUMMYFUNCTION("""COMPUTED_VALUE"""),"BGS")</f>
        <v>BGS</v>
      </c>
      <c r="G2136" s="222" t="str">
        <f>IFERROR(__xludf.DUMMYFUNCTION("""COMPUTED_VALUE"""),"SUMBAGTENG")</f>
        <v>SUMBAGTENG</v>
      </c>
      <c r="H2136" s="222" t="str">
        <f>IFERROR(__xludf.DUMMYFUNCTION("""COMPUTED_VALUE"""),"PADANG")</f>
        <v>PADANG</v>
      </c>
      <c r="I2136" s="222" t="str">
        <f>IFERROR(__xludf.DUMMYFUNCTION("""COMPUTED_VALUE"""),"Batch 2")</f>
        <v>Batch 2</v>
      </c>
      <c r="J2136" s="225">
        <f>IFERROR(__xludf.DUMMYFUNCTION("""COMPUTED_VALUE"""),6.0)</f>
        <v>6</v>
      </c>
      <c r="K2136" s="224">
        <f>IFERROR(__xludf.DUMMYFUNCTION("""COMPUTED_VALUE"""),48.0)</f>
        <v>48</v>
      </c>
      <c r="L2136" s="226">
        <f>IFERROR(__xludf.DUMMYFUNCTION("""COMPUTED_VALUE"""),1625624.0)</f>
        <v>1625624</v>
      </c>
      <c r="M2136" s="227">
        <f>IFERROR(__xludf.DUMMYFUNCTION("""COMPUTED_VALUE"""),7.8029944E7)</f>
        <v>78029944</v>
      </c>
      <c r="N2136" s="222" t="str">
        <f>IFERROR(__xludf.DUMMYFUNCTION("""COMPUTED_VALUE"""),"PT ACERO CETHA METALINDO")</f>
        <v>PT ACERO CETHA METALINDO</v>
      </c>
      <c r="O2136" s="222" t="str">
        <f>IFERROR(__xludf.DUMMYFUNCTION("""COMPUTED_VALUE"""),"4. MATDEL")</f>
        <v>4. MATDEL</v>
      </c>
      <c r="P2136" s="222" t="str">
        <f>IFERROR(__xludf.DUMMYFUNCTION("""COMPUTED_VALUE"""),"4.4 Proses Pengiriman Pabribak ke WH")</f>
        <v>4.4 Proses Pengiriman Pabribak ke WH</v>
      </c>
      <c r="Q2136" s="222" t="str">
        <f>IFERROR(__xludf.DUMMYFUNCTION("""COMPUTED_VALUE"""),"(27/04) menunggu PO kabel 24 ADSS (20/04) sudah aanwijziing, proses eval  (10/04) Proses aanwijziing , LOP HOLD FEEDER FULL ACC GO  (26/01) KENDALA FEEDER TRS-FA FULL, BUTUH NEW FEEDER")</f>
        <v>(27/04) menunggu PO kabel 24 ADSS (20/04) sudah aanwijziing, proses eval  (10/04) Proses aanwijziing , LOP HOLD FEEDER FULL ACC GO  (26/01) KENDALA FEEDER TRS-FA FULL, BUTUH NEW FEEDER</v>
      </c>
      <c r="R2136" s="228"/>
      <c r="S2136" s="11"/>
      <c r="T2136" s="11"/>
      <c r="U2136" s="11"/>
      <c r="V2136" s="229" t="str">
        <f>IFERROR(__xludf.DUMMYFUNCTION("""COMPUTED_VALUE"""),"PRAMADIO SEPWILMAN")</f>
        <v>PRAMADIO SEPWILMAN</v>
      </c>
      <c r="W2136" s="229" t="str">
        <f>IFERROR(__xludf.DUMMYFUNCTION("""COMPUTED_VALUE"""),"MELKO NARWADI")</f>
        <v>MELKO NARWADI</v>
      </c>
      <c r="X2136" s="229" t="str">
        <f>IFERROR(__xludf.DUMMYFUNCTION("""COMPUTED_VALUE"""),"BELUM GOLIVE")</f>
        <v>BELUM GOLIVE</v>
      </c>
      <c r="Y2136" s="229"/>
      <c r="Z2136" s="229" t="str">
        <f>IFERROR(__xludf.DUMMYFUNCTION("""COMPUTED_VALUE"""),"#N/A")</f>
        <v>#N/A</v>
      </c>
      <c r="AA2136" s="229"/>
      <c r="AB2136" s="229"/>
      <c r="AC2136" s="229"/>
      <c r="AD2136" s="232"/>
      <c r="AE2136" s="233"/>
      <c r="AF2136" s="54" t="str">
        <f>IFERROR(__xludf.DUMMYFUNCTION("""COMPUTED_VALUE"""),"Draft BA DROP")</f>
        <v>Draft BA DROP</v>
      </c>
      <c r="AG2136" s="54"/>
      <c r="AH2136" s="54"/>
      <c r="AI2136" s="55" t="str">
        <f t="shared" si="207"/>
        <v/>
      </c>
      <c r="AW2136" s="234"/>
      <c r="BP2136" s="11"/>
      <c r="BQ2136" s="11"/>
      <c r="BR2136" s="235"/>
      <c r="BV2136" s="158"/>
      <c r="BY2136" s="158"/>
      <c r="CB2136" s="158"/>
    </row>
    <row r="2137" ht="18.0" hidden="1" customHeight="1">
      <c r="A2137" s="222">
        <f>IFERROR(__xludf.DUMMYFUNCTION("""COMPUTED_VALUE"""),2026.0)</f>
        <v>2026</v>
      </c>
      <c r="B2137" s="221">
        <f>IFERROR(__xludf.DUMMYFUNCTION("""COMPUTED_VALUE"""),1.1410516E7)</f>
        <v>11410516</v>
      </c>
      <c r="C2137" s="222" t="str">
        <f>IFERROR(__xludf.DUMMYFUNCTION("""COMPUTED_VALUE"""),"SMU RAP-FAU D05 CLUST SIGAMBAL")</f>
        <v>SMU RAP-FAU D05 CLUST SIGAMBAL</v>
      </c>
      <c r="D2137" s="222" t="str">
        <f>IFERROR(__xludf.DUMMYFUNCTION("""COMPUTED_VALUE"""),"REGIONAL I")</f>
        <v>REGIONAL I</v>
      </c>
      <c r="E2137" s="222" t="str">
        <f>IFERROR(__xludf.DUMMYFUNCTION("""COMPUTED_VALUE"""),"SUMUT")</f>
        <v>SUMUT</v>
      </c>
      <c r="F2137" s="222" t="str">
        <f>IFERROR(__xludf.DUMMYFUNCTION("""COMPUTED_VALUE"""),"RAP")</f>
        <v>RAP</v>
      </c>
      <c r="G2137" s="222" t="str">
        <f>IFERROR(__xludf.DUMMYFUNCTION("""COMPUTED_VALUE"""),"SUMBAGUT")</f>
        <v>SUMBAGUT</v>
      </c>
      <c r="H2137" s="222" t="str">
        <f>IFERROR(__xludf.DUMMYFUNCTION("""COMPUTED_VALUE"""),"RANTAU PRAPAT")</f>
        <v>RANTAU PRAPAT</v>
      </c>
      <c r="I2137" s="222" t="str">
        <f>IFERROR(__xludf.DUMMYFUNCTION("""COMPUTED_VALUE"""),"Batch 2")</f>
        <v>Batch 2</v>
      </c>
      <c r="J2137" s="225">
        <f>IFERROR(__xludf.DUMMYFUNCTION("""COMPUTED_VALUE"""),10.0)</f>
        <v>10</v>
      </c>
      <c r="K2137" s="224">
        <f>IFERROR(__xludf.DUMMYFUNCTION("""COMPUTED_VALUE"""),80.0)</f>
        <v>80</v>
      </c>
      <c r="L2137" s="226">
        <f>IFERROR(__xludf.DUMMYFUNCTION("""COMPUTED_VALUE"""),1626322.0)</f>
        <v>1626322</v>
      </c>
      <c r="M2137" s="227">
        <f>IFERROR(__xludf.DUMMYFUNCTION("""COMPUTED_VALUE"""),1.30105729E8)</f>
        <v>130105729</v>
      </c>
      <c r="N2137" s="222" t="str">
        <f>IFERROR(__xludf.DUMMYFUNCTION("""COMPUTED_VALUE"""),"PT FIBERHOME TECHNOLOGIES INDONESIA")</f>
        <v>PT FIBERHOME TECHNOLOGIES INDONESIA</v>
      </c>
      <c r="O2137" s="222" t="str">
        <f>IFERROR(__xludf.DUMMYFUNCTION("""COMPUTED_VALUE"""),"7. GOLIVE")</f>
        <v>7. GOLIVE</v>
      </c>
      <c r="P2137" s="222" t="str">
        <f>IFERROR(__xludf.DUMMYFUNCTION("""COMPUTED_VALUE"""),"7.2 Golive Full / OA / DONE OTB")</f>
        <v>7.2 Golive Full / OA / DONE OTB</v>
      </c>
      <c r="Q2137" s="222" t="str">
        <f>IFERROR(__xludf.DUMMYFUNCTION("""COMPUTED_VALUE"""),"Golive full, 21/4 validasi sdi, 20/04 progres abd mancore 15/4 team partial di lop rap fbc, 13/4 team masih mencari katrol untuk membuka MH, 10/4 team masih mencari katrol untuk membuka MH, 9/4 sisa instal 10 odp sisa 7, penarikan ku 12 (6116 selesai), ta"&amp;"nam tiang (5 selesai), 8/4 sisa instal 10 odp sisa 7, penarikan ku 12 (6116 selesai), tanam tiang (5 selesai), 6/4 sisa instal 10 odp, penarikan ku 12 (6116 selesai), tanam tiang (5 selesai), 5/4 penarikan ku 12 (6116 selesai), tanam tiang (5 selesai), od"&amp;"p 10 belum ada progres, 1/4 penarikan ku 12 (6116 selesai), tanam tiang (5 selesai), odp 10 belum ada progres, 31/3 penarikan ku 12 (6116 selesai), tanam tiang (5 selesai), odp 10 belum ada progres, 30/3 plan progres hari selasa 31 maret, 27/3 plan progre"&amp;"s hari senin 30 maret, 26/3 prepair team pengambilan matrial dari wh ke site, 22/3 prepair team pengambilan matrial dari wh ke site, 18/3 prepair team pengambilan matrial ke gudang, team lanjut progres setelah selesai lebaran, 16/3 prepair team pengambila"&amp;"n matrial ke gudang, team lanjut progres setelah selesai lebaran,  13/3 team serial di lop cluster labura, 11/3 prepair tim untuk pengambilan material, 10/3 prepair tim untuk pengambilan material, 6/3 proses input material di alista, 4/3 pengecekan cpp, 3"&amp;"/3 Hasil Diskusi ED Area- Region dan TA, pekerjaan Lanjut di eksekusi  2/3 cpp tinggi 1,2, menunggu boq incloude kebutuhan qe,   27/2 menunggu boq kml survey dan kebutuhan qe, paralel izin desa,  25/2 menunggu boq kml survey dan kebutuhan qe, paralel izin"&amp;" desa, 24/2 menunggu boq kml survey dan kebutuhan qe, paralel izin desa,  23/2 menunggu boq kml survey dan kebutuhan qe, paralel izin desa, 22/2 menunggu boq kml survey dan kebutuhan qe, 20/2 plan submit boq malam ini , 19/2 menunggu boq kml survey inclou"&amp;"de kebutuha qe dan prelim, 18/2 menunggu boq kml survey incloude kebutuha qe dan prelim, 16/2 proses cek cpp dan pengajuan prelim, 13/2 menunggu revisi kml boq survey dan kebutuhan qe, 12/2 menunggu revisi kml boq survey dan kebutuhan qe,  11/2 menunggu r"&amp;"evisi kml boq survey dan kebutuhan qe, 10/2 menunggu revisi kml boq survey dan kebutuhan qe, 9/2 menunggu revisi kml boq survey dan kebutuhan qe, 6/2 menunggu revisi kml boq survey dan kebutuhan qe, 5/2 menunggu revisi kml boq survey dan kebutuhan qe,  3/"&amp;"2 menunggu revisi kml boq survey dan kebutuhan qe, 2/2 menunggu revisi kml boq survey dan kebutuhan qe, 1/2 menunggu revisi kml boq survey dan kebutuhan qe, 30/1 menunggu revisi kml boq survey dan kebutuhan qe,  28/1 menunggu revisi kml boq survey dan keb"&amp;"utuhan qe,  27/1 menunggu revisi kml boq survey dan kebutuhan qe,  26/1 menunggu revisi kml boq survey dan kebutuhan qe, 23/1 menunggu report dab boq kml survey, 22/1 menunggu report dab boq kml survey, 21/1 plan survey tanggal 22/1, 20/1 plan survey tang"&amp;"gal 22/1, 19/1 plan survey tanggal 22/1,  15/1 plan survey tanggal 22/1, 13/1 menunggu info kelanjutan mitra, (07/01) Persiapan")</f>
        <v>Golive full, 21/4 validasi sdi, 20/04 progres abd mancore 15/4 team partial di lop rap fbc, 13/4 team masih mencari katrol untuk membuka MH, 10/4 team masih mencari katrol untuk membuka MH, 9/4 sisa instal 10 odp sisa 7, penarikan ku 12 (6116 selesai), tanam tiang (5 selesai), 8/4 sisa instal 10 odp sisa 7, penarikan ku 12 (6116 selesai), tanam tiang (5 selesai), 6/4 sisa instal 10 odp, penarikan ku 12 (6116 selesai), tanam tiang (5 selesai), 5/4 penarikan ku 12 (6116 selesai), tanam tiang (5 selesai), odp 10 belum ada progres, 1/4 penarikan ku 12 (6116 selesai), tanam tiang (5 selesai), odp 10 belum ada progres, 31/3 penarikan ku 12 (6116 selesai), tanam tiang (5 selesai), odp 10 belum ada progres, 30/3 plan progres hari selasa 31 maret, 27/3 plan progres hari senin 30 maret, 26/3 prepair team pengambilan matrial dari wh ke site, 22/3 prepair team pengambilan matrial dari wh ke site, 18/3 prepair team pengambilan matrial ke gudang, team lanjut progres setelah selesai lebaran, 16/3 prepair team pengambilan matrial ke gudang, team lanjut progres setelah selesai lebaran,  13/3 team serial di lop cluster labura, 11/3 prepair tim untuk pengambilan material, 10/3 prepair tim untuk pengambilan material, 6/3 proses input material di alista, 4/3 pengecekan cpp, 3/3 Hasil Diskusi ED Area- Region dan TA, pekerjaan Lanjut di eksekusi  2/3 cpp tinggi 1,2, menunggu boq incloude kebutuhan qe,   27/2 menunggu boq kml survey dan kebutuhan qe, paralel izin desa,  25/2 menunggu boq kml survey dan kebutuhan qe, paralel izin desa, 24/2 menunggu boq kml survey dan kebutuhan qe, paralel izin desa,  23/2 menunggu boq kml survey dan kebutuhan qe, paralel izin desa, 22/2 menunggu boq kml survey dan kebutuhan qe, 20/2 plan submit boq malam ini , 19/2 menunggu boq kml survey incloude kebutuha qe dan prelim, 18/2 menunggu boq kml survey incloude kebutuha qe dan prelim, 16/2 proses cek cpp dan pengajuan prelim, 13/2 menunggu revisi kml boq survey dan kebutuhan qe, 12/2 menunggu revisi kml boq survey dan kebutuhan qe,  11/2 menunggu revisi kml boq survey dan kebutuhan qe, 10/2 menunggu revisi kml boq survey dan kebutuhan qe, 9/2 menunggu revisi kml boq survey dan kebutuhan qe, 6/2 menunggu revisi kml boq survey dan kebutuhan qe, 5/2 menunggu revisi kml boq survey dan kebutuhan qe,  3/2 menunggu revisi kml boq survey dan kebutuhan qe, 2/2 menunggu revisi kml boq survey dan kebutuhan qe, 1/2 menunggu revisi kml boq survey dan kebutuhan qe, 30/1 menunggu revisi kml boq survey dan kebutuhan qe,  28/1 menunggu revisi kml boq survey dan kebutuhan qe,  27/1 menunggu revisi kml boq survey dan kebutuhan qe,  26/1 menunggu revisi kml boq survey dan kebutuhan qe, 23/1 menunggu report dab boq kml survey, 22/1 menunggu report dab boq kml survey, 21/1 plan survey tanggal 22/1, 20/1 plan survey tanggal 22/1, 19/1 plan survey tanggal 22/1,  15/1 plan survey tanggal 22/1, 13/1 menunggu info kelanjutan mitra, (07/01) Persiapan</v>
      </c>
      <c r="R2137" s="228">
        <f>IFERROR(__xludf.DUMMYFUNCTION("""COMPUTED_VALUE"""),46133.0)</f>
        <v>46133</v>
      </c>
      <c r="S2137" s="11"/>
      <c r="T2137" s="73"/>
      <c r="U2137" s="11" t="str">
        <f>IFERROR(__xludf.DUMMYFUNCTION("""COMPUTED_VALUE"""),"TIF-2860/2026")</f>
        <v>TIF-2860/2026</v>
      </c>
      <c r="V2137" s="229"/>
      <c r="W2137" s="229" t="str">
        <f>IFERROR(__xludf.DUMMYFUNCTION("""COMPUTED_VALUE"""),"#N/A")</f>
        <v>#N/A</v>
      </c>
      <c r="X2137" s="229" t="str">
        <f>IFERROR(__xludf.DUMMYFUNCTION("""COMPUTED_VALUE"""),"GOLIVE")</f>
        <v>GOLIVE</v>
      </c>
      <c r="Y2137" s="229" t="str">
        <f>IFERROR(__xludf.DUMMYFUNCTION("""COMPUTED_VALUE"""),"DONE")</f>
        <v>DONE</v>
      </c>
      <c r="Z2137" s="229" t="str">
        <f>IFERROR(__xludf.DUMMYFUNCTION("""COMPUTED_VALUE"""),"#N/A")</f>
        <v>#N/A</v>
      </c>
      <c r="AA2137" s="229">
        <f>IFERROR(__xludf.DUMMYFUNCTION("""COMPUTED_VALUE"""),10.0)</f>
        <v>10</v>
      </c>
      <c r="AB2137" s="229"/>
      <c r="AC2137" s="229" t="str">
        <f>IFERROR(__xludf.DUMMYFUNCTION("""COMPUTED_VALUE"""),"9287006#9287011")</f>
        <v>9287006#9287011</v>
      </c>
      <c r="AD2137" s="232">
        <f>IFERROR(__xludf.DUMMYFUNCTION("""COMPUTED_VALUE"""),80.0)</f>
        <v>80</v>
      </c>
      <c r="AE2137" s="233">
        <f>IFERROR(__xludf.DUMMYFUNCTION("""COMPUTED_VALUE"""),46133.0)</f>
        <v>46133</v>
      </c>
      <c r="AF2137" s="54"/>
      <c r="AG2137" s="54"/>
      <c r="AH2137" s="54">
        <v>46127.0</v>
      </c>
      <c r="AI2137" s="55">
        <f t="shared" si="207"/>
        <v>0</v>
      </c>
      <c r="AW2137" s="234"/>
      <c r="BP2137" s="11"/>
      <c r="BQ2137" s="11"/>
      <c r="BR2137" s="235"/>
      <c r="BV2137" s="158"/>
      <c r="BY2137" s="158"/>
      <c r="CB2137" s="158"/>
    </row>
    <row r="2138" ht="18.0" hidden="1" customHeight="1">
      <c r="A2138" s="222">
        <f>IFERROR(__xludf.DUMMYFUNCTION("""COMPUTED_VALUE"""),2026.0)</f>
        <v>2026</v>
      </c>
      <c r="B2138" s="221">
        <f>IFERROR(__xludf.DUMMYFUNCTION("""COMPUTED_VALUE"""),1.119714E7)</f>
        <v>11197140</v>
      </c>
      <c r="C2138" s="222" t="str">
        <f>IFERROR(__xludf.DUMMYFUNCTION("""COMPUTED_VALUE"""),"MDN PT3 P7I7 TJR-FAE GG.SAWO")</f>
        <v>MDN PT3 P7I7 TJR-FAE GG.SAWO</v>
      </c>
      <c r="D2138" s="222" t="str">
        <f>IFERROR(__xludf.DUMMYFUNCTION("""COMPUTED_VALUE"""),"REGIONAL I")</f>
        <v>REGIONAL I</v>
      </c>
      <c r="E2138" s="222" t="str">
        <f>IFERROR(__xludf.DUMMYFUNCTION("""COMPUTED_VALUE"""),"MEDAN")</f>
        <v>MEDAN</v>
      </c>
      <c r="F2138" s="222" t="str">
        <f>IFERROR(__xludf.DUMMYFUNCTION("""COMPUTED_VALUE"""),"TJR")</f>
        <v>TJR</v>
      </c>
      <c r="G2138" s="222" t="str">
        <f>IFERROR(__xludf.DUMMYFUNCTION("""COMPUTED_VALUE"""),"SUMBAGUT")</f>
        <v>SUMBAGUT</v>
      </c>
      <c r="H2138" s="222" t="str">
        <f>IFERROR(__xludf.DUMMYFUNCTION("""COMPUTED_VALUE"""),"MEDAN")</f>
        <v>MEDAN</v>
      </c>
      <c r="I2138" s="222" t="str">
        <f>IFERROR(__xludf.DUMMYFUNCTION("""COMPUTED_VALUE"""),"Batch 2")</f>
        <v>Batch 2</v>
      </c>
      <c r="J2138" s="225">
        <f>IFERROR(__xludf.DUMMYFUNCTION("""COMPUTED_VALUE"""),2.0)</f>
        <v>2</v>
      </c>
      <c r="K2138" s="224">
        <f>IFERROR(__xludf.DUMMYFUNCTION("""COMPUTED_VALUE"""),16.0)</f>
        <v>16</v>
      </c>
      <c r="L2138" s="226">
        <f>IFERROR(__xludf.DUMMYFUNCTION("""COMPUTED_VALUE"""),941121.0)</f>
        <v>941121</v>
      </c>
      <c r="M2138" s="227">
        <f>IFERROR(__xludf.DUMMYFUNCTION("""COMPUTED_VALUE"""),1.5057921E7)</f>
        <v>15057921</v>
      </c>
      <c r="N2138" s="222" t="str">
        <f>IFERROR(__xludf.DUMMYFUNCTION("""COMPUTED_VALUE"""),"PT UPAYA TEKNIK")</f>
        <v>PT UPAYA TEKNIK</v>
      </c>
      <c r="O2138" s="222" t="str">
        <f>IFERROR(__xludf.DUMMYFUNCTION("""COMPUTED_VALUE"""),"8. UJI TERIMA")</f>
        <v>8. UJI TERIMA</v>
      </c>
      <c r="P2138" s="222" t="str">
        <f>IFERROR(__xludf.DUMMYFUNCTION("""COMPUTED_VALUE"""),"8.1 Proses UT")</f>
        <v>8.1 Proses UT</v>
      </c>
      <c r="Q2138" s="222" t="str">
        <f>IFERROR(__xludf.DUMMYFUNCTION("""COMPUTED_VALUE"""),"
09/02 pengecekan abd mancore
(07/01) Persiapan")</f>
        <v>
09/02 pengecekan abd mancore
(07/01) Persiapan</v>
      </c>
      <c r="R2138" s="228">
        <f>IFERROR(__xludf.DUMMYFUNCTION("""COMPUTED_VALUE"""),46063.0)</f>
        <v>46063</v>
      </c>
      <c r="S2138" s="11"/>
      <c r="T2138" s="11"/>
      <c r="U2138" s="11" t="str">
        <f>IFERROR(__xludf.DUMMYFUNCTION("""COMPUTED_VALUE"""),"FALSE")</f>
        <v>FALSE</v>
      </c>
      <c r="V2138" s="229"/>
      <c r="W2138" s="229"/>
      <c r="X2138" s="229" t="str">
        <f>IFERROR(__xludf.DUMMYFUNCTION("""COMPUTED_VALUE"""),"GOLIVE")</f>
        <v>GOLIVE</v>
      </c>
      <c r="Y2138" s="229" t="str">
        <f>IFERROR(__xludf.DUMMYFUNCTION("""COMPUTED_VALUE"""),"DONE")</f>
        <v>DONE</v>
      </c>
      <c r="Z2138" s="229" t="str">
        <f>IFERROR(__xludf.DUMMYFUNCTION("""COMPUTED_VALUE"""),"#N/A")</f>
        <v>#N/A</v>
      </c>
      <c r="AA2138" s="229">
        <f>IFERROR(__xludf.DUMMYFUNCTION("""COMPUTED_VALUE"""),2.0)</f>
        <v>2</v>
      </c>
      <c r="AB2138" s="229"/>
      <c r="AC2138" s="229" t="str">
        <f>IFERROR(__xludf.DUMMYFUNCTION("""COMPUTED_VALUE"""),"9091556#9091561")</f>
        <v>9091556#9091561</v>
      </c>
      <c r="AD2138" s="232">
        <f>IFERROR(__xludf.DUMMYFUNCTION("""COMPUTED_VALUE"""),16.0)</f>
        <v>16</v>
      </c>
      <c r="AE2138" s="233">
        <f>IFERROR(__xludf.DUMMYFUNCTION("""COMPUTED_VALUE"""),46063.0)</f>
        <v>46063</v>
      </c>
      <c r="AF2138" s="54"/>
      <c r="AG2138" s="54"/>
      <c r="AH2138" s="54">
        <v>46063.0</v>
      </c>
      <c r="AI2138" s="55">
        <f t="shared" si="207"/>
        <v>0</v>
      </c>
      <c r="AW2138" s="234"/>
      <c r="BP2138" s="11"/>
      <c r="BQ2138" s="11"/>
      <c r="BR2138" s="235"/>
      <c r="BV2138" s="158"/>
      <c r="BY2138" s="158"/>
      <c r="CB2138" s="158"/>
    </row>
    <row r="2139" ht="18.0" hidden="1" customHeight="1">
      <c r="A2139" s="222">
        <f>IFERROR(__xludf.DUMMYFUNCTION("""COMPUTED_VALUE"""),2026.0)</f>
        <v>2026</v>
      </c>
      <c r="B2139" s="221">
        <f>IFERROR(__xludf.DUMMYFUNCTION("""COMPUTED_VALUE"""),1.1196952E7)</f>
        <v>11196952</v>
      </c>
      <c r="C2139" s="222" t="str">
        <f>IFERROR(__xludf.DUMMYFUNCTION("""COMPUTED_VALUE"""),"MDN PT3 P7I9 TJR-FQ KOMP BANDALA ASRI")</f>
        <v>MDN PT3 P7I9 TJR-FQ KOMP BANDALA ASRI</v>
      </c>
      <c r="D2139" s="222" t="str">
        <f>IFERROR(__xludf.DUMMYFUNCTION("""COMPUTED_VALUE"""),"REGIONAL I")</f>
        <v>REGIONAL I</v>
      </c>
      <c r="E2139" s="222" t="str">
        <f>IFERROR(__xludf.DUMMYFUNCTION("""COMPUTED_VALUE"""),"MEDAN")</f>
        <v>MEDAN</v>
      </c>
      <c r="F2139" s="222" t="str">
        <f>IFERROR(__xludf.DUMMYFUNCTION("""COMPUTED_VALUE"""),"TJR")</f>
        <v>TJR</v>
      </c>
      <c r="G2139" s="222" t="str">
        <f>IFERROR(__xludf.DUMMYFUNCTION("""COMPUTED_VALUE"""),"SUMBAGUT")</f>
        <v>SUMBAGUT</v>
      </c>
      <c r="H2139" s="222" t="str">
        <f>IFERROR(__xludf.DUMMYFUNCTION("""COMPUTED_VALUE"""),"MEDAN")</f>
        <v>MEDAN</v>
      </c>
      <c r="I2139" s="222" t="str">
        <f>IFERROR(__xludf.DUMMYFUNCTION("""COMPUTED_VALUE"""),"Batch 2")</f>
        <v>Batch 2</v>
      </c>
      <c r="J2139" s="225">
        <f>IFERROR(__xludf.DUMMYFUNCTION("""COMPUTED_VALUE"""),3.0)</f>
        <v>3</v>
      </c>
      <c r="K2139" s="224">
        <f>IFERROR(__xludf.DUMMYFUNCTION("""COMPUTED_VALUE"""),24.0)</f>
        <v>24</v>
      </c>
      <c r="L2139" s="226">
        <f>IFERROR(__xludf.DUMMYFUNCTION("""COMPUTED_VALUE"""),913399.0)</f>
        <v>913399</v>
      </c>
      <c r="M2139" s="227">
        <f>IFERROR(__xludf.DUMMYFUNCTION("""COMPUTED_VALUE"""),2.1921568E7)</f>
        <v>21921568</v>
      </c>
      <c r="N2139" s="222" t="str">
        <f>IFERROR(__xludf.DUMMYFUNCTION("""COMPUTED_VALUE"""),"PT MEDCOM SOLUTION")</f>
        <v>PT MEDCOM SOLUTION</v>
      </c>
      <c r="O2139" s="222" t="str">
        <f>IFERROR(__xludf.DUMMYFUNCTION("""COMPUTED_VALUE"""),"2. DONE AANWIJZING")</f>
        <v>2. DONE AANWIJZING</v>
      </c>
      <c r="P2139" s="222" t="str">
        <f>IFERROR(__xludf.DUMMYFUNCTION("""COMPUTED_VALUE"""),"2.9 Kendala - Distribusi Penuh / Rusak")</f>
        <v>2.9 Kendala - Distribusi Penuh / Rusak</v>
      </c>
      <c r="Q2139" s="222" t="str">
        <f>IFERROR(__xludf.DUMMYFUNCTION("""COMPUTED_VALUE"""),"21/04 pengukuran ulg butuh qe &amp; redisgn
29/01 perizinan
(07/01) Persiapan")</f>
        <v>21/04 pengukuran ulg butuh qe &amp; redisgn
29/01 perizinan
(07/01) Persiapan</v>
      </c>
      <c r="R2139" s="228"/>
      <c r="S2139" s="11" t="str">
        <f>IFERROR(__xludf.DUMMYFUNCTION("""COMPUTED_VALUE"""),"MAR")</f>
        <v>MAR</v>
      </c>
      <c r="T2139" s="73"/>
      <c r="U2139" s="11"/>
      <c r="V2139" s="229" t="str">
        <f>IFERROR(__xludf.DUMMYFUNCTION("""COMPUTED_VALUE"""),"28/Apr/2026")</f>
        <v>28/Apr/2026</v>
      </c>
      <c r="W2139" s="229"/>
      <c r="X2139" s="229" t="str">
        <f>IFERROR(__xludf.DUMMYFUNCTION("""COMPUTED_VALUE"""),"BELUM GOLIVE")</f>
        <v>BELUM GOLIVE</v>
      </c>
      <c r="Y2139" s="229" t="str">
        <f>IFERROR(__xludf.DUMMYFUNCTION("""COMPUTED_VALUE"""),"Butuh Big OLT")</f>
        <v>Butuh Big OLT</v>
      </c>
      <c r="Z2139" s="229" t="str">
        <f>IFERROR(__xludf.DUMMYFUNCTION("""COMPUTED_VALUE"""),"#N/A")</f>
        <v>#N/A</v>
      </c>
      <c r="AA2139" s="229"/>
      <c r="AB2139" s="229"/>
      <c r="AC2139" s="229"/>
      <c r="AD2139" s="232"/>
      <c r="AE2139" s="233"/>
      <c r="AF2139" s="54"/>
      <c r="AG2139" s="54"/>
      <c r="AH2139" s="54"/>
      <c r="AI2139" s="55" t="str">
        <f t="shared" si="207"/>
        <v/>
      </c>
      <c r="AW2139" s="234"/>
      <c r="BP2139" s="11"/>
      <c r="BQ2139" s="11"/>
      <c r="BR2139" s="235"/>
      <c r="BV2139" s="158"/>
      <c r="BY2139" s="158"/>
      <c r="CB2139" s="158"/>
    </row>
    <row r="2140" ht="18.0" hidden="1" customHeight="1">
      <c r="A2140" s="222">
        <f>IFERROR(__xludf.DUMMYFUNCTION("""COMPUTED_VALUE"""),2026.0)</f>
        <v>2026</v>
      </c>
      <c r="B2140" s="221">
        <f>IFERROR(__xludf.DUMMYFUNCTION("""COMPUTED_VALUE"""),1.1188655E7)</f>
        <v>11188655</v>
      </c>
      <c r="C2140" s="222" t="str">
        <f>IFERROR(__xludf.DUMMYFUNCTION("""COMPUTED_VALUE"""),"MDN PT3 TJR-FF JL.SEI BLUMAR GG.MANDIRI")</f>
        <v>MDN PT3 TJR-FF JL.SEI BLUMAR GG.MANDIRI</v>
      </c>
      <c r="D2140" s="222" t="str">
        <f>IFERROR(__xludf.DUMMYFUNCTION("""COMPUTED_VALUE"""),"REGIONAL I")</f>
        <v>REGIONAL I</v>
      </c>
      <c r="E2140" s="222" t="str">
        <f>IFERROR(__xludf.DUMMYFUNCTION("""COMPUTED_VALUE"""),"MEDAN")</f>
        <v>MEDAN</v>
      </c>
      <c r="F2140" s="222" t="str">
        <f>IFERROR(__xludf.DUMMYFUNCTION("""COMPUTED_VALUE"""),"TJR")</f>
        <v>TJR</v>
      </c>
      <c r="G2140" s="222" t="str">
        <f>IFERROR(__xludf.DUMMYFUNCTION("""COMPUTED_VALUE"""),"SUMBAGUT")</f>
        <v>SUMBAGUT</v>
      </c>
      <c r="H2140" s="222" t="str">
        <f>IFERROR(__xludf.DUMMYFUNCTION("""COMPUTED_VALUE"""),"MEDAN")</f>
        <v>MEDAN</v>
      </c>
      <c r="I2140" s="222" t="str">
        <f>IFERROR(__xludf.DUMMYFUNCTION("""COMPUTED_VALUE"""),"Batch 2")</f>
        <v>Batch 2</v>
      </c>
      <c r="J2140" s="225">
        <f>IFERROR(__xludf.DUMMYFUNCTION("""COMPUTED_VALUE"""),2.0)</f>
        <v>2</v>
      </c>
      <c r="K2140" s="224">
        <f>IFERROR(__xludf.DUMMYFUNCTION("""COMPUTED_VALUE"""),16.0)</f>
        <v>16</v>
      </c>
      <c r="L2140" s="226">
        <f>IFERROR(__xludf.DUMMYFUNCTION("""COMPUTED_VALUE"""),1144979.0)</f>
        <v>1144979</v>
      </c>
      <c r="M2140" s="227">
        <f>IFERROR(__xludf.DUMMYFUNCTION("""COMPUTED_VALUE"""),1.8319651E7)</f>
        <v>18319651</v>
      </c>
      <c r="N2140" s="222" t="str">
        <f>IFERROR(__xludf.DUMMYFUNCTION("""COMPUTED_VALUE"""),"PT TEKNOLOGI KARYA MANDIRI")</f>
        <v>PT TEKNOLOGI KARYA MANDIRI</v>
      </c>
      <c r="O2140" s="222" t="str">
        <f>IFERROR(__xludf.DUMMYFUNCTION("""COMPUTED_VALUE"""),"7. GOLIVE")</f>
        <v>7. GOLIVE</v>
      </c>
      <c r="P2140" s="222" t="str">
        <f>IFERROR(__xludf.DUMMYFUNCTION("""COMPUTED_VALUE"""),"7.2 Golive Full / OA / DONE OTB")</f>
        <v>7.2 Golive Full / OA / DONE OTB</v>
      </c>
      <c r="Q2140" s="222" t="str">
        <f>IFERROR(__xludf.DUMMYFUNCTION("""COMPUTED_VALUE"""),"17/02 golive sdi")</f>
        <v>17/02 golive sdi</v>
      </c>
      <c r="R2140" s="228">
        <f>IFERROR(__xludf.DUMMYFUNCTION("""COMPUTED_VALUE"""),46070.0)</f>
        <v>46070</v>
      </c>
      <c r="S2140" s="11"/>
      <c r="T2140" s="11"/>
      <c r="U2140" s="11" t="str">
        <f>IFERROR(__xludf.DUMMYFUNCTION("""COMPUTED_VALUE"""),"W01-2080/2025")</f>
        <v>W01-2080/2025</v>
      </c>
      <c r="V2140" s="229"/>
      <c r="W2140" s="229"/>
      <c r="X2140" s="229" t="str">
        <f>IFERROR(__xludf.DUMMYFUNCTION("""COMPUTED_VALUE"""),"GOLIVE")</f>
        <v>GOLIVE</v>
      </c>
      <c r="Y2140" s="229" t="str">
        <f>IFERROR(__xludf.DUMMYFUNCTION("""COMPUTED_VALUE"""),"DONE")</f>
        <v>DONE</v>
      </c>
      <c r="Z2140" s="229" t="str">
        <f>IFERROR(__xludf.DUMMYFUNCTION("""COMPUTED_VALUE"""),"#N/A")</f>
        <v>#N/A</v>
      </c>
      <c r="AA2140" s="229">
        <f>IFERROR(__xludf.DUMMYFUNCTION("""COMPUTED_VALUE"""),2.0)</f>
        <v>2</v>
      </c>
      <c r="AB2140" s="229"/>
      <c r="AC2140" s="229" t="str">
        <f>IFERROR(__xludf.DUMMYFUNCTION("""COMPUTED_VALUE"""),"9116566#9116571")</f>
        <v>9116566#9116571</v>
      </c>
      <c r="AD2140" s="232">
        <f>IFERROR(__xludf.DUMMYFUNCTION("""COMPUTED_VALUE"""),16.0)</f>
        <v>16</v>
      </c>
      <c r="AE2140" s="233">
        <f>IFERROR(__xludf.DUMMYFUNCTION("""COMPUTED_VALUE"""),46070.0)</f>
        <v>46070</v>
      </c>
      <c r="AF2140" s="54"/>
      <c r="AG2140" s="54"/>
      <c r="AH2140" s="54">
        <v>46070.0</v>
      </c>
      <c r="AI2140" s="55">
        <f t="shared" si="207"/>
        <v>0</v>
      </c>
      <c r="AW2140" s="234"/>
      <c r="BP2140" s="11"/>
      <c r="BQ2140" s="11"/>
      <c r="BR2140" s="235"/>
      <c r="BV2140" s="158"/>
      <c r="BY2140" s="158"/>
      <c r="CB2140" s="158"/>
    </row>
    <row r="2141" ht="18.0" customHeight="1">
      <c r="A2141" s="222">
        <f>IFERROR(__xludf.DUMMYFUNCTION("""COMPUTED_VALUE"""),2026.0)</f>
        <v>2026</v>
      </c>
      <c r="B2141" s="221">
        <f>IFERROR(__xludf.DUMMYFUNCTION("""COMPUTED_VALUE"""),1.1581002E7)</f>
        <v>11581002</v>
      </c>
      <c r="C2141" s="222" t="str">
        <f>IFERROR(__xludf.DUMMYFUNCTION("""COMPUTED_VALUE"""),"SMB STTF PT4 KAJAI")</f>
        <v>SMB STTF PT4 KAJAI</v>
      </c>
      <c r="D2141" s="222" t="str">
        <f>IFERROR(__xludf.DUMMYFUNCTION("""COMPUTED_VALUE"""),"REGIONAL I")</f>
        <v>REGIONAL I</v>
      </c>
      <c r="E2141" s="222" t="str">
        <f>IFERROR(__xludf.DUMMYFUNCTION("""COMPUTED_VALUE"""),"SUMBAR")</f>
        <v>SUMBAR</v>
      </c>
      <c r="F2141" s="222" t="str">
        <f>IFERROR(__xludf.DUMMYFUNCTION("""COMPUTED_VALUE"""),"SPE")</f>
        <v>SPE</v>
      </c>
      <c r="G2141" s="222" t="str">
        <f>IFERROR(__xludf.DUMMYFUNCTION("""COMPUTED_VALUE"""),"SUMBAGTENG")</f>
        <v>SUMBAGTENG</v>
      </c>
      <c r="H2141" s="222" t="str">
        <f>IFERROR(__xludf.DUMMYFUNCTION("""COMPUTED_VALUE"""),"BUKIT TINGGI")</f>
        <v>BUKIT TINGGI</v>
      </c>
      <c r="I2141" s="222" t="str">
        <f>IFERROR(__xludf.DUMMYFUNCTION("""COMPUTED_VALUE"""),"Batch 2")</f>
        <v>Batch 2</v>
      </c>
      <c r="J2141" s="225">
        <f>IFERROR(__xludf.DUMMYFUNCTION("""COMPUTED_VALUE"""),17.0)</f>
        <v>17</v>
      </c>
      <c r="K2141" s="224">
        <f>IFERROR(__xludf.DUMMYFUNCTION("""COMPUTED_VALUE"""),136.0)</f>
        <v>136</v>
      </c>
      <c r="L2141" s="226">
        <f>IFERROR(__xludf.DUMMYFUNCTION("""COMPUTED_VALUE"""),1628235.0)</f>
        <v>1628235</v>
      </c>
      <c r="M2141" s="227">
        <f>IFERROR(__xludf.DUMMYFUNCTION("""COMPUTED_VALUE"""),2.21439936E8)</f>
        <v>221439936</v>
      </c>
      <c r="N2141" s="222" t="str">
        <f>IFERROR(__xludf.DUMMYFUNCTION("""COMPUTED_VALUE"""),"PT TIGA AKSES MANDIRI")</f>
        <v>PT TIGA AKSES MANDIRI</v>
      </c>
      <c r="O2141" s="222" t="str">
        <f>IFERROR(__xludf.DUMMYFUNCTION("""COMPUTED_VALUE"""),"0. DROP")</f>
        <v>0. DROP</v>
      </c>
      <c r="P2141" s="222" t="str">
        <f>IFERROR(__xludf.DUMMYFUNCTION("""COMPUTED_VALUE"""),"0.3 Feeder Full")</f>
        <v>0.3 Feeder Full</v>
      </c>
      <c r="Q2141" s="222" t="str">
        <f>IFERROR(__xludf.DUMMYFUNCTION("""COMPUTED_VALUE"""),"(26/01) KENDALA FEEDER SPE-FF full")</f>
        <v>(26/01) KENDALA FEEDER SPE-FF full</v>
      </c>
      <c r="R2141" s="228"/>
      <c r="S2141" s="11"/>
      <c r="T2141" s="11"/>
      <c r="U2141" s="11"/>
      <c r="V2141" s="229"/>
      <c r="W2141" s="229"/>
      <c r="X2141" s="229" t="str">
        <f>IFERROR(__xludf.DUMMYFUNCTION("""COMPUTED_VALUE"""),"BELUM GOLIVE")</f>
        <v>BELUM GOLIVE</v>
      </c>
      <c r="Y2141" s="229"/>
      <c r="Z2141" s="229" t="str">
        <f>IFERROR(__xludf.DUMMYFUNCTION("""COMPUTED_VALUE"""),"#N/A")</f>
        <v>#N/A</v>
      </c>
      <c r="AA2141" s="229"/>
      <c r="AB2141" s="229"/>
      <c r="AC2141" s="229"/>
      <c r="AD2141" s="232"/>
      <c r="AE2141" s="233"/>
      <c r="AF2141" s="54" t="str">
        <f>IFERROR(__xludf.DUMMYFUNCTION("""COMPUTED_VALUE"""),"Draft BA DROP")</f>
        <v>Draft BA DROP</v>
      </c>
      <c r="AG2141" s="54"/>
      <c r="AH2141" s="54"/>
      <c r="AI2141" s="55" t="str">
        <f t="shared" si="207"/>
        <v/>
      </c>
      <c r="AW2141" s="234"/>
      <c r="BP2141" s="11"/>
      <c r="BQ2141" s="11"/>
      <c r="BR2141" s="235"/>
      <c r="BV2141" s="158"/>
      <c r="BY2141" s="158"/>
      <c r="CB2141" s="158"/>
    </row>
    <row r="2142" ht="18.0" customHeight="1">
      <c r="A2142" s="222">
        <f>IFERROR(__xludf.DUMMYFUNCTION("""COMPUTED_VALUE"""),2026.0)</f>
        <v>2026</v>
      </c>
      <c r="B2142" s="221">
        <f>IFERROR(__xludf.DUMMYFUNCTION("""COMPUTED_VALUE"""),1.1092983E7)</f>
        <v>11092983</v>
      </c>
      <c r="C2142" s="222" t="str">
        <f>IFERROR(__xludf.DUMMYFUNCTION("""COMPUTED_VALUE"""),"RDR BKN PT3 P3I1 KUAPAN KAMPAR")</f>
        <v>RDR BKN PT3 P3I1 KUAPAN KAMPAR</v>
      </c>
      <c r="D2142" s="222" t="str">
        <f>IFERROR(__xludf.DUMMYFUNCTION("""COMPUTED_VALUE"""),"REGIONAL I")</f>
        <v>REGIONAL I</v>
      </c>
      <c r="E2142" s="222" t="str">
        <f>IFERROR(__xludf.DUMMYFUNCTION("""COMPUTED_VALUE"""),"RIDAR")</f>
        <v>RIDAR</v>
      </c>
      <c r="F2142" s="222" t="str">
        <f>IFERROR(__xludf.DUMMYFUNCTION("""COMPUTED_VALUE"""),"BKN")</f>
        <v>BKN</v>
      </c>
      <c r="G2142" s="222" t="str">
        <f>IFERROR(__xludf.DUMMYFUNCTION("""COMPUTED_VALUE"""),"SUMBAGTENG")</f>
        <v>SUMBAGTENG</v>
      </c>
      <c r="H2142" s="222" t="str">
        <f>IFERROR(__xludf.DUMMYFUNCTION("""COMPUTED_VALUE"""),"DUMAI")</f>
        <v>DUMAI</v>
      </c>
      <c r="I2142" s="222" t="str">
        <f>IFERROR(__xludf.DUMMYFUNCTION("""COMPUTED_VALUE"""),"Batch 2")</f>
        <v>Batch 2</v>
      </c>
      <c r="J2142" s="225">
        <f>IFERROR(__xludf.DUMMYFUNCTION("""COMPUTED_VALUE"""),23.0)</f>
        <v>23</v>
      </c>
      <c r="K2142" s="224">
        <f>IFERROR(__xludf.DUMMYFUNCTION("""COMPUTED_VALUE"""),184.0)</f>
        <v>184</v>
      </c>
      <c r="L2142" s="226">
        <f>IFERROR(__xludf.DUMMYFUNCTION("""COMPUTED_VALUE"""),1035289.0)</f>
        <v>1035289</v>
      </c>
      <c r="M2142" s="227">
        <f>IFERROR(__xludf.DUMMYFUNCTION("""COMPUTED_VALUE"""),1.90493074E8)</f>
        <v>190493074</v>
      </c>
      <c r="N2142" s="222" t="str">
        <f>IFERROR(__xludf.DUMMYFUNCTION("""COMPUTED_VALUE"""),"PT SABANA BABARE SEJAHTERA")</f>
        <v>PT SABANA BABARE SEJAHTERA</v>
      </c>
      <c r="O2142" s="222" t="str">
        <f>IFERROR(__xludf.DUMMYFUNCTION("""COMPUTED_VALUE"""),"8. UJI TERIMA")</f>
        <v>8. UJI TERIMA</v>
      </c>
      <c r="P2142" s="222" t="str">
        <f>IFERROR(__xludf.DUMMYFUNCTION("""COMPUTED_VALUE"""),"8.1 Proses UT")</f>
        <v>8.1 Proses UT</v>
      </c>
      <c r="Q2142" s="222" t="str">
        <f>IFERROR(__xludf.DUMMYFUNCTION("""COMPUTED_VALUE"""),"(07/01) Persiapan")</f>
        <v>(07/01) Persiapan</v>
      </c>
      <c r="R2142" s="228"/>
      <c r="S2142" s="11"/>
      <c r="T2142" s="11"/>
      <c r="U2142" s="11" t="str">
        <f>IFERROR(__xludf.DUMMYFUNCTION("""COMPUTED_VALUE"""),"W08-1518/2025")</f>
        <v>W08-1518/2025</v>
      </c>
      <c r="V2142" s="229" t="str">
        <f>IFERROR(__xludf.DUMMYFUNCTION("""COMPUTED_VALUE"""),"SYAFRIAL")</f>
        <v>SYAFRIAL</v>
      </c>
      <c r="W2142" s="229" t="str">
        <f>IFERROR(__xludf.DUMMYFUNCTION("""COMPUTED_VALUE"""),"DESLITA RAHMADANI")</f>
        <v>DESLITA RAHMADANI</v>
      </c>
      <c r="X2142" s="229" t="str">
        <f>IFERROR(__xludf.DUMMYFUNCTION("""COMPUTED_VALUE"""),"GOLIVE")</f>
        <v>GOLIVE</v>
      </c>
      <c r="Y2142" s="229" t="str">
        <f>IFERROR(__xludf.DUMMYFUNCTION("""COMPUTED_VALUE"""),"DONE")</f>
        <v>DONE</v>
      </c>
      <c r="Z2142" s="229" t="str">
        <f>IFERROR(__xludf.DUMMYFUNCTION("""COMPUTED_VALUE"""),"#N/A")</f>
        <v>#N/A</v>
      </c>
      <c r="AA2142" s="229">
        <f>IFERROR(__xludf.DUMMYFUNCTION("""COMPUTED_VALUE"""),23.0)</f>
        <v>23</v>
      </c>
      <c r="AB2142" s="229"/>
      <c r="AC2142" s="229" t="str">
        <f>IFERROR(__xludf.DUMMYFUNCTION("""COMPUTED_VALUE"""),"8934228#8934234")</f>
        <v>8934228#8934234</v>
      </c>
      <c r="AD2142" s="232">
        <f>IFERROR(__xludf.DUMMYFUNCTION("""COMPUTED_VALUE"""),184.0)</f>
        <v>184</v>
      </c>
      <c r="AE2142" s="233">
        <f>IFERROR(__xludf.DUMMYFUNCTION("""COMPUTED_VALUE"""),46031.0)</f>
        <v>46031</v>
      </c>
      <c r="AF2142" s="54"/>
      <c r="AG2142" s="54"/>
      <c r="AH2142" s="54"/>
      <c r="AI2142" s="55" t="str">
        <f t="shared" si="207"/>
        <v/>
      </c>
      <c r="AW2142" s="234"/>
      <c r="BP2142" s="11"/>
      <c r="BQ2142" s="11"/>
      <c r="BR2142" s="235"/>
      <c r="BV2142" s="158"/>
      <c r="BY2142" s="158"/>
      <c r="CB2142" s="158"/>
    </row>
    <row r="2143" ht="18.0" hidden="1" customHeight="1">
      <c r="A2143" s="222">
        <f>IFERROR(__xludf.DUMMYFUNCTION("""COMPUTED_VALUE"""),2026.0)</f>
        <v>2026</v>
      </c>
      <c r="B2143" s="221">
        <f>IFERROR(__xludf.DUMMYFUNCTION("""COMPUTED_VALUE"""),1.1325923E7)</f>
        <v>11325923</v>
      </c>
      <c r="C2143" s="222" t="str">
        <f>IFERROR(__xludf.DUMMYFUNCTION("""COMPUTED_VALUE"""),"MDN PT3 LBP-FT DENAI LAMA IV")</f>
        <v>MDN PT3 LBP-FT DENAI LAMA IV</v>
      </c>
      <c r="D2143" s="222" t="str">
        <f>IFERROR(__xludf.DUMMYFUNCTION("""COMPUTED_VALUE"""),"REGIONAL I")</f>
        <v>REGIONAL I</v>
      </c>
      <c r="E2143" s="222" t="str">
        <f>IFERROR(__xludf.DUMMYFUNCTION("""COMPUTED_VALUE"""),"MEDAN")</f>
        <v>MEDAN</v>
      </c>
      <c r="F2143" s="222" t="str">
        <f>IFERROR(__xludf.DUMMYFUNCTION("""COMPUTED_VALUE"""),"LBP")</f>
        <v>LBP</v>
      </c>
      <c r="G2143" s="222" t="str">
        <f>IFERROR(__xludf.DUMMYFUNCTION("""COMPUTED_VALUE"""),"SUMBAGUT")</f>
        <v>SUMBAGUT</v>
      </c>
      <c r="H2143" s="222" t="str">
        <f>IFERROR(__xludf.DUMMYFUNCTION("""COMPUTED_VALUE"""),"MEDAN")</f>
        <v>MEDAN</v>
      </c>
      <c r="I2143" s="222" t="str">
        <f>IFERROR(__xludf.DUMMYFUNCTION("""COMPUTED_VALUE"""),"Batch 2")</f>
        <v>Batch 2</v>
      </c>
      <c r="J2143" s="225">
        <f>IFERROR(__xludf.DUMMYFUNCTION("""COMPUTED_VALUE"""),24.0)</f>
        <v>24</v>
      </c>
      <c r="K2143" s="224">
        <f>IFERROR(__xludf.DUMMYFUNCTION("""COMPUTED_VALUE"""),192.0)</f>
        <v>192</v>
      </c>
      <c r="L2143" s="226">
        <f>IFERROR(__xludf.DUMMYFUNCTION("""COMPUTED_VALUE"""),1631348.0)</f>
        <v>1631348</v>
      </c>
      <c r="M2143" s="227">
        <f>IFERROR(__xludf.DUMMYFUNCTION("""COMPUTED_VALUE"""),3.13218655E8)</f>
        <v>313218655</v>
      </c>
      <c r="N2143" s="222" t="str">
        <f>IFERROR(__xludf.DUMMYFUNCTION("""COMPUTED_VALUE"""),"PT BONGKAR SEJATI ANDALAN")</f>
        <v>PT BONGKAR SEJATI ANDALAN</v>
      </c>
      <c r="O2143" s="222" t="str">
        <f>IFERROR(__xludf.DUMMYFUNCTION("""COMPUTED_VALUE"""),"0. DROP")</f>
        <v>0. DROP</v>
      </c>
      <c r="P2143" s="222" t="str">
        <f>IFERROR(__xludf.DUMMYFUNCTION("""COMPUTED_VALUE"""),"0.4 CPP Tinggi Acc ED TIF")</f>
        <v>0.4 CPP Tinggi Acc ED TIF</v>
      </c>
      <c r="Q2143" s="222" t="str">
        <f>IFERROR(__xludf.DUMMYFUNCTION("""COMPUTED_VALUE"""),"19/02 butuh penambahan tilen dari ODC-LBP-FU to Mini OLT
(07/01) Persiapan")</f>
        <v>19/02 butuh penambahan tilen dari ODC-LBP-FU to Mini OLT
(07/01) Persiapan</v>
      </c>
      <c r="R2143" s="228"/>
      <c r="S2143" s="11"/>
      <c r="T2143" s="11"/>
      <c r="U2143" s="11"/>
      <c r="V2143" s="229"/>
      <c r="W2143" s="229"/>
      <c r="X2143" s="229" t="str">
        <f>IFERROR(__xludf.DUMMYFUNCTION("""COMPUTED_VALUE"""),"BELUM GOLIVE")</f>
        <v>BELUM GOLIVE</v>
      </c>
      <c r="Y2143" s="229"/>
      <c r="Z2143" s="229" t="str">
        <f>IFERROR(__xludf.DUMMYFUNCTION("""COMPUTED_VALUE"""),"#N/A")</f>
        <v>#N/A</v>
      </c>
      <c r="AA2143" s="229"/>
      <c r="AB2143" s="229"/>
      <c r="AC2143" s="229"/>
      <c r="AD2143" s="232"/>
      <c r="AE2143" s="233"/>
      <c r="AF2143" s="54" t="str">
        <f>IFERROR(__xludf.DUMMYFUNCTION("""COMPUTED_VALUE"""),"Draft BA DROP")</f>
        <v>Draft BA DROP</v>
      </c>
      <c r="AG2143" s="54"/>
      <c r="AH2143" s="54"/>
      <c r="AI2143" s="55" t="str">
        <f t="shared" si="207"/>
        <v/>
      </c>
      <c r="AW2143" s="234"/>
      <c r="BP2143" s="11"/>
      <c r="BQ2143" s="11"/>
      <c r="BR2143" s="235"/>
      <c r="BV2143" s="158"/>
      <c r="BY2143" s="158"/>
      <c r="CB2143" s="158"/>
    </row>
    <row r="2144" ht="18.0" customHeight="1">
      <c r="A2144" s="222">
        <f>IFERROR(__xludf.DUMMYFUNCTION("""COMPUTED_VALUE"""),2026.0)</f>
        <v>2026</v>
      </c>
      <c r="B2144" s="221">
        <f>IFERROR(__xludf.DUMMYFUNCTION("""COMPUTED_VALUE"""),1.1908503E7)</f>
        <v>11908503</v>
      </c>
      <c r="C2144" s="222" t="str">
        <f>IFERROR(__xludf.DUMMYFUNCTION("""COMPUTED_VALUE"""),"RDR JPP PT3 3 CLUSTER TAK FZ")</f>
        <v>RDR JPP PT3 3 CLUSTER TAK FZ</v>
      </c>
      <c r="D2144" s="222" t="str">
        <f>IFERROR(__xludf.DUMMYFUNCTION("""COMPUTED_VALUE"""),"REGIONAL I")</f>
        <v>REGIONAL I</v>
      </c>
      <c r="E2144" s="222" t="str">
        <f>IFERROR(__xludf.DUMMYFUNCTION("""COMPUTED_VALUE"""),"RIDAR")</f>
        <v>RIDAR</v>
      </c>
      <c r="F2144" s="222" t="str">
        <f>IFERROR(__xludf.DUMMYFUNCTION("""COMPUTED_VALUE"""),"TAK")</f>
        <v>TAK</v>
      </c>
      <c r="G2144" s="222" t="str">
        <f>IFERROR(__xludf.DUMMYFUNCTION("""COMPUTED_VALUE"""),"SUMBAGTENG")</f>
        <v>SUMBAGTENG</v>
      </c>
      <c r="H2144" s="222" t="str">
        <f>IFERROR(__xludf.DUMMYFUNCTION("""COMPUTED_VALUE"""),"DUMAI")</f>
        <v>DUMAI</v>
      </c>
      <c r="I2144" s="222" t="str">
        <f>IFERROR(__xludf.DUMMYFUNCTION("""COMPUTED_VALUE"""),"Batch 2")</f>
        <v>Batch 2</v>
      </c>
      <c r="J2144" s="225">
        <f>IFERROR(__xludf.DUMMYFUNCTION("""COMPUTED_VALUE"""),9.0)</f>
        <v>9</v>
      </c>
      <c r="K2144" s="224">
        <f>IFERROR(__xludf.DUMMYFUNCTION("""COMPUTED_VALUE"""),72.0)</f>
        <v>72</v>
      </c>
      <c r="L2144" s="226">
        <f>IFERROR(__xludf.DUMMYFUNCTION("""COMPUTED_VALUE"""),1090608.0)</f>
        <v>1090608</v>
      </c>
      <c r="M2144" s="227">
        <f>IFERROR(__xludf.DUMMYFUNCTION("""COMPUTED_VALUE"""),7.8523723E7)</f>
        <v>78523723</v>
      </c>
      <c r="N2144" s="222" t="str">
        <f>IFERROR(__xludf.DUMMYFUNCTION("""COMPUTED_VALUE"""),"PT KENCANA RAYA INDONESIA")</f>
        <v>PT KENCANA RAYA INDONESIA</v>
      </c>
      <c r="O2144" s="222" t="str">
        <f>IFERROR(__xludf.DUMMYFUNCTION("""COMPUTED_VALUE"""),"7. GOLIVE")</f>
        <v>7. GOLIVE</v>
      </c>
      <c r="P2144" s="222" t="str">
        <f>IFERROR(__xludf.DUMMYFUNCTION("""COMPUTED_VALUE"""),"7.2 Golive Full / OA / DONE OTB")</f>
        <v>7.2 Golive Full / OA / DONE OTB</v>
      </c>
      <c r="Q2144" s="222" t="str">
        <f>IFERROR(__xludf.DUMMYFUNCTION("""COMPUTED_VALUE"""),"(07/01) Persiapan")</f>
        <v>(07/01) Persiapan</v>
      </c>
      <c r="R2144" s="228"/>
      <c r="S2144" s="11"/>
      <c r="T2144" s="11"/>
      <c r="U2144" s="11" t="str">
        <f>IFERROR(__xludf.DUMMYFUNCTION("""COMPUTED_VALUE"""),"W08-1530/2025")</f>
        <v>W08-1530/2025</v>
      </c>
      <c r="V2144" s="229" t="str">
        <f>IFERROR(__xludf.DUMMYFUNCTION("""COMPUTED_VALUE"""),"PIKI NOFRI SAPUTRA")</f>
        <v>PIKI NOFRI SAPUTRA</v>
      </c>
      <c r="W2144" s="229" t="str">
        <f>IFERROR(__xludf.DUMMYFUNCTION("""COMPUTED_VALUE"""),"ANZALA SAKINAH")</f>
        <v>ANZALA SAKINAH</v>
      </c>
      <c r="X2144" s="229" t="str">
        <f>IFERROR(__xludf.DUMMYFUNCTION("""COMPUTED_VALUE"""),"GOLIVE")</f>
        <v>GOLIVE</v>
      </c>
      <c r="Y2144" s="229" t="str">
        <f>IFERROR(__xludf.DUMMYFUNCTION("""COMPUTED_VALUE"""),"DONE")</f>
        <v>DONE</v>
      </c>
      <c r="Z2144" s="229" t="str">
        <f>IFERROR(__xludf.DUMMYFUNCTION("""COMPUTED_VALUE"""),"#N/A")</f>
        <v>#N/A</v>
      </c>
      <c r="AA2144" s="229">
        <f>IFERROR(__xludf.DUMMYFUNCTION("""COMPUTED_VALUE"""),9.0)</f>
        <v>9</v>
      </c>
      <c r="AB2144" s="229"/>
      <c r="AC2144" s="229" t="str">
        <f>IFERROR(__xludf.DUMMYFUNCTION("""COMPUTED_VALUE"""),"8960579#8960584")</f>
        <v>8960579#8960584</v>
      </c>
      <c r="AD2144" s="232">
        <f>IFERROR(__xludf.DUMMYFUNCTION("""COMPUTED_VALUE"""),72.0)</f>
        <v>72</v>
      </c>
      <c r="AE2144" s="233">
        <f>IFERROR(__xludf.DUMMYFUNCTION("""COMPUTED_VALUE"""),46030.0)</f>
        <v>46030</v>
      </c>
      <c r="AF2144" s="54"/>
      <c r="AG2144" s="54"/>
      <c r="AH2144" s="54"/>
      <c r="AI2144" s="55" t="str">
        <f>IF(OR(AH2144="",AE2144=""),"",AH2144-AE2144)</f>
        <v/>
      </c>
      <c r="AW2144" s="234"/>
      <c r="BP2144" s="11"/>
      <c r="BQ2144" s="11"/>
      <c r="BR2144" s="235"/>
      <c r="BV2144" s="158"/>
      <c r="BY2144" s="158"/>
      <c r="CB2144" s="158"/>
    </row>
    <row r="2145" ht="18.0" hidden="1" customHeight="1">
      <c r="A2145" s="222">
        <f>IFERROR(__xludf.DUMMYFUNCTION("""COMPUTED_VALUE"""),2026.0)</f>
        <v>2026</v>
      </c>
      <c r="B2145" s="221">
        <f>IFERROR(__xludf.DUMMYFUNCTION("""COMPUTED_VALUE"""),1.1288281E7)</f>
        <v>11288281</v>
      </c>
      <c r="C2145" s="222" t="str">
        <f>IFERROR(__xludf.DUMMYFUNCTION("""COMPUTED_VALUE"""),"ACH PT3 BPD-FQ BR D01 LADANG NEUBOK_MD")</f>
        <v>ACH PT3 BPD-FQ BR D01 LADANG NEUBOK_MD</v>
      </c>
      <c r="D2145" s="222" t="str">
        <f>IFERROR(__xludf.DUMMYFUNCTION("""COMPUTED_VALUE"""),"REGIONAL I")</f>
        <v>REGIONAL I</v>
      </c>
      <c r="E2145" s="222" t="str">
        <f>IFERROR(__xludf.DUMMYFUNCTION("""COMPUTED_VALUE"""),"ACEH")</f>
        <v>ACEH</v>
      </c>
      <c r="F2145" s="222" t="str">
        <f>IFERROR(__xludf.DUMMYFUNCTION("""COMPUTED_VALUE"""),"BPD")</f>
        <v>BPD</v>
      </c>
      <c r="G2145" s="222" t="str">
        <f>IFERROR(__xludf.DUMMYFUNCTION("""COMPUTED_VALUE"""),"SUMBAGUT")</f>
        <v>SUMBAGUT</v>
      </c>
      <c r="H2145" s="222" t="str">
        <f>IFERROR(__xludf.DUMMYFUNCTION("""COMPUTED_VALUE"""),"BANDA ACEH")</f>
        <v>BANDA ACEH</v>
      </c>
      <c r="I2145" s="222" t="str">
        <f>IFERROR(__xludf.DUMMYFUNCTION("""COMPUTED_VALUE"""),"Batch 2")</f>
        <v>Batch 2</v>
      </c>
      <c r="J2145" s="225">
        <f>IFERROR(__xludf.DUMMYFUNCTION("""COMPUTED_VALUE"""),5.0)</f>
        <v>5</v>
      </c>
      <c r="K2145" s="224">
        <f>IFERROR(__xludf.DUMMYFUNCTION("""COMPUTED_VALUE"""),48.0)</f>
        <v>48</v>
      </c>
      <c r="L2145" s="226">
        <f>IFERROR(__xludf.DUMMYFUNCTION("""COMPUTED_VALUE"""),1060788.0)</f>
        <v>1060788</v>
      </c>
      <c r="M2145" s="227">
        <f>IFERROR(__xludf.DUMMYFUNCTION("""COMPUTED_VALUE"""),5.0917783E7)</f>
        <v>50917783</v>
      </c>
      <c r="N2145" s="222" t="str">
        <f>IFERROR(__xludf.DUMMYFUNCTION("""COMPUTED_VALUE"""),"PT NIAGA NUSANTARA DIVA")</f>
        <v>PT NIAGA NUSANTARA DIVA</v>
      </c>
      <c r="O2145" s="222" t="str">
        <f>IFERROR(__xludf.DUMMYFUNCTION("""COMPUTED_VALUE"""),"8. UJI TERIMA")</f>
        <v>8. UJI TERIMA</v>
      </c>
      <c r="P2145" s="222" t="str">
        <f>IFERROR(__xludf.DUMMYFUNCTION("""COMPUTED_VALUE"""),"8.1 Proses UT")</f>
        <v>8.1 Proses UT</v>
      </c>
      <c r="Q2145" s="222" t="str">
        <f>IFERROR(__xludf.DUMMYFUNCTION("""COMPUTED_VALUE"""),"(03/02) ABD Mancore 29/01 penarikan selesai menunggu Distribusi catuan selesai penarikan (12/01) proses perizinan ke kades setempat, (07/01) Persiapan")</f>
        <v>(03/02) ABD Mancore 29/01 penarikan selesai menunggu Distribusi catuan selesai penarikan (12/01) proses perizinan ke kades setempat, (07/01) Persiapan</v>
      </c>
      <c r="R2145" s="228">
        <f>IFERROR(__xludf.DUMMYFUNCTION("""COMPUTED_VALUE"""),46056.0)</f>
        <v>46056</v>
      </c>
      <c r="S2145" s="11"/>
      <c r="T2145" s="11"/>
      <c r="U2145" s="11"/>
      <c r="V2145" s="229"/>
      <c r="W2145" s="229"/>
      <c r="X2145" s="229" t="str">
        <f>IFERROR(__xludf.DUMMYFUNCTION("""COMPUTED_VALUE"""),"GOLIVE")</f>
        <v>GOLIVE</v>
      </c>
      <c r="Y2145" s="229" t="str">
        <f>IFERROR(__xludf.DUMMYFUNCTION("""COMPUTED_VALUE"""),"DONE")</f>
        <v>DONE</v>
      </c>
      <c r="Z2145" s="229" t="str">
        <f>IFERROR(__xludf.DUMMYFUNCTION("""COMPUTED_VALUE"""),"#N/A")</f>
        <v>#N/A</v>
      </c>
      <c r="AA2145" s="229">
        <f>IFERROR(__xludf.DUMMYFUNCTION("""COMPUTED_VALUE"""),6.0)</f>
        <v>6</v>
      </c>
      <c r="AB2145" s="229"/>
      <c r="AC2145" s="229" t="str">
        <f>IFERROR(__xludf.DUMMYFUNCTION("""COMPUTED_VALUE"""),"9054101#9054106")</f>
        <v>9054101#9054106</v>
      </c>
      <c r="AD2145" s="232">
        <f>IFERROR(__xludf.DUMMYFUNCTION("""COMPUTED_VALUE"""),48.0)</f>
        <v>48</v>
      </c>
      <c r="AE2145" s="233">
        <f>IFERROR(__xludf.DUMMYFUNCTION("""COMPUTED_VALUE"""),46056.0)</f>
        <v>46056</v>
      </c>
      <c r="AF2145" s="54"/>
      <c r="AG2145" s="54"/>
      <c r="AH2145" s="54">
        <v>46056.0</v>
      </c>
      <c r="AI2145" s="55">
        <f t="shared" ref="AI2145:AI2147" si="208">IF(OR(R2145="",AE2145=""),"",R2145-AE2145)</f>
        <v>0</v>
      </c>
      <c r="AW2145" s="234"/>
      <c r="BP2145" s="11"/>
      <c r="BQ2145" s="11"/>
      <c r="BR2145" s="235"/>
      <c r="BV2145" s="158"/>
      <c r="BY2145" s="158"/>
      <c r="CB2145" s="158"/>
    </row>
    <row r="2146" ht="18.0" hidden="1" customHeight="1">
      <c r="A2146" s="222">
        <f>IFERROR(__xludf.DUMMYFUNCTION("""COMPUTED_VALUE"""),2026.0)</f>
        <v>2026</v>
      </c>
      <c r="B2146" s="221">
        <f>IFERROR(__xludf.DUMMYFUNCTION("""COMPUTED_VALUE"""),1.1388814E7)</f>
        <v>11388814</v>
      </c>
      <c r="C2146" s="222" t="str">
        <f>IFERROR(__xludf.DUMMYFUNCTION("""COMPUTED_VALUE"""),"SMS P2I2 PT4 IDL FXX MUARA PENIMBUNG")</f>
        <v>SMS P2I2 PT4 IDL FXX MUARA PENIMBUNG</v>
      </c>
      <c r="D2146" s="222" t="str">
        <f>IFERROR(__xludf.DUMMYFUNCTION("""COMPUTED_VALUE"""),"REGIONAL I")</f>
        <v>REGIONAL I</v>
      </c>
      <c r="E2146" s="222" t="str">
        <f>IFERROR(__xludf.DUMMYFUNCTION("""COMPUTED_VALUE"""),"SUMSEL")</f>
        <v>SUMSEL</v>
      </c>
      <c r="F2146" s="222" t="str">
        <f>IFERROR(__xludf.DUMMYFUNCTION("""COMPUTED_VALUE"""),"IDL")</f>
        <v>IDL</v>
      </c>
      <c r="G2146" s="222" t="str">
        <f>IFERROR(__xludf.DUMMYFUNCTION("""COMPUTED_VALUE"""),"SUMBAGSEL")</f>
        <v>SUMBAGSEL</v>
      </c>
      <c r="H2146" s="222" t="str">
        <f>IFERROR(__xludf.DUMMYFUNCTION("""COMPUTED_VALUE"""),"PALEMBANG")</f>
        <v>PALEMBANG</v>
      </c>
      <c r="I2146" s="222" t="str">
        <f>IFERROR(__xludf.DUMMYFUNCTION("""COMPUTED_VALUE"""),"Batch 2")</f>
        <v>Batch 2</v>
      </c>
      <c r="J2146" s="225">
        <f>IFERROR(__xludf.DUMMYFUNCTION("""COMPUTED_VALUE"""),22.0)</f>
        <v>22</v>
      </c>
      <c r="K2146" s="224">
        <f>IFERROR(__xludf.DUMMYFUNCTION("""COMPUTED_VALUE"""),168.0)</f>
        <v>168</v>
      </c>
      <c r="L2146" s="226">
        <f>IFERROR(__xludf.DUMMYFUNCTION("""COMPUTED_VALUE"""),1631646.0)</f>
        <v>1631646</v>
      </c>
      <c r="M2146" s="227">
        <f>IFERROR(__xludf.DUMMYFUNCTION("""COMPUTED_VALUE"""),2.74116505E8)</f>
        <v>274116505</v>
      </c>
      <c r="N2146" s="222" t="str">
        <f>IFERROR(__xludf.DUMMYFUNCTION("""COMPUTED_VALUE"""),"PT SARANA MITRA PERSADA")</f>
        <v>PT SARANA MITRA PERSADA</v>
      </c>
      <c r="O2146" s="222" t="str">
        <f>IFERROR(__xludf.DUMMYFUNCTION("""COMPUTED_VALUE"""),"2. DONE AANWIJZING")</f>
        <v>2. DONE AANWIJZING</v>
      </c>
      <c r="P2146" s="222" t="str">
        <f>IFERROR(__xludf.DUMMYFUNCTION("""COMPUTED_VALUE"""),"2.5 Proses Create PID")</f>
        <v>2.5 Proses Create PID</v>
      </c>
      <c r="Q2146" s="222" t="str">
        <f>IFERROR(__xludf.DUMMYFUNCTION("""COMPUTED_VALUE"""),"27/04 MENUNGGU TTD DRM MITRA, 24/04 PROSES DRM MITRA, 23/04 HASIL KOORDINASI TIF, TA DAN MTEL SDH DI APPROVE TERKAIT TIANG MTEL, 22/04 menunggu koordinasi antara tif, ta dan mtel terkait penggunaan tiang mterl secara bersama-sama, 09/04MASIH BLM ADA INFO "&amp;"LANJUT TERKAIT TIANG MTEL, 08/04 MASIH BLM ADA INFO LANJUT TERKAIT TIANG MTEL, 01/04 MASIH BLM ADA INFO LANJUT TERKAIT TIANG MTEL, 25/03 MASIH BLM ADA INFO KELANJUTAN TERKAIT TIANG MTEL, 13/03 SDH DI FU TRS TP MSI BLM ADA INFO TERKAIT TIANG MTEL, 10/03 MS"&amp;"H BLM ADA INFO TERKAIT TIANG MTEL, 27/02 MSH BLM ADA INFO TERKAIT TIANG MTEL, 24/02 BLM ADA UPDATE TERKAIT TIANG MTEL, 22/2 kendala minol dan tiang MTEL 15/02 HOLD, TERKAIT TIANG MTEL CPP PLAN 1,6 JT - CPP SURVEY 1,4 JT, 10/02 BLM ADA INFO TERKAIT KENDALA"&amp;" DI LOKASI BYK TIANG MTEL, 06/02 HASIL REVIEW TSEL - NEED FU TIF PENGGUNAAN TIANG MTEL, 30/01 DONE EVAL, NILAI CPP 1,3 , ADA NYA PENURUNAN NILAI DRI PLAN, TETAPI D LOKASI BERSISIPPAN DG TIANG MTEL, D HITUNG ULANG BOQ DG PENAMBAHAN TIANG BARU, 15/01 order "&amp;"2025 sdh drm ke mitra, proses instalasi 31/01 menunggu DRM 30/01 DONE EVAL, NILAI CPP 1,3 , ADA NYA PENURUNAN NILAI DRI PLAN, TETAPI D LOKASI BERSISIPPAN DG TIANG MTEL, D HITUNG ULANG BOQ DG PENAMBAHAN TIANG BARU, 26/1 tim TIF belum bisa EVAL hasil anwijz"&amp;"ing karena lagi diluar kota , estimasi 29 jan baru kembali ke Palembang(24/1) Menunggu Update BOQmenunggu hasil eval (21/01) HI aanwjizng ke lokasi, (15/1)KONFIRM ULANG KE KADES TERKAIT PERIJINAN - LOP 2025 (15/1) ORDER DITERIMA 14/1, PLAN AANWIJDZING 20 "&amp;"JAN 26 PERLU MENGHUBUNGI ULANG KADES (06/01)order JPP batch-2 2026 (16/12 HOLD, 08/12 menunggu jadwal UT,, 26/11 digging pole 21/11 menunggu antrian progress pekerjaan, 18/11 OGP menunggu antrian matdel, 12/11 MASIH DELIVERY MATERIAL, 10/11 delivery mater"&amp;"ial 04/11 matdel 08/10 aanwizjing done, proses update data hasil aanwizjing untuk eval dg tif
 01/10 proses aanwijzing HI.")</f>
        <v>27/04 MENUNGGU TTD DRM MITRA, 24/04 PROSES DRM MITRA, 23/04 HASIL KOORDINASI TIF, TA DAN MTEL SDH DI APPROVE TERKAIT TIANG MTEL, 22/04 menunggu koordinasi antara tif, ta dan mtel terkait penggunaan tiang mterl secara bersama-sama, 09/04MASIH BLM ADA INFO LANJUT TERKAIT TIANG MTEL, 08/04 MASIH BLM ADA INFO LANJUT TERKAIT TIANG MTEL, 01/04 MASIH BLM ADA INFO LANJUT TERKAIT TIANG MTEL, 25/03 MASIH BLM ADA INFO KELANJUTAN TERKAIT TIANG MTEL, 13/03 SDH DI FU TRS TP MSI BLM ADA INFO TERKAIT TIANG MTEL, 10/03 MSH BLM ADA INFO TERKAIT TIANG MTEL, 27/02 MSH BLM ADA INFO TERKAIT TIANG MTEL, 24/02 BLM ADA UPDATE TERKAIT TIANG MTEL, 22/2 kendala minol dan tiang MTEL 15/02 HOLD, TERKAIT TIANG MTEL CPP PLAN 1,6 JT - CPP SURVEY 1,4 JT, 10/02 BLM ADA INFO TERKAIT KENDALA DI LOKASI BYK TIANG MTEL, 06/02 HASIL REVIEW TSEL - NEED FU TIF PENGGUNAAN TIANG MTEL, 30/01 DONE EVAL, NILAI CPP 1,3 , ADA NYA PENURUNAN NILAI DRI PLAN, TETAPI D LOKASI BERSISIPPAN DG TIANG MTEL, D HITUNG ULANG BOQ DG PENAMBAHAN TIANG BARU, 15/01 order 2025 sdh drm ke mitra, proses instalasi 31/01 menunggu DRM 30/01 DONE EVAL, NILAI CPP 1,3 , ADA NYA PENURUNAN NILAI DRI PLAN, TETAPI D LOKASI BERSISIPPAN DG TIANG MTEL, D HITUNG ULANG BOQ DG PENAMBAHAN TIANG BARU, 26/1 tim TIF belum bisa EVAL hasil anwijzing karena lagi diluar kota , estimasi 29 jan baru kembali ke Palembang(24/1) Menunggu Update BOQmenunggu hasil eval (21/01) HI aanwjizng ke lokasi, (15/1)KONFIRM ULANG KE KADES TERKAIT PERIJINAN - LOP 2025 (15/1) ORDER DITERIMA 14/1, PLAN AANWIJDZING 20 JAN 26 PERLU MENGHUBUNGI ULANG KADES (06/01)order JPP batch-2 2026 (16/12 HOLD, 08/12 menunggu jadwal UT,, 26/11 digging pole 21/11 menunggu antrian progress pekerjaan, 18/11 OGP menunggu antrian matdel, 12/11 MASIH DELIVERY MATERIAL, 10/11 delivery material 04/11 matdel 08/10 aanwizjing done, proses update data hasil aanwizjing untuk eval dg tif
 01/10 proses aanwijzing HI.</v>
      </c>
      <c r="R2146" s="228"/>
      <c r="S2146" s="11"/>
      <c r="T2146" s="11"/>
      <c r="U2146" s="11"/>
      <c r="V2146" s="229" t="str">
        <f>IFERROR(__xludf.DUMMYFUNCTION("""COMPUTED_VALUE"""),"RENALDO")</f>
        <v>RENALDO</v>
      </c>
      <c r="W2146" s="229"/>
      <c r="X2146" s="229" t="str">
        <f>IFERROR(__xludf.DUMMYFUNCTION("""COMPUTED_VALUE"""),"BELUM GOLIVE")</f>
        <v>BELUM GOLIVE</v>
      </c>
      <c r="Y2146" s="229"/>
      <c r="Z2146" s="229"/>
      <c r="AA2146" s="229"/>
      <c r="AB2146" s="229"/>
      <c r="AC2146" s="229"/>
      <c r="AD2146" s="232"/>
      <c r="AE2146" s="233"/>
      <c r="AF2146" s="54"/>
      <c r="AG2146" s="54"/>
      <c r="AH2146" s="54"/>
      <c r="AI2146" s="55" t="str">
        <f t="shared" si="208"/>
        <v/>
      </c>
      <c r="AW2146" s="234"/>
      <c r="BP2146" s="11"/>
      <c r="BQ2146" s="11"/>
      <c r="BR2146" s="235"/>
      <c r="BV2146" s="158"/>
      <c r="BY2146" s="158"/>
      <c r="CB2146" s="158"/>
    </row>
    <row r="2147" ht="18.0" hidden="1" customHeight="1">
      <c r="A2147" s="222">
        <f>IFERROR(__xludf.DUMMYFUNCTION("""COMPUTED_VALUE"""),2026.0)</f>
        <v>2026</v>
      </c>
      <c r="B2147" s="221">
        <f>IFERROR(__xludf.DUMMYFUNCTION("""COMPUTED_VALUE"""),1.1388556E7)</f>
        <v>11388556</v>
      </c>
      <c r="C2147" s="222" t="str">
        <f>IFERROR(__xludf.DUMMYFUNCTION("""COMPUTED_VALUE"""),"SMS P2I2 PT3 PGC FAE D10 PERUM BRI")</f>
        <v>SMS P2I2 PT3 PGC FAE D10 PERUM BRI</v>
      </c>
      <c r="D2147" s="222" t="str">
        <f>IFERROR(__xludf.DUMMYFUNCTION("""COMPUTED_VALUE"""),"REGIONAL I")</f>
        <v>REGIONAL I</v>
      </c>
      <c r="E2147" s="222" t="str">
        <f>IFERROR(__xludf.DUMMYFUNCTION("""COMPUTED_VALUE"""),"SUMSEL")</f>
        <v>SUMSEL</v>
      </c>
      <c r="F2147" s="222" t="str">
        <f>IFERROR(__xludf.DUMMYFUNCTION("""COMPUTED_VALUE"""),"PGC")</f>
        <v>PGC</v>
      </c>
      <c r="G2147" s="222" t="str">
        <f>IFERROR(__xludf.DUMMYFUNCTION("""COMPUTED_VALUE"""),"SUMBAGSEL")</f>
        <v>SUMBAGSEL</v>
      </c>
      <c r="H2147" s="222" t="str">
        <f>IFERROR(__xludf.DUMMYFUNCTION("""COMPUTED_VALUE"""),"PALEMBANG")</f>
        <v>PALEMBANG</v>
      </c>
      <c r="I2147" s="222" t="str">
        <f>IFERROR(__xludf.DUMMYFUNCTION("""COMPUTED_VALUE"""),"Batch 2")</f>
        <v>Batch 2</v>
      </c>
      <c r="J2147" s="225">
        <f>IFERROR(__xludf.DUMMYFUNCTION("""COMPUTED_VALUE"""),3.0)</f>
        <v>3</v>
      </c>
      <c r="K2147" s="224">
        <f>IFERROR(__xludf.DUMMYFUNCTION("""COMPUTED_VALUE"""),24.0)</f>
        <v>24</v>
      </c>
      <c r="L2147" s="226">
        <f>IFERROR(__xludf.DUMMYFUNCTION("""COMPUTED_VALUE"""),1633130.0)</f>
        <v>1633130</v>
      </c>
      <c r="M2147" s="227">
        <f>IFERROR(__xludf.DUMMYFUNCTION("""COMPUTED_VALUE"""),3.9195107E7)</f>
        <v>39195107</v>
      </c>
      <c r="N2147" s="222" t="str">
        <f>IFERROR(__xludf.DUMMYFUNCTION("""COMPUTED_VALUE"""),"PT ACERO CETHA METALINDO")</f>
        <v>PT ACERO CETHA METALINDO</v>
      </c>
      <c r="O2147" s="222" t="str">
        <f>IFERROR(__xludf.DUMMYFUNCTION("""COMPUTED_VALUE"""),"7. GOLIVE")</f>
        <v>7. GOLIVE</v>
      </c>
      <c r="P2147" s="222" t="str">
        <f>IFERROR(__xludf.DUMMYFUNCTION("""COMPUTED_VALUE"""),"7.2 Golive Full / OA / DONE OTB")</f>
        <v>7.2 Golive Full / OA / DONE OTB</v>
      </c>
      <c r="Q2147" s="222" t="str">
        <f>IFERROR(__xludf.DUMMYFUNCTION("""COMPUTED_VALUE"""),"10/02 DONE SUBMIT ABD KE SDI, 10/02 DONE VALINS, 7/2 plan dari mitra 7 feb selesai fisik  06/02 HASIL REVIEW TSEL PLAN GOLIVE TGL 10 FEB, 05/02 di lokasi ada kendala dri pihak perumahan belum fix penempatan odp d lapangan dri plan, 30/01 OGP PEMASANGAN OD"&amp;"P, (24/1)pembangunan ODP  (21/01) proses pembuatan HH pit pelanggan, (15/1) Instal ODP, Menunggu Jalan Selesai di Cor (12/01) PENARIKAN KABEEL TANAH, 06/01 BENTANG HDPE, 05/01 OGP PEMASANGAN FRAME,  30/12  gali lobang pembuatan subduct, 23/12 gali lobang "&amp;"pembuatan subduct, 16/12 gali lobang pembuatan subduct, (28/11) hasil kesepakatan antara telkomsel, tif dan ED serta TA lokasi ini untuk tetap d lanjut, sampai selesai paralel pemberkasan bast
18/11 masih menunggu perizinan, 12/11 masih menunggu perizinan"&amp;", 10/11 masih nunggu perizinan 04/11 masih menunggu perizinan 08/10 info dari pihak deplover mereka mau pembersihan dlu jalur untuk galian
01/10 proses koord dgn pihak developer utk design perumahan. 25/09 menunggu konfirm ED karena CPP naik (29/08) di lo"&amp;"kasi masih tahap pembangunan perumahan, di lokasi meminta di bangun pedestal, hasil koordasi dg tif untuk hold dahulu
(25/08) perumahan masih dalam tahap pembangunan
(19/08) perumahan masih dalam tahap pembangunan. (31/07) dilokasi perumahan masih tahap p"&amp;"embangunan untk rumah dinas bank BRI, di lokasi meminta pedestal
(24/07) dilokasi perumahan masih tahap pembangunan untk rumah dinas bank BRI, di lokasi meminta pedestal
(07/07) penunjukan mitra")</f>
        <v>10/02 DONE SUBMIT ABD KE SDI, 10/02 DONE VALINS, 7/2 plan dari mitra 7 feb selesai fisik  06/02 HASIL REVIEW TSEL PLAN GOLIVE TGL 10 FEB, 05/02 di lokasi ada kendala dri pihak perumahan belum fix penempatan odp d lapangan dri plan, 30/01 OGP PEMASANGAN ODP, (24/1)pembangunan ODP  (21/01) proses pembuatan HH pit pelanggan, (15/1) Instal ODP, Menunggu Jalan Selesai di Cor (12/01) PENARIKAN KABEEL TANAH, 06/01 BENTANG HDPE, 05/01 OGP PEMASANGAN FRAME,  30/12  gali lobang pembuatan subduct, 23/12 gali lobang pembuatan subduct, 16/12 gali lobang pembuatan subduct, (28/11) hasil kesepakatan antara telkomsel, tif dan ED serta TA lokasi ini untuk tetap d lanjut, sampai selesai paralel pemberkasan bast
18/11 masih menunggu perizinan, 12/11 masih menunggu perizinan, 10/11 masih nunggu perizinan 04/11 masih menunggu perizinan 08/10 info dari pihak deplover mereka mau pembersihan dlu jalur untuk galian
01/10 proses koord dgn pihak developer utk design perumahan. 25/09 menunggu konfirm ED karena CPP naik (29/08) di lokasi masih tahap pembangunan perumahan, di lokasi meminta di bangun pedestal, hasil koordasi dg tif untuk hold dahulu
(25/08) perumahan masih dalam tahap pembangunan
(19/08) perumahan masih dalam tahap pembangunan. (31/07) dilokasi perumahan masih tahap pembangunan untk rumah dinas bank BRI, di lokasi meminta pedestal
(24/07) dilokasi perumahan masih tahap pembangunan untk rumah dinas bank BRI, di lokasi meminta pedestal
(07/07) penunjukan mitra</v>
      </c>
      <c r="R2147" s="228">
        <f>IFERROR(__xludf.DUMMYFUNCTION("""COMPUTED_VALUE"""),46064.0)</f>
        <v>46064</v>
      </c>
      <c r="S2147" s="11"/>
      <c r="T2147" s="11"/>
      <c r="U2147" s="11"/>
      <c r="V2147" s="229" t="str">
        <f>IFERROR(__xludf.DUMMYFUNCTION("""COMPUTED_VALUE"""),"TEGAR")</f>
        <v>TEGAR</v>
      </c>
      <c r="W2147" s="229"/>
      <c r="X2147" s="229" t="str">
        <f>IFERROR(__xludf.DUMMYFUNCTION("""COMPUTED_VALUE"""),"GOLIVE")</f>
        <v>GOLIVE</v>
      </c>
      <c r="Y2147" s="229" t="str">
        <f>IFERROR(__xludf.DUMMYFUNCTION("""COMPUTED_VALUE"""),"DONE")</f>
        <v>DONE</v>
      </c>
      <c r="Z2147" s="229" t="str">
        <f>IFERROR(__xludf.DUMMYFUNCTION("""COMPUTED_VALUE"""),"#N/A")</f>
        <v>#N/A</v>
      </c>
      <c r="AA2147" s="229">
        <f>IFERROR(__xludf.DUMMYFUNCTION("""COMPUTED_VALUE"""),4.0)</f>
        <v>4</v>
      </c>
      <c r="AB2147" s="229"/>
      <c r="AC2147" s="229" t="str">
        <f>IFERROR(__xludf.DUMMYFUNCTION("""COMPUTED_VALUE"""),"8949762#8949768")</f>
        <v>8949762#8949768</v>
      </c>
      <c r="AD2147" s="232">
        <f>IFERROR(__xludf.DUMMYFUNCTION("""COMPUTED_VALUE"""),32.0)</f>
        <v>32</v>
      </c>
      <c r="AE2147" s="233">
        <f>IFERROR(__xludf.DUMMYFUNCTION("""COMPUTED_VALUE"""),46063.0)</f>
        <v>46063</v>
      </c>
      <c r="AF2147" s="54"/>
      <c r="AG2147" s="54"/>
      <c r="AH2147" s="54">
        <v>46064.0</v>
      </c>
      <c r="AI2147" s="55">
        <f t="shared" si="208"/>
        <v>1</v>
      </c>
      <c r="AW2147" s="234"/>
      <c r="BP2147" s="11"/>
      <c r="BQ2147" s="11"/>
      <c r="BR2147" s="235"/>
      <c r="BV2147" s="158"/>
      <c r="BY2147" s="158"/>
      <c r="CB2147" s="158"/>
    </row>
    <row r="2148" ht="18.0" hidden="1" customHeight="1">
      <c r="A2148" s="222">
        <f>IFERROR(__xludf.DUMMYFUNCTION("""COMPUTED_VALUE"""),2026.0)</f>
        <v>2026</v>
      </c>
      <c r="B2148" s="221">
        <f>IFERROR(__xludf.DUMMYFUNCTION("""COMPUTED_VALUE"""),1.1435796E7)</f>
        <v>11435796</v>
      </c>
      <c r="C2148" s="222" t="str">
        <f>IFERROR(__xludf.DUMMYFUNCTION("""COMPUTED_VALUE"""),"SMU TRT-FAQ CLUST PAHAE JAE")</f>
        <v>SMU TRT-FAQ CLUST PAHAE JAE</v>
      </c>
      <c r="D2148" s="222" t="str">
        <f>IFERROR(__xludf.DUMMYFUNCTION("""COMPUTED_VALUE"""),"REGIONAL I")</f>
        <v>REGIONAL I</v>
      </c>
      <c r="E2148" s="222" t="str">
        <f>IFERROR(__xludf.DUMMYFUNCTION("""COMPUTED_VALUE"""),"SUMUT")</f>
        <v>SUMUT</v>
      </c>
      <c r="F2148" s="222" t="str">
        <f>IFERROR(__xludf.DUMMYFUNCTION("""COMPUTED_VALUE"""),"SIP")</f>
        <v>SIP</v>
      </c>
      <c r="G2148" s="222" t="str">
        <f>IFERROR(__xludf.DUMMYFUNCTION("""COMPUTED_VALUE"""),"SUMBAGUT")</f>
        <v>SUMBAGUT</v>
      </c>
      <c r="H2148" s="222" t="str">
        <f>IFERROR(__xludf.DUMMYFUNCTION("""COMPUTED_VALUE"""),"PADANG SIDEMPUAN")</f>
        <v>PADANG SIDEMPUAN</v>
      </c>
      <c r="I2148" s="222" t="str">
        <f>IFERROR(__xludf.DUMMYFUNCTION("""COMPUTED_VALUE"""),"Batch 2")</f>
        <v>Batch 2</v>
      </c>
      <c r="J2148" s="225">
        <f>IFERROR(__xludf.DUMMYFUNCTION("""COMPUTED_VALUE"""),18.0)</f>
        <v>18</v>
      </c>
      <c r="K2148" s="224">
        <f>IFERROR(__xludf.DUMMYFUNCTION("""COMPUTED_VALUE"""),144.0)</f>
        <v>144</v>
      </c>
      <c r="L2148" s="226">
        <f>IFERROR(__xludf.DUMMYFUNCTION("""COMPUTED_VALUE"""),1633269.0)</f>
        <v>1633269</v>
      </c>
      <c r="M2148" s="227">
        <f>IFERROR(__xludf.DUMMYFUNCTION("""COMPUTED_VALUE"""),2.35190726E8)</f>
        <v>235190726</v>
      </c>
      <c r="N2148" s="222" t="str">
        <f>IFERROR(__xludf.DUMMYFUNCTION("""COMPUTED_VALUE"""),"PT ARTHA MANDIRI BERSAMA")</f>
        <v>PT ARTHA MANDIRI BERSAMA</v>
      </c>
      <c r="O2148" s="222" t="str">
        <f>IFERROR(__xludf.DUMMYFUNCTION("""COMPUTED_VALUE"""),"0. DROP")</f>
        <v>0. DROP</v>
      </c>
      <c r="P2148" s="222" t="str">
        <f>IFERROR(__xludf.DUMMYFUNCTION("""COMPUTED_VALUE"""),"0.2 Tidak Dapat Izin Warga/Kades/Lurah/Developer")</f>
        <v>0.2 Tidak Dapat Izin Warga/Kades/Lurah/Developer</v>
      </c>
      <c r="Q2148" s="222" t="str">
        <f>IFERROR(__xludf.DUMMYFUNCTION("""COMPUTED_VALUE"""),"3/3 meeting ED1-ED-RSBU-TA1: drop tidak dapat izin 2/3 plan hari ini team waspang kelokasi bersama tsel untuk fu kembalai terkait izin sitac odc ( warga sebelumnya meminta 10 jt / thn ), 27/2 plan senin 2 maret team waspang kelokasi bersama tsel untuk fu "&amp;"kembalai terkait izin sitac odc ( warga sebelumnya meminta 10 jt / thn ), 25/2  kendala ada nya permintaan izin sitac dari warga dengan nominal 10 jt /tahn, 24/2 (plan pengailihan posisi titik odc 25 feb 2026) kendala ada nya permintaan izin sitac dari wa"&amp;"rga dengan nominal 10 jt /tahn, 23/2 (plan pengailihan posisi titik odc 25 feb 2026) kendala ada nya permintaan izin sitac dari warga dengan nominal 10 jt /tahn,  20/2 (plan pengailihan posisi titik odc 25 feb 2026) kendala ada nya permintaan izin sitac d"&amp;"ari warga dengan nominal 10 jt /tahn, 19/2 plan hari ini waspang kelokasi untuk fu kembali terkait izin sitac, 16/2 plan rabu 18 feb waspang fu kembali terkait izin sitac, paralel submit boq kml survey,   13/2 plan rabu 18 feb waspang fu kembali terkait i"&amp;"zin sitac, paralel submit boq kml survey,   11/2 menunggu boqkml survey paralel izin sitac,  10/2 menunggu boqkml survey paralel izin sitac, 9/2 menunggu boqkml survey paralel izin sitac, 6/2 menunggu boqkml survey paralel izin sitac,  5/2 menunggu boqkml"&amp;" survey paralel izin sitac, 3/2 prepair team untuk survey kelokasi (pengalihan dari mitra pt.aum), 2/2 prepair team untuk survey kelokasi (pengalihan dari mitra pt.aum), 1/2 plan besok team turun kelokasi untuk lanjut perizina sitac, 30/1 prepair team unt"&amp;"uk fu kembali terkait ijin sitac ( sesuai zoom mnggu ini tidak  jalan lop akan kita alihkan ke mitra lain),  28/1 prepair team untuk fu kembali terkait ijin sitac ( sesuai zoom mnggu ini tidak  jalan lop akan kita alihkan ke mitra lain),  27/1 prepair tea"&amp;"m untuk fu kembali terkait ijin sitac ( sesuai zoom mnggu ini tidak  jalan lop akan kita alihkan ke mitra lain), 26/1 prepair team untuk fu kembali terkait ijin sitac ( sesuai zoom mnggu ini tidak  jalan lop akan kita alihkan ke mitra lain), 23/1 ( hari i"&amp;"ni pic mitra menuju siantar untuk kordinasi terkait kelanjutan project) prepair team untuk fu kembali terkait ijin sitac, ,22/1 team menuju lokasi untuk fu kembali terkait ijin sitac, 21/1 plan team turun ke lokasi 22/1 terkait ijin sitac odc, (apabila ti"&amp;"dak kunjung jalan  kita plankan pengalihan ke mitra lain), 20/1 prepair team untuk negosiasi ulang terkait izin sitac,  19/1 prepair team untuk negosiasi ulang terkait izin sitac, 15/01 plan jumat tanggal 16/01 tim turun ke lokasi untuk negosiasi terkait "&amp;"perizinan sitac , 14/01 plan jumat tanggal 16/01 tim turun ke lokasi untuk negosiasi terkait perizinan sitac , 13/01 plan jumat tanggal 16/01 tim turun ke lokasi untuk negosiasi terkait perizinan sitac , (08/01) kendala mini olt sisa 3 port, kebutuhan 4 p"&amp;"ort, slot mini olt full, solusi tambah bangun mini olt, proses aanwijziing, proses mapping mitra dan penjadwalan aanwijziing (07/01) Persiapan")</f>
        <v>3/3 meeting ED1-ED-RSBU-TA1: drop tidak dapat izin 2/3 plan hari ini team waspang kelokasi bersama tsel untuk fu kembalai terkait izin sitac odc ( warga sebelumnya meminta 10 jt / thn ), 27/2 plan senin 2 maret team waspang kelokasi bersama tsel untuk fu kembalai terkait izin sitac odc ( warga sebelumnya meminta 10 jt / thn ), 25/2  kendala ada nya permintaan izin sitac dari warga dengan nominal 10 jt /tahn, 24/2 (plan pengailihan posisi titik odc 25 feb 2026) kendala ada nya permintaan izin sitac dari warga dengan nominal 10 jt /tahn, 23/2 (plan pengailihan posisi titik odc 25 feb 2026) kendala ada nya permintaan izin sitac dari warga dengan nominal 10 jt /tahn,  20/2 (plan pengailihan posisi titik odc 25 feb 2026) kendala ada nya permintaan izin sitac dari warga dengan nominal 10 jt /tahn, 19/2 plan hari ini waspang kelokasi untuk fu kembali terkait izin sitac, 16/2 plan rabu 18 feb waspang fu kembali terkait izin sitac, paralel submit boq kml survey,   13/2 plan rabu 18 feb waspang fu kembali terkait izin sitac, paralel submit boq kml survey,   11/2 menunggu boqkml survey paralel izin sitac,  10/2 menunggu boqkml survey paralel izin sitac, 9/2 menunggu boqkml survey paralel izin sitac, 6/2 menunggu boqkml survey paralel izin sitac,  5/2 menunggu boqkml survey paralel izin sitac, 3/2 prepair team untuk survey kelokasi (pengalihan dari mitra pt.aum), 2/2 prepair team untuk survey kelokasi (pengalihan dari mitra pt.aum), 1/2 plan besok team turun kelokasi untuk lanjut perizina sitac, 30/1 prepair team untuk fu kembali terkait ijin sitac ( sesuai zoom mnggu ini tidak  jalan lop akan kita alihkan ke mitra lain),  28/1 prepair team untuk fu kembali terkait ijin sitac ( sesuai zoom mnggu ini tidak  jalan lop akan kita alihkan ke mitra lain),  27/1 prepair team untuk fu kembali terkait ijin sitac ( sesuai zoom mnggu ini tidak  jalan lop akan kita alihkan ke mitra lain), 26/1 prepair team untuk fu kembali terkait ijin sitac ( sesuai zoom mnggu ini tidak  jalan lop akan kita alihkan ke mitra lain), 23/1 ( hari ini pic mitra menuju siantar untuk kordinasi terkait kelanjutan project) prepair team untuk fu kembali terkait ijin sitac, ,22/1 team menuju lokasi untuk fu kembali terkait ijin sitac, 21/1 plan team turun ke lokasi 22/1 terkait ijin sitac odc, (apabila tidak kunjung jalan  kita plankan pengalihan ke mitra lain), 20/1 prepair team untuk negosiasi ulang terkait izin sitac,  19/1 prepair team untuk negosiasi ulang terkait izin sitac, 15/01 plan jumat tanggal 16/01 tim turun ke lokasi untuk negosiasi terkait perizinan sitac , 14/01 plan jumat tanggal 16/01 tim turun ke lokasi untuk negosiasi terkait perizinan sitac , 13/01 plan jumat tanggal 16/01 tim turun ke lokasi untuk negosiasi terkait perizinan sitac , (08/01) kendala mini olt sisa 3 port, kebutuhan 4 port, slot mini olt full, solusi tambah bangun mini olt, proses aanwijziing, proses mapping mitra dan penjadwalan aanwijziing (07/01) Persiapan</v>
      </c>
      <c r="R2148" s="228"/>
      <c r="S2148" s="11"/>
      <c r="T2148" s="11"/>
      <c r="U2148" s="11" t="str">
        <f>IFERROR(__xludf.DUMMYFUNCTION("""COMPUTED_VALUE"""),"W03-1637/2025")</f>
        <v>W03-1637/2025</v>
      </c>
      <c r="V2148" s="229"/>
      <c r="W2148" s="229"/>
      <c r="X2148" s="229" t="str">
        <f>IFERROR(__xludf.DUMMYFUNCTION("""COMPUTED_VALUE"""),"BELUM GOLIVE")</f>
        <v>BELUM GOLIVE</v>
      </c>
      <c r="Y2148" s="229"/>
      <c r="Z2148" s="229" t="str">
        <f>IFERROR(__xludf.DUMMYFUNCTION("""COMPUTED_VALUE"""),"#N/A")</f>
        <v>#N/A</v>
      </c>
      <c r="AA2148" s="229"/>
      <c r="AB2148" s="229"/>
      <c r="AC2148" s="229"/>
      <c r="AD2148" s="232"/>
      <c r="AE2148" s="233"/>
      <c r="AF2148" s="54" t="str">
        <f>IFERROR(__xludf.DUMMYFUNCTION("""COMPUTED_VALUE"""),"Draft BA DROP")</f>
        <v>Draft BA DROP</v>
      </c>
      <c r="AG2148" s="54"/>
      <c r="AH2148" s="54">
        <v>46127.0</v>
      </c>
      <c r="AI2148" s="237">
        <f>AH2148-NOW()</f>
        <v>-13.37798994</v>
      </c>
      <c r="AJ2148" s="229" t="str">
        <f>if(AI2148&gt;=0,"in Komitmen","Out komitmen")</f>
        <v>Out komitmen</v>
      </c>
      <c r="AK2148" s="229" t="s">
        <v>199</v>
      </c>
      <c r="AW2148" s="234"/>
      <c r="BP2148" s="11"/>
      <c r="BQ2148" s="11"/>
      <c r="BR2148" s="235"/>
      <c r="BV2148" s="158"/>
      <c r="BY2148" s="158"/>
      <c r="CB2148" s="158"/>
    </row>
    <row r="2149" ht="18.0" customHeight="1">
      <c r="A2149" s="222">
        <f>IFERROR(__xludf.DUMMYFUNCTION("""COMPUTED_VALUE"""),2026.0)</f>
        <v>2026</v>
      </c>
      <c r="B2149" s="221">
        <f>IFERROR(__xludf.DUMMYFUNCTION("""COMPUTED_VALUE"""),1.1960909E7)</f>
        <v>11960909</v>
      </c>
      <c r="C2149" s="222" t="str">
        <f>IFERROR(__xludf.DUMMYFUNCTION("""COMPUTED_VALUE"""),"SMB-PT3-ODC-KNL-FB-167133-5 LOP")</f>
        <v>SMB-PT3-ODC-KNL-FB-167133-5 LOP</v>
      </c>
      <c r="D2149" s="222" t="str">
        <f>IFERROR(__xludf.DUMMYFUNCTION("""COMPUTED_VALUE"""),"REGIONAL I")</f>
        <v>REGIONAL I</v>
      </c>
      <c r="E2149" s="222" t="str">
        <f>IFERROR(__xludf.DUMMYFUNCTION("""COMPUTED_VALUE"""),"SUMBAR")</f>
        <v>SUMBAR</v>
      </c>
      <c r="F2149" s="222" t="str">
        <f>IFERROR(__xludf.DUMMYFUNCTION("""COMPUTED_VALUE"""),"KNL")</f>
        <v>KNL</v>
      </c>
      <c r="G2149" s="222" t="str">
        <f>IFERROR(__xludf.DUMMYFUNCTION("""COMPUTED_VALUE"""),"SUMBAGTENG")</f>
        <v>SUMBAGTENG</v>
      </c>
      <c r="H2149" s="222" t="str">
        <f>IFERROR(__xludf.DUMMYFUNCTION("""COMPUTED_VALUE"""),"BUKIT TINGGI")</f>
        <v>BUKIT TINGGI</v>
      </c>
      <c r="I2149" s="222" t="str">
        <f>IFERROR(__xludf.DUMMYFUNCTION("""COMPUTED_VALUE"""),"Batch 2")</f>
        <v>Batch 2</v>
      </c>
      <c r="J2149" s="225">
        <f>IFERROR(__xludf.DUMMYFUNCTION("""COMPUTED_VALUE"""),13.0)</f>
        <v>13</v>
      </c>
      <c r="K2149" s="224">
        <f>IFERROR(__xludf.DUMMYFUNCTION("""COMPUTED_VALUE"""),104.0)</f>
        <v>104</v>
      </c>
      <c r="L2149" s="226">
        <f>IFERROR(__xludf.DUMMYFUNCTION("""COMPUTED_VALUE"""),1636320.0)</f>
        <v>1636320</v>
      </c>
      <c r="M2149" s="227">
        <f>IFERROR(__xludf.DUMMYFUNCTION("""COMPUTED_VALUE"""),1.70177237E8)</f>
        <v>170177237</v>
      </c>
      <c r="N2149" s="222" t="str">
        <f>IFERROR(__xludf.DUMMYFUNCTION("""COMPUTED_VALUE"""),"PT TIGA AKSES MANDIRI")</f>
        <v>PT TIGA AKSES MANDIRI</v>
      </c>
      <c r="O2149" s="222" t="str">
        <f>IFERROR(__xludf.DUMMYFUNCTION("""COMPUTED_VALUE"""),"7. GOLIVE")</f>
        <v>7. GOLIVE</v>
      </c>
      <c r="P2149" s="222" t="str">
        <f>IFERROR(__xludf.DUMMYFUNCTION("""COMPUTED_VALUE"""),"7.2 Golive Full / OA / DONE OTB")</f>
        <v>7.2 Golive Full / OA / DONE OTB</v>
      </c>
      <c r="Q2149" s="222" t="str">
        <f>IFERROR(__xludf.DUMMYFUNCTION("""COMPUTED_VALUE"""),"(13/04) terminasi odp  (06/04) tanam tiang (30/03) material onsite  (16/03) proses PO ke mitra dan menunggu kabel 12 ADSS (05/03) proses aanwijziing plan selesai 07/03  22/01 : kendala mini olt sisa 3 port, kebutuhan 4 port, slot mini olt full, solusi tam"&amp;"bah bangun mini olt (07/01) Persiapan")</f>
        <v>(13/04) terminasi odp  (06/04) tanam tiang (30/03) material onsite  (16/03) proses PO ke mitra dan menunggu kabel 12 ADSS (05/03) proses aanwijziing plan selesai 07/03  22/01 : kendala mini olt sisa 3 port, kebutuhan 4 port, slot mini olt full, solusi tambah bangun mini olt (07/01) Persiapan</v>
      </c>
      <c r="R2149" s="228">
        <f>IFERROR(__xludf.DUMMYFUNCTION("""COMPUTED_VALUE"""),46127.0)</f>
        <v>46127</v>
      </c>
      <c r="S2149" s="11"/>
      <c r="T2149" s="73"/>
      <c r="U2149" s="11"/>
      <c r="V2149" s="229" t="str">
        <f>IFERROR(__xludf.DUMMYFUNCTION("""COMPUTED_VALUE"""),"JANUAR RIZAL")</f>
        <v>JANUAR RIZAL</v>
      </c>
      <c r="W2149" s="229" t="str">
        <f>IFERROR(__xludf.DUMMYFUNCTION("""COMPUTED_VALUE"""),"MELKO NARWADI")</f>
        <v>MELKO NARWADI</v>
      </c>
      <c r="X2149" s="229" t="str">
        <f>IFERROR(__xludf.DUMMYFUNCTION("""COMPUTED_VALUE"""),"GOLIVE")</f>
        <v>GOLIVE</v>
      </c>
      <c r="Y2149" s="229" t="str">
        <f>IFERROR(__xludf.DUMMYFUNCTION("""COMPUTED_VALUE"""),"DONE")</f>
        <v>DONE</v>
      </c>
      <c r="Z2149" s="229" t="str">
        <f>IFERROR(__xludf.DUMMYFUNCTION("""COMPUTED_VALUE"""),"#N/A")</f>
        <v>#N/A</v>
      </c>
      <c r="AA2149" s="229">
        <f>IFERROR(__xludf.DUMMYFUNCTION("""COMPUTED_VALUE"""),16.0)</f>
        <v>16</v>
      </c>
      <c r="AB2149" s="229"/>
      <c r="AC2149" s="229" t="str">
        <f>IFERROR(__xludf.DUMMYFUNCTION("""COMPUTED_VALUE"""),"9278419#9278424")</f>
        <v>9278419#9278424</v>
      </c>
      <c r="AD2149" s="232">
        <f>IFERROR(__xludf.DUMMYFUNCTION("""COMPUTED_VALUE"""),128.0)</f>
        <v>128</v>
      </c>
      <c r="AE2149" s="233">
        <f>IFERROR(__xludf.DUMMYFUNCTION("""COMPUTED_VALUE"""),46128.0)</f>
        <v>46128</v>
      </c>
      <c r="AF2149" s="54"/>
      <c r="AG2149" s="54"/>
      <c r="AH2149" s="54">
        <v>46127.0</v>
      </c>
      <c r="AI2149" s="55">
        <f>IF(OR(AH2149="",AE2149=""),"",AH2149-AE2149)</f>
        <v>-1</v>
      </c>
      <c r="AJ2149" s="229" t="str">
        <f>if(AI2149&gt;=0,"Gl in Komitmen","Gl out komitmen")</f>
        <v>Gl out komitmen</v>
      </c>
      <c r="AK2149" s="231" t="s">
        <v>199</v>
      </c>
      <c r="AW2149" s="234"/>
      <c r="BP2149" s="11"/>
      <c r="BQ2149" s="11"/>
      <c r="BR2149" s="235"/>
      <c r="BV2149" s="158"/>
      <c r="BY2149" s="158"/>
      <c r="CB2149" s="158"/>
    </row>
    <row r="2150" ht="18.0" hidden="1" customHeight="1">
      <c r="A2150" s="222">
        <f>IFERROR(__xludf.DUMMYFUNCTION("""COMPUTED_VALUE"""),2026.0)</f>
        <v>2026</v>
      </c>
      <c r="B2150" s="221">
        <f>IFERROR(__xludf.DUMMYFUNCTION("""COMPUTED_VALUE"""),1.1098867E7)</f>
        <v>11098867</v>
      </c>
      <c r="C2150" s="222" t="str">
        <f>IFERROR(__xludf.DUMMYFUNCTION("""COMPUTED_VALUE"""),"MDN PT3 P7I5 CTD-FAH JL.KLP IV")</f>
        <v>MDN PT3 P7I5 CTD-FAH JL.KLP IV</v>
      </c>
      <c r="D2150" s="222" t="str">
        <f>IFERROR(__xludf.DUMMYFUNCTION("""COMPUTED_VALUE"""),"REGIONAL I")</f>
        <v>REGIONAL I</v>
      </c>
      <c r="E2150" s="222" t="str">
        <f>IFERROR(__xludf.DUMMYFUNCTION("""COMPUTED_VALUE"""),"MEDAN")</f>
        <v>MEDAN</v>
      </c>
      <c r="F2150" s="222" t="str">
        <f>IFERROR(__xludf.DUMMYFUNCTION("""COMPUTED_VALUE"""),"CTD")</f>
        <v>CTD</v>
      </c>
      <c r="G2150" s="222" t="str">
        <f>IFERROR(__xludf.DUMMYFUNCTION("""COMPUTED_VALUE"""),"SUMBAGUT")</f>
        <v>SUMBAGUT</v>
      </c>
      <c r="H2150" s="222" t="str">
        <f>IFERROR(__xludf.DUMMYFUNCTION("""COMPUTED_VALUE"""),"MEDAN")</f>
        <v>MEDAN</v>
      </c>
      <c r="I2150" s="222" t="str">
        <f>IFERROR(__xludf.DUMMYFUNCTION("""COMPUTED_VALUE"""),"Batch 2")</f>
        <v>Batch 2</v>
      </c>
      <c r="J2150" s="225">
        <f>IFERROR(__xludf.DUMMYFUNCTION("""COMPUTED_VALUE"""),2.0)</f>
        <v>2</v>
      </c>
      <c r="K2150" s="224">
        <f>IFERROR(__xludf.DUMMYFUNCTION("""COMPUTED_VALUE"""),16.0)</f>
        <v>16</v>
      </c>
      <c r="L2150" s="226">
        <f>IFERROR(__xludf.DUMMYFUNCTION("""COMPUTED_VALUE"""),750269.0)</f>
        <v>750269</v>
      </c>
      <c r="M2150" s="227">
        <f>IFERROR(__xludf.DUMMYFUNCTION("""COMPUTED_VALUE"""),1.2004292E7)</f>
        <v>12004292</v>
      </c>
      <c r="N2150" s="222" t="str">
        <f>IFERROR(__xludf.DUMMYFUNCTION("""COMPUTED_VALUE"""),"PT TRIPOLA PANATA")</f>
        <v>PT TRIPOLA PANATA</v>
      </c>
      <c r="O2150" s="222" t="str">
        <f>IFERROR(__xludf.DUMMYFUNCTION("""COMPUTED_VALUE"""),"8. UJI TERIMA")</f>
        <v>8. UJI TERIMA</v>
      </c>
      <c r="P2150" s="222" t="str">
        <f>IFERROR(__xludf.DUMMYFUNCTION("""COMPUTED_VALUE"""),"8.1 Proses UT")</f>
        <v>8.1 Proses UT</v>
      </c>
      <c r="Q2150" s="222" t="str">
        <f>IFERROR(__xludf.DUMMYFUNCTION("""COMPUTED_VALUE"""),"(07/01) Persiapan")</f>
        <v>(07/01) Persiapan</v>
      </c>
      <c r="R2150" s="228">
        <f>IFERROR(__xludf.DUMMYFUNCTION("""COMPUTED_VALUE"""),46031.0)</f>
        <v>46031</v>
      </c>
      <c r="S2150" s="11"/>
      <c r="T2150" s="11"/>
      <c r="U2150" s="11" t="str">
        <f>IFERROR(__xludf.DUMMYFUNCTION("""COMPUTED_VALUE"""),"FALSE")</f>
        <v>FALSE</v>
      </c>
      <c r="V2150" s="229"/>
      <c r="W2150" s="229"/>
      <c r="X2150" s="229" t="str">
        <f>IFERROR(__xludf.DUMMYFUNCTION("""COMPUTED_VALUE"""),"GOLIVE")</f>
        <v>GOLIVE</v>
      </c>
      <c r="Y2150" s="229" t="str">
        <f>IFERROR(__xludf.DUMMYFUNCTION("""COMPUTED_VALUE"""),"DONE")</f>
        <v>DONE</v>
      </c>
      <c r="Z2150" s="229" t="str">
        <f>IFERROR(__xludf.DUMMYFUNCTION("""COMPUTED_VALUE"""),"#N/A")</f>
        <v>#N/A</v>
      </c>
      <c r="AA2150" s="229">
        <f>IFERROR(__xludf.DUMMYFUNCTION("""COMPUTED_VALUE"""),2.0)</f>
        <v>2</v>
      </c>
      <c r="AB2150" s="229"/>
      <c r="AC2150" s="229" t="str">
        <f>IFERROR(__xludf.DUMMYFUNCTION("""COMPUTED_VALUE"""),"8918586#8918591")</f>
        <v>8918586#8918591</v>
      </c>
      <c r="AD2150" s="232">
        <f>IFERROR(__xludf.DUMMYFUNCTION("""COMPUTED_VALUE"""),16.0)</f>
        <v>16</v>
      </c>
      <c r="AE2150" s="233">
        <f>IFERROR(__xludf.DUMMYFUNCTION("""COMPUTED_VALUE"""),46031.0)</f>
        <v>46031</v>
      </c>
      <c r="AF2150" s="54"/>
      <c r="AG2150" s="54"/>
      <c r="AH2150" s="54">
        <v>46031.0</v>
      </c>
      <c r="AI2150" s="55">
        <f>IF(OR(R2150="",AE2150=""),"",R2150-AE2150)</f>
        <v>0</v>
      </c>
      <c r="AW2150" s="234"/>
      <c r="BP2150" s="11"/>
      <c r="BQ2150" s="11"/>
      <c r="BR2150" s="235"/>
      <c r="BV2150" s="158"/>
      <c r="BY2150" s="158"/>
      <c r="CB2150" s="158"/>
    </row>
    <row r="2151" ht="18.0" customHeight="1">
      <c r="A2151" s="222">
        <f>IFERROR(__xludf.DUMMYFUNCTION("""COMPUTED_VALUE"""),2026.0)</f>
        <v>2026</v>
      </c>
      <c r="B2151" s="221">
        <f>IFERROR(__xludf.DUMMYFUNCTION("""COMPUTED_VALUE"""),1.1498577E7)</f>
        <v>11498577</v>
      </c>
      <c r="C2151" s="222" t="str">
        <f>IFERROR(__xludf.DUMMYFUNCTION("""COMPUTED_VALUE"""),"RKP PT3 TSEL LBJ-FBZ BENGKONG INDAH 2")</f>
        <v>RKP PT3 TSEL LBJ-FBZ BENGKONG INDAH 2</v>
      </c>
      <c r="D2151" s="222" t="str">
        <f>IFERROR(__xludf.DUMMYFUNCTION("""COMPUTED_VALUE"""),"REGIONAL I")</f>
        <v>REGIONAL I</v>
      </c>
      <c r="E2151" s="222" t="str">
        <f>IFERROR(__xludf.DUMMYFUNCTION("""COMPUTED_VALUE"""),"RIKEP")</f>
        <v>RIKEP</v>
      </c>
      <c r="F2151" s="222" t="str">
        <f>IFERROR(__xludf.DUMMYFUNCTION("""COMPUTED_VALUE"""),"LBJ")</f>
        <v>LBJ</v>
      </c>
      <c r="G2151" s="222" t="str">
        <f>IFERROR(__xludf.DUMMYFUNCTION("""COMPUTED_VALUE"""),"SUMBAGTENG")</f>
        <v>SUMBAGTENG</v>
      </c>
      <c r="H2151" s="222" t="str">
        <f>IFERROR(__xludf.DUMMYFUNCTION("""COMPUTED_VALUE"""),"BATAM")</f>
        <v>BATAM</v>
      </c>
      <c r="I2151" s="222" t="str">
        <f>IFERROR(__xludf.DUMMYFUNCTION("""COMPUTED_VALUE"""),"Batch 2")</f>
        <v>Batch 2</v>
      </c>
      <c r="J2151" s="225">
        <f>IFERROR(__xludf.DUMMYFUNCTION("""COMPUTED_VALUE"""),2.0)</f>
        <v>2</v>
      </c>
      <c r="K2151" s="224">
        <f>IFERROR(__xludf.DUMMYFUNCTION("""COMPUTED_VALUE"""),16.0)</f>
        <v>16</v>
      </c>
      <c r="L2151" s="226">
        <f>IFERROR(__xludf.DUMMYFUNCTION("""COMPUTED_VALUE"""),1638492.0)</f>
        <v>1638492</v>
      </c>
      <c r="M2151" s="227">
        <f>IFERROR(__xludf.DUMMYFUNCTION("""COMPUTED_VALUE"""),2.6215866E7)</f>
        <v>26215866</v>
      </c>
      <c r="N2151" s="222" t="str">
        <f>IFERROR(__xludf.DUMMYFUNCTION("""COMPUTED_VALUE"""),"PT HDUA PUTRA PRAJODA")</f>
        <v>PT HDUA PUTRA PRAJODA</v>
      </c>
      <c r="O2151" s="222" t="str">
        <f>IFERROR(__xludf.DUMMYFUNCTION("""COMPUTED_VALUE"""),"8. UJI TERIMA")</f>
        <v>8. UJI TERIMA</v>
      </c>
      <c r="P2151" s="222" t="str">
        <f>IFERROR(__xludf.DUMMYFUNCTION("""COMPUTED_VALUE"""),"8.3 Penyusunan Foto/ Hasil Ukur menjadi Dokument UT")</f>
        <v>8.3 Penyusunan Foto/ Hasil Ukur menjadi Dokument UT</v>
      </c>
      <c r="Q2151" s="222" t="str">
        <f>IFERROR(__xludf.DUMMYFUNCTION("""COMPUTED_VALUE"""),"28/03 ABD mitra. 04/03 Proses gali lubang tiang. 18/02 izin di acc namun 2 RT meminta benjar. 16/02 Plan anwijzing 18 Feb. 11/02 Peralihan mitra. 28/01 Plan survey 29 Jan. 28/01 Mitra tripola belum ada PIC untuk anwijzing. 23/01 Plan anwijzing 26 Jan, pic"&amp;" mitra ada pertanggal 25 jan. 21/01 proses penunjukan mitra ")</f>
        <v>28/03 ABD mitra. 04/03 Proses gali lubang tiang. 18/02 izin di acc namun 2 RT meminta benjar. 16/02 Plan anwijzing 18 Feb. 11/02 Peralihan mitra. 28/01 Plan survey 29 Jan. 28/01 Mitra tripola belum ada PIC untuk anwijzing. 23/01 Plan anwijzing 26 Jan, pic mitra ada pertanggal 25 jan. 21/01 proses penunjukan mitra </v>
      </c>
      <c r="R2151" s="228"/>
      <c r="S2151" s="11"/>
      <c r="T2151" s="11"/>
      <c r="U2151" s="11" t="str">
        <f>IFERROR(__xludf.DUMMYFUNCTION("""COMPUTED_VALUE"""),"W09-238/2026")</f>
        <v>W09-238/2026</v>
      </c>
      <c r="V2151" s="229" t="str">
        <f>IFERROR(__xludf.DUMMYFUNCTION("""COMPUTED_VALUE"""),"RONALDO LEO INFANTRI")</f>
        <v>RONALDO LEO INFANTRI</v>
      </c>
      <c r="W2151" s="229" t="str">
        <f>IFERROR(__xludf.DUMMYFUNCTION("""COMPUTED_VALUE"""),"LEVITA INDRIYANI")</f>
        <v>LEVITA INDRIYANI</v>
      </c>
      <c r="X2151" s="229" t="str">
        <f>IFERROR(__xludf.DUMMYFUNCTION("""COMPUTED_VALUE"""),"GOLIVE")</f>
        <v>GOLIVE</v>
      </c>
      <c r="Y2151" s="229" t="str">
        <f>IFERROR(__xludf.DUMMYFUNCTION("""COMPUTED_VALUE"""),"DONE")</f>
        <v>DONE</v>
      </c>
      <c r="Z2151" s="229" t="str">
        <f>IFERROR(__xludf.DUMMYFUNCTION("""COMPUTED_VALUE"""),"#N/A")</f>
        <v>#N/A</v>
      </c>
      <c r="AA2151" s="229">
        <f>IFERROR(__xludf.DUMMYFUNCTION("""COMPUTED_VALUE"""),2.0)</f>
        <v>2</v>
      </c>
      <c r="AB2151" s="229"/>
      <c r="AC2151" s="229" t="str">
        <f>IFERROR(__xludf.DUMMYFUNCTION("""COMPUTED_VALUE"""),"9226740#9226745")</f>
        <v>9226740#9226745</v>
      </c>
      <c r="AD2151" s="232">
        <f>IFERROR(__xludf.DUMMYFUNCTION("""COMPUTED_VALUE"""),16.0)</f>
        <v>16</v>
      </c>
      <c r="AE2151" s="233">
        <f>IFERROR(__xludf.DUMMYFUNCTION("""COMPUTED_VALUE"""),46110.0)</f>
        <v>46110</v>
      </c>
      <c r="AF2151" s="54"/>
      <c r="AG2151" s="54"/>
      <c r="AH2151" s="54"/>
      <c r="AI2151" s="55" t="str">
        <f>IF(OR(AH2151="",AE2151=""),"",AH2151-AE2151)</f>
        <v/>
      </c>
      <c r="AW2151" s="234"/>
      <c r="BP2151" s="11"/>
      <c r="BQ2151" s="11"/>
      <c r="BR2151" s="235"/>
      <c r="BV2151" s="158"/>
      <c r="BY2151" s="158"/>
      <c r="CB2151" s="158"/>
    </row>
    <row r="2152" ht="18.0" customHeight="1">
      <c r="A2152" s="222">
        <f>IFERROR(__xludf.DUMMYFUNCTION("""COMPUTED_VALUE"""),2026.0)</f>
        <v>2026</v>
      </c>
      <c r="B2152" s="221">
        <f>IFERROR(__xludf.DUMMYFUNCTION("""COMPUTED_VALUE"""),1.1525761E7)</f>
        <v>11525761</v>
      </c>
      <c r="C2152" s="222" t="str">
        <f>IFERROR(__xludf.DUMMYFUNCTION("""COMPUTED_VALUE"""),"RDR ARK PT3 P1I2 TAMAN PUTRA 6")</f>
        <v>RDR ARK PT3 P1I2 TAMAN PUTRA 6</v>
      </c>
      <c r="D2152" s="222" t="str">
        <f>IFERROR(__xludf.DUMMYFUNCTION("""COMPUTED_VALUE"""),"REGIONAL I")</f>
        <v>REGIONAL I</v>
      </c>
      <c r="E2152" s="222" t="str">
        <f>IFERROR(__xludf.DUMMYFUNCTION("""COMPUTED_VALUE"""),"RIDAR")</f>
        <v>RIDAR</v>
      </c>
      <c r="F2152" s="222" t="str">
        <f>IFERROR(__xludf.DUMMYFUNCTION("""COMPUTED_VALUE"""),"ARK")</f>
        <v>ARK</v>
      </c>
      <c r="G2152" s="222" t="str">
        <f>IFERROR(__xludf.DUMMYFUNCTION("""COMPUTED_VALUE"""),"SUMBAGTENG")</f>
        <v>SUMBAGTENG</v>
      </c>
      <c r="H2152" s="222" t="str">
        <f>IFERROR(__xludf.DUMMYFUNCTION("""COMPUTED_VALUE"""),"PEKANBARU")</f>
        <v>PEKANBARU</v>
      </c>
      <c r="I2152" s="222" t="str">
        <f>IFERROR(__xludf.DUMMYFUNCTION("""COMPUTED_VALUE"""),"Batch 2")</f>
        <v>Batch 2</v>
      </c>
      <c r="J2152" s="225">
        <f>IFERROR(__xludf.DUMMYFUNCTION("""COMPUTED_VALUE"""),8.0)</f>
        <v>8</v>
      </c>
      <c r="K2152" s="224">
        <f>IFERROR(__xludf.DUMMYFUNCTION("""COMPUTED_VALUE"""),64.0)</f>
        <v>64</v>
      </c>
      <c r="L2152" s="226">
        <f>IFERROR(__xludf.DUMMYFUNCTION("""COMPUTED_VALUE"""),683706.0)</f>
        <v>683706</v>
      </c>
      <c r="M2152" s="227">
        <f>IFERROR(__xludf.DUMMYFUNCTION("""COMPUTED_VALUE"""),4.3757126E7)</f>
        <v>43757126</v>
      </c>
      <c r="N2152" s="222" t="str">
        <f>IFERROR(__xludf.DUMMYFUNCTION("""COMPUTED_VALUE"""),"PT SINAR KEPRI SEJAHTERA")</f>
        <v>PT SINAR KEPRI SEJAHTERA</v>
      </c>
      <c r="O2152" s="222" t="str">
        <f>IFERROR(__xludf.DUMMYFUNCTION("""COMPUTED_VALUE"""),"0. DROP")</f>
        <v>0. DROP</v>
      </c>
      <c r="P2152" s="222" t="str">
        <f>IFERROR(__xludf.DUMMYFUNCTION("""COMPUTED_VALUE"""),"0.2 Tidak Dapat Izin Warga/Kades/Lurah/Developer")</f>
        <v>0.2 Tidak Dapat Izin Warga/Kades/Lurah/Developer</v>
      </c>
      <c r="Q2152" s="222" t="str">
        <f>IFERROR(__xludf.DUMMYFUNCTION("""COMPUTED_VALUE"""),"20/01 Drop tidak dapat izin rt/rw (07/01) Persiapan")</f>
        <v>20/01 Drop tidak dapat izin rt/rw (07/01) Persiapan</v>
      </c>
      <c r="R2152" s="228"/>
      <c r="S2152" s="11"/>
      <c r="T2152" s="11"/>
      <c r="U2152" s="11"/>
      <c r="V2152" s="229" t="str">
        <f>IFERROR(__xludf.DUMMYFUNCTION("""COMPUTED_VALUE"""),"TEGUH IMAM PERDANA")</f>
        <v>TEGUH IMAM PERDANA</v>
      </c>
      <c r="W2152" s="229" t="str">
        <f>IFERROR(__xludf.DUMMYFUNCTION("""COMPUTED_VALUE"""),"DESLITA RAHMADANI")</f>
        <v>DESLITA RAHMADANI</v>
      </c>
      <c r="X2152" s="229" t="str">
        <f>IFERROR(__xludf.DUMMYFUNCTION("""COMPUTED_VALUE"""),"BELUM GOLIVE")</f>
        <v>BELUM GOLIVE</v>
      </c>
      <c r="Y2152" s="229"/>
      <c r="Z2152" s="229" t="str">
        <f>IFERROR(__xludf.DUMMYFUNCTION("""COMPUTED_VALUE"""),"#N/A")</f>
        <v>#N/A</v>
      </c>
      <c r="AA2152" s="229"/>
      <c r="AB2152" s="229"/>
      <c r="AC2152" s="229"/>
      <c r="AD2152" s="232"/>
      <c r="AE2152" s="233"/>
      <c r="AF2152" s="54" t="str">
        <f>IFERROR(__xludf.DUMMYFUNCTION("""COMPUTED_VALUE"""),"Draft BA DROP")</f>
        <v>Draft BA DROP</v>
      </c>
      <c r="AG2152" s="54"/>
      <c r="AH2152" s="54"/>
      <c r="AI2152" s="55" t="str">
        <f>IF(OR(R2152="",AE2152=""),"",R2152-AE2152)</f>
        <v/>
      </c>
      <c r="AW2152" s="234"/>
      <c r="BP2152" s="11"/>
      <c r="BQ2152" s="11"/>
      <c r="BR2152" s="235"/>
      <c r="BV2152" s="158"/>
      <c r="BY2152" s="158"/>
      <c r="CB2152" s="158"/>
    </row>
    <row r="2153" ht="18.0" customHeight="1">
      <c r="A2153" s="222">
        <f>IFERROR(__xludf.DUMMYFUNCTION("""COMPUTED_VALUE"""),2026.0)</f>
        <v>2026</v>
      </c>
      <c r="B2153" s="221">
        <f>IFERROR(__xludf.DUMMYFUNCTION("""COMPUTED_VALUE"""),1.2101795E7)</f>
        <v>12101795</v>
      </c>
      <c r="C2153" s="222" t="str">
        <f>IFERROR(__xludf.DUMMYFUNCTION("""COMPUTED_VALUE"""),"RDR JPP PT3 TAMBAHAN UBT FM")</f>
        <v>RDR JPP PT3 TAMBAHAN UBT FM</v>
      </c>
      <c r="D2153" s="222" t="str">
        <f>IFERROR(__xludf.DUMMYFUNCTION("""COMPUTED_VALUE"""),"REGIONAL I")</f>
        <v>REGIONAL I</v>
      </c>
      <c r="E2153" s="222" t="str">
        <f>IFERROR(__xludf.DUMMYFUNCTION("""COMPUTED_VALUE"""),"RIDAR")</f>
        <v>RIDAR</v>
      </c>
      <c r="F2153" s="222" t="str">
        <f>IFERROR(__xludf.DUMMYFUNCTION("""COMPUTED_VALUE"""),"UBT")</f>
        <v>UBT</v>
      </c>
      <c r="G2153" s="222" t="str">
        <f>IFERROR(__xludf.DUMMYFUNCTION("""COMPUTED_VALUE"""),"SUMBAGTENG")</f>
        <v>SUMBAGTENG</v>
      </c>
      <c r="H2153" s="222" t="str">
        <f>IFERROR(__xludf.DUMMYFUNCTION("""COMPUTED_VALUE"""),"DUMAI")</f>
        <v>DUMAI</v>
      </c>
      <c r="I2153" s="222" t="str">
        <f>IFERROR(__xludf.DUMMYFUNCTION("""COMPUTED_VALUE"""),"Batch 2")</f>
        <v>Batch 2</v>
      </c>
      <c r="J2153" s="225">
        <f>IFERROR(__xludf.DUMMYFUNCTION("""COMPUTED_VALUE"""),24.0)</f>
        <v>24</v>
      </c>
      <c r="K2153" s="224">
        <f>IFERROR(__xludf.DUMMYFUNCTION("""COMPUTED_VALUE"""),192.0)</f>
        <v>192</v>
      </c>
      <c r="L2153" s="226">
        <f>IFERROR(__xludf.DUMMYFUNCTION("""COMPUTED_VALUE"""),757287.0)</f>
        <v>757287</v>
      </c>
      <c r="M2153" s="227">
        <f>IFERROR(__xludf.DUMMYFUNCTION("""COMPUTED_VALUE"""),1.45398988E8)</f>
        <v>145398988</v>
      </c>
      <c r="N2153" s="222" t="str">
        <f>IFERROR(__xludf.DUMMYFUNCTION("""COMPUTED_VALUE"""),"PT LIBER PERSADA MANDIRI")</f>
        <v>PT LIBER PERSADA MANDIRI</v>
      </c>
      <c r="O2153" s="222" t="str">
        <f>IFERROR(__xludf.DUMMYFUNCTION("""COMPUTED_VALUE"""),"7. GOLIVE")</f>
        <v>7. GOLIVE</v>
      </c>
      <c r="P2153" s="222" t="str">
        <f>IFERROR(__xludf.DUMMYFUNCTION("""COMPUTED_VALUE"""),"7.2 Golive Full / OA / DONE OTB")</f>
        <v>7.2 Golive Full / OA / DONE OTB</v>
      </c>
      <c r="Q2153" s="222" t="str">
        <f>IFERROR(__xludf.DUMMYFUNCTION("""COMPUTED_VALUE"""),"29/01 Butuh penambahan kabel T-Line karena T-Line sebelum nya sudah full 21/01 Proses Valins (07/01) Persiapan")</f>
        <v>29/01 Butuh penambahan kabel T-Line karena T-Line sebelum nya sudah full 21/01 Proses Valins (07/01) Persiapan</v>
      </c>
      <c r="R2153" s="228">
        <f>IFERROR(__xludf.DUMMYFUNCTION("""COMPUTED_VALUE"""),46073.0)</f>
        <v>46073</v>
      </c>
      <c r="S2153" s="11"/>
      <c r="T2153" s="11"/>
      <c r="U2153" s="11" t="str">
        <f>IFERROR(__xludf.DUMMYFUNCTION("""COMPUTED_VALUE"""),"W08-1833/2025")</f>
        <v>W08-1833/2025</v>
      </c>
      <c r="V2153" s="229" t="str">
        <f>IFERROR(__xludf.DUMMYFUNCTION("""COMPUTED_VALUE"""),"ONDI EKA SAPUTRA")</f>
        <v>ONDI EKA SAPUTRA</v>
      </c>
      <c r="W2153" s="229" t="str">
        <f>IFERROR(__xludf.DUMMYFUNCTION("""COMPUTED_VALUE"""),"DESLITA RAHMADANI")</f>
        <v>DESLITA RAHMADANI</v>
      </c>
      <c r="X2153" s="229" t="str">
        <f>IFERROR(__xludf.DUMMYFUNCTION("""COMPUTED_VALUE"""),"GOLIVE")</f>
        <v>GOLIVE</v>
      </c>
      <c r="Y2153" s="229" t="str">
        <f>IFERROR(__xludf.DUMMYFUNCTION("""COMPUTED_VALUE"""),"DONE")</f>
        <v>DONE</v>
      </c>
      <c r="Z2153" s="229" t="str">
        <f>IFERROR(__xludf.DUMMYFUNCTION("""COMPUTED_VALUE"""),"#N/A")</f>
        <v>#N/A</v>
      </c>
      <c r="AA2153" s="229">
        <f>IFERROR(__xludf.DUMMYFUNCTION("""COMPUTED_VALUE"""),24.0)</f>
        <v>24</v>
      </c>
      <c r="AB2153" s="229"/>
      <c r="AC2153" s="229" t="str">
        <f>IFERROR(__xludf.DUMMYFUNCTION("""COMPUTED_VALUE"""),"9061728#9061733")</f>
        <v>9061728#9061733</v>
      </c>
      <c r="AD2153" s="232">
        <f>IFERROR(__xludf.DUMMYFUNCTION("""COMPUTED_VALUE"""),192.0)</f>
        <v>192</v>
      </c>
      <c r="AE2153" s="233">
        <f>IFERROR(__xludf.DUMMYFUNCTION("""COMPUTED_VALUE"""),46058.0)</f>
        <v>46058</v>
      </c>
      <c r="AF2153" s="54"/>
      <c r="AG2153" s="54"/>
      <c r="AH2153" s="54">
        <v>46073.0</v>
      </c>
      <c r="AI2153" s="55">
        <f>IF(OR(AH2153="",AE2153=""),"",AH2153-AE2153)</f>
        <v>15</v>
      </c>
      <c r="AW2153" s="234"/>
      <c r="BP2153" s="11"/>
      <c r="BQ2153" s="11"/>
      <c r="BR2153" s="235"/>
      <c r="BV2153" s="158"/>
      <c r="BY2153" s="158"/>
      <c r="CB2153" s="158"/>
    </row>
    <row r="2154" ht="18.0" hidden="1" customHeight="1">
      <c r="A2154" s="222">
        <f>IFERROR(__xludf.DUMMYFUNCTION("""COMPUTED_VALUE"""),2026.0)</f>
        <v>2026</v>
      </c>
      <c r="B2154" s="221">
        <f>IFERROR(__xludf.DUMMYFUNCTION("""COMPUTED_VALUE"""),1.1266537E7)</f>
        <v>11266537</v>
      </c>
      <c r="C2154" s="222" t="str">
        <f>IFERROR(__xludf.DUMMYFUNCTION("""COMPUTED_VALUE"""),"ACH PT3 SKL-FF BR.D02 KAMPUNG BARU")</f>
        <v>ACH PT3 SKL-FF BR.D02 KAMPUNG BARU</v>
      </c>
      <c r="D2154" s="222" t="str">
        <f>IFERROR(__xludf.DUMMYFUNCTION("""COMPUTED_VALUE"""),"REGIONAL I")</f>
        <v>REGIONAL I</v>
      </c>
      <c r="E2154" s="222" t="str">
        <f>IFERROR(__xludf.DUMMYFUNCTION("""COMPUTED_VALUE"""),"ACEH")</f>
        <v>ACEH</v>
      </c>
      <c r="F2154" s="222" t="str">
        <f>IFERROR(__xludf.DUMMYFUNCTION("""COMPUTED_VALUE"""),"SKL")</f>
        <v>SKL</v>
      </c>
      <c r="G2154" s="222" t="str">
        <f>IFERROR(__xludf.DUMMYFUNCTION("""COMPUTED_VALUE"""),"SUMBAGUT")</f>
        <v>SUMBAGUT</v>
      </c>
      <c r="H2154" s="222" t="str">
        <f>IFERROR(__xludf.DUMMYFUNCTION("""COMPUTED_VALUE"""),"BANDA ACEH")</f>
        <v>BANDA ACEH</v>
      </c>
      <c r="I2154" s="222" t="str">
        <f>IFERROR(__xludf.DUMMYFUNCTION("""COMPUTED_VALUE"""),"Batch 2")</f>
        <v>Batch 2</v>
      </c>
      <c r="J2154" s="225">
        <f>IFERROR(__xludf.DUMMYFUNCTION("""COMPUTED_VALUE"""),2.0)</f>
        <v>2</v>
      </c>
      <c r="K2154" s="224">
        <f>IFERROR(__xludf.DUMMYFUNCTION("""COMPUTED_VALUE"""),16.0)</f>
        <v>16</v>
      </c>
      <c r="L2154" s="226">
        <f>IFERROR(__xludf.DUMMYFUNCTION("""COMPUTED_VALUE"""),545384.0)</f>
        <v>545384</v>
      </c>
      <c r="M2154" s="227">
        <f>IFERROR(__xludf.DUMMYFUNCTION("""COMPUTED_VALUE"""),8726143.0)</f>
        <v>8726143</v>
      </c>
      <c r="N2154" s="222" t="str">
        <f>IFERROR(__xludf.DUMMYFUNCTION("""COMPUTED_VALUE"""),"PT ARA PAYA INTAN")</f>
        <v>PT ARA PAYA INTAN</v>
      </c>
      <c r="O2154" s="222" t="str">
        <f>IFERROR(__xludf.DUMMYFUNCTION("""COMPUTED_VALUE"""),"7. GOLIVE")</f>
        <v>7. GOLIVE</v>
      </c>
      <c r="P2154" s="222" t="str">
        <f>IFERROR(__xludf.DUMMYFUNCTION("""COMPUTED_VALUE"""),"7.2 Golive Full / OA / DONE OTB")</f>
        <v>7.2 Golive Full / OA / DONE OTB</v>
      </c>
      <c r="Q2154" s="222"/>
      <c r="R2154" s="228">
        <f>IFERROR(__xludf.DUMMYFUNCTION("""COMPUTED_VALUE"""),46034.0)</f>
        <v>46034</v>
      </c>
      <c r="S2154" s="11"/>
      <c r="T2154" s="11"/>
      <c r="U2154" s="11"/>
      <c r="V2154" s="229"/>
      <c r="W2154" s="229"/>
      <c r="X2154" s="229" t="str">
        <f>IFERROR(__xludf.DUMMYFUNCTION("""COMPUTED_VALUE"""),"GOLIVE")</f>
        <v>GOLIVE</v>
      </c>
      <c r="Y2154" s="229" t="str">
        <f>IFERROR(__xludf.DUMMYFUNCTION("""COMPUTED_VALUE"""),"DONE")</f>
        <v>DONE</v>
      </c>
      <c r="Z2154" s="229" t="str">
        <f>IFERROR(__xludf.DUMMYFUNCTION("""COMPUTED_VALUE"""),"#N/A")</f>
        <v>#N/A</v>
      </c>
      <c r="AA2154" s="229">
        <f>IFERROR(__xludf.DUMMYFUNCTION("""COMPUTED_VALUE"""),2.0)</f>
        <v>2</v>
      </c>
      <c r="AB2154" s="229"/>
      <c r="AC2154" s="229" t="str">
        <f>IFERROR(__xludf.DUMMYFUNCTION("""COMPUTED_VALUE"""),"8943333#8943338")</f>
        <v>8943333#8943338</v>
      </c>
      <c r="AD2154" s="232">
        <f>IFERROR(__xludf.DUMMYFUNCTION("""COMPUTED_VALUE"""),16.0)</f>
        <v>16</v>
      </c>
      <c r="AE2154" s="233">
        <f>IFERROR(__xludf.DUMMYFUNCTION("""COMPUTED_VALUE"""),46034.0)</f>
        <v>46034</v>
      </c>
      <c r="AF2154" s="54"/>
      <c r="AG2154" s="54"/>
      <c r="AH2154" s="54">
        <v>46034.0</v>
      </c>
      <c r="AI2154" s="55">
        <f t="shared" ref="AI2154:AI2155" si="209">IF(OR(R2154="",AE2154=""),"",R2154-AE2154)</f>
        <v>0</v>
      </c>
      <c r="AW2154" s="234"/>
      <c r="BP2154" s="11"/>
      <c r="BQ2154" s="11"/>
      <c r="BR2154" s="235"/>
      <c r="BV2154" s="158"/>
      <c r="BY2154" s="158"/>
      <c r="CB2154" s="158"/>
    </row>
    <row r="2155" ht="18.0" customHeight="1">
      <c r="A2155" s="222">
        <f>IFERROR(__xludf.DUMMYFUNCTION("""COMPUTED_VALUE"""),2026.0)</f>
        <v>2026</v>
      </c>
      <c r="B2155" s="221">
        <f>IFERROR(__xludf.DUMMYFUNCTION("""COMPUTED_VALUE"""),1.1346822E7)</f>
        <v>11346822</v>
      </c>
      <c r="C2155" s="222" t="str">
        <f>IFERROR(__xludf.DUMMYFUNCTION("""COMPUTED_VALUE"""),"SMB P2I2 Ekspansi PPJ Batu Taba")</f>
        <v>SMB P2I2 Ekspansi PPJ Batu Taba</v>
      </c>
      <c r="D2155" s="222" t="str">
        <f>IFERROR(__xludf.DUMMYFUNCTION("""COMPUTED_VALUE"""),"REGIONAL I")</f>
        <v>REGIONAL I</v>
      </c>
      <c r="E2155" s="222" t="str">
        <f>IFERROR(__xludf.DUMMYFUNCTION("""COMPUTED_VALUE"""),"SUMBAR")</f>
        <v>SUMBAR</v>
      </c>
      <c r="F2155" s="222" t="str">
        <f>IFERROR(__xludf.DUMMYFUNCTION("""COMPUTED_VALUE"""),"PPJ")</f>
        <v>PPJ</v>
      </c>
      <c r="G2155" s="222" t="str">
        <f>IFERROR(__xludf.DUMMYFUNCTION("""COMPUTED_VALUE"""),"SUMBAGTENG")</f>
        <v>SUMBAGTENG</v>
      </c>
      <c r="H2155" s="222" t="str">
        <f>IFERROR(__xludf.DUMMYFUNCTION("""COMPUTED_VALUE"""),"BUKIT TINGGI")</f>
        <v>BUKIT TINGGI</v>
      </c>
      <c r="I2155" s="222" t="str">
        <f>IFERROR(__xludf.DUMMYFUNCTION("""COMPUTED_VALUE"""),"Batch 2")</f>
        <v>Batch 2</v>
      </c>
      <c r="J2155" s="225">
        <f>IFERROR(__xludf.DUMMYFUNCTION("""COMPUTED_VALUE"""),15.0)</f>
        <v>15</v>
      </c>
      <c r="K2155" s="224">
        <f>IFERROR(__xludf.DUMMYFUNCTION("""COMPUTED_VALUE"""),120.0)</f>
        <v>120</v>
      </c>
      <c r="L2155" s="226">
        <f>IFERROR(__xludf.DUMMYFUNCTION("""COMPUTED_VALUE"""),1639565.0)</f>
        <v>1639565</v>
      </c>
      <c r="M2155" s="227">
        <f>IFERROR(__xludf.DUMMYFUNCTION("""COMPUTED_VALUE"""),1.96747708E8)</f>
        <v>196747708</v>
      </c>
      <c r="N2155" s="222" t="str">
        <f>IFERROR(__xludf.DUMMYFUNCTION("""COMPUTED_VALUE"""),"PT TRI PENAMAS")</f>
        <v>PT TRI PENAMAS</v>
      </c>
      <c r="O2155" s="222" t="str">
        <f>IFERROR(__xludf.DUMMYFUNCTION("""COMPUTED_VALUE"""),"0. DROP")</f>
        <v>0. DROP</v>
      </c>
      <c r="P2155" s="222" t="str">
        <f>IFERROR(__xludf.DUMMYFUNCTION("""COMPUTED_VALUE"""),"0.5 DROP TSEL - Acc ED TIF")</f>
        <v>0.5 DROP TSEL - Acc ED TIF</v>
      </c>
      <c r="Q2155" s="222" t="str">
        <f>IFERROR(__xludf.DUMMYFUNCTION("""COMPUTED_VALUE"""),"(05/03) proses aanwijziing plan selesai 10/03   (02/03) proses aanwijziing (26/01) DROP, permintaan tsel (tidak potensial) ")</f>
        <v>(05/03) proses aanwijziing plan selesai 10/03   (02/03) proses aanwijziing (26/01) DROP, permintaan tsel (tidak potensial) </v>
      </c>
      <c r="R2155" s="228"/>
      <c r="S2155" s="11"/>
      <c r="T2155" s="11"/>
      <c r="U2155" s="11"/>
      <c r="V2155" s="229" t="str">
        <f>IFERROR(__xludf.DUMMYFUNCTION("""COMPUTED_VALUE"""),"DELPA YANDA")</f>
        <v>DELPA YANDA</v>
      </c>
      <c r="W2155" s="229" t="str">
        <f>IFERROR(__xludf.DUMMYFUNCTION("""COMPUTED_VALUE"""),"MELKO NARWADI")</f>
        <v>MELKO NARWADI</v>
      </c>
      <c r="X2155" s="229" t="str">
        <f>IFERROR(__xludf.DUMMYFUNCTION("""COMPUTED_VALUE"""),"BELUM GOLIVE")</f>
        <v>BELUM GOLIVE</v>
      </c>
      <c r="Y2155" s="229"/>
      <c r="Z2155" s="229" t="str">
        <f>IFERROR(__xludf.DUMMYFUNCTION("""COMPUTED_VALUE"""),"#N/A")</f>
        <v>#N/A</v>
      </c>
      <c r="AA2155" s="229"/>
      <c r="AB2155" s="229"/>
      <c r="AC2155" s="229"/>
      <c r="AD2155" s="232"/>
      <c r="AE2155" s="233"/>
      <c r="AF2155" s="54"/>
      <c r="AG2155" s="54"/>
      <c r="AH2155" s="54"/>
      <c r="AI2155" s="55" t="str">
        <f t="shared" si="209"/>
        <v/>
      </c>
      <c r="AW2155" s="234"/>
      <c r="BP2155" s="11"/>
      <c r="BQ2155" s="11"/>
      <c r="BR2155" s="235"/>
      <c r="BV2155" s="158"/>
      <c r="BY2155" s="158"/>
      <c r="CB2155" s="158"/>
    </row>
    <row r="2156" ht="18.0" customHeight="1">
      <c r="A2156" s="222">
        <f>IFERROR(__xludf.DUMMYFUNCTION("""COMPUTED_VALUE"""),2026.0)</f>
        <v>2026</v>
      </c>
      <c r="B2156" s="221">
        <f>IFERROR(__xludf.DUMMYFUNCTION("""COMPUTED_VALUE"""),1.1389149E7)</f>
        <v>11389149</v>
      </c>
      <c r="C2156" s="222" t="str">
        <f>IFERROR(__xludf.DUMMYFUNCTION("""COMPUTED_VALUE"""),"RDR BKR PT3 P2I1 KAMPAR_1749")</f>
        <v>RDR BKR PT3 P2I1 KAMPAR_1749</v>
      </c>
      <c r="D2156" s="222" t="str">
        <f>IFERROR(__xludf.DUMMYFUNCTION("""COMPUTED_VALUE"""),"REGIONAL I")</f>
        <v>REGIONAL I</v>
      </c>
      <c r="E2156" s="222" t="str">
        <f>IFERROR(__xludf.DUMMYFUNCTION("""COMPUTED_VALUE"""),"RIDAR")</f>
        <v>RIDAR</v>
      </c>
      <c r="F2156" s="222" t="str">
        <f>IFERROR(__xludf.DUMMYFUNCTION("""COMPUTED_VALUE"""),"BKR")</f>
        <v>BKR</v>
      </c>
      <c r="G2156" s="222" t="str">
        <f>IFERROR(__xludf.DUMMYFUNCTION("""COMPUTED_VALUE"""),"SUMBAGTENG")</f>
        <v>SUMBAGTENG</v>
      </c>
      <c r="H2156" s="222" t="str">
        <f>IFERROR(__xludf.DUMMYFUNCTION("""COMPUTED_VALUE"""),"PEKANBARU")</f>
        <v>PEKANBARU</v>
      </c>
      <c r="I2156" s="222" t="str">
        <f>IFERROR(__xludf.DUMMYFUNCTION("""COMPUTED_VALUE"""),"Batch 2")</f>
        <v>Batch 2</v>
      </c>
      <c r="J2156" s="225">
        <f>IFERROR(__xludf.DUMMYFUNCTION("""COMPUTED_VALUE"""),6.0)</f>
        <v>6</v>
      </c>
      <c r="K2156" s="224">
        <f>IFERROR(__xludf.DUMMYFUNCTION("""COMPUTED_VALUE"""),48.0)</f>
        <v>48</v>
      </c>
      <c r="L2156" s="226">
        <f>IFERROR(__xludf.DUMMYFUNCTION("""COMPUTED_VALUE"""),750183.0)</f>
        <v>750183</v>
      </c>
      <c r="M2156" s="227">
        <f>IFERROR(__xludf.DUMMYFUNCTION("""COMPUTED_VALUE"""),3.6008743E7)</f>
        <v>36008743</v>
      </c>
      <c r="N2156" s="222" t="str">
        <f>IFERROR(__xludf.DUMMYFUNCTION("""COMPUTED_VALUE"""),"PT TRI LESMA INDONESIA")</f>
        <v>PT TRI LESMA INDONESIA</v>
      </c>
      <c r="O2156" s="222" t="str">
        <f>IFERROR(__xludf.DUMMYFUNCTION("""COMPUTED_VALUE"""),"7. GOLIVE")</f>
        <v>7. GOLIVE</v>
      </c>
      <c r="P2156" s="222" t="str">
        <f>IFERROR(__xludf.DUMMYFUNCTION("""COMPUTED_VALUE"""),"7.2 Golive Full / OA / DONE OTB")</f>
        <v>7.2 Golive Full / OA / DONE OTB</v>
      </c>
      <c r="Q2156" s="222" t="str">
        <f>IFERROR(__xludf.DUMMYFUNCTION("""COMPUTED_VALUE"""),"(07/01) Persiapan")</f>
        <v>(07/01) Persiapan</v>
      </c>
      <c r="R2156" s="228"/>
      <c r="S2156" s="11"/>
      <c r="T2156" s="11"/>
      <c r="U2156" s="11" t="str">
        <f>IFERROR(__xludf.DUMMYFUNCTION("""COMPUTED_VALUE"""),"W08-1261/2025")</f>
        <v>W08-1261/2025</v>
      </c>
      <c r="V2156" s="229" t="str">
        <f>IFERROR(__xludf.DUMMYFUNCTION("""COMPUTED_VALUE"""),"FIRDAUS ZULKARNAIEN")</f>
        <v>FIRDAUS ZULKARNAIEN</v>
      </c>
      <c r="W2156" s="229" t="str">
        <f>IFERROR(__xludf.DUMMYFUNCTION("""COMPUTED_VALUE"""),"ANZALA SAKINAH")</f>
        <v>ANZALA SAKINAH</v>
      </c>
      <c r="X2156" s="229" t="str">
        <f>IFERROR(__xludf.DUMMYFUNCTION("""COMPUTED_VALUE"""),"GOLIVE")</f>
        <v>GOLIVE</v>
      </c>
      <c r="Y2156" s="229" t="str">
        <f>IFERROR(__xludf.DUMMYFUNCTION("""COMPUTED_VALUE"""),"DONE")</f>
        <v>DONE</v>
      </c>
      <c r="Z2156" s="229" t="str">
        <f>IFERROR(__xludf.DUMMYFUNCTION("""COMPUTED_VALUE"""),"#N/A")</f>
        <v>#N/A</v>
      </c>
      <c r="AA2156" s="229">
        <f>IFERROR(__xludf.DUMMYFUNCTION("""COMPUTED_VALUE"""),6.0)</f>
        <v>6</v>
      </c>
      <c r="AB2156" s="229"/>
      <c r="AC2156" s="229" t="str">
        <f>IFERROR(__xludf.DUMMYFUNCTION("""COMPUTED_VALUE"""),"8996062#8996067")</f>
        <v>8996062#8996067</v>
      </c>
      <c r="AD2156" s="232">
        <f>IFERROR(__xludf.DUMMYFUNCTION("""COMPUTED_VALUE"""),48.0)</f>
        <v>48</v>
      </c>
      <c r="AE2156" s="233">
        <f>IFERROR(__xludf.DUMMYFUNCTION("""COMPUTED_VALUE"""),46043.0)</f>
        <v>46043</v>
      </c>
      <c r="AF2156" s="54"/>
      <c r="AG2156" s="54"/>
      <c r="AH2156" s="54"/>
      <c r="AI2156" s="55" t="str">
        <f>IF(OR(AH2156="",AE2156=""),"",AH2156-AE2156)</f>
        <v/>
      </c>
      <c r="AW2156" s="234"/>
      <c r="BP2156" s="11"/>
      <c r="BQ2156" s="11"/>
      <c r="BR2156" s="235"/>
      <c r="BV2156" s="158"/>
      <c r="BY2156" s="158"/>
      <c r="CB2156" s="158"/>
    </row>
    <row r="2157" ht="18.0" hidden="1" customHeight="1">
      <c r="A2157" s="222">
        <f>IFERROR(__xludf.DUMMYFUNCTION("""COMPUTED_VALUE"""),2026.0)</f>
        <v>2026</v>
      </c>
      <c r="B2157" s="221">
        <f>IFERROR(__xludf.DUMMYFUNCTION("""COMPUTED_VALUE"""),1.2367435E7)</f>
        <v>12367435</v>
      </c>
      <c r="C2157" s="222" t="str">
        <f>IFERROR(__xludf.DUMMYFUNCTION("""COMPUTED_VALUE"""),"MDN PT3 BJI-FNC DELI SERDANG_18254")</f>
        <v>MDN PT3 BJI-FNC DELI SERDANG_18254</v>
      </c>
      <c r="D2157" s="222" t="str">
        <f>IFERROR(__xludf.DUMMYFUNCTION("""COMPUTED_VALUE"""),"REGIONAL I")</f>
        <v>REGIONAL I</v>
      </c>
      <c r="E2157" s="222" t="str">
        <f>IFERROR(__xludf.DUMMYFUNCTION("""COMPUTED_VALUE"""),"MEDAN")</f>
        <v>MEDAN</v>
      </c>
      <c r="F2157" s="222" t="str">
        <f>IFERROR(__xludf.DUMMYFUNCTION("""COMPUTED_VALUE"""),"BJI")</f>
        <v>BJI</v>
      </c>
      <c r="G2157" s="222" t="str">
        <f>IFERROR(__xludf.DUMMYFUNCTION("""COMPUTED_VALUE"""),"SUMBAGUT")</f>
        <v>SUMBAGUT</v>
      </c>
      <c r="H2157" s="222" t="str">
        <f>IFERROR(__xludf.DUMMYFUNCTION("""COMPUTED_VALUE"""),"BINJAI")</f>
        <v>BINJAI</v>
      </c>
      <c r="I2157" s="222" t="str">
        <f>IFERROR(__xludf.DUMMYFUNCTION("""COMPUTED_VALUE"""),"Batch 2")</f>
        <v>Batch 2</v>
      </c>
      <c r="J2157" s="225">
        <f>IFERROR(__xludf.DUMMYFUNCTION("""COMPUTED_VALUE"""),10.0)</f>
        <v>10</v>
      </c>
      <c r="K2157" s="224">
        <f>IFERROR(__xludf.DUMMYFUNCTION("""COMPUTED_VALUE"""),80.0)</f>
        <v>80</v>
      </c>
      <c r="L2157" s="226">
        <f>IFERROR(__xludf.DUMMYFUNCTION("""COMPUTED_VALUE"""),1640604.0)</f>
        <v>1640604</v>
      </c>
      <c r="M2157" s="227">
        <f>IFERROR(__xludf.DUMMYFUNCTION("""COMPUTED_VALUE"""),1.31248256E8)</f>
        <v>131248256</v>
      </c>
      <c r="N2157" s="222" t="str">
        <f>IFERROR(__xludf.DUMMYFUNCTION("""COMPUTED_VALUE"""),"PT FIBERHOME TECHNOLOGIES INDONESIA")</f>
        <v>PT FIBERHOME TECHNOLOGIES INDONESIA</v>
      </c>
      <c r="O2157" s="222" t="str">
        <f>IFERROR(__xludf.DUMMYFUNCTION("""COMPUTED_VALUE"""),"0. DROP")</f>
        <v>0. DROP</v>
      </c>
      <c r="P2157" s="222" t="str">
        <f>IFERROR(__xludf.DUMMYFUNCTION("""COMPUTED_VALUE"""),"0.4 CPP Tinggi Acc ED TIF")</f>
        <v>0.4 CPP Tinggi Acc ED TIF</v>
      </c>
      <c r="Q2157" s="222" t="str">
        <f>IFERROR(__xludf.DUMMYFUNCTION("""COMPUTED_VALUE"""),"(11/02) proses permit (07/01) Persiapan")</f>
        <v>(11/02) proses permit (07/01) Persiapan</v>
      </c>
      <c r="R2157" s="228"/>
      <c r="S2157" s="11"/>
      <c r="T2157" s="11"/>
      <c r="U2157" s="11"/>
      <c r="V2157" s="229"/>
      <c r="W2157" s="229"/>
      <c r="X2157" s="229" t="str">
        <f>IFERROR(__xludf.DUMMYFUNCTION("""COMPUTED_VALUE"""),"BELUM GOLIVE")</f>
        <v>BELUM GOLIVE</v>
      </c>
      <c r="Y2157" s="229"/>
      <c r="Z2157" s="229" t="str">
        <f>IFERROR(__xludf.DUMMYFUNCTION("""COMPUTED_VALUE"""),"#N/A")</f>
        <v>#N/A</v>
      </c>
      <c r="AA2157" s="229"/>
      <c r="AB2157" s="229"/>
      <c r="AC2157" s="229"/>
      <c r="AD2157" s="232"/>
      <c r="AE2157" s="233"/>
      <c r="AF2157" s="54" t="str">
        <f>IFERROR(__xludf.DUMMYFUNCTION("""COMPUTED_VALUE"""),"Draft BA DROP")</f>
        <v>Draft BA DROP</v>
      </c>
      <c r="AG2157" s="54"/>
      <c r="AH2157" s="54"/>
      <c r="AI2157" s="55" t="str">
        <f t="shared" ref="AI2157:AI2196" si="210">IF(OR(R2157="",AE2157=""),"",R2157-AE2157)</f>
        <v/>
      </c>
      <c r="AW2157" s="234"/>
      <c r="BP2157" s="11"/>
      <c r="BQ2157" s="11"/>
      <c r="BR2157" s="235"/>
      <c r="BV2157" s="158"/>
      <c r="BY2157" s="158"/>
      <c r="CB2157" s="158"/>
    </row>
    <row r="2158" ht="18.0" hidden="1" customHeight="1">
      <c r="A2158" s="222">
        <f>IFERROR(__xludf.DUMMYFUNCTION("""COMPUTED_VALUE"""),2026.0)</f>
        <v>2026</v>
      </c>
      <c r="B2158" s="221">
        <f>IFERROR(__xludf.DUMMYFUNCTION("""COMPUTED_VALUE"""),1.14077E7)</f>
        <v>11407700</v>
      </c>
      <c r="C2158" s="222" t="str">
        <f>IFERROR(__xludf.DUMMYFUNCTION("""COMPUTED_VALUE"""),"ACH PT3 KTN-FE LAWE DESKI_MD")</f>
        <v>ACH PT3 KTN-FE LAWE DESKI_MD</v>
      </c>
      <c r="D2158" s="222" t="str">
        <f>IFERROR(__xludf.DUMMYFUNCTION("""COMPUTED_VALUE"""),"REGIONAL I")</f>
        <v>REGIONAL I</v>
      </c>
      <c r="E2158" s="222" t="str">
        <f>IFERROR(__xludf.DUMMYFUNCTION("""COMPUTED_VALUE"""),"ACEH")</f>
        <v>ACEH</v>
      </c>
      <c r="F2158" s="222" t="str">
        <f>IFERROR(__xludf.DUMMYFUNCTION("""COMPUTED_VALUE"""),"KTN")</f>
        <v>KTN</v>
      </c>
      <c r="G2158" s="222" t="str">
        <f>IFERROR(__xludf.DUMMYFUNCTION("""COMPUTED_VALUE"""),"SUMBAGUT")</f>
        <v>SUMBAGUT</v>
      </c>
      <c r="H2158" s="222" t="str">
        <f>IFERROR(__xludf.DUMMYFUNCTION("""COMPUTED_VALUE"""),"BANDA ACEH")</f>
        <v>BANDA ACEH</v>
      </c>
      <c r="I2158" s="222" t="str">
        <f>IFERROR(__xludf.DUMMYFUNCTION("""COMPUTED_VALUE"""),"Batch 2")</f>
        <v>Batch 2</v>
      </c>
      <c r="J2158" s="225">
        <f>IFERROR(__xludf.DUMMYFUNCTION("""COMPUTED_VALUE"""),3.0)</f>
        <v>3</v>
      </c>
      <c r="K2158" s="224">
        <f>IFERROR(__xludf.DUMMYFUNCTION("""COMPUTED_VALUE"""),24.0)</f>
        <v>24</v>
      </c>
      <c r="L2158" s="226">
        <f>IFERROR(__xludf.DUMMYFUNCTION("""COMPUTED_VALUE"""),346795.0)</f>
        <v>346795</v>
      </c>
      <c r="M2158" s="227">
        <f>IFERROR(__xludf.DUMMYFUNCTION("""COMPUTED_VALUE"""),8323065.0)</f>
        <v>8323065</v>
      </c>
      <c r="N2158" s="222" t="str">
        <f>IFERROR(__xludf.DUMMYFUNCTION("""COMPUTED_VALUE"""),"PT NURISA JAYA PERKASA")</f>
        <v>PT NURISA JAYA PERKASA</v>
      </c>
      <c r="O2158" s="222" t="str">
        <f>IFERROR(__xludf.DUMMYFUNCTION("""COMPUTED_VALUE"""),"7. GOLIVE")</f>
        <v>7. GOLIVE</v>
      </c>
      <c r="P2158" s="222" t="str">
        <f>IFERROR(__xludf.DUMMYFUNCTION("""COMPUTED_VALUE"""),"7.2 Golive Full / OA / DONE OTB")</f>
        <v>7.2 Golive Full / OA / DONE OTB</v>
      </c>
      <c r="Q2158" s="222" t="str">
        <f>IFERROR(__xludf.DUMMYFUNCTION("""COMPUTED_VALUE"""),"(11/02) pgl (02/02) ABD Mancore (30/01) proses ABD MANCORE (21/01) Terminasi (18/01) Penarikan Kabel (12/01) Tanam Tiang (07/01) Persiapan")</f>
        <v>(11/02) pgl (02/02) ABD Mancore (30/01) proses ABD MANCORE (21/01) Terminasi (18/01) Penarikan Kabel (12/01) Tanam Tiang (07/01) Persiapan</v>
      </c>
      <c r="R2158" s="228">
        <f>IFERROR(__xludf.DUMMYFUNCTION("""COMPUTED_VALUE"""),46070.0)</f>
        <v>46070</v>
      </c>
      <c r="S2158" s="11"/>
      <c r="T2158" s="11"/>
      <c r="U2158" s="11"/>
      <c r="V2158" s="229"/>
      <c r="W2158" s="229"/>
      <c r="X2158" s="229" t="str">
        <f>IFERROR(__xludf.DUMMYFUNCTION("""COMPUTED_VALUE"""),"GOLIVE")</f>
        <v>GOLIVE</v>
      </c>
      <c r="Y2158" s="229" t="str">
        <f>IFERROR(__xludf.DUMMYFUNCTION("""COMPUTED_VALUE"""),"DONE")</f>
        <v>DONE</v>
      </c>
      <c r="Z2158" s="229" t="str">
        <f>IFERROR(__xludf.DUMMYFUNCTION("""COMPUTED_VALUE"""),"#N/A")</f>
        <v>#N/A</v>
      </c>
      <c r="AA2158" s="229">
        <f>IFERROR(__xludf.DUMMYFUNCTION("""COMPUTED_VALUE"""),3.0)</f>
        <v>3</v>
      </c>
      <c r="AB2158" s="229"/>
      <c r="AC2158" s="229" t="str">
        <f>IFERROR(__xludf.DUMMYFUNCTION("""COMPUTED_VALUE"""),"9060961#9060966")</f>
        <v>9060961#9060966</v>
      </c>
      <c r="AD2158" s="232">
        <f>IFERROR(__xludf.DUMMYFUNCTION("""COMPUTED_VALUE"""),24.0)</f>
        <v>24</v>
      </c>
      <c r="AE2158" s="233">
        <f>IFERROR(__xludf.DUMMYFUNCTION("""COMPUTED_VALUE"""),46070.0)</f>
        <v>46070</v>
      </c>
      <c r="AF2158" s="54"/>
      <c r="AG2158" s="54"/>
      <c r="AH2158" s="54">
        <v>46070.0</v>
      </c>
      <c r="AI2158" s="55">
        <f t="shared" si="210"/>
        <v>0</v>
      </c>
      <c r="AW2158" s="234"/>
      <c r="BP2158" s="11"/>
      <c r="BQ2158" s="11"/>
      <c r="BR2158" s="235"/>
      <c r="BV2158" s="158"/>
      <c r="BY2158" s="158"/>
      <c r="CB2158" s="158"/>
    </row>
    <row r="2159" ht="18.0" hidden="1" customHeight="1">
      <c r="A2159" s="222">
        <f>IFERROR(__xludf.DUMMYFUNCTION("""COMPUTED_VALUE"""),2026.0)</f>
        <v>2026</v>
      </c>
      <c r="B2159" s="221">
        <f>IFERROR(__xludf.DUMMYFUNCTION("""COMPUTED_VALUE"""),1.1439924E7)</f>
        <v>11439924</v>
      </c>
      <c r="C2159" s="222" t="str">
        <f>IFERROR(__xludf.DUMMYFUNCTION("""COMPUTED_VALUE"""),"SMU PSP-FAV CLUST MUARATAIS")</f>
        <v>SMU PSP-FAV CLUST MUARATAIS</v>
      </c>
      <c r="D2159" s="222" t="str">
        <f>IFERROR(__xludf.DUMMYFUNCTION("""COMPUTED_VALUE"""),"REGIONAL I")</f>
        <v>REGIONAL I</v>
      </c>
      <c r="E2159" s="222" t="str">
        <f>IFERROR(__xludf.DUMMYFUNCTION("""COMPUTED_VALUE"""),"SUMUT")</f>
        <v>SUMUT</v>
      </c>
      <c r="F2159" s="222" t="str">
        <f>IFERROR(__xludf.DUMMYFUNCTION("""COMPUTED_VALUE"""),"PSP")</f>
        <v>PSP</v>
      </c>
      <c r="G2159" s="222" t="str">
        <f>IFERROR(__xludf.DUMMYFUNCTION("""COMPUTED_VALUE"""),"SUMBAGUT")</f>
        <v>SUMBAGUT</v>
      </c>
      <c r="H2159" s="222" t="str">
        <f>IFERROR(__xludf.DUMMYFUNCTION("""COMPUTED_VALUE"""),"PADANG SIDEMPUAN")</f>
        <v>PADANG SIDEMPUAN</v>
      </c>
      <c r="I2159" s="222" t="str">
        <f>IFERROR(__xludf.DUMMYFUNCTION("""COMPUTED_VALUE"""),"Batch 2")</f>
        <v>Batch 2</v>
      </c>
      <c r="J2159" s="225">
        <f>IFERROR(__xludf.DUMMYFUNCTION("""COMPUTED_VALUE"""),9.0)</f>
        <v>9</v>
      </c>
      <c r="K2159" s="224">
        <f>IFERROR(__xludf.DUMMYFUNCTION("""COMPUTED_VALUE"""),72.0)</f>
        <v>72</v>
      </c>
      <c r="L2159" s="226">
        <f>IFERROR(__xludf.DUMMYFUNCTION("""COMPUTED_VALUE"""),572725.0)</f>
        <v>572725</v>
      </c>
      <c r="M2159" s="227">
        <f>IFERROR(__xludf.DUMMYFUNCTION("""COMPUTED_VALUE"""),4.1236141E7)</f>
        <v>41236141</v>
      </c>
      <c r="N2159" s="222" t="str">
        <f>IFERROR(__xludf.DUMMYFUNCTION("""COMPUTED_VALUE"""),"PT SALTTEK DUMPANG JAYA")</f>
        <v>PT SALTTEK DUMPANG JAYA</v>
      </c>
      <c r="O2159" s="222" t="str">
        <f>IFERROR(__xludf.DUMMYFUNCTION("""COMPUTED_VALUE"""),"7. GOLIVE")</f>
        <v>7. GOLIVE</v>
      </c>
      <c r="P2159" s="222" t="str">
        <f>IFERROR(__xludf.DUMMYFUNCTION("""COMPUTED_VALUE"""),"7.2 Golive Full / OA / DONE OTB")</f>
        <v>7.2 Golive Full / OA / DONE OTB</v>
      </c>
      <c r="Q2159" s="222" t="str">
        <f>IFERROR(__xludf.DUMMYFUNCTION("""COMPUTED_VALUE"""),"GOLIVE (08/01) kendala feeder SUP-FA full, proses mapping mitra dan penjadwalan aanwijziing (07/01) Persiapan")</f>
        <v>GOLIVE (08/01) kendala feeder SUP-FA full, proses mapping mitra dan penjadwalan aanwijziing (07/01) Persiapan</v>
      </c>
      <c r="R2159" s="228">
        <f>IFERROR(__xludf.DUMMYFUNCTION("""COMPUTED_VALUE"""),46035.0)</f>
        <v>46035</v>
      </c>
      <c r="S2159" s="11"/>
      <c r="T2159" s="11"/>
      <c r="U2159" s="11" t="str">
        <f>IFERROR(__xludf.DUMMYFUNCTION("""COMPUTED_VALUE"""),"W03-1402/2025")</f>
        <v>W03-1402/2025</v>
      </c>
      <c r="V2159" s="229"/>
      <c r="W2159" s="229"/>
      <c r="X2159" s="229" t="str">
        <f>IFERROR(__xludf.DUMMYFUNCTION("""COMPUTED_VALUE"""),"GOLIVE")</f>
        <v>GOLIVE</v>
      </c>
      <c r="Y2159" s="229" t="str">
        <f>IFERROR(__xludf.DUMMYFUNCTION("""COMPUTED_VALUE"""),"DONE")</f>
        <v>DONE</v>
      </c>
      <c r="Z2159" s="229" t="str">
        <f>IFERROR(__xludf.DUMMYFUNCTION("""COMPUTED_VALUE"""),"#N/A")</f>
        <v>#N/A</v>
      </c>
      <c r="AA2159" s="229">
        <f>IFERROR(__xludf.DUMMYFUNCTION("""COMPUTED_VALUE"""),9.0)</f>
        <v>9</v>
      </c>
      <c r="AB2159" s="229"/>
      <c r="AC2159" s="229" t="str">
        <f>IFERROR(__xludf.DUMMYFUNCTION("""COMPUTED_VALUE"""),"8846874#8846879")</f>
        <v>8846874#8846879</v>
      </c>
      <c r="AD2159" s="232">
        <f>IFERROR(__xludf.DUMMYFUNCTION("""COMPUTED_VALUE"""),72.0)</f>
        <v>72</v>
      </c>
      <c r="AE2159" s="233">
        <f>IFERROR(__xludf.DUMMYFUNCTION("""COMPUTED_VALUE"""),46035.0)</f>
        <v>46035</v>
      </c>
      <c r="AF2159" s="54"/>
      <c r="AG2159" s="54"/>
      <c r="AH2159" s="54">
        <v>46035.0</v>
      </c>
      <c r="AI2159" s="55">
        <f t="shared" si="210"/>
        <v>0</v>
      </c>
      <c r="AW2159" s="234"/>
      <c r="BP2159" s="11"/>
      <c r="BQ2159" s="11"/>
      <c r="BR2159" s="235"/>
      <c r="BV2159" s="158"/>
      <c r="BY2159" s="158"/>
      <c r="CB2159" s="158"/>
    </row>
    <row r="2160" ht="18.0" customHeight="1">
      <c r="A2160" s="222">
        <f>IFERROR(__xludf.DUMMYFUNCTION("""COMPUTED_VALUE"""),2026.0)</f>
        <v>2026</v>
      </c>
      <c r="B2160" s="221">
        <f>IFERROR(__xludf.DUMMYFUNCTION("""COMPUTED_VALUE"""),1.1068516E7)</f>
        <v>11068516</v>
      </c>
      <c r="C2160" s="222" t="str">
        <f>IFERROR(__xludf.DUMMYFUNCTION("""COMPUTED_VALUE"""),"SMB P1I1 PT3 Batu Taba, Ampek Angkek")</f>
        <v>SMB P1I1 PT3 Batu Taba, Ampek Angkek</v>
      </c>
      <c r="D2160" s="222" t="str">
        <f>IFERROR(__xludf.DUMMYFUNCTION("""COMPUTED_VALUE"""),"REGIONAL I")</f>
        <v>REGIONAL I</v>
      </c>
      <c r="E2160" s="222" t="str">
        <f>IFERROR(__xludf.DUMMYFUNCTION("""COMPUTED_VALUE"""),"SUMBAR")</f>
        <v>SUMBAR</v>
      </c>
      <c r="F2160" s="222" t="str">
        <f>IFERROR(__xludf.DUMMYFUNCTION("""COMPUTED_VALUE"""),"BKT")</f>
        <v>BKT</v>
      </c>
      <c r="G2160" s="222" t="str">
        <f>IFERROR(__xludf.DUMMYFUNCTION("""COMPUTED_VALUE"""),"SUMBAGTENG")</f>
        <v>SUMBAGTENG</v>
      </c>
      <c r="H2160" s="222" t="str">
        <f>IFERROR(__xludf.DUMMYFUNCTION("""COMPUTED_VALUE"""),"BUKIT TINGGI")</f>
        <v>BUKIT TINGGI</v>
      </c>
      <c r="I2160" s="222" t="str">
        <f>IFERROR(__xludf.DUMMYFUNCTION("""COMPUTED_VALUE"""),"Batch 2")</f>
        <v>Batch 2</v>
      </c>
      <c r="J2160" s="225">
        <f>IFERROR(__xludf.DUMMYFUNCTION("""COMPUTED_VALUE"""),2.0)</f>
        <v>2</v>
      </c>
      <c r="K2160" s="224">
        <f>IFERROR(__xludf.DUMMYFUNCTION("""COMPUTED_VALUE"""),16.0)</f>
        <v>16</v>
      </c>
      <c r="L2160" s="226">
        <f>IFERROR(__xludf.DUMMYFUNCTION("""COMPUTED_VALUE"""),1641752.0)</f>
        <v>1641752</v>
      </c>
      <c r="M2160" s="227">
        <f>IFERROR(__xludf.DUMMYFUNCTION("""COMPUTED_VALUE"""),2.6268025E7)</f>
        <v>26268025</v>
      </c>
      <c r="N2160" s="222" t="str">
        <f>IFERROR(__xludf.DUMMYFUNCTION("""COMPUTED_VALUE"""),"PT GARINDO TECHNO MANDIRI")</f>
        <v>PT GARINDO TECHNO MANDIRI</v>
      </c>
      <c r="O2160" s="222" t="str">
        <f>IFERROR(__xludf.DUMMYFUNCTION("""COMPUTED_VALUE"""),"4. MATDEL")</f>
        <v>4. MATDEL</v>
      </c>
      <c r="P2160" s="222" t="str">
        <f>IFERROR(__xludf.DUMMYFUNCTION("""COMPUTED_VALUE"""),"4.4 Proses Pengiriman Pabribak ke WH")</f>
        <v>4.4 Proses Pengiriman Pabribak ke WH</v>
      </c>
      <c r="Q2160" s="222" t="str">
        <f>IFERROR(__xludf.DUMMYFUNCTION("""COMPUTED_VALUE"""),"(27/04) menunggu PO kabel 24 ADSS (20/04) sudah aanwijziing, proses eval  (10/04) Proses aanwijziing , LOP HOLD FEEDER FULL ACC GO (26/01) kendala feeder SUP-FA FULL")</f>
        <v>(27/04) menunggu PO kabel 24 ADSS (20/04) sudah aanwijziing, proses eval  (10/04) Proses aanwijziing , LOP HOLD FEEDER FULL ACC GO (26/01) kendala feeder SUP-FA FULL</v>
      </c>
      <c r="R2160" s="228"/>
      <c r="S2160" s="11"/>
      <c r="T2160" s="11"/>
      <c r="U2160" s="11"/>
      <c r="V2160" s="229" t="str">
        <f>IFERROR(__xludf.DUMMYFUNCTION("""COMPUTED_VALUE"""),"DELPA YANDA")</f>
        <v>DELPA YANDA</v>
      </c>
      <c r="W2160" s="229" t="str">
        <f>IFERROR(__xludf.DUMMYFUNCTION("""COMPUTED_VALUE"""),"MELKO NARWADI")</f>
        <v>MELKO NARWADI</v>
      </c>
      <c r="X2160" s="229" t="str">
        <f>IFERROR(__xludf.DUMMYFUNCTION("""COMPUTED_VALUE"""),"BELUM GOLIVE")</f>
        <v>BELUM GOLIVE</v>
      </c>
      <c r="Y2160" s="229"/>
      <c r="Z2160" s="229" t="str">
        <f>IFERROR(__xludf.DUMMYFUNCTION("""COMPUTED_VALUE"""),"#N/A")</f>
        <v>#N/A</v>
      </c>
      <c r="AA2160" s="229"/>
      <c r="AB2160" s="229"/>
      <c r="AC2160" s="229"/>
      <c r="AD2160" s="232"/>
      <c r="AE2160" s="233"/>
      <c r="AF2160" s="54" t="str">
        <f>IFERROR(__xludf.DUMMYFUNCTION("""COMPUTED_VALUE"""),"Draft BA DROP")</f>
        <v>Draft BA DROP</v>
      </c>
      <c r="AG2160" s="54"/>
      <c r="AH2160" s="54"/>
      <c r="AI2160" s="55" t="str">
        <f t="shared" si="210"/>
        <v/>
      </c>
      <c r="AW2160" s="234"/>
      <c r="BP2160" s="11"/>
      <c r="BQ2160" s="11"/>
      <c r="BR2160" s="235"/>
      <c r="BV2160" s="158"/>
      <c r="BY2160" s="158"/>
      <c r="CB2160" s="158"/>
    </row>
    <row r="2161" ht="18.0" hidden="1" customHeight="1">
      <c r="A2161" s="222">
        <f>IFERROR(__xludf.DUMMYFUNCTION("""COMPUTED_VALUE"""),2026.0)</f>
        <v>2026</v>
      </c>
      <c r="B2161" s="221">
        <f>IFERROR(__xludf.DUMMYFUNCTION("""COMPUTED_VALUE"""),1.1388925E7)</f>
        <v>11388925</v>
      </c>
      <c r="C2161" s="222" t="str">
        <f>IFERROR(__xludf.DUMMYFUNCTION("""COMPUTED_VALUE"""),"ACH PT4 BIR-FZ LHOK AWE BAROEH")</f>
        <v>ACH PT4 BIR-FZ LHOK AWE BAROEH</v>
      </c>
      <c r="D2161" s="222" t="str">
        <f>IFERROR(__xludf.DUMMYFUNCTION("""COMPUTED_VALUE"""),"REGIONAL I")</f>
        <v>REGIONAL I</v>
      </c>
      <c r="E2161" s="222" t="str">
        <f>IFERROR(__xludf.DUMMYFUNCTION("""COMPUTED_VALUE"""),"ACEH")</f>
        <v>ACEH</v>
      </c>
      <c r="F2161" s="222" t="str">
        <f>IFERROR(__xludf.DUMMYFUNCTION("""COMPUTED_VALUE"""),"BIR")</f>
        <v>BIR</v>
      </c>
      <c r="G2161" s="222" t="str">
        <f>IFERROR(__xludf.DUMMYFUNCTION("""COMPUTED_VALUE"""),"SUMBAGUT")</f>
        <v>SUMBAGUT</v>
      </c>
      <c r="H2161" s="222" t="str">
        <f>IFERROR(__xludf.DUMMYFUNCTION("""COMPUTED_VALUE"""),"BANDA ACEH")</f>
        <v>BANDA ACEH</v>
      </c>
      <c r="I2161" s="222" t="str">
        <f>IFERROR(__xludf.DUMMYFUNCTION("""COMPUTED_VALUE"""),"Batch 2")</f>
        <v>Batch 2</v>
      </c>
      <c r="J2161" s="225">
        <f>IFERROR(__xludf.DUMMYFUNCTION("""COMPUTED_VALUE"""),46.0)</f>
        <v>46</v>
      </c>
      <c r="K2161" s="224">
        <f>IFERROR(__xludf.DUMMYFUNCTION("""COMPUTED_VALUE"""),368.0)</f>
        <v>368</v>
      </c>
      <c r="L2161" s="226">
        <f>IFERROR(__xludf.DUMMYFUNCTION("""COMPUTED_VALUE"""),1642330.0)</f>
        <v>1642330</v>
      </c>
      <c r="M2161" s="227">
        <f>IFERROR(__xludf.DUMMYFUNCTION("""COMPUTED_VALUE"""),6.04377121E8)</f>
        <v>604377121</v>
      </c>
      <c r="N2161" s="222" t="str">
        <f>IFERROR(__xludf.DUMMYFUNCTION("""COMPUTED_VALUE"""),"PT KANA PRISMA AKSES")</f>
        <v>PT KANA PRISMA AKSES</v>
      </c>
      <c r="O2161" s="222" t="str">
        <f>IFERROR(__xludf.DUMMYFUNCTION("""COMPUTED_VALUE"""),"4. MATDEL")</f>
        <v>4. MATDEL</v>
      </c>
      <c r="P2161" s="222" t="str">
        <f>IFERROR(__xludf.DUMMYFUNCTION("""COMPUTED_VALUE"""),"4.3 Proses Kirim Mateial Kelokasi")</f>
        <v>4.3 Proses Kirim Mateial Kelokasi</v>
      </c>
      <c r="Q2161" s="222" t="str">
        <f>IFERROR(__xludf.DUMMYFUNCTION("""COMPUTED_VALUE"""),"(10/04) DelMat dari WH ke Lokasi Serial (10/03) Proses Nego (07/02) Negosiasi SITAC (29/01) Done Aanwijzing (07/01) Persiapan")</f>
        <v>(10/04) DelMat dari WH ke Lokasi Serial (10/03) Proses Nego (07/02) Negosiasi SITAC (29/01) Done Aanwijzing (07/01) Persiapan</v>
      </c>
      <c r="R2161" s="228">
        <f>IFERROR(__xludf.DUMMYFUNCTION("""COMPUTED_VALUE"""),46150.0)</f>
        <v>46150</v>
      </c>
      <c r="S2161" s="11"/>
      <c r="T2161" s="11"/>
      <c r="U2161" s="11" t="str">
        <f>IFERROR(__xludf.DUMMYFUNCTION("""COMPUTED_VALUE"""),"W04-945/2025")</f>
        <v>W04-945/2025</v>
      </c>
      <c r="V2161" s="229"/>
      <c r="W2161" s="229" t="str">
        <f>IFERROR(__xludf.DUMMYFUNCTION("""COMPUTED_VALUE"""),"AZMI SYUKRAN")</f>
        <v>AZMI SYUKRAN</v>
      </c>
      <c r="X2161" s="229" t="str">
        <f>IFERROR(__xludf.DUMMYFUNCTION("""COMPUTED_VALUE"""),"BELUM GOLIVE")</f>
        <v>BELUM GOLIVE</v>
      </c>
      <c r="Y2161" s="229"/>
      <c r="Z2161" s="229" t="str">
        <f>IFERROR(__xludf.DUMMYFUNCTION("""COMPUTED_VALUE"""),"#N/A")</f>
        <v>#N/A</v>
      </c>
      <c r="AA2161" s="229"/>
      <c r="AB2161" s="229"/>
      <c r="AC2161" s="229"/>
      <c r="AD2161" s="232"/>
      <c r="AE2161" s="233"/>
      <c r="AF2161" s="54"/>
      <c r="AG2161" s="54"/>
      <c r="AH2161" s="54"/>
      <c r="AI2161" s="55" t="str">
        <f t="shared" si="210"/>
        <v/>
      </c>
      <c r="AW2161" s="234"/>
      <c r="BP2161" s="11"/>
      <c r="BQ2161" s="11"/>
      <c r="BR2161" s="235"/>
      <c r="BV2161" s="158"/>
      <c r="BY2161" s="158"/>
      <c r="CB2161" s="158"/>
    </row>
    <row r="2162" ht="18.0" hidden="1" customHeight="1">
      <c r="A2162" s="222">
        <f>IFERROR(__xludf.DUMMYFUNCTION("""COMPUTED_VALUE"""),2026.0)</f>
        <v>2026</v>
      </c>
      <c r="B2162" s="221">
        <f>IFERROR(__xludf.DUMMYFUNCTION("""COMPUTED_VALUE"""),1.2438358E7)</f>
        <v>12438358</v>
      </c>
      <c r="C2162" s="222" t="str">
        <f>IFERROR(__xludf.DUMMYFUNCTION("""COMPUTED_VALUE"""),"SMS P4I4 PT3 MEM FB D03 PANGERAN DANAL")</f>
        <v>SMS P4I4 PT3 MEM FB D03 PANGERAN DANAL</v>
      </c>
      <c r="D2162" s="222" t="str">
        <f>IFERROR(__xludf.DUMMYFUNCTION("""COMPUTED_VALUE"""),"REGIONAL I")</f>
        <v>REGIONAL I</v>
      </c>
      <c r="E2162" s="222" t="str">
        <f>IFERROR(__xludf.DUMMYFUNCTION("""COMPUTED_VALUE"""),"SUMSEL")</f>
        <v>SUMSEL</v>
      </c>
      <c r="F2162" s="222" t="str">
        <f>IFERROR(__xludf.DUMMYFUNCTION("""COMPUTED_VALUE"""),"MEM")</f>
        <v>MEM</v>
      </c>
      <c r="G2162" s="222" t="str">
        <f>IFERROR(__xludf.DUMMYFUNCTION("""COMPUTED_VALUE"""),"SUMBAGSEL")</f>
        <v>SUMBAGSEL</v>
      </c>
      <c r="H2162" s="222" t="str">
        <f>IFERROR(__xludf.DUMMYFUNCTION("""COMPUTED_VALUE"""),"PALEMBANG")</f>
        <v>PALEMBANG</v>
      </c>
      <c r="I2162" s="222" t="str">
        <f>IFERROR(__xludf.DUMMYFUNCTION("""COMPUTED_VALUE"""),"Batch 2")</f>
        <v>Batch 2</v>
      </c>
      <c r="J2162" s="225">
        <f>IFERROR(__xludf.DUMMYFUNCTION("""COMPUTED_VALUE"""),3.0)</f>
        <v>3</v>
      </c>
      <c r="K2162" s="224">
        <f>IFERROR(__xludf.DUMMYFUNCTION("""COMPUTED_VALUE"""),24.0)</f>
        <v>24</v>
      </c>
      <c r="L2162" s="226">
        <f>IFERROR(__xludf.DUMMYFUNCTION("""COMPUTED_VALUE"""),1642776.0)</f>
        <v>1642776</v>
      </c>
      <c r="M2162" s="227">
        <f>IFERROR(__xludf.DUMMYFUNCTION("""COMPUTED_VALUE"""),3.9426611E7)</f>
        <v>39426611</v>
      </c>
      <c r="N2162" s="222" t="str">
        <f>IFERROR(__xludf.DUMMYFUNCTION("""COMPUTED_VALUE"""),"PT ACERO CETHA METALINDO")</f>
        <v>PT ACERO CETHA METALINDO</v>
      </c>
      <c r="O2162" s="222" t="str">
        <f>IFERROR(__xludf.DUMMYFUNCTION("""COMPUTED_VALUE"""),"7. GOLIVE")</f>
        <v>7. GOLIVE</v>
      </c>
      <c r="P2162" s="222" t="str">
        <f>IFERROR(__xludf.DUMMYFUNCTION("""COMPUTED_VALUE"""),"7.2 Golive Full / OA / DONE OTB")</f>
        <v>7.2 Golive Full / OA / DONE OTB</v>
      </c>
      <c r="Q2162" s="222" t="str">
        <f>IFERROR(__xludf.DUMMYFUNCTION("""COMPUTED_VALUE"""),"27/04 PROSES GOLIVE, 23/04 proses penarikan kabel, sempat d stok sama ketua RT setemapt, 17/04 PROSES PENARIKAN KABEL, 09/04 PRoses input material,plan matdel 11 APR 08/04 MENUNGGU PR PO, 06/04 PROSES PR PO, 04/04 MASIH MENUNGGU PID LOP DIMAS PPPA MEM 2 U"&amp;"TK DILANJUTKAN KE PR PO, 30/03 MENUNGGU PR PO, 28/03 DONE DRM, 27/03 PROSES DRM, 26/03 OGP DRM (PERUBAHAN DRI SWAKELOLA KE KEMITRAAN), 24/03 EST TGL 30 MAR DRM, 21/03 EST TGL 30 MAR DRM, 16/03 EST TGL 30 MAR INPUT MATERIAL, 13/03 OGP DRM, 10/03 OGP DRM, 0"&amp;"3/03 HASIL REVIEW TIF LANJUT, 02/03 OGP REVIEW TIF, 27/02 HOLD DILOKASI ADA PERUBAHAN DESAIN, DAN CPP NAIK 5%, 24/02 HOLD DILOKASI ADA PERUBAHAN DESAIN, DAN CPP NAIK 5% 22/2 BOQ naik dari plan 10/02 MASIH HOLD KRNA CPP NAIK, 06/02 HASIL REVIEW TSEL MENUNG"&amp;"GU KONFIRM TSEL KRENA KENAIAKN CPP DAN BOQ UNTUK KONFIRM KE ED 03/02 DONE EVAL, HOLD DI LOKASI ADA PERUBAHAN DESAIN DAN ADA KENAIKAN NILAI BOQ SEBESAR 5% DARI PLAN DAN CPP 1,7 JT 03/02 DONE EVAL, HOLD DI LOKASI ADA PERUBAHAN DESAIN DAN ADA KENAIKAN NILAI "&amp;"BOQ SEBESAR 5% DARI PLAN DAN CPP 1,7 JT, 02/02 PROSES PERIZINAN, 30/01 DONE AANWIDJZING, 28/01 OGP AANWIDJZING, (20/01) Swakelola Pak Yopie Acero (15/1) MITRA GTM OVERLOAD (15/1) ORDER DITERIMA MITRA 14/1,MENUNGGU PLAN AANWIJDZING (06/01)order JPP batch-2"&amp;" 2026 ((14/11)HOLD- tidak masuk target Optimis 2025 ((11/11) Penunjukkan MITRA oleh Procurement")</f>
        <v>27/04 PROSES GOLIVE, 23/04 proses penarikan kabel, sempat d stok sama ketua RT setemapt, 17/04 PROSES PENARIKAN KABEL, 09/04 PRoses input material,plan matdel 11 APR 08/04 MENUNGGU PR PO, 06/04 PROSES PR PO, 04/04 MASIH MENUNGGU PID LOP DIMAS PPPA MEM 2 UTK DILANJUTKAN KE PR PO, 30/03 MENUNGGU PR PO, 28/03 DONE DRM, 27/03 PROSES DRM, 26/03 OGP DRM (PERUBAHAN DRI SWAKELOLA KE KEMITRAAN), 24/03 EST TGL 30 MAR DRM, 21/03 EST TGL 30 MAR DRM, 16/03 EST TGL 30 MAR INPUT MATERIAL, 13/03 OGP DRM, 10/03 OGP DRM, 03/03 HASIL REVIEW TIF LANJUT, 02/03 OGP REVIEW TIF, 27/02 HOLD DILOKASI ADA PERUBAHAN DESAIN, DAN CPP NAIK 5%, 24/02 HOLD DILOKASI ADA PERUBAHAN DESAIN, DAN CPP NAIK 5% 22/2 BOQ naik dari plan 10/02 MASIH HOLD KRNA CPP NAIK, 06/02 HASIL REVIEW TSEL MENUNGGU KONFIRM TSEL KRENA KENAIAKN CPP DAN BOQ UNTUK KONFIRM KE ED 03/02 DONE EVAL, HOLD DI LOKASI ADA PERUBAHAN DESAIN DAN ADA KENAIKAN NILAI BOQ SEBESAR 5% DARI PLAN DAN CPP 1,7 JT 03/02 DONE EVAL, HOLD DI LOKASI ADA PERUBAHAN DESAIN DAN ADA KENAIKAN NILAI BOQ SEBESAR 5% DARI PLAN DAN CPP 1,7 JT, 02/02 PROSES PERIZINAN, 30/01 DONE AANWIDJZING, 28/01 OGP AANWIDJZING, (20/01) Swakelola Pak Yopie Acero (15/1) MITRA GTM OVERLOAD (15/1) ORDER DITERIMA MITRA 14/1,MENUNGGU PLAN AANWIJDZING (06/01)order JPP batch-2 2026 ((14/11)HOLD- tidak masuk target Optimis 2025 ((11/11) Penunjukkan MITRA oleh Procurement</v>
      </c>
      <c r="R2162" s="228">
        <f>IFERROR(__xludf.DUMMYFUNCTION("""COMPUTED_VALUE"""),46139.0)</f>
        <v>46139</v>
      </c>
      <c r="S2162" s="11" t="str">
        <f>IFERROR(__xludf.DUMMYFUNCTION("""COMPUTED_VALUE"""),"APR")</f>
        <v>APR</v>
      </c>
      <c r="T2162" s="11" t="str">
        <f>IFERROR(__xludf.DUMMYFUNCTION("""COMPUTED_VALUE"""),"P1")</f>
        <v>P1</v>
      </c>
      <c r="U2162" s="11"/>
      <c r="V2162" s="229" t="str">
        <f>IFERROR(__xludf.DUMMYFUNCTION("""COMPUTED_VALUE"""),"ILHAM")</f>
        <v>ILHAM</v>
      </c>
      <c r="W2162" s="229"/>
      <c r="X2162" s="229" t="str">
        <f>IFERROR(__xludf.DUMMYFUNCTION("""COMPUTED_VALUE"""),"GOLIVE")</f>
        <v>GOLIVE</v>
      </c>
      <c r="Y2162" s="229" t="str">
        <f>IFERROR(__xludf.DUMMYFUNCTION("""COMPUTED_VALUE"""),"DONE")</f>
        <v>DONE</v>
      </c>
      <c r="Z2162" s="229" t="str">
        <f>IFERROR(__xludf.DUMMYFUNCTION("""COMPUTED_VALUE"""),"#N/A")</f>
        <v>#N/A</v>
      </c>
      <c r="AA2162" s="229">
        <f>IFERROR(__xludf.DUMMYFUNCTION("""COMPUTED_VALUE"""),3.0)</f>
        <v>3</v>
      </c>
      <c r="AB2162" s="229"/>
      <c r="AC2162" s="229" t="str">
        <f>IFERROR(__xludf.DUMMYFUNCTION("""COMPUTED_VALUE"""),"8971534#8971539")</f>
        <v>8971534#8971539</v>
      </c>
      <c r="AD2162" s="232">
        <f>IFERROR(__xludf.DUMMYFUNCTION("""COMPUTED_VALUE"""),24.0)</f>
        <v>24</v>
      </c>
      <c r="AE2162" s="233">
        <f>IFERROR(__xludf.DUMMYFUNCTION("""COMPUTED_VALUE"""),46139.0)</f>
        <v>46139</v>
      </c>
      <c r="AF2162" s="54"/>
      <c r="AG2162" s="54"/>
      <c r="AH2162" s="54"/>
      <c r="AI2162" s="55">
        <f t="shared" si="210"/>
        <v>0</v>
      </c>
      <c r="AW2162" s="234"/>
      <c r="BP2162" s="11"/>
      <c r="BQ2162" s="11"/>
      <c r="BR2162" s="235"/>
      <c r="BV2162" s="158"/>
      <c r="BY2162" s="158"/>
      <c r="CB2162" s="158"/>
    </row>
    <row r="2163" ht="18.0" hidden="1" customHeight="1">
      <c r="A2163" s="222">
        <f>IFERROR(__xludf.DUMMYFUNCTION("""COMPUTED_VALUE"""),2026.0)</f>
        <v>2026</v>
      </c>
      <c r="B2163" s="221">
        <f>IFERROR(__xludf.DUMMYFUNCTION("""COMPUTED_VALUE"""),1.137361E7)</f>
        <v>11373610</v>
      </c>
      <c r="C2163" s="222" t="str">
        <f>IFERROR(__xludf.DUMMYFUNCTION("""COMPUTED_VALUE"""),"ACH PT3 BNN-FK D03 MEUNASAH DRIEN_MD")</f>
        <v>ACH PT3 BNN-FK D03 MEUNASAH DRIEN_MD</v>
      </c>
      <c r="D2163" s="222" t="str">
        <f>IFERROR(__xludf.DUMMYFUNCTION("""COMPUTED_VALUE"""),"REGIONAL I")</f>
        <v>REGIONAL I</v>
      </c>
      <c r="E2163" s="222" t="str">
        <f>IFERROR(__xludf.DUMMYFUNCTION("""COMPUTED_VALUE"""),"ACEH")</f>
        <v>ACEH</v>
      </c>
      <c r="F2163" s="222" t="str">
        <f>IFERROR(__xludf.DUMMYFUNCTION("""COMPUTED_VALUE"""),"BNN")</f>
        <v>BNN</v>
      </c>
      <c r="G2163" s="222" t="str">
        <f>IFERROR(__xludf.DUMMYFUNCTION("""COMPUTED_VALUE"""),"SUMBAGUT")</f>
        <v>SUMBAGUT</v>
      </c>
      <c r="H2163" s="222" t="str">
        <f>IFERROR(__xludf.DUMMYFUNCTION("""COMPUTED_VALUE"""),"BANDA ACEH")</f>
        <v>BANDA ACEH</v>
      </c>
      <c r="I2163" s="222" t="str">
        <f>IFERROR(__xludf.DUMMYFUNCTION("""COMPUTED_VALUE"""),"Batch 2")</f>
        <v>Batch 2</v>
      </c>
      <c r="J2163" s="225">
        <f>IFERROR(__xludf.DUMMYFUNCTION("""COMPUTED_VALUE"""),18.0)</f>
        <v>18</v>
      </c>
      <c r="K2163" s="224">
        <f>IFERROR(__xludf.DUMMYFUNCTION("""COMPUTED_VALUE"""),144.0)</f>
        <v>144</v>
      </c>
      <c r="L2163" s="226">
        <f>IFERROR(__xludf.DUMMYFUNCTION("""COMPUTED_VALUE"""),1935797.0)</f>
        <v>1935797</v>
      </c>
      <c r="M2163" s="227">
        <f>IFERROR(__xludf.DUMMYFUNCTION("""COMPUTED_VALUE"""),2.7875465E8)</f>
        <v>278754650</v>
      </c>
      <c r="N2163" s="222" t="str">
        <f>IFERROR(__xludf.DUMMYFUNCTION("""COMPUTED_VALUE"""),"PT TRIPOLI JAYA GROUP")</f>
        <v>PT TRIPOLI JAYA GROUP</v>
      </c>
      <c r="O2163" s="222" t="str">
        <f>IFERROR(__xludf.DUMMYFUNCTION("""COMPUTED_VALUE"""),"7. GOLIVE")</f>
        <v>7. GOLIVE</v>
      </c>
      <c r="P2163" s="222" t="str">
        <f>IFERROR(__xludf.DUMMYFUNCTION("""COMPUTED_VALUE"""),"7.2 Golive Full / OA / DONE OTB")</f>
        <v>7.2 Golive Full / OA / DONE OTB</v>
      </c>
      <c r="Q2163" s="222" t="str">
        <f>IFERROR(__xludf.DUMMYFUNCTION("""COMPUTED_VALUE"""),"(07/01) Persiapan")</f>
        <v>(07/01) Persiapan</v>
      </c>
      <c r="R2163" s="228">
        <f>IFERROR(__xludf.DUMMYFUNCTION("""COMPUTED_VALUE"""),46041.0)</f>
        <v>46041</v>
      </c>
      <c r="S2163" s="11"/>
      <c r="T2163" s="11"/>
      <c r="U2163" s="11"/>
      <c r="V2163" s="229"/>
      <c r="W2163" s="229"/>
      <c r="X2163" s="229" t="str">
        <f>IFERROR(__xludf.DUMMYFUNCTION("""COMPUTED_VALUE"""),"GOLIVE")</f>
        <v>GOLIVE</v>
      </c>
      <c r="Y2163" s="229" t="str">
        <f>IFERROR(__xludf.DUMMYFUNCTION("""COMPUTED_VALUE"""),"DONE")</f>
        <v>DONE</v>
      </c>
      <c r="Z2163" s="229" t="str">
        <f>IFERROR(__xludf.DUMMYFUNCTION("""COMPUTED_VALUE"""),"#N/A")</f>
        <v>#N/A</v>
      </c>
      <c r="AA2163" s="229">
        <f>IFERROR(__xludf.DUMMYFUNCTION("""COMPUTED_VALUE"""),18.0)</f>
        <v>18</v>
      </c>
      <c r="AB2163" s="229"/>
      <c r="AC2163" s="229" t="str">
        <f>IFERROR(__xludf.DUMMYFUNCTION("""COMPUTED_VALUE"""),"8972692#8972705")</f>
        <v>8972692#8972705</v>
      </c>
      <c r="AD2163" s="232">
        <f>IFERROR(__xludf.DUMMYFUNCTION("""COMPUTED_VALUE"""),144.0)</f>
        <v>144</v>
      </c>
      <c r="AE2163" s="233">
        <f>IFERROR(__xludf.DUMMYFUNCTION("""COMPUTED_VALUE"""),46041.0)</f>
        <v>46041</v>
      </c>
      <c r="AF2163" s="54"/>
      <c r="AG2163" s="54"/>
      <c r="AH2163" s="54">
        <v>46041.0</v>
      </c>
      <c r="AI2163" s="55">
        <f t="shared" si="210"/>
        <v>0</v>
      </c>
      <c r="AW2163" s="234"/>
      <c r="BP2163" s="11"/>
      <c r="BQ2163" s="11"/>
      <c r="BR2163" s="235"/>
      <c r="BV2163" s="158"/>
      <c r="BY2163" s="158"/>
      <c r="CB2163" s="158"/>
    </row>
    <row r="2164" ht="18.0" customHeight="1">
      <c r="A2164" s="222">
        <f>IFERROR(__xludf.DUMMYFUNCTION("""COMPUTED_VALUE"""),2026.0)</f>
        <v>2026</v>
      </c>
      <c r="B2164" s="221">
        <f>IFERROR(__xludf.DUMMYFUNCTION("""COMPUTED_VALUE"""),1.1287821E7)</f>
        <v>11287821</v>
      </c>
      <c r="C2164" s="222" t="str">
        <f>IFERROR(__xludf.DUMMYFUNCTION("""COMPUTED_VALUE"""),"RDR DRI PT3 P2I2 AMAL BAKTI I SEBANGA")</f>
        <v>RDR DRI PT3 P2I2 AMAL BAKTI I SEBANGA</v>
      </c>
      <c r="D2164" s="222" t="str">
        <f>IFERROR(__xludf.DUMMYFUNCTION("""COMPUTED_VALUE"""),"REGIONAL I")</f>
        <v>REGIONAL I</v>
      </c>
      <c r="E2164" s="222" t="str">
        <f>IFERROR(__xludf.DUMMYFUNCTION("""COMPUTED_VALUE"""),"RIDAR")</f>
        <v>RIDAR</v>
      </c>
      <c r="F2164" s="222" t="str">
        <f>IFERROR(__xludf.DUMMYFUNCTION("""COMPUTED_VALUE"""),"DRI")</f>
        <v>DRI</v>
      </c>
      <c r="G2164" s="222" t="str">
        <f>IFERROR(__xludf.DUMMYFUNCTION("""COMPUTED_VALUE"""),"SUMBAGTENG")</f>
        <v>SUMBAGTENG</v>
      </c>
      <c r="H2164" s="222" t="str">
        <f>IFERROR(__xludf.DUMMYFUNCTION("""COMPUTED_VALUE"""),"DUMAI")</f>
        <v>DUMAI</v>
      </c>
      <c r="I2164" s="222" t="str">
        <f>IFERROR(__xludf.DUMMYFUNCTION("""COMPUTED_VALUE"""),"Batch 2")</f>
        <v>Batch 2</v>
      </c>
      <c r="J2164" s="225">
        <f>IFERROR(__xludf.DUMMYFUNCTION("""COMPUTED_VALUE"""),4.0)</f>
        <v>4</v>
      </c>
      <c r="K2164" s="224">
        <f>IFERROR(__xludf.DUMMYFUNCTION("""COMPUTED_VALUE"""),32.0)</f>
        <v>32</v>
      </c>
      <c r="L2164" s="226">
        <f>IFERROR(__xludf.DUMMYFUNCTION("""COMPUTED_VALUE"""),1644717.0)</f>
        <v>1644717</v>
      </c>
      <c r="M2164" s="227">
        <f>IFERROR(__xludf.DUMMYFUNCTION("""COMPUTED_VALUE"""),5.263093E7)</f>
        <v>52630930</v>
      </c>
      <c r="N2164" s="222" t="str">
        <f>IFERROR(__xludf.DUMMYFUNCTION("""COMPUTED_VALUE"""),"PT ALAM UTAMA MULIA")</f>
        <v>PT ALAM UTAMA MULIA</v>
      </c>
      <c r="O2164" s="222" t="str">
        <f>IFERROR(__xludf.DUMMYFUNCTION("""COMPUTED_VALUE"""),"0. DROP")</f>
        <v>0. DROP</v>
      </c>
      <c r="P2164" s="222" t="str">
        <f>IFERROR(__xludf.DUMMYFUNCTION("""COMPUTED_VALUE"""),"0.3 Feeder Full")</f>
        <v>0.3 Feeder Full</v>
      </c>
      <c r="Q2164" s="222" t="str">
        <f>IFERROR(__xludf.DUMMYFUNCTION("""COMPUTED_VALUE"""),"20/01 Kendala feeder full (07/01) Persiapan")</f>
        <v>20/01 Kendala feeder full (07/01) Persiapan</v>
      </c>
      <c r="R2164" s="228"/>
      <c r="S2164" s="11"/>
      <c r="T2164" s="11"/>
      <c r="U2164" s="11"/>
      <c r="V2164" s="229" t="str">
        <f>IFERROR(__xludf.DUMMYFUNCTION("""COMPUTED_VALUE"""),"ADIL WAHYUDI")</f>
        <v>ADIL WAHYUDI</v>
      </c>
      <c r="W2164" s="229" t="str">
        <f>IFERROR(__xludf.DUMMYFUNCTION("""COMPUTED_VALUE"""),"ANZALA SAKINAH")</f>
        <v>ANZALA SAKINAH</v>
      </c>
      <c r="X2164" s="229" t="str">
        <f>IFERROR(__xludf.DUMMYFUNCTION("""COMPUTED_VALUE"""),"BELUM GOLIVE")</f>
        <v>BELUM GOLIVE</v>
      </c>
      <c r="Y2164" s="229"/>
      <c r="Z2164" s="229" t="str">
        <f>IFERROR(__xludf.DUMMYFUNCTION("""COMPUTED_VALUE"""),"#N/A")</f>
        <v>#N/A</v>
      </c>
      <c r="AA2164" s="229"/>
      <c r="AB2164" s="229"/>
      <c r="AC2164" s="229"/>
      <c r="AD2164" s="232"/>
      <c r="AE2164" s="233"/>
      <c r="AF2164" s="54" t="str">
        <f>IFERROR(__xludf.DUMMYFUNCTION("""COMPUTED_VALUE"""),"Draft BA DROP")</f>
        <v>Draft BA DROP</v>
      </c>
      <c r="AG2164" s="54"/>
      <c r="AH2164" s="54"/>
      <c r="AI2164" s="55" t="str">
        <f t="shared" si="210"/>
        <v/>
      </c>
      <c r="AW2164" s="234"/>
      <c r="BP2164" s="11"/>
      <c r="BQ2164" s="11"/>
      <c r="BR2164" s="235"/>
      <c r="BV2164" s="158"/>
      <c r="BY2164" s="158"/>
      <c r="CB2164" s="158"/>
    </row>
    <row r="2165" ht="18.0" hidden="1" customHeight="1">
      <c r="A2165" s="222">
        <f>IFERROR(__xludf.DUMMYFUNCTION("""COMPUTED_VALUE"""),2026.0)</f>
        <v>2026</v>
      </c>
      <c r="B2165" s="221">
        <f>IFERROR(__xludf.DUMMYFUNCTION("""COMPUTED_VALUE"""),1.1272737E7)</f>
        <v>11272737</v>
      </c>
      <c r="C2165" s="222" t="str">
        <f>IFERROR(__xludf.DUMMYFUNCTION("""COMPUTED_VALUE"""),"MDN PT4 TMU-FM JL.MEDAN BATANG KUIS")</f>
        <v>MDN PT4 TMU-FM JL.MEDAN BATANG KUIS</v>
      </c>
      <c r="D2165" s="222" t="str">
        <f>IFERROR(__xludf.DUMMYFUNCTION("""COMPUTED_VALUE"""),"REGIONAL I")</f>
        <v>REGIONAL I</v>
      </c>
      <c r="E2165" s="222" t="str">
        <f>IFERROR(__xludf.DUMMYFUNCTION("""COMPUTED_VALUE"""),"MEDAN")</f>
        <v>MEDAN</v>
      </c>
      <c r="F2165" s="222" t="str">
        <f>IFERROR(__xludf.DUMMYFUNCTION("""COMPUTED_VALUE"""),"TMU")</f>
        <v>TMU</v>
      </c>
      <c r="G2165" s="222" t="str">
        <f>IFERROR(__xludf.DUMMYFUNCTION("""COMPUTED_VALUE"""),"SUMBAGUT")</f>
        <v>SUMBAGUT</v>
      </c>
      <c r="H2165" s="222" t="str">
        <f>IFERROR(__xludf.DUMMYFUNCTION("""COMPUTED_VALUE"""),"MEDAN")</f>
        <v>MEDAN</v>
      </c>
      <c r="I2165" s="222" t="str">
        <f>IFERROR(__xludf.DUMMYFUNCTION("""COMPUTED_VALUE"""),"Batch 2")</f>
        <v>Batch 2</v>
      </c>
      <c r="J2165" s="225">
        <f>IFERROR(__xludf.DUMMYFUNCTION("""COMPUTED_VALUE"""),12.0)</f>
        <v>12</v>
      </c>
      <c r="K2165" s="224">
        <f>IFERROR(__xludf.DUMMYFUNCTION("""COMPUTED_VALUE"""),96.0)</f>
        <v>96</v>
      </c>
      <c r="L2165" s="226">
        <f>IFERROR(__xludf.DUMMYFUNCTION("""COMPUTED_VALUE"""),1938767.0)</f>
        <v>1938767</v>
      </c>
      <c r="M2165" s="227">
        <f>IFERROR(__xludf.DUMMYFUNCTION("""COMPUTED_VALUE"""),1.8612161E8)</f>
        <v>186121610</v>
      </c>
      <c r="N2165" s="222" t="str">
        <f>IFERROR(__xludf.DUMMYFUNCTION("""COMPUTED_VALUE"""),"PT FIBERHOME TECHNOLOGIES INDONESIA")</f>
        <v>PT FIBERHOME TECHNOLOGIES INDONESIA</v>
      </c>
      <c r="O2165" s="222" t="str">
        <f>IFERROR(__xludf.DUMMYFUNCTION("""COMPUTED_VALUE"""),"0. DROP")</f>
        <v>0. DROP</v>
      </c>
      <c r="P2165" s="222" t="str">
        <f>IFERROR(__xludf.DUMMYFUNCTION("""COMPUTED_VALUE"""),"0.4 CPP Tinggi Acc ED TIF")</f>
        <v>0.4 CPP Tinggi Acc ED TIF</v>
      </c>
      <c r="Q2165" s="222" t="str">
        <f>IFERROR(__xludf.DUMMYFUNCTION("""COMPUTED_VALUE"""),"Menunggu nilai fix dari PU")</f>
        <v>Menunggu nilai fix dari PU</v>
      </c>
      <c r="R2165" s="228"/>
      <c r="S2165" s="11"/>
      <c r="T2165" s="11"/>
      <c r="U2165" s="11"/>
      <c r="V2165" s="229"/>
      <c r="W2165" s="229"/>
      <c r="X2165" s="229" t="str">
        <f>IFERROR(__xludf.DUMMYFUNCTION("""COMPUTED_VALUE"""),"BELUM GOLIVE")</f>
        <v>BELUM GOLIVE</v>
      </c>
      <c r="Y2165" s="229"/>
      <c r="Z2165" s="229" t="str">
        <f>IFERROR(__xludf.DUMMYFUNCTION("""COMPUTED_VALUE"""),"#N/A")</f>
        <v>#N/A</v>
      </c>
      <c r="AA2165" s="229"/>
      <c r="AB2165" s="229"/>
      <c r="AC2165" s="229"/>
      <c r="AD2165" s="232"/>
      <c r="AE2165" s="233"/>
      <c r="AF2165" s="54" t="str">
        <f>IFERROR(__xludf.DUMMYFUNCTION("""COMPUTED_VALUE"""),"Draft BA DROP")</f>
        <v>Draft BA DROP</v>
      </c>
      <c r="AG2165" s="54"/>
      <c r="AH2165" s="54"/>
      <c r="AI2165" s="55" t="str">
        <f t="shared" si="210"/>
        <v/>
      </c>
      <c r="AW2165" s="234"/>
      <c r="BP2165" s="11"/>
      <c r="BQ2165" s="11"/>
      <c r="BR2165" s="235"/>
      <c r="BV2165" s="158"/>
      <c r="BY2165" s="158"/>
      <c r="CB2165" s="158"/>
    </row>
    <row r="2166" ht="18.0" customHeight="1">
      <c r="A2166" s="222">
        <f>IFERROR(__xludf.DUMMYFUNCTION("""COMPUTED_VALUE"""),2026.0)</f>
        <v>2026</v>
      </c>
      <c r="B2166" s="221">
        <f>IFERROR(__xludf.DUMMYFUNCTION("""COMPUTED_VALUE"""),1.1539905E7)</f>
        <v>11539905</v>
      </c>
      <c r="C2166" s="222" t="str">
        <f>IFERROR(__xludf.DUMMYFUNCTION("""COMPUTED_VALUE"""),"RKP TSEL PT3 LBJ-FJ GG MAJAPAHIT")</f>
        <v>RKP TSEL PT3 LBJ-FJ GG MAJAPAHIT</v>
      </c>
      <c r="D2166" s="222" t="str">
        <f>IFERROR(__xludf.DUMMYFUNCTION("""COMPUTED_VALUE"""),"REGIONAL I")</f>
        <v>REGIONAL I</v>
      </c>
      <c r="E2166" s="222" t="str">
        <f>IFERROR(__xludf.DUMMYFUNCTION("""COMPUTED_VALUE"""),"RIKEP")</f>
        <v>RIKEP</v>
      </c>
      <c r="F2166" s="222" t="str">
        <f>IFERROR(__xludf.DUMMYFUNCTION("""COMPUTED_VALUE"""),"LBJ")</f>
        <v>LBJ</v>
      </c>
      <c r="G2166" s="222" t="str">
        <f>IFERROR(__xludf.DUMMYFUNCTION("""COMPUTED_VALUE"""),"SUMBAGTENG")</f>
        <v>SUMBAGTENG</v>
      </c>
      <c r="H2166" s="222" t="str">
        <f>IFERROR(__xludf.DUMMYFUNCTION("""COMPUTED_VALUE"""),"BATAM")</f>
        <v>BATAM</v>
      </c>
      <c r="I2166" s="222" t="str">
        <f>IFERROR(__xludf.DUMMYFUNCTION("""COMPUTED_VALUE"""),"Batch 2")</f>
        <v>Batch 2</v>
      </c>
      <c r="J2166" s="225">
        <f>IFERROR(__xludf.DUMMYFUNCTION("""COMPUTED_VALUE"""),2.0)</f>
        <v>2</v>
      </c>
      <c r="K2166" s="224">
        <f>IFERROR(__xludf.DUMMYFUNCTION("""COMPUTED_VALUE"""),16.0)</f>
        <v>16</v>
      </c>
      <c r="L2166" s="226">
        <f>IFERROR(__xludf.DUMMYFUNCTION("""COMPUTED_VALUE"""),1648226.0)</f>
        <v>1648226</v>
      </c>
      <c r="M2166" s="227">
        <f>IFERROR(__xludf.DUMMYFUNCTION("""COMPUTED_VALUE"""),2.6371612E7)</f>
        <v>26371612</v>
      </c>
      <c r="N2166" s="222" t="str">
        <f>IFERROR(__xludf.DUMMYFUNCTION("""COMPUTED_VALUE"""),"PT HDUA PUTRA PRAJODA")</f>
        <v>PT HDUA PUTRA PRAJODA</v>
      </c>
      <c r="O2166" s="222" t="str">
        <f>IFERROR(__xludf.DUMMYFUNCTION("""COMPUTED_VALUE"""),"0. DROP")</f>
        <v>0. DROP</v>
      </c>
      <c r="P2166" s="222" t="str">
        <f>IFERROR(__xludf.DUMMYFUNCTION("""COMPUTED_VALUE"""),"0.2 Tidak Dapat Izin Warga/Kades/Lurah/Developer")</f>
        <v>0.2 Tidak Dapat Izin Warga/Kades/Lurah/Developer</v>
      </c>
      <c r="Q2166" s="222" t="str">
        <f>IFERROR(__xludf.DUMMYFUNCTION("""COMPUTED_VALUE"""),"19/02 Tidak Dapat Izin Karena Rt Sudah Bekerja Sama Dengan Pihak Lain, Tidak Boleh Foto Foto Dokumentasi Dan Ttd Surat. 
16/02 Plan anwijzing 18 Feb. 11/02 Peralihan mitra. 28/01 Plan survey 29 Jan. 28/01 Mitra tripola belum ada PIC untuk anwijzing. 23/01"&amp;" Plan anwijzing 26 Jan, pic mitra ada pertanggal 25 jan. 21/01 proses penunjukan mitra ")</f>
        <v>19/02 Tidak Dapat Izin Karena Rt Sudah Bekerja Sama Dengan Pihak Lain, Tidak Boleh Foto Foto Dokumentasi Dan Ttd Surat. 
16/02 Plan anwijzing 18 Feb. 11/02 Peralihan mitra. 28/01 Plan survey 29 Jan. 28/01 Mitra tripola belum ada PIC untuk anwijzing. 23/01 Plan anwijzing 26 Jan, pic mitra ada pertanggal 25 jan. 21/01 proses penunjukan mitra </v>
      </c>
      <c r="R2166" s="228"/>
      <c r="S2166" s="11"/>
      <c r="T2166" s="11"/>
      <c r="U2166" s="11"/>
      <c r="V2166" s="229" t="str">
        <f>IFERROR(__xludf.DUMMYFUNCTION("""COMPUTED_VALUE"""),"RONALDO LEO INFANTRI")</f>
        <v>RONALDO LEO INFANTRI</v>
      </c>
      <c r="W2166" s="229" t="str">
        <f>IFERROR(__xludf.DUMMYFUNCTION("""COMPUTED_VALUE"""),"LEVITA INDRIYANI")</f>
        <v>LEVITA INDRIYANI</v>
      </c>
      <c r="X2166" s="229" t="str">
        <f>IFERROR(__xludf.DUMMYFUNCTION("""COMPUTED_VALUE"""),"BELUM GOLIVE")</f>
        <v>BELUM GOLIVE</v>
      </c>
      <c r="Y2166" s="229"/>
      <c r="Z2166" s="229" t="str">
        <f>IFERROR(__xludf.DUMMYFUNCTION("""COMPUTED_VALUE"""),"#N/A")</f>
        <v>#N/A</v>
      </c>
      <c r="AA2166" s="229"/>
      <c r="AB2166" s="229"/>
      <c r="AC2166" s="229"/>
      <c r="AD2166" s="232"/>
      <c r="AE2166" s="233"/>
      <c r="AF2166" s="54" t="str">
        <f>IFERROR(__xludf.DUMMYFUNCTION("""COMPUTED_VALUE"""),"Draft BA DROP")</f>
        <v>Draft BA DROP</v>
      </c>
      <c r="AG2166" s="54"/>
      <c r="AH2166" s="54"/>
      <c r="AI2166" s="55" t="str">
        <f t="shared" si="210"/>
        <v/>
      </c>
      <c r="AW2166" s="234"/>
      <c r="BP2166" s="11"/>
      <c r="BQ2166" s="11"/>
      <c r="BR2166" s="235"/>
      <c r="BV2166" s="158"/>
      <c r="BY2166" s="158"/>
      <c r="CB2166" s="158"/>
    </row>
    <row r="2167" ht="18.0" customHeight="1">
      <c r="A2167" s="222">
        <f>IFERROR(__xludf.DUMMYFUNCTION("""COMPUTED_VALUE"""),2026.0)</f>
        <v>2026</v>
      </c>
      <c r="B2167" s="221">
        <f>IFERROR(__xludf.DUMMYFUNCTION("""COMPUTED_VALUE"""),1.080653E7)</f>
        <v>10806530</v>
      </c>
      <c r="C2167" s="222" t="str">
        <f>IFERROR(__xludf.DUMMYFUNCTION("""COMPUTED_VALUE"""),"SMB P7I2 Gang Al Hijrah")</f>
        <v>SMB P7I2 Gang Al Hijrah</v>
      </c>
      <c r="D2167" s="222" t="str">
        <f>IFERROR(__xludf.DUMMYFUNCTION("""COMPUTED_VALUE"""),"REGIONAL I")</f>
        <v>REGIONAL I</v>
      </c>
      <c r="E2167" s="222" t="str">
        <f>IFERROR(__xludf.DUMMYFUNCTION("""COMPUTED_VALUE"""),"SUMBAR")</f>
        <v>SUMBAR</v>
      </c>
      <c r="F2167" s="222" t="str">
        <f>IFERROR(__xludf.DUMMYFUNCTION("""COMPUTED_VALUE"""),"LIM")</f>
        <v>LIM</v>
      </c>
      <c r="G2167" s="222" t="str">
        <f>IFERROR(__xludf.DUMMYFUNCTION("""COMPUTED_VALUE"""),"SUMBAGTENG")</f>
        <v>SUMBAGTENG</v>
      </c>
      <c r="H2167" s="222" t="str">
        <f>IFERROR(__xludf.DUMMYFUNCTION("""COMPUTED_VALUE"""),"PADANG")</f>
        <v>PADANG</v>
      </c>
      <c r="I2167" s="222" t="str">
        <f>IFERROR(__xludf.DUMMYFUNCTION("""COMPUTED_VALUE"""),"Batch 2")</f>
        <v>Batch 2</v>
      </c>
      <c r="J2167" s="225">
        <f>IFERROR(__xludf.DUMMYFUNCTION("""COMPUTED_VALUE"""),1.0)</f>
        <v>1</v>
      </c>
      <c r="K2167" s="224">
        <f>IFERROR(__xludf.DUMMYFUNCTION("""COMPUTED_VALUE"""),8.0)</f>
        <v>8</v>
      </c>
      <c r="L2167" s="226">
        <f>IFERROR(__xludf.DUMMYFUNCTION("""COMPUTED_VALUE"""),1648737.0)</f>
        <v>1648737</v>
      </c>
      <c r="M2167" s="227">
        <f>IFERROR(__xludf.DUMMYFUNCTION("""COMPUTED_VALUE"""),1.3189893E7)</f>
        <v>13189893</v>
      </c>
      <c r="N2167" s="222" t="str">
        <f>IFERROR(__xludf.DUMMYFUNCTION("""COMPUTED_VALUE"""),"PT TRI PENAMAS")</f>
        <v>PT TRI PENAMAS</v>
      </c>
      <c r="O2167" s="222" t="str">
        <f>IFERROR(__xludf.DUMMYFUNCTION("""COMPUTED_VALUE"""),"0. DROP")</f>
        <v>0. DROP</v>
      </c>
      <c r="P2167" s="222" t="str">
        <f>IFERROR(__xludf.DUMMYFUNCTION("""COMPUTED_VALUE"""),"0.1 Double Order")</f>
        <v>0.1 Double Order</v>
      </c>
      <c r="Q2167" s="222" t="str">
        <f>IFERROR(__xludf.DUMMYFUNCTION("""COMPUTED_VALUE"""),"(26/01) Doubel order")</f>
        <v>(26/01) Doubel order</v>
      </c>
      <c r="R2167" s="228"/>
      <c r="S2167" s="11"/>
      <c r="T2167" s="11"/>
      <c r="U2167" s="11"/>
      <c r="V2167" s="229"/>
      <c r="W2167" s="229"/>
      <c r="X2167" s="229" t="str">
        <f>IFERROR(__xludf.DUMMYFUNCTION("""COMPUTED_VALUE"""),"BELUM GOLIVE")</f>
        <v>BELUM GOLIVE</v>
      </c>
      <c r="Y2167" s="229"/>
      <c r="Z2167" s="229" t="str">
        <f>IFERROR(__xludf.DUMMYFUNCTION("""COMPUTED_VALUE"""),"#N/A")</f>
        <v>#N/A</v>
      </c>
      <c r="AA2167" s="229"/>
      <c r="AB2167" s="229"/>
      <c r="AC2167" s="229"/>
      <c r="AD2167" s="232"/>
      <c r="AE2167" s="233"/>
      <c r="AF2167" s="54" t="str">
        <f>IFERROR(__xludf.DUMMYFUNCTION("""COMPUTED_VALUE"""),"Draft BA DROP")</f>
        <v>Draft BA DROP</v>
      </c>
      <c r="AG2167" s="54"/>
      <c r="AH2167" s="54"/>
      <c r="AI2167" s="55" t="str">
        <f t="shared" si="210"/>
        <v/>
      </c>
      <c r="AW2167" s="234"/>
      <c r="BP2167" s="11"/>
      <c r="BQ2167" s="11"/>
      <c r="BR2167" s="235"/>
      <c r="BV2167" s="158"/>
      <c r="BY2167" s="158"/>
      <c r="CB2167" s="158"/>
    </row>
    <row r="2168" ht="18.0" customHeight="1">
      <c r="A2168" s="222">
        <f>IFERROR(__xludf.DUMMYFUNCTION("""COMPUTED_VALUE"""),2026.0)</f>
        <v>2026</v>
      </c>
      <c r="B2168" s="221">
        <f>IFERROR(__xludf.DUMMYFUNCTION("""COMPUTED_VALUE"""),1.1506903E7)</f>
        <v>11506903</v>
      </c>
      <c r="C2168" s="222" t="str">
        <f>IFERROR(__xludf.DUMMYFUNCTION("""COMPUTED_VALUE"""),"RKP PT3 TSEL SYA-FY JL. JENDRAL AHMAD")</f>
        <v>RKP PT3 TSEL SYA-FY JL. JENDRAL AHMAD</v>
      </c>
      <c r="D2168" s="222" t="str">
        <f>IFERROR(__xludf.DUMMYFUNCTION("""COMPUTED_VALUE"""),"REGIONAL I")</f>
        <v>REGIONAL I</v>
      </c>
      <c r="E2168" s="222" t="str">
        <f>IFERROR(__xludf.DUMMYFUNCTION("""COMPUTED_VALUE"""),"RIKEP")</f>
        <v>RIKEP</v>
      </c>
      <c r="F2168" s="222" t="str">
        <f>IFERROR(__xludf.DUMMYFUNCTION("""COMPUTED_VALUE"""),"TBK")</f>
        <v>TBK</v>
      </c>
      <c r="G2168" s="222" t="str">
        <f>IFERROR(__xludf.DUMMYFUNCTION("""COMPUTED_VALUE"""),"SUMBAGTENG")</f>
        <v>SUMBAGTENG</v>
      </c>
      <c r="H2168" s="222" t="str">
        <f>IFERROR(__xludf.DUMMYFUNCTION("""COMPUTED_VALUE"""),"BATAM")</f>
        <v>BATAM</v>
      </c>
      <c r="I2168" s="222" t="str">
        <f>IFERROR(__xludf.DUMMYFUNCTION("""COMPUTED_VALUE"""),"Batch 2")</f>
        <v>Batch 2</v>
      </c>
      <c r="J2168" s="225">
        <f>IFERROR(__xludf.DUMMYFUNCTION("""COMPUTED_VALUE"""),1.0)</f>
        <v>1</v>
      </c>
      <c r="K2168" s="224">
        <f>IFERROR(__xludf.DUMMYFUNCTION("""COMPUTED_VALUE"""),8.0)</f>
        <v>8</v>
      </c>
      <c r="L2168" s="226">
        <f>IFERROR(__xludf.DUMMYFUNCTION("""COMPUTED_VALUE"""),1649394.0)</f>
        <v>1649394</v>
      </c>
      <c r="M2168" s="227">
        <f>IFERROR(__xludf.DUMMYFUNCTION("""COMPUTED_VALUE"""),1.3195145E7)</f>
        <v>13195145</v>
      </c>
      <c r="N2168" s="222" t="str">
        <f>IFERROR(__xludf.DUMMYFUNCTION("""COMPUTED_VALUE"""),"PT DWI MITRA JAYA UTAMA")</f>
        <v>PT DWI MITRA JAYA UTAMA</v>
      </c>
      <c r="O2168" s="222" t="str">
        <f>IFERROR(__xludf.DUMMYFUNCTION("""COMPUTED_VALUE"""),"0. DROP")</f>
        <v>0. DROP</v>
      </c>
      <c r="P2168" s="222" t="str">
        <f>IFERROR(__xludf.DUMMYFUNCTION("""COMPUTED_VALUE"""),"0.2 Tidak Dapat Izin Warga/Kades/Lurah/Developer")</f>
        <v>0.2 Tidak Dapat Izin Warga/Kades/Lurah/Developer</v>
      </c>
      <c r="Q2168" s="222" t="str">
        <f>IFERROR(__xludf.DUMMYFUNCTION("""COMPUTED_VALUE"""),"03/03 tiga batang tiang tidak di acc oleh tuan tanah.  18/02 ada 3 tiang di lahan kosong tuan tanah, 1 tiang sdah di acc, 2 lagi masih menunggu keputusan keluarga pemilik lahan. 16/02 Plan perizinan tgl 17 Feb. 09/02 FU kembali izin besok 10 Feb karena PI"&amp;"C sedang fokus installasi. 28/01 Plan survey tanggal 29 Jan.  21/01 plan anwijzing 26 jan, peralihan mitra")</f>
        <v>03/03 tiga batang tiang tidak di acc oleh tuan tanah.  18/02 ada 3 tiang di lahan kosong tuan tanah, 1 tiang sdah di acc, 2 lagi masih menunggu keputusan keluarga pemilik lahan. 16/02 Plan perizinan tgl 17 Feb. 09/02 FU kembali izin besok 10 Feb karena PIC sedang fokus installasi. 28/01 Plan survey tanggal 29 Jan.  21/01 plan anwijzing 26 jan, peralihan mitra</v>
      </c>
      <c r="R2168" s="228"/>
      <c r="S2168" s="11"/>
      <c r="T2168" s="11"/>
      <c r="U2168" s="11"/>
      <c r="V2168" s="229" t="str">
        <f>IFERROR(__xludf.DUMMYFUNCTION("""COMPUTED_VALUE"""),"MOHAMMAD FAUZY")</f>
        <v>MOHAMMAD FAUZY</v>
      </c>
      <c r="W2168" s="229" t="str">
        <f>IFERROR(__xludf.DUMMYFUNCTION("""COMPUTED_VALUE"""),"LEVITA INDRIYANI")</f>
        <v>LEVITA INDRIYANI</v>
      </c>
      <c r="X2168" s="229" t="str">
        <f>IFERROR(__xludf.DUMMYFUNCTION("""COMPUTED_VALUE"""),"BELUM GOLIVE")</f>
        <v>BELUM GOLIVE</v>
      </c>
      <c r="Y2168" s="229"/>
      <c r="Z2168" s="229" t="str">
        <f>IFERROR(__xludf.DUMMYFUNCTION("""COMPUTED_VALUE"""),"#N/A")</f>
        <v>#N/A</v>
      </c>
      <c r="AA2168" s="229"/>
      <c r="AB2168" s="229"/>
      <c r="AC2168" s="229"/>
      <c r="AD2168" s="232"/>
      <c r="AE2168" s="233"/>
      <c r="AF2168" s="54" t="str">
        <f>IFERROR(__xludf.DUMMYFUNCTION("""COMPUTED_VALUE"""),"Draft BA DROP")</f>
        <v>Draft BA DROP</v>
      </c>
      <c r="AG2168" s="54"/>
      <c r="AH2168" s="54"/>
      <c r="AI2168" s="55" t="str">
        <f t="shared" si="210"/>
        <v/>
      </c>
      <c r="AW2168" s="234"/>
      <c r="BP2168" s="11"/>
      <c r="BQ2168" s="11"/>
      <c r="BR2168" s="235"/>
      <c r="BV2168" s="158"/>
      <c r="BY2168" s="158"/>
      <c r="CB2168" s="158"/>
    </row>
    <row r="2169" ht="18.0" customHeight="1">
      <c r="A2169" s="222">
        <f>IFERROR(__xludf.DUMMYFUNCTION("""COMPUTED_VALUE"""),2026.0)</f>
        <v>2026</v>
      </c>
      <c r="B2169" s="221">
        <f>IFERROR(__xludf.DUMMYFUNCTION("""COMPUTED_VALUE"""),1.1396098E7)</f>
        <v>11396098</v>
      </c>
      <c r="C2169" s="222" t="str">
        <f>IFERROR(__xludf.DUMMYFUNCTION("""COMPUTED_VALUE"""),"SMB P3I1 MD KOTA PARIAMAN_922")</f>
        <v>SMB P3I1 MD KOTA PARIAMAN_922</v>
      </c>
      <c r="D2169" s="222" t="str">
        <f>IFERROR(__xludf.DUMMYFUNCTION("""COMPUTED_VALUE"""),"REGIONAL I")</f>
        <v>REGIONAL I</v>
      </c>
      <c r="E2169" s="222" t="str">
        <f>IFERROR(__xludf.DUMMYFUNCTION("""COMPUTED_VALUE"""),"SUMBAR")</f>
        <v>SUMBAR</v>
      </c>
      <c r="F2169" s="222" t="str">
        <f>IFERROR(__xludf.DUMMYFUNCTION("""COMPUTED_VALUE"""),"PAM")</f>
        <v>PAM</v>
      </c>
      <c r="G2169" s="222" t="str">
        <f>IFERROR(__xludf.DUMMYFUNCTION("""COMPUTED_VALUE"""),"SUMBAGTENG")</f>
        <v>SUMBAGTENG</v>
      </c>
      <c r="H2169" s="222" t="str">
        <f>IFERROR(__xludf.DUMMYFUNCTION("""COMPUTED_VALUE"""),"BUKIT TINGGI")</f>
        <v>BUKIT TINGGI</v>
      </c>
      <c r="I2169" s="222" t="str">
        <f>IFERROR(__xludf.DUMMYFUNCTION("""COMPUTED_VALUE"""),"Batch 2")</f>
        <v>Batch 2</v>
      </c>
      <c r="J2169" s="225">
        <f>IFERROR(__xludf.DUMMYFUNCTION("""COMPUTED_VALUE"""),8.0)</f>
        <v>8</v>
      </c>
      <c r="K2169" s="224">
        <f>IFERROR(__xludf.DUMMYFUNCTION("""COMPUTED_VALUE"""),64.0)</f>
        <v>64</v>
      </c>
      <c r="L2169" s="226">
        <f>IFERROR(__xludf.DUMMYFUNCTION("""COMPUTED_VALUE"""),1649642.0)</f>
        <v>1649642</v>
      </c>
      <c r="M2169" s="227">
        <f>IFERROR(__xludf.DUMMYFUNCTION("""COMPUTED_VALUE"""),1.05577065E8)</f>
        <v>105577065</v>
      </c>
      <c r="N2169" s="222" t="str">
        <f>IFERROR(__xludf.DUMMYFUNCTION("""COMPUTED_VALUE"""),"PT TRI PENAMAS")</f>
        <v>PT TRI PENAMAS</v>
      </c>
      <c r="O2169" s="222" t="str">
        <f>IFERROR(__xludf.DUMMYFUNCTION("""COMPUTED_VALUE"""),"0. DROP")</f>
        <v>0. DROP</v>
      </c>
      <c r="P2169" s="222" t="str">
        <f>IFERROR(__xludf.DUMMYFUNCTION("""COMPUTED_VALUE"""),"0.3 Feeder Full")</f>
        <v>0.3 Feeder Full</v>
      </c>
      <c r="Q2169" s="222" t="str">
        <f>IFERROR(__xludf.DUMMYFUNCTION("""COMPUTED_VALUE"""),"(05/03) kendala feeder PAM-FF FULL  10/03   (02/03) proses aanwijziing (26/01) DROP, permintaan tsel (tidak potensial) ")</f>
        <v>(05/03) kendala feeder PAM-FF FULL  10/03   (02/03) proses aanwijziing (26/01) DROP, permintaan tsel (tidak potensial) </v>
      </c>
      <c r="R2169" s="228"/>
      <c r="S2169" s="11"/>
      <c r="T2169" s="11"/>
      <c r="U2169" s="11"/>
      <c r="V2169" s="229" t="str">
        <f>IFERROR(__xludf.DUMMYFUNCTION("""COMPUTED_VALUE"""),"DELPA YANDA")</f>
        <v>DELPA YANDA</v>
      </c>
      <c r="W2169" s="229" t="str">
        <f>IFERROR(__xludf.DUMMYFUNCTION("""COMPUTED_VALUE"""),"MELKO NARWADI")</f>
        <v>MELKO NARWADI</v>
      </c>
      <c r="X2169" s="229" t="str">
        <f>IFERROR(__xludf.DUMMYFUNCTION("""COMPUTED_VALUE"""),"BELUM GOLIVE")</f>
        <v>BELUM GOLIVE</v>
      </c>
      <c r="Y2169" s="229"/>
      <c r="Z2169" s="229" t="str">
        <f>IFERROR(__xludf.DUMMYFUNCTION("""COMPUTED_VALUE"""),"#N/A")</f>
        <v>#N/A</v>
      </c>
      <c r="AA2169" s="229"/>
      <c r="AB2169" s="229"/>
      <c r="AC2169" s="229"/>
      <c r="AD2169" s="232"/>
      <c r="AE2169" s="233"/>
      <c r="AF2169" s="54"/>
      <c r="AG2169" s="54"/>
      <c r="AH2169" s="54"/>
      <c r="AI2169" s="55" t="str">
        <f t="shared" si="210"/>
        <v/>
      </c>
      <c r="AW2169" s="234"/>
      <c r="BP2169" s="11"/>
      <c r="BQ2169" s="11"/>
      <c r="BR2169" s="235"/>
      <c r="BV2169" s="158"/>
      <c r="BY2169" s="158"/>
      <c r="CB2169" s="158"/>
    </row>
    <row r="2170" ht="18.0" hidden="1" customHeight="1">
      <c r="A2170" s="222">
        <f>IFERROR(__xludf.DUMMYFUNCTION("""COMPUTED_VALUE"""),2026.0)</f>
        <v>2026</v>
      </c>
      <c r="B2170" s="221">
        <f>IFERROR(__xludf.DUMMYFUNCTION("""COMPUTED_VALUE"""),1.1317761E7)</f>
        <v>11317761</v>
      </c>
      <c r="C2170" s="222" t="str">
        <f>IFERROR(__xludf.DUMMYFUNCTION("""COMPUTED_VALUE"""),"SMU ODC-PMS-FAP D07 PMS_571")</f>
        <v>SMU ODC-PMS-FAP D07 PMS_571</v>
      </c>
      <c r="D2170" s="222" t="str">
        <f>IFERROR(__xludf.DUMMYFUNCTION("""COMPUTED_VALUE"""),"REGIONAL I")</f>
        <v>REGIONAL I</v>
      </c>
      <c r="E2170" s="222" t="str">
        <f>IFERROR(__xludf.DUMMYFUNCTION("""COMPUTED_VALUE"""),"SUMUT")</f>
        <v>SUMUT</v>
      </c>
      <c r="F2170" s="222" t="str">
        <f>IFERROR(__xludf.DUMMYFUNCTION("""COMPUTED_VALUE"""),"PMS")</f>
        <v>PMS</v>
      </c>
      <c r="G2170" s="222" t="str">
        <f>IFERROR(__xludf.DUMMYFUNCTION("""COMPUTED_VALUE"""),"SUMBAGUT")</f>
        <v>SUMBAGUT</v>
      </c>
      <c r="H2170" s="222" t="str">
        <f>IFERROR(__xludf.DUMMYFUNCTION("""COMPUTED_VALUE"""),"PEMATANG SIANTAR")</f>
        <v>PEMATANG SIANTAR</v>
      </c>
      <c r="I2170" s="222" t="str">
        <f>IFERROR(__xludf.DUMMYFUNCTION("""COMPUTED_VALUE"""),"Batch 2")</f>
        <v>Batch 2</v>
      </c>
      <c r="J2170" s="225">
        <f>IFERROR(__xludf.DUMMYFUNCTION("""COMPUTED_VALUE"""),16.0)</f>
        <v>16</v>
      </c>
      <c r="K2170" s="224">
        <f>IFERROR(__xludf.DUMMYFUNCTION("""COMPUTED_VALUE"""),128.0)</f>
        <v>128</v>
      </c>
      <c r="L2170" s="226">
        <f>IFERROR(__xludf.DUMMYFUNCTION("""COMPUTED_VALUE"""),1649815.0)</f>
        <v>1649815</v>
      </c>
      <c r="M2170" s="227">
        <f>IFERROR(__xludf.DUMMYFUNCTION("""COMPUTED_VALUE"""),2.11176253E8)</f>
        <v>211176253</v>
      </c>
      <c r="N2170" s="222" t="str">
        <f>IFERROR(__xludf.DUMMYFUNCTION("""COMPUTED_VALUE"""),"PT MITRA SETIA INDONESIA")</f>
        <v>PT MITRA SETIA INDONESIA</v>
      </c>
      <c r="O2170" s="222" t="str">
        <f>IFERROR(__xludf.DUMMYFUNCTION("""COMPUTED_VALUE"""),"3. PERIZINAN")</f>
        <v>3. PERIZINAN</v>
      </c>
      <c r="P2170" s="222" t="str">
        <f>IFERROR(__xludf.DUMMYFUNCTION("""COMPUTED_VALUE"""),"3.9 Izin Kades / Lurah / RTRW")</f>
        <v>3.9 Izin Kades / Lurah / RTRW</v>
      </c>
      <c r="Q2170" s="222" t="str">
        <f>IFERROR(__xludf.DUMMYFUNCTION("""COMPUTED_VALUE"""),"27/4 plan fu kembali perizinan ke kelurahan pondok sayur besok 28 april,,  
23/4 fu kembali terkait perizinan ke kelurahan pondok sayur,  22/4 masih menunggu balasan dari ibu lurah pondok sayur, 21/4 plan fu kembali terkait perizinan, 20/4 plan fu kembali"&amp;" terkait perizinan, 15/4 plan fu kembali terkait perizinan, 14/4 plan fu kembali terkait perizinan, 13/4 plan fu kembali terkait perizinan,  9/4 plan fu kembali terkait perizinan, 8/4 plan fu kembali terkait perizinan, 6/4 plan perizinan desa besok 5 appr"&amp;"il, 5/4 plan pengurusan izin ke desa setelah lebaran, (estimasi paling lambat hari rabu tgl 1 april kalau tim tidak turun lop di alihkan ke mitra lain), 1/4 plan pengurusan izin ke desa setelah lebaran, (estimasi paling lambat hari rabu tgl 1 april kalau "&amp;"tim tidak turun lop di alihkan ke mitra lain), 31/3 plan pengurusan izin ke desa setelah lebaran, (estimasi paling lambat hari rabu tgl 1 april kalau tim tidak turun lop di alihkan ke mitra lain), 30/3 plan pengurusan izin ke desa setelah lebaran, 27/3 pl"&amp;"an pengurusan izin ke desa setelah lebaran, 26/3 plan pengurusan izin ke desa setelah lebaran ,22/3 plan pengurusan izin ke desa setelah lebaran ,  18/3 plan pengurusan izin ke desa setelah lebaran , 16/3 plan pengurusan izin ke desa setelah lebaran , 3/3"&amp;" hasil meeting ED1-ED-RSBU-TA1: drop CPP tinggi 2/3 kenaikan cpp dari 1,6 menjadi 1,9 , 27/2 kenaikan cpp dari 1,6 menjadi 1,9 ,   25/2 kenaikan cpp dari 1,6 menjadi 1,9 ,   24/2 kenaikan cpp dari 1,6 menjadi 1,9 ,  23/2 kenaikan cpp dari 1,6 menjadi 1,9 "&amp;", 20/2 kenaikan cpp dari 1,6 menjadi 1,9 ,19/2 plan cek cpp, 18/2 menunggu revisi boq survey incloude kebutuhan qe,   16/2 menunggu revisi boq survey incloude kebutuhan qe,  13/2 menunggu revisi boq survey incloude kebutuhan qe, 12/2 menunggu revisi boq s"&amp;"urvey incloude kebutuhan qe, 11/2 menunggu revisi boq survey incloude kebutuhan qe, 10/2 menunggu revisi boq survey incloude kebutuhan qe, 9/2 menunggu revisi boq survey incloude kebutuhan qe, 6/2 menunggu boq kml survey, 5/2 menunggu revisi boq survey in"&amp;"cloude kebutuhan qe, 3/2 menunggu revisi boq survey incloude kebutuhan qe, 2/2 menunggu revisi boq survey incloude kebutuhan qe,  1/2 menunggu revisi boq survey incloude kebutuhan qe, 30/1 menunggu revisi boq survey incloude kebutuhan qe, (port feeder sis"&amp;"a 5 kebutuahn 4 port, 3 port redaman bagus, sisa 2 port redting -3,67 ,  28/1 menunggu revisi boq survey incloude kebutuhan qe, (port feeder sisa 5 kebutuahn 4 port, 3 port redaman bagus, sisa 2 port redting -3,67 ,  27/1 menunggu reviis boq survey inclou"&amp;"de vol qe feeder 1 core), 26/1 menunggu boq kml survey, plan besok waspang cek otb di sto (butuh repair feder sisa 5 tidak tembus, di otb sisa 1 port), 23/1 menunggu update report survye paralel boq kml survey,  22/1 menunggu update report survye paralel "&amp;"boq kml survey,  21/1 menunggu update report survye paralel boq kml survey, 20/1 menunggu update report survye paralel boq kml survey, 19/1 menunggu update report survye paralel boq kml survey, 15/1 menunggu report survey dari lapangan paralel boq kml, 14"&amp;"/01 plan survey tanggal 15/01, 13/01 plan survey tanggal 15/01, (07/01) Persiapan")</f>
        <v>27/4 plan fu kembali perizinan ke kelurahan pondok sayur besok 28 april,,  
23/4 fu kembali terkait perizinan ke kelurahan pondok sayur,  22/4 masih menunggu balasan dari ibu lurah pondok sayur, 21/4 plan fu kembali terkait perizinan, 20/4 plan fu kembali terkait perizinan, 15/4 plan fu kembali terkait perizinan, 14/4 plan fu kembali terkait perizinan, 13/4 plan fu kembali terkait perizinan,  9/4 plan fu kembali terkait perizinan, 8/4 plan fu kembali terkait perizinan, 6/4 plan perizinan desa besok 5 appril, 5/4 plan pengurusan izin ke desa setelah lebaran, (estimasi paling lambat hari rabu tgl 1 april kalau tim tidak turun lop di alihkan ke mitra lain), 1/4 plan pengurusan izin ke desa setelah lebaran, (estimasi paling lambat hari rabu tgl 1 april kalau tim tidak turun lop di alihkan ke mitra lain), 31/3 plan pengurusan izin ke desa setelah lebaran, (estimasi paling lambat hari rabu tgl 1 april kalau tim tidak turun lop di alihkan ke mitra lain), 30/3 plan pengurusan izin ke desa setelah lebaran, 27/3 plan pengurusan izin ke desa setelah lebaran, 26/3 plan pengurusan izin ke desa setelah lebaran ,22/3 plan pengurusan izin ke desa setelah lebaran ,  18/3 plan pengurusan izin ke desa setelah lebaran , 16/3 plan pengurusan izin ke desa setelah lebaran , 3/3 hasil meeting ED1-ED-RSBU-TA1: drop CPP tinggi 2/3 kenaikan cpp dari 1,6 menjadi 1,9 , 27/2 kenaikan cpp dari 1,6 menjadi 1,9 ,   25/2 kenaikan cpp dari 1,6 menjadi 1,9 ,   24/2 kenaikan cpp dari 1,6 menjadi 1,9 ,  23/2 kenaikan cpp dari 1,6 menjadi 1,9 , 20/2 kenaikan cpp dari 1,6 menjadi 1,9 ,19/2 plan cek cpp, 18/2 menunggu revisi boq survey incloude kebutuhan qe,   16/2 menunggu revisi boq survey incloude kebutuhan qe,  13/2 menunggu revisi boq survey incloude kebutuhan qe, 12/2 menunggu revisi boq survey incloude kebutuhan qe, 11/2 menunggu revisi boq survey incloude kebutuhan qe, 10/2 menunggu revisi boq survey incloude kebutuhan qe, 9/2 menunggu revisi boq survey incloude kebutuhan qe, 6/2 menunggu boq kml survey, 5/2 menunggu revisi boq survey incloude kebutuhan qe, 3/2 menunggu revisi boq survey incloude kebutuhan qe, 2/2 menunggu revisi boq survey incloude kebutuhan qe,  1/2 menunggu revisi boq survey incloude kebutuhan qe, 30/1 menunggu revisi boq survey incloude kebutuhan qe, (port feeder sisa 5 kebutuahn 4 port, 3 port redaman bagus, sisa 2 port redting -3,67 ,  28/1 menunggu revisi boq survey incloude kebutuhan qe, (port feeder sisa 5 kebutuahn 4 port, 3 port redaman bagus, sisa 2 port redting -3,67 ,  27/1 menunggu reviis boq survey incloude vol qe feeder 1 core), 26/1 menunggu boq kml survey, plan besok waspang cek otb di sto (butuh repair feder sisa 5 tidak tembus, di otb sisa 1 port), 23/1 menunggu update report survye paralel boq kml survey,  22/1 menunggu update report survye paralel boq kml survey,  21/1 menunggu update report survye paralel boq kml survey, 20/1 menunggu update report survye paralel boq kml survey, 19/1 menunggu update report survye paralel boq kml survey, 15/1 menunggu report survey dari lapangan paralel boq kml, 14/01 plan survey tanggal 15/01, 13/01 plan survey tanggal 15/01, (07/01) Persiapan</v>
      </c>
      <c r="R2170" s="228"/>
      <c r="S2170" s="11"/>
      <c r="T2170" s="73"/>
      <c r="U2170" s="11" t="str">
        <f>IFERROR(__xludf.DUMMYFUNCTION("""COMPUTED_VALUE"""),"W03-1385/2025")</f>
        <v>W03-1385/2025</v>
      </c>
      <c r="V2170" s="229" t="str">
        <f>IFERROR(__xludf.DUMMYFUNCTION("""COMPUTED_VALUE"""),"28/Apr/2026")</f>
        <v>28/Apr/2026</v>
      </c>
      <c r="W2170" s="229"/>
      <c r="X2170" s="229" t="str">
        <f>IFERROR(__xludf.DUMMYFUNCTION("""COMPUTED_VALUE"""),"BELUM GOLIVE")</f>
        <v>BELUM GOLIVE</v>
      </c>
      <c r="Y2170" s="229" t="str">
        <f>IFERROR(__xludf.DUMMYFUNCTION("""COMPUTED_VALUE"""),"QE Feeder")</f>
        <v>QE Feeder</v>
      </c>
      <c r="Z2170" s="229" t="str">
        <f>IFERROR(__xludf.DUMMYFUNCTION("""COMPUTED_VALUE"""),"#N/A")</f>
        <v>#N/A</v>
      </c>
      <c r="AA2170" s="229"/>
      <c r="AB2170" s="229"/>
      <c r="AC2170" s="229"/>
      <c r="AD2170" s="232"/>
      <c r="AE2170" s="233"/>
      <c r="AF2170" s="54" t="str">
        <f>IFERROR(__xludf.DUMMYFUNCTION("""COMPUTED_VALUE"""),"Draft BA DROP")</f>
        <v>Draft BA DROP</v>
      </c>
      <c r="AG2170" s="54"/>
      <c r="AH2170" s="54"/>
      <c r="AI2170" s="55" t="str">
        <f t="shared" si="210"/>
        <v/>
      </c>
      <c r="AW2170" s="234"/>
      <c r="BP2170" s="11"/>
      <c r="BQ2170" s="11"/>
      <c r="BR2170" s="235"/>
      <c r="BV2170" s="158"/>
      <c r="BY2170" s="158"/>
      <c r="CB2170" s="158"/>
    </row>
    <row r="2171" ht="18.0" hidden="1" customHeight="1">
      <c r="A2171" s="222">
        <f>IFERROR(__xludf.DUMMYFUNCTION("""COMPUTED_VALUE"""),2026.0)</f>
        <v>2026</v>
      </c>
      <c r="B2171" s="221">
        <f>IFERROR(__xludf.DUMMYFUNCTION("""COMPUTED_VALUE"""),1.1394511E7)</f>
        <v>11394511</v>
      </c>
      <c r="C2171" s="222" t="str">
        <f>IFERROR(__xludf.DUMMYFUNCTION("""COMPUTED_VALUE"""),"BNK-PT4-MUA-FAD-JPPTSEL-LEBONG TAMBANG")</f>
        <v>BNK-PT4-MUA-FAD-JPPTSEL-LEBONG TAMBANG</v>
      </c>
      <c r="D2171" s="222" t="str">
        <f>IFERROR(__xludf.DUMMYFUNCTION("""COMPUTED_VALUE"""),"REGIONAL I")</f>
        <v>REGIONAL I</v>
      </c>
      <c r="E2171" s="222" t="str">
        <f>IFERROR(__xludf.DUMMYFUNCTION("""COMPUTED_VALUE"""),"BENGKULU")</f>
        <v>BENGKULU</v>
      </c>
      <c r="F2171" s="222" t="str">
        <f>IFERROR(__xludf.DUMMYFUNCTION("""COMPUTED_VALUE"""),"MUA")</f>
        <v>MUA</v>
      </c>
      <c r="G2171" s="222" t="str">
        <f>IFERROR(__xludf.DUMMYFUNCTION("""COMPUTED_VALUE"""),"SUMBAGSEL")</f>
        <v>SUMBAGSEL</v>
      </c>
      <c r="H2171" s="222" t="str">
        <f>IFERROR(__xludf.DUMMYFUNCTION("""COMPUTED_VALUE"""),"BENGKULU")</f>
        <v>BENGKULU</v>
      </c>
      <c r="I2171" s="222" t="str">
        <f>IFERROR(__xludf.DUMMYFUNCTION("""COMPUTED_VALUE"""),"Batch 2")</f>
        <v>Batch 2</v>
      </c>
      <c r="J2171" s="225">
        <f>IFERROR(__xludf.DUMMYFUNCTION("""COMPUTED_VALUE"""),22.0)</f>
        <v>22</v>
      </c>
      <c r="K2171" s="224">
        <f>IFERROR(__xludf.DUMMYFUNCTION("""COMPUTED_VALUE"""),176.0)</f>
        <v>176</v>
      </c>
      <c r="L2171" s="226">
        <f>IFERROR(__xludf.DUMMYFUNCTION("""COMPUTED_VALUE"""),1258993.0)</f>
        <v>1258993</v>
      </c>
      <c r="M2171" s="227">
        <f>IFERROR(__xludf.DUMMYFUNCTION("""COMPUTED_VALUE"""),2.2158274E8)</f>
        <v>221582740</v>
      </c>
      <c r="N2171" s="222" t="str">
        <f>IFERROR(__xludf.DUMMYFUNCTION("""COMPUTED_VALUE"""),"PT GARINDO TECHNO MANDIRI")</f>
        <v>PT GARINDO TECHNO MANDIRI</v>
      </c>
      <c r="O2171" s="222" t="str">
        <f>IFERROR(__xludf.DUMMYFUNCTION("""COMPUTED_VALUE"""),"5. INSTALASI")</f>
        <v>5. INSTALASI</v>
      </c>
      <c r="P2171" s="222" t="str">
        <f>IFERROR(__xludf.DUMMYFUNCTION("""COMPUTED_VALUE"""),"5.11 Jumper menunggu CO / Upgrade ODC")</f>
        <v>5.11 Jumper menunggu CO / Upgrade ODC</v>
      </c>
      <c r="Q2171" s="222" t="str">
        <f>IFERROR(__xludf.DUMMYFUNCTION("""COMPUTED_VALUE"""),"28/04: plan jadwal CO tanggal 06-07 mei //  03/04 : Menunggu jadwal CO odc // 16/03: cor ODC 288, instal BESTRAY ODC // 13/03: lanjut instal ODC // 12/03 : proses install ODC, ODC nya masih di cor // 11/03: Instalasi ODC // 09/03: finish penarikan kabel 2"&amp;"4c, lanjut penarikan kabel 12c // 06/03 : Penarikan Kabel 12 // 04/03: progres penarikan kabel adss 24c= 1,700m/6,500m // 03/03: lanjut proses penanaman tiang // 02/03 : Diging poll dan Tanam tiang // 26/2  plan 2 maret kabel tiba  25/02: masih menunggu k"&amp;"abel adss 12c dan tiang 3 segmen, hari ini 25 maret dikirim dari vendor, untuk estimasi material sampai ke gudang pagar dewa masih menunggu konfirmasi dari pihak vendor // 24/02 // 23/02: untuk info kabel adss 12 dan tiang 3 segmen masih ditunggu update P"&amp;"O dr regional ,untuk kabel 24 estimasi sampai hari rabu // 18/2 LOP CPP tinggi dari awal karena pembangunan ODC 11/2 masih belum ada info,perlu confirm tif terkait cpp agar bisa jalan, lop 55786) 09/02://08/02://07/02://06/02://05/02: konfirmasi AOM TIF m"&amp;"engenai nilai CPP tinggi, senilai ( 1,258,993 ) // 03/02 : proses PR/PO // 22/01 : Done Anwidjzing // 20/01 : Proses pembuatan Anwidjzing // 14/01 : Done Survey dan Perizinan // 13/01 : Done Proses Perizinan BAKP //  (07/01) Persiapan")</f>
        <v>28/04: plan jadwal CO tanggal 06-07 mei //  03/04 : Menunggu jadwal CO odc // 16/03: cor ODC 288, instal BESTRAY ODC // 13/03: lanjut instal ODC // 12/03 : proses install ODC, ODC nya masih di cor // 11/03: Instalasi ODC // 09/03: finish penarikan kabel 24c, lanjut penarikan kabel 12c // 06/03 : Penarikan Kabel 12 // 04/03: progres penarikan kabel adss 24c= 1,700m/6,500m // 03/03: lanjut proses penanaman tiang // 02/03 : Diging poll dan Tanam tiang // 26/2  plan 2 maret kabel tiba  25/02: masih menunggu kabel adss 12c dan tiang 3 segmen, hari ini 25 maret dikirim dari vendor, untuk estimasi material sampai ke gudang pagar dewa masih menunggu konfirmasi dari pihak vendor // 24/02 // 23/02: untuk info kabel adss 12 dan tiang 3 segmen masih ditunggu update PO dr regional ,untuk kabel 24 estimasi sampai hari rabu // 18/2 LOP CPP tinggi dari awal karena pembangunan ODC 11/2 masih belum ada info,perlu confirm tif terkait cpp agar bisa jalan, lop 55786) 09/02://08/02://07/02://06/02://05/02: konfirmasi AOM TIF mengenai nilai CPP tinggi, senilai ( 1,258,993 ) // 03/02 : proses PR/PO // 22/01 : Done Anwidjzing // 20/01 : Proses pembuatan Anwidjzing // 14/01 : Done Survey dan Perizinan // 13/01 : Done Proses Perizinan BAKP //  (07/01) Persiapan</v>
      </c>
      <c r="R2171" s="228">
        <f>IFERROR(__xludf.DUMMYFUNCTION("""COMPUTED_VALUE"""),46141.0)</f>
        <v>46141</v>
      </c>
      <c r="S2171" s="11" t="str">
        <f>IFERROR(__xludf.DUMMYFUNCTION("""COMPUTED_VALUE"""),"APR")</f>
        <v>APR</v>
      </c>
      <c r="T2171" s="73" t="str">
        <f>IFERROR(__xludf.DUMMYFUNCTION("""COMPUTED_VALUE"""),"P1")</f>
        <v>P1</v>
      </c>
      <c r="U2171" s="11" t="str">
        <f>IFERROR(__xludf.DUMMYFUNCTION("""COMPUTED_VALUE"""),"W06-321/2025")</f>
        <v>W06-321/2025</v>
      </c>
      <c r="V2171" s="229"/>
      <c r="W2171" s="229"/>
      <c r="X2171" s="229" t="str">
        <f>IFERROR(__xludf.DUMMYFUNCTION("""COMPUTED_VALUE"""),"BELUM GOLIVE")</f>
        <v>BELUM GOLIVE</v>
      </c>
      <c r="Y2171" s="229"/>
      <c r="Z2171" s="229" t="str">
        <f>IFERROR(__xludf.DUMMYFUNCTION("""COMPUTED_VALUE"""),"#N/A")</f>
        <v>#N/A</v>
      </c>
      <c r="AA2171" s="229"/>
      <c r="AB2171" s="229"/>
      <c r="AC2171" s="229"/>
      <c r="AD2171" s="232"/>
      <c r="AE2171" s="233"/>
      <c r="AF2171" s="54"/>
      <c r="AG2171" s="54"/>
      <c r="AH2171" s="54">
        <v>46136.0</v>
      </c>
      <c r="AI2171" s="55" t="str">
        <f t="shared" si="210"/>
        <v/>
      </c>
      <c r="AW2171" s="234"/>
      <c r="BP2171" s="11"/>
      <c r="BQ2171" s="11"/>
      <c r="BR2171" s="235"/>
      <c r="BV2171" s="158"/>
      <c r="BY2171" s="158"/>
      <c r="CB2171" s="158"/>
    </row>
    <row r="2172" ht="18.0" customHeight="1">
      <c r="A2172" s="222">
        <f>IFERROR(__xludf.DUMMYFUNCTION("""COMPUTED_VALUE"""),2026.0)</f>
        <v>2026</v>
      </c>
      <c r="B2172" s="221">
        <f>IFERROR(__xludf.DUMMYFUNCTION("""COMPUTED_VALUE"""),1.1095288E7)</f>
        <v>11095288</v>
      </c>
      <c r="C2172" s="222" t="str">
        <f>IFERROR(__xludf.DUMMYFUNCTION("""COMPUTED_VALUE"""),"SMB P1I1 STTF TABEK PATAH")</f>
        <v>SMB P1I1 STTF TABEK PATAH</v>
      </c>
      <c r="D2172" s="222" t="str">
        <f>IFERROR(__xludf.DUMMYFUNCTION("""COMPUTED_VALUE"""),"REGIONAL I")</f>
        <v>REGIONAL I</v>
      </c>
      <c r="E2172" s="222" t="str">
        <f>IFERROR(__xludf.DUMMYFUNCTION("""COMPUTED_VALUE"""),"SUMBAR")</f>
        <v>SUMBAR</v>
      </c>
      <c r="F2172" s="222" t="str">
        <f>IFERROR(__xludf.DUMMYFUNCTION("""COMPUTED_VALUE"""),"SIU")</f>
        <v>SIU</v>
      </c>
      <c r="G2172" s="222" t="str">
        <f>IFERROR(__xludf.DUMMYFUNCTION("""COMPUTED_VALUE"""),"SUMBAGTENG")</f>
        <v>SUMBAGTENG</v>
      </c>
      <c r="H2172" s="222" t="str">
        <f>IFERROR(__xludf.DUMMYFUNCTION("""COMPUTED_VALUE"""),"BUKIT TINGGI")</f>
        <v>BUKIT TINGGI</v>
      </c>
      <c r="I2172" s="222" t="str">
        <f>IFERROR(__xludf.DUMMYFUNCTION("""COMPUTED_VALUE"""),"Batch 2")</f>
        <v>Batch 2</v>
      </c>
      <c r="J2172" s="225">
        <f>IFERROR(__xludf.DUMMYFUNCTION("""COMPUTED_VALUE"""),5.0)</f>
        <v>5</v>
      </c>
      <c r="K2172" s="224">
        <f>IFERROR(__xludf.DUMMYFUNCTION("""COMPUTED_VALUE"""),40.0)</f>
        <v>40</v>
      </c>
      <c r="L2172" s="226">
        <f>IFERROR(__xludf.DUMMYFUNCTION("""COMPUTED_VALUE"""),1652017.0)</f>
        <v>1652017</v>
      </c>
      <c r="M2172" s="227">
        <f>IFERROR(__xludf.DUMMYFUNCTION("""COMPUTED_VALUE"""),6.608066E7)</f>
        <v>66080660</v>
      </c>
      <c r="N2172" s="222" t="str">
        <f>IFERROR(__xludf.DUMMYFUNCTION("""COMPUTED_VALUE"""),"PT TSUIKA BERKAH RAYA")</f>
        <v>PT TSUIKA BERKAH RAYA</v>
      </c>
      <c r="O2172" s="222" t="str">
        <f>IFERROR(__xludf.DUMMYFUNCTION("""COMPUTED_VALUE"""),"8. UJI TERIMA")</f>
        <v>8. UJI TERIMA</v>
      </c>
      <c r="P2172" s="222" t="str">
        <f>IFERROR(__xludf.DUMMYFUNCTION("""COMPUTED_VALUE"""),"8.1 Proses UT")</f>
        <v>8.1 Proses UT</v>
      </c>
      <c r="Q2172" s="222" t="str">
        <f>IFERROR(__xludf.DUMMYFUNCTION("""COMPUTED_VALUE"""),"(18/02) material on site PLAN FI 20/02  (27/01) CPP TINGGI")</f>
        <v>(18/02) material on site PLAN FI 20/02  (27/01) CPP TINGGI</v>
      </c>
      <c r="R2172" s="228">
        <f>IFERROR(__xludf.DUMMYFUNCTION("""COMPUTED_VALUE"""),46069.0)</f>
        <v>46069</v>
      </c>
      <c r="S2172" s="11"/>
      <c r="T2172" s="11"/>
      <c r="U2172" s="11" t="str">
        <f>IFERROR(__xludf.DUMMYFUNCTION("""COMPUTED_VALUE"""),"TIF-3607/2026 26KT03R107-0008")</f>
        <v>TIF-3607/2026 26KT03R107-0008</v>
      </c>
      <c r="V2172" s="229" t="str">
        <f>IFERROR(__xludf.DUMMYFUNCTION("""COMPUTED_VALUE"""),"M. ARIF HAMADI")</f>
        <v>M. ARIF HAMADI</v>
      </c>
      <c r="W2172" s="229" t="str">
        <f>IFERROR(__xludf.DUMMYFUNCTION("""COMPUTED_VALUE"""),"MELKO NARWADI")</f>
        <v>MELKO NARWADI</v>
      </c>
      <c r="X2172" s="229" t="str">
        <f>IFERROR(__xludf.DUMMYFUNCTION("""COMPUTED_VALUE"""),"GOLIVE")</f>
        <v>GOLIVE</v>
      </c>
      <c r="Y2172" s="229" t="str">
        <f>IFERROR(__xludf.DUMMYFUNCTION("""COMPUTED_VALUE"""),"DONE")</f>
        <v>DONE</v>
      </c>
      <c r="Z2172" s="229" t="str">
        <f>IFERROR(__xludf.DUMMYFUNCTION("""COMPUTED_VALUE"""),"#N/A")</f>
        <v>#N/A</v>
      </c>
      <c r="AA2172" s="229">
        <f>IFERROR(__xludf.DUMMYFUNCTION("""COMPUTED_VALUE"""),6.0)</f>
        <v>6</v>
      </c>
      <c r="AB2172" s="229"/>
      <c r="AC2172" s="229" t="str">
        <f>IFERROR(__xludf.DUMMYFUNCTION("""COMPUTED_VALUE"""),"9157453#9157458")</f>
        <v>9157453#9157458</v>
      </c>
      <c r="AD2172" s="232">
        <f>IFERROR(__xludf.DUMMYFUNCTION("""COMPUTED_VALUE"""),48.0)</f>
        <v>48</v>
      </c>
      <c r="AE2172" s="233">
        <f>IFERROR(__xludf.DUMMYFUNCTION("""COMPUTED_VALUE"""),46081.0)</f>
        <v>46081</v>
      </c>
      <c r="AF2172" s="54"/>
      <c r="AG2172" s="54"/>
      <c r="AH2172" s="54">
        <v>46069.0</v>
      </c>
      <c r="AI2172" s="55">
        <f t="shared" si="210"/>
        <v>-12</v>
      </c>
      <c r="AW2172" s="234"/>
      <c r="BP2172" s="11"/>
      <c r="BQ2172" s="11"/>
      <c r="BR2172" s="235"/>
      <c r="BV2172" s="158"/>
      <c r="BY2172" s="158"/>
      <c r="CB2172" s="158"/>
    </row>
    <row r="2173" ht="18.0" customHeight="1">
      <c r="A2173" s="222">
        <f>IFERROR(__xludf.DUMMYFUNCTION("""COMPUTED_VALUE"""),2026.0)</f>
        <v>2026</v>
      </c>
      <c r="B2173" s="221">
        <f>IFERROR(__xludf.DUMMYFUNCTION("""COMPUTED_VALUE"""),1.0566417E7)</f>
        <v>10566417</v>
      </c>
      <c r="C2173" s="222" t="str">
        <f>IFERROR(__xludf.DUMMYFUNCTION("""COMPUTED_VALUE"""),"SMB P7I1 Villa Rusun Nawa")</f>
        <v>SMB P7I1 Villa Rusun Nawa</v>
      </c>
      <c r="D2173" s="222" t="str">
        <f>IFERROR(__xludf.DUMMYFUNCTION("""COMPUTED_VALUE"""),"REGIONAL I")</f>
        <v>REGIONAL I</v>
      </c>
      <c r="E2173" s="222" t="str">
        <f>IFERROR(__xludf.DUMMYFUNCTION("""COMPUTED_VALUE"""),"SUMBAR")</f>
        <v>SUMBAR</v>
      </c>
      <c r="F2173" s="222" t="str">
        <f>IFERROR(__xludf.DUMMYFUNCTION("""COMPUTED_VALUE"""),"SUR")</f>
        <v>SUR</v>
      </c>
      <c r="G2173" s="222" t="str">
        <f>IFERROR(__xludf.DUMMYFUNCTION("""COMPUTED_VALUE"""),"SUMBAGTENG")</f>
        <v>SUMBAGTENG</v>
      </c>
      <c r="H2173" s="222" t="str">
        <f>IFERROR(__xludf.DUMMYFUNCTION("""COMPUTED_VALUE"""),"PADANG")</f>
        <v>PADANG</v>
      </c>
      <c r="I2173" s="222" t="str">
        <f>IFERROR(__xludf.DUMMYFUNCTION("""COMPUTED_VALUE"""),"Batch 2")</f>
        <v>Batch 2</v>
      </c>
      <c r="J2173" s="225">
        <f>IFERROR(__xludf.DUMMYFUNCTION("""COMPUTED_VALUE"""),6.0)</f>
        <v>6</v>
      </c>
      <c r="K2173" s="224">
        <f>IFERROR(__xludf.DUMMYFUNCTION("""COMPUTED_VALUE"""),48.0)</f>
        <v>48</v>
      </c>
      <c r="L2173" s="226">
        <f>IFERROR(__xludf.DUMMYFUNCTION("""COMPUTED_VALUE"""),1653377.0)</f>
        <v>1653377</v>
      </c>
      <c r="M2173" s="227">
        <f>IFERROR(__xludf.DUMMYFUNCTION("""COMPUTED_VALUE"""),7.9362091E7)</f>
        <v>79362091</v>
      </c>
      <c r="N2173" s="222" t="str">
        <f>IFERROR(__xludf.DUMMYFUNCTION("""COMPUTED_VALUE"""),"PT TIGA AKSES MANDIRI")</f>
        <v>PT TIGA AKSES MANDIRI</v>
      </c>
      <c r="O2173" s="222" t="str">
        <f>IFERROR(__xludf.DUMMYFUNCTION("""COMPUTED_VALUE"""),"4. MATDEL")</f>
        <v>4. MATDEL</v>
      </c>
      <c r="P2173" s="222" t="str">
        <f>IFERROR(__xludf.DUMMYFUNCTION("""COMPUTED_VALUE"""),"4.4 Proses Pengiriman Pabribak ke WH")</f>
        <v>4.4 Proses Pengiriman Pabribak ke WH</v>
      </c>
      <c r="Q2173" s="222" t="str">
        <f>IFERROR(__xludf.DUMMYFUNCTION("""COMPUTED_VALUE"""),"(27/04)  menunggu PO kabel 24 ADSS (20/04) tunggu hasil eval penambahan ODP karena CPP tinggi   (10/04) Proses aanwijziing , LOP HOLD FEEDER FULL ACC GO (08/01) kendala feeder SUR-FA full ")</f>
        <v>(27/04)  menunggu PO kabel 24 ADSS (20/04) tunggu hasil eval penambahan ODP karena CPP tinggi   (10/04) Proses aanwijziing , LOP HOLD FEEDER FULL ACC GO (08/01) kendala feeder SUR-FA full </v>
      </c>
      <c r="R2173" s="228"/>
      <c r="S2173" s="11"/>
      <c r="T2173" s="11"/>
      <c r="U2173" s="11"/>
      <c r="V2173" s="229"/>
      <c r="W2173" s="229"/>
      <c r="X2173" s="229" t="str">
        <f>IFERROR(__xludf.DUMMYFUNCTION("""COMPUTED_VALUE"""),"BELUM GOLIVE")</f>
        <v>BELUM GOLIVE</v>
      </c>
      <c r="Y2173" s="229"/>
      <c r="Z2173" s="229" t="str">
        <f>IFERROR(__xludf.DUMMYFUNCTION("""COMPUTED_VALUE"""),"#N/A")</f>
        <v>#N/A</v>
      </c>
      <c r="AA2173" s="229"/>
      <c r="AB2173" s="229"/>
      <c r="AC2173" s="229"/>
      <c r="AD2173" s="232"/>
      <c r="AE2173" s="233"/>
      <c r="AF2173" s="54" t="str">
        <f>IFERROR(__xludf.DUMMYFUNCTION("""COMPUTED_VALUE"""),"Draft BA DROP")</f>
        <v>Draft BA DROP</v>
      </c>
      <c r="AG2173" s="54"/>
      <c r="AH2173" s="54"/>
      <c r="AI2173" s="55" t="str">
        <f t="shared" si="210"/>
        <v/>
      </c>
      <c r="AW2173" s="234"/>
      <c r="BP2173" s="11"/>
      <c r="BQ2173" s="11"/>
      <c r="BR2173" s="235"/>
      <c r="BV2173" s="158"/>
      <c r="BY2173" s="158"/>
      <c r="CB2173" s="158"/>
    </row>
    <row r="2174" ht="18.0" customHeight="1">
      <c r="A2174" s="222">
        <f>IFERROR(__xludf.DUMMYFUNCTION("""COMPUTED_VALUE"""),2026.0)</f>
        <v>2026</v>
      </c>
      <c r="B2174" s="221">
        <f>IFERROR(__xludf.DUMMYFUNCTION("""COMPUTED_VALUE"""),1.1298422E7)</f>
        <v>11298422</v>
      </c>
      <c r="C2174" s="222" t="str">
        <f>IFERROR(__xludf.DUMMYFUNCTION("""COMPUTED_VALUE"""),"SMB P3I1 SWL 01")</f>
        <v>SMB P3I1 SWL 01</v>
      </c>
      <c r="D2174" s="222" t="str">
        <f>IFERROR(__xludf.DUMMYFUNCTION("""COMPUTED_VALUE"""),"REGIONAL I")</f>
        <v>REGIONAL I</v>
      </c>
      <c r="E2174" s="222" t="str">
        <f>IFERROR(__xludf.DUMMYFUNCTION("""COMPUTED_VALUE"""),"SUMBAR")</f>
        <v>SUMBAR</v>
      </c>
      <c r="F2174" s="222" t="str">
        <f>IFERROR(__xludf.DUMMYFUNCTION("""COMPUTED_VALUE"""),"SWL")</f>
        <v>SWL</v>
      </c>
      <c r="G2174" s="222" t="str">
        <f>IFERROR(__xludf.DUMMYFUNCTION("""COMPUTED_VALUE"""),"SUMBAGTENG")</f>
        <v>SUMBAGTENG</v>
      </c>
      <c r="H2174" s="222" t="str">
        <f>IFERROR(__xludf.DUMMYFUNCTION("""COMPUTED_VALUE"""),"PADANG")</f>
        <v>PADANG</v>
      </c>
      <c r="I2174" s="222" t="str">
        <f>IFERROR(__xludf.DUMMYFUNCTION("""COMPUTED_VALUE"""),"Batch 2")</f>
        <v>Batch 2</v>
      </c>
      <c r="J2174" s="225">
        <f>IFERROR(__xludf.DUMMYFUNCTION("""COMPUTED_VALUE"""),5.0)</f>
        <v>5</v>
      </c>
      <c r="K2174" s="224">
        <f>IFERROR(__xludf.DUMMYFUNCTION("""COMPUTED_VALUE"""),40.0)</f>
        <v>40</v>
      </c>
      <c r="L2174" s="226">
        <f>IFERROR(__xludf.DUMMYFUNCTION("""COMPUTED_VALUE"""),1655246.0)</f>
        <v>1655246</v>
      </c>
      <c r="M2174" s="227">
        <f>IFERROR(__xludf.DUMMYFUNCTION("""COMPUTED_VALUE"""),6.6209807E7)</f>
        <v>66209807</v>
      </c>
      <c r="N2174" s="222" t="str">
        <f>IFERROR(__xludf.DUMMYFUNCTION("""COMPUTED_VALUE"""),"PT TANJUNG PUTRA PRIMA")</f>
        <v>PT TANJUNG PUTRA PRIMA</v>
      </c>
      <c r="O2174" s="222" t="str">
        <f>IFERROR(__xludf.DUMMYFUNCTION("""COMPUTED_VALUE"""),"8. UJI TERIMA")</f>
        <v>8. UJI TERIMA</v>
      </c>
      <c r="P2174" s="222" t="str">
        <f>IFERROR(__xludf.DUMMYFUNCTION("""COMPUTED_VALUE"""),"8.1 Proses UT")</f>
        <v>8.1 Proses UT</v>
      </c>
      <c r="Q2174" s="222" t="str">
        <f>IFERROR(__xludf.DUMMYFUNCTION("""COMPUTED_VALUE"""),"(02/03) ABD OGP submit ke sdi  (18/02) Terminasi odp  PLAN FI 18/02 (29/01) proses delivery material  (21/01) proses CReate PID (07/01) Persiapan")</f>
        <v>(02/03) ABD OGP submit ke sdi  (18/02) Terminasi odp  PLAN FI 18/02 (29/01) proses delivery material  (21/01) proses CReate PID (07/01) Persiapan</v>
      </c>
      <c r="R2174" s="228">
        <f>IFERROR(__xludf.DUMMYFUNCTION("""COMPUTED_VALUE"""),46086.0)</f>
        <v>46086</v>
      </c>
      <c r="S2174" s="11" t="str">
        <f>IFERROR(__xludf.DUMMYFUNCTION("""COMPUTED_VALUE"""),"MAR")</f>
        <v>MAR</v>
      </c>
      <c r="T2174" s="11"/>
      <c r="U2174" s="11" t="str">
        <f>IFERROR(__xludf.DUMMYFUNCTION("""COMPUTED_VALUE"""),"TIF-1827/2026 26KT03R158-0006")</f>
        <v>TIF-1827/2026 26KT03R158-0006</v>
      </c>
      <c r="V2174" s="229" t="str">
        <f>IFERROR(__xludf.DUMMYFUNCTION("""COMPUTED_VALUE"""),"YULIO NOVIKO")</f>
        <v>YULIO NOVIKO</v>
      </c>
      <c r="W2174" s="229" t="str">
        <f>IFERROR(__xludf.DUMMYFUNCTION("""COMPUTED_VALUE"""),"MELKO NARWADI")</f>
        <v>MELKO NARWADI</v>
      </c>
      <c r="X2174" s="229" t="str">
        <f>IFERROR(__xludf.DUMMYFUNCTION("""COMPUTED_VALUE"""),"GOLIVE")</f>
        <v>GOLIVE</v>
      </c>
      <c r="Y2174" s="229" t="str">
        <f>IFERROR(__xludf.DUMMYFUNCTION("""COMPUTED_VALUE"""),"DONE")</f>
        <v>DONE</v>
      </c>
      <c r="Z2174" s="229" t="str">
        <f>IFERROR(__xludf.DUMMYFUNCTION("""COMPUTED_VALUE"""),"#N/A")</f>
        <v>#N/A</v>
      </c>
      <c r="AA2174" s="229">
        <f>IFERROR(__xludf.DUMMYFUNCTION("""COMPUTED_VALUE"""),5.0)</f>
        <v>5</v>
      </c>
      <c r="AB2174" s="229"/>
      <c r="AC2174" s="229" t="str">
        <f>IFERROR(__xludf.DUMMYFUNCTION("""COMPUTED_VALUE"""),"9168832#9168838")</f>
        <v>9168832#9168838</v>
      </c>
      <c r="AD2174" s="232">
        <f>IFERROR(__xludf.DUMMYFUNCTION("""COMPUTED_VALUE"""),40.0)</f>
        <v>40</v>
      </c>
      <c r="AE2174" s="233">
        <f>IFERROR(__xludf.DUMMYFUNCTION("""COMPUTED_VALUE"""),46085.0)</f>
        <v>46085</v>
      </c>
      <c r="AF2174" s="54"/>
      <c r="AG2174" s="54"/>
      <c r="AH2174" s="54">
        <v>46086.0</v>
      </c>
      <c r="AI2174" s="55">
        <f t="shared" si="210"/>
        <v>1</v>
      </c>
      <c r="AW2174" s="234"/>
      <c r="BP2174" s="11"/>
      <c r="BQ2174" s="11"/>
      <c r="BR2174" s="235"/>
      <c r="BV2174" s="158"/>
      <c r="BY2174" s="158"/>
      <c r="CB2174" s="158"/>
    </row>
    <row r="2175" ht="18.0" hidden="1" customHeight="1">
      <c r="A2175" s="222">
        <f>IFERROR(__xludf.DUMMYFUNCTION("""COMPUTED_VALUE"""),2026.0)</f>
        <v>2026</v>
      </c>
      <c r="B2175" s="221">
        <f>IFERROR(__xludf.DUMMYFUNCTION("""COMPUTED_VALUE"""),1.2438785E7)</f>
        <v>12438785</v>
      </c>
      <c r="C2175" s="222" t="str">
        <f>IFERROR(__xludf.DUMMYFUNCTION("""COMPUTED_VALUE"""),"SMS P4I4 PT3 BLT FC D04 SIDORAHAYU KOKO")</f>
        <v>SMS P4I4 PT3 BLT FC D04 SIDORAHAYU KOKO</v>
      </c>
      <c r="D2175" s="222" t="str">
        <f>IFERROR(__xludf.DUMMYFUNCTION("""COMPUTED_VALUE"""),"REGIONAL I")</f>
        <v>REGIONAL I</v>
      </c>
      <c r="E2175" s="222" t="str">
        <f>IFERROR(__xludf.DUMMYFUNCTION("""COMPUTED_VALUE"""),"SUMSEL")</f>
        <v>SUMSEL</v>
      </c>
      <c r="F2175" s="222" t="str">
        <f>IFERROR(__xludf.DUMMYFUNCTION("""COMPUTED_VALUE"""),"BLT")</f>
        <v>BLT</v>
      </c>
      <c r="G2175" s="222" t="str">
        <f>IFERROR(__xludf.DUMMYFUNCTION("""COMPUTED_VALUE"""),"SUMBAGSEL")</f>
        <v>SUMBAGSEL</v>
      </c>
      <c r="H2175" s="222" t="str">
        <f>IFERROR(__xludf.DUMMYFUNCTION("""COMPUTED_VALUE"""),"PALEMBANG")</f>
        <v>PALEMBANG</v>
      </c>
      <c r="I2175" s="222" t="str">
        <f>IFERROR(__xludf.DUMMYFUNCTION("""COMPUTED_VALUE"""),"Batch 2")</f>
        <v>Batch 2</v>
      </c>
      <c r="J2175" s="225">
        <f>IFERROR(__xludf.DUMMYFUNCTION("""COMPUTED_VALUE"""),5.0)</f>
        <v>5</v>
      </c>
      <c r="K2175" s="224">
        <f>IFERROR(__xludf.DUMMYFUNCTION("""COMPUTED_VALUE"""),40.0)</f>
        <v>40</v>
      </c>
      <c r="L2175" s="226">
        <f>IFERROR(__xludf.DUMMYFUNCTION("""COMPUTED_VALUE"""),1655307.0)</f>
        <v>1655307</v>
      </c>
      <c r="M2175" s="227">
        <f>IFERROR(__xludf.DUMMYFUNCTION("""COMPUTED_VALUE"""),6.6212254E7)</f>
        <v>66212254</v>
      </c>
      <c r="N2175" s="222" t="str">
        <f>IFERROR(__xludf.DUMMYFUNCTION("""COMPUTED_VALUE"""),"PT GARINDO TECHNO MANDIRI")</f>
        <v>PT GARINDO TECHNO MANDIRI</v>
      </c>
      <c r="O2175" s="222" t="str">
        <f>IFERROR(__xludf.DUMMYFUNCTION("""COMPUTED_VALUE"""),"4. MATDEL")</f>
        <v>4. MATDEL</v>
      </c>
      <c r="P2175" s="222" t="str">
        <f>IFERROR(__xludf.DUMMYFUNCTION("""COMPUTED_VALUE"""),"4.5 Material On Site")</f>
        <v>4.5 Material On Site</v>
      </c>
      <c r="Q2175" s="222" t="str">
        <f>IFERROR(__xludf.DUMMYFUNCTION("""COMPUTED_VALUE"""),"27/04 MASIH MENUNGGU ANTRIAN PEKERJAAN, 24/04 MENUNGGU ANTRIAN PEKERJAAN, 22/04 MATERIAL ONSITE - MENUNGGU ANTRIAN PEKERJAAN, 21/04 menunggu material kabel adsss-12 , stok gudang habis, 17/04 KENDALA KABEL 12 HABIS DI GUDANG,  09/04 PRoses input material,"&amp;"plan matdel 11 APR 08/04 PROSES DRM, 02/04 OGP DRM, 31/03 PERIZINAN OKE - LANJUT DRM, 30/03 KENDALA PERIZINAN KADES, MELEWATI 4 DESA  (KADES MEMINTA FREE WIFI), 26/03 PROSES PERIZINAN KE KADES ( KADES MINTA FREE WIFI)  25/03 EST TGL 30 MAR DRM, 24/03 EST "&amp;"TGL 30 MAR DRM, 21/03 EST TGL 30 MAR DRM, 16/03 MASIH PROGRESS DRM, 13/03 LANJUT DRM, 10/03 FU SALES TSEL TERKAIT PERIZINAN KADES,05/03 MASIH PERIZINAN KADES, 04/03 FU SALES TSEL TERKAIT PERIZINAN, 03/03 HASIL REVIEW TIF - DI HOLD TP DI PROGRESS PERIZINAN"&amp;"NYA, 24/03 DROP - UDAH ADA BA DROPNYA, 23/02 ADA KOMPENSASI UNTUK PERMINTAAN FREE WIFI UNTUK KADES BK 6 DI KANTOR DESA, DAN KADES BK 5 DI KNTOR DESA DAN RUMAH, MAKA ADA KENAIKAN BOQ SEBESAR 11% DAN CPP 1,8 JT, 06/02 HASIL REVIEW TSEL PROPOSE DROP - COMCAS"&amp;"E 3 TITIK WIFI GRATIS KADES, 03/02 DONE EVAL, HOLD, ADA KOMPENSASI UNTUK PERMINTAAN FREE WIFI UNTUK KADES BK 6 DI KANTOR DESA, DAN KADES BK 5 DI KNTOR DESA DAN RUMAH, MAKA ADA KENAIKAN BOQ SEBESAR 11% DAN CPP 1,8 JT 30/01 EVAL, (26/1) tim TIF belum bisa E"&amp;"VAL hasil anwijzing karena lagi diluar kota , estimasi 29 jan baru kembali ke Palembang(25/01) DONE AANWIDJZING - LANJUT EVAL, (21/01) menunggu antrian aanwizjing, (15/1) ORDER DITERIMA MITRA 14/1,MENUNGGU PLAN AANWIJDZING (06/01)order JPP batch-2 2026 (("&amp;"14/11)HOLD- tidak masuk target Optimis 2025 ((11/11) Penunjukkan MITRA oleh Procurement")</f>
        <v>27/04 MASIH MENUNGGU ANTRIAN PEKERJAAN, 24/04 MENUNGGU ANTRIAN PEKERJAAN, 22/04 MATERIAL ONSITE - MENUNGGU ANTRIAN PEKERJAAN, 21/04 menunggu material kabel adsss-12 , stok gudang habis, 17/04 KENDALA KABEL 12 HABIS DI GUDANG,  09/04 PRoses input material,plan matdel 11 APR 08/04 PROSES DRM, 02/04 OGP DRM, 31/03 PERIZINAN OKE - LANJUT DRM, 30/03 KENDALA PERIZINAN KADES, MELEWATI 4 DESA  (KADES MEMINTA FREE WIFI), 26/03 PROSES PERIZINAN KE KADES ( KADES MINTA FREE WIFI)  25/03 EST TGL 30 MAR DRM, 24/03 EST TGL 30 MAR DRM, 21/03 EST TGL 30 MAR DRM, 16/03 MASIH PROGRESS DRM, 13/03 LANJUT DRM, 10/03 FU SALES TSEL TERKAIT PERIZINAN KADES,05/03 MASIH PERIZINAN KADES, 04/03 FU SALES TSEL TERKAIT PERIZINAN, 03/03 HASIL REVIEW TIF - DI HOLD TP DI PROGRESS PERIZINANNYA, 24/03 DROP - UDAH ADA BA DROPNYA, 23/02 ADA KOMPENSASI UNTUK PERMINTAAN FREE WIFI UNTUK KADES BK 6 DI KANTOR DESA, DAN KADES BK 5 DI KNTOR DESA DAN RUMAH, MAKA ADA KENAIKAN BOQ SEBESAR 11% DAN CPP 1,8 JT, 06/02 HASIL REVIEW TSEL PROPOSE DROP - COMCASE 3 TITIK WIFI GRATIS KADES, 03/02 DONE EVAL, HOLD, ADA KOMPENSASI UNTUK PERMINTAAN FREE WIFI UNTUK KADES BK 6 DI KANTOR DESA, DAN KADES BK 5 DI KNTOR DESA DAN RUMAH, MAKA ADA KENAIKAN BOQ SEBESAR 11% DAN CPP 1,8 JT 30/01 EVAL, (26/1) tim TIF belum bisa EVAL hasil anwijzing karena lagi diluar kota , estimasi 29 jan baru kembali ke Palembang(25/01) DONE AANWIDJZING - LANJUT EVAL, (21/01) menunggu antrian aanwizjing, (15/1) ORDER DITERIMA MITRA 14/1,MENUNGGU PLAN AANWIJDZING (06/01)order JPP batch-2 2026 ((14/11)HOLD- tidak masuk target Optimis 2025 ((11/11) Penunjukkan MITRA oleh Procurement</v>
      </c>
      <c r="R2175" s="228"/>
      <c r="S2175" s="11"/>
      <c r="T2175" s="11" t="str">
        <f>IFERROR(__xludf.DUMMYFUNCTION("""COMPUTED_VALUE"""),"P1")</f>
        <v>P1</v>
      </c>
      <c r="U2175" s="11"/>
      <c r="V2175" s="229" t="str">
        <f>IFERROR(__xludf.DUMMYFUNCTION("""COMPUTED_VALUE"""),"TANTOWI")</f>
        <v>TANTOWI</v>
      </c>
      <c r="W2175" s="229"/>
      <c r="X2175" s="229" t="str">
        <f>IFERROR(__xludf.DUMMYFUNCTION("""COMPUTED_VALUE"""),"BELUM GOLIVE")</f>
        <v>BELUM GOLIVE</v>
      </c>
      <c r="Y2175" s="229"/>
      <c r="Z2175" s="229" t="str">
        <f>IFERROR(__xludf.DUMMYFUNCTION("""COMPUTED_VALUE"""),"#N/A")</f>
        <v>#N/A</v>
      </c>
      <c r="AA2175" s="229"/>
      <c r="AB2175" s="229"/>
      <c r="AC2175" s="229"/>
      <c r="AD2175" s="232"/>
      <c r="AE2175" s="233"/>
      <c r="AF2175" s="54"/>
      <c r="AG2175" s="54"/>
      <c r="AH2175" s="54"/>
      <c r="AI2175" s="55" t="str">
        <f t="shared" si="210"/>
        <v/>
      </c>
      <c r="AW2175" s="234"/>
      <c r="BP2175" s="11"/>
      <c r="BQ2175" s="11"/>
      <c r="BR2175" s="235"/>
      <c r="BV2175" s="158"/>
      <c r="BY2175" s="158"/>
      <c r="CB2175" s="158"/>
    </row>
    <row r="2176" ht="18.0" customHeight="1">
      <c r="A2176" s="222">
        <f>IFERROR(__xludf.DUMMYFUNCTION("""COMPUTED_VALUE"""),2026.0)</f>
        <v>2026</v>
      </c>
      <c r="B2176" s="221">
        <f>IFERROR(__xludf.DUMMYFUNCTION("""COMPUTED_VALUE"""),1.1950901E7)</f>
        <v>11950901</v>
      </c>
      <c r="C2176" s="222" t="str">
        <f>IFERROR(__xludf.DUMMYFUNCTION("""COMPUTED_VALUE"""),"SMB P3I2 PT3 sarini afdila")</f>
        <v>SMB P3I2 PT3 sarini afdila</v>
      </c>
      <c r="D2176" s="222" t="str">
        <f>IFERROR(__xludf.DUMMYFUNCTION("""COMPUTED_VALUE"""),"REGIONAL I")</f>
        <v>REGIONAL I</v>
      </c>
      <c r="E2176" s="222" t="str">
        <f>IFERROR(__xludf.DUMMYFUNCTION("""COMPUTED_VALUE"""),"SUMBAR")</f>
        <v>SUMBAR</v>
      </c>
      <c r="F2176" s="222" t="str">
        <f>IFERROR(__xludf.DUMMYFUNCTION("""COMPUTED_VALUE"""),"PYK")</f>
        <v>PYK</v>
      </c>
      <c r="G2176" s="222" t="str">
        <f>IFERROR(__xludf.DUMMYFUNCTION("""COMPUTED_VALUE"""),"SUMBAGTENG")</f>
        <v>SUMBAGTENG</v>
      </c>
      <c r="H2176" s="222" t="str">
        <f>IFERROR(__xludf.DUMMYFUNCTION("""COMPUTED_VALUE"""),"BUKIT TINGGI")</f>
        <v>BUKIT TINGGI</v>
      </c>
      <c r="I2176" s="222" t="str">
        <f>IFERROR(__xludf.DUMMYFUNCTION("""COMPUTED_VALUE"""),"Batch 2")</f>
        <v>Batch 2</v>
      </c>
      <c r="J2176" s="225">
        <f>IFERROR(__xludf.DUMMYFUNCTION("""COMPUTED_VALUE"""),3.0)</f>
        <v>3</v>
      </c>
      <c r="K2176" s="224">
        <f>IFERROR(__xludf.DUMMYFUNCTION("""COMPUTED_VALUE"""),24.0)</f>
        <v>24</v>
      </c>
      <c r="L2176" s="226">
        <f>IFERROR(__xludf.DUMMYFUNCTION("""COMPUTED_VALUE"""),1656012.0)</f>
        <v>1656012</v>
      </c>
      <c r="M2176" s="227">
        <f>IFERROR(__xludf.DUMMYFUNCTION("""COMPUTED_VALUE"""),3.9744282E7)</f>
        <v>39744282</v>
      </c>
      <c r="N2176" s="222" t="str">
        <f>IFERROR(__xludf.DUMMYFUNCTION("""COMPUTED_VALUE"""),"PT TSUIKA BERKAH RAYA")</f>
        <v>PT TSUIKA BERKAH RAYA</v>
      </c>
      <c r="O2176" s="222" t="str">
        <f>IFERROR(__xludf.DUMMYFUNCTION("""COMPUTED_VALUE"""),"8. UJI TERIMA")</f>
        <v>8. UJI TERIMA</v>
      </c>
      <c r="P2176" s="222" t="str">
        <f>IFERROR(__xludf.DUMMYFUNCTION("""COMPUTED_VALUE"""),"8.1 Proses UT")</f>
        <v>8.1 Proses UT</v>
      </c>
      <c r="Q2176" s="222" t="str">
        <f>IFERROR(__xludf.DUMMYFUNCTION("""COMPUTED_VALUE"""),"(08/01) kendala feeder KJI-FN FULL, proses mapping mitra dan penjadwalan aanwijziing (07/01) Persiapan")</f>
        <v>(08/01) kendala feeder KJI-FN FULL, proses mapping mitra dan penjadwalan aanwijziing (07/01) Persiapan</v>
      </c>
      <c r="R2176" s="228"/>
      <c r="S2176" s="11"/>
      <c r="T2176" s="11"/>
      <c r="U2176" s="11" t="str">
        <f>IFERROR(__xludf.DUMMYFUNCTION("""COMPUTED_VALUE"""),"W10-1814/2025 25KT03R158-0547")</f>
        <v>W10-1814/2025 25KT03R158-0547</v>
      </c>
      <c r="V2176" s="229" t="str">
        <f>IFERROR(__xludf.DUMMYFUNCTION("""COMPUTED_VALUE"""),"M. ARIF HAMADI")</f>
        <v>M. ARIF HAMADI</v>
      </c>
      <c r="W2176" s="229" t="str">
        <f>IFERROR(__xludf.DUMMYFUNCTION("""COMPUTED_VALUE"""),"MELKO NARWADI")</f>
        <v>MELKO NARWADI</v>
      </c>
      <c r="X2176" s="229" t="str">
        <f>IFERROR(__xludf.DUMMYFUNCTION("""COMPUTED_VALUE"""),"GOLIVE")</f>
        <v>GOLIVE</v>
      </c>
      <c r="Y2176" s="229" t="str">
        <f>IFERROR(__xludf.DUMMYFUNCTION("""COMPUTED_VALUE"""),"DONE")</f>
        <v>DONE</v>
      </c>
      <c r="Z2176" s="229" t="str">
        <f>IFERROR(__xludf.DUMMYFUNCTION("""COMPUTED_VALUE"""),"#N/A")</f>
        <v>#N/A</v>
      </c>
      <c r="AA2176" s="229">
        <f>IFERROR(__xludf.DUMMYFUNCTION("""COMPUTED_VALUE"""),3.0)</f>
        <v>3</v>
      </c>
      <c r="AB2176" s="229"/>
      <c r="AC2176" s="229" t="str">
        <f>IFERROR(__xludf.DUMMYFUNCTION("""COMPUTED_VALUE"""),"8966721#8966726")</f>
        <v>8966721#8966726</v>
      </c>
      <c r="AD2176" s="232">
        <f>IFERROR(__xludf.DUMMYFUNCTION("""COMPUTED_VALUE"""),24.0)</f>
        <v>24</v>
      </c>
      <c r="AE2176" s="233">
        <f>IFERROR(__xludf.DUMMYFUNCTION("""COMPUTED_VALUE"""),46037.0)</f>
        <v>46037</v>
      </c>
      <c r="AF2176" s="54"/>
      <c r="AG2176" s="54"/>
      <c r="AH2176" s="54"/>
      <c r="AI2176" s="55" t="str">
        <f t="shared" si="210"/>
        <v/>
      </c>
      <c r="AW2176" s="234"/>
      <c r="BP2176" s="11"/>
      <c r="BQ2176" s="11"/>
      <c r="BR2176" s="235"/>
      <c r="BV2176" s="158"/>
      <c r="BY2176" s="158"/>
      <c r="CB2176" s="158"/>
    </row>
    <row r="2177" ht="18.0" customHeight="1">
      <c r="A2177" s="222">
        <f>IFERROR(__xludf.DUMMYFUNCTION("""COMPUTED_VALUE"""),2026.0)</f>
        <v>2026</v>
      </c>
      <c r="B2177" s="221">
        <f>IFERROR(__xludf.DUMMYFUNCTION("""COMPUTED_VALUE"""),1.151388E7)</f>
        <v>11513880</v>
      </c>
      <c r="C2177" s="222" t="str">
        <f>IFERROR(__xludf.DUMMYFUNCTION("""COMPUTED_VALUE"""),"SMB P3I1 Kampung Jambak Kuranji")</f>
        <v>SMB P3I1 Kampung Jambak Kuranji</v>
      </c>
      <c r="D2177" s="222" t="str">
        <f>IFERROR(__xludf.DUMMYFUNCTION("""COMPUTED_VALUE"""),"REGIONAL I")</f>
        <v>REGIONAL I</v>
      </c>
      <c r="E2177" s="222" t="str">
        <f>IFERROR(__xludf.DUMMYFUNCTION("""COMPUTED_VALUE"""),"SUMBAR")</f>
        <v>SUMBAR</v>
      </c>
      <c r="F2177" s="222" t="str">
        <f>IFERROR(__xludf.DUMMYFUNCTION("""COMPUTED_VALUE"""),"KJI")</f>
        <v>KJI</v>
      </c>
      <c r="G2177" s="222" t="str">
        <f>IFERROR(__xludf.DUMMYFUNCTION("""COMPUTED_VALUE"""),"SUMBAGTENG")</f>
        <v>SUMBAGTENG</v>
      </c>
      <c r="H2177" s="222" t="str">
        <f>IFERROR(__xludf.DUMMYFUNCTION("""COMPUTED_VALUE"""),"PADANG")</f>
        <v>PADANG</v>
      </c>
      <c r="I2177" s="222" t="str">
        <f>IFERROR(__xludf.DUMMYFUNCTION("""COMPUTED_VALUE"""),"Batch 2")</f>
        <v>Batch 2</v>
      </c>
      <c r="J2177" s="225">
        <f>IFERROR(__xludf.DUMMYFUNCTION("""COMPUTED_VALUE"""),7.0)</f>
        <v>7</v>
      </c>
      <c r="K2177" s="224">
        <f>IFERROR(__xludf.DUMMYFUNCTION("""COMPUTED_VALUE"""),56.0)</f>
        <v>56</v>
      </c>
      <c r="L2177" s="226">
        <f>IFERROR(__xludf.DUMMYFUNCTION("""COMPUTED_VALUE"""),1656981.0)</f>
        <v>1656981</v>
      </c>
      <c r="M2177" s="227">
        <f>IFERROR(__xludf.DUMMYFUNCTION("""COMPUTED_VALUE"""),9.2790926E7)</f>
        <v>92790926</v>
      </c>
      <c r="N2177" s="222" t="str">
        <f>IFERROR(__xludf.DUMMYFUNCTION("""COMPUTED_VALUE"""),"PT TRI PENAMAS")</f>
        <v>PT TRI PENAMAS</v>
      </c>
      <c r="O2177" s="222" t="str">
        <f>IFERROR(__xludf.DUMMYFUNCTION("""COMPUTED_VALUE"""),"4. MATDEL")</f>
        <v>4. MATDEL</v>
      </c>
      <c r="P2177" s="222" t="str">
        <f>IFERROR(__xludf.DUMMYFUNCTION("""COMPUTED_VALUE"""),"4.4 Proses Pengiriman Pabribak ke WH")</f>
        <v>4.4 Proses Pengiriman Pabribak ke WH</v>
      </c>
      <c r="Q2177" s="222" t="str">
        <f>IFERROR(__xludf.DUMMYFUNCTION("""COMPUTED_VALUE"""),"(27/04) menunggu PO kabel 24 ADSS  (20/04) sudah aanwijziing, proses eval  (10/04) Proses aanwijziing , LOP HOLD FEEDER FULL ACC GO  (26/01) kendala feeder KJI-FN FULL")</f>
        <v>(27/04) menunggu PO kabel 24 ADSS  (20/04) sudah aanwijziing, proses eval  (10/04) Proses aanwijziing , LOP HOLD FEEDER FULL ACC GO  (26/01) kendala feeder KJI-FN FULL</v>
      </c>
      <c r="R2177" s="228"/>
      <c r="S2177" s="11"/>
      <c r="T2177" s="11"/>
      <c r="U2177" s="11"/>
      <c r="V2177" s="229" t="str">
        <f>IFERROR(__xludf.DUMMYFUNCTION("""COMPUTED_VALUE"""),"FABIO RAHMAN")</f>
        <v>FABIO RAHMAN</v>
      </c>
      <c r="W2177" s="229" t="str">
        <f>IFERROR(__xludf.DUMMYFUNCTION("""COMPUTED_VALUE"""),"MELKO NARWADI")</f>
        <v>MELKO NARWADI</v>
      </c>
      <c r="X2177" s="229" t="str">
        <f>IFERROR(__xludf.DUMMYFUNCTION("""COMPUTED_VALUE"""),"BELUM GOLIVE")</f>
        <v>BELUM GOLIVE</v>
      </c>
      <c r="Y2177" s="229"/>
      <c r="Z2177" s="229" t="str">
        <f>IFERROR(__xludf.DUMMYFUNCTION("""COMPUTED_VALUE"""),"#N/A")</f>
        <v>#N/A</v>
      </c>
      <c r="AA2177" s="229"/>
      <c r="AB2177" s="229"/>
      <c r="AC2177" s="229"/>
      <c r="AD2177" s="232"/>
      <c r="AE2177" s="233"/>
      <c r="AF2177" s="54"/>
      <c r="AG2177" s="54"/>
      <c r="AH2177" s="54"/>
      <c r="AI2177" s="55" t="str">
        <f t="shared" si="210"/>
        <v/>
      </c>
      <c r="AW2177" s="234"/>
      <c r="BP2177" s="11"/>
      <c r="BQ2177" s="11"/>
      <c r="BR2177" s="235"/>
      <c r="BV2177" s="158"/>
      <c r="BY2177" s="158"/>
      <c r="CB2177" s="158"/>
    </row>
    <row r="2178" ht="18.0" customHeight="1">
      <c r="A2178" s="222">
        <f>IFERROR(__xludf.DUMMYFUNCTION("""COMPUTED_VALUE"""),2026.0)</f>
        <v>2026</v>
      </c>
      <c r="B2178" s="221">
        <f>IFERROR(__xludf.DUMMYFUNCTION("""COMPUTED_VALUE"""),1.1197039E7)</f>
        <v>11197039</v>
      </c>
      <c r="C2178" s="222" t="str">
        <f>IFERROR(__xludf.DUMMYFUNCTION("""COMPUTED_VALUE"""),"RKP PT3 TSEL TJT-FE JL. PEMUDA NIBUNG")</f>
        <v>RKP PT3 TSEL TJT-FE JL. PEMUDA NIBUNG</v>
      </c>
      <c r="D2178" s="222" t="str">
        <f>IFERROR(__xludf.DUMMYFUNCTION("""COMPUTED_VALUE"""),"REGIONAL I")</f>
        <v>REGIONAL I</v>
      </c>
      <c r="E2178" s="222" t="str">
        <f>IFERROR(__xludf.DUMMYFUNCTION("""COMPUTED_VALUE"""),"RIKEP")</f>
        <v>RIKEP</v>
      </c>
      <c r="F2178" s="222" t="str">
        <f>IFERROR(__xludf.DUMMYFUNCTION("""COMPUTED_VALUE"""),"TJT")</f>
        <v>TJT</v>
      </c>
      <c r="G2178" s="222" t="str">
        <f>IFERROR(__xludf.DUMMYFUNCTION("""COMPUTED_VALUE"""),"SUMBAGTENG")</f>
        <v>SUMBAGTENG</v>
      </c>
      <c r="H2178" s="222" t="str">
        <f>IFERROR(__xludf.DUMMYFUNCTION("""COMPUTED_VALUE"""),"BATAM")</f>
        <v>BATAM</v>
      </c>
      <c r="I2178" s="222" t="str">
        <f>IFERROR(__xludf.DUMMYFUNCTION("""COMPUTED_VALUE"""),"Batch 2")</f>
        <v>Batch 2</v>
      </c>
      <c r="J2178" s="225">
        <f>IFERROR(__xludf.DUMMYFUNCTION("""COMPUTED_VALUE"""),1.0)</f>
        <v>1</v>
      </c>
      <c r="K2178" s="224">
        <f>IFERROR(__xludf.DUMMYFUNCTION("""COMPUTED_VALUE"""),8.0)</f>
        <v>8</v>
      </c>
      <c r="L2178" s="226">
        <f>IFERROR(__xludf.DUMMYFUNCTION("""COMPUTED_VALUE"""),1658366.0)</f>
        <v>1658366</v>
      </c>
      <c r="M2178" s="227">
        <f>IFERROR(__xludf.DUMMYFUNCTION("""COMPUTED_VALUE"""),1.3266926E7)</f>
        <v>13266926</v>
      </c>
      <c r="N2178" s="222" t="str">
        <f>IFERROR(__xludf.DUMMYFUNCTION("""COMPUTED_VALUE"""),"PT MITRA AKSES INSANI")</f>
        <v>PT MITRA AKSES INSANI</v>
      </c>
      <c r="O2178" s="222" t="str">
        <f>IFERROR(__xludf.DUMMYFUNCTION("""COMPUTED_VALUE"""),"0. DROP")</f>
        <v>0. DROP</v>
      </c>
      <c r="P2178" s="222" t="str">
        <f>IFERROR(__xludf.DUMMYFUNCTION("""COMPUTED_VALUE"""),"0.2 Tidak Dapat Izin Warga/Kades/Lurah/Developer")</f>
        <v>0.2 Tidak Dapat Izin Warga/Kades/Lurah/Developer</v>
      </c>
      <c r="Q2178" s="222" t="str">
        <f>IFERROR(__xludf.DUMMYFUNCTION("""COMPUTED_VALUE"""),"04/03 Tanam tiang 3 batang tidak di acc oleh tuan tanah, di alihkan LOP RKP TSEL PT3 TJT-FE SEI UNGAR UTARA sudah acc TSEL.   
26/02 Menunggu modul OLT di kirim dari batam.  13/02 Jadwal kapal ke pulau tanjung batu di hari rabu, karena kapal hari minggu s"&amp;"udah penuh. 09/02 LOP belum di survey oleh mitra, komitmen terakhi hari minggu tgl 8 feb tim berangkat ke pulau tanjung batu. 29/01 mitra MAI sudah acc dan plan survey senin 2 Februari. 21/01 Plan anwijzing Lokasi di pulau outer Tanjung batu")</f>
        <v>04/03 Tanam tiang 3 batang tidak di acc oleh tuan tanah, di alihkan LOP RKP TSEL PT3 TJT-FE SEI UNGAR UTARA sudah acc TSEL.   
26/02 Menunggu modul OLT di kirim dari batam.  13/02 Jadwal kapal ke pulau tanjung batu di hari rabu, karena kapal hari minggu sudah penuh. 09/02 LOP belum di survey oleh mitra, komitmen terakhi hari minggu tgl 8 feb tim berangkat ke pulau tanjung batu. 29/01 mitra MAI sudah acc dan plan survey senin 2 Februari. 21/01 Plan anwijzing Lokasi di pulau outer Tanjung batu</v>
      </c>
      <c r="R2178" s="228"/>
      <c r="S2178" s="11"/>
      <c r="T2178" s="11"/>
      <c r="U2178" s="11" t="str">
        <f>IFERROR(__xludf.DUMMYFUNCTION("""COMPUTED_VALUE"""),"W09-162/2026")</f>
        <v>W09-162/2026</v>
      </c>
      <c r="V2178" s="229" t="str">
        <f>IFERROR(__xludf.DUMMYFUNCTION("""COMPUTED_VALUE"""),"MOHAMMAD FAUZY")</f>
        <v>MOHAMMAD FAUZY</v>
      </c>
      <c r="W2178" s="229" t="str">
        <f>IFERROR(__xludf.DUMMYFUNCTION("""COMPUTED_VALUE"""),"LEVITA INDRIYANI")</f>
        <v>LEVITA INDRIYANI</v>
      </c>
      <c r="X2178" s="229" t="str">
        <f>IFERROR(__xludf.DUMMYFUNCTION("""COMPUTED_VALUE"""),"BELUM GOLIVE")</f>
        <v>BELUM GOLIVE</v>
      </c>
      <c r="Y2178" s="229"/>
      <c r="Z2178" s="229" t="str">
        <f>IFERROR(__xludf.DUMMYFUNCTION("""COMPUTED_VALUE"""),"#N/A")</f>
        <v>#N/A</v>
      </c>
      <c r="AA2178" s="229"/>
      <c r="AB2178" s="229"/>
      <c r="AC2178" s="229"/>
      <c r="AD2178" s="232"/>
      <c r="AE2178" s="233"/>
      <c r="AF2178" s="54"/>
      <c r="AG2178" s="54"/>
      <c r="AH2178" s="54"/>
      <c r="AI2178" s="55" t="str">
        <f t="shared" si="210"/>
        <v/>
      </c>
      <c r="AW2178" s="234"/>
      <c r="BP2178" s="11"/>
      <c r="BQ2178" s="11"/>
      <c r="BR2178" s="235"/>
      <c r="BV2178" s="158"/>
      <c r="BY2178" s="158"/>
      <c r="CB2178" s="158"/>
    </row>
    <row r="2179" ht="18.0" hidden="1" customHeight="1">
      <c r="A2179" s="222">
        <f>IFERROR(__xludf.DUMMYFUNCTION("""COMPUTED_VALUE"""),2026.0)</f>
        <v>2026</v>
      </c>
      <c r="B2179" s="221">
        <f>IFERROR(__xludf.DUMMYFUNCTION("""COMPUTED_VALUE"""),1.1359812E7)</f>
        <v>11359812</v>
      </c>
      <c r="C2179" s="222" t="str">
        <f>IFERROR(__xludf.DUMMYFUNCTION("""COMPUTED_VALUE"""),"BNK PT3 KEPAHIANG_15261")</f>
        <v>BNK PT3 KEPAHIANG_15261</v>
      </c>
      <c r="D2179" s="222" t="str">
        <f>IFERROR(__xludf.DUMMYFUNCTION("""COMPUTED_VALUE"""),"REGIONAL I")</f>
        <v>REGIONAL I</v>
      </c>
      <c r="E2179" s="222" t="str">
        <f>IFERROR(__xludf.DUMMYFUNCTION("""COMPUTED_VALUE"""),"BENGKULU")</f>
        <v>BENGKULU</v>
      </c>
      <c r="F2179" s="222" t="str">
        <f>IFERROR(__xludf.DUMMYFUNCTION("""COMPUTED_VALUE"""),"CRP")</f>
        <v>CRP</v>
      </c>
      <c r="G2179" s="222" t="str">
        <f>IFERROR(__xludf.DUMMYFUNCTION("""COMPUTED_VALUE"""),"SUMBAGSEL")</f>
        <v>SUMBAGSEL</v>
      </c>
      <c r="H2179" s="222" t="str">
        <f>IFERROR(__xludf.DUMMYFUNCTION("""COMPUTED_VALUE"""),"BENGKULU")</f>
        <v>BENGKULU</v>
      </c>
      <c r="I2179" s="222" t="str">
        <f>IFERROR(__xludf.DUMMYFUNCTION("""COMPUTED_VALUE"""),"Batch 2")</f>
        <v>Batch 2</v>
      </c>
      <c r="J2179" s="225">
        <f>IFERROR(__xludf.DUMMYFUNCTION("""COMPUTED_VALUE"""),6.0)</f>
        <v>6</v>
      </c>
      <c r="K2179" s="224">
        <f>IFERROR(__xludf.DUMMYFUNCTION("""COMPUTED_VALUE"""),48.0)</f>
        <v>48</v>
      </c>
      <c r="L2179" s="226">
        <f>IFERROR(__xludf.DUMMYFUNCTION("""COMPUTED_VALUE"""),1660558.0)</f>
        <v>1660558</v>
      </c>
      <c r="M2179" s="227">
        <f>IFERROR(__xludf.DUMMYFUNCTION("""COMPUTED_VALUE"""),7.9706765E7)</f>
        <v>79706765</v>
      </c>
      <c r="N2179" s="222" t="str">
        <f>IFERROR(__xludf.DUMMYFUNCTION("""COMPUTED_VALUE"""),"PT SARANA MITRA PERSADA")</f>
        <v>PT SARANA MITRA PERSADA</v>
      </c>
      <c r="O2179" s="222" t="str">
        <f>IFERROR(__xludf.DUMMYFUNCTION("""COMPUTED_VALUE"""),"0. DROP")</f>
        <v>0. DROP</v>
      </c>
      <c r="P2179" s="222" t="str">
        <f>IFERROR(__xludf.DUMMYFUNCTION("""COMPUTED_VALUE"""),"0.2 Tidak Dapat Izin Warga/Kades/Lurah/Developer")</f>
        <v>0.2 Tidak Dapat Izin Warga/Kades/Lurah/Developer</v>
      </c>
      <c r="Q2179" s="222" t="str">
        <f>IFERROR(__xludf.DUMMYFUNCTION("""COMPUTED_VALUE"""),"22/01 : Kendala izin kades dan warga 08/01:  masih negosiasi dgn warga utk izin tanam tiang CORE DIST 6 TIPUS DI TITIK 200 M, LOP IDENTIFIKASI COMCASE (07/01) Persiapan")</f>
        <v>22/01 : Kendala izin kades dan warga 08/01:  masih negosiasi dgn warga utk izin tanam tiang CORE DIST 6 TIPUS DI TITIK 200 M, LOP IDENTIFIKASI COMCASE (07/01) Persiapan</v>
      </c>
      <c r="R2179" s="228"/>
      <c r="S2179" s="11"/>
      <c r="T2179" s="11"/>
      <c r="U2179" s="11"/>
      <c r="V2179" s="229"/>
      <c r="W2179" s="229"/>
      <c r="X2179" s="229" t="str">
        <f>IFERROR(__xludf.DUMMYFUNCTION("""COMPUTED_VALUE"""),"BELUM GOLIVE")</f>
        <v>BELUM GOLIVE</v>
      </c>
      <c r="Y2179" s="229"/>
      <c r="Z2179" s="229" t="str">
        <f>IFERROR(__xludf.DUMMYFUNCTION("""COMPUTED_VALUE"""),"#N/A")</f>
        <v>#N/A</v>
      </c>
      <c r="AA2179" s="229"/>
      <c r="AB2179" s="229"/>
      <c r="AC2179" s="229"/>
      <c r="AD2179" s="232"/>
      <c r="AE2179" s="233"/>
      <c r="AF2179" s="54" t="str">
        <f>IFERROR(__xludf.DUMMYFUNCTION("""COMPUTED_VALUE"""),"Draft BA DROP")</f>
        <v>Draft BA DROP</v>
      </c>
      <c r="AG2179" s="54"/>
      <c r="AH2179" s="54"/>
      <c r="AI2179" s="55" t="str">
        <f t="shared" si="210"/>
        <v/>
      </c>
      <c r="AW2179" s="234"/>
      <c r="BP2179" s="11"/>
      <c r="BQ2179" s="11"/>
      <c r="BV2179" s="158"/>
      <c r="BY2179" s="158"/>
      <c r="CB2179" s="158"/>
    </row>
    <row r="2180" ht="18.0" customHeight="1">
      <c r="A2180" s="222">
        <f>IFERROR(__xludf.DUMMYFUNCTION("""COMPUTED_VALUE"""),2026.0)</f>
        <v>2026</v>
      </c>
      <c r="B2180" s="221">
        <f>IFERROR(__xludf.DUMMYFUNCTION("""COMPUTED_VALUE"""),1.1353525E7)</f>
        <v>11353525</v>
      </c>
      <c r="C2180" s="222" t="str">
        <f>IFERROR(__xludf.DUMMYFUNCTION("""COMPUTED_VALUE"""),"SMB P2I2 jalan koto panjang terowongan 1")</f>
        <v>SMB P2I2 jalan koto panjang terowongan 1</v>
      </c>
      <c r="D2180" s="222" t="str">
        <f>IFERROR(__xludf.DUMMYFUNCTION("""COMPUTED_VALUE"""),"REGIONAL I")</f>
        <v>REGIONAL I</v>
      </c>
      <c r="E2180" s="222" t="str">
        <f>IFERROR(__xludf.DUMMYFUNCTION("""COMPUTED_VALUE"""),"SUMBAR")</f>
        <v>SUMBAR</v>
      </c>
      <c r="F2180" s="222" t="str">
        <f>IFERROR(__xludf.DUMMYFUNCTION("""COMPUTED_VALUE"""),"LIM")</f>
        <v>LIM</v>
      </c>
      <c r="G2180" s="222" t="str">
        <f>IFERROR(__xludf.DUMMYFUNCTION("""COMPUTED_VALUE"""),"SUMBAGTENG")</f>
        <v>SUMBAGTENG</v>
      </c>
      <c r="H2180" s="222" t="str">
        <f>IFERROR(__xludf.DUMMYFUNCTION("""COMPUTED_VALUE"""),"PADANG")</f>
        <v>PADANG</v>
      </c>
      <c r="I2180" s="222" t="str">
        <f>IFERROR(__xludf.DUMMYFUNCTION("""COMPUTED_VALUE"""),"Batch 2")</f>
        <v>Batch 2</v>
      </c>
      <c r="J2180" s="225">
        <f>IFERROR(__xludf.DUMMYFUNCTION("""COMPUTED_VALUE"""),1.0)</f>
        <v>1</v>
      </c>
      <c r="K2180" s="224">
        <f>IFERROR(__xludf.DUMMYFUNCTION("""COMPUTED_VALUE"""),8.0)</f>
        <v>8</v>
      </c>
      <c r="L2180" s="226">
        <f>IFERROR(__xludf.DUMMYFUNCTION("""COMPUTED_VALUE"""),1661070.0)</f>
        <v>1661070</v>
      </c>
      <c r="M2180" s="227">
        <f>IFERROR(__xludf.DUMMYFUNCTION("""COMPUTED_VALUE"""),1.3288554E7)</f>
        <v>13288554</v>
      </c>
      <c r="N2180" s="222" t="str">
        <f>IFERROR(__xludf.DUMMYFUNCTION("""COMPUTED_VALUE"""),"PT ACERO CETHA METALINDO")</f>
        <v>PT ACERO CETHA METALINDO</v>
      </c>
      <c r="O2180" s="222" t="str">
        <f>IFERROR(__xludf.DUMMYFUNCTION("""COMPUTED_VALUE"""),"0. DROP")</f>
        <v>0. DROP</v>
      </c>
      <c r="P2180" s="222" t="str">
        <f>IFERROR(__xludf.DUMMYFUNCTION("""COMPUTED_VALUE"""),"0.2 Tidak Dapat Izin Warga/Kades/Lurah/Developer")</f>
        <v>0.2 Tidak Dapat Izin Warga/Kades/Lurah/Developer</v>
      </c>
      <c r="Q2180" s="222" t="str">
        <f>IFERROR(__xludf.DUMMYFUNCTION("""COMPUTED_VALUE"""),"(26/01) kendala Tidak dapat izin tanam tiang sama pemilik lahan")</f>
        <v>(26/01) kendala Tidak dapat izin tanam tiang sama pemilik lahan</v>
      </c>
      <c r="R2180" s="228"/>
      <c r="S2180" s="11"/>
      <c r="T2180" s="11"/>
      <c r="U2180" s="11"/>
      <c r="V2180" s="229"/>
      <c r="W2180" s="229"/>
      <c r="X2180" s="229" t="str">
        <f>IFERROR(__xludf.DUMMYFUNCTION("""COMPUTED_VALUE"""),"BELUM GOLIVE")</f>
        <v>BELUM GOLIVE</v>
      </c>
      <c r="Y2180" s="229"/>
      <c r="Z2180" s="229" t="str">
        <f>IFERROR(__xludf.DUMMYFUNCTION("""COMPUTED_VALUE"""),"#N/A")</f>
        <v>#N/A</v>
      </c>
      <c r="AA2180" s="229"/>
      <c r="AB2180" s="229"/>
      <c r="AC2180" s="229"/>
      <c r="AD2180" s="232"/>
      <c r="AE2180" s="233"/>
      <c r="AF2180" s="54" t="str">
        <f>IFERROR(__xludf.DUMMYFUNCTION("""COMPUTED_VALUE"""),"Draft BA DROP")</f>
        <v>Draft BA DROP</v>
      </c>
      <c r="AG2180" s="54"/>
      <c r="AH2180" s="54"/>
      <c r="AI2180" s="55" t="str">
        <f t="shared" si="210"/>
        <v/>
      </c>
      <c r="AW2180" s="234"/>
      <c r="BP2180" s="11"/>
      <c r="BQ2180" s="11"/>
      <c r="BV2180" s="158"/>
      <c r="BY2180" s="158"/>
      <c r="CB2180" s="158"/>
    </row>
    <row r="2181" ht="18.0" hidden="1" customHeight="1">
      <c r="A2181" s="222">
        <f>IFERROR(__xludf.DUMMYFUNCTION("""COMPUTED_VALUE"""),2026.0)</f>
        <v>2026</v>
      </c>
      <c r="B2181" s="221">
        <f>IFERROR(__xludf.DUMMYFUNCTION("""COMPUTED_VALUE"""),1.1777859E7)</f>
        <v>11777859</v>
      </c>
      <c r="C2181" s="222" t="str">
        <f>IFERROR(__xludf.DUMMYFUNCTION("""COMPUTED_VALUE"""),"SMS PT3 ODC OKI FD D01 DS RIDHO")</f>
        <v>SMS PT3 ODC OKI FD D01 DS RIDHO</v>
      </c>
      <c r="D2181" s="222" t="str">
        <f>IFERROR(__xludf.DUMMYFUNCTION("""COMPUTED_VALUE"""),"REGIONAL I")</f>
        <v>REGIONAL I</v>
      </c>
      <c r="E2181" s="222" t="str">
        <f>IFERROR(__xludf.DUMMYFUNCTION("""COMPUTED_VALUE"""),"SUMSEL")</f>
        <v>SUMSEL</v>
      </c>
      <c r="F2181" s="222" t="str">
        <f>IFERROR(__xludf.DUMMYFUNCTION("""COMPUTED_VALUE"""),"OKI")</f>
        <v>OKI</v>
      </c>
      <c r="G2181" s="222" t="str">
        <f>IFERROR(__xludf.DUMMYFUNCTION("""COMPUTED_VALUE"""),"SUMBAGSEL")</f>
        <v>SUMBAGSEL</v>
      </c>
      <c r="H2181" s="222" t="str">
        <f>IFERROR(__xludf.DUMMYFUNCTION("""COMPUTED_VALUE"""),"PALEMBANG")</f>
        <v>PALEMBANG</v>
      </c>
      <c r="I2181" s="222" t="str">
        <f>IFERROR(__xludf.DUMMYFUNCTION("""COMPUTED_VALUE"""),"Batch 2")</f>
        <v>Batch 2</v>
      </c>
      <c r="J2181" s="225">
        <f>IFERROR(__xludf.DUMMYFUNCTION("""COMPUTED_VALUE"""),3.0)</f>
        <v>3</v>
      </c>
      <c r="K2181" s="224">
        <f>IFERROR(__xludf.DUMMYFUNCTION("""COMPUTED_VALUE"""),24.0)</f>
        <v>24</v>
      </c>
      <c r="L2181" s="226">
        <f>IFERROR(__xludf.DUMMYFUNCTION("""COMPUTED_VALUE"""),1662296.0)</f>
        <v>1662296</v>
      </c>
      <c r="M2181" s="227">
        <f>IFERROR(__xludf.DUMMYFUNCTION("""COMPUTED_VALUE"""),3.9895097E7)</f>
        <v>39895097</v>
      </c>
      <c r="N2181" s="222" t="str">
        <f>IFERROR(__xludf.DUMMYFUNCTION("""COMPUTED_VALUE"""),"PT Raharja Prakarsa Nusantara")</f>
        <v>PT Raharja Prakarsa Nusantara</v>
      </c>
      <c r="O2181" s="222" t="str">
        <f>IFERROR(__xludf.DUMMYFUNCTION("""COMPUTED_VALUE"""),"0. DROP")</f>
        <v>0. DROP</v>
      </c>
      <c r="P2181" s="222" t="str">
        <f>IFERROR(__xludf.DUMMYFUNCTION("""COMPUTED_VALUE"""),"0.2 Tidak Dapat Izin Warga/Kades/Lurah/Developer")</f>
        <v>0.2 Tidak Dapat Izin Warga/Kades/Lurah/Developer</v>
      </c>
      <c r="Q2181" s="222" t="str">
        <f>IFERROR(__xludf.DUMMYFUNCTION("""COMPUTED_VALUE"""),"24/02 DROP - CORE HABIS, 06/02 TSEL KONFIRM DROP KARENA TDK DPT IZIN, 07/01 DROP tidak dpt izin dari kades (21/01) DROP, karnea tidk mendapatkan izin dari kades, (06/01)order JPP batch-2 2026 ((01/10) DROP, krena hasil anwizjing ada perubahan dan butuh ta"&amp;"mbahan odp tetapi dri sales meminta untuk drop
 (15/09) Proses Redesign Permintaan Sales Tsel")</f>
        <v>24/02 DROP - CORE HABIS, 06/02 TSEL KONFIRM DROP KARENA TDK DPT IZIN, 07/01 DROP tidak dpt izin dari kades (21/01) DROP, karnea tidk mendapatkan izin dari kades, (06/01)order JPP batch-2 2026 ((01/10) DROP, krena hasil anwizjing ada perubahan dan butuh tambahan odp tetapi dri sales meminta untuk drop
 (15/09) Proses Redesign Permintaan Sales Tsel</v>
      </c>
      <c r="R2181" s="228"/>
      <c r="S2181" s="11"/>
      <c r="T2181" s="11"/>
      <c r="U2181" s="11"/>
      <c r="V2181" s="229" t="str">
        <f>IFERROR(__xludf.DUMMYFUNCTION("""COMPUTED_VALUE"""),"RENALDO")</f>
        <v>RENALDO</v>
      </c>
      <c r="W2181" s="229"/>
      <c r="X2181" s="229" t="str">
        <f>IFERROR(__xludf.DUMMYFUNCTION("""COMPUTED_VALUE"""),"BELUM GOLIVE")</f>
        <v>BELUM GOLIVE</v>
      </c>
      <c r="Y2181" s="229"/>
      <c r="Z2181" s="229" t="str">
        <f>IFERROR(__xludf.DUMMYFUNCTION("""COMPUTED_VALUE"""),"#N/A")</f>
        <v>#N/A</v>
      </c>
      <c r="AA2181" s="229"/>
      <c r="AB2181" s="229"/>
      <c r="AC2181" s="229"/>
      <c r="AD2181" s="232"/>
      <c r="AE2181" s="233"/>
      <c r="AF2181" s="54" t="str">
        <f>IFERROR(__xludf.DUMMYFUNCTION("""COMPUTED_VALUE"""),"Draft BA DROP")</f>
        <v>Draft BA DROP</v>
      </c>
      <c r="AG2181" s="54"/>
      <c r="AH2181" s="54"/>
      <c r="AI2181" s="55" t="str">
        <f t="shared" si="210"/>
        <v/>
      </c>
      <c r="AW2181" s="234"/>
      <c r="BP2181" s="11"/>
      <c r="BQ2181" s="11"/>
      <c r="BV2181" s="158"/>
      <c r="BY2181" s="158"/>
      <c r="CB2181" s="158"/>
    </row>
    <row r="2182" ht="18.0" customHeight="1">
      <c r="A2182" s="222">
        <f>IFERROR(__xludf.DUMMYFUNCTION("""COMPUTED_VALUE"""),2026.0)</f>
        <v>2026</v>
      </c>
      <c r="B2182" s="221">
        <f>IFERROR(__xludf.DUMMYFUNCTION("""COMPUTED_VALUE"""),1.142289E7)</f>
        <v>11422890</v>
      </c>
      <c r="C2182" s="222" t="str">
        <f>IFERROR(__xludf.DUMMYFUNCTION("""COMPUTED_VALUE"""),"RKP PT3 TSEL LBJ-FBD PERMATA BALOI (2)")</f>
        <v>RKP PT3 TSEL LBJ-FBD PERMATA BALOI (2)</v>
      </c>
      <c r="D2182" s="222" t="str">
        <f>IFERROR(__xludf.DUMMYFUNCTION("""COMPUTED_VALUE"""),"REGIONAL I")</f>
        <v>REGIONAL I</v>
      </c>
      <c r="E2182" s="222" t="str">
        <f>IFERROR(__xludf.DUMMYFUNCTION("""COMPUTED_VALUE"""),"RIKEP")</f>
        <v>RIKEP</v>
      </c>
      <c r="F2182" s="222" t="str">
        <f>IFERROR(__xludf.DUMMYFUNCTION("""COMPUTED_VALUE"""),"LBJ")</f>
        <v>LBJ</v>
      </c>
      <c r="G2182" s="222" t="str">
        <f>IFERROR(__xludf.DUMMYFUNCTION("""COMPUTED_VALUE"""),"SUMBAGTENG")</f>
        <v>SUMBAGTENG</v>
      </c>
      <c r="H2182" s="222" t="str">
        <f>IFERROR(__xludf.DUMMYFUNCTION("""COMPUTED_VALUE"""),"BATAM")</f>
        <v>BATAM</v>
      </c>
      <c r="I2182" s="222" t="str">
        <f>IFERROR(__xludf.DUMMYFUNCTION("""COMPUTED_VALUE"""),"Batch 2")</f>
        <v>Batch 2</v>
      </c>
      <c r="J2182" s="225">
        <f>IFERROR(__xludf.DUMMYFUNCTION("""COMPUTED_VALUE"""),5.0)</f>
        <v>5</v>
      </c>
      <c r="K2182" s="224">
        <f>IFERROR(__xludf.DUMMYFUNCTION("""COMPUTED_VALUE"""),40.0)</f>
        <v>40</v>
      </c>
      <c r="L2182" s="226">
        <f>IFERROR(__xludf.DUMMYFUNCTION("""COMPUTED_VALUE"""),1663057.0)</f>
        <v>1663057</v>
      </c>
      <c r="M2182" s="227">
        <f>IFERROR(__xludf.DUMMYFUNCTION("""COMPUTED_VALUE"""),6.6522259E7)</f>
        <v>66522259</v>
      </c>
      <c r="N2182" s="222" t="str">
        <f>IFERROR(__xludf.DUMMYFUNCTION("""COMPUTED_VALUE"""),"PT. JARI TRIMINDO")</f>
        <v>PT. JARI TRIMINDO</v>
      </c>
      <c r="O2182" s="222" t="str">
        <f>IFERROR(__xludf.DUMMYFUNCTION("""COMPUTED_VALUE"""),"0. DROP")</f>
        <v>0. DROP</v>
      </c>
      <c r="P2182" s="222" t="str">
        <f>IFERROR(__xludf.DUMMYFUNCTION("""COMPUTED_VALUE"""),"0.2 Tidak Dapat Izin Warga/Kades/Lurah/Developer")</f>
        <v>0.2 Tidak Dapat Izin Warga/Kades/Lurah/Developer</v>
      </c>
      <c r="Q2182" s="222" t="str">
        <f>IFERROR(__xludf.DUMMYFUNCTION("""COMPUTED_VALUE"""),"09/03 Galian tidak di acc oleh RW dari arah ODC ke tiang pertama dekat ODC, karena merusak taman.
09/02 RW acc dengan syarat tetap izin ke masing masing RT. 23/01 Plan anwijzing 27 Jan, PIC mitra belum sampai. 21/01 proses penunjukan mitra 
")</f>
        <v>09/03 Galian tidak di acc oleh RW dari arah ODC ke tiang pertama dekat ODC, karena merusak taman.
09/02 RW acc dengan syarat tetap izin ke masing masing RT. 23/01 Plan anwijzing 27 Jan, PIC mitra belum sampai. 21/01 proses penunjukan mitra 
</v>
      </c>
      <c r="R2182" s="228"/>
      <c r="S2182" s="11" t="str">
        <f>IFERROR(__xludf.DUMMYFUNCTION("""COMPUTED_VALUE"""),"MAR")</f>
        <v>MAR</v>
      </c>
      <c r="T2182" s="11"/>
      <c r="U2182" s="11"/>
      <c r="V2182" s="229" t="str">
        <f>IFERROR(__xludf.DUMMYFUNCTION("""COMPUTED_VALUE"""),"RONALDO LEO INFANTRI")</f>
        <v>RONALDO LEO INFANTRI</v>
      </c>
      <c r="W2182" s="229" t="str">
        <f>IFERROR(__xludf.DUMMYFUNCTION("""COMPUTED_VALUE"""),"LEVITA INDRIYANI")</f>
        <v>LEVITA INDRIYANI</v>
      </c>
      <c r="X2182" s="229" t="str">
        <f>IFERROR(__xludf.DUMMYFUNCTION("""COMPUTED_VALUE"""),"BELUM GOLIVE")</f>
        <v>BELUM GOLIVE</v>
      </c>
      <c r="Y2182" s="229"/>
      <c r="Z2182" s="229" t="str">
        <f>IFERROR(__xludf.DUMMYFUNCTION("""COMPUTED_VALUE"""),"#N/A")</f>
        <v>#N/A</v>
      </c>
      <c r="AA2182" s="229"/>
      <c r="AB2182" s="229"/>
      <c r="AC2182" s="229"/>
      <c r="AD2182" s="232"/>
      <c r="AE2182" s="233"/>
      <c r="AF2182" s="54"/>
      <c r="AG2182" s="54"/>
      <c r="AH2182" s="54"/>
      <c r="AI2182" s="55" t="str">
        <f t="shared" si="210"/>
        <v/>
      </c>
      <c r="AW2182" s="234"/>
      <c r="BP2182" s="11"/>
      <c r="BQ2182" s="11"/>
      <c r="BV2182" s="158"/>
      <c r="BY2182" s="158"/>
      <c r="CB2182" s="158"/>
    </row>
    <row r="2183" ht="18.0" hidden="1" customHeight="1">
      <c r="A2183" s="222">
        <f>IFERROR(__xludf.DUMMYFUNCTION("""COMPUTED_VALUE"""),2026.0)</f>
        <v>2026</v>
      </c>
      <c r="B2183" s="221">
        <f>IFERROR(__xludf.DUMMYFUNCTION("""COMPUTED_VALUE"""),1.1108329E7)</f>
        <v>11108329</v>
      </c>
      <c r="C2183" s="222" t="str">
        <f>IFERROR(__xludf.DUMMYFUNCTION("""COMPUTED_VALUE"""),"ACH PT3 BIR BATEE RAYA_MD")</f>
        <v>ACH PT3 BIR BATEE RAYA_MD</v>
      </c>
      <c r="D2183" s="222" t="str">
        <f>IFERROR(__xludf.DUMMYFUNCTION("""COMPUTED_VALUE"""),"REGIONAL I")</f>
        <v>REGIONAL I</v>
      </c>
      <c r="E2183" s="222" t="str">
        <f>IFERROR(__xludf.DUMMYFUNCTION("""COMPUTED_VALUE"""),"ACEH")</f>
        <v>ACEH</v>
      </c>
      <c r="F2183" s="222" t="str">
        <f>IFERROR(__xludf.DUMMYFUNCTION("""COMPUTED_VALUE"""),"BIR")</f>
        <v>BIR</v>
      </c>
      <c r="G2183" s="222" t="str">
        <f>IFERROR(__xludf.DUMMYFUNCTION("""COMPUTED_VALUE"""),"SUMBAGUT")</f>
        <v>SUMBAGUT</v>
      </c>
      <c r="H2183" s="222" t="str">
        <f>IFERROR(__xludf.DUMMYFUNCTION("""COMPUTED_VALUE"""),"BANDA ACEH")</f>
        <v>BANDA ACEH</v>
      </c>
      <c r="I2183" s="222" t="str">
        <f>IFERROR(__xludf.DUMMYFUNCTION("""COMPUTED_VALUE"""),"Batch 2")</f>
        <v>Batch 2</v>
      </c>
      <c r="J2183" s="225">
        <f>IFERROR(__xludf.DUMMYFUNCTION("""COMPUTED_VALUE"""),11.0)</f>
        <v>11</v>
      </c>
      <c r="K2183" s="224">
        <f>IFERROR(__xludf.DUMMYFUNCTION("""COMPUTED_VALUE"""),88.0)</f>
        <v>88</v>
      </c>
      <c r="L2183" s="226">
        <f>IFERROR(__xludf.DUMMYFUNCTION("""COMPUTED_VALUE"""),1670105.0)</f>
        <v>1670105</v>
      </c>
      <c r="M2183" s="227">
        <f>IFERROR(__xludf.DUMMYFUNCTION("""COMPUTED_VALUE"""),1.46969237E8)</f>
        <v>146969237</v>
      </c>
      <c r="N2183" s="222" t="str">
        <f>IFERROR(__xludf.DUMMYFUNCTION("""COMPUTED_VALUE"""),"PT KANA PRISMA AKSES")</f>
        <v>PT KANA PRISMA AKSES</v>
      </c>
      <c r="O2183" s="222" t="str">
        <f>IFERROR(__xludf.DUMMYFUNCTION("""COMPUTED_VALUE"""),"7. GOLIVE")</f>
        <v>7. GOLIVE</v>
      </c>
      <c r="P2183" s="222" t="str">
        <f>IFERROR(__xludf.DUMMYFUNCTION("""COMPUTED_VALUE"""),"7.2 Golive Full / OA / DONE OTB")</f>
        <v>7.2 Golive Full / OA / DONE OTB</v>
      </c>
      <c r="Q2183" s="222" t="str">
        <f>IFERROR(__xludf.DUMMYFUNCTION("""COMPUTED_VALUE"""),"(02/03) Tanam Tiang (07/02) Persiapan DelMat (29/01) Done Aanwijzing (07/01) Persiapan")</f>
        <v>(02/03) Tanam Tiang (07/02) Persiapan DelMat (29/01) Done Aanwijzing (07/01) Persiapan</v>
      </c>
      <c r="R2183" s="228">
        <f>IFERROR(__xludf.DUMMYFUNCTION("""COMPUTED_VALUE"""),46089.0)</f>
        <v>46089</v>
      </c>
      <c r="S2183" s="11" t="str">
        <f>IFERROR(__xludf.DUMMYFUNCTION("""COMPUTED_VALUE"""),"MAR")</f>
        <v>MAR</v>
      </c>
      <c r="T2183" s="11"/>
      <c r="U2183" s="11"/>
      <c r="V2183" s="229"/>
      <c r="W2183" s="229" t="str">
        <f>IFERROR(__xludf.DUMMYFUNCTION("""COMPUTED_VALUE"""),"AZMI SYUKRAN")</f>
        <v>AZMI SYUKRAN</v>
      </c>
      <c r="X2183" s="229" t="str">
        <f>IFERROR(__xludf.DUMMYFUNCTION("""COMPUTED_VALUE"""),"GOLIVE")</f>
        <v>GOLIVE</v>
      </c>
      <c r="Y2183" s="229" t="str">
        <f>IFERROR(__xludf.DUMMYFUNCTION("""COMPUTED_VALUE"""),"DONE")</f>
        <v>DONE</v>
      </c>
      <c r="Z2183" s="229" t="str">
        <f>IFERROR(__xludf.DUMMYFUNCTION("""COMPUTED_VALUE"""),"#N/A")</f>
        <v>#N/A</v>
      </c>
      <c r="AA2183" s="229">
        <f>IFERROR(__xludf.DUMMYFUNCTION("""COMPUTED_VALUE"""),11.0)</f>
        <v>11</v>
      </c>
      <c r="AB2183" s="229"/>
      <c r="AC2183" s="229" t="str">
        <f>IFERROR(__xludf.DUMMYFUNCTION("""COMPUTED_VALUE"""),"9182555#9182560")</f>
        <v>9182555#9182560</v>
      </c>
      <c r="AD2183" s="232">
        <f>IFERROR(__xludf.DUMMYFUNCTION("""COMPUTED_VALUE"""),88.0)</f>
        <v>88</v>
      </c>
      <c r="AE2183" s="233">
        <f>IFERROR(__xludf.DUMMYFUNCTION("""COMPUTED_VALUE"""),46089.0)</f>
        <v>46089</v>
      </c>
      <c r="AF2183" s="54"/>
      <c r="AG2183" s="54"/>
      <c r="AH2183" s="54">
        <v>46089.0</v>
      </c>
      <c r="AI2183" s="55">
        <f t="shared" si="210"/>
        <v>0</v>
      </c>
      <c r="AW2183" s="234"/>
      <c r="BP2183" s="11"/>
      <c r="BQ2183" s="11"/>
      <c r="BV2183" s="158"/>
      <c r="BY2183" s="158"/>
      <c r="CB2183" s="158"/>
    </row>
    <row r="2184" ht="18.0" hidden="1" customHeight="1">
      <c r="A2184" s="222">
        <f>IFERROR(__xludf.DUMMYFUNCTION("""COMPUTED_VALUE"""),2026.0)</f>
        <v>2026</v>
      </c>
      <c r="B2184" s="221">
        <f>IFERROR(__xludf.DUMMYFUNCTION("""COMPUTED_VALUE"""),1.1364831E7)</f>
        <v>11364831</v>
      </c>
      <c r="C2184" s="222" t="str">
        <f>IFERROR(__xludf.DUMMYFUNCTION("""COMPUTED_VALUE"""),"JBI-PT3-JMB-FAE-DANAU SIPIN-LEGOK")</f>
        <v>JBI-PT3-JMB-FAE-DANAU SIPIN-LEGOK</v>
      </c>
      <c r="D2184" s="222" t="str">
        <f>IFERROR(__xludf.DUMMYFUNCTION("""COMPUTED_VALUE"""),"REGIONAL I")</f>
        <v>REGIONAL I</v>
      </c>
      <c r="E2184" s="222" t="str">
        <f>IFERROR(__xludf.DUMMYFUNCTION("""COMPUTED_VALUE"""),"JAMBI")</f>
        <v>JAMBI</v>
      </c>
      <c r="F2184" s="222" t="str">
        <f>IFERROR(__xludf.DUMMYFUNCTION("""COMPUTED_VALUE"""),"JMB")</f>
        <v>JMB</v>
      </c>
      <c r="G2184" s="222" t="str">
        <f>IFERROR(__xludf.DUMMYFUNCTION("""COMPUTED_VALUE"""),"SUMBAGSEL")</f>
        <v>SUMBAGSEL</v>
      </c>
      <c r="H2184" s="222" t="str">
        <f>IFERROR(__xludf.DUMMYFUNCTION("""COMPUTED_VALUE"""),"JAMBI")</f>
        <v>JAMBI</v>
      </c>
      <c r="I2184" s="222" t="str">
        <f>IFERROR(__xludf.DUMMYFUNCTION("""COMPUTED_VALUE"""),"Batch 2")</f>
        <v>Batch 2</v>
      </c>
      <c r="J2184" s="225">
        <f>IFERROR(__xludf.DUMMYFUNCTION("""COMPUTED_VALUE"""),13.0)</f>
        <v>13</v>
      </c>
      <c r="K2184" s="224">
        <f>IFERROR(__xludf.DUMMYFUNCTION("""COMPUTED_VALUE"""),104.0)</f>
        <v>104</v>
      </c>
      <c r="L2184" s="226">
        <f>IFERROR(__xludf.DUMMYFUNCTION("""COMPUTED_VALUE"""),1670688.0)</f>
        <v>1670688</v>
      </c>
      <c r="M2184" s="227">
        <f>IFERROR(__xludf.DUMMYFUNCTION("""COMPUTED_VALUE"""),1.73751543E8)</f>
        <v>173751543</v>
      </c>
      <c r="N2184" s="222" t="str">
        <f>IFERROR(__xludf.DUMMYFUNCTION("""COMPUTED_VALUE"""),"PT ANGSO DUO TELEKOMUNIKASI")</f>
        <v>PT ANGSO DUO TELEKOMUNIKASI</v>
      </c>
      <c r="O2184" s="222" t="str">
        <f>IFERROR(__xludf.DUMMYFUNCTION("""COMPUTED_VALUE"""),"0. DROP")</f>
        <v>0. DROP</v>
      </c>
      <c r="P2184" s="222" t="str">
        <f>IFERROR(__xludf.DUMMYFUNCTION("""COMPUTED_VALUE"""),"0.2 Tidak Dapat Izin Warga/Kades/Lurah/Developer")</f>
        <v>0.2 Tidak Dapat Izin Warga/Kades/Lurah/Developer</v>
      </c>
      <c r="Q2184" s="222" t="str">
        <f>IFERROR(__xludf.DUMMYFUNCTION("""COMPUTED_VALUE"""),"(12/1) BA Drop Sirkulir-COMECASE  LURAH SAMA LSM 30 JUTA  (06/01)order JPP batch-2 2026 ((14/10) Drop Nilai Comcase terlalu tinggi / 30 juta 09/10 Proses Matdel &amp; pembayaran comcase 10 jt dgn perangkat desa 06/10 Penyelesaian comcase ke perangkat desa || "&amp;"29/09 Material Sudah dilokasi (26/09) Matdel (19/09) Permintaan Comecase Lurah dan perangkat desa senilai 7.100.000 dan Kompensasi ke warga belum muncul nilainya (15/09) Perijinan, lurah babaensa dll(10/09) Lurah minta sosialisasi kebabinsa, kamtipmas dan"&amp;" Seluruh RT hari Kamis tgl 11 karena di lokasi Rawan Preman")</f>
        <v>(12/1) BA Drop Sirkulir-COMECASE  LURAH SAMA LSM 30 JUTA  (06/01)order JPP batch-2 2026 ((14/10) Drop Nilai Comcase terlalu tinggi / 30 juta 09/10 Proses Matdel &amp; pembayaran comcase 10 jt dgn perangkat desa 06/10 Penyelesaian comcase ke perangkat desa || 29/09 Material Sudah dilokasi (26/09) Matdel (19/09) Permintaan Comecase Lurah dan perangkat desa senilai 7.100.000 dan Kompensasi ke warga belum muncul nilainya (15/09) Perijinan, lurah babaensa dll(10/09) Lurah minta sosialisasi kebabinsa, kamtipmas dan Seluruh RT hari Kamis tgl 11 karena di lokasi Rawan Preman</v>
      </c>
      <c r="R2184" s="228"/>
      <c r="S2184" s="11"/>
      <c r="T2184" s="11"/>
      <c r="U2184" s="11"/>
      <c r="V2184" s="229"/>
      <c r="W2184" s="229"/>
      <c r="X2184" s="229" t="str">
        <f>IFERROR(__xludf.DUMMYFUNCTION("""COMPUTED_VALUE"""),"BELUM GOLIVE")</f>
        <v>BELUM GOLIVE</v>
      </c>
      <c r="Y2184" s="229"/>
      <c r="Z2184" s="229" t="str">
        <f>IFERROR(__xludf.DUMMYFUNCTION("""COMPUTED_VALUE"""),"#N/A")</f>
        <v>#N/A</v>
      </c>
      <c r="AA2184" s="229"/>
      <c r="AB2184" s="229"/>
      <c r="AC2184" s="229"/>
      <c r="AD2184" s="232"/>
      <c r="AE2184" s="233"/>
      <c r="AF2184" s="54" t="str">
        <f>IFERROR(__xludf.DUMMYFUNCTION("""COMPUTED_VALUE"""),"Draft BA DROP")</f>
        <v>Draft BA DROP</v>
      </c>
      <c r="AG2184" s="54"/>
      <c r="AH2184" s="54"/>
      <c r="AI2184" s="55" t="str">
        <f t="shared" si="210"/>
        <v/>
      </c>
      <c r="AW2184" s="234"/>
      <c r="BP2184" s="11"/>
      <c r="BQ2184" s="11"/>
      <c r="BV2184" s="158"/>
      <c r="BY2184" s="158"/>
      <c r="CB2184" s="158"/>
    </row>
    <row r="2185" ht="18.0" customHeight="1">
      <c r="A2185" s="222">
        <f>IFERROR(__xludf.DUMMYFUNCTION("""COMPUTED_VALUE"""),2026.0)</f>
        <v>2026</v>
      </c>
      <c r="B2185" s="221">
        <f>IFERROR(__xludf.DUMMYFUNCTION("""COMPUTED_VALUE"""),1.1117009E7)</f>
        <v>11117009</v>
      </c>
      <c r="C2185" s="222" t="str">
        <f>IFERROR(__xludf.DUMMYFUNCTION("""COMPUTED_VALUE"""),"SMB P1I1 Jorong Koto Tanjung SJJ")</f>
        <v>SMB P1I1 Jorong Koto Tanjung SJJ</v>
      </c>
      <c r="D2185" s="222" t="str">
        <f>IFERROR(__xludf.DUMMYFUNCTION("""COMPUTED_VALUE"""),"REGIONAL I")</f>
        <v>REGIONAL I</v>
      </c>
      <c r="E2185" s="222" t="str">
        <f>IFERROR(__xludf.DUMMYFUNCTION("""COMPUTED_VALUE"""),"SUMBAR")</f>
        <v>SUMBAR</v>
      </c>
      <c r="F2185" s="222" t="str">
        <f>IFERROR(__xludf.DUMMYFUNCTION("""COMPUTED_VALUE"""),"SJJ")</f>
        <v>SJJ</v>
      </c>
      <c r="G2185" s="222" t="str">
        <f>IFERROR(__xludf.DUMMYFUNCTION("""COMPUTED_VALUE"""),"SUMBAGTENG")</f>
        <v>SUMBAGTENG</v>
      </c>
      <c r="H2185" s="222" t="str">
        <f>IFERROR(__xludf.DUMMYFUNCTION("""COMPUTED_VALUE"""),"PADANG")</f>
        <v>PADANG</v>
      </c>
      <c r="I2185" s="222" t="str">
        <f>IFERROR(__xludf.DUMMYFUNCTION("""COMPUTED_VALUE"""),"Batch 2")</f>
        <v>Batch 2</v>
      </c>
      <c r="J2185" s="225">
        <f>IFERROR(__xludf.DUMMYFUNCTION("""COMPUTED_VALUE"""),2.0)</f>
        <v>2</v>
      </c>
      <c r="K2185" s="224">
        <f>IFERROR(__xludf.DUMMYFUNCTION("""COMPUTED_VALUE"""),16.0)</f>
        <v>16</v>
      </c>
      <c r="L2185" s="226">
        <f>IFERROR(__xludf.DUMMYFUNCTION("""COMPUTED_VALUE"""),1673369.0)</f>
        <v>1673369</v>
      </c>
      <c r="M2185" s="227">
        <f>IFERROR(__xludf.DUMMYFUNCTION("""COMPUTED_VALUE"""),2.6773894E7)</f>
        <v>26773894</v>
      </c>
      <c r="N2185" s="222" t="str">
        <f>IFERROR(__xludf.DUMMYFUNCTION("""COMPUTED_VALUE"""),"PT TANJUNG PUTRA PRIMA")</f>
        <v>PT TANJUNG PUTRA PRIMA</v>
      </c>
      <c r="O2185" s="222" t="str">
        <f>IFERROR(__xludf.DUMMYFUNCTION("""COMPUTED_VALUE"""),"2. DONE AANWIJZING")</f>
        <v>2. DONE AANWIJZING</v>
      </c>
      <c r="P2185" s="222" t="str">
        <f>IFERROR(__xludf.DUMMYFUNCTION("""COMPUTED_VALUE"""),"2.9 Kendala - Distribusi Penuh / Rusak")</f>
        <v>2.9 Kendala - Distribusi Penuh / Rusak</v>
      </c>
      <c r="Q2185" s="222" t="str">
        <f>IFERROR(__xludf.DUMMYFUNCTION("""COMPUTED_VALUE"""),"(07/01) dist 3 SJJ-FC FULL")</f>
        <v>(07/01) dist 3 SJJ-FC FULL</v>
      </c>
      <c r="R2185" s="228"/>
      <c r="S2185" s="11"/>
      <c r="T2185" s="11"/>
      <c r="U2185" s="11"/>
      <c r="V2185" s="229"/>
      <c r="W2185" s="229"/>
      <c r="X2185" s="229" t="str">
        <f>IFERROR(__xludf.DUMMYFUNCTION("""COMPUTED_VALUE"""),"BELUM GOLIVE")</f>
        <v>BELUM GOLIVE</v>
      </c>
      <c r="Y2185" s="229"/>
      <c r="Z2185" s="229" t="str">
        <f>IFERROR(__xludf.DUMMYFUNCTION("""COMPUTED_VALUE"""),"#N/A")</f>
        <v>#N/A</v>
      </c>
      <c r="AA2185" s="229"/>
      <c r="AB2185" s="229"/>
      <c r="AC2185" s="229"/>
      <c r="AD2185" s="232"/>
      <c r="AE2185" s="233"/>
      <c r="AF2185" s="54"/>
      <c r="AG2185" s="54"/>
      <c r="AH2185" s="54"/>
      <c r="AI2185" s="55" t="str">
        <f t="shared" si="210"/>
        <v/>
      </c>
      <c r="AW2185" s="234"/>
      <c r="BP2185" s="11"/>
      <c r="BQ2185" s="11"/>
      <c r="BV2185" s="158"/>
      <c r="BY2185" s="158"/>
      <c r="CB2185" s="158"/>
    </row>
    <row r="2186" ht="18.0" customHeight="1">
      <c r="A2186" s="222">
        <f>IFERROR(__xludf.DUMMYFUNCTION("""COMPUTED_VALUE"""),2026.0)</f>
        <v>2026</v>
      </c>
      <c r="B2186" s="221">
        <f>IFERROR(__xludf.DUMMYFUNCTION("""COMPUTED_VALUE"""),1.1527007E7)</f>
        <v>11527007</v>
      </c>
      <c r="C2186" s="222" t="str">
        <f>IFERROR(__xludf.DUMMYFUNCTION("""COMPUTED_VALUE"""),"RKP TSEL PT3 LBJ-FB BALOI MAS INDAH")</f>
        <v>RKP TSEL PT3 LBJ-FB BALOI MAS INDAH</v>
      </c>
      <c r="D2186" s="222" t="str">
        <f>IFERROR(__xludf.DUMMYFUNCTION("""COMPUTED_VALUE"""),"REGIONAL I")</f>
        <v>REGIONAL I</v>
      </c>
      <c r="E2186" s="222" t="str">
        <f>IFERROR(__xludf.DUMMYFUNCTION("""COMPUTED_VALUE"""),"RIKEP")</f>
        <v>RIKEP</v>
      </c>
      <c r="F2186" s="222" t="str">
        <f>IFERROR(__xludf.DUMMYFUNCTION("""COMPUTED_VALUE"""),"LBJ")</f>
        <v>LBJ</v>
      </c>
      <c r="G2186" s="222" t="str">
        <f>IFERROR(__xludf.DUMMYFUNCTION("""COMPUTED_VALUE"""),"SUMBAGTENG")</f>
        <v>SUMBAGTENG</v>
      </c>
      <c r="H2186" s="222" t="str">
        <f>IFERROR(__xludf.DUMMYFUNCTION("""COMPUTED_VALUE"""),"BATAM")</f>
        <v>BATAM</v>
      </c>
      <c r="I2186" s="222" t="str">
        <f>IFERROR(__xludf.DUMMYFUNCTION("""COMPUTED_VALUE"""),"Batch 2")</f>
        <v>Batch 2</v>
      </c>
      <c r="J2186" s="225">
        <f>IFERROR(__xludf.DUMMYFUNCTION("""COMPUTED_VALUE"""),1.0)</f>
        <v>1</v>
      </c>
      <c r="K2186" s="224">
        <f>IFERROR(__xludf.DUMMYFUNCTION("""COMPUTED_VALUE"""),8.0)</f>
        <v>8</v>
      </c>
      <c r="L2186" s="226">
        <f>IFERROR(__xludf.DUMMYFUNCTION("""COMPUTED_VALUE"""),1674755.0)</f>
        <v>1674755</v>
      </c>
      <c r="M2186" s="227">
        <f>IFERROR(__xludf.DUMMYFUNCTION("""COMPUTED_VALUE"""),1.3398034E7)</f>
        <v>13398034</v>
      </c>
      <c r="N2186" s="222" t="str">
        <f>IFERROR(__xludf.DUMMYFUNCTION("""COMPUTED_VALUE"""),"PT. JARI TRIMINDO")</f>
        <v>PT. JARI TRIMINDO</v>
      </c>
      <c r="O2186" s="222" t="str">
        <f>IFERROR(__xludf.DUMMYFUNCTION("""COMPUTED_VALUE"""),"0. DROP")</f>
        <v>0. DROP</v>
      </c>
      <c r="P2186" s="222" t="str">
        <f>IFERROR(__xludf.DUMMYFUNCTION("""COMPUTED_VALUE"""),"0.2 Tidak Dapat Izin Warga/Kades/Lurah/Developer")</f>
        <v>0.2 Tidak Dapat Izin Warga/Kades/Lurah/Developer</v>
      </c>
      <c r="Q2186" s="222" t="str">
        <f>IFERROR(__xludf.DUMMYFUNCTION("""COMPUTED_VALUE"""),"21/01 Drop tidak di berikan izin RT RW")</f>
        <v>21/01 Drop tidak di berikan izin RT RW</v>
      </c>
      <c r="R2186" s="228"/>
      <c r="S2186" s="11"/>
      <c r="T2186" s="11"/>
      <c r="U2186" s="11"/>
      <c r="V2186" s="229" t="str">
        <f>IFERROR(__xludf.DUMMYFUNCTION("""COMPUTED_VALUE"""),"RONALDO LEO INFANTRI")</f>
        <v>RONALDO LEO INFANTRI</v>
      </c>
      <c r="W2186" s="229" t="str">
        <f>IFERROR(__xludf.DUMMYFUNCTION("""COMPUTED_VALUE"""),"LEVITA INDRIYANI")</f>
        <v>LEVITA INDRIYANI</v>
      </c>
      <c r="X2186" s="229" t="str">
        <f>IFERROR(__xludf.DUMMYFUNCTION("""COMPUTED_VALUE"""),"BELUM GOLIVE")</f>
        <v>BELUM GOLIVE</v>
      </c>
      <c r="Y2186" s="229"/>
      <c r="Z2186" s="229" t="str">
        <f>IFERROR(__xludf.DUMMYFUNCTION("""COMPUTED_VALUE"""),"#N/A")</f>
        <v>#N/A</v>
      </c>
      <c r="AA2186" s="229"/>
      <c r="AB2186" s="229"/>
      <c r="AC2186" s="229"/>
      <c r="AD2186" s="232"/>
      <c r="AE2186" s="233"/>
      <c r="AF2186" s="54" t="str">
        <f>IFERROR(__xludf.DUMMYFUNCTION("""COMPUTED_VALUE"""),"Draft BA DROP")</f>
        <v>Draft BA DROP</v>
      </c>
      <c r="AG2186" s="54"/>
      <c r="AH2186" s="54"/>
      <c r="AI2186" s="55" t="str">
        <f t="shared" si="210"/>
        <v/>
      </c>
      <c r="AW2186" s="234"/>
      <c r="BP2186" s="11"/>
      <c r="BQ2186" s="11"/>
      <c r="BV2186" s="158"/>
      <c r="BY2186" s="158"/>
      <c r="CB2186" s="158"/>
    </row>
    <row r="2187" ht="18.0" customHeight="1">
      <c r="A2187" s="222">
        <f>IFERROR(__xludf.DUMMYFUNCTION("""COMPUTED_VALUE"""),2026.0)</f>
        <v>2026</v>
      </c>
      <c r="B2187" s="221">
        <f>IFERROR(__xludf.DUMMYFUNCTION("""COMPUTED_VALUE"""),1.0924093E7)</f>
        <v>10924093</v>
      </c>
      <c r="C2187" s="222" t="str">
        <f>IFERROR(__xludf.DUMMYFUNCTION("""COMPUTED_VALUE"""),"SMB P7I2 Belakang Puskesmas SUR")</f>
        <v>SMB P7I2 Belakang Puskesmas SUR</v>
      </c>
      <c r="D2187" s="222" t="str">
        <f>IFERROR(__xludf.DUMMYFUNCTION("""COMPUTED_VALUE"""),"REGIONAL I")</f>
        <v>REGIONAL I</v>
      </c>
      <c r="E2187" s="222" t="str">
        <f>IFERROR(__xludf.DUMMYFUNCTION("""COMPUTED_VALUE"""),"SUMBAR")</f>
        <v>SUMBAR</v>
      </c>
      <c r="F2187" s="222" t="str">
        <f>IFERROR(__xludf.DUMMYFUNCTION("""COMPUTED_VALUE"""),"SUR")</f>
        <v>SUR</v>
      </c>
      <c r="G2187" s="222" t="str">
        <f>IFERROR(__xludf.DUMMYFUNCTION("""COMPUTED_VALUE"""),"SUMBAGTENG")</f>
        <v>SUMBAGTENG</v>
      </c>
      <c r="H2187" s="222" t="str">
        <f>IFERROR(__xludf.DUMMYFUNCTION("""COMPUTED_VALUE"""),"PADANG")</f>
        <v>PADANG</v>
      </c>
      <c r="I2187" s="222" t="str">
        <f>IFERROR(__xludf.DUMMYFUNCTION("""COMPUTED_VALUE"""),"Batch 2")</f>
        <v>Batch 2</v>
      </c>
      <c r="J2187" s="225">
        <f>IFERROR(__xludf.DUMMYFUNCTION("""COMPUTED_VALUE"""),3.0)</f>
        <v>3</v>
      </c>
      <c r="K2187" s="224">
        <f>IFERROR(__xludf.DUMMYFUNCTION("""COMPUTED_VALUE"""),24.0)</f>
        <v>24</v>
      </c>
      <c r="L2187" s="226">
        <f>IFERROR(__xludf.DUMMYFUNCTION("""COMPUTED_VALUE"""),1676047.0)</f>
        <v>1676047</v>
      </c>
      <c r="M2187" s="227">
        <f>IFERROR(__xludf.DUMMYFUNCTION("""COMPUTED_VALUE"""),4.022512E7)</f>
        <v>40225120</v>
      </c>
      <c r="N2187" s="222" t="str">
        <f>IFERROR(__xludf.DUMMYFUNCTION("""COMPUTED_VALUE"""),"PT TIGA AKSES MANDIRI")</f>
        <v>PT TIGA AKSES MANDIRI</v>
      </c>
      <c r="O2187" s="222" t="str">
        <f>IFERROR(__xludf.DUMMYFUNCTION("""COMPUTED_VALUE"""),"8. UJI TERIMA")</f>
        <v>8. UJI TERIMA</v>
      </c>
      <c r="P2187" s="222" t="str">
        <f>IFERROR(__xludf.DUMMYFUNCTION("""COMPUTED_VALUE"""),"8.1 Proses UT")</f>
        <v>8.1 Proses UT</v>
      </c>
      <c r="Q2187" s="222" t="str">
        <f>IFERROR(__xludf.DUMMYFUNCTION("""COMPUTED_VALUE"""),"(29/01) proses delivery material  (21/01) proses CReate PID (07/01) Persiapan")</f>
        <v>(29/01) proses delivery material  (21/01) proses CReate PID (07/01) Persiapan</v>
      </c>
      <c r="R2187" s="228">
        <f>IFERROR(__xludf.DUMMYFUNCTION("""COMPUTED_VALUE"""),46080.0)</f>
        <v>46080</v>
      </c>
      <c r="S2187" s="11"/>
      <c r="T2187" s="11"/>
      <c r="U2187" s="11" t="str">
        <f>IFERROR(__xludf.DUMMYFUNCTION("""COMPUTED_VALUE"""),"TIF-2113/2026 26KT03R158-0016")</f>
        <v>TIF-2113/2026 26KT03R158-0016</v>
      </c>
      <c r="V2187" s="229" t="str">
        <f>IFERROR(__xludf.DUMMYFUNCTION("""COMPUTED_VALUE"""),"YULIO NOVIKO")</f>
        <v>YULIO NOVIKO</v>
      </c>
      <c r="W2187" s="229" t="str">
        <f>IFERROR(__xludf.DUMMYFUNCTION("""COMPUTED_VALUE"""),"MELKO NARWADI")</f>
        <v>MELKO NARWADI</v>
      </c>
      <c r="X2187" s="229" t="str">
        <f>IFERROR(__xludf.DUMMYFUNCTION("""COMPUTED_VALUE"""),"GOLIVE")</f>
        <v>GOLIVE</v>
      </c>
      <c r="Y2187" s="229" t="str">
        <f>IFERROR(__xludf.DUMMYFUNCTION("""COMPUTED_VALUE"""),"DONE")</f>
        <v>DONE</v>
      </c>
      <c r="Z2187" s="229" t="str">
        <f>IFERROR(__xludf.DUMMYFUNCTION("""COMPUTED_VALUE"""),"#N/A")</f>
        <v>#N/A</v>
      </c>
      <c r="AA2187" s="229">
        <f>IFERROR(__xludf.DUMMYFUNCTION("""COMPUTED_VALUE"""),6.0)</f>
        <v>6</v>
      </c>
      <c r="AB2187" s="229"/>
      <c r="AC2187" s="229" t="str">
        <f>IFERROR(__xludf.DUMMYFUNCTION("""COMPUTED_VALUE"""),"9080861#9080866")</f>
        <v>9080861#9080866</v>
      </c>
      <c r="AD2187" s="232">
        <f>IFERROR(__xludf.DUMMYFUNCTION("""COMPUTED_VALUE"""),48.0)</f>
        <v>48</v>
      </c>
      <c r="AE2187" s="233">
        <f>IFERROR(__xludf.DUMMYFUNCTION("""COMPUTED_VALUE"""),46061.0)</f>
        <v>46061</v>
      </c>
      <c r="AF2187" s="54"/>
      <c r="AG2187" s="54"/>
      <c r="AH2187" s="54">
        <v>46080.0</v>
      </c>
      <c r="AI2187" s="55">
        <f t="shared" si="210"/>
        <v>19</v>
      </c>
      <c r="AW2187" s="234"/>
      <c r="BP2187" s="11"/>
      <c r="BQ2187" s="11"/>
      <c r="BV2187" s="158"/>
      <c r="BY2187" s="158"/>
      <c r="CB2187" s="158"/>
    </row>
    <row r="2188" ht="18.0" hidden="1" customHeight="1">
      <c r="A2188" s="222">
        <f>IFERROR(__xludf.DUMMYFUNCTION("""COMPUTED_VALUE"""),2026.0)</f>
        <v>2026</v>
      </c>
      <c r="B2188" s="221">
        <f>IFERROR(__xludf.DUMMYFUNCTION("""COMPUTED_VALUE"""),1.1409324E7)</f>
        <v>11409324</v>
      </c>
      <c r="C2188" s="222" t="str">
        <f>IFERROR(__xludf.DUMMYFUNCTION("""COMPUTED_VALUE"""),"BNK-PT3-KEPAHIANG_17219")</f>
        <v>BNK-PT3-KEPAHIANG_17219</v>
      </c>
      <c r="D2188" s="222" t="str">
        <f>IFERROR(__xludf.DUMMYFUNCTION("""COMPUTED_VALUE"""),"REGIONAL I")</f>
        <v>REGIONAL I</v>
      </c>
      <c r="E2188" s="222" t="str">
        <f>IFERROR(__xludf.DUMMYFUNCTION("""COMPUTED_VALUE"""),"BENGKULU")</f>
        <v>BENGKULU</v>
      </c>
      <c r="F2188" s="222" t="str">
        <f>IFERROR(__xludf.DUMMYFUNCTION("""COMPUTED_VALUE"""),"KPH")</f>
        <v>KPH</v>
      </c>
      <c r="G2188" s="222" t="str">
        <f>IFERROR(__xludf.DUMMYFUNCTION("""COMPUTED_VALUE"""),"SUMBAGSEL")</f>
        <v>SUMBAGSEL</v>
      </c>
      <c r="H2188" s="222" t="str">
        <f>IFERROR(__xludf.DUMMYFUNCTION("""COMPUTED_VALUE"""),"BENGKULU")</f>
        <v>BENGKULU</v>
      </c>
      <c r="I2188" s="222" t="str">
        <f>IFERROR(__xludf.DUMMYFUNCTION("""COMPUTED_VALUE"""),"Batch 2")</f>
        <v>Batch 2</v>
      </c>
      <c r="J2188" s="225">
        <f>IFERROR(__xludf.DUMMYFUNCTION("""COMPUTED_VALUE"""),3.0)</f>
        <v>3</v>
      </c>
      <c r="K2188" s="224">
        <f>IFERROR(__xludf.DUMMYFUNCTION("""COMPUTED_VALUE"""),24.0)</f>
        <v>24</v>
      </c>
      <c r="L2188" s="226">
        <f>IFERROR(__xludf.DUMMYFUNCTION("""COMPUTED_VALUE"""),1678091.0)</f>
        <v>1678091</v>
      </c>
      <c r="M2188" s="227">
        <f>IFERROR(__xludf.DUMMYFUNCTION("""COMPUTED_VALUE"""),4.0274163E7)</f>
        <v>40274163</v>
      </c>
      <c r="N2188" s="222" t="str">
        <f>IFERROR(__xludf.DUMMYFUNCTION("""COMPUTED_VALUE"""),"PT SARANA MITRA PERSADA")</f>
        <v>PT SARANA MITRA PERSADA</v>
      </c>
      <c r="O2188" s="222" t="str">
        <f>IFERROR(__xludf.DUMMYFUNCTION("""COMPUTED_VALUE"""),"0. DROP")</f>
        <v>0. DROP</v>
      </c>
      <c r="P2188" s="222" t="str">
        <f>IFERROR(__xludf.DUMMYFUNCTION("""COMPUTED_VALUE"""),"0.2 Tidak Dapat Izin Warga/Kades/Lurah/Developer")</f>
        <v>0.2 Tidak Dapat Izin Warga/Kades/Lurah/Developer</v>
      </c>
      <c r="Q2188" s="222" t="str">
        <f>IFERROR(__xludf.DUMMYFUNCTION("""COMPUTED_VALUE"""),"22/2 tidak mendapat IZIN  12/01 : done aanwizing th 2025, (07/01) Persiapan")</f>
        <v>22/2 tidak mendapat IZIN  12/01 : done aanwizing th 2025, (07/01) Persiapan</v>
      </c>
      <c r="R2188" s="228"/>
      <c r="S2188" s="11"/>
      <c r="T2188" s="11"/>
      <c r="U2188" s="11"/>
      <c r="V2188" s="229"/>
      <c r="W2188" s="229"/>
      <c r="X2188" s="229" t="str">
        <f>IFERROR(__xludf.DUMMYFUNCTION("""COMPUTED_VALUE"""),"BELUM GOLIVE")</f>
        <v>BELUM GOLIVE</v>
      </c>
      <c r="Y2188" s="229"/>
      <c r="Z2188" s="229" t="str">
        <f>IFERROR(__xludf.DUMMYFUNCTION("""COMPUTED_VALUE"""),"#N/A")</f>
        <v>#N/A</v>
      </c>
      <c r="AA2188" s="229"/>
      <c r="AB2188" s="229"/>
      <c r="AC2188" s="229"/>
      <c r="AD2188" s="232"/>
      <c r="AE2188" s="233"/>
      <c r="AF2188" s="54" t="str">
        <f>IFERROR(__xludf.DUMMYFUNCTION("""COMPUTED_VALUE"""),"Draft BA DROP")</f>
        <v>Draft BA DROP</v>
      </c>
      <c r="AG2188" s="54"/>
      <c r="AH2188" s="54"/>
      <c r="AI2188" s="55" t="str">
        <f t="shared" si="210"/>
        <v/>
      </c>
      <c r="AW2188" s="234"/>
      <c r="BP2188" s="11"/>
      <c r="BQ2188" s="11"/>
      <c r="BV2188" s="158"/>
      <c r="BY2188" s="158"/>
      <c r="CB2188" s="158"/>
    </row>
    <row r="2189" ht="18.0" hidden="1" customHeight="1">
      <c r="A2189" s="222">
        <f>IFERROR(__xludf.DUMMYFUNCTION("""COMPUTED_VALUE"""),2026.0)</f>
        <v>2026</v>
      </c>
      <c r="B2189" s="221">
        <f>IFERROR(__xludf.DUMMYFUNCTION("""COMPUTED_VALUE"""),1.1394543E7)</f>
        <v>11394543</v>
      </c>
      <c r="C2189" s="222" t="str">
        <f>IFERROR(__xludf.DUMMYFUNCTION("""COMPUTED_VALUE"""),"SMS P2I2 PT3 PLJ FBH D03 CLUSTER CRYSTAL")</f>
        <v>SMS P2I2 PT3 PLJ FBH D03 CLUSTER CRYSTAL</v>
      </c>
      <c r="D2189" s="222" t="str">
        <f>IFERROR(__xludf.DUMMYFUNCTION("""COMPUTED_VALUE"""),"REGIONAL I")</f>
        <v>REGIONAL I</v>
      </c>
      <c r="E2189" s="222" t="str">
        <f>IFERROR(__xludf.DUMMYFUNCTION("""COMPUTED_VALUE"""),"SUMSEL")</f>
        <v>SUMSEL</v>
      </c>
      <c r="F2189" s="222" t="str">
        <f>IFERROR(__xludf.DUMMYFUNCTION("""COMPUTED_VALUE"""),"PLJ")</f>
        <v>PLJ</v>
      </c>
      <c r="G2189" s="222" t="str">
        <f>IFERROR(__xludf.DUMMYFUNCTION("""COMPUTED_VALUE"""),"SUMBAGSEL")</f>
        <v>SUMBAGSEL</v>
      </c>
      <c r="H2189" s="222" t="str">
        <f>IFERROR(__xludf.DUMMYFUNCTION("""COMPUTED_VALUE"""),"PALEMBANG")</f>
        <v>PALEMBANG</v>
      </c>
      <c r="I2189" s="222" t="str">
        <f>IFERROR(__xludf.DUMMYFUNCTION("""COMPUTED_VALUE"""),"Batch 2")</f>
        <v>Batch 2</v>
      </c>
      <c r="J2189" s="225">
        <f>IFERROR(__xludf.DUMMYFUNCTION("""COMPUTED_VALUE"""),9.0)</f>
        <v>9</v>
      </c>
      <c r="K2189" s="224">
        <f>IFERROR(__xludf.DUMMYFUNCTION("""COMPUTED_VALUE"""),72.0)</f>
        <v>72</v>
      </c>
      <c r="L2189" s="226">
        <f>IFERROR(__xludf.DUMMYFUNCTION("""COMPUTED_VALUE"""),1679928.0)</f>
        <v>1679928</v>
      </c>
      <c r="M2189" s="227">
        <f>IFERROR(__xludf.DUMMYFUNCTION("""COMPUTED_VALUE"""),1.20954754E8)</f>
        <v>120954754</v>
      </c>
      <c r="N2189" s="222" t="str">
        <f>IFERROR(__xludf.DUMMYFUNCTION("""COMPUTED_VALUE"""),"PT ACERO CETHA METALINDO")</f>
        <v>PT ACERO CETHA METALINDO</v>
      </c>
      <c r="O2189" s="222" t="str">
        <f>IFERROR(__xludf.DUMMYFUNCTION("""COMPUTED_VALUE"""),"0. DROP")</f>
        <v>0. DROP</v>
      </c>
      <c r="P2189" s="222" t="str">
        <f>IFERROR(__xludf.DUMMYFUNCTION("""COMPUTED_VALUE"""),"0.4 CPP Tinggi Acc ED TIF")</f>
        <v>0.4 CPP Tinggi Acc ED TIF</v>
      </c>
      <c r="Q2189" s="222" t="str">
        <f>IFERROR(__xludf.DUMMYFUNCTION("""COMPUTED_VALUE"""),"31/03 DROP - CPP NAIK, 30/03 MENUNGGU TTD DRM MITRA, 27/03 PROSES DRM, 26/3 PERIZINAN KE DEVELOPER BERSAMA TIM SALES, 24/03 MENUNGGU PR PO, 21/03 MENUNGGU PR PO, 17/03 DONE DRM, OGP PR PO, 16/03 PERIZINAN OK, LANJUT DRM, 03/03 HASIL REVIEW TIF LANJUT, 23/"&amp;"02 DROP, BOQ NAIK DARI PLAN SEBESAR 7% - SDH ADA BA DROP, 06/02 HASIL REVIEW TSEL PROPOSE DROP - REDESIGN, 03/02 DONE EVAL, HOLD KARENA ADA PENGURANGAN ODP DRI PLAN 9 MENJADI 4 ODP YG MENGAKIBATKAN CPP NAIK 03/02 DONE EVAL, HOLD KARENA ADA PENGURANGAN ODP"&amp;" DRI PLAN 9 MENJADI 4 ODP YG MENGAKIBATKAN CPP NAIK, 30/01 MENUNGGU HASIL EVAL, (26/1) tim TIF belum bisa EVAL hasil anwijzing karena lagi diluar kota , estimasi 29 jan baru kembali ke Palembang (25/01 )DONE AANWIDJZING, (21/01) HI aanwijzing ke lokasi,
 "&amp;"(15/1) ORDER DITERIMA MITRA 14/1, Plan Aanwijdzing 19 Jan (06/01)order JPP batch-2 2026 ((14/11)HOLD- tidak masuk target Optimis 2025 (13/11 masih menunggu eval, 12/11 eval tif, 11/11 eval tif (08/11) eval tif , blm optimis nov 2025 (5/11) baru selesai aa"&amp;"nwidzjing 3/11 mitra aia ditunjuk sbagai mitra lop ini 23/10 penunjukan mitra
 15/10 proses penunjukan mitra
 (08/10) penunjukan mitra")</f>
        <v>31/03 DROP - CPP NAIK, 30/03 MENUNGGU TTD DRM MITRA, 27/03 PROSES DRM, 26/3 PERIZINAN KE DEVELOPER BERSAMA TIM SALES, 24/03 MENUNGGU PR PO, 21/03 MENUNGGU PR PO, 17/03 DONE DRM, OGP PR PO, 16/03 PERIZINAN OK, LANJUT DRM, 03/03 HASIL REVIEW TIF LANJUT, 23/02 DROP, BOQ NAIK DARI PLAN SEBESAR 7% - SDH ADA BA DROP, 06/02 HASIL REVIEW TSEL PROPOSE DROP - REDESIGN, 03/02 DONE EVAL, HOLD KARENA ADA PENGURANGAN ODP DRI PLAN 9 MENJADI 4 ODP YG MENGAKIBATKAN CPP NAIK 03/02 DONE EVAL, HOLD KARENA ADA PENGURANGAN ODP DRI PLAN 9 MENJADI 4 ODP YG MENGAKIBATKAN CPP NAIK, 30/01 MENUNGGU HASIL EVAL, (26/1) tim TIF belum bisa EVAL hasil anwijzing karena lagi diluar kota , estimasi 29 jan baru kembali ke Palembang (25/01 )DONE AANWIDJZING, (21/01) HI aanwijzing ke lokasi,
 (15/1) ORDER DITERIMA MITRA 14/1, Plan Aanwijdzing 19 Jan (06/01)order JPP batch-2 2026 ((14/11)HOLD- tidak masuk target Optimis 2025 (13/11 masih menunggu eval, 12/11 eval tif, 11/11 eval tif (08/11) eval tif , blm optimis nov 2025 (5/11) baru selesai aanwidzjing 3/11 mitra aia ditunjuk sbagai mitra lop ini 23/10 penunjukan mitra
 15/10 proses penunjukan mitra
 (08/10) penunjukan mitra</v>
      </c>
      <c r="R2189" s="228"/>
      <c r="S2189" s="11"/>
      <c r="T2189" s="11" t="str">
        <f>IFERROR(__xludf.DUMMYFUNCTION("""COMPUTED_VALUE"""),"P1")</f>
        <v>P1</v>
      </c>
      <c r="U2189" s="11"/>
      <c r="V2189" s="229" t="str">
        <f>IFERROR(__xludf.DUMMYFUNCTION("""COMPUTED_VALUE"""),"PRIGUS")</f>
        <v>PRIGUS</v>
      </c>
      <c r="W2189" s="229"/>
      <c r="X2189" s="229" t="str">
        <f>IFERROR(__xludf.DUMMYFUNCTION("""COMPUTED_VALUE"""),"BELUM GOLIVE")</f>
        <v>BELUM GOLIVE</v>
      </c>
      <c r="Y2189" s="229"/>
      <c r="Z2189" s="229" t="str">
        <f>IFERROR(__xludf.DUMMYFUNCTION("""COMPUTED_VALUE"""),"#N/A")</f>
        <v>#N/A</v>
      </c>
      <c r="AA2189" s="229"/>
      <c r="AB2189" s="229"/>
      <c r="AC2189" s="229"/>
      <c r="AD2189" s="232"/>
      <c r="AE2189" s="233"/>
      <c r="AF2189" s="54"/>
      <c r="AG2189" s="54"/>
      <c r="AH2189" s="54"/>
      <c r="AI2189" s="55" t="str">
        <f t="shared" si="210"/>
        <v/>
      </c>
      <c r="AW2189" s="234"/>
      <c r="BP2189" s="11"/>
      <c r="BQ2189" s="11"/>
      <c r="BV2189" s="158"/>
      <c r="BY2189" s="158"/>
      <c r="CB2189" s="158"/>
    </row>
    <row r="2190" ht="18.0" hidden="1" customHeight="1">
      <c r="A2190" s="222">
        <f>IFERROR(__xludf.DUMMYFUNCTION("""COMPUTED_VALUE"""),2026.0)</f>
        <v>2026</v>
      </c>
      <c r="B2190" s="221">
        <f>IFERROR(__xludf.DUMMYFUNCTION("""COMPUTED_VALUE"""),1.2127623E7)</f>
        <v>12127623</v>
      </c>
      <c r="C2190" s="222" t="str">
        <f>IFERROR(__xludf.DUMMYFUNCTION("""COMPUTED_VALUE"""),"LPG PT3 JPP Melana Residence LKP")</f>
        <v>LPG PT3 JPP Melana Residence LKP</v>
      </c>
      <c r="D2190" s="222" t="str">
        <f>IFERROR(__xludf.DUMMYFUNCTION("""COMPUTED_VALUE"""),"REGIONAL I")</f>
        <v>REGIONAL I</v>
      </c>
      <c r="E2190" s="222" t="str">
        <f>IFERROR(__xludf.DUMMYFUNCTION("""COMPUTED_VALUE"""),"LAMPUNG")</f>
        <v>LAMPUNG</v>
      </c>
      <c r="F2190" s="222" t="str">
        <f>IFERROR(__xludf.DUMMYFUNCTION("""COMPUTED_VALUE"""),"LKP")</f>
        <v>LKP</v>
      </c>
      <c r="G2190" s="222" t="str">
        <f>IFERROR(__xludf.DUMMYFUNCTION("""COMPUTED_VALUE"""),"SUMBAGSEL")</f>
        <v>SUMBAGSEL</v>
      </c>
      <c r="H2190" s="222" t="str">
        <f>IFERROR(__xludf.DUMMYFUNCTION("""COMPUTED_VALUE"""),"LAMPUNG")</f>
        <v>LAMPUNG</v>
      </c>
      <c r="I2190" s="222" t="str">
        <f>IFERROR(__xludf.DUMMYFUNCTION("""COMPUTED_VALUE"""),"Batch 2")</f>
        <v>Batch 2</v>
      </c>
      <c r="J2190" s="225">
        <f>IFERROR(__xludf.DUMMYFUNCTION("""COMPUTED_VALUE"""),12.0)</f>
        <v>12</v>
      </c>
      <c r="K2190" s="224">
        <f>IFERROR(__xludf.DUMMYFUNCTION("""COMPUTED_VALUE"""),96.0)</f>
        <v>96</v>
      </c>
      <c r="L2190" s="226">
        <f>IFERROR(__xludf.DUMMYFUNCTION("""COMPUTED_VALUE"""),1680896.0)</f>
        <v>1680896</v>
      </c>
      <c r="M2190" s="227">
        <f>IFERROR(__xludf.DUMMYFUNCTION("""COMPUTED_VALUE"""),1.61365973E8)</f>
        <v>161365973</v>
      </c>
      <c r="N2190" s="222" t="str">
        <f>IFERROR(__xludf.DUMMYFUNCTION("""COMPUTED_VALUE"""),"SWAKELOLA")</f>
        <v>SWAKELOLA</v>
      </c>
      <c r="O2190" s="222" t="str">
        <f>IFERROR(__xludf.DUMMYFUNCTION("""COMPUTED_VALUE"""),"0. DROP")</f>
        <v>0. DROP</v>
      </c>
      <c r="P2190" s="222" t="str">
        <f>IFERROR(__xludf.DUMMYFUNCTION("""COMPUTED_VALUE"""),"0.2 Tidak Dapat Izin Warga/Kades/Lurah/Developer")</f>
        <v>0.2 Tidak Dapat Izin Warga/Kades/Lurah/Developer</v>
      </c>
      <c r="Q2190" s="222" t="str">
        <f>IFERROR(__xludf.DUMMYFUNCTION("""COMPUTED_VALUE"""),"23/01 hight comcase area red zone
14/1 proses pengacekan core dan perizinan")</f>
        <v>23/01 hight comcase area red zone
14/1 proses pengacekan core dan perizinan</v>
      </c>
      <c r="R2190" s="228"/>
      <c r="S2190" s="11"/>
      <c r="T2190" s="11"/>
      <c r="U2190" s="11"/>
      <c r="V2190" s="229"/>
      <c r="W2190" s="229"/>
      <c r="X2190" s="229" t="str">
        <f>IFERROR(__xludf.DUMMYFUNCTION("""COMPUTED_VALUE"""),"BELUM GOLIVE")</f>
        <v>BELUM GOLIVE</v>
      </c>
      <c r="Y2190" s="229"/>
      <c r="Z2190" s="229" t="str">
        <f>IFERROR(__xludf.DUMMYFUNCTION("""COMPUTED_VALUE"""),"#N/A")</f>
        <v>#N/A</v>
      </c>
      <c r="AA2190" s="229"/>
      <c r="AB2190" s="229"/>
      <c r="AC2190" s="229"/>
      <c r="AD2190" s="232"/>
      <c r="AE2190" s="233"/>
      <c r="AF2190" s="54" t="str">
        <f>IFERROR(__xludf.DUMMYFUNCTION("""COMPUTED_VALUE"""),"Draft BA DROP")</f>
        <v>Draft BA DROP</v>
      </c>
      <c r="AG2190" s="54"/>
      <c r="AH2190" s="54"/>
      <c r="AI2190" s="55" t="str">
        <f t="shared" si="210"/>
        <v/>
      </c>
      <c r="AW2190" s="234"/>
      <c r="BP2190" s="11"/>
      <c r="BQ2190" s="11"/>
      <c r="BV2190" s="158"/>
      <c r="BY2190" s="158"/>
      <c r="CB2190" s="158"/>
    </row>
    <row r="2191" ht="18.0" hidden="1" customHeight="1">
      <c r="A2191" s="222">
        <f>IFERROR(__xludf.DUMMYFUNCTION("""COMPUTED_VALUE"""),2026.0)</f>
        <v>2026</v>
      </c>
      <c r="B2191" s="221">
        <f>IFERROR(__xludf.DUMMYFUNCTION("""COMPUTED_VALUE"""),1.1708307E7)</f>
        <v>11708307</v>
      </c>
      <c r="C2191" s="222" t="str">
        <f>IFERROR(__xludf.DUMMYFUNCTION("""COMPUTED_VALUE"""),"SMS PT3 ODC KAG FB D10 PERMATA HIJAU")</f>
        <v>SMS PT3 ODC KAG FB D10 PERMATA HIJAU</v>
      </c>
      <c r="D2191" s="222" t="str">
        <f>IFERROR(__xludf.DUMMYFUNCTION("""COMPUTED_VALUE"""),"REGIONAL I")</f>
        <v>REGIONAL I</v>
      </c>
      <c r="E2191" s="222" t="str">
        <f>IFERROR(__xludf.DUMMYFUNCTION("""COMPUTED_VALUE"""),"SUMSEL")</f>
        <v>SUMSEL</v>
      </c>
      <c r="F2191" s="222" t="str">
        <f>IFERROR(__xludf.DUMMYFUNCTION("""COMPUTED_VALUE"""),"KAG")</f>
        <v>KAG</v>
      </c>
      <c r="G2191" s="222" t="str">
        <f>IFERROR(__xludf.DUMMYFUNCTION("""COMPUTED_VALUE"""),"SUMBAGSEL")</f>
        <v>SUMBAGSEL</v>
      </c>
      <c r="H2191" s="222" t="str">
        <f>IFERROR(__xludf.DUMMYFUNCTION("""COMPUTED_VALUE"""),"PALEMBANG")</f>
        <v>PALEMBANG</v>
      </c>
      <c r="I2191" s="222" t="str">
        <f>IFERROR(__xludf.DUMMYFUNCTION("""COMPUTED_VALUE"""),"Batch 2")</f>
        <v>Batch 2</v>
      </c>
      <c r="J2191" s="225">
        <f>IFERROR(__xludf.DUMMYFUNCTION("""COMPUTED_VALUE"""),7.0)</f>
        <v>7</v>
      </c>
      <c r="K2191" s="224">
        <f>IFERROR(__xludf.DUMMYFUNCTION("""COMPUTED_VALUE"""),56.0)</f>
        <v>56</v>
      </c>
      <c r="L2191" s="226">
        <f>IFERROR(__xludf.DUMMYFUNCTION("""COMPUTED_VALUE"""),1681700.0)</f>
        <v>1681700</v>
      </c>
      <c r="M2191" s="227">
        <f>IFERROR(__xludf.DUMMYFUNCTION("""COMPUTED_VALUE"""),9.4175145E7)</f>
        <v>94175145</v>
      </c>
      <c r="N2191" s="222" t="str">
        <f>IFERROR(__xludf.DUMMYFUNCTION("""COMPUTED_VALUE"""),"PT SARANA MITRA PERSADA")</f>
        <v>PT SARANA MITRA PERSADA</v>
      </c>
      <c r="O2191" s="222" t="str">
        <f>IFERROR(__xludf.DUMMYFUNCTION("""COMPUTED_VALUE"""),"8. UJI TERIMA")</f>
        <v>8. UJI TERIMA</v>
      </c>
      <c r="P2191" s="222" t="str">
        <f>IFERROR(__xludf.DUMMYFUNCTION("""COMPUTED_VALUE"""),"8.1 Proses UT")</f>
        <v>8.1 Proses UT</v>
      </c>
      <c r="Q2191" s="222" t="str">
        <f>IFERROR(__xludf.DUMMYFUNCTION("""COMPUTED_VALUE"""),"(21/01) GOLIVE tgl 19/01, (12/01) Butuh QE FEeder yang butuh repair di jalur PU Nasional, berkoordinasi dg MTC, (01/12) finisi instal , masuk list hold golive 2025 (19/11 UT DONE, 18/11 masih menunggu GOLIVE, 17/11 MASIH MENUNGGU GOLIVE, 10/11 menunggu go"&amp;"live 13/10 Finish instalasi menunggu pembangunan lokasi banding anyar.
08/10 progres tanam tiang
(29/09) Proses Material Deliveri 15/09 aanwijzing done, proses Eval HI")</f>
        <v>(21/01) GOLIVE tgl 19/01, (12/01) Butuh QE FEeder yang butuh repair di jalur PU Nasional, berkoordinasi dg MTC, (01/12) finisi instal , masuk list hold golive 2025 (19/11 UT DONE, 18/11 masih menunggu GOLIVE, 17/11 MASIH MENUNGGU GOLIVE, 10/11 menunggu golive 13/10 Finish instalasi menunggu pembangunan lokasi banding anyar.
08/10 progres tanam tiang
(29/09) Proses Material Deliveri 15/09 aanwijzing done, proses Eval HI</v>
      </c>
      <c r="R2191" s="228"/>
      <c r="S2191" s="11"/>
      <c r="T2191" s="11"/>
      <c r="U2191" s="11"/>
      <c r="V2191" s="229" t="str">
        <f>IFERROR(__xludf.DUMMYFUNCTION("""COMPUTED_VALUE"""),"RENALDO")</f>
        <v>RENALDO</v>
      </c>
      <c r="W2191" s="229"/>
      <c r="X2191" s="229" t="str">
        <f>IFERROR(__xludf.DUMMYFUNCTION("""COMPUTED_VALUE"""),"GOLIVE")</f>
        <v>GOLIVE</v>
      </c>
      <c r="Y2191" s="229" t="str">
        <f>IFERROR(__xludf.DUMMYFUNCTION("""COMPUTED_VALUE"""),"DONE")</f>
        <v>DONE</v>
      </c>
      <c r="Z2191" s="229" t="str">
        <f>IFERROR(__xludf.DUMMYFUNCTION("""COMPUTED_VALUE"""),"#N/A")</f>
        <v>#N/A</v>
      </c>
      <c r="AA2191" s="229">
        <f>IFERROR(__xludf.DUMMYFUNCTION("""COMPUTED_VALUE"""),5.0)</f>
        <v>5</v>
      </c>
      <c r="AB2191" s="229"/>
      <c r="AC2191" s="229" t="str">
        <f>IFERROR(__xludf.DUMMYFUNCTION("""COMPUTED_VALUE"""),"8270380#8270385")</f>
        <v>8270380#8270385</v>
      </c>
      <c r="AD2191" s="232">
        <f>IFERROR(__xludf.DUMMYFUNCTION("""COMPUTED_VALUE"""),40.0)</f>
        <v>40</v>
      </c>
      <c r="AE2191" s="233">
        <f>IFERROR(__xludf.DUMMYFUNCTION("""COMPUTED_VALUE"""),46029.0)</f>
        <v>46029</v>
      </c>
      <c r="AF2191" s="54"/>
      <c r="AG2191" s="54"/>
      <c r="AH2191" s="54"/>
      <c r="AI2191" s="55" t="str">
        <f t="shared" si="210"/>
        <v/>
      </c>
      <c r="AW2191" s="234"/>
      <c r="BP2191" s="11"/>
      <c r="BQ2191" s="11"/>
      <c r="BV2191" s="158"/>
      <c r="BY2191" s="158"/>
      <c r="CB2191" s="158"/>
    </row>
    <row r="2192" ht="18.0" hidden="1" customHeight="1">
      <c r="A2192" s="222">
        <f>IFERROR(__xludf.DUMMYFUNCTION("""COMPUTED_VALUE"""),2026.0)</f>
        <v>2026</v>
      </c>
      <c r="B2192" s="221">
        <f>IFERROR(__xludf.DUMMYFUNCTION("""COMPUTED_VALUE"""),1.1341667E7)</f>
        <v>11341667</v>
      </c>
      <c r="C2192" s="222" t="str">
        <f>IFERROR(__xludf.DUMMYFUNCTION("""COMPUTED_VALUE"""),"SMS P2I2 PT3 SGB FAU D06 MAIMUNAH")</f>
        <v>SMS P2I2 PT3 SGB FAU D06 MAIMUNAH</v>
      </c>
      <c r="D2192" s="222" t="str">
        <f>IFERROR(__xludf.DUMMYFUNCTION("""COMPUTED_VALUE"""),"REGIONAL I")</f>
        <v>REGIONAL I</v>
      </c>
      <c r="E2192" s="222" t="str">
        <f>IFERROR(__xludf.DUMMYFUNCTION("""COMPUTED_VALUE"""),"SUMSEL")</f>
        <v>SUMSEL</v>
      </c>
      <c r="F2192" s="222" t="str">
        <f>IFERROR(__xludf.DUMMYFUNCTION("""COMPUTED_VALUE"""),"SGB")</f>
        <v>SGB</v>
      </c>
      <c r="G2192" s="222" t="str">
        <f>IFERROR(__xludf.DUMMYFUNCTION("""COMPUTED_VALUE"""),"SUMBAGSEL")</f>
        <v>SUMBAGSEL</v>
      </c>
      <c r="H2192" s="222" t="str">
        <f>IFERROR(__xludf.DUMMYFUNCTION("""COMPUTED_VALUE"""),"PALEMBANG")</f>
        <v>PALEMBANG</v>
      </c>
      <c r="I2192" s="222" t="str">
        <f>IFERROR(__xludf.DUMMYFUNCTION("""COMPUTED_VALUE"""),"Batch 2")</f>
        <v>Batch 2</v>
      </c>
      <c r="J2192" s="225">
        <f>IFERROR(__xludf.DUMMYFUNCTION("""COMPUTED_VALUE"""),2.0)</f>
        <v>2</v>
      </c>
      <c r="K2192" s="224">
        <f>IFERROR(__xludf.DUMMYFUNCTION("""COMPUTED_VALUE"""),16.0)</f>
        <v>16</v>
      </c>
      <c r="L2192" s="226">
        <f>IFERROR(__xludf.DUMMYFUNCTION("""COMPUTED_VALUE"""),1685487.0)</f>
        <v>1685487</v>
      </c>
      <c r="M2192" s="227">
        <f>IFERROR(__xludf.DUMMYFUNCTION("""COMPUTED_VALUE"""),2.6967792E7)</f>
        <v>26967792</v>
      </c>
      <c r="N2192" s="222" t="str">
        <f>IFERROR(__xludf.DUMMYFUNCTION("""COMPUTED_VALUE"""),"PT ACERO CETHA METALINDO")</f>
        <v>PT ACERO CETHA METALINDO</v>
      </c>
      <c r="O2192" s="222" t="str">
        <f>IFERROR(__xludf.DUMMYFUNCTION("""COMPUTED_VALUE"""),"0. DROP")</f>
        <v>0. DROP</v>
      </c>
      <c r="P2192" s="222" t="str">
        <f>IFERROR(__xludf.DUMMYFUNCTION("""COMPUTED_VALUE"""),"0.2 Tidak Dapat Izin Warga/Kades/Lurah/Developer")</f>
        <v>0.2 Tidak Dapat Izin Warga/Kades/Lurah/Developer</v>
      </c>
      <c r="Q2192" s="222" t="str">
        <f>IFERROR(__xludf.DUMMYFUNCTION("""COMPUTED_VALUE"""),"06/03 tidak mendapatkan izin, 24/2 tidak mendapatkan izin 06/02 BUTUH QE FEEDER DAN MASUK PU NASIONAL (TSEL KONFIRM DROP), 07/01 DROP kendala feeder reti dan masuk ruas pu nasional (21/01) butuh QE feeder 144 di jalur PU Nasional setelah berkoordinasi d t"&amp;"im MTC, (15/1) DROP (06/01)order JPP batch-2 2026 (09/10 Feeder eksisting tidak ada yang tembus proses QE terkendala masuk ruas jalan Nasional (08/10) dri pihak RT belum memberikan izin, dan juga untuk stub core feeder banyak tidak sampai, info dari kawan"&amp;"2 mtc butuh pegantian kabel 144 yang masuk area ruas pu nasional
 (01/10) pihak RT belum memberikan izin , TA berkoordinasi dg sales untk bantu izin, paralel pengecekan feeder ext
 (19/09) proses izin RT setempat 22/09 (16/9) ijin RT RW 15/09 proses penar"&amp;"ikan kabel (10/09) Matdel kelokasi")</f>
        <v>06/03 tidak mendapatkan izin, 24/2 tidak mendapatkan izin 06/02 BUTUH QE FEEDER DAN MASUK PU NASIONAL (TSEL KONFIRM DROP), 07/01 DROP kendala feeder reti dan masuk ruas pu nasional (21/01) butuh QE feeder 144 di jalur PU Nasional setelah berkoordinasi d tim MTC, (15/1) DROP (06/01)order JPP batch-2 2026 (09/10 Feeder eksisting tidak ada yang tembus proses QE terkendala masuk ruas jalan Nasional (08/10) dri pihak RT belum memberikan izin, dan juga untuk stub core feeder banyak tidak sampai, info dari kawan2 mtc butuh pegantian kabel 144 yang masuk area ruas pu nasional
 (01/10) pihak RT belum memberikan izin , TA berkoordinasi dg sales untk bantu izin, paralel pengecekan feeder ext
 (19/09) proses izin RT setempat 22/09 (16/9) ijin RT RW 15/09 proses penarikan kabel (10/09) Matdel kelokasi</v>
      </c>
      <c r="R2192" s="228"/>
      <c r="S2192" s="11"/>
      <c r="T2192" s="11"/>
      <c r="U2192" s="11"/>
      <c r="V2192" s="229" t="str">
        <f>IFERROR(__xludf.DUMMYFUNCTION("""COMPUTED_VALUE"""),"TANTOWI")</f>
        <v>TANTOWI</v>
      </c>
      <c r="W2192" s="229"/>
      <c r="X2192" s="229" t="str">
        <f>IFERROR(__xludf.DUMMYFUNCTION("""COMPUTED_VALUE"""),"BELUM GOLIVE")</f>
        <v>BELUM GOLIVE</v>
      </c>
      <c r="Y2192" s="229"/>
      <c r="Z2192" s="229" t="str">
        <f>IFERROR(__xludf.DUMMYFUNCTION("""COMPUTED_VALUE"""),"#N/A")</f>
        <v>#N/A</v>
      </c>
      <c r="AA2192" s="229"/>
      <c r="AB2192" s="229"/>
      <c r="AC2192" s="229"/>
      <c r="AD2192" s="232"/>
      <c r="AE2192" s="233"/>
      <c r="AF2192" s="54" t="str">
        <f>IFERROR(__xludf.DUMMYFUNCTION("""COMPUTED_VALUE"""),"Draft BA DROP")</f>
        <v>Draft BA DROP</v>
      </c>
      <c r="AG2192" s="54"/>
      <c r="AH2192" s="54"/>
      <c r="AI2192" s="55" t="str">
        <f t="shared" si="210"/>
        <v/>
      </c>
      <c r="AW2192" s="234"/>
      <c r="BP2192" s="11"/>
      <c r="BQ2192" s="11"/>
      <c r="BV2192" s="158"/>
      <c r="BY2192" s="158"/>
      <c r="CB2192" s="158"/>
    </row>
    <row r="2193" ht="18.0" customHeight="1">
      <c r="A2193" s="222">
        <f>IFERROR(__xludf.DUMMYFUNCTION("""COMPUTED_VALUE"""),2026.0)</f>
        <v>2026</v>
      </c>
      <c r="B2193" s="221">
        <f>IFERROR(__xludf.DUMMYFUNCTION("""COMPUTED_VALUE"""),1.1498218E7)</f>
        <v>11498218</v>
      </c>
      <c r="C2193" s="222" t="str">
        <f>IFERROR(__xludf.DUMMYFUNCTION("""COMPUTED_VALUE"""),"RKP PT3 TSEL NGS-FAC DUTA BANDARA")</f>
        <v>RKP PT3 TSEL NGS-FAC DUTA BANDARA</v>
      </c>
      <c r="D2193" s="222" t="str">
        <f>IFERROR(__xludf.DUMMYFUNCTION("""COMPUTED_VALUE"""),"REGIONAL I")</f>
        <v>REGIONAL I</v>
      </c>
      <c r="E2193" s="222" t="str">
        <f>IFERROR(__xludf.DUMMYFUNCTION("""COMPUTED_VALUE"""),"RIKEP")</f>
        <v>RIKEP</v>
      </c>
      <c r="F2193" s="222" t="str">
        <f>IFERROR(__xludf.DUMMYFUNCTION("""COMPUTED_VALUE"""),"NGS")</f>
        <v>NGS</v>
      </c>
      <c r="G2193" s="222" t="str">
        <f>IFERROR(__xludf.DUMMYFUNCTION("""COMPUTED_VALUE"""),"SUMBAGTENG")</f>
        <v>SUMBAGTENG</v>
      </c>
      <c r="H2193" s="222" t="str">
        <f>IFERROR(__xludf.DUMMYFUNCTION("""COMPUTED_VALUE"""),"BATAM")</f>
        <v>BATAM</v>
      </c>
      <c r="I2193" s="222" t="str">
        <f>IFERROR(__xludf.DUMMYFUNCTION("""COMPUTED_VALUE"""),"Batch 2")</f>
        <v>Batch 2</v>
      </c>
      <c r="J2193" s="225">
        <f>IFERROR(__xludf.DUMMYFUNCTION("""COMPUTED_VALUE"""),7.0)</f>
        <v>7</v>
      </c>
      <c r="K2193" s="224">
        <f>IFERROR(__xludf.DUMMYFUNCTION("""COMPUTED_VALUE"""),56.0)</f>
        <v>56</v>
      </c>
      <c r="L2193" s="226">
        <f>IFERROR(__xludf.DUMMYFUNCTION("""COMPUTED_VALUE"""),1685579.0)</f>
        <v>1685579</v>
      </c>
      <c r="M2193" s="227">
        <f>IFERROR(__xludf.DUMMYFUNCTION("""COMPUTED_VALUE"""),9.4392369E7)</f>
        <v>94392369</v>
      </c>
      <c r="N2193" s="222" t="str">
        <f>IFERROR(__xludf.DUMMYFUNCTION("""COMPUTED_VALUE"""),"PT HDUA PUTRA PRAJODA")</f>
        <v>PT HDUA PUTRA PRAJODA</v>
      </c>
      <c r="O2193" s="222" t="str">
        <f>IFERROR(__xludf.DUMMYFUNCTION("""COMPUTED_VALUE"""),"0. DROP")</f>
        <v>0. DROP</v>
      </c>
      <c r="P2193" s="222" t="str">
        <f>IFERROR(__xludf.DUMMYFUNCTION("""COMPUTED_VALUE"""),"0.2 Tidak Dapat Izin Warga/Kades/Lurah/Developer")</f>
        <v>0.2 Tidak Dapat Izin Warga/Kades/Lurah/Developer</v>
      </c>
      <c r="Q2193" s="222" t="str">
        <f>IFERROR(__xludf.DUMMYFUNCTION("""COMPUTED_VALUE"""),"20/01 Izin tidak di acc perangkat setempat. (07/01) Persiapan")</f>
        <v>20/01 Izin tidak di acc perangkat setempat. (07/01) Persiapan</v>
      </c>
      <c r="R2193" s="228"/>
      <c r="S2193" s="11"/>
      <c r="T2193" s="11"/>
      <c r="U2193" s="11"/>
      <c r="V2193" s="229" t="str">
        <f>IFERROR(__xludf.DUMMYFUNCTION("""COMPUTED_VALUE"""),"GANI PRASTYO")</f>
        <v>GANI PRASTYO</v>
      </c>
      <c r="W2193" s="229" t="str">
        <f>IFERROR(__xludf.DUMMYFUNCTION("""COMPUTED_VALUE"""),"LEVITA INDRIYANI")</f>
        <v>LEVITA INDRIYANI</v>
      </c>
      <c r="X2193" s="229" t="str">
        <f>IFERROR(__xludf.DUMMYFUNCTION("""COMPUTED_VALUE"""),"BELUM GOLIVE")</f>
        <v>BELUM GOLIVE</v>
      </c>
      <c r="Y2193" s="229"/>
      <c r="Z2193" s="229" t="str">
        <f>IFERROR(__xludf.DUMMYFUNCTION("""COMPUTED_VALUE"""),"#N/A")</f>
        <v>#N/A</v>
      </c>
      <c r="AA2193" s="229"/>
      <c r="AB2193" s="229"/>
      <c r="AC2193" s="229"/>
      <c r="AD2193" s="232"/>
      <c r="AE2193" s="233"/>
      <c r="AF2193" s="54" t="str">
        <f>IFERROR(__xludf.DUMMYFUNCTION("""COMPUTED_VALUE"""),"Draft BA DROP")</f>
        <v>Draft BA DROP</v>
      </c>
      <c r="AG2193" s="54"/>
      <c r="AH2193" s="54"/>
      <c r="AI2193" s="55" t="str">
        <f t="shared" si="210"/>
        <v/>
      </c>
      <c r="AW2193" s="234"/>
      <c r="BP2193" s="11"/>
      <c r="BQ2193" s="11"/>
      <c r="BV2193" s="158"/>
      <c r="BY2193" s="158"/>
      <c r="CB2193" s="158"/>
    </row>
    <row r="2194" ht="18.0" customHeight="1">
      <c r="A2194" s="222">
        <f>IFERROR(__xludf.DUMMYFUNCTION("""COMPUTED_VALUE"""),2026.0)</f>
        <v>2026</v>
      </c>
      <c r="B2194" s="221">
        <f>IFERROR(__xludf.DUMMYFUNCTION("""COMPUTED_VALUE"""),1.1253717E7)</f>
        <v>11253717</v>
      </c>
      <c r="C2194" s="222" t="str">
        <f>IFERROR(__xludf.DUMMYFUNCTION("""COMPUTED_VALUE"""),"RDR JPP PT3 Jl.Lintas Pujud Gg Kp Tiga")</f>
        <v>RDR JPP PT3 Jl.Lintas Pujud Gg Kp Tiga</v>
      </c>
      <c r="D2194" s="222" t="str">
        <f>IFERROR(__xludf.DUMMYFUNCTION("""COMPUTED_VALUE"""),"REGIONAL I")</f>
        <v>REGIONAL I</v>
      </c>
      <c r="E2194" s="222" t="str">
        <f>IFERROR(__xludf.DUMMYFUNCTION("""COMPUTED_VALUE"""),"RIDAR")</f>
        <v>RIDAR</v>
      </c>
      <c r="F2194" s="222" t="str">
        <f>IFERROR(__xludf.DUMMYFUNCTION("""COMPUTED_VALUE"""),"BGU")</f>
        <v>BGU</v>
      </c>
      <c r="G2194" s="222" t="str">
        <f>IFERROR(__xludf.DUMMYFUNCTION("""COMPUTED_VALUE"""),"SUMBAGTENG")</f>
        <v>SUMBAGTENG</v>
      </c>
      <c r="H2194" s="222" t="str">
        <f>IFERROR(__xludf.DUMMYFUNCTION("""COMPUTED_VALUE"""),"DUMAI")</f>
        <v>DUMAI</v>
      </c>
      <c r="I2194" s="222" t="str">
        <f>IFERROR(__xludf.DUMMYFUNCTION("""COMPUTED_VALUE"""),"Batch 2")</f>
        <v>Batch 2</v>
      </c>
      <c r="J2194" s="225">
        <f>IFERROR(__xludf.DUMMYFUNCTION("""COMPUTED_VALUE"""),15.0)</f>
        <v>15</v>
      </c>
      <c r="K2194" s="224">
        <f>IFERROR(__xludf.DUMMYFUNCTION("""COMPUTED_VALUE"""),120.0)</f>
        <v>120</v>
      </c>
      <c r="L2194" s="226">
        <f>IFERROR(__xludf.DUMMYFUNCTION("""COMPUTED_VALUE"""),1686113.0)</f>
        <v>1686113</v>
      </c>
      <c r="M2194" s="227">
        <f>IFERROR(__xludf.DUMMYFUNCTION("""COMPUTED_VALUE"""),2.02333468E8)</f>
        <v>202333468</v>
      </c>
      <c r="N2194" s="222"/>
      <c r="O2194" s="222" t="str">
        <f>IFERROR(__xludf.DUMMYFUNCTION("""COMPUTED_VALUE"""),"0. DROP")</f>
        <v>0. DROP</v>
      </c>
      <c r="P2194" s="222" t="str">
        <f>IFERROR(__xludf.DUMMYFUNCTION("""COMPUTED_VALUE"""),"0.3 Feeder Full")</f>
        <v>0.3 Feeder Full</v>
      </c>
      <c r="Q2194" s="222" t="str">
        <f>IFERROR(__xludf.DUMMYFUNCTION("""COMPUTED_VALUE"""),"20/01 Mini OLT Full (07/01) Persiapan")</f>
        <v>20/01 Mini OLT Full (07/01) Persiapan</v>
      </c>
      <c r="R2194" s="228"/>
      <c r="S2194" s="11"/>
      <c r="T2194" s="11"/>
      <c r="U2194" s="11"/>
      <c r="V2194" s="229"/>
      <c r="W2194" s="229"/>
      <c r="X2194" s="229" t="str">
        <f>IFERROR(__xludf.DUMMYFUNCTION("""COMPUTED_VALUE"""),"BELUM GOLIVE")</f>
        <v>BELUM GOLIVE</v>
      </c>
      <c r="Y2194" s="229"/>
      <c r="Z2194" s="229" t="str">
        <f>IFERROR(__xludf.DUMMYFUNCTION("""COMPUTED_VALUE"""),"#N/A")</f>
        <v>#N/A</v>
      </c>
      <c r="AA2194" s="229"/>
      <c r="AB2194" s="229"/>
      <c r="AC2194" s="229"/>
      <c r="AD2194" s="232"/>
      <c r="AE2194" s="233"/>
      <c r="AF2194" s="54"/>
      <c r="AG2194" s="54"/>
      <c r="AH2194" s="54"/>
      <c r="AI2194" s="55" t="str">
        <f t="shared" si="210"/>
        <v/>
      </c>
      <c r="AW2194" s="234"/>
      <c r="BP2194" s="11"/>
      <c r="BQ2194" s="11"/>
      <c r="BV2194" s="158"/>
      <c r="BY2194" s="158"/>
      <c r="CB2194" s="158"/>
    </row>
    <row r="2195" ht="18.0" customHeight="1">
      <c r="A2195" s="222">
        <f>IFERROR(__xludf.DUMMYFUNCTION("""COMPUTED_VALUE"""),2026.0)</f>
        <v>2026</v>
      </c>
      <c r="B2195" s="221">
        <f>IFERROR(__xludf.DUMMYFUNCTION("""COMPUTED_VALUE"""),1.1498081E7)</f>
        <v>11498081</v>
      </c>
      <c r="C2195" s="222" t="str">
        <f>IFERROR(__xludf.DUMMYFUNCTION("""COMPUTED_VALUE"""),"RKP PT3 TSEL SYA-FBE PASIR PANJANG")</f>
        <v>RKP PT3 TSEL SYA-FBE PASIR PANJANG</v>
      </c>
      <c r="D2195" s="222" t="str">
        <f>IFERROR(__xludf.DUMMYFUNCTION("""COMPUTED_VALUE"""),"REGIONAL I")</f>
        <v>REGIONAL I</v>
      </c>
      <c r="E2195" s="222" t="str">
        <f>IFERROR(__xludf.DUMMYFUNCTION("""COMPUTED_VALUE"""),"RIKEP")</f>
        <v>RIKEP</v>
      </c>
      <c r="F2195" s="222" t="str">
        <f>IFERROR(__xludf.DUMMYFUNCTION("""COMPUTED_VALUE"""),"SYA")</f>
        <v>SYA</v>
      </c>
      <c r="G2195" s="222" t="str">
        <f>IFERROR(__xludf.DUMMYFUNCTION("""COMPUTED_VALUE"""),"SUMBAGTENG")</f>
        <v>SUMBAGTENG</v>
      </c>
      <c r="H2195" s="222" t="str">
        <f>IFERROR(__xludf.DUMMYFUNCTION("""COMPUTED_VALUE"""),"BATAM")</f>
        <v>BATAM</v>
      </c>
      <c r="I2195" s="222" t="str">
        <f>IFERROR(__xludf.DUMMYFUNCTION("""COMPUTED_VALUE"""),"Batch 2")</f>
        <v>Batch 2</v>
      </c>
      <c r="J2195" s="225">
        <f>IFERROR(__xludf.DUMMYFUNCTION("""COMPUTED_VALUE"""),1.0)</f>
        <v>1</v>
      </c>
      <c r="K2195" s="224">
        <f>IFERROR(__xludf.DUMMYFUNCTION("""COMPUTED_VALUE"""),8.0)</f>
        <v>8</v>
      </c>
      <c r="L2195" s="226">
        <f>IFERROR(__xludf.DUMMYFUNCTION("""COMPUTED_VALUE"""),1688125.0)</f>
        <v>1688125</v>
      </c>
      <c r="M2195" s="227">
        <f>IFERROR(__xludf.DUMMYFUNCTION("""COMPUTED_VALUE"""),1.3505E7)</f>
        <v>13505000</v>
      </c>
      <c r="N2195" s="222" t="str">
        <f>IFERROR(__xludf.DUMMYFUNCTION("""COMPUTED_VALUE"""),"PT DWI MITRA JAYA UTAMA")</f>
        <v>PT DWI MITRA JAYA UTAMA</v>
      </c>
      <c r="O2195" s="222" t="str">
        <f>IFERROR(__xludf.DUMMYFUNCTION("""COMPUTED_VALUE"""),"2. DONE AANWIJZING")</f>
        <v>2. DONE AANWIJZING</v>
      </c>
      <c r="P2195" s="222" t="str">
        <f>IFERROR(__xludf.DUMMYFUNCTION("""COMPUTED_VALUE"""),"2.10 Kendala - Feeder Rusak")</f>
        <v>2.10 Kendala - Feeder Rusak</v>
      </c>
      <c r="Q2195" s="222" t="str">
        <f>IFERROR(__xludf.DUMMYFUNCTION("""COMPUTED_VALUE"""),"04/03 Feeder rusak butuh eviden OTDR ulang. 21/01 plan anwijzing 26 jan, peralihan mitra")</f>
        <v>04/03 Feeder rusak butuh eviden OTDR ulang. 21/01 plan anwijzing 26 jan, peralihan mitra</v>
      </c>
      <c r="R2195" s="228"/>
      <c r="S2195" s="11"/>
      <c r="T2195" s="11"/>
      <c r="U2195" s="11"/>
      <c r="V2195" s="229" t="str">
        <f>IFERROR(__xludf.DUMMYFUNCTION("""COMPUTED_VALUE"""),"MOHAMMAD FAUZY")</f>
        <v>MOHAMMAD FAUZY</v>
      </c>
      <c r="W2195" s="229" t="str">
        <f>IFERROR(__xludf.DUMMYFUNCTION("""COMPUTED_VALUE"""),"LEVITA INDRIYANI")</f>
        <v>LEVITA INDRIYANI</v>
      </c>
      <c r="X2195" s="229" t="str">
        <f>IFERROR(__xludf.DUMMYFUNCTION("""COMPUTED_VALUE"""),"BELUM GOLIVE")</f>
        <v>BELUM GOLIVE</v>
      </c>
      <c r="Y2195" s="229"/>
      <c r="Z2195" s="229" t="str">
        <f>IFERROR(__xludf.DUMMYFUNCTION("""COMPUTED_VALUE"""),"#N/A")</f>
        <v>#N/A</v>
      </c>
      <c r="AA2195" s="229"/>
      <c r="AB2195" s="229"/>
      <c r="AC2195" s="229"/>
      <c r="AD2195" s="232"/>
      <c r="AE2195" s="233"/>
      <c r="AF2195" s="54"/>
      <c r="AG2195" s="54"/>
      <c r="AH2195" s="54"/>
      <c r="AI2195" s="55" t="str">
        <f t="shared" si="210"/>
        <v/>
      </c>
      <c r="AW2195" s="234"/>
      <c r="BP2195" s="11"/>
      <c r="BQ2195" s="11"/>
      <c r="BV2195" s="158"/>
      <c r="BY2195" s="158"/>
      <c r="CB2195" s="158"/>
    </row>
    <row r="2196" ht="18.0" hidden="1" customHeight="1">
      <c r="A2196" s="222">
        <f>IFERROR(__xludf.DUMMYFUNCTION("""COMPUTED_VALUE"""),2026.0)</f>
        <v>2026</v>
      </c>
      <c r="B2196" s="221">
        <f>IFERROR(__xludf.DUMMYFUNCTION("""COMPUTED_VALUE"""),1.1397044E7)</f>
        <v>11397044</v>
      </c>
      <c r="C2196" s="222" t="str">
        <f>IFERROR(__xludf.DUMMYFUNCTION("""COMPUTED_VALUE"""),"BNK-PT4-MUA-JPPTSEL-DESA GARUT")</f>
        <v>BNK-PT4-MUA-JPPTSEL-DESA GARUT</v>
      </c>
      <c r="D2196" s="222" t="str">
        <f>IFERROR(__xludf.DUMMYFUNCTION("""COMPUTED_VALUE"""),"REGIONAL I")</f>
        <v>REGIONAL I</v>
      </c>
      <c r="E2196" s="222" t="str">
        <f>IFERROR(__xludf.DUMMYFUNCTION("""COMPUTED_VALUE"""),"BENGKULU")</f>
        <v>BENGKULU</v>
      </c>
      <c r="F2196" s="222" t="str">
        <f>IFERROR(__xludf.DUMMYFUNCTION("""COMPUTED_VALUE"""),"MUA")</f>
        <v>MUA</v>
      </c>
      <c r="G2196" s="222" t="str">
        <f>IFERROR(__xludf.DUMMYFUNCTION("""COMPUTED_VALUE"""),"SUMBAGSEL")</f>
        <v>SUMBAGSEL</v>
      </c>
      <c r="H2196" s="222" t="str">
        <f>IFERROR(__xludf.DUMMYFUNCTION("""COMPUTED_VALUE"""),"BENGKULU")</f>
        <v>BENGKULU</v>
      </c>
      <c r="I2196" s="222" t="str">
        <f>IFERROR(__xludf.DUMMYFUNCTION("""COMPUTED_VALUE"""),"Batch 2")</f>
        <v>Batch 2</v>
      </c>
      <c r="J2196" s="225">
        <f>IFERROR(__xludf.DUMMYFUNCTION("""COMPUTED_VALUE"""),48.0)</f>
        <v>48</v>
      </c>
      <c r="K2196" s="224">
        <f>IFERROR(__xludf.DUMMYFUNCTION("""COMPUTED_VALUE"""),384.0)</f>
        <v>384</v>
      </c>
      <c r="L2196" s="226">
        <f>IFERROR(__xludf.DUMMYFUNCTION("""COMPUTED_VALUE"""),1360601.0)</f>
        <v>1360601</v>
      </c>
      <c r="M2196" s="227">
        <f>IFERROR(__xludf.DUMMYFUNCTION("""COMPUTED_VALUE"""),5.22470714E8)</f>
        <v>522470714</v>
      </c>
      <c r="N2196" s="222" t="str">
        <f>IFERROR(__xludf.DUMMYFUNCTION("""COMPUTED_VALUE"""),"PT GARINDO TECHNO MANDIRI")</f>
        <v>PT GARINDO TECHNO MANDIRI</v>
      </c>
      <c r="O2196" s="222" t="str">
        <f>IFERROR(__xludf.DUMMYFUNCTION("""COMPUTED_VALUE"""),"6. FINISH INSTALASI")</f>
        <v>6. FINISH INSTALASI</v>
      </c>
      <c r="P2196" s="222" t="str">
        <f>IFERROR(__xludf.DUMMYFUNCTION("""COMPUTED_VALUE"""),"6.5 Proses Valins")</f>
        <v>6.5 Proses Valins</v>
      </c>
      <c r="Q2196" s="222" t="str">
        <f>IFERROR(__xludf.DUMMYFUNCTION("""COMPUTED_VALUE"""),"28/04 : progres valins // 24/04: Instal ODP dan BESTRAY ODC 144 // 26/04: progres instal ODP 47/52 pcs // 23/04 : Install ODP // 20/04: progres instal ODP paralel instalasi ODC // 16/04: progres instal odp 10/52 pcs // 15/04: terminasi ODC dan gali MH, fi"&amp;"nish instal ODP // 13/04: Lanjut Penanaman Tiang, belum dapat izin 17 Batang, hari ini lanjut instal ODP 12/04: Gali MH ODC dan pengecoran tiang // 10/04 : negosiasi comecase Desa Garut // 09/04 : finish tanam tiang, sisa pekerjaan bangun ODC, paralel neg"&amp;"osiasi perizinan comcase timbul setelah progres berjalan 08/04 : Tanam Tiang, Penarikan Kabel finish // 07/04 Masih progress penarikan kabel 12 03/04: progres penarikan kabel 12c: 2.563m/3.110m, Kabel 24c: 17.896m/10.236 01/04: progres penarikan kabel 12c"&amp;" dis 3:2.305m/3.110m, Kabel 24c 10.236m/10.236 // 17/03: progres penarikan kabel 24c disstribusi 3: 7.945m/18.040m // 13/03: progres penanaman tiang 61 btg / 121 btg, progres penarikan kabel 24c: 3.572m / 18.040m // 12/03: penarikan kabel 24 c dis 01 // 1"&amp;"0/03: progres pananaman tiang 55btg/121btg // 06/03: gali lobang (30 lobang) dan tanam tiang //02/03 : Pengecatan tiang, kendala mobil pickup masih di service // 26/2  plan 2 maret kabel tiba  25/02: masih menunggu kabel adss 12c dan tiang 3 segmen, hari "&amp;"ini 25 maret dikirim dari vendor, untuk estimasi material sampai ke gudang pagar dewa masih menunggu konfirmasi dari pihak vendor // 18/2 LOP CPP tinggi dari awal karena pembangunan ODC 11/2 perlu confirm tif terkait cpp agar bisa jalan, lop  09/02://08/0"&amp;"2://07/02://06/02://05/02: konfirmasi AOM TIF mengenai nilai CPP tinggi, senilai ( 1,255,939 ) // 03/02: proses PR/PO // 22/01 : Done Anwidjzing // 20/01 : OGP Pembuatan Anwidjzing // 14/11 : Desa Tabeak kauk, Desa Lemeu pit, Desa kota kepala desa tidak a"&amp;"da di kantor desa // 13/01 : Permit kurang 1 keluarahan lagi lurah sedang di sawah, Done Sitac, Done survey // (07/01) Persiapan")</f>
        <v>28/04 : progres valins // 24/04: Instal ODP dan BESTRAY ODC 144 // 26/04: progres instal ODP 47/52 pcs // 23/04 : Install ODP // 20/04: progres instal ODP paralel instalasi ODC // 16/04: progres instal odp 10/52 pcs // 15/04: terminasi ODC dan gali MH, finish instal ODP // 13/04: Lanjut Penanaman Tiang, belum dapat izin 17 Batang, hari ini lanjut instal ODP 12/04: Gali MH ODC dan pengecoran tiang // 10/04 : negosiasi comecase Desa Garut // 09/04 : finish tanam tiang, sisa pekerjaan bangun ODC, paralel negosiasi perizinan comcase timbul setelah progres berjalan 08/04 : Tanam Tiang, Penarikan Kabel finish // 07/04 Masih progress penarikan kabel 12 03/04: progres penarikan kabel 12c: 2.563m/3.110m, Kabel 24c: 17.896m/10.236 01/04: progres penarikan kabel 12c dis 3:2.305m/3.110m, Kabel 24c 10.236m/10.236 // 17/03: progres penarikan kabel 24c disstribusi 3: 7.945m/18.040m // 13/03: progres penanaman tiang 61 btg / 121 btg, progres penarikan kabel 24c: 3.572m / 18.040m // 12/03: penarikan kabel 24 c dis 01 // 10/03: progres pananaman tiang 55btg/121btg // 06/03: gali lobang (30 lobang) dan tanam tiang //02/03 : Pengecatan tiang, kendala mobil pickup masih di service // 26/2  plan 2 maret kabel tiba  25/02: masih menunggu kabel adss 12c dan tiang 3 segmen, hari ini 25 maret dikirim dari vendor, untuk estimasi material sampai ke gudang pagar dewa masih menunggu konfirmasi dari pihak vendor // 18/2 LOP CPP tinggi dari awal karena pembangunan ODC 11/2 perlu confirm tif terkait cpp agar bisa jalan, lop  09/02://08/02://07/02://06/02://05/02: konfirmasi AOM TIF mengenai nilai CPP tinggi, senilai ( 1,255,939 ) // 03/02: proses PR/PO // 22/01 : Done Anwidjzing // 20/01 : OGP Pembuatan Anwidjzing // 14/11 : Desa Tabeak kauk, Desa Lemeu pit, Desa kota kepala desa tidak ada di kantor desa // 13/01 : Permit kurang 1 keluarahan lagi lurah sedang di sawah, Done Sitac, Done survey // (07/01) Persiapan</v>
      </c>
      <c r="R2196" s="228">
        <f>IFERROR(__xludf.DUMMYFUNCTION("""COMPUTED_VALUE"""),46141.0)</f>
        <v>46141</v>
      </c>
      <c r="S2196" s="11" t="str">
        <f>IFERROR(__xludf.DUMMYFUNCTION("""COMPUTED_VALUE"""),"APR")</f>
        <v>APR</v>
      </c>
      <c r="T2196" s="73" t="str">
        <f>IFERROR(__xludf.DUMMYFUNCTION("""COMPUTED_VALUE"""),"P1")</f>
        <v>P1</v>
      </c>
      <c r="U2196" s="11" t="str">
        <f>IFERROR(__xludf.DUMMYFUNCTION("""COMPUTED_VALUE"""),"TIF-2192/2026")</f>
        <v>TIF-2192/2026</v>
      </c>
      <c r="V2196" s="229"/>
      <c r="W2196" s="229"/>
      <c r="X2196" s="229" t="str">
        <f>IFERROR(__xludf.DUMMYFUNCTION("""COMPUTED_VALUE"""),"BELUM GOLIVE")</f>
        <v>BELUM GOLIVE</v>
      </c>
      <c r="Y2196" s="229"/>
      <c r="Z2196" s="229" t="str">
        <f>IFERROR(__xludf.DUMMYFUNCTION("""COMPUTED_VALUE"""),"#N/A")</f>
        <v>#N/A</v>
      </c>
      <c r="AA2196" s="229"/>
      <c r="AB2196" s="229"/>
      <c r="AC2196" s="229"/>
      <c r="AD2196" s="232"/>
      <c r="AE2196" s="233"/>
      <c r="AF2196" s="54"/>
      <c r="AG2196" s="54"/>
      <c r="AH2196" s="54">
        <v>46139.0</v>
      </c>
      <c r="AI2196" s="55" t="str">
        <f t="shared" si="210"/>
        <v/>
      </c>
      <c r="AW2196" s="234"/>
      <c r="BP2196" s="11"/>
      <c r="BQ2196" s="11"/>
      <c r="BV2196" s="158"/>
      <c r="BY2196" s="158"/>
      <c r="CB2196" s="158"/>
    </row>
    <row r="2197" ht="18.0" hidden="1" customHeight="1">
      <c r="A2197" s="222">
        <f>IFERROR(__xludf.DUMMYFUNCTION("""COMPUTED_VALUE"""),2026.0)</f>
        <v>2026</v>
      </c>
      <c r="B2197" s="221">
        <f>IFERROR(__xludf.DUMMYFUNCTION("""COMPUTED_VALUE"""),1.1302157E7)</f>
        <v>11302157</v>
      </c>
      <c r="C2197" s="222" t="str">
        <f>IFERROR(__xludf.DUMMYFUNCTION("""COMPUTED_VALUE"""),"ACH PT3 SGI-FH D04 GINTONG_MD")</f>
        <v>ACH PT3 SGI-FH D04 GINTONG_MD</v>
      </c>
      <c r="D2197" s="222" t="str">
        <f>IFERROR(__xludf.DUMMYFUNCTION("""COMPUTED_VALUE"""),"REGIONAL I")</f>
        <v>REGIONAL I</v>
      </c>
      <c r="E2197" s="222" t="str">
        <f>IFERROR(__xludf.DUMMYFUNCTION("""COMPUTED_VALUE"""),"ACEH")</f>
        <v>ACEH</v>
      </c>
      <c r="F2197" s="222" t="str">
        <f>IFERROR(__xludf.DUMMYFUNCTION("""COMPUTED_VALUE"""),"SGI")</f>
        <v>SGI</v>
      </c>
      <c r="G2197" s="222" t="str">
        <f>IFERROR(__xludf.DUMMYFUNCTION("""COMPUTED_VALUE"""),"SUMBAGUT")</f>
        <v>SUMBAGUT</v>
      </c>
      <c r="H2197" s="222" t="str">
        <f>IFERROR(__xludf.DUMMYFUNCTION("""COMPUTED_VALUE"""),"BANDA ACEH")</f>
        <v>BANDA ACEH</v>
      </c>
      <c r="I2197" s="222" t="str">
        <f>IFERROR(__xludf.DUMMYFUNCTION("""COMPUTED_VALUE"""),"Batch 2")</f>
        <v>Batch 2</v>
      </c>
      <c r="J2197" s="225">
        <f>IFERROR(__xludf.DUMMYFUNCTION("""COMPUTED_VALUE"""),20.0)</f>
        <v>20</v>
      </c>
      <c r="K2197" s="224">
        <f>IFERROR(__xludf.DUMMYFUNCTION("""COMPUTED_VALUE"""),160.0)</f>
        <v>160</v>
      </c>
      <c r="L2197" s="226">
        <f>IFERROR(__xludf.DUMMYFUNCTION("""COMPUTED_VALUE"""),1416063.0)</f>
        <v>1416063</v>
      </c>
      <c r="M2197" s="227">
        <f>IFERROR(__xludf.DUMMYFUNCTION("""COMPUTED_VALUE"""),2.26569972E8)</f>
        <v>226569972</v>
      </c>
      <c r="N2197" s="222" t="str">
        <f>IFERROR(__xludf.DUMMYFUNCTION("""COMPUTED_VALUE"""),"PT NIAGA NUSANTARA DIVA")</f>
        <v>PT NIAGA NUSANTARA DIVA</v>
      </c>
      <c r="O2197" s="222" t="str">
        <f>IFERROR(__xludf.DUMMYFUNCTION("""COMPUTED_VALUE"""),"4. MATDEL")</f>
        <v>4. MATDEL</v>
      </c>
      <c r="P2197" s="222" t="str">
        <f>IFERROR(__xludf.DUMMYFUNCTION("""COMPUTED_VALUE"""),"4.2 Sudah Request Material (Alista)")</f>
        <v>4.2 Sudah Request Material (Alista)</v>
      </c>
      <c r="Q2197" s="222" t="str">
        <f>IFERROR(__xludf.DUMMYFUNCTION("""COMPUTED_VALUE"""),"(07/04) Waiting Material Ready (03/03) Re-Route Distribusi Plan (14/02) Proses Negosiasi dan Redesign 8 LOP (12/02) redesain 8 odp masuk PU nasional, reposisi titik odp
(09/02) Proses Aanwijzing Re-Design (07/01) Persiapan")</f>
        <v>(07/04) Waiting Material Ready (03/03) Re-Route Distribusi Plan (14/02) Proses Negosiasi dan Redesign 8 LOP (12/02) redesain 8 odp masuk PU nasional, reposisi titik odp
(09/02) Proses Aanwijzing Re-Design (07/01) Persiapan</v>
      </c>
      <c r="R2197" s="228"/>
      <c r="S2197" s="11"/>
      <c r="T2197" s="11"/>
      <c r="U2197" s="11"/>
      <c r="V2197" s="229"/>
      <c r="W2197" s="229"/>
      <c r="X2197" s="229" t="str">
        <f>IFERROR(__xludf.DUMMYFUNCTION("""COMPUTED_VALUE"""),"BELUM GOLIVE")</f>
        <v>BELUM GOLIVE</v>
      </c>
      <c r="Y2197" s="229"/>
      <c r="Z2197" s="229" t="str">
        <f>IFERROR(__xludf.DUMMYFUNCTION("""COMPUTED_VALUE"""),"#N/A")</f>
        <v>#N/A</v>
      </c>
      <c r="AA2197" s="229"/>
      <c r="AB2197" s="229"/>
      <c r="AC2197" s="229"/>
      <c r="AD2197" s="232"/>
      <c r="AE2197" s="233"/>
      <c r="AF2197" s="54"/>
      <c r="AG2197" s="54"/>
      <c r="AH2197" s="54">
        <v>46120.0</v>
      </c>
      <c r="AI2197" s="237">
        <f>AH2197-NOW()</f>
        <v>-20.37798994</v>
      </c>
      <c r="AJ2197" s="229" t="str">
        <f>if(AI2197&gt;=0,"in Komitmen","Out komitmen")</f>
        <v>Out komitmen</v>
      </c>
      <c r="AK2197" s="229" t="s">
        <v>199</v>
      </c>
      <c r="AW2197" s="234"/>
      <c r="BP2197" s="11"/>
      <c r="BQ2197" s="11"/>
      <c r="BV2197" s="158"/>
      <c r="BY2197" s="158"/>
      <c r="CB2197" s="158"/>
    </row>
    <row r="2198" ht="18.0" customHeight="1">
      <c r="A2198" s="222">
        <f>IFERROR(__xludf.DUMMYFUNCTION("""COMPUTED_VALUE"""),2026.0)</f>
        <v>2026</v>
      </c>
      <c r="B2198" s="221">
        <f>IFERROR(__xludf.DUMMYFUNCTION("""COMPUTED_VALUE"""),1.1425832E7)</f>
        <v>11425832</v>
      </c>
      <c r="C2198" s="222" t="str">
        <f>IFERROR(__xludf.DUMMYFUNCTION("""COMPUTED_VALUE"""),"RDR UBT PT3 P1I1 UBT FT")</f>
        <v>RDR UBT PT3 P1I1 UBT FT</v>
      </c>
      <c r="D2198" s="222" t="str">
        <f>IFERROR(__xludf.DUMMYFUNCTION("""COMPUTED_VALUE"""),"REGIONAL I")</f>
        <v>REGIONAL I</v>
      </c>
      <c r="E2198" s="222" t="str">
        <f>IFERROR(__xludf.DUMMYFUNCTION("""COMPUTED_VALUE"""),"RIDAR")</f>
        <v>RIDAR</v>
      </c>
      <c r="F2198" s="222" t="str">
        <f>IFERROR(__xludf.DUMMYFUNCTION("""COMPUTED_VALUE"""),"UBT")</f>
        <v>UBT</v>
      </c>
      <c r="G2198" s="222" t="str">
        <f>IFERROR(__xludf.DUMMYFUNCTION("""COMPUTED_VALUE"""),"SUMBAGTENG")</f>
        <v>SUMBAGTENG</v>
      </c>
      <c r="H2198" s="222" t="str">
        <f>IFERROR(__xludf.DUMMYFUNCTION("""COMPUTED_VALUE"""),"DUMAI")</f>
        <v>DUMAI</v>
      </c>
      <c r="I2198" s="222" t="str">
        <f>IFERROR(__xludf.DUMMYFUNCTION("""COMPUTED_VALUE"""),"Batch 2")</f>
        <v>Batch 2</v>
      </c>
      <c r="J2198" s="225">
        <f>IFERROR(__xludf.DUMMYFUNCTION("""COMPUTED_VALUE"""),5.0)</f>
        <v>5</v>
      </c>
      <c r="K2198" s="224">
        <f>IFERROR(__xludf.DUMMYFUNCTION("""COMPUTED_VALUE"""),40.0)</f>
        <v>40</v>
      </c>
      <c r="L2198" s="226">
        <f>IFERROR(__xludf.DUMMYFUNCTION("""COMPUTED_VALUE"""),1697261.0)</f>
        <v>1697261</v>
      </c>
      <c r="M2198" s="227">
        <f>IFERROR(__xludf.DUMMYFUNCTION("""COMPUTED_VALUE"""),6.7890433E7)</f>
        <v>67890433</v>
      </c>
      <c r="N2198" s="222" t="str">
        <f>IFERROR(__xludf.DUMMYFUNCTION("""COMPUTED_VALUE"""),"PT TRI LESMA INDONESIA")</f>
        <v>PT TRI LESMA INDONESIA</v>
      </c>
      <c r="O2198" s="222" t="str">
        <f>IFERROR(__xludf.DUMMYFUNCTION("""COMPUTED_VALUE"""),"7. GOLIVE")</f>
        <v>7. GOLIVE</v>
      </c>
      <c r="P2198" s="222" t="str">
        <f>IFERROR(__xludf.DUMMYFUNCTION("""COMPUTED_VALUE"""),"7.2 Golive Full / OA / DONE OTB")</f>
        <v>7.2 Golive Full / OA / DONE OTB</v>
      </c>
      <c r="Q2198" s="222" t="str">
        <f>IFERROR(__xludf.DUMMYFUNCTION("""COMPUTED_VALUE"""),"06/04 Proses Valins 27/03 Pemasangan dan terminasi ODP 16/03 Pemasangan ODP 05/03 Pemasangan ODP 10/02 Pemasangan ODP 29/01 Terminasi ODP 20/01 Pemasangan odp (07/01) Persiapan")</f>
        <v>06/04 Proses Valins 27/03 Pemasangan dan terminasi ODP 16/03 Pemasangan ODP 05/03 Pemasangan ODP 10/02 Pemasangan ODP 29/01 Terminasi ODP 20/01 Pemasangan odp (07/01) Persiapan</v>
      </c>
      <c r="R2198" s="228">
        <f>IFERROR(__xludf.DUMMYFUNCTION("""COMPUTED_VALUE"""),46120.0)</f>
        <v>46120</v>
      </c>
      <c r="S2198" s="11" t="str">
        <f>IFERROR(__xludf.DUMMYFUNCTION("""COMPUTED_VALUE"""),"MAR")</f>
        <v>MAR</v>
      </c>
      <c r="T2198" s="73"/>
      <c r="U2198" s="11" t="str">
        <f>IFERROR(__xludf.DUMMYFUNCTION("""COMPUTED_VALUE"""),"W08-1375/2025")</f>
        <v>W08-1375/2025</v>
      </c>
      <c r="V2198" s="229" t="str">
        <f>IFERROR(__xludf.DUMMYFUNCTION("""COMPUTED_VALUE"""),"FIRDAUS ZULKARNAIEN")</f>
        <v>FIRDAUS ZULKARNAIEN</v>
      </c>
      <c r="W2198" s="229" t="str">
        <f>IFERROR(__xludf.DUMMYFUNCTION("""COMPUTED_VALUE"""),"ANZALA SAKINAH")</f>
        <v>ANZALA SAKINAH</v>
      </c>
      <c r="X2198" s="229" t="str">
        <f>IFERROR(__xludf.DUMMYFUNCTION("""COMPUTED_VALUE"""),"GOLIVE")</f>
        <v>GOLIVE</v>
      </c>
      <c r="Y2198" s="229" t="str">
        <f>IFERROR(__xludf.DUMMYFUNCTION("""COMPUTED_VALUE"""),"DONE")</f>
        <v>DONE</v>
      </c>
      <c r="Z2198" s="229" t="str">
        <f>IFERROR(__xludf.DUMMYFUNCTION("""COMPUTED_VALUE"""),"#N/A")</f>
        <v>#N/A</v>
      </c>
      <c r="AA2198" s="229">
        <f>IFERROR(__xludf.DUMMYFUNCTION("""COMPUTED_VALUE"""),5.0)</f>
        <v>5</v>
      </c>
      <c r="AB2198" s="229"/>
      <c r="AC2198" s="229" t="str">
        <f>IFERROR(__xludf.DUMMYFUNCTION("""COMPUTED_VALUE"""),"9251665#9251670")</f>
        <v>9251665#9251670</v>
      </c>
      <c r="AD2198" s="232">
        <f>IFERROR(__xludf.DUMMYFUNCTION("""COMPUTED_VALUE"""),40.0)</f>
        <v>40</v>
      </c>
      <c r="AE2198" s="233">
        <f>IFERROR(__xludf.DUMMYFUNCTION("""COMPUTED_VALUE"""),46120.0)</f>
        <v>46120</v>
      </c>
      <c r="AF2198" s="54"/>
      <c r="AG2198" s="54"/>
      <c r="AH2198" s="54">
        <v>46120.0</v>
      </c>
      <c r="AI2198" s="55">
        <f>IF(OR(AH2198="",AE2198=""),"",AH2198-AE2198)</f>
        <v>0</v>
      </c>
      <c r="AJ2198" s="229" t="str">
        <f>if(AI2198&gt;=0,"Gl in Komitmen","Gl out komitmen")</f>
        <v>Gl in Komitmen</v>
      </c>
      <c r="AK2198" s="231" t="s">
        <v>199</v>
      </c>
      <c r="AW2198" s="234"/>
      <c r="BP2198" s="11"/>
      <c r="BQ2198" s="11"/>
      <c r="BV2198" s="158"/>
      <c r="BY2198" s="158"/>
      <c r="CB2198" s="158"/>
    </row>
    <row r="2199" ht="18.0" hidden="1" customHeight="1">
      <c r="A2199" s="222">
        <f>IFERROR(__xludf.DUMMYFUNCTION("""COMPUTED_VALUE"""),2026.0)</f>
        <v>2026</v>
      </c>
      <c r="B2199" s="221">
        <f>IFERROR(__xludf.DUMMYFUNCTION("""COMPUTED_VALUE"""),1.1785143E7)</f>
        <v>11785143</v>
      </c>
      <c r="C2199" s="222" t="str">
        <f>IFERROR(__xludf.DUMMYFUNCTION("""COMPUTED_VALUE"""),"LPG PT3 JPP PERUM TKBM TAHAP 2 SRW")</f>
        <v>LPG PT3 JPP PERUM TKBM TAHAP 2 SRW</v>
      </c>
      <c r="D2199" s="222" t="str">
        <f>IFERROR(__xludf.DUMMYFUNCTION("""COMPUTED_VALUE"""),"REGIONAL I")</f>
        <v>REGIONAL I</v>
      </c>
      <c r="E2199" s="222" t="str">
        <f>IFERROR(__xludf.DUMMYFUNCTION("""COMPUTED_VALUE"""),"LAMPUNG")</f>
        <v>LAMPUNG</v>
      </c>
      <c r="F2199" s="222" t="str">
        <f>IFERROR(__xludf.DUMMYFUNCTION("""COMPUTED_VALUE"""),"SRW")</f>
        <v>SRW</v>
      </c>
      <c r="G2199" s="222" t="str">
        <f>IFERROR(__xludf.DUMMYFUNCTION("""COMPUTED_VALUE"""),"SUMBAGSEL")</f>
        <v>SUMBAGSEL</v>
      </c>
      <c r="H2199" s="222" t="str">
        <f>IFERROR(__xludf.DUMMYFUNCTION("""COMPUTED_VALUE"""),"LAMPUNG")</f>
        <v>LAMPUNG</v>
      </c>
      <c r="I2199" s="222" t="str">
        <f>IFERROR(__xludf.DUMMYFUNCTION("""COMPUTED_VALUE"""),"Batch 2")</f>
        <v>Batch 2</v>
      </c>
      <c r="J2199" s="225">
        <f>IFERROR(__xludf.DUMMYFUNCTION("""COMPUTED_VALUE"""),4.0)</f>
        <v>4</v>
      </c>
      <c r="K2199" s="224">
        <f>IFERROR(__xludf.DUMMYFUNCTION("""COMPUTED_VALUE"""),32.0)</f>
        <v>32</v>
      </c>
      <c r="L2199" s="226">
        <f>IFERROR(__xludf.DUMMYFUNCTION("""COMPUTED_VALUE"""),312327.0)</f>
        <v>312327</v>
      </c>
      <c r="M2199" s="227">
        <f>IFERROR(__xludf.DUMMYFUNCTION("""COMPUTED_VALUE"""),9994445.0)</f>
        <v>9994445</v>
      </c>
      <c r="N2199" s="222" t="str">
        <f>IFERROR(__xludf.DUMMYFUNCTION("""COMPUTED_VALUE"""),"PT SARANA MITRA PERSADA")</f>
        <v>PT SARANA MITRA PERSADA</v>
      </c>
      <c r="O2199" s="222" t="str">
        <f>IFERROR(__xludf.DUMMYFUNCTION("""COMPUTED_VALUE"""),"0. DROP")</f>
        <v>0. DROP</v>
      </c>
      <c r="P2199" s="222" t="str">
        <f>IFERROR(__xludf.DUMMYFUNCTION("""COMPUTED_VALUE"""),"0.2 Tidak Dapat Izin Warga/Kades/Lurah/Developer")</f>
        <v>0.2 Tidak Dapat Izin Warga/Kades/Lurah/Developer</v>
      </c>
      <c r="Q2199" s="222" t="str">
        <f>IFERROR(__xludf.DUMMYFUNCTION("""COMPUTED_VALUE"""),"23/1 tidak dapat izin dari pihak depelover
21/01  menunggu jwbn dari developer perumahan 
19/1 proses pengacekan core dan perizinan")</f>
        <v>23/1 tidak dapat izin dari pihak depelover
21/01  menunggu jwbn dari developer perumahan 
19/1 proses pengacekan core dan perizinan</v>
      </c>
      <c r="R2199" s="228"/>
      <c r="S2199" s="11"/>
      <c r="T2199" s="11"/>
      <c r="U2199" s="11"/>
      <c r="V2199" s="229"/>
      <c r="W2199" s="229"/>
      <c r="X2199" s="229" t="str">
        <f>IFERROR(__xludf.DUMMYFUNCTION("""COMPUTED_VALUE"""),"BELUM GOLIVE")</f>
        <v>BELUM GOLIVE</v>
      </c>
      <c r="Y2199" s="229"/>
      <c r="Z2199" s="229" t="str">
        <f>IFERROR(__xludf.DUMMYFUNCTION("""COMPUTED_VALUE"""),"#N/A")</f>
        <v>#N/A</v>
      </c>
      <c r="AA2199" s="229"/>
      <c r="AB2199" s="229"/>
      <c r="AC2199" s="229"/>
      <c r="AD2199" s="232"/>
      <c r="AE2199" s="233"/>
      <c r="AF2199" s="54" t="str">
        <f>IFERROR(__xludf.DUMMYFUNCTION("""COMPUTED_VALUE"""),"Draft BA DROP")</f>
        <v>Draft BA DROP</v>
      </c>
      <c r="AG2199" s="54"/>
      <c r="AH2199" s="54"/>
      <c r="AI2199" s="55" t="str">
        <f t="shared" ref="AI2199:AI2247" si="211">IF(OR(R2199="",AE2199=""),"",R2199-AE2199)</f>
        <v/>
      </c>
      <c r="AW2199" s="234"/>
      <c r="BP2199" s="11"/>
      <c r="BQ2199" s="11"/>
      <c r="BV2199" s="158"/>
      <c r="BY2199" s="158"/>
      <c r="CB2199" s="158"/>
    </row>
    <row r="2200" ht="18.0" hidden="1" customHeight="1">
      <c r="A2200" s="222">
        <f>IFERROR(__xludf.DUMMYFUNCTION("""COMPUTED_VALUE"""),2026.0)</f>
        <v>2026</v>
      </c>
      <c r="B2200" s="221">
        <f>IFERROR(__xludf.DUMMYFUNCTION("""COMPUTED_VALUE"""),1.1390691E7)</f>
        <v>11390691</v>
      </c>
      <c r="C2200" s="222" t="str">
        <f>IFERROR(__xludf.DUMMYFUNCTION("""COMPUTED_VALUE"""),"LPG PT3 JPP PERUM JL BARU2 BKP LKP")</f>
        <v>LPG PT3 JPP PERUM JL BARU2 BKP LKP</v>
      </c>
      <c r="D2200" s="222" t="str">
        <f>IFERROR(__xludf.DUMMYFUNCTION("""COMPUTED_VALUE"""),"REGIONAL I")</f>
        <v>REGIONAL I</v>
      </c>
      <c r="E2200" s="222" t="str">
        <f>IFERROR(__xludf.DUMMYFUNCTION("""COMPUTED_VALUE"""),"LAMPUNG")</f>
        <v>LAMPUNG</v>
      </c>
      <c r="F2200" s="222" t="str">
        <f>IFERROR(__xludf.DUMMYFUNCTION("""COMPUTED_VALUE"""),"LKP")</f>
        <v>LKP</v>
      </c>
      <c r="G2200" s="222" t="str">
        <f>IFERROR(__xludf.DUMMYFUNCTION("""COMPUTED_VALUE"""),"SUMBAGSEL")</f>
        <v>SUMBAGSEL</v>
      </c>
      <c r="H2200" s="222" t="str">
        <f>IFERROR(__xludf.DUMMYFUNCTION("""COMPUTED_VALUE"""),"LAMPUNG")</f>
        <v>LAMPUNG</v>
      </c>
      <c r="I2200" s="222" t="str">
        <f>IFERROR(__xludf.DUMMYFUNCTION("""COMPUTED_VALUE"""),"Batch 2")</f>
        <v>Batch 2</v>
      </c>
      <c r="J2200" s="225">
        <f>IFERROR(__xludf.DUMMYFUNCTION("""COMPUTED_VALUE"""),8.0)</f>
        <v>8</v>
      </c>
      <c r="K2200" s="224">
        <f>IFERROR(__xludf.DUMMYFUNCTION("""COMPUTED_VALUE"""),64.0)</f>
        <v>64</v>
      </c>
      <c r="L2200" s="226">
        <f>IFERROR(__xludf.DUMMYFUNCTION("""COMPUTED_VALUE"""),879734.0)</f>
        <v>879734</v>
      </c>
      <c r="M2200" s="227">
        <f>IFERROR(__xludf.DUMMYFUNCTION("""COMPUTED_VALUE"""),5.6302957E7)</f>
        <v>56302957</v>
      </c>
      <c r="N2200" s="222" t="str">
        <f>IFERROR(__xludf.DUMMYFUNCTION("""COMPUTED_VALUE"""),"PT SARANA MITRA PERSADA")</f>
        <v>PT SARANA MITRA PERSADA</v>
      </c>
      <c r="O2200" s="222" t="str">
        <f>IFERROR(__xludf.DUMMYFUNCTION("""COMPUTED_VALUE"""),"0. DROP")</f>
        <v>0. DROP</v>
      </c>
      <c r="P2200" s="222" t="str">
        <f>IFERROR(__xludf.DUMMYFUNCTION("""COMPUTED_VALUE"""),"0.2 Tidak Dapat Izin Warga/Kades/Lurah/Developer")</f>
        <v>0.2 Tidak Dapat Izin Warga/Kades/Lurah/Developer</v>
      </c>
      <c r="Q2200" s="222" t="str">
        <f>IFERROR(__xludf.DUMMYFUNCTION("""COMPUTED_VALUE"""),"15/1 tidak dapat izin dari lurah")</f>
        <v>15/1 tidak dapat izin dari lurah</v>
      </c>
      <c r="R2200" s="228"/>
      <c r="S2200" s="11"/>
      <c r="T2200" s="11"/>
      <c r="U2200" s="11" t="str">
        <f>IFERROR(__xludf.DUMMYFUNCTION("""COMPUTED_VALUE"""),"W02-467/2025")</f>
        <v>W02-467/2025</v>
      </c>
      <c r="V2200" s="229"/>
      <c r="W2200" s="229"/>
      <c r="X2200" s="229" t="str">
        <f>IFERROR(__xludf.DUMMYFUNCTION("""COMPUTED_VALUE"""),"BELUM GOLIVE")</f>
        <v>BELUM GOLIVE</v>
      </c>
      <c r="Y2200" s="229"/>
      <c r="Z2200" s="229" t="str">
        <f>IFERROR(__xludf.DUMMYFUNCTION("""COMPUTED_VALUE"""),"#N/A")</f>
        <v>#N/A</v>
      </c>
      <c r="AA2200" s="229"/>
      <c r="AB2200" s="229"/>
      <c r="AC2200" s="229"/>
      <c r="AD2200" s="232"/>
      <c r="AE2200" s="233"/>
      <c r="AF2200" s="54" t="str">
        <f>IFERROR(__xludf.DUMMYFUNCTION("""COMPUTED_VALUE"""),"Draft BA DROP")</f>
        <v>Draft BA DROP</v>
      </c>
      <c r="AG2200" s="54"/>
      <c r="AH2200" s="54"/>
      <c r="AI2200" s="55" t="str">
        <f t="shared" si="211"/>
        <v/>
      </c>
      <c r="AW2200" s="234"/>
      <c r="BP2200" s="11"/>
      <c r="BQ2200" s="11"/>
      <c r="BV2200" s="158"/>
      <c r="BY2200" s="158"/>
      <c r="CB2200" s="158"/>
    </row>
    <row r="2201" ht="18.0" hidden="1" customHeight="1">
      <c r="A2201" s="222">
        <f>IFERROR(__xludf.DUMMYFUNCTION("""COMPUTED_VALUE"""),2026.0)</f>
        <v>2026</v>
      </c>
      <c r="B2201" s="221">
        <f>IFERROR(__xludf.DUMMYFUNCTION("""COMPUTED_VALUE"""),1.1405301E7)</f>
        <v>11405301</v>
      </c>
      <c r="C2201" s="222" t="str">
        <f>IFERROR(__xludf.DUMMYFUNCTION("""COMPUTED_VALUE"""),"LPG PT3 GG 3 PANJANG UTARA PJN")</f>
        <v>LPG PT3 GG 3 PANJANG UTARA PJN</v>
      </c>
      <c r="D2201" s="222" t="str">
        <f>IFERROR(__xludf.DUMMYFUNCTION("""COMPUTED_VALUE"""),"REGIONAL I")</f>
        <v>REGIONAL I</v>
      </c>
      <c r="E2201" s="222" t="str">
        <f>IFERROR(__xludf.DUMMYFUNCTION("""COMPUTED_VALUE"""),"LAMPUNG")</f>
        <v>LAMPUNG</v>
      </c>
      <c r="F2201" s="222" t="str">
        <f>IFERROR(__xludf.DUMMYFUNCTION("""COMPUTED_VALUE"""),"PJN")</f>
        <v>PJN</v>
      </c>
      <c r="G2201" s="222" t="str">
        <f>IFERROR(__xludf.DUMMYFUNCTION("""COMPUTED_VALUE"""),"SUMBAGSEL")</f>
        <v>SUMBAGSEL</v>
      </c>
      <c r="H2201" s="222" t="str">
        <f>IFERROR(__xludf.DUMMYFUNCTION("""COMPUTED_VALUE"""),"LAMPUNG")</f>
        <v>LAMPUNG</v>
      </c>
      <c r="I2201" s="222" t="str">
        <f>IFERROR(__xludf.DUMMYFUNCTION("""COMPUTED_VALUE"""),"Batch 2")</f>
        <v>Batch 2</v>
      </c>
      <c r="J2201" s="225">
        <f>IFERROR(__xludf.DUMMYFUNCTION("""COMPUTED_VALUE"""),2.0)</f>
        <v>2</v>
      </c>
      <c r="K2201" s="224">
        <f>IFERROR(__xludf.DUMMYFUNCTION("""COMPUTED_VALUE"""),16.0)</f>
        <v>16</v>
      </c>
      <c r="L2201" s="226">
        <f>IFERROR(__xludf.DUMMYFUNCTION("""COMPUTED_VALUE"""),609759.0)</f>
        <v>609759</v>
      </c>
      <c r="M2201" s="227">
        <f>IFERROR(__xludf.DUMMYFUNCTION("""COMPUTED_VALUE"""),9756144.0)</f>
        <v>9756144</v>
      </c>
      <c r="N2201" s="222" t="str">
        <f>IFERROR(__xludf.DUMMYFUNCTION("""COMPUTED_VALUE"""),"PT BANGTELINDO")</f>
        <v>PT BANGTELINDO</v>
      </c>
      <c r="O2201" s="222" t="str">
        <f>IFERROR(__xludf.DUMMYFUNCTION("""COMPUTED_VALUE"""),"7. GOLIVE")</f>
        <v>7. GOLIVE</v>
      </c>
      <c r="P2201" s="222" t="str">
        <f>IFERROR(__xludf.DUMMYFUNCTION("""COMPUTED_VALUE"""),"7.2 Golive Full / OA / DONE OTB")</f>
        <v>7.2 Golive Full / OA / DONE OTB</v>
      </c>
      <c r="Q2201" s="222" t="str">
        <f>IFERROR(__xludf.DUMMYFUNCTION("""COMPUTED_VALUE"""),"15/5 proses valid 4, 13/04 proses instalasi 08/04 Done PR PO , proses matdel 06/04 Pihak Lurah belum bisa di temui, hari ini kelokasi Lanjut PR PO 2/4 proses pengecekan core dan perizinan 25/3 proses pengecekan core dan perizinan, 13/3 proses pengecekan c"&amp;"ore dan perizinan,,  
2/3 proses pengecekan core dan perizinan,,  
27/2 proses pengecekan core dan perizinan,,   24/2 masuk ODC PJN FG ,4/2 Distribusi &amp; feeder sudah tidak bisa di repair perlu pembangunan feeder &amp; ODC baru 
19/1 butuh repair distribusi fe"&amp;"deer atau pembangunan big odc ")</f>
        <v>15/5 proses valid 4, 13/04 proses instalasi 08/04 Done PR PO , proses matdel 06/04 Pihak Lurah belum bisa di temui, hari ini kelokasi Lanjut PR PO 2/4 proses pengecekan core dan perizinan 25/3 proses pengecekan core dan perizinan, 13/3 proses pengecekan core dan perizinan,,  
2/3 proses pengecekan core dan perizinan,,  
27/2 proses pengecekan core dan perizinan,,   24/2 masuk ODC PJN FG ,4/2 Distribusi &amp; feeder sudah tidak bisa di repair perlu pembangunan feeder &amp; ODC baru 
19/1 butuh repair distribusi fedeer atau pembangunan big odc </v>
      </c>
      <c r="R2201" s="228">
        <f>IFERROR(__xludf.DUMMYFUNCTION("""COMPUTED_VALUE"""),46128.0)</f>
        <v>46128</v>
      </c>
      <c r="S2201" s="11" t="str">
        <f>IFERROR(__xludf.DUMMYFUNCTION("""COMPUTED_VALUE"""),"APR")</f>
        <v>APR</v>
      </c>
      <c r="T2201" s="73" t="str">
        <f>IFERROR(__xludf.DUMMYFUNCTION("""COMPUTED_VALUE"""),"P1")</f>
        <v>P1</v>
      </c>
      <c r="U2201" s="11" t="str">
        <f>IFERROR(__xludf.DUMMYFUNCTION("""COMPUTED_VALUE"""),"W02-473/2025")</f>
        <v>W02-473/2025</v>
      </c>
      <c r="V2201" s="229"/>
      <c r="W2201" s="229"/>
      <c r="X2201" s="229" t="str">
        <f>IFERROR(__xludf.DUMMYFUNCTION("""COMPUTED_VALUE"""),"GOLIVE")</f>
        <v>GOLIVE</v>
      </c>
      <c r="Y2201" s="229" t="str">
        <f>IFERROR(__xludf.DUMMYFUNCTION("""COMPUTED_VALUE"""),"DONE")</f>
        <v>DONE</v>
      </c>
      <c r="Z2201" s="229" t="str">
        <f>IFERROR(__xludf.DUMMYFUNCTION("""COMPUTED_VALUE"""),"#N/A")</f>
        <v>#N/A</v>
      </c>
      <c r="AA2201" s="229">
        <f>IFERROR(__xludf.DUMMYFUNCTION("""COMPUTED_VALUE"""),2.0)</f>
        <v>2</v>
      </c>
      <c r="AB2201" s="229"/>
      <c r="AC2201" s="229" t="str">
        <f>IFERROR(__xludf.DUMMYFUNCTION("""COMPUTED_VALUE"""),"9194059#9194064")</f>
        <v>9194059#9194064</v>
      </c>
      <c r="AD2201" s="232">
        <f>IFERROR(__xludf.DUMMYFUNCTION("""COMPUTED_VALUE"""),16.0)</f>
        <v>16</v>
      </c>
      <c r="AE2201" s="233">
        <f>IFERROR(__xludf.DUMMYFUNCTION("""COMPUTED_VALUE"""),46128.0)</f>
        <v>46128</v>
      </c>
      <c r="AF2201" s="54"/>
      <c r="AG2201" s="54"/>
      <c r="AH2201" s="54">
        <v>46139.0</v>
      </c>
      <c r="AI2201" s="55">
        <f t="shared" si="211"/>
        <v>0</v>
      </c>
      <c r="AW2201" s="234"/>
      <c r="BP2201" s="11"/>
      <c r="BQ2201" s="11"/>
      <c r="BV2201" s="158"/>
      <c r="BY2201" s="158"/>
      <c r="CB2201" s="158"/>
    </row>
    <row r="2202" ht="18.0" hidden="1" customHeight="1">
      <c r="A2202" s="222">
        <f>IFERROR(__xludf.DUMMYFUNCTION("""COMPUTED_VALUE"""),2026.0)</f>
        <v>2026</v>
      </c>
      <c r="B2202" s="221">
        <f>IFERROR(__xludf.DUMMYFUNCTION("""COMPUTED_VALUE"""),1.1628595E7)</f>
        <v>11628595</v>
      </c>
      <c r="C2202" s="222" t="str">
        <f>IFERROR(__xludf.DUMMYFUNCTION("""COMPUTED_VALUE"""),"LPG PT3 JPP JL GATOT SUBROTO 2 TJK")</f>
        <v>LPG PT3 JPP JL GATOT SUBROTO 2 TJK</v>
      </c>
      <c r="D2202" s="222" t="str">
        <f>IFERROR(__xludf.DUMMYFUNCTION("""COMPUTED_VALUE"""),"REGIONAL I")</f>
        <v>REGIONAL I</v>
      </c>
      <c r="E2202" s="222" t="str">
        <f>IFERROR(__xludf.DUMMYFUNCTION("""COMPUTED_VALUE"""),"LAMPUNG")</f>
        <v>LAMPUNG</v>
      </c>
      <c r="F2202" s="222" t="str">
        <f>IFERROR(__xludf.DUMMYFUNCTION("""COMPUTED_VALUE"""),"TJK")</f>
        <v>TJK</v>
      </c>
      <c r="G2202" s="222" t="str">
        <f>IFERROR(__xludf.DUMMYFUNCTION("""COMPUTED_VALUE"""),"SUMBAGSEL")</f>
        <v>SUMBAGSEL</v>
      </c>
      <c r="H2202" s="222" t="str">
        <f>IFERROR(__xludf.DUMMYFUNCTION("""COMPUTED_VALUE"""),"LAMPUNG")</f>
        <v>LAMPUNG</v>
      </c>
      <c r="I2202" s="222" t="str">
        <f>IFERROR(__xludf.DUMMYFUNCTION("""COMPUTED_VALUE"""),"Batch 2")</f>
        <v>Batch 2</v>
      </c>
      <c r="J2202" s="225">
        <f>IFERROR(__xludf.DUMMYFUNCTION("""COMPUTED_VALUE"""),8.0)</f>
        <v>8</v>
      </c>
      <c r="K2202" s="224">
        <f>IFERROR(__xludf.DUMMYFUNCTION("""COMPUTED_VALUE"""),64.0)</f>
        <v>64</v>
      </c>
      <c r="L2202" s="226">
        <f>IFERROR(__xludf.DUMMYFUNCTION("""COMPUTED_VALUE"""),835894.0)</f>
        <v>835894</v>
      </c>
      <c r="M2202" s="227">
        <f>IFERROR(__xludf.DUMMYFUNCTION("""COMPUTED_VALUE"""),5.3497177E7)</f>
        <v>53497177</v>
      </c>
      <c r="N2202" s="222" t="str">
        <f>IFERROR(__xludf.DUMMYFUNCTION("""COMPUTED_VALUE"""),"PT CINA COMSERVICE INDONESIA")</f>
        <v>PT CINA COMSERVICE INDONESIA</v>
      </c>
      <c r="O2202" s="222" t="str">
        <f>IFERROR(__xludf.DUMMYFUNCTION("""COMPUTED_VALUE"""),"4. MATDEL")</f>
        <v>4. MATDEL</v>
      </c>
      <c r="P2202" s="222" t="str">
        <f>IFERROR(__xludf.DUMMYFUNCTION("""COMPUTED_VALUE"""),"4.1 Belum Request Material (Alista)")</f>
        <v>4.1 Belum Request Material (Alista)</v>
      </c>
      <c r="Q2202" s="222" t="str">
        <f>IFERROR(__xludf.DUMMYFUNCTION("""COMPUTED_VALUE"""),"24/4 plan matdel 25/4, 22/4 plan matdel Depedensi dengan CSF  24/4,, proses pengajuan pr/po bisa (ba manual), 15/4 belum ada feedback dari lurah dan perkim, 13/04 belum ada feedback dari lurah dan perkim, sudah kelokasi 8 Apr. 8/4 proses perizinan pihak l"&amp;"urah 
06/04 Proses Perizinan piha Kelurahan &amp; perkim 2/4  progres perizinan dan pengecekan core
31/3  progres perizinan dan pengecekan core")</f>
        <v>24/4 plan matdel 25/4, 22/4 plan matdel Depedensi dengan CSF  24/4,, proses pengajuan pr/po bisa (ba manual), 15/4 belum ada feedback dari lurah dan perkim, 13/04 belum ada feedback dari lurah dan perkim, sudah kelokasi 8 Apr. 8/4 proses perizinan pihak lurah 
06/04 Proses Perizinan piha Kelurahan &amp; perkim 2/4  progres perizinan dan pengecekan core
31/3  progres perizinan dan pengecekan core</v>
      </c>
      <c r="R2202" s="228"/>
      <c r="S2202" s="11" t="str">
        <f>IFERROR(__xludf.DUMMYFUNCTION("""COMPUTED_VALUE"""),"MEI")</f>
        <v>MEI</v>
      </c>
      <c r="T2202" s="11" t="str">
        <f>IFERROR(__xludf.DUMMYFUNCTION("""COMPUTED_VALUE"""),"P1")</f>
        <v>P1</v>
      </c>
      <c r="U2202" s="11" t="str">
        <f>IFERROR(__xludf.DUMMYFUNCTION("""COMPUTED_VALUE"""),"W02-470/2025")</f>
        <v>W02-470/2025</v>
      </c>
      <c r="V2202" s="229"/>
      <c r="W2202" s="229"/>
      <c r="X2202" s="229" t="str">
        <f>IFERROR(__xludf.DUMMYFUNCTION("""COMPUTED_VALUE"""),"BELUM GOLIVE")</f>
        <v>BELUM GOLIVE</v>
      </c>
      <c r="Y2202" s="229"/>
      <c r="Z2202" s="229" t="str">
        <f>IFERROR(__xludf.DUMMYFUNCTION("""COMPUTED_VALUE"""),"#N/A")</f>
        <v>#N/A</v>
      </c>
      <c r="AA2202" s="229"/>
      <c r="AB2202" s="229"/>
      <c r="AC2202" s="229"/>
      <c r="AD2202" s="232"/>
      <c r="AE2202" s="233"/>
      <c r="AF2202" s="54"/>
      <c r="AG2202" s="54"/>
      <c r="AH2202" s="54"/>
      <c r="AI2202" s="55" t="str">
        <f t="shared" si="211"/>
        <v/>
      </c>
      <c r="AW2202" s="234"/>
      <c r="BP2202" s="11"/>
      <c r="BQ2202" s="11"/>
      <c r="BV2202" s="158"/>
      <c r="BY2202" s="158"/>
      <c r="CB2202" s="158"/>
    </row>
    <row r="2203" ht="18.0" hidden="1" customHeight="1">
      <c r="A2203" s="222">
        <f>IFERROR(__xludf.DUMMYFUNCTION("""COMPUTED_VALUE"""),2026.0)</f>
        <v>2026</v>
      </c>
      <c r="B2203" s="221">
        <f>IFERROR(__xludf.DUMMYFUNCTION("""COMPUTED_VALUE"""),1.1800607E7)</f>
        <v>11800607</v>
      </c>
      <c r="C2203" s="222" t="str">
        <f>IFERROR(__xludf.DUMMYFUNCTION("""COMPUTED_VALUE"""),"LPG PT3 JPP Alkaromah Persada SAWO TJK")</f>
        <v>LPG PT3 JPP Alkaromah Persada SAWO TJK</v>
      </c>
      <c r="D2203" s="222" t="str">
        <f>IFERROR(__xludf.DUMMYFUNCTION("""COMPUTED_VALUE"""),"REGIONAL I")</f>
        <v>REGIONAL I</v>
      </c>
      <c r="E2203" s="222" t="str">
        <f>IFERROR(__xludf.DUMMYFUNCTION("""COMPUTED_VALUE"""),"LAMPUNG")</f>
        <v>LAMPUNG</v>
      </c>
      <c r="F2203" s="222" t="str">
        <f>IFERROR(__xludf.DUMMYFUNCTION("""COMPUTED_VALUE"""),"TJK")</f>
        <v>TJK</v>
      </c>
      <c r="G2203" s="222" t="str">
        <f>IFERROR(__xludf.DUMMYFUNCTION("""COMPUTED_VALUE"""),"SUMBAGSEL")</f>
        <v>SUMBAGSEL</v>
      </c>
      <c r="H2203" s="222" t="str">
        <f>IFERROR(__xludf.DUMMYFUNCTION("""COMPUTED_VALUE"""),"LAMPUNG")</f>
        <v>LAMPUNG</v>
      </c>
      <c r="I2203" s="222" t="str">
        <f>IFERROR(__xludf.DUMMYFUNCTION("""COMPUTED_VALUE"""),"Batch 2")</f>
        <v>Batch 2</v>
      </c>
      <c r="J2203" s="225">
        <f>IFERROR(__xludf.DUMMYFUNCTION("""COMPUTED_VALUE"""),10.0)</f>
        <v>10</v>
      </c>
      <c r="K2203" s="224">
        <f>IFERROR(__xludf.DUMMYFUNCTION("""COMPUTED_VALUE"""),80.0)</f>
        <v>80</v>
      </c>
      <c r="L2203" s="226">
        <f>IFERROR(__xludf.DUMMYFUNCTION("""COMPUTED_VALUE"""),728720.0)</f>
        <v>728720</v>
      </c>
      <c r="M2203" s="227">
        <f>IFERROR(__xludf.DUMMYFUNCTION("""COMPUTED_VALUE"""),5.829758E7)</f>
        <v>58297580</v>
      </c>
      <c r="N2203" s="222" t="str">
        <f>IFERROR(__xludf.DUMMYFUNCTION("""COMPUTED_VALUE"""),"PT CINA COMSERVICE INDONESIA")</f>
        <v>PT CINA COMSERVICE INDONESIA</v>
      </c>
      <c r="O2203" s="222" t="str">
        <f>IFERROR(__xludf.DUMMYFUNCTION("""COMPUTED_VALUE"""),"4. MATDEL")</f>
        <v>4. MATDEL</v>
      </c>
      <c r="P2203" s="222" t="str">
        <f>IFERROR(__xludf.DUMMYFUNCTION("""COMPUTED_VALUE"""),"4.1 Belum Request Material (Alista)")</f>
        <v>4.1 Belum Request Material (Alista)</v>
      </c>
      <c r="Q2203" s="222" t="str">
        <f>IFERROR(__xludf.DUMMYFUNCTION("""COMPUTED_VALUE"""),"24/4 plan matdel 25/4, 22/4 belum ada feedback dari lurah dan perkim, 13/04 belum ada feedback dari lurah dan perkim, sudah kelokasi 8 Apr. 8/4 proses perizinan pihak lurah 06/04 Proses Perizinan piha Kelurahan &amp; perkim 2/4  progres perizinan dan pengecek"&amp;"an core
31/3  progres perizinan dan pengecekan core")</f>
        <v>24/4 plan matdel 25/4, 22/4 belum ada feedback dari lurah dan perkim, 13/04 belum ada feedback dari lurah dan perkim, sudah kelokasi 8 Apr. 8/4 proses perizinan pihak lurah 06/04 Proses Perizinan piha Kelurahan &amp; perkim 2/4  progres perizinan dan pengecekan core
31/3  progres perizinan dan pengecekan core</v>
      </c>
      <c r="R2203" s="228"/>
      <c r="S2203" s="11"/>
      <c r="T2203" s="11" t="str">
        <f>IFERROR(__xludf.DUMMYFUNCTION("""COMPUTED_VALUE"""),"P1")</f>
        <v>P1</v>
      </c>
      <c r="U2203" s="11" t="str">
        <f>IFERROR(__xludf.DUMMYFUNCTION("""COMPUTED_VALUE"""),"W02-526/2025")</f>
        <v>W02-526/2025</v>
      </c>
      <c r="V2203" s="229"/>
      <c r="W2203" s="229"/>
      <c r="X2203" s="229" t="str">
        <f>IFERROR(__xludf.DUMMYFUNCTION("""COMPUTED_VALUE"""),"BELUM GOLIVE")</f>
        <v>BELUM GOLIVE</v>
      </c>
      <c r="Y2203" s="229"/>
      <c r="Z2203" s="229" t="str">
        <f>IFERROR(__xludf.DUMMYFUNCTION("""COMPUTED_VALUE"""),"#N/A")</f>
        <v>#N/A</v>
      </c>
      <c r="AA2203" s="229"/>
      <c r="AB2203" s="229"/>
      <c r="AC2203" s="229"/>
      <c r="AD2203" s="232"/>
      <c r="AE2203" s="233"/>
      <c r="AF2203" s="54"/>
      <c r="AG2203" s="54"/>
      <c r="AH2203" s="54"/>
      <c r="AI2203" s="55" t="str">
        <f t="shared" si="211"/>
        <v/>
      </c>
      <c r="AW2203" s="234"/>
      <c r="BP2203" s="11"/>
      <c r="BQ2203" s="11"/>
      <c r="BV2203" s="158"/>
      <c r="BY2203" s="158"/>
      <c r="CB2203" s="158"/>
    </row>
    <row r="2204" ht="18.0" hidden="1" customHeight="1">
      <c r="A2204" s="222">
        <f>IFERROR(__xludf.DUMMYFUNCTION("""COMPUTED_VALUE"""),2026.0)</f>
        <v>2026</v>
      </c>
      <c r="B2204" s="221">
        <f>IFERROR(__xludf.DUMMYFUNCTION("""COMPUTED_VALUE"""),1.1800702E7)</f>
        <v>11800702</v>
      </c>
      <c r="C2204" s="222" t="str">
        <f>IFERROR(__xludf.DUMMYFUNCTION("""COMPUTED_VALUE"""),"LPG PT3 JPP SINAR BANTEN TJK")</f>
        <v>LPG PT3 JPP SINAR BANTEN TJK</v>
      </c>
      <c r="D2204" s="222" t="str">
        <f>IFERROR(__xludf.DUMMYFUNCTION("""COMPUTED_VALUE"""),"REGIONAL I")</f>
        <v>REGIONAL I</v>
      </c>
      <c r="E2204" s="222" t="str">
        <f>IFERROR(__xludf.DUMMYFUNCTION("""COMPUTED_VALUE"""),"LAMPUNG")</f>
        <v>LAMPUNG</v>
      </c>
      <c r="F2204" s="222" t="str">
        <f>IFERROR(__xludf.DUMMYFUNCTION("""COMPUTED_VALUE"""),"TJK")</f>
        <v>TJK</v>
      </c>
      <c r="G2204" s="222" t="str">
        <f>IFERROR(__xludf.DUMMYFUNCTION("""COMPUTED_VALUE"""),"SUMBAGSEL")</f>
        <v>SUMBAGSEL</v>
      </c>
      <c r="H2204" s="222" t="str">
        <f>IFERROR(__xludf.DUMMYFUNCTION("""COMPUTED_VALUE"""),"LAMPUNG")</f>
        <v>LAMPUNG</v>
      </c>
      <c r="I2204" s="222" t="str">
        <f>IFERROR(__xludf.DUMMYFUNCTION("""COMPUTED_VALUE"""),"Batch 2")</f>
        <v>Batch 2</v>
      </c>
      <c r="J2204" s="225">
        <f>IFERROR(__xludf.DUMMYFUNCTION("""COMPUTED_VALUE"""),5.0)</f>
        <v>5</v>
      </c>
      <c r="K2204" s="224">
        <f>IFERROR(__xludf.DUMMYFUNCTION("""COMPUTED_VALUE"""),40.0)</f>
        <v>40</v>
      </c>
      <c r="L2204" s="226">
        <f>IFERROR(__xludf.DUMMYFUNCTION("""COMPUTED_VALUE"""),955580.0)</f>
        <v>955580</v>
      </c>
      <c r="M2204" s="227">
        <f>IFERROR(__xludf.DUMMYFUNCTION("""COMPUTED_VALUE"""),3.8223189E7)</f>
        <v>38223189</v>
      </c>
      <c r="N2204" s="222" t="str">
        <f>IFERROR(__xludf.DUMMYFUNCTION("""COMPUTED_VALUE"""),"PT CINA COMSERVICE INDONESIA")</f>
        <v>PT CINA COMSERVICE INDONESIA</v>
      </c>
      <c r="O2204" s="222" t="str">
        <f>IFERROR(__xludf.DUMMYFUNCTION("""COMPUTED_VALUE"""),"0. DROP")</f>
        <v>0. DROP</v>
      </c>
      <c r="P2204" s="222" t="str">
        <f>IFERROR(__xludf.DUMMYFUNCTION("""COMPUTED_VALUE"""),"0.2 Tidak Dapat Izin Warga/Kades/Lurah/Developer")</f>
        <v>0.2 Tidak Dapat Izin Warga/Kades/Lurah/Developer</v>
      </c>
      <c r="Q2204" s="222" t="str">
        <f>IFERROR(__xludf.DUMMYFUNCTION("""COMPUTED_VALUE"""),"15/4 butuh surat disperkim, 13/04 belum ada feedback dari lurah dan perkim, sudah kelokasi 8 Apr. 8/4 proses perizinan pihak camat 06/04 Proses Perizinan piha Kelurahan &amp; perkim 2/4  progres perizinan dan pengecekan core
31/3  progres perizinan dan pengec"&amp;"ekan core")</f>
        <v>15/4 butuh surat disperkim, 13/04 belum ada feedback dari lurah dan perkim, sudah kelokasi 8 Apr. 8/4 proses perizinan pihak camat 06/04 Proses Perizinan piha Kelurahan &amp; perkim 2/4  progres perizinan dan pengecekan core
31/3  progres perizinan dan pengecekan core</v>
      </c>
      <c r="R2204" s="228"/>
      <c r="S2204" s="11"/>
      <c r="T2204" s="11" t="str">
        <f>IFERROR(__xludf.DUMMYFUNCTION("""COMPUTED_VALUE"""),"P1")</f>
        <v>P1</v>
      </c>
      <c r="U2204" s="11" t="str">
        <f>IFERROR(__xludf.DUMMYFUNCTION("""COMPUTED_VALUE"""),"W02-482/2025")</f>
        <v>W02-482/2025</v>
      </c>
      <c r="V2204" s="229"/>
      <c r="W2204" s="229"/>
      <c r="X2204" s="229" t="str">
        <f>IFERROR(__xludf.DUMMYFUNCTION("""COMPUTED_VALUE"""),"BELUM GOLIVE")</f>
        <v>BELUM GOLIVE</v>
      </c>
      <c r="Y2204" s="229"/>
      <c r="Z2204" s="229" t="str">
        <f>IFERROR(__xludf.DUMMYFUNCTION("""COMPUTED_VALUE"""),"#N/A")</f>
        <v>#N/A</v>
      </c>
      <c r="AA2204" s="229"/>
      <c r="AB2204" s="229"/>
      <c r="AC2204" s="229"/>
      <c r="AD2204" s="232"/>
      <c r="AE2204" s="233"/>
      <c r="AF2204" s="54"/>
      <c r="AG2204" s="54"/>
      <c r="AH2204" s="54"/>
      <c r="AI2204" s="55" t="str">
        <f t="shared" si="211"/>
        <v/>
      </c>
      <c r="AW2204" s="234"/>
      <c r="BP2204" s="11"/>
      <c r="BQ2204" s="11"/>
      <c r="BV2204" s="158"/>
      <c r="BY2204" s="158"/>
      <c r="CB2204" s="158"/>
    </row>
    <row r="2205" ht="18.0" hidden="1" customHeight="1">
      <c r="A2205" s="222">
        <f>IFERROR(__xludf.DUMMYFUNCTION("""COMPUTED_VALUE"""),2026.0)</f>
        <v>2026</v>
      </c>
      <c r="B2205" s="221">
        <f>IFERROR(__xludf.DUMMYFUNCTION("""COMPUTED_VALUE"""),1.1861951E7)</f>
        <v>11861951</v>
      </c>
      <c r="C2205" s="222" t="str">
        <f>IFERROR(__xludf.DUMMYFUNCTION("""COMPUTED_VALUE"""),"LPG PT3 JPP SUKAJAYA LEMPASING TJK")</f>
        <v>LPG PT3 JPP SUKAJAYA LEMPASING TJK</v>
      </c>
      <c r="D2205" s="222" t="str">
        <f>IFERROR(__xludf.DUMMYFUNCTION("""COMPUTED_VALUE"""),"REGIONAL I")</f>
        <v>REGIONAL I</v>
      </c>
      <c r="E2205" s="222" t="str">
        <f>IFERROR(__xludf.DUMMYFUNCTION("""COMPUTED_VALUE"""),"LAMPUNG")</f>
        <v>LAMPUNG</v>
      </c>
      <c r="F2205" s="222" t="str">
        <f>IFERROR(__xludf.DUMMYFUNCTION("""COMPUTED_VALUE"""),"TJK")</f>
        <v>TJK</v>
      </c>
      <c r="G2205" s="222" t="str">
        <f>IFERROR(__xludf.DUMMYFUNCTION("""COMPUTED_VALUE"""),"SUMBAGSEL")</f>
        <v>SUMBAGSEL</v>
      </c>
      <c r="H2205" s="222" t="str">
        <f>IFERROR(__xludf.DUMMYFUNCTION("""COMPUTED_VALUE"""),"LAMPUNG")</f>
        <v>LAMPUNG</v>
      </c>
      <c r="I2205" s="222" t="str">
        <f>IFERROR(__xludf.DUMMYFUNCTION("""COMPUTED_VALUE"""),"Batch 2")</f>
        <v>Batch 2</v>
      </c>
      <c r="J2205" s="225">
        <f>IFERROR(__xludf.DUMMYFUNCTION("""COMPUTED_VALUE"""),4.0)</f>
        <v>4</v>
      </c>
      <c r="K2205" s="224">
        <f>IFERROR(__xludf.DUMMYFUNCTION("""COMPUTED_VALUE"""),32.0)</f>
        <v>32</v>
      </c>
      <c r="L2205" s="226">
        <f>IFERROR(__xludf.DUMMYFUNCTION("""COMPUTED_VALUE"""),370091.0)</f>
        <v>370091</v>
      </c>
      <c r="M2205" s="227">
        <f>IFERROR(__xludf.DUMMYFUNCTION("""COMPUTED_VALUE"""),1.18429E7)</f>
        <v>11842900</v>
      </c>
      <c r="N2205" s="222" t="str">
        <f>IFERROR(__xludf.DUMMYFUNCTION("""COMPUTED_VALUE"""),"SWAKELOLA")</f>
        <v>SWAKELOLA</v>
      </c>
      <c r="O2205" s="222" t="str">
        <f>IFERROR(__xludf.DUMMYFUNCTION("""COMPUTED_VALUE"""),"0. DROP")</f>
        <v>0. DROP</v>
      </c>
      <c r="P2205" s="222" t="str">
        <f>IFERROR(__xludf.DUMMYFUNCTION("""COMPUTED_VALUE"""),"0.2 Tidak Dapat Izin Warga/Kades/Lurah/Developer")</f>
        <v>0.2 Tidak Dapat Izin Warga/Kades/Lurah/Developer</v>
      </c>
      <c r="Q2205" s="222" t="str">
        <f>IFERROR(__xludf.DUMMYFUNCTION("""COMPUTED_VALUE"""),"4/2 tidak dapat izin dari lurah 3/2 proses pengacekan core dan perizinan"" dengan ""4/2/ stok material kosong ,estimasi tiba 07/2 3/2 proses pengacekan core dan perizinan")</f>
        <v>4/2 tidak dapat izin dari lurah 3/2 proses pengacekan core dan perizinan" dengan "4/2/ stok material kosong ,estimasi tiba 07/2 3/2 proses pengacekan core dan perizinan</v>
      </c>
      <c r="R2205" s="228"/>
      <c r="S2205" s="11"/>
      <c r="T2205" s="11"/>
      <c r="U2205" s="11" t="str">
        <f>IFERROR(__xludf.DUMMYFUNCTION("""COMPUTED_VALUE"""),"W02-471/2025")</f>
        <v>W02-471/2025</v>
      </c>
      <c r="V2205" s="229"/>
      <c r="W2205" s="229"/>
      <c r="X2205" s="229" t="str">
        <f>IFERROR(__xludf.DUMMYFUNCTION("""COMPUTED_VALUE"""),"BELUM GOLIVE")</f>
        <v>BELUM GOLIVE</v>
      </c>
      <c r="Y2205" s="229"/>
      <c r="Z2205" s="229" t="str">
        <f>IFERROR(__xludf.DUMMYFUNCTION("""COMPUTED_VALUE"""),"#N/A")</f>
        <v>#N/A</v>
      </c>
      <c r="AA2205" s="229"/>
      <c r="AB2205" s="229"/>
      <c r="AC2205" s="229"/>
      <c r="AD2205" s="232"/>
      <c r="AE2205" s="233"/>
      <c r="AF2205" s="54" t="str">
        <f>IFERROR(__xludf.DUMMYFUNCTION("""COMPUTED_VALUE"""),"Draft BA DROP")</f>
        <v>Draft BA DROP</v>
      </c>
      <c r="AG2205" s="54"/>
      <c r="AH2205" s="54"/>
      <c r="AI2205" s="55" t="str">
        <f t="shared" si="211"/>
        <v/>
      </c>
      <c r="AW2205" s="234"/>
      <c r="BP2205" s="11"/>
      <c r="BQ2205" s="11"/>
      <c r="BV2205" s="158"/>
      <c r="BY2205" s="158"/>
      <c r="CB2205" s="158"/>
    </row>
    <row r="2206" ht="18.0" hidden="1" customHeight="1">
      <c r="A2206" s="222">
        <f>IFERROR(__xludf.DUMMYFUNCTION("""COMPUTED_VALUE"""),2026.0)</f>
        <v>2026</v>
      </c>
      <c r="B2206" s="221">
        <f>IFERROR(__xludf.DUMMYFUNCTION("""COMPUTED_VALUE"""),1.1359897E7)</f>
        <v>11359897</v>
      </c>
      <c r="C2206" s="222" t="str">
        <f>IFERROR(__xludf.DUMMYFUNCTION("""COMPUTED_VALUE"""),"LPG  PT3 JPP LAMPUNG SELATAN_9573 SPS")</f>
        <v>LPG  PT3 JPP LAMPUNG SELATAN_9573 SPS</v>
      </c>
      <c r="D2206" s="222" t="str">
        <f>IFERROR(__xludf.DUMMYFUNCTION("""COMPUTED_VALUE"""),"REGIONAL I")</f>
        <v>REGIONAL I</v>
      </c>
      <c r="E2206" s="222" t="str">
        <f>IFERROR(__xludf.DUMMYFUNCTION("""COMPUTED_VALUE"""),"LAMPUNG")</f>
        <v>LAMPUNG</v>
      </c>
      <c r="F2206" s="222" t="str">
        <f>IFERROR(__xludf.DUMMYFUNCTION("""COMPUTED_VALUE"""),"SPS")</f>
        <v>SPS</v>
      </c>
      <c r="G2206" s="222" t="str">
        <f>IFERROR(__xludf.DUMMYFUNCTION("""COMPUTED_VALUE"""),"SUMBAGSEL")</f>
        <v>SUMBAGSEL</v>
      </c>
      <c r="H2206" s="222" t="str">
        <f>IFERROR(__xludf.DUMMYFUNCTION("""COMPUTED_VALUE"""),"LAMPUNG")</f>
        <v>LAMPUNG</v>
      </c>
      <c r="I2206" s="222" t="str">
        <f>IFERROR(__xludf.DUMMYFUNCTION("""COMPUTED_VALUE"""),"Batch 2")</f>
        <v>Batch 2</v>
      </c>
      <c r="J2206" s="225">
        <f>IFERROR(__xludf.DUMMYFUNCTION("""COMPUTED_VALUE"""),6.0)</f>
        <v>6</v>
      </c>
      <c r="K2206" s="224">
        <f>IFERROR(__xludf.DUMMYFUNCTION("""COMPUTED_VALUE"""),48.0)</f>
        <v>48</v>
      </c>
      <c r="L2206" s="226">
        <f>IFERROR(__xludf.DUMMYFUNCTION("""COMPUTED_VALUE"""),1128455.0)</f>
        <v>1128455</v>
      </c>
      <c r="M2206" s="227">
        <f>IFERROR(__xludf.DUMMYFUNCTION("""COMPUTED_VALUE"""),5.4165838E7)</f>
        <v>54165838</v>
      </c>
      <c r="N2206" s="222" t="str">
        <f>IFERROR(__xludf.DUMMYFUNCTION("""COMPUTED_VALUE"""),"PT ACERO CETHA METALINDO")</f>
        <v>PT ACERO CETHA METALINDO</v>
      </c>
      <c r="O2206" s="222" t="str">
        <f>IFERROR(__xludf.DUMMYFUNCTION("""COMPUTED_VALUE"""),"8. UJI TERIMA")</f>
        <v>8. UJI TERIMA</v>
      </c>
      <c r="P2206" s="222" t="str">
        <f>IFERROR(__xludf.DUMMYFUNCTION("""COMPUTED_VALUE"""),"8.1 Proses UT")</f>
        <v>8.1 Proses UT</v>
      </c>
      <c r="Q2206" s="222" t="str">
        <f>IFERROR(__xludf.DUMMYFUNCTION("""COMPUTED_VALUE"""),"6/2 progrees golive 
4/2 progres abd+valins plan golive 5/2
30 /1 progres penanaman tiang
23/1  plan matdel senin 26/1 menungu boq terupdate dan menungu pengajuan pid 
19/1 proses pengacekan core dan perizinan")</f>
        <v>6/2 progrees golive 
4/2 progres abd+valins plan golive 5/2
30 /1 progres penanaman tiang
23/1  plan matdel senin 26/1 menungu boq terupdate dan menungu pengajuan pid 
19/1 proses pengacekan core dan perizinan</v>
      </c>
      <c r="R2206" s="228"/>
      <c r="S2206" s="11"/>
      <c r="T2206" s="11"/>
      <c r="U2206" s="11" t="str">
        <f>IFERROR(__xludf.DUMMYFUNCTION("""COMPUTED_VALUE"""),"W02-25/2026")</f>
        <v>W02-25/2026</v>
      </c>
      <c r="V2206" s="229"/>
      <c r="W2206" s="229"/>
      <c r="X2206" s="229" t="str">
        <f>IFERROR(__xludf.DUMMYFUNCTION("""COMPUTED_VALUE"""),"GOLIVE")</f>
        <v>GOLIVE</v>
      </c>
      <c r="Y2206" s="229" t="str">
        <f>IFERROR(__xludf.DUMMYFUNCTION("""COMPUTED_VALUE"""),"DONE")</f>
        <v>DONE</v>
      </c>
      <c r="Z2206" s="229" t="str">
        <f>IFERROR(__xludf.DUMMYFUNCTION("""COMPUTED_VALUE"""),"#N/A")</f>
        <v>#N/A</v>
      </c>
      <c r="AA2206" s="229">
        <f>IFERROR(__xludf.DUMMYFUNCTION("""COMPUTED_VALUE"""),6.0)</f>
        <v>6</v>
      </c>
      <c r="AB2206" s="229"/>
      <c r="AC2206" s="229" t="str">
        <f>IFERROR(__xludf.DUMMYFUNCTION("""COMPUTED_VALUE"""),"9034672#9034677")</f>
        <v>9034672#9034677</v>
      </c>
      <c r="AD2206" s="232">
        <f>IFERROR(__xludf.DUMMYFUNCTION("""COMPUTED_VALUE"""),48.0)</f>
        <v>48</v>
      </c>
      <c r="AE2206" s="233">
        <f>IFERROR(__xludf.DUMMYFUNCTION("""COMPUTED_VALUE"""),46060.0)</f>
        <v>46060</v>
      </c>
      <c r="AF2206" s="54"/>
      <c r="AG2206" s="54"/>
      <c r="AH2206" s="54"/>
      <c r="AI2206" s="55" t="str">
        <f t="shared" si="211"/>
        <v/>
      </c>
      <c r="AW2206" s="234"/>
      <c r="BP2206" s="11"/>
      <c r="BQ2206" s="11"/>
      <c r="BV2206" s="158"/>
      <c r="BY2206" s="158"/>
      <c r="CB2206" s="158"/>
    </row>
    <row r="2207" ht="18.0" hidden="1" customHeight="1">
      <c r="A2207" s="222">
        <f>IFERROR(__xludf.DUMMYFUNCTION("""COMPUTED_VALUE"""),2026.0)</f>
        <v>2026</v>
      </c>
      <c r="B2207" s="221">
        <f>IFERROR(__xludf.DUMMYFUNCTION("""COMPUTED_VALUE"""),1.1986977E7)</f>
        <v>11986977</v>
      </c>
      <c r="C2207" s="222" t="str">
        <f>IFERROR(__xludf.DUMMYFUNCTION("""COMPUTED_VALUE"""),"BBL PT3 P3I2 Tambahan Teratai Gantung")</f>
        <v>BBL PT3 P3I2 Tambahan Teratai Gantung</v>
      </c>
      <c r="D2207" s="222" t="str">
        <f>IFERROR(__xludf.DUMMYFUNCTION("""COMPUTED_VALUE"""),"REGIONAL I")</f>
        <v>REGIONAL I</v>
      </c>
      <c r="E2207" s="222" t="str">
        <f>IFERROR(__xludf.DUMMYFUNCTION("""COMPUTED_VALUE"""),"BABEL")</f>
        <v>BABEL</v>
      </c>
      <c r="F2207" s="222" t="str">
        <f>IFERROR(__xludf.DUMMYFUNCTION("""COMPUTED_VALUE"""),"MGR")</f>
        <v>MGR</v>
      </c>
      <c r="G2207" s="222" t="str">
        <f>IFERROR(__xludf.DUMMYFUNCTION("""COMPUTED_VALUE"""),"SUMBAGSEL")</f>
        <v>SUMBAGSEL</v>
      </c>
      <c r="H2207" s="222" t="str">
        <f>IFERROR(__xludf.DUMMYFUNCTION("""COMPUTED_VALUE"""),"PANGKAL PINANG")</f>
        <v>PANGKAL PINANG</v>
      </c>
      <c r="I2207" s="222" t="str">
        <f>IFERROR(__xludf.DUMMYFUNCTION("""COMPUTED_VALUE"""),"Batch 2")</f>
        <v>Batch 2</v>
      </c>
      <c r="J2207" s="225">
        <f>IFERROR(__xludf.DUMMYFUNCTION("""COMPUTED_VALUE"""),5.0)</f>
        <v>5</v>
      </c>
      <c r="K2207" s="224">
        <f>IFERROR(__xludf.DUMMYFUNCTION("""COMPUTED_VALUE"""),64.0)</f>
        <v>64</v>
      </c>
      <c r="L2207" s="226">
        <f>IFERROR(__xludf.DUMMYFUNCTION("""COMPUTED_VALUE"""),1186470.0)</f>
        <v>1186470</v>
      </c>
      <c r="M2207" s="227">
        <f>IFERROR(__xludf.DUMMYFUNCTION("""COMPUTED_VALUE"""),7.593402E7)</f>
        <v>75934020</v>
      </c>
      <c r="N2207" s="222" t="str">
        <f>IFERROR(__xludf.DUMMYFUNCTION("""COMPUTED_VALUE"""),"PT BAYUMI CAHAYA NUSANTARA")</f>
        <v>PT BAYUMI CAHAYA NUSANTARA</v>
      </c>
      <c r="O2207" s="222" t="str">
        <f>IFERROR(__xludf.DUMMYFUNCTION("""COMPUTED_VALUE"""),"0. DROP")</f>
        <v>0. DROP</v>
      </c>
      <c r="P2207" s="222" t="str">
        <f>IFERROR(__xludf.DUMMYFUNCTION("""COMPUTED_VALUE"""),"0.1 Double Order")</f>
        <v>0.1 Double Order</v>
      </c>
      <c r="Q2207" s="222" t="str">
        <f>IFERROR(__xludf.DUMMYFUNCTION("""COMPUTED_VALUE"""),"7/1 SUDAH GOLIVE (06/01)order JPP batch-2 2026 - BAST 2025 (16/12 uji terima,BACT dan BAUT sirkulir TA 01/12 finis instal , kendala mini olt , masuk list hold golive (29/11) ODP done (27/11) progres instalasi ODP terkendala hujan (26/11) progres instalasi"&amp;" ODP (25/11) progres di lokasi lain (19/11) penarikan kabel 12D 1450 done (18/11) proses penanaman tiang 16/17 (17/11) material onsite 14/11 pengambilan material (13/11) request material (12/11) DRM mitra l 6/11) Penunjukan mitra")</f>
        <v>7/1 SUDAH GOLIVE (06/01)order JPP batch-2 2026 - BAST 2025 (16/12 uji terima,BACT dan BAUT sirkulir TA 01/12 finis instal , kendala mini olt , masuk list hold golive (29/11) ODP done (27/11) progres instalasi ODP terkendala hujan (26/11) progres instalasi ODP (25/11) progres di lokasi lain (19/11) penarikan kabel 12D 1450 done (18/11) proses penanaman tiang 16/17 (17/11) material onsite 14/11 pengambilan material (13/11) request material (12/11) DRM mitra l 6/11) Penunjukan mitra</v>
      </c>
      <c r="R2207" s="228"/>
      <c r="S2207" s="11"/>
      <c r="T2207" s="11"/>
      <c r="U2207" s="11"/>
      <c r="V2207" s="229"/>
      <c r="W2207" s="229"/>
      <c r="X2207" s="229" t="str">
        <f>IFERROR(__xludf.DUMMYFUNCTION("""COMPUTED_VALUE"""),"BELUM GOLIVE")</f>
        <v>BELUM GOLIVE</v>
      </c>
      <c r="Y2207" s="229"/>
      <c r="Z2207" s="229" t="str">
        <f>IFERROR(__xludf.DUMMYFUNCTION("""COMPUTED_VALUE"""),"#N/A")</f>
        <v>#N/A</v>
      </c>
      <c r="AA2207" s="229"/>
      <c r="AB2207" s="229"/>
      <c r="AC2207" s="229"/>
      <c r="AD2207" s="232"/>
      <c r="AE2207" s="233"/>
      <c r="AF2207" s="54" t="str">
        <f>IFERROR(__xludf.DUMMYFUNCTION("""COMPUTED_VALUE"""),"Draft BA DROP")</f>
        <v>Draft BA DROP</v>
      </c>
      <c r="AG2207" s="54"/>
      <c r="AH2207" s="54"/>
      <c r="AI2207" s="55" t="str">
        <f t="shared" si="211"/>
        <v/>
      </c>
      <c r="AW2207" s="234"/>
      <c r="BP2207" s="11"/>
      <c r="BQ2207" s="11"/>
      <c r="BV2207" s="158"/>
      <c r="BY2207" s="158"/>
      <c r="CB2207" s="158"/>
    </row>
    <row r="2208" ht="18.0" hidden="1" customHeight="1">
      <c r="A2208" s="222">
        <f>IFERROR(__xludf.DUMMYFUNCTION("""COMPUTED_VALUE"""),2026.0)</f>
        <v>2026</v>
      </c>
      <c r="B2208" s="221">
        <f>IFERROR(__xludf.DUMMYFUNCTION("""COMPUTED_VALUE"""),1.1019153E7)</f>
        <v>11019153</v>
      </c>
      <c r="C2208" s="222" t="str">
        <f>IFERROR(__xludf.DUMMYFUNCTION("""COMPUTED_VALUE"""),"MDN PT3 P7I1 STB-FD SCATER JL.PERDAMAIAN")</f>
        <v>MDN PT3 P7I1 STB-FD SCATER JL.PERDAMAIAN</v>
      </c>
      <c r="D2208" s="222" t="str">
        <f>IFERROR(__xludf.DUMMYFUNCTION("""COMPUTED_VALUE"""),"REGIONAL I")</f>
        <v>REGIONAL I</v>
      </c>
      <c r="E2208" s="222" t="str">
        <f>IFERROR(__xludf.DUMMYFUNCTION("""COMPUTED_VALUE"""),"MEDAN")</f>
        <v>MEDAN</v>
      </c>
      <c r="F2208" s="222" t="str">
        <f>IFERROR(__xludf.DUMMYFUNCTION("""COMPUTED_VALUE"""),"STB")</f>
        <v>STB</v>
      </c>
      <c r="G2208" s="222" t="str">
        <f>IFERROR(__xludf.DUMMYFUNCTION("""COMPUTED_VALUE"""),"SUMBAGUT")</f>
        <v>SUMBAGUT</v>
      </c>
      <c r="H2208" s="222" t="str">
        <f>IFERROR(__xludf.DUMMYFUNCTION("""COMPUTED_VALUE"""),"BINJAI")</f>
        <v>BINJAI</v>
      </c>
      <c r="I2208" s="222" t="str">
        <f>IFERROR(__xludf.DUMMYFUNCTION("""COMPUTED_VALUE"""),"Batch 2")</f>
        <v>Batch 2</v>
      </c>
      <c r="J2208" s="225">
        <f>IFERROR(__xludf.DUMMYFUNCTION("""COMPUTED_VALUE"""),6.0)</f>
        <v>6</v>
      </c>
      <c r="K2208" s="224">
        <f>IFERROR(__xludf.DUMMYFUNCTION("""COMPUTED_VALUE"""),48.0)</f>
        <v>48</v>
      </c>
      <c r="L2208" s="226">
        <f>IFERROR(__xludf.DUMMYFUNCTION("""COMPUTED_VALUE"""),740390.0)</f>
        <v>740390</v>
      </c>
      <c r="M2208" s="227">
        <f>IFERROR(__xludf.DUMMYFUNCTION("""COMPUTED_VALUE"""),3.5538702E7)</f>
        <v>35538702</v>
      </c>
      <c r="N2208" s="222" t="str">
        <f>IFERROR(__xludf.DUMMYFUNCTION("""COMPUTED_VALUE"""),"PT TRIPOLA PANATA")</f>
        <v>PT TRIPOLA PANATA</v>
      </c>
      <c r="O2208" s="222" t="str">
        <f>IFERROR(__xludf.DUMMYFUNCTION("""COMPUTED_VALUE"""),"0. DROP")</f>
        <v>0. DROP</v>
      </c>
      <c r="P2208" s="222" t="str">
        <f>IFERROR(__xludf.DUMMYFUNCTION("""COMPUTED_VALUE"""),"0.1 Double Order")</f>
        <v>0.1 Double Order</v>
      </c>
      <c r="Q2208" s="222" t="str">
        <f>IFERROR(__xludf.DUMMYFUNCTION("""COMPUTED_VALUE"""),"22/01 sudah golive 2025(07/01) Persiapan
MDN PT3 STB FD GG PERDAMAIAN")</f>
        <v>22/01 sudah golive 2025(07/01) Persiapan
MDN PT3 STB FD GG PERDAMAIAN</v>
      </c>
      <c r="R2208" s="228"/>
      <c r="S2208" s="11"/>
      <c r="T2208" s="11"/>
      <c r="U2208" s="11"/>
      <c r="V2208" s="229"/>
      <c r="W2208" s="229"/>
      <c r="X2208" s="229"/>
      <c r="Y2208" s="229" t="str">
        <f>IFERROR(__xludf.DUMMYFUNCTION("""COMPUTED_VALUE"""),"DONE")</f>
        <v>DONE</v>
      </c>
      <c r="Z2208" s="229" t="str">
        <f>IFERROR(__xludf.DUMMYFUNCTION("""COMPUTED_VALUE"""),"#N/A")</f>
        <v>#N/A</v>
      </c>
      <c r="AA2208" s="229"/>
      <c r="AB2208" s="229"/>
      <c r="AC2208" s="229"/>
      <c r="AD2208" s="232"/>
      <c r="AE2208" s="233"/>
      <c r="AF2208" s="54" t="str">
        <f>IFERROR(__xludf.DUMMYFUNCTION("""COMPUTED_VALUE"""),"Draft BA DROP")</f>
        <v>Draft BA DROP</v>
      </c>
      <c r="AG2208" s="54"/>
      <c r="AH2208" s="54"/>
      <c r="AI2208" s="55" t="str">
        <f t="shared" si="211"/>
        <v/>
      </c>
      <c r="AW2208" s="234"/>
      <c r="BP2208" s="11"/>
      <c r="BQ2208" s="11"/>
      <c r="BV2208" s="158"/>
      <c r="BY2208" s="158"/>
      <c r="CB2208" s="158"/>
    </row>
    <row r="2209" ht="18.0" hidden="1" customHeight="1">
      <c r="A2209" s="222">
        <f>IFERROR(__xludf.DUMMYFUNCTION("""COMPUTED_VALUE"""),2026.0)</f>
        <v>2026</v>
      </c>
      <c r="B2209" s="221">
        <f>IFERROR(__xludf.DUMMYFUNCTION("""COMPUTED_VALUE"""),1.1223222E7)</f>
        <v>11223222</v>
      </c>
      <c r="C2209" s="222" t="str">
        <f>IFERROR(__xludf.DUMMYFUNCTION("""COMPUTED_VALUE"""),"MDN PT3 PDB-FCA KOMP THE FLAMBOYAN PRIMA")</f>
        <v>MDN PT3 PDB-FCA KOMP THE FLAMBOYAN PRIMA</v>
      </c>
      <c r="D2209" s="222" t="str">
        <f>IFERROR(__xludf.DUMMYFUNCTION("""COMPUTED_VALUE"""),"REGIONAL I")</f>
        <v>REGIONAL I</v>
      </c>
      <c r="E2209" s="222" t="str">
        <f>IFERROR(__xludf.DUMMYFUNCTION("""COMPUTED_VALUE"""),"MEDAN")</f>
        <v>MEDAN</v>
      </c>
      <c r="F2209" s="222" t="str">
        <f>IFERROR(__xludf.DUMMYFUNCTION("""COMPUTED_VALUE"""),"PDB")</f>
        <v>PDB</v>
      </c>
      <c r="G2209" s="222" t="str">
        <f>IFERROR(__xludf.DUMMYFUNCTION("""COMPUTED_VALUE"""),"SUMBAGUT")</f>
        <v>SUMBAGUT</v>
      </c>
      <c r="H2209" s="222" t="str">
        <f>IFERROR(__xludf.DUMMYFUNCTION("""COMPUTED_VALUE"""),"MEDAN")</f>
        <v>MEDAN</v>
      </c>
      <c r="I2209" s="222" t="str">
        <f>IFERROR(__xludf.DUMMYFUNCTION("""COMPUTED_VALUE"""),"Batch 2")</f>
        <v>Batch 2</v>
      </c>
      <c r="J2209" s="225">
        <f>IFERROR(__xludf.DUMMYFUNCTION("""COMPUTED_VALUE"""),3.0)</f>
        <v>3</v>
      </c>
      <c r="K2209" s="224">
        <f>IFERROR(__xludf.DUMMYFUNCTION("""COMPUTED_VALUE"""),24.0)</f>
        <v>24</v>
      </c>
      <c r="L2209" s="226">
        <f>IFERROR(__xludf.DUMMYFUNCTION("""COMPUTED_VALUE"""),1309850.0)</f>
        <v>1309850</v>
      </c>
      <c r="M2209" s="227">
        <f>IFERROR(__xludf.DUMMYFUNCTION("""COMPUTED_VALUE"""),3.1436391E7)</f>
        <v>31436391</v>
      </c>
      <c r="N2209" s="222" t="str">
        <f>IFERROR(__xludf.DUMMYFUNCTION("""COMPUTED_VALUE"""),"PT MITRA AKSES INSANI")</f>
        <v>PT MITRA AKSES INSANI</v>
      </c>
      <c r="O2209" s="222" t="str">
        <f>IFERROR(__xludf.DUMMYFUNCTION("""COMPUTED_VALUE"""),"0. DROP")</f>
        <v>0. DROP</v>
      </c>
      <c r="P2209" s="222" t="str">
        <f>IFERROR(__xludf.DUMMYFUNCTION("""COMPUTED_VALUE"""),"0.1 Double Order")</f>
        <v>0.1 Double Order</v>
      </c>
      <c r="Q2209" s="222" t="str">
        <f>IFERROR(__xludf.DUMMYFUNCTION("""COMPUTED_VALUE"""),"GL 03/02/2025")</f>
        <v>GL 03/02/2025</v>
      </c>
      <c r="R2209" s="228"/>
      <c r="S2209" s="11"/>
      <c r="T2209" s="11"/>
      <c r="U2209" s="11"/>
      <c r="V2209" s="229"/>
      <c r="W2209" s="229"/>
      <c r="X2209" s="229" t="str">
        <f>IFERROR(__xludf.DUMMYFUNCTION("""COMPUTED_VALUE"""),"BELUM GOLIVE")</f>
        <v>BELUM GOLIVE</v>
      </c>
      <c r="Y2209" s="229"/>
      <c r="Z2209" s="229" t="str">
        <f>IFERROR(__xludf.DUMMYFUNCTION("""COMPUTED_VALUE"""),"#N/A")</f>
        <v>#N/A</v>
      </c>
      <c r="AA2209" s="229"/>
      <c r="AB2209" s="229"/>
      <c r="AC2209" s="229"/>
      <c r="AD2209" s="232"/>
      <c r="AE2209" s="233"/>
      <c r="AF2209" s="54" t="str">
        <f>IFERROR(__xludf.DUMMYFUNCTION("""COMPUTED_VALUE"""),"Draft BA DROP")</f>
        <v>Draft BA DROP</v>
      </c>
      <c r="AG2209" s="54"/>
      <c r="AH2209" s="54"/>
      <c r="AI2209" s="55" t="str">
        <f t="shared" si="211"/>
        <v/>
      </c>
      <c r="AW2209" s="234"/>
      <c r="BP2209" s="11"/>
      <c r="BQ2209" s="11"/>
      <c r="BV2209" s="158"/>
      <c r="BY2209" s="158"/>
      <c r="CB2209" s="158"/>
    </row>
    <row r="2210" ht="18.0" hidden="1" customHeight="1">
      <c r="A2210" s="222">
        <f>IFERROR(__xludf.DUMMYFUNCTION("""COMPUTED_VALUE"""),2026.0)</f>
        <v>2026</v>
      </c>
      <c r="B2210" s="221">
        <f>IFERROR(__xludf.DUMMYFUNCTION("""COMPUTED_VALUE"""),1.108126E7)</f>
        <v>11081260</v>
      </c>
      <c r="C2210" s="222" t="str">
        <f>IFERROR(__xludf.DUMMYFUNCTION("""COMPUTED_VALUE"""),"MDN PT3 P7I1 BJI-FYB JL.SUKA MAJU")</f>
        <v>MDN PT3 P7I1 BJI-FYB JL.SUKA MAJU</v>
      </c>
      <c r="D2210" s="222" t="str">
        <f>IFERROR(__xludf.DUMMYFUNCTION("""COMPUTED_VALUE"""),"REGIONAL I")</f>
        <v>REGIONAL I</v>
      </c>
      <c r="E2210" s="222" t="str">
        <f>IFERROR(__xludf.DUMMYFUNCTION("""COMPUTED_VALUE"""),"MEDAN")</f>
        <v>MEDAN</v>
      </c>
      <c r="F2210" s="222" t="str">
        <f>IFERROR(__xludf.DUMMYFUNCTION("""COMPUTED_VALUE"""),"BJI")</f>
        <v>BJI</v>
      </c>
      <c r="G2210" s="222" t="str">
        <f>IFERROR(__xludf.DUMMYFUNCTION("""COMPUTED_VALUE"""),"SUMBAGUT")</f>
        <v>SUMBAGUT</v>
      </c>
      <c r="H2210" s="222" t="str">
        <f>IFERROR(__xludf.DUMMYFUNCTION("""COMPUTED_VALUE"""),"BINJAI")</f>
        <v>BINJAI</v>
      </c>
      <c r="I2210" s="222" t="str">
        <f>IFERROR(__xludf.DUMMYFUNCTION("""COMPUTED_VALUE"""),"Batch 2")</f>
        <v>Batch 2</v>
      </c>
      <c r="J2210" s="225">
        <f>IFERROR(__xludf.DUMMYFUNCTION("""COMPUTED_VALUE"""),6.0)</f>
        <v>6</v>
      </c>
      <c r="K2210" s="224">
        <f>IFERROR(__xludf.DUMMYFUNCTION("""COMPUTED_VALUE"""),48.0)</f>
        <v>48</v>
      </c>
      <c r="L2210" s="226">
        <f>IFERROR(__xludf.DUMMYFUNCTION("""COMPUTED_VALUE"""),1281653.0)</f>
        <v>1281653</v>
      </c>
      <c r="M2210" s="227">
        <f>IFERROR(__xludf.DUMMYFUNCTION("""COMPUTED_VALUE"""),6.1519318E7)</f>
        <v>61519318</v>
      </c>
      <c r="N2210" s="222" t="str">
        <f>IFERROR(__xludf.DUMMYFUNCTION("""COMPUTED_VALUE"""),"PT M JUSUF AND SONS")</f>
        <v>PT M JUSUF AND SONS</v>
      </c>
      <c r="O2210" s="222" t="str">
        <f>IFERROR(__xludf.DUMMYFUNCTION("""COMPUTED_VALUE"""),"0. DROP")</f>
        <v>0. DROP</v>
      </c>
      <c r="P2210" s="222" t="str">
        <f>IFERROR(__xludf.DUMMYFUNCTION("""COMPUTED_VALUE"""),"0.1 Double Order")</f>
        <v>0.1 Double Order</v>
      </c>
      <c r="Q2210" s="222" t="str">
        <f>IFERROR(__xludf.DUMMYFUNCTION("""COMPUTED_VALUE"""),"22/01 sudah golive 2025 (07/01) Persiapan")</f>
        <v>22/01 sudah golive 2025 (07/01) Persiapan</v>
      </c>
      <c r="R2210" s="228"/>
      <c r="S2210" s="11"/>
      <c r="T2210" s="11"/>
      <c r="U2210" s="11"/>
      <c r="V2210" s="229"/>
      <c r="W2210" s="229"/>
      <c r="X2210" s="229"/>
      <c r="Y2210" s="229" t="str">
        <f>IFERROR(__xludf.DUMMYFUNCTION("""COMPUTED_VALUE"""),"DONE")</f>
        <v>DONE</v>
      </c>
      <c r="Z2210" s="229" t="str">
        <f>IFERROR(__xludf.DUMMYFUNCTION("""COMPUTED_VALUE"""),"#N/A")</f>
        <v>#N/A</v>
      </c>
      <c r="AA2210" s="229"/>
      <c r="AB2210" s="229"/>
      <c r="AC2210" s="229"/>
      <c r="AD2210" s="232"/>
      <c r="AE2210" s="233"/>
      <c r="AF2210" s="54" t="str">
        <f>IFERROR(__xludf.DUMMYFUNCTION("""COMPUTED_VALUE"""),"Draft BA DROP")</f>
        <v>Draft BA DROP</v>
      </c>
      <c r="AG2210" s="54"/>
      <c r="AH2210" s="54"/>
      <c r="AI2210" s="55" t="str">
        <f t="shared" si="211"/>
        <v/>
      </c>
      <c r="AW2210" s="234"/>
      <c r="BP2210" s="11"/>
      <c r="BQ2210" s="11"/>
      <c r="BV2210" s="158"/>
      <c r="BY2210" s="158"/>
      <c r="CB2210" s="158"/>
    </row>
    <row r="2211" ht="18.0" hidden="1" customHeight="1">
      <c r="A2211" s="222">
        <f>IFERROR(__xludf.DUMMYFUNCTION("""COMPUTED_VALUE"""),2026.0)</f>
        <v>2026</v>
      </c>
      <c r="B2211" s="221">
        <f>IFERROR(__xludf.DUMMYFUNCTION("""COMPUTED_VALUE"""),1.1094164E7)</f>
        <v>11094164</v>
      </c>
      <c r="C2211" s="222" t="str">
        <f>IFERROR(__xludf.DUMMYFUNCTION("""COMPUTED_VALUE"""),"MDN PT3 BJI-FR JL SEI SEMAYAM DISKI GG MESJID_")</f>
        <v>MDN PT3 BJI-FR JL SEI SEMAYAM DISKI GG MESJID_</v>
      </c>
      <c r="D2211" s="222" t="str">
        <f>IFERROR(__xludf.DUMMYFUNCTION("""COMPUTED_VALUE"""),"REGIONAL I")</f>
        <v>REGIONAL I</v>
      </c>
      <c r="E2211" s="222" t="str">
        <f>IFERROR(__xludf.DUMMYFUNCTION("""COMPUTED_VALUE"""),"MEDAN")</f>
        <v>MEDAN</v>
      </c>
      <c r="F2211" s="222" t="str">
        <f>IFERROR(__xludf.DUMMYFUNCTION("""COMPUTED_VALUE"""),"BJI")</f>
        <v>BJI</v>
      </c>
      <c r="G2211" s="222" t="str">
        <f>IFERROR(__xludf.DUMMYFUNCTION("""COMPUTED_VALUE"""),"SUMBAGUT")</f>
        <v>SUMBAGUT</v>
      </c>
      <c r="H2211" s="222" t="str">
        <f>IFERROR(__xludf.DUMMYFUNCTION("""COMPUTED_VALUE"""),"BINJAI")</f>
        <v>BINJAI</v>
      </c>
      <c r="I2211" s="222" t="str">
        <f>IFERROR(__xludf.DUMMYFUNCTION("""COMPUTED_VALUE"""),"Batch 2")</f>
        <v>Batch 2</v>
      </c>
      <c r="J2211" s="225">
        <f>IFERROR(__xludf.DUMMYFUNCTION("""COMPUTED_VALUE"""),4.0)</f>
        <v>4</v>
      </c>
      <c r="K2211" s="224">
        <f>IFERROR(__xludf.DUMMYFUNCTION("""COMPUTED_VALUE"""),32.0)</f>
        <v>32</v>
      </c>
      <c r="L2211" s="226">
        <f>IFERROR(__xludf.DUMMYFUNCTION("""COMPUTED_VALUE"""),928210.0)</f>
        <v>928210</v>
      </c>
      <c r="M2211" s="227">
        <f>IFERROR(__xludf.DUMMYFUNCTION("""COMPUTED_VALUE"""),2.9702705E7)</f>
        <v>29702705</v>
      </c>
      <c r="N2211" s="222" t="str">
        <f>IFERROR(__xludf.DUMMYFUNCTION("""COMPUTED_VALUE"""),"PT SINAR KEPRI SEJAHTERA")</f>
        <v>PT SINAR KEPRI SEJAHTERA</v>
      </c>
      <c r="O2211" s="222" t="str">
        <f>IFERROR(__xludf.DUMMYFUNCTION("""COMPUTED_VALUE"""),"0. DROP")</f>
        <v>0. DROP</v>
      </c>
      <c r="P2211" s="222" t="str">
        <f>IFERROR(__xludf.DUMMYFUNCTION("""COMPUTED_VALUE"""),"0.1 Double Order")</f>
        <v>0.1 Double Order</v>
      </c>
      <c r="Q2211" s="222" t="str">
        <f>IFERROR(__xludf.DUMMYFUNCTION("""COMPUTED_VALUE"""),"22/01 sudah golive 2025 (07/01) Persiapan")</f>
        <v>22/01 sudah golive 2025 (07/01) Persiapan</v>
      </c>
      <c r="R2211" s="228"/>
      <c r="S2211" s="11"/>
      <c r="T2211" s="11"/>
      <c r="U2211" s="11"/>
      <c r="V2211" s="229"/>
      <c r="W2211" s="229"/>
      <c r="X2211" s="229"/>
      <c r="Y2211" s="229" t="str">
        <f>IFERROR(__xludf.DUMMYFUNCTION("""COMPUTED_VALUE"""),"DONE")</f>
        <v>DONE</v>
      </c>
      <c r="Z2211" s="229" t="str">
        <f>IFERROR(__xludf.DUMMYFUNCTION("""COMPUTED_VALUE"""),"#N/A")</f>
        <v>#N/A</v>
      </c>
      <c r="AA2211" s="229"/>
      <c r="AB2211" s="229"/>
      <c r="AC2211" s="229"/>
      <c r="AD2211" s="232"/>
      <c r="AE2211" s="233"/>
      <c r="AF2211" s="54" t="str">
        <f>IFERROR(__xludf.DUMMYFUNCTION("""COMPUTED_VALUE"""),"Draft BA DROP")</f>
        <v>Draft BA DROP</v>
      </c>
      <c r="AG2211" s="54"/>
      <c r="AH2211" s="54"/>
      <c r="AI2211" s="55" t="str">
        <f t="shared" si="211"/>
        <v/>
      </c>
      <c r="AW2211" s="234"/>
      <c r="BP2211" s="11"/>
      <c r="BQ2211" s="11"/>
      <c r="BV2211" s="158"/>
      <c r="BY2211" s="158"/>
      <c r="CB2211" s="158"/>
    </row>
    <row r="2212" ht="18.0" customHeight="1">
      <c r="A2212" s="222">
        <f>IFERROR(__xludf.DUMMYFUNCTION("""COMPUTED_VALUE"""),2026.0)</f>
        <v>2026</v>
      </c>
      <c r="B2212" s="221">
        <f>IFERROR(__xludf.DUMMYFUNCTION("""COMPUTED_VALUE"""),1.1377915E7)</f>
        <v>11377915</v>
      </c>
      <c r="C2212" s="222" t="str">
        <f>IFERROR(__xludf.DUMMYFUNCTION("""COMPUTED_VALUE"""),"RDR PPN PT3 P2I2 TAMBAHAN PPN FR 2")</f>
        <v>RDR PPN PT3 P2I2 TAMBAHAN PPN FR 2</v>
      </c>
      <c r="D2212" s="222" t="str">
        <f>IFERROR(__xludf.DUMMYFUNCTION("""COMPUTED_VALUE"""),"REGIONAL I")</f>
        <v>REGIONAL I</v>
      </c>
      <c r="E2212" s="222" t="str">
        <f>IFERROR(__xludf.DUMMYFUNCTION("""COMPUTED_VALUE"""),"RIDAR")</f>
        <v>RIDAR</v>
      </c>
      <c r="F2212" s="222" t="str">
        <f>IFERROR(__xludf.DUMMYFUNCTION("""COMPUTED_VALUE"""),"PPN")</f>
        <v>PPN</v>
      </c>
      <c r="G2212" s="222" t="str">
        <f>IFERROR(__xludf.DUMMYFUNCTION("""COMPUTED_VALUE"""),"SUMBAGTENG")</f>
        <v>SUMBAGTENG</v>
      </c>
      <c r="H2212" s="222" t="str">
        <f>IFERROR(__xludf.DUMMYFUNCTION("""COMPUTED_VALUE"""),"DUMAI")</f>
        <v>DUMAI</v>
      </c>
      <c r="I2212" s="222" t="str">
        <f>IFERROR(__xludf.DUMMYFUNCTION("""COMPUTED_VALUE"""),"Batch 2")</f>
        <v>Batch 2</v>
      </c>
      <c r="J2212" s="225">
        <f>IFERROR(__xludf.DUMMYFUNCTION("""COMPUTED_VALUE"""),16.0)</f>
        <v>16</v>
      </c>
      <c r="K2212" s="224">
        <f>IFERROR(__xludf.DUMMYFUNCTION("""COMPUTED_VALUE"""),128.0)</f>
        <v>128</v>
      </c>
      <c r="L2212" s="226">
        <f>IFERROR(__xludf.DUMMYFUNCTION("""COMPUTED_VALUE"""),1430860.0)</f>
        <v>1430860</v>
      </c>
      <c r="M2212" s="227">
        <f>IFERROR(__xludf.DUMMYFUNCTION("""COMPUTED_VALUE"""),1.83149978E8)</f>
        <v>183149978</v>
      </c>
      <c r="N2212" s="222" t="str">
        <f>IFERROR(__xludf.DUMMYFUNCTION("""COMPUTED_VALUE"""),"PT LIBER PERSADA MANDIRI")</f>
        <v>PT LIBER PERSADA MANDIRI</v>
      </c>
      <c r="O2212" s="222" t="str">
        <f>IFERROR(__xludf.DUMMYFUNCTION("""COMPUTED_VALUE"""),"0. DROP")</f>
        <v>0. DROP</v>
      </c>
      <c r="P2212" s="222" t="str">
        <f>IFERROR(__xludf.DUMMYFUNCTION("""COMPUTED_VALUE"""),"0.1 Double Order")</f>
        <v>0.1 Double Order</v>
      </c>
      <c r="Q2212" s="222" t="str">
        <f>IFERROR(__xludf.DUMMYFUNCTION("""COMPUTED_VALUE"""),"20/01 Drop mini olt full (07/01) Persiapan")</f>
        <v>20/01 Drop mini olt full (07/01) Persiapan</v>
      </c>
      <c r="R2212" s="228"/>
      <c r="S2212" s="11"/>
      <c r="T2212" s="11"/>
      <c r="U2212" s="11"/>
      <c r="V2212" s="229" t="str">
        <f>IFERROR(__xludf.DUMMYFUNCTION("""COMPUTED_VALUE"""),"ONDI EKA SAPUTRA")</f>
        <v>ONDI EKA SAPUTRA</v>
      </c>
      <c r="W2212" s="229" t="str">
        <f>IFERROR(__xludf.DUMMYFUNCTION("""COMPUTED_VALUE"""),"DESLITA RAHMADANI")</f>
        <v>DESLITA RAHMADANI</v>
      </c>
      <c r="X2212" s="229" t="str">
        <f>IFERROR(__xludf.DUMMYFUNCTION("""COMPUTED_VALUE"""),"BELUM GOLIVE")</f>
        <v>BELUM GOLIVE</v>
      </c>
      <c r="Y2212" s="229"/>
      <c r="Z2212" s="229" t="str">
        <f>IFERROR(__xludf.DUMMYFUNCTION("""COMPUTED_VALUE"""),"#N/A")</f>
        <v>#N/A</v>
      </c>
      <c r="AA2212" s="229"/>
      <c r="AB2212" s="229"/>
      <c r="AC2212" s="229"/>
      <c r="AD2212" s="232"/>
      <c r="AE2212" s="233"/>
      <c r="AF2212" s="54" t="str">
        <f>IFERROR(__xludf.DUMMYFUNCTION("""COMPUTED_VALUE"""),"Draft BA DROP")</f>
        <v>Draft BA DROP</v>
      </c>
      <c r="AG2212" s="54"/>
      <c r="AH2212" s="54"/>
      <c r="AI2212" s="55" t="str">
        <f t="shared" si="211"/>
        <v/>
      </c>
      <c r="AW2212" s="234"/>
      <c r="BP2212" s="11"/>
      <c r="BQ2212" s="11"/>
      <c r="BV2212" s="158"/>
      <c r="BY2212" s="158"/>
      <c r="CB2212" s="158"/>
    </row>
    <row r="2213" ht="18.0" hidden="1" customHeight="1">
      <c r="A2213" s="222">
        <f>IFERROR(__xludf.DUMMYFUNCTION("""COMPUTED_VALUE"""),2026.0)</f>
        <v>2026</v>
      </c>
      <c r="B2213" s="221">
        <f>IFERROR(__xludf.DUMMYFUNCTION("""COMPUTED_VALUE"""),1.2174317E7)</f>
        <v>12174317</v>
      </c>
      <c r="C2213" s="222" t="str">
        <f>IFERROR(__xludf.DUMMYFUNCTION("""COMPUTED_VALUE"""),"BNK PT3 BRC 250_-1546_3384")</f>
        <v>BNK PT3 BRC 250_-1546_3384</v>
      </c>
      <c r="D2213" s="222" t="str">
        <f>IFERROR(__xludf.DUMMYFUNCTION("""COMPUTED_VALUE"""),"REGIONAL I")</f>
        <v>REGIONAL I</v>
      </c>
      <c r="E2213" s="222" t="str">
        <f>IFERROR(__xludf.DUMMYFUNCTION("""COMPUTED_VALUE"""),"BENGKULU")</f>
        <v>BENGKULU</v>
      </c>
      <c r="F2213" s="222" t="str">
        <f>IFERROR(__xludf.DUMMYFUNCTION("""COMPUTED_VALUE"""),"CRP")</f>
        <v>CRP</v>
      </c>
      <c r="G2213" s="222" t="str">
        <f>IFERROR(__xludf.DUMMYFUNCTION("""COMPUTED_VALUE"""),"SUMBAGSEL")</f>
        <v>SUMBAGSEL</v>
      </c>
      <c r="H2213" s="222" t="str">
        <f>IFERROR(__xludf.DUMMYFUNCTION("""COMPUTED_VALUE"""),"BENGKULU")</f>
        <v>BENGKULU</v>
      </c>
      <c r="I2213" s="222" t="str">
        <f>IFERROR(__xludf.DUMMYFUNCTION("""COMPUTED_VALUE"""),"Batch 2")</f>
        <v>Batch 2</v>
      </c>
      <c r="J2213" s="225">
        <f>IFERROR(__xludf.DUMMYFUNCTION("""COMPUTED_VALUE"""),1.0)</f>
        <v>1</v>
      </c>
      <c r="K2213" s="224">
        <f>IFERROR(__xludf.DUMMYFUNCTION("""COMPUTED_VALUE"""),8.0)</f>
        <v>8</v>
      </c>
      <c r="L2213" s="226">
        <f>IFERROR(__xludf.DUMMYFUNCTION("""COMPUTED_VALUE"""),851779.0)</f>
        <v>851779</v>
      </c>
      <c r="M2213" s="227">
        <f>IFERROR(__xludf.DUMMYFUNCTION("""COMPUTED_VALUE"""),6814226.0)</f>
        <v>6814226</v>
      </c>
      <c r="N2213" s="222" t="str">
        <f>IFERROR(__xludf.DUMMYFUNCTION("""COMPUTED_VALUE"""),"PT JAGO MULTI DIMENSI")</f>
        <v>PT JAGO MULTI DIMENSI</v>
      </c>
      <c r="O2213" s="222" t="str">
        <f>IFERROR(__xludf.DUMMYFUNCTION("""COMPUTED_VALUE"""),"0. DROP")</f>
        <v>0. DROP</v>
      </c>
      <c r="P2213" s="222" t="str">
        <f>IFERROR(__xludf.DUMMYFUNCTION("""COMPUTED_VALUE"""),"0.1 Double Order")</f>
        <v>0.1 Double Order</v>
      </c>
      <c r="Q2213" s="222" t="str">
        <f>IFERROR(__xludf.DUMMYFUNCTION("""COMPUTED_VALUE"""),"18/01 golive 2025 (07/01) Persiapan")</f>
        <v>18/01 golive 2025 (07/01) Persiapan</v>
      </c>
      <c r="R2213" s="228"/>
      <c r="S2213" s="11"/>
      <c r="T2213" s="11"/>
      <c r="U2213" s="11" t="str">
        <f>IFERROR(__xludf.DUMMYFUNCTION("""COMPUTED_VALUE"""),"W06-355/2025")</f>
        <v>W06-355/2025</v>
      </c>
      <c r="V2213" s="229"/>
      <c r="W2213" s="229"/>
      <c r="X2213" s="229"/>
      <c r="Y2213" s="229" t="str">
        <f>IFERROR(__xludf.DUMMYFUNCTION("""COMPUTED_VALUE"""),"DONE")</f>
        <v>DONE</v>
      </c>
      <c r="Z2213" s="229" t="str">
        <f>IFERROR(__xludf.DUMMYFUNCTION("""COMPUTED_VALUE"""),"#N/A")</f>
        <v>#N/A</v>
      </c>
      <c r="AA2213" s="229"/>
      <c r="AB2213" s="229"/>
      <c r="AC2213" s="229"/>
      <c r="AD2213" s="232"/>
      <c r="AE2213" s="233"/>
      <c r="AF2213" s="54"/>
      <c r="AG2213" s="54"/>
      <c r="AH2213" s="54"/>
      <c r="AI2213" s="55" t="str">
        <f t="shared" si="211"/>
        <v/>
      </c>
      <c r="AW2213" s="234"/>
      <c r="BP2213" s="11"/>
      <c r="BQ2213" s="11"/>
      <c r="BV2213" s="158"/>
      <c r="BY2213" s="158"/>
      <c r="CB2213" s="158"/>
    </row>
    <row r="2214" ht="18.0" hidden="1" customHeight="1">
      <c r="A2214" s="222">
        <f>IFERROR(__xludf.DUMMYFUNCTION("""COMPUTED_VALUE"""),2026.0)</f>
        <v>2026</v>
      </c>
      <c r="B2214" s="221">
        <f>IFERROR(__xludf.DUMMYFUNCTION("""COMPUTED_VALUE"""),1.1587376E7)</f>
        <v>11587376</v>
      </c>
      <c r="C2214" s="222" t="str">
        <f>IFERROR(__xludf.DUMMYFUNCTION("""COMPUTED_VALUE"""),"ACH LTM PT3 LTM-FZ D05 LAMPISANG")</f>
        <v>ACH LTM PT3 LTM-FZ D05 LAMPISANG</v>
      </c>
      <c r="D2214" s="222" t="str">
        <f>IFERROR(__xludf.DUMMYFUNCTION("""COMPUTED_VALUE"""),"REGIONAL I")</f>
        <v>REGIONAL I</v>
      </c>
      <c r="E2214" s="222" t="str">
        <f>IFERROR(__xludf.DUMMYFUNCTION("""COMPUTED_VALUE"""),"ACEH")</f>
        <v>ACEH</v>
      </c>
      <c r="F2214" s="222" t="str">
        <f>IFERROR(__xludf.DUMMYFUNCTION("""COMPUTED_VALUE"""),"LTM")</f>
        <v>LTM</v>
      </c>
      <c r="G2214" s="222" t="str">
        <f>IFERROR(__xludf.DUMMYFUNCTION("""COMPUTED_VALUE"""),"SUMBAGUT")</f>
        <v>SUMBAGUT</v>
      </c>
      <c r="H2214" s="222" t="str">
        <f>IFERROR(__xludf.DUMMYFUNCTION("""COMPUTED_VALUE"""),"BANDA ACEH")</f>
        <v>BANDA ACEH</v>
      </c>
      <c r="I2214" s="222" t="str">
        <f>IFERROR(__xludf.DUMMYFUNCTION("""COMPUTED_VALUE"""),"Batch 2")</f>
        <v>Batch 2</v>
      </c>
      <c r="J2214" s="225">
        <f>IFERROR(__xludf.DUMMYFUNCTION("""COMPUTED_VALUE"""),3.0)</f>
        <v>3</v>
      </c>
      <c r="K2214" s="224">
        <f>IFERROR(__xludf.DUMMYFUNCTION("""COMPUTED_VALUE"""),24.0)</f>
        <v>24</v>
      </c>
      <c r="L2214" s="226">
        <f>IFERROR(__xludf.DUMMYFUNCTION("""COMPUTED_VALUE"""),1092395.0)</f>
        <v>1092395</v>
      </c>
      <c r="M2214" s="227">
        <f>IFERROR(__xludf.DUMMYFUNCTION("""COMPUTED_VALUE"""),2.6217466E7)</f>
        <v>26217466</v>
      </c>
      <c r="N2214" s="222" t="str">
        <f>IFERROR(__xludf.DUMMYFUNCTION("""COMPUTED_VALUE"""),"PT NURISA JAYA PERKASA")</f>
        <v>PT NURISA JAYA PERKASA</v>
      </c>
      <c r="O2214" s="222" t="str">
        <f>IFERROR(__xludf.DUMMYFUNCTION("""COMPUTED_VALUE"""),"0. DROP")</f>
        <v>0. DROP</v>
      </c>
      <c r="P2214" s="222" t="str">
        <f>IFERROR(__xludf.DUMMYFUNCTION("""COMPUTED_VALUE"""),"0.1 Double Order")</f>
        <v>0.1 Double Order</v>
      </c>
      <c r="Q2214" s="222" t="str">
        <f>IFERROR(__xludf.DUMMYFUNCTION("""COMPUTED_VALUE"""),"18/01 golive 2025 (07/01) Persiapan")</f>
        <v>18/01 golive 2025 (07/01) Persiapan</v>
      </c>
      <c r="R2214" s="228"/>
      <c r="S2214" s="11"/>
      <c r="T2214" s="11"/>
      <c r="U2214" s="11"/>
      <c r="V2214" s="229"/>
      <c r="W2214" s="229"/>
      <c r="X2214" s="229"/>
      <c r="Y2214" s="229" t="str">
        <f>IFERROR(__xludf.DUMMYFUNCTION("""COMPUTED_VALUE"""),"DONE")</f>
        <v>DONE</v>
      </c>
      <c r="Z2214" s="229" t="str">
        <f>IFERROR(__xludf.DUMMYFUNCTION("""COMPUTED_VALUE"""),"#N/A")</f>
        <v>#N/A</v>
      </c>
      <c r="AA2214" s="229"/>
      <c r="AB2214" s="229"/>
      <c r="AC2214" s="229"/>
      <c r="AD2214" s="232"/>
      <c r="AE2214" s="233"/>
      <c r="AF2214" s="54" t="str">
        <f>IFERROR(__xludf.DUMMYFUNCTION("""COMPUTED_VALUE"""),"Draft BA DROP")</f>
        <v>Draft BA DROP</v>
      </c>
      <c r="AG2214" s="54"/>
      <c r="AH2214" s="54"/>
      <c r="AI2214" s="55" t="str">
        <f t="shared" si="211"/>
        <v/>
      </c>
      <c r="AW2214" s="234"/>
      <c r="BP2214" s="11"/>
      <c r="BQ2214" s="11"/>
      <c r="BV2214" s="158"/>
      <c r="BY2214" s="158"/>
      <c r="CB2214" s="158"/>
    </row>
    <row r="2215" ht="18.0" hidden="1" customHeight="1">
      <c r="A2215" s="222">
        <f>IFERROR(__xludf.DUMMYFUNCTION("""COMPUTED_VALUE"""),2026.0)</f>
        <v>2026</v>
      </c>
      <c r="B2215" s="221">
        <f>IFERROR(__xludf.DUMMYFUNCTION("""COMPUTED_VALUE"""),1.1189118E7)</f>
        <v>11189118</v>
      </c>
      <c r="C2215" s="222" t="str">
        <f>IFERROR(__xludf.DUMMYFUNCTION("""COMPUTED_VALUE"""),"MDN PT3 P7I10 LBP-FA JL.PRONA 1")</f>
        <v>MDN PT3 P7I10 LBP-FA JL.PRONA 1</v>
      </c>
      <c r="D2215" s="222" t="str">
        <f>IFERROR(__xludf.DUMMYFUNCTION("""COMPUTED_VALUE"""),"REGIONAL I")</f>
        <v>REGIONAL I</v>
      </c>
      <c r="E2215" s="222" t="str">
        <f>IFERROR(__xludf.DUMMYFUNCTION("""COMPUTED_VALUE"""),"MEDAN")</f>
        <v>MEDAN</v>
      </c>
      <c r="F2215" s="222" t="str">
        <f>IFERROR(__xludf.DUMMYFUNCTION("""COMPUTED_VALUE"""),"LBP")</f>
        <v>LBP</v>
      </c>
      <c r="G2215" s="222" t="str">
        <f>IFERROR(__xludf.DUMMYFUNCTION("""COMPUTED_VALUE"""),"SUMBAGUT")</f>
        <v>SUMBAGUT</v>
      </c>
      <c r="H2215" s="222" t="str">
        <f>IFERROR(__xludf.DUMMYFUNCTION("""COMPUTED_VALUE"""),"MEDAN")</f>
        <v>MEDAN</v>
      </c>
      <c r="I2215" s="222" t="str">
        <f>IFERROR(__xludf.DUMMYFUNCTION("""COMPUTED_VALUE"""),"Batch 2")</f>
        <v>Batch 2</v>
      </c>
      <c r="J2215" s="225">
        <f>IFERROR(__xludf.DUMMYFUNCTION("""COMPUTED_VALUE"""),3.0)</f>
        <v>3</v>
      </c>
      <c r="K2215" s="224">
        <f>IFERROR(__xludf.DUMMYFUNCTION("""COMPUTED_VALUE"""),24.0)</f>
        <v>24</v>
      </c>
      <c r="L2215" s="226">
        <f>IFERROR(__xludf.DUMMYFUNCTION("""COMPUTED_VALUE"""),986637.0)</f>
        <v>986637</v>
      </c>
      <c r="M2215" s="227">
        <f>IFERROR(__xludf.DUMMYFUNCTION("""COMPUTED_VALUE"""),2.3679277E7)</f>
        <v>23679277</v>
      </c>
      <c r="N2215" s="222" t="str">
        <f>IFERROR(__xludf.DUMMYFUNCTION("""COMPUTED_VALUE"""),"PT UPAYA TEKNIK")</f>
        <v>PT UPAYA TEKNIK</v>
      </c>
      <c r="O2215" s="222" t="str">
        <f>IFERROR(__xludf.DUMMYFUNCTION("""COMPUTED_VALUE"""),"8. UJI TERIMA")</f>
        <v>8. UJI TERIMA</v>
      </c>
      <c r="P2215" s="222" t="str">
        <f>IFERROR(__xludf.DUMMYFUNCTION("""COMPUTED_VALUE"""),"8.1 Proses UT")</f>
        <v>8.1 Proses UT</v>
      </c>
      <c r="Q2215" s="222" t="str">
        <f>IFERROR(__xludf.DUMMYFUNCTION("""COMPUTED_VALUE"""),"(07/01) Persiapan")</f>
        <v>(07/01) Persiapan</v>
      </c>
      <c r="R2215" s="228">
        <f>IFERROR(__xludf.DUMMYFUNCTION("""COMPUTED_VALUE"""),46036.0)</f>
        <v>46036</v>
      </c>
      <c r="S2215" s="11"/>
      <c r="T2215" s="11"/>
      <c r="U2215" s="11" t="str">
        <f>IFERROR(__xludf.DUMMYFUNCTION("""COMPUTED_VALUE"""),"FALSE")</f>
        <v>FALSE</v>
      </c>
      <c r="V2215" s="229"/>
      <c r="W2215" s="229"/>
      <c r="X2215" s="229" t="str">
        <f>IFERROR(__xludf.DUMMYFUNCTION("""COMPUTED_VALUE"""),"GOLIVE")</f>
        <v>GOLIVE</v>
      </c>
      <c r="Y2215" s="229" t="str">
        <f>IFERROR(__xludf.DUMMYFUNCTION("""COMPUTED_VALUE"""),"DONE")</f>
        <v>DONE</v>
      </c>
      <c r="Z2215" s="229" t="str">
        <f>IFERROR(__xludf.DUMMYFUNCTION("""COMPUTED_VALUE"""),"#N/A")</f>
        <v>#N/A</v>
      </c>
      <c r="AA2215" s="229">
        <f>IFERROR(__xludf.DUMMYFUNCTION("""COMPUTED_VALUE"""),3.0)</f>
        <v>3</v>
      </c>
      <c r="AB2215" s="229"/>
      <c r="AC2215" s="229" t="str">
        <f>IFERROR(__xludf.DUMMYFUNCTION("""COMPUTED_VALUE"""),"8803912#8803917")</f>
        <v>8803912#8803917</v>
      </c>
      <c r="AD2215" s="232">
        <f>IFERROR(__xludf.DUMMYFUNCTION("""COMPUTED_VALUE"""),24.0)</f>
        <v>24</v>
      </c>
      <c r="AE2215" s="233">
        <f>IFERROR(__xludf.DUMMYFUNCTION("""COMPUTED_VALUE"""),46036.0)</f>
        <v>46036</v>
      </c>
      <c r="AF2215" s="54"/>
      <c r="AG2215" s="54"/>
      <c r="AH2215" s="54">
        <v>46036.0</v>
      </c>
      <c r="AI2215" s="55">
        <f t="shared" si="211"/>
        <v>0</v>
      </c>
      <c r="AW2215" s="234"/>
      <c r="BP2215" s="11"/>
      <c r="BQ2215" s="11"/>
      <c r="BV2215" s="158"/>
      <c r="BY2215" s="158"/>
      <c r="CB2215" s="158"/>
    </row>
    <row r="2216" ht="18.0" hidden="1" customHeight="1">
      <c r="A2216" s="222">
        <f>IFERROR(__xludf.DUMMYFUNCTION("""COMPUTED_VALUE"""),2026.0)</f>
        <v>2026</v>
      </c>
      <c r="B2216" s="221">
        <f>IFERROR(__xludf.DUMMYFUNCTION("""COMPUTED_VALUE"""),1.1192613E7)</f>
        <v>11192613</v>
      </c>
      <c r="C2216" s="222" t="str">
        <f>IFERROR(__xludf.DUMMYFUNCTION("""COMPUTED_VALUE"""),"MDN PT3 TMU-FAD JL.RAHAYU GG.TANPA NAMA")</f>
        <v>MDN PT3 TMU-FAD JL.RAHAYU GG.TANPA NAMA</v>
      </c>
      <c r="D2216" s="222" t="str">
        <f>IFERROR(__xludf.DUMMYFUNCTION("""COMPUTED_VALUE"""),"REGIONAL I")</f>
        <v>REGIONAL I</v>
      </c>
      <c r="E2216" s="222" t="str">
        <f>IFERROR(__xludf.DUMMYFUNCTION("""COMPUTED_VALUE"""),"MEDAN")</f>
        <v>MEDAN</v>
      </c>
      <c r="F2216" s="222" t="str">
        <f>IFERROR(__xludf.DUMMYFUNCTION("""COMPUTED_VALUE"""),"TMU")</f>
        <v>TMU</v>
      </c>
      <c r="G2216" s="222" t="str">
        <f>IFERROR(__xludf.DUMMYFUNCTION("""COMPUTED_VALUE"""),"SUMBAGUT")</f>
        <v>SUMBAGUT</v>
      </c>
      <c r="H2216" s="222" t="str">
        <f>IFERROR(__xludf.DUMMYFUNCTION("""COMPUTED_VALUE"""),"MEDAN")</f>
        <v>MEDAN</v>
      </c>
      <c r="I2216" s="222" t="str">
        <f>IFERROR(__xludf.DUMMYFUNCTION("""COMPUTED_VALUE"""),"Batch 2")</f>
        <v>Batch 2</v>
      </c>
      <c r="J2216" s="225">
        <f>IFERROR(__xludf.DUMMYFUNCTION("""COMPUTED_VALUE"""),1.0)</f>
        <v>1</v>
      </c>
      <c r="K2216" s="224">
        <f>IFERROR(__xludf.DUMMYFUNCTION("""COMPUTED_VALUE"""),8.0)</f>
        <v>8</v>
      </c>
      <c r="L2216" s="226">
        <f>IFERROR(__xludf.DUMMYFUNCTION("""COMPUTED_VALUE"""),1220597.0)</f>
        <v>1220597</v>
      </c>
      <c r="M2216" s="227">
        <f>IFERROR(__xludf.DUMMYFUNCTION("""COMPUTED_VALUE"""),9764773.0)</f>
        <v>9764773</v>
      </c>
      <c r="N2216" s="222" t="str">
        <f>IFERROR(__xludf.DUMMYFUNCTION("""COMPUTED_VALUE"""),"PT BENWA  MITRA PRATAMA")</f>
        <v>PT BENWA  MITRA PRATAMA</v>
      </c>
      <c r="O2216" s="222" t="str">
        <f>IFERROR(__xludf.DUMMYFUNCTION("""COMPUTED_VALUE"""),"8. UJI TERIMA")</f>
        <v>8. UJI TERIMA</v>
      </c>
      <c r="P2216" s="222" t="str">
        <f>IFERROR(__xludf.DUMMYFUNCTION("""COMPUTED_VALUE"""),"8.1 Proses UT")</f>
        <v>8.1 Proses UT</v>
      </c>
      <c r="Q2216" s="222" t="str">
        <f>IFERROR(__xludf.DUMMYFUNCTION("""COMPUTED_VALUE"""),"(07/01) Persiapan")</f>
        <v>(07/01) Persiapan</v>
      </c>
      <c r="R2216" s="228">
        <f>IFERROR(__xludf.DUMMYFUNCTION("""COMPUTED_VALUE"""),46035.0)</f>
        <v>46035</v>
      </c>
      <c r="S2216" s="11"/>
      <c r="T2216" s="11"/>
      <c r="U2216" s="11" t="str">
        <f>IFERROR(__xludf.DUMMYFUNCTION("""COMPUTED_VALUE"""),"FALSE")</f>
        <v>FALSE</v>
      </c>
      <c r="V2216" s="229"/>
      <c r="W2216" s="229"/>
      <c r="X2216" s="229" t="str">
        <f>IFERROR(__xludf.DUMMYFUNCTION("""COMPUTED_VALUE"""),"GOLIVE")</f>
        <v>GOLIVE</v>
      </c>
      <c r="Y2216" s="229" t="str">
        <f>IFERROR(__xludf.DUMMYFUNCTION("""COMPUTED_VALUE"""),"DONE")</f>
        <v>DONE</v>
      </c>
      <c r="Z2216" s="229" t="str">
        <f>IFERROR(__xludf.DUMMYFUNCTION("""COMPUTED_VALUE"""),"#N/A")</f>
        <v>#N/A</v>
      </c>
      <c r="AA2216" s="229">
        <f>IFERROR(__xludf.DUMMYFUNCTION("""COMPUTED_VALUE"""),1.0)</f>
        <v>1</v>
      </c>
      <c r="AB2216" s="229"/>
      <c r="AC2216" s="229" t="str">
        <f>IFERROR(__xludf.DUMMYFUNCTION("""COMPUTED_VALUE"""),"8804303#8804308")</f>
        <v>8804303#8804308</v>
      </c>
      <c r="AD2216" s="232">
        <f>IFERROR(__xludf.DUMMYFUNCTION("""COMPUTED_VALUE"""),8.0)</f>
        <v>8</v>
      </c>
      <c r="AE2216" s="233">
        <f>IFERROR(__xludf.DUMMYFUNCTION("""COMPUTED_VALUE"""),46035.0)</f>
        <v>46035</v>
      </c>
      <c r="AF2216" s="54"/>
      <c r="AG2216" s="54"/>
      <c r="AH2216" s="54">
        <v>46035.0</v>
      </c>
      <c r="AI2216" s="55">
        <f t="shared" si="211"/>
        <v>0</v>
      </c>
      <c r="AW2216" s="234"/>
      <c r="BP2216" s="11"/>
      <c r="BQ2216" s="11"/>
      <c r="BV2216" s="158"/>
      <c r="BY2216" s="158"/>
      <c r="CB2216" s="158"/>
    </row>
    <row r="2217" ht="18.0" hidden="1" customHeight="1">
      <c r="A2217" s="222">
        <f>IFERROR(__xludf.DUMMYFUNCTION("""COMPUTED_VALUE"""),2026.0)</f>
        <v>2026</v>
      </c>
      <c r="B2217" s="221">
        <f>IFERROR(__xludf.DUMMYFUNCTION("""COMPUTED_VALUE"""),1.1272402E7)</f>
        <v>11272402</v>
      </c>
      <c r="C2217" s="222" t="str">
        <f>IFERROR(__xludf.DUMMYFUNCTION("""COMPUTED_VALUE"""),"MDN PT3 P1I1 TMU-FAD JL.ANGSANA RAYA")</f>
        <v>MDN PT3 P1I1 TMU-FAD JL.ANGSANA RAYA</v>
      </c>
      <c r="D2217" s="222" t="str">
        <f>IFERROR(__xludf.DUMMYFUNCTION("""COMPUTED_VALUE"""),"REGIONAL I")</f>
        <v>REGIONAL I</v>
      </c>
      <c r="E2217" s="222" t="str">
        <f>IFERROR(__xludf.DUMMYFUNCTION("""COMPUTED_VALUE"""),"MEDAN")</f>
        <v>MEDAN</v>
      </c>
      <c r="F2217" s="222" t="str">
        <f>IFERROR(__xludf.DUMMYFUNCTION("""COMPUTED_VALUE"""),"TMU")</f>
        <v>TMU</v>
      </c>
      <c r="G2217" s="222" t="str">
        <f>IFERROR(__xludf.DUMMYFUNCTION("""COMPUTED_VALUE"""),"SUMBAGUT")</f>
        <v>SUMBAGUT</v>
      </c>
      <c r="H2217" s="222" t="str">
        <f>IFERROR(__xludf.DUMMYFUNCTION("""COMPUTED_VALUE"""),"MEDAN")</f>
        <v>MEDAN</v>
      </c>
      <c r="I2217" s="222" t="str">
        <f>IFERROR(__xludf.DUMMYFUNCTION("""COMPUTED_VALUE"""),"Batch 2")</f>
        <v>Batch 2</v>
      </c>
      <c r="J2217" s="225">
        <f>IFERROR(__xludf.DUMMYFUNCTION("""COMPUTED_VALUE"""),2.0)</f>
        <v>2</v>
      </c>
      <c r="K2217" s="224">
        <f>IFERROR(__xludf.DUMMYFUNCTION("""COMPUTED_VALUE"""),16.0)</f>
        <v>16</v>
      </c>
      <c r="L2217" s="226">
        <f>IFERROR(__xludf.DUMMYFUNCTION("""COMPUTED_VALUE"""),672161.0)</f>
        <v>672161</v>
      </c>
      <c r="M2217" s="227">
        <f>IFERROR(__xludf.DUMMYFUNCTION("""COMPUTED_VALUE"""),1.0754574E7)</f>
        <v>10754574</v>
      </c>
      <c r="N2217" s="222" t="str">
        <f>IFERROR(__xludf.DUMMYFUNCTION("""COMPUTED_VALUE"""),"PT BENWA  MITRA PRATAMA")</f>
        <v>PT BENWA  MITRA PRATAMA</v>
      </c>
      <c r="O2217" s="222" t="str">
        <f>IFERROR(__xludf.DUMMYFUNCTION("""COMPUTED_VALUE"""),"8. UJI TERIMA")</f>
        <v>8. UJI TERIMA</v>
      </c>
      <c r="P2217" s="222" t="str">
        <f>IFERROR(__xludf.DUMMYFUNCTION("""COMPUTED_VALUE"""),"8.1 Proses UT")</f>
        <v>8.1 Proses UT</v>
      </c>
      <c r="Q2217" s="222" t="str">
        <f>IFERROR(__xludf.DUMMYFUNCTION("""COMPUTED_VALUE"""),"(07/01) Persiapan")</f>
        <v>(07/01) Persiapan</v>
      </c>
      <c r="R2217" s="228">
        <f>IFERROR(__xludf.DUMMYFUNCTION("""COMPUTED_VALUE"""),46036.0)</f>
        <v>46036</v>
      </c>
      <c r="S2217" s="11"/>
      <c r="T2217" s="11"/>
      <c r="U2217" s="11" t="str">
        <f>IFERROR(__xludf.DUMMYFUNCTION("""COMPUTED_VALUE"""),"FALSE")</f>
        <v>FALSE</v>
      </c>
      <c r="V2217" s="229"/>
      <c r="W2217" s="229"/>
      <c r="X2217" s="229" t="str">
        <f>IFERROR(__xludf.DUMMYFUNCTION("""COMPUTED_VALUE"""),"GOLIVE")</f>
        <v>GOLIVE</v>
      </c>
      <c r="Y2217" s="229" t="str">
        <f>IFERROR(__xludf.DUMMYFUNCTION("""COMPUTED_VALUE"""),"DONE")</f>
        <v>DONE</v>
      </c>
      <c r="Z2217" s="229" t="str">
        <f>IFERROR(__xludf.DUMMYFUNCTION("""COMPUTED_VALUE"""),"#N/A")</f>
        <v>#N/A</v>
      </c>
      <c r="AA2217" s="229">
        <f>IFERROR(__xludf.DUMMYFUNCTION("""COMPUTED_VALUE"""),2.0)</f>
        <v>2</v>
      </c>
      <c r="AB2217" s="229"/>
      <c r="AC2217" s="229" t="str">
        <f>IFERROR(__xludf.DUMMYFUNCTION("""COMPUTED_VALUE"""),"8816143#8816148")</f>
        <v>8816143#8816148</v>
      </c>
      <c r="AD2217" s="232">
        <f>IFERROR(__xludf.DUMMYFUNCTION("""COMPUTED_VALUE"""),16.0)</f>
        <v>16</v>
      </c>
      <c r="AE2217" s="233">
        <f>IFERROR(__xludf.DUMMYFUNCTION("""COMPUTED_VALUE"""),46036.0)</f>
        <v>46036</v>
      </c>
      <c r="AF2217" s="54"/>
      <c r="AG2217" s="54"/>
      <c r="AH2217" s="54">
        <v>46036.0</v>
      </c>
      <c r="AI2217" s="55">
        <f t="shared" si="211"/>
        <v>0</v>
      </c>
      <c r="AW2217" s="234"/>
      <c r="BP2217" s="11"/>
      <c r="BQ2217" s="11"/>
      <c r="BV2217" s="158"/>
      <c r="BY2217" s="158"/>
      <c r="CB2217" s="158"/>
    </row>
    <row r="2218" ht="18.0" hidden="1" customHeight="1">
      <c r="A2218" s="222">
        <f>IFERROR(__xludf.DUMMYFUNCTION("""COMPUTED_VALUE"""),2026.0)</f>
        <v>2026</v>
      </c>
      <c r="B2218" s="221">
        <f>IFERROR(__xludf.DUMMYFUNCTION("""COMPUTED_VALUE"""),1.1411124E7)</f>
        <v>11411124</v>
      </c>
      <c r="C2218" s="222" t="str">
        <f>IFERROR(__xludf.DUMMYFUNCTION("""COMPUTED_VALUE"""),"BNK-PT3-BRC-CRP-KEPAHIANG_904")</f>
        <v>BNK-PT3-BRC-CRP-KEPAHIANG_904</v>
      </c>
      <c r="D2218" s="222" t="str">
        <f>IFERROR(__xludf.DUMMYFUNCTION("""COMPUTED_VALUE"""),"REGIONAL I")</f>
        <v>REGIONAL I</v>
      </c>
      <c r="E2218" s="222" t="str">
        <f>IFERROR(__xludf.DUMMYFUNCTION("""COMPUTED_VALUE"""),"BENGKULU")</f>
        <v>BENGKULU</v>
      </c>
      <c r="F2218" s="222" t="str">
        <f>IFERROR(__xludf.DUMMYFUNCTION("""COMPUTED_VALUE"""),"CRP")</f>
        <v>CRP</v>
      </c>
      <c r="G2218" s="222" t="str">
        <f>IFERROR(__xludf.DUMMYFUNCTION("""COMPUTED_VALUE"""),"SUMBAGSEL")</f>
        <v>SUMBAGSEL</v>
      </c>
      <c r="H2218" s="222" t="str">
        <f>IFERROR(__xludf.DUMMYFUNCTION("""COMPUTED_VALUE"""),"BENGKULU")</f>
        <v>BENGKULU</v>
      </c>
      <c r="I2218" s="222" t="str">
        <f>IFERROR(__xludf.DUMMYFUNCTION("""COMPUTED_VALUE"""),"Batch 2")</f>
        <v>Batch 2</v>
      </c>
      <c r="J2218" s="225">
        <f>IFERROR(__xludf.DUMMYFUNCTION("""COMPUTED_VALUE"""),10.0)</f>
        <v>10</v>
      </c>
      <c r="K2218" s="224">
        <f>IFERROR(__xludf.DUMMYFUNCTION("""COMPUTED_VALUE"""),80.0)</f>
        <v>80</v>
      </c>
      <c r="L2218" s="226">
        <f>IFERROR(__xludf.DUMMYFUNCTION("""COMPUTED_VALUE"""),1270127.0)</f>
        <v>1270127</v>
      </c>
      <c r="M2218" s="227">
        <f>IFERROR(__xludf.DUMMYFUNCTION("""COMPUTED_VALUE"""),1.01610096E8)</f>
        <v>101610096</v>
      </c>
      <c r="N2218" s="222" t="str">
        <f>IFERROR(__xludf.DUMMYFUNCTION("""COMPUTED_VALUE"""),"PT TELAGA RESTU ABADI")</f>
        <v>PT TELAGA RESTU ABADI</v>
      </c>
      <c r="O2218" s="222" t="str">
        <f>IFERROR(__xludf.DUMMYFUNCTION("""COMPUTED_VALUE"""),"7. GOLIVE")</f>
        <v>7. GOLIVE</v>
      </c>
      <c r="P2218" s="222" t="str">
        <f>IFERROR(__xludf.DUMMYFUNCTION("""COMPUTED_VALUE"""),"7.2 Golive Full / OA / DONE OTB")</f>
        <v>7.2 Golive Full / OA / DONE OTB</v>
      </c>
      <c r="Q2218" s="222" t="str">
        <f>IFERROR(__xludf.DUMMYFUNCTION("""COMPUTED_VALUE"""),"Golive")</f>
        <v>Golive</v>
      </c>
      <c r="R2218" s="228"/>
      <c r="S2218" s="11"/>
      <c r="T2218" s="11"/>
      <c r="U2218" s="11" t="str">
        <f>IFERROR(__xludf.DUMMYFUNCTION("""COMPUTED_VALUE"""),"W06-315/2025")</f>
        <v>W06-315/2025</v>
      </c>
      <c r="V2218" s="229"/>
      <c r="W2218" s="229"/>
      <c r="X2218" s="229" t="str">
        <f>IFERROR(__xludf.DUMMYFUNCTION("""COMPUTED_VALUE"""),"GOLIVE")</f>
        <v>GOLIVE</v>
      </c>
      <c r="Y2218" s="229" t="str">
        <f>IFERROR(__xludf.DUMMYFUNCTION("""COMPUTED_VALUE"""),"DONE")</f>
        <v>DONE</v>
      </c>
      <c r="Z2218" s="229" t="str">
        <f>IFERROR(__xludf.DUMMYFUNCTION("""COMPUTED_VALUE"""),"#N/A")</f>
        <v>#N/A</v>
      </c>
      <c r="AA2218" s="229">
        <f>IFERROR(__xludf.DUMMYFUNCTION("""COMPUTED_VALUE"""),10.0)</f>
        <v>10</v>
      </c>
      <c r="AB2218" s="229"/>
      <c r="AC2218" s="229" t="str">
        <f>IFERROR(__xludf.DUMMYFUNCTION("""COMPUTED_VALUE"""),"8836802#8836807")</f>
        <v>8836802#8836807</v>
      </c>
      <c r="AD2218" s="232">
        <f>IFERROR(__xludf.DUMMYFUNCTION("""COMPUTED_VALUE"""),80.0)</f>
        <v>80</v>
      </c>
      <c r="AE2218" s="233">
        <f>IFERROR(__xludf.DUMMYFUNCTION("""COMPUTED_VALUE"""),46029.0)</f>
        <v>46029</v>
      </c>
      <c r="AF2218" s="54"/>
      <c r="AG2218" s="54"/>
      <c r="AH2218" s="54"/>
      <c r="AI2218" s="55" t="str">
        <f t="shared" si="211"/>
        <v/>
      </c>
      <c r="AW2218" s="234"/>
      <c r="BP2218" s="11"/>
      <c r="BQ2218" s="11"/>
      <c r="BV2218" s="158"/>
      <c r="BY2218" s="158"/>
      <c r="CB2218" s="158"/>
    </row>
    <row r="2219" ht="18.0" hidden="1" customHeight="1">
      <c r="A2219" s="222">
        <f>IFERROR(__xludf.DUMMYFUNCTION("""COMPUTED_VALUE"""),2026.0)</f>
        <v>2026</v>
      </c>
      <c r="B2219" s="221">
        <f>IFERROR(__xludf.DUMMYFUNCTION("""COMPUTED_VALUE"""),1.1241834E7)</f>
        <v>11241834</v>
      </c>
      <c r="C2219" s="222" t="str">
        <f>IFERROR(__xludf.DUMMYFUNCTION("""COMPUTED_VALUE"""),"MDN PT3 P1I1 SPM-FBN JL.EKA SAMA")</f>
        <v>MDN PT3 P1I1 SPM-FBN JL.EKA SAMA</v>
      </c>
      <c r="D2219" s="222" t="str">
        <f>IFERROR(__xludf.DUMMYFUNCTION("""COMPUTED_VALUE"""),"REGIONAL I")</f>
        <v>REGIONAL I</v>
      </c>
      <c r="E2219" s="222" t="str">
        <f>IFERROR(__xludf.DUMMYFUNCTION("""COMPUTED_VALUE"""),"MEDAN")</f>
        <v>MEDAN</v>
      </c>
      <c r="F2219" s="222" t="str">
        <f>IFERROR(__xludf.DUMMYFUNCTION("""COMPUTED_VALUE"""),"SPM")</f>
        <v>SPM</v>
      </c>
      <c r="G2219" s="222" t="str">
        <f>IFERROR(__xludf.DUMMYFUNCTION("""COMPUTED_VALUE"""),"SUMBAGUT")</f>
        <v>SUMBAGUT</v>
      </c>
      <c r="H2219" s="222" t="str">
        <f>IFERROR(__xludf.DUMMYFUNCTION("""COMPUTED_VALUE"""),"MEDAN")</f>
        <v>MEDAN</v>
      </c>
      <c r="I2219" s="222" t="str">
        <f>IFERROR(__xludf.DUMMYFUNCTION("""COMPUTED_VALUE"""),"Batch 2")</f>
        <v>Batch 2</v>
      </c>
      <c r="J2219" s="225">
        <f>IFERROR(__xludf.DUMMYFUNCTION("""COMPUTED_VALUE"""),7.0)</f>
        <v>7</v>
      </c>
      <c r="K2219" s="224">
        <f>IFERROR(__xludf.DUMMYFUNCTION("""COMPUTED_VALUE"""),56.0)</f>
        <v>56</v>
      </c>
      <c r="L2219" s="226">
        <f>IFERROR(__xludf.DUMMYFUNCTION("""COMPUTED_VALUE"""),1081536.0)</f>
        <v>1081536</v>
      </c>
      <c r="M2219" s="227">
        <f>IFERROR(__xludf.DUMMYFUNCTION("""COMPUTED_VALUE"""),6.0566014E7)</f>
        <v>60566014</v>
      </c>
      <c r="N2219" s="222" t="str">
        <f>IFERROR(__xludf.DUMMYFUNCTION("""COMPUTED_VALUE"""),"PT UPENTEL INTERNASIONAL")</f>
        <v>PT UPENTEL INTERNASIONAL</v>
      </c>
      <c r="O2219" s="222" t="str">
        <f>IFERROR(__xludf.DUMMYFUNCTION("""COMPUTED_VALUE"""),"8. UJI TERIMA")</f>
        <v>8. UJI TERIMA</v>
      </c>
      <c r="P2219" s="222" t="str">
        <f>IFERROR(__xludf.DUMMYFUNCTION("""COMPUTED_VALUE"""),"8.1 Proses UT")</f>
        <v>8.1 Proses UT</v>
      </c>
      <c r="Q2219" s="222" t="str">
        <f>IFERROR(__xludf.DUMMYFUNCTION("""COMPUTED_VALUE"""),"18/01 golive 2025 (07/01) Persiapan")</f>
        <v>18/01 golive 2025 (07/01) Persiapan</v>
      </c>
      <c r="R2219" s="228">
        <f>IFERROR(__xludf.DUMMYFUNCTION("""COMPUTED_VALUE"""),46024.0)</f>
        <v>46024</v>
      </c>
      <c r="S2219" s="11"/>
      <c r="T2219" s="11"/>
      <c r="U2219" s="11" t="str">
        <f>IFERROR(__xludf.DUMMYFUNCTION("""COMPUTED_VALUE"""),"FALSE")</f>
        <v>FALSE</v>
      </c>
      <c r="V2219" s="229"/>
      <c r="W2219" s="229"/>
      <c r="X2219" s="229" t="str">
        <f>IFERROR(__xludf.DUMMYFUNCTION("""COMPUTED_VALUE"""),"GOLIVE")</f>
        <v>GOLIVE</v>
      </c>
      <c r="Y2219" s="229" t="str">
        <f>IFERROR(__xludf.DUMMYFUNCTION("""COMPUTED_VALUE"""),"DONE")</f>
        <v>DONE</v>
      </c>
      <c r="Z2219" s="229" t="str">
        <f>IFERROR(__xludf.DUMMYFUNCTION("""COMPUTED_VALUE"""),"#N/A")</f>
        <v>#N/A</v>
      </c>
      <c r="AA2219" s="229">
        <f>IFERROR(__xludf.DUMMYFUNCTION("""COMPUTED_VALUE"""),7.0)</f>
        <v>7</v>
      </c>
      <c r="AB2219" s="229"/>
      <c r="AC2219" s="229" t="str">
        <f>IFERROR(__xludf.DUMMYFUNCTION("""COMPUTED_VALUE"""),"8777345#8777355")</f>
        <v>8777345#8777355</v>
      </c>
      <c r="AD2219" s="232">
        <f>IFERROR(__xludf.DUMMYFUNCTION("""COMPUTED_VALUE"""),56.0)</f>
        <v>56</v>
      </c>
      <c r="AE2219" s="233">
        <f>IFERROR(__xludf.DUMMYFUNCTION("""COMPUTED_VALUE"""),46024.0)</f>
        <v>46024</v>
      </c>
      <c r="AF2219" s="54"/>
      <c r="AG2219" s="54"/>
      <c r="AH2219" s="54">
        <v>46024.0</v>
      </c>
      <c r="AI2219" s="55">
        <f t="shared" si="211"/>
        <v>0</v>
      </c>
      <c r="AW2219" s="234"/>
      <c r="BP2219" s="11"/>
      <c r="BQ2219" s="11"/>
      <c r="BV2219" s="158"/>
      <c r="BY2219" s="158"/>
      <c r="CB2219" s="158"/>
    </row>
    <row r="2220" ht="18.0" hidden="1" customHeight="1">
      <c r="A2220" s="222">
        <f>IFERROR(__xludf.DUMMYFUNCTION("""COMPUTED_VALUE"""),2026.0)</f>
        <v>2026</v>
      </c>
      <c r="B2220" s="221">
        <f>IFERROR(__xludf.DUMMYFUNCTION("""COMPUTED_VALUE"""),1.1252441E7)</f>
        <v>11252441</v>
      </c>
      <c r="C2220" s="222" t="str">
        <f>IFERROR(__xludf.DUMMYFUNCTION("""COMPUTED_VALUE"""),"JBI-PT 3-BRANCHING-TTJ-FB-Bayu suryani")</f>
        <v>JBI-PT 3-BRANCHING-TTJ-FB-Bayu suryani</v>
      </c>
      <c r="D2220" s="222" t="str">
        <f>IFERROR(__xludf.DUMMYFUNCTION("""COMPUTED_VALUE"""),"REGIONAL I")</f>
        <v>REGIONAL I</v>
      </c>
      <c r="E2220" s="222" t="str">
        <f>IFERROR(__xludf.DUMMYFUNCTION("""COMPUTED_VALUE"""),"JAMBI")</f>
        <v>JAMBI</v>
      </c>
      <c r="F2220" s="222" t="str">
        <f>IFERROR(__xludf.DUMMYFUNCTION("""COMPUTED_VALUE"""),"TTJ")</f>
        <v>TTJ</v>
      </c>
      <c r="G2220" s="222" t="str">
        <f>IFERROR(__xludf.DUMMYFUNCTION("""COMPUTED_VALUE"""),"SUMBAGSEL")</f>
        <v>SUMBAGSEL</v>
      </c>
      <c r="H2220" s="222" t="str">
        <f>IFERROR(__xludf.DUMMYFUNCTION("""COMPUTED_VALUE"""),"JAMBI")</f>
        <v>JAMBI</v>
      </c>
      <c r="I2220" s="222" t="str">
        <f>IFERROR(__xludf.DUMMYFUNCTION("""COMPUTED_VALUE"""),"Batch 2")</f>
        <v>Batch 2</v>
      </c>
      <c r="J2220" s="225">
        <f>IFERROR(__xludf.DUMMYFUNCTION("""COMPUTED_VALUE"""),1.0)</f>
        <v>1</v>
      </c>
      <c r="K2220" s="224">
        <f>IFERROR(__xludf.DUMMYFUNCTION("""COMPUTED_VALUE"""),8.0)</f>
        <v>8</v>
      </c>
      <c r="L2220" s="226">
        <f>IFERROR(__xludf.DUMMYFUNCTION("""COMPUTED_VALUE"""),1074464.0)</f>
        <v>1074464</v>
      </c>
      <c r="M2220" s="227">
        <f>IFERROR(__xludf.DUMMYFUNCTION("""COMPUTED_VALUE"""),8595708.0)</f>
        <v>8595708</v>
      </c>
      <c r="N2220" s="222" t="str">
        <f>IFERROR(__xludf.DUMMYFUNCTION("""COMPUTED_VALUE"""),"PT TSUIKA BERKAH RAYA")</f>
        <v>PT TSUIKA BERKAH RAYA</v>
      </c>
      <c r="O2220" s="222" t="str">
        <f>IFERROR(__xludf.DUMMYFUNCTION("""COMPUTED_VALUE"""),"0. DROP")</f>
        <v>0. DROP</v>
      </c>
      <c r="P2220" s="222" t="str">
        <f>IFERROR(__xludf.DUMMYFUNCTION("""COMPUTED_VALUE"""),"0.1 Double Order")</f>
        <v>0.1 Double Order</v>
      </c>
      <c r="Q2220" s="222" t="str">
        <f>IFERROR(__xludf.DUMMYFUNCTION("""COMPUTED_VALUE"""),"(12/1) BA Drop Sirkulir- Double Order  (06/01)order JPP batch-2 2026 ((15/10)DROP , LOP YG DILANJUT  JBI-PT3 BRANCHING-TTJ-FB-BAYU SURYANI , NILAI BOQ 23JT , NO PO 4500549376")</f>
        <v>(12/1) BA Drop Sirkulir- Double Order  (06/01)order JPP batch-2 2026 ((15/10)DROP , LOP YG DILANJUT  JBI-PT3 BRANCHING-TTJ-FB-BAYU SURYANI , NILAI BOQ 23JT , NO PO 4500549376</v>
      </c>
      <c r="R2220" s="228"/>
      <c r="S2220" s="11"/>
      <c r="T2220" s="11"/>
      <c r="U2220" s="11"/>
      <c r="V2220" s="229"/>
      <c r="W2220" s="229"/>
      <c r="X2220" s="229" t="str">
        <f>IFERROR(__xludf.DUMMYFUNCTION("""COMPUTED_VALUE"""),"BELUM GOLIVE")</f>
        <v>BELUM GOLIVE</v>
      </c>
      <c r="Y2220" s="229"/>
      <c r="Z2220" s="229" t="str">
        <f>IFERROR(__xludf.DUMMYFUNCTION("""COMPUTED_VALUE"""),"#N/A")</f>
        <v>#N/A</v>
      </c>
      <c r="AA2220" s="229"/>
      <c r="AB2220" s="229"/>
      <c r="AC2220" s="229"/>
      <c r="AD2220" s="232"/>
      <c r="AE2220" s="233"/>
      <c r="AF2220" s="54" t="str">
        <f>IFERROR(__xludf.DUMMYFUNCTION("""COMPUTED_VALUE"""),"Draft BA DROP")</f>
        <v>Draft BA DROP</v>
      </c>
      <c r="AG2220" s="54"/>
      <c r="AH2220" s="54"/>
      <c r="AI2220" s="55" t="str">
        <f t="shared" si="211"/>
        <v/>
      </c>
      <c r="AW2220" s="234"/>
      <c r="BP2220" s="11"/>
      <c r="BQ2220" s="11"/>
      <c r="BV2220" s="158"/>
      <c r="BY2220" s="158"/>
      <c r="CB2220" s="158"/>
    </row>
    <row r="2221" ht="18.0" hidden="1" customHeight="1">
      <c r="A2221" s="222">
        <f>IFERROR(__xludf.DUMMYFUNCTION("""COMPUTED_VALUE"""),2026.0)</f>
        <v>2026</v>
      </c>
      <c r="B2221" s="221">
        <f>IFERROR(__xludf.DUMMYFUNCTION("""COMPUTED_VALUE"""),1.1067815E7)</f>
        <v>11067815</v>
      </c>
      <c r="C2221" s="222" t="str">
        <f>IFERROR(__xludf.DUMMYFUNCTION("""COMPUTED_VALUE"""),"BNK PT3 830_new ODC-BNC-FBG")</f>
        <v>BNK PT3 830_new ODC-BNC-FBG</v>
      </c>
      <c r="D2221" s="222" t="str">
        <f>IFERROR(__xludf.DUMMYFUNCTION("""COMPUTED_VALUE"""),"REGIONAL I")</f>
        <v>REGIONAL I</v>
      </c>
      <c r="E2221" s="222" t="str">
        <f>IFERROR(__xludf.DUMMYFUNCTION("""COMPUTED_VALUE"""),"BENGKULU")</f>
        <v>BENGKULU</v>
      </c>
      <c r="F2221" s="222" t="str">
        <f>IFERROR(__xludf.DUMMYFUNCTION("""COMPUTED_VALUE"""),"BNC")</f>
        <v>BNC</v>
      </c>
      <c r="G2221" s="222" t="str">
        <f>IFERROR(__xludf.DUMMYFUNCTION("""COMPUTED_VALUE"""),"SUMBAGSEL")</f>
        <v>SUMBAGSEL</v>
      </c>
      <c r="H2221" s="222" t="str">
        <f>IFERROR(__xludf.DUMMYFUNCTION("""COMPUTED_VALUE"""),"BENGKULU")</f>
        <v>BENGKULU</v>
      </c>
      <c r="I2221" s="222" t="str">
        <f>IFERROR(__xludf.DUMMYFUNCTION("""COMPUTED_VALUE"""),"Batch 2")</f>
        <v>Batch 2</v>
      </c>
      <c r="J2221" s="225">
        <f>IFERROR(__xludf.DUMMYFUNCTION("""COMPUTED_VALUE"""),6.0)</f>
        <v>6</v>
      </c>
      <c r="K2221" s="224">
        <f>IFERROR(__xludf.DUMMYFUNCTION("""COMPUTED_VALUE"""),48.0)</f>
        <v>48</v>
      </c>
      <c r="L2221" s="226">
        <f>IFERROR(__xludf.DUMMYFUNCTION("""COMPUTED_VALUE"""),692237.0)</f>
        <v>692237</v>
      </c>
      <c r="M2221" s="227">
        <f>IFERROR(__xludf.DUMMYFUNCTION("""COMPUTED_VALUE"""),3.3227351E7)</f>
        <v>33227351</v>
      </c>
      <c r="N2221" s="222" t="str">
        <f>IFERROR(__xludf.DUMMYFUNCTION("""COMPUTED_VALUE"""),"PT HASSANAH MULIA JAYA")</f>
        <v>PT HASSANAH MULIA JAYA</v>
      </c>
      <c r="O2221" s="222" t="str">
        <f>IFERROR(__xludf.DUMMYFUNCTION("""COMPUTED_VALUE"""),"7. GOLIVE")</f>
        <v>7. GOLIVE</v>
      </c>
      <c r="P2221" s="222" t="str">
        <f>IFERROR(__xludf.DUMMYFUNCTION("""COMPUTED_VALUE"""),"7.2 Golive Full / OA / DONE OTB")</f>
        <v>7.2 Golive Full / OA / DONE OTB</v>
      </c>
      <c r="Q2221" s="222" t="str">
        <f>IFERROR(__xludf.DUMMYFUNCTION("""COMPUTED_VALUE"""),"(07/01) Persiapan")</f>
        <v>(07/01) Persiapan</v>
      </c>
      <c r="R2221" s="228"/>
      <c r="S2221" s="11"/>
      <c r="T2221" s="11"/>
      <c r="U2221" s="11" t="str">
        <f>IFERROR(__xludf.DUMMYFUNCTION("""COMPUTED_VALUE"""),"W06-373/2025")</f>
        <v>W06-373/2025</v>
      </c>
      <c r="V2221" s="229"/>
      <c r="W2221" s="229"/>
      <c r="X2221" s="229" t="str">
        <f>IFERROR(__xludf.DUMMYFUNCTION("""COMPUTED_VALUE"""),"GOLIVE")</f>
        <v>GOLIVE</v>
      </c>
      <c r="Y2221" s="229" t="str">
        <f>IFERROR(__xludf.DUMMYFUNCTION("""COMPUTED_VALUE"""),"DONE")</f>
        <v>DONE</v>
      </c>
      <c r="Z2221" s="229" t="str">
        <f>IFERROR(__xludf.DUMMYFUNCTION("""COMPUTED_VALUE"""),"#N/A")</f>
        <v>#N/A</v>
      </c>
      <c r="AA2221" s="229">
        <f>IFERROR(__xludf.DUMMYFUNCTION("""COMPUTED_VALUE"""),6.0)</f>
        <v>6</v>
      </c>
      <c r="AB2221" s="229"/>
      <c r="AC2221" s="229" t="str">
        <f>IFERROR(__xludf.DUMMYFUNCTION("""COMPUTED_VALUE"""),"8764210#8764215")</f>
        <v>8764210#8764215</v>
      </c>
      <c r="AD2221" s="232">
        <f>IFERROR(__xludf.DUMMYFUNCTION("""COMPUTED_VALUE"""),48.0)</f>
        <v>48</v>
      </c>
      <c r="AE2221" s="233">
        <f>IFERROR(__xludf.DUMMYFUNCTION("""COMPUTED_VALUE"""),46035.0)</f>
        <v>46035</v>
      </c>
      <c r="AF2221" s="54"/>
      <c r="AG2221" s="54"/>
      <c r="AH2221" s="54"/>
      <c r="AI2221" s="55" t="str">
        <f t="shared" si="211"/>
        <v/>
      </c>
      <c r="AW2221" s="234"/>
      <c r="BP2221" s="11"/>
      <c r="BQ2221" s="11"/>
      <c r="BV2221" s="158"/>
      <c r="BY2221" s="158"/>
      <c r="CB2221" s="158"/>
    </row>
    <row r="2222" ht="18.0" hidden="1" customHeight="1">
      <c r="A2222" s="222">
        <f>IFERROR(__xludf.DUMMYFUNCTION("""COMPUTED_VALUE"""),2026.0)</f>
        <v>2026</v>
      </c>
      <c r="B2222" s="221">
        <f>IFERROR(__xludf.DUMMYFUNCTION("""COMPUTED_VALUE"""),1.2386363E7)</f>
        <v>12386363</v>
      </c>
      <c r="C2222" s="222" t="str">
        <f>IFERROR(__xludf.DUMMYFUNCTION("""COMPUTED_VALUE"""),"BBL PT3 P4I3 MERPATI KOBA")</f>
        <v>BBL PT3 P4I3 MERPATI KOBA</v>
      </c>
      <c r="D2222" s="222" t="str">
        <f>IFERROR(__xludf.DUMMYFUNCTION("""COMPUTED_VALUE"""),"REGIONAL I")</f>
        <v>REGIONAL I</v>
      </c>
      <c r="E2222" s="222" t="str">
        <f>IFERROR(__xludf.DUMMYFUNCTION("""COMPUTED_VALUE"""),"BABEL")</f>
        <v>BABEL</v>
      </c>
      <c r="F2222" s="222" t="str">
        <f>IFERROR(__xludf.DUMMYFUNCTION("""COMPUTED_VALUE"""),"KBO")</f>
        <v>KBO</v>
      </c>
      <c r="G2222" s="222" t="str">
        <f>IFERROR(__xludf.DUMMYFUNCTION("""COMPUTED_VALUE"""),"SUMBAGSEL")</f>
        <v>SUMBAGSEL</v>
      </c>
      <c r="H2222" s="222" t="str">
        <f>IFERROR(__xludf.DUMMYFUNCTION("""COMPUTED_VALUE"""),"PANGKAL PINANG")</f>
        <v>PANGKAL PINANG</v>
      </c>
      <c r="I2222" s="222" t="str">
        <f>IFERROR(__xludf.DUMMYFUNCTION("""COMPUTED_VALUE"""),"Batch 2")</f>
        <v>Batch 2</v>
      </c>
      <c r="J2222" s="225">
        <f>IFERROR(__xludf.DUMMYFUNCTION("""COMPUTED_VALUE"""),9.0)</f>
        <v>9</v>
      </c>
      <c r="K2222" s="224">
        <f>IFERROR(__xludf.DUMMYFUNCTION("""COMPUTED_VALUE"""),88.0)</f>
        <v>88</v>
      </c>
      <c r="L2222" s="226">
        <f>IFERROR(__xludf.DUMMYFUNCTION("""COMPUTED_VALUE"""),968223.0)</f>
        <v>968223</v>
      </c>
      <c r="M2222" s="227">
        <f>IFERROR(__xludf.DUMMYFUNCTION("""COMPUTED_VALUE"""),8.5203612E7)</f>
        <v>85203612</v>
      </c>
      <c r="N2222" s="222" t="str">
        <f>IFERROR(__xludf.DUMMYFUNCTION("""COMPUTED_VALUE"""),"PT FAJAR MITRA KRIDA ABADI")</f>
        <v>PT FAJAR MITRA KRIDA ABADI</v>
      </c>
      <c r="O2222" s="222" t="str">
        <f>IFERROR(__xludf.DUMMYFUNCTION("""COMPUTED_VALUE"""),"0. DROP")</f>
        <v>0. DROP</v>
      </c>
      <c r="P2222" s="222" t="str">
        <f>IFERROR(__xludf.DUMMYFUNCTION("""COMPUTED_VALUE"""),"0.1 Double Order")</f>
        <v>0.1 Double Order</v>
      </c>
      <c r="Q2222" s="222" t="str">
        <f>IFERROR(__xludf.DUMMYFUNCTION("""COMPUTED_VALUE"""),"7/1 GOLIVE (06/01)order JPP batch-2 2026 - BAST 2025 (16/12 belum ada NDE pelimpahan (01/12) finisi instal , masuk list hold golive 2025  (29/11) 18 tiang done (28/11) DONE UT, kabel 12D 3450 done, kabel 24D 1000 done ( 27/11) proses penarikan kabel 12D 2"&amp;"950/3450 (26/11) proses penarikan kabel 12D 2750/3450 (25/11) proses penarikan kabel 12D 2450/3450 (24/11) proses penarikan kabel 12D 1200/3450 (22/11) penarikan kabel 12D 1000/3450 (21/11) masih progres dilokasi lain (17/11) plan golive 23 desember (14/1"&amp;"1) masih progres dilokasi lain (13/11) Pengambilan Material (10/11) belum rilis PO, plan besok matdel (7/11) DRM mitra (25/10) sudah anwijzing (24/10) Penunjukan mitra")</f>
        <v>7/1 GOLIVE (06/01)order JPP batch-2 2026 - BAST 2025 (16/12 belum ada NDE pelimpahan (01/12) finisi instal , masuk list hold golive 2025  (29/11) 18 tiang done (28/11) DONE UT, kabel 12D 3450 done, kabel 24D 1000 done ( 27/11) proses penarikan kabel 12D 2950/3450 (26/11) proses penarikan kabel 12D 2750/3450 (25/11) proses penarikan kabel 12D 2450/3450 (24/11) proses penarikan kabel 12D 1200/3450 (22/11) penarikan kabel 12D 1000/3450 (21/11) masih progres dilokasi lain (17/11) plan golive 23 desember (14/11) masih progres dilokasi lain (13/11) Pengambilan Material (10/11) belum rilis PO, plan besok matdel (7/11) DRM mitra (25/10) sudah anwijzing (24/10) Penunjukan mitra</v>
      </c>
      <c r="R2222" s="228"/>
      <c r="S2222" s="11"/>
      <c r="T2222" s="11"/>
      <c r="U2222" s="11"/>
      <c r="V2222" s="229"/>
      <c r="W2222" s="229"/>
      <c r="X2222" s="229" t="str">
        <f>IFERROR(__xludf.DUMMYFUNCTION("""COMPUTED_VALUE"""),"BELUM GOLIVE")</f>
        <v>BELUM GOLIVE</v>
      </c>
      <c r="Y2222" s="229"/>
      <c r="Z2222" s="229" t="str">
        <f>IFERROR(__xludf.DUMMYFUNCTION("""COMPUTED_VALUE"""),"#N/A")</f>
        <v>#N/A</v>
      </c>
      <c r="AA2222" s="229"/>
      <c r="AB2222" s="229"/>
      <c r="AC2222" s="229"/>
      <c r="AD2222" s="232"/>
      <c r="AE2222" s="233"/>
      <c r="AF2222" s="54" t="str">
        <f>IFERROR(__xludf.DUMMYFUNCTION("""COMPUTED_VALUE"""),"Draft BA DROP")</f>
        <v>Draft BA DROP</v>
      </c>
      <c r="AG2222" s="54"/>
      <c r="AH2222" s="54"/>
      <c r="AI2222" s="55" t="str">
        <f t="shared" si="211"/>
        <v/>
      </c>
      <c r="AW2222" s="234"/>
      <c r="BP2222" s="11"/>
      <c r="BQ2222" s="11"/>
      <c r="BV2222" s="158"/>
      <c r="BY2222" s="158"/>
      <c r="CB2222" s="158"/>
    </row>
    <row r="2223" ht="18.0" hidden="1" customHeight="1">
      <c r="A2223" s="222">
        <f>IFERROR(__xludf.DUMMYFUNCTION("""COMPUTED_VALUE"""),2026.0)</f>
        <v>2026</v>
      </c>
      <c r="B2223" s="221">
        <f>IFERROR(__xludf.DUMMYFUNCTION("""COMPUTED_VALUE"""),1.1423218E7)</f>
        <v>11423218</v>
      </c>
      <c r="C2223" s="222" t="str">
        <f>IFERROR(__xludf.DUMMYFUNCTION("""COMPUTED_VALUE"""),"JBI-PT3 BRAN-PAP-FAG-Crossing Sakean")</f>
        <v>JBI-PT3 BRAN-PAP-FAG-Crossing Sakean</v>
      </c>
      <c r="D2223" s="222" t="str">
        <f>IFERROR(__xludf.DUMMYFUNCTION("""COMPUTED_VALUE"""),"REGIONAL I")</f>
        <v>REGIONAL I</v>
      </c>
      <c r="E2223" s="222" t="str">
        <f>IFERROR(__xludf.DUMMYFUNCTION("""COMPUTED_VALUE"""),"JAMBI")</f>
        <v>JAMBI</v>
      </c>
      <c r="F2223" s="222" t="str">
        <f>IFERROR(__xludf.DUMMYFUNCTION("""COMPUTED_VALUE"""),"PAP")</f>
        <v>PAP</v>
      </c>
      <c r="G2223" s="222" t="str">
        <f>IFERROR(__xludf.DUMMYFUNCTION("""COMPUTED_VALUE"""),"SUMBAGSEL")</f>
        <v>SUMBAGSEL</v>
      </c>
      <c r="H2223" s="222" t="str">
        <f>IFERROR(__xludf.DUMMYFUNCTION("""COMPUTED_VALUE"""),"JAMBI")</f>
        <v>JAMBI</v>
      </c>
      <c r="I2223" s="222" t="str">
        <f>IFERROR(__xludf.DUMMYFUNCTION("""COMPUTED_VALUE"""),"Batch 2")</f>
        <v>Batch 2</v>
      </c>
      <c r="J2223" s="225">
        <f>IFERROR(__xludf.DUMMYFUNCTION("""COMPUTED_VALUE"""),2.0)</f>
        <v>2</v>
      </c>
      <c r="K2223" s="224">
        <f>IFERROR(__xludf.DUMMYFUNCTION("""COMPUTED_VALUE"""),16.0)</f>
        <v>16</v>
      </c>
      <c r="L2223" s="226">
        <f>IFERROR(__xludf.DUMMYFUNCTION("""COMPUTED_VALUE"""),1223888.0)</f>
        <v>1223888</v>
      </c>
      <c r="M2223" s="227">
        <f>IFERROR(__xludf.DUMMYFUNCTION("""COMPUTED_VALUE"""),1.9582204E7)</f>
        <v>19582204</v>
      </c>
      <c r="N2223" s="222" t="str">
        <f>IFERROR(__xludf.DUMMYFUNCTION("""COMPUTED_VALUE"""),"PT ANGSO DUO TELEKOMUNIKASI")</f>
        <v>PT ANGSO DUO TELEKOMUNIKASI</v>
      </c>
      <c r="O2223" s="222" t="str">
        <f>IFERROR(__xludf.DUMMYFUNCTION("""COMPUTED_VALUE"""),"0. DROP")</f>
        <v>0. DROP</v>
      </c>
      <c r="P2223" s="222" t="str">
        <f>IFERROR(__xludf.DUMMYFUNCTION("""COMPUTED_VALUE"""),"0.1 Double Order")</f>
        <v>0.1 Double Order</v>
      </c>
      <c r="Q2223" s="222" t="str">
        <f>IFERROR(__xludf.DUMMYFUNCTION("""COMPUTED_VALUE"""),"18/01 golive 2025  (06/01)order JPP batch-2 2026 - BAST 2025 (DONE BAST")</f>
        <v>18/01 golive 2025  (06/01)order JPP batch-2 2026 - BAST 2025 (DONE BAST</v>
      </c>
      <c r="R2223" s="228"/>
      <c r="S2223" s="11"/>
      <c r="T2223" s="11"/>
      <c r="U2223" s="11"/>
      <c r="V2223" s="229"/>
      <c r="W2223" s="229"/>
      <c r="X2223" s="229" t="str">
        <f>IFERROR(__xludf.DUMMYFUNCTION("""COMPUTED_VALUE"""),"BELUM GOLIVE")</f>
        <v>BELUM GOLIVE</v>
      </c>
      <c r="Y2223" s="229" t="str">
        <f>IFERROR(__xludf.DUMMYFUNCTION("""COMPUTED_VALUE"""),"DONE")</f>
        <v>DONE</v>
      </c>
      <c r="Z2223" s="229" t="str">
        <f>IFERROR(__xludf.DUMMYFUNCTION("""COMPUTED_VALUE"""),"#N/A")</f>
        <v>#N/A</v>
      </c>
      <c r="AA2223" s="229"/>
      <c r="AB2223" s="229"/>
      <c r="AC2223" s="229"/>
      <c r="AD2223" s="232"/>
      <c r="AE2223" s="233"/>
      <c r="AF2223" s="54" t="str">
        <f>IFERROR(__xludf.DUMMYFUNCTION("""COMPUTED_VALUE"""),"Draft BA DROP")</f>
        <v>Draft BA DROP</v>
      </c>
      <c r="AG2223" s="54"/>
      <c r="AH2223" s="54"/>
      <c r="AI2223" s="55" t="str">
        <f t="shared" si="211"/>
        <v/>
      </c>
      <c r="AW2223" s="234"/>
      <c r="BP2223" s="11"/>
      <c r="BQ2223" s="11"/>
      <c r="BV2223" s="158"/>
      <c r="BY2223" s="158"/>
      <c r="CB2223" s="158"/>
    </row>
    <row r="2224" ht="18.0" hidden="1" customHeight="1">
      <c r="A2224" s="222">
        <f>IFERROR(__xludf.DUMMYFUNCTION("""COMPUTED_VALUE"""),2026.0)</f>
        <v>2026</v>
      </c>
      <c r="B2224" s="221">
        <f>IFERROR(__xludf.DUMMYFUNCTION("""COMPUTED_VALUE"""),1.1843437E7)</f>
        <v>11843437</v>
      </c>
      <c r="C2224" s="222" t="str">
        <f>IFERROR(__xludf.DUMMYFUNCTION("""COMPUTED_VALUE"""),"MDN PT3 GLG-FB JL.AR-ROHIM")</f>
        <v>MDN PT3 GLG-FB JL.AR-ROHIM</v>
      </c>
      <c r="D2224" s="222" t="str">
        <f>IFERROR(__xludf.DUMMYFUNCTION("""COMPUTED_VALUE"""),"REGIONAL I")</f>
        <v>REGIONAL I</v>
      </c>
      <c r="E2224" s="222" t="str">
        <f>IFERROR(__xludf.DUMMYFUNCTION("""COMPUTED_VALUE"""),"MEDAN")</f>
        <v>MEDAN</v>
      </c>
      <c r="F2224" s="222" t="str">
        <f>IFERROR(__xludf.DUMMYFUNCTION("""COMPUTED_VALUE"""),"GLG")</f>
        <v>GLG</v>
      </c>
      <c r="G2224" s="222" t="str">
        <f>IFERROR(__xludf.DUMMYFUNCTION("""COMPUTED_VALUE"""),"SUMBAGUT")</f>
        <v>SUMBAGUT</v>
      </c>
      <c r="H2224" s="222" t="str">
        <f>IFERROR(__xludf.DUMMYFUNCTION("""COMPUTED_VALUE"""),"MEDAN")</f>
        <v>MEDAN</v>
      </c>
      <c r="I2224" s="222" t="str">
        <f>IFERROR(__xludf.DUMMYFUNCTION("""COMPUTED_VALUE"""),"Batch 2")</f>
        <v>Batch 2</v>
      </c>
      <c r="J2224" s="225">
        <f>IFERROR(__xludf.DUMMYFUNCTION("""COMPUTED_VALUE"""),5.0)</f>
        <v>5</v>
      </c>
      <c r="K2224" s="224">
        <f>IFERROR(__xludf.DUMMYFUNCTION("""COMPUTED_VALUE"""),40.0)</f>
        <v>40</v>
      </c>
      <c r="L2224" s="226">
        <f>IFERROR(__xludf.DUMMYFUNCTION("""COMPUTED_VALUE"""),1077966.0)</f>
        <v>1077966</v>
      </c>
      <c r="M2224" s="227">
        <f>IFERROR(__xludf.DUMMYFUNCTION("""COMPUTED_VALUE"""),4.311863E7)</f>
        <v>43118630</v>
      </c>
      <c r="N2224" s="222" t="str">
        <f>IFERROR(__xludf.DUMMYFUNCTION("""COMPUTED_VALUE"""),"PT NIAGA NUSANTARA DIVA")</f>
        <v>PT NIAGA NUSANTARA DIVA</v>
      </c>
      <c r="O2224" s="222" t="str">
        <f>IFERROR(__xludf.DUMMYFUNCTION("""COMPUTED_VALUE"""),"0. DROP")</f>
        <v>0. DROP</v>
      </c>
      <c r="P2224" s="222" t="str">
        <f>IFERROR(__xludf.DUMMYFUNCTION("""COMPUTED_VALUE"""),"0.1 Double Order")</f>
        <v>0.1 Double Order</v>
      </c>
      <c r="Q2224" s="222" t="str">
        <f>IFERROR(__xludf.DUMMYFUNCTION("""COMPUTED_VALUE"""),"18/01 golive 2025 (07/01) Persiapan")</f>
        <v>18/01 golive 2025 (07/01) Persiapan</v>
      </c>
      <c r="R2224" s="228"/>
      <c r="S2224" s="11"/>
      <c r="T2224" s="11"/>
      <c r="U2224" s="11" t="str">
        <f>IFERROR(__xludf.DUMMYFUNCTION("""COMPUTED_VALUE"""),"FALSE")</f>
        <v>FALSE</v>
      </c>
      <c r="V2224" s="229"/>
      <c r="W2224" s="229"/>
      <c r="X2224" s="229" t="str">
        <f>IFERROR(__xludf.DUMMYFUNCTION("""COMPUTED_VALUE"""),"BELUM GOLIVE")</f>
        <v>BELUM GOLIVE</v>
      </c>
      <c r="Y2224" s="229" t="str">
        <f>IFERROR(__xludf.DUMMYFUNCTION("""COMPUTED_VALUE"""),"DONE")</f>
        <v>DONE</v>
      </c>
      <c r="Z2224" s="229" t="str">
        <f>IFERROR(__xludf.DUMMYFUNCTION("""COMPUTED_VALUE"""),"#N/A")</f>
        <v>#N/A</v>
      </c>
      <c r="AA2224" s="229"/>
      <c r="AB2224" s="229"/>
      <c r="AC2224" s="229"/>
      <c r="AD2224" s="232"/>
      <c r="AE2224" s="233"/>
      <c r="AF2224" s="54"/>
      <c r="AG2224" s="54"/>
      <c r="AH2224" s="54">
        <v>46024.0</v>
      </c>
      <c r="AI2224" s="55" t="str">
        <f t="shared" si="211"/>
        <v/>
      </c>
      <c r="AW2224" s="234"/>
      <c r="BP2224" s="11"/>
      <c r="BQ2224" s="11"/>
      <c r="BV2224" s="158"/>
      <c r="BY2224" s="158"/>
      <c r="CB2224" s="158"/>
    </row>
    <row r="2225" ht="18.0" hidden="1" customHeight="1">
      <c r="A2225" s="222">
        <f>IFERROR(__xludf.DUMMYFUNCTION("""COMPUTED_VALUE"""),2026.0)</f>
        <v>2026</v>
      </c>
      <c r="B2225" s="221">
        <f>IFERROR(__xludf.DUMMYFUNCTION("""COMPUTED_VALUE"""),1.1588658E7)</f>
        <v>11588658</v>
      </c>
      <c r="C2225" s="222" t="str">
        <f>IFERROR(__xludf.DUMMYFUNCTION("""COMPUTED_VALUE"""),"JBI-PT3-SPN-FU-LEMPUR MUDIK")</f>
        <v>JBI-PT3-SPN-FU-LEMPUR MUDIK</v>
      </c>
      <c r="D2225" s="222" t="str">
        <f>IFERROR(__xludf.DUMMYFUNCTION("""COMPUTED_VALUE"""),"REGIONAL I")</f>
        <v>REGIONAL I</v>
      </c>
      <c r="E2225" s="222" t="str">
        <f>IFERROR(__xludf.DUMMYFUNCTION("""COMPUTED_VALUE"""),"JAMBI")</f>
        <v>JAMBI</v>
      </c>
      <c r="F2225" s="222" t="str">
        <f>IFERROR(__xludf.DUMMYFUNCTION("""COMPUTED_VALUE"""),"SPN")</f>
        <v>SPN</v>
      </c>
      <c r="G2225" s="222" t="str">
        <f>IFERROR(__xludf.DUMMYFUNCTION("""COMPUTED_VALUE"""),"SUMBAGSEL")</f>
        <v>SUMBAGSEL</v>
      </c>
      <c r="H2225" s="222" t="str">
        <f>IFERROR(__xludf.DUMMYFUNCTION("""COMPUTED_VALUE"""),"JAMBI")</f>
        <v>JAMBI</v>
      </c>
      <c r="I2225" s="222" t="str">
        <f>IFERROR(__xludf.DUMMYFUNCTION("""COMPUTED_VALUE"""),"Batch 2")</f>
        <v>Batch 2</v>
      </c>
      <c r="J2225" s="225">
        <f>IFERROR(__xludf.DUMMYFUNCTION("""COMPUTED_VALUE"""),17.0)</f>
        <v>17</v>
      </c>
      <c r="K2225" s="224">
        <f>IFERROR(__xludf.DUMMYFUNCTION("""COMPUTED_VALUE"""),136.0)</f>
        <v>136</v>
      </c>
      <c r="L2225" s="226">
        <f>IFERROR(__xludf.DUMMYFUNCTION("""COMPUTED_VALUE"""),1248501.0)</f>
        <v>1248501</v>
      </c>
      <c r="M2225" s="227">
        <f>IFERROR(__xludf.DUMMYFUNCTION("""COMPUTED_VALUE"""),1.69796044E8)</f>
        <v>169796044</v>
      </c>
      <c r="N2225" s="222" t="str">
        <f>IFERROR(__xludf.DUMMYFUNCTION("""COMPUTED_VALUE"""),"PT SARANA MITRA PERSADA")</f>
        <v>PT SARANA MITRA PERSADA</v>
      </c>
      <c r="O2225" s="222" t="str">
        <f>IFERROR(__xludf.DUMMYFUNCTION("""COMPUTED_VALUE"""),"0. DROP")</f>
        <v>0. DROP</v>
      </c>
      <c r="P2225" s="222" t="str">
        <f>IFERROR(__xludf.DUMMYFUNCTION("""COMPUTED_VALUE"""),"0.1 Double Order")</f>
        <v>0.1 Double Order</v>
      </c>
      <c r="Q2225" s="222" t="str">
        <f>IFERROR(__xludf.DUMMYFUNCTION("""COMPUTED_VALUE"""),"18/01 golive 2025  (06/01)order JPP batch-2 2026 - BAST 2025 (DONE BAST")</f>
        <v>18/01 golive 2025  (06/01)order JPP batch-2 2026 - BAST 2025 (DONE BAST</v>
      </c>
      <c r="R2225" s="228"/>
      <c r="S2225" s="11"/>
      <c r="T2225" s="11"/>
      <c r="U2225" s="11"/>
      <c r="V2225" s="229"/>
      <c r="W2225" s="229"/>
      <c r="X2225" s="229" t="str">
        <f>IFERROR(__xludf.DUMMYFUNCTION("""COMPUTED_VALUE"""),"BELUM GOLIVE")</f>
        <v>BELUM GOLIVE</v>
      </c>
      <c r="Y2225" s="229" t="str">
        <f>IFERROR(__xludf.DUMMYFUNCTION("""COMPUTED_VALUE"""),"DONE")</f>
        <v>DONE</v>
      </c>
      <c r="Z2225" s="229" t="str">
        <f>IFERROR(__xludf.DUMMYFUNCTION("""COMPUTED_VALUE"""),"#N/A")</f>
        <v>#N/A</v>
      </c>
      <c r="AA2225" s="229"/>
      <c r="AB2225" s="229"/>
      <c r="AC2225" s="229"/>
      <c r="AD2225" s="232"/>
      <c r="AE2225" s="233"/>
      <c r="AF2225" s="54" t="str">
        <f>IFERROR(__xludf.DUMMYFUNCTION("""COMPUTED_VALUE"""),"Draft BA DROP")</f>
        <v>Draft BA DROP</v>
      </c>
      <c r="AG2225" s="54"/>
      <c r="AH2225" s="54"/>
      <c r="AI2225" s="55" t="str">
        <f t="shared" si="211"/>
        <v/>
      </c>
      <c r="AW2225" s="234"/>
      <c r="BP2225" s="11"/>
      <c r="BQ2225" s="11"/>
      <c r="BV2225" s="158"/>
      <c r="BY2225" s="158"/>
      <c r="CB2225" s="158"/>
    </row>
    <row r="2226" ht="18.0" hidden="1" customHeight="1">
      <c r="A2226" s="222">
        <f>IFERROR(__xludf.DUMMYFUNCTION("""COMPUTED_VALUE"""),2026.0)</f>
        <v>2026</v>
      </c>
      <c r="B2226" s="221">
        <f>IFERROR(__xludf.DUMMYFUNCTION("""COMPUTED_VALUE"""),1.2386348E7)</f>
        <v>12386348</v>
      </c>
      <c r="C2226" s="222" t="str">
        <f>IFERROR(__xludf.DUMMYFUNCTION("""COMPUTED_VALUE"""),"BBL PT3 P4I3 AIR GEGAS BAWAH")</f>
        <v>BBL PT3 P4I3 AIR GEGAS BAWAH</v>
      </c>
      <c r="D2226" s="222" t="str">
        <f>IFERROR(__xludf.DUMMYFUNCTION("""COMPUTED_VALUE"""),"REGIONAL I")</f>
        <v>REGIONAL I</v>
      </c>
      <c r="E2226" s="222" t="str">
        <f>IFERROR(__xludf.DUMMYFUNCTION("""COMPUTED_VALUE"""),"BABEL")</f>
        <v>BABEL</v>
      </c>
      <c r="F2226" s="222" t="str">
        <f>IFERROR(__xludf.DUMMYFUNCTION("""COMPUTED_VALUE"""),"KBO")</f>
        <v>KBO</v>
      </c>
      <c r="G2226" s="222" t="str">
        <f>IFERROR(__xludf.DUMMYFUNCTION("""COMPUTED_VALUE"""),"SUMBAGSEL")</f>
        <v>SUMBAGSEL</v>
      </c>
      <c r="H2226" s="222" t="str">
        <f>IFERROR(__xludf.DUMMYFUNCTION("""COMPUTED_VALUE"""),"PANGKAL PINANG")</f>
        <v>PANGKAL PINANG</v>
      </c>
      <c r="I2226" s="222" t="str">
        <f>IFERROR(__xludf.DUMMYFUNCTION("""COMPUTED_VALUE"""),"Batch 2")</f>
        <v>Batch 2</v>
      </c>
      <c r="J2226" s="225">
        <f>IFERROR(__xludf.DUMMYFUNCTION("""COMPUTED_VALUE"""),6.0)</f>
        <v>6</v>
      </c>
      <c r="K2226" s="224">
        <f>IFERROR(__xludf.DUMMYFUNCTION("""COMPUTED_VALUE"""),48.0)</f>
        <v>48</v>
      </c>
      <c r="L2226" s="226">
        <f>IFERROR(__xludf.DUMMYFUNCTION("""COMPUTED_VALUE"""),1487788.0)</f>
        <v>1487788</v>
      </c>
      <c r="M2226" s="227">
        <f>IFERROR(__xludf.DUMMYFUNCTION("""COMPUTED_VALUE"""),7.1413804E7)</f>
        <v>71413804</v>
      </c>
      <c r="N2226" s="222" t="str">
        <f>IFERROR(__xludf.DUMMYFUNCTION("""COMPUTED_VALUE"""),"PT FEDRON SOLUSINDO UTAMA")</f>
        <v>PT FEDRON SOLUSINDO UTAMA</v>
      </c>
      <c r="O2226" s="222" t="str">
        <f>IFERROR(__xludf.DUMMYFUNCTION("""COMPUTED_VALUE"""),"0. DROP")</f>
        <v>0. DROP</v>
      </c>
      <c r="P2226" s="222" t="str">
        <f>IFERROR(__xludf.DUMMYFUNCTION("""COMPUTED_VALUE"""),"0.1 Double Order")</f>
        <v>0.1 Double Order</v>
      </c>
      <c r="Q2226" s="222" t="str">
        <f>IFERROR(__xludf.DUMMYFUNCTION("""COMPUTED_VALUE"""),"(07/01) Done Go Live (31/12) finish instalasi 04/12 penarikan kabel 24D 2000/3450 (03/12) penarikan kabel 24D 1000/3450 (28/11) masih progres dilokasi lain (17/11) plan golive 18 desember 14/11 masih progres dilokasi lain (13/11) Pengambilan Material (10/"&amp;"11) belum rilis PO, plan besok matdel (7/11) sudah DRM mitra (30/10) sudah anwijzing (29/10) Penunjukan mitra")</f>
        <v>(07/01) Done Go Live (31/12) finish instalasi 04/12 penarikan kabel 24D 2000/3450 (03/12) penarikan kabel 24D 1000/3450 (28/11) masih progres dilokasi lain (17/11) plan golive 18 desember 14/11 masih progres dilokasi lain (13/11) Pengambilan Material (10/11) belum rilis PO, plan besok matdel (7/11) sudah DRM mitra (30/10) sudah anwijzing (29/10) Penunjukan mitra</v>
      </c>
      <c r="R2226" s="228"/>
      <c r="S2226" s="11"/>
      <c r="T2226" s="11"/>
      <c r="U2226" s="11"/>
      <c r="V2226" s="229"/>
      <c r="W2226" s="229"/>
      <c r="X2226" s="229" t="str">
        <f>IFERROR(__xludf.DUMMYFUNCTION("""COMPUTED_VALUE"""),"BELUM GOLIVE")</f>
        <v>BELUM GOLIVE</v>
      </c>
      <c r="Y2226" s="229"/>
      <c r="Z2226" s="229" t="str">
        <f>IFERROR(__xludf.DUMMYFUNCTION("""COMPUTED_VALUE"""),"#N/A")</f>
        <v>#N/A</v>
      </c>
      <c r="AA2226" s="229"/>
      <c r="AB2226" s="229"/>
      <c r="AC2226" s="229"/>
      <c r="AD2226" s="232"/>
      <c r="AE2226" s="233"/>
      <c r="AF2226" s="54" t="str">
        <f>IFERROR(__xludf.DUMMYFUNCTION("""COMPUTED_VALUE"""),"Draft BA DROP")</f>
        <v>Draft BA DROP</v>
      </c>
      <c r="AG2226" s="54"/>
      <c r="AH2226" s="54"/>
      <c r="AI2226" s="55" t="str">
        <f t="shared" si="211"/>
        <v/>
      </c>
      <c r="AW2226" s="234"/>
      <c r="BP2226" s="11"/>
      <c r="BQ2226" s="11"/>
      <c r="BV2226" s="158"/>
      <c r="BY2226" s="158"/>
      <c r="CB2226" s="158"/>
    </row>
    <row r="2227" ht="18.0" hidden="1" customHeight="1">
      <c r="A2227" s="222">
        <f>IFERROR(__xludf.DUMMYFUNCTION("""COMPUTED_VALUE"""),2026.0)</f>
        <v>2026</v>
      </c>
      <c r="B2227" s="221">
        <f>IFERROR(__xludf.DUMMYFUNCTION("""COMPUTED_VALUE"""),1.156259E7)</f>
        <v>11562590</v>
      </c>
      <c r="C2227" s="222" t="str">
        <f>IFERROR(__xludf.DUMMYFUNCTION("""COMPUTED_VALUE"""),"ACH LBR PT3 LBR-FY TGK HASAN DI BAKOI")</f>
        <v>ACH LBR PT3 LBR-FY TGK HASAN DI BAKOI</v>
      </c>
      <c r="D2227" s="222" t="str">
        <f>IFERROR(__xludf.DUMMYFUNCTION("""COMPUTED_VALUE"""),"REGIONAL I")</f>
        <v>REGIONAL I</v>
      </c>
      <c r="E2227" s="222" t="str">
        <f>IFERROR(__xludf.DUMMYFUNCTION("""COMPUTED_VALUE"""),"ACEH")</f>
        <v>ACEH</v>
      </c>
      <c r="F2227" s="222" t="str">
        <f>IFERROR(__xludf.DUMMYFUNCTION("""COMPUTED_VALUE"""),"LBR")</f>
        <v>LBR</v>
      </c>
      <c r="G2227" s="222" t="str">
        <f>IFERROR(__xludf.DUMMYFUNCTION("""COMPUTED_VALUE"""),"SUMBAGUT")</f>
        <v>SUMBAGUT</v>
      </c>
      <c r="H2227" s="222" t="str">
        <f>IFERROR(__xludf.DUMMYFUNCTION("""COMPUTED_VALUE"""),"BANDA ACEH")</f>
        <v>BANDA ACEH</v>
      </c>
      <c r="I2227" s="222" t="str">
        <f>IFERROR(__xludf.DUMMYFUNCTION("""COMPUTED_VALUE"""),"Batch 2")</f>
        <v>Batch 2</v>
      </c>
      <c r="J2227" s="225">
        <f>IFERROR(__xludf.DUMMYFUNCTION("""COMPUTED_VALUE"""),7.0)</f>
        <v>7</v>
      </c>
      <c r="K2227" s="224">
        <f>IFERROR(__xludf.DUMMYFUNCTION("""COMPUTED_VALUE"""),56.0)</f>
        <v>56</v>
      </c>
      <c r="L2227" s="226">
        <f>IFERROR(__xludf.DUMMYFUNCTION("""COMPUTED_VALUE"""),906814.0)</f>
        <v>906814</v>
      </c>
      <c r="M2227" s="227">
        <f>IFERROR(__xludf.DUMMYFUNCTION("""COMPUTED_VALUE"""),5.0781559E7)</f>
        <v>50781559</v>
      </c>
      <c r="N2227" s="222" t="str">
        <f>IFERROR(__xludf.DUMMYFUNCTION("""COMPUTED_VALUE"""),"PT TRIPOLA PANATA")</f>
        <v>PT TRIPOLA PANATA</v>
      </c>
      <c r="O2227" s="222" t="str">
        <f>IFERROR(__xludf.DUMMYFUNCTION("""COMPUTED_VALUE"""),"0. DROP")</f>
        <v>0. DROP</v>
      </c>
      <c r="P2227" s="222" t="str">
        <f>IFERROR(__xludf.DUMMYFUNCTION("""COMPUTED_VALUE"""),"0.1 Double Order")</f>
        <v>0.1 Double Order</v>
      </c>
      <c r="Q2227" s="222" t="str">
        <f>IFERROR(__xludf.DUMMYFUNCTION("""COMPUTED_VALUE"""),"18/01 golive 2025 (07/01) Persiapan")</f>
        <v>18/01 golive 2025 (07/01) Persiapan</v>
      </c>
      <c r="R2227" s="228"/>
      <c r="S2227" s="11"/>
      <c r="T2227" s="11"/>
      <c r="U2227" s="11"/>
      <c r="V2227" s="229"/>
      <c r="W2227" s="229"/>
      <c r="X2227" s="229"/>
      <c r="Y2227" s="229" t="str">
        <f>IFERROR(__xludf.DUMMYFUNCTION("""COMPUTED_VALUE"""),"DONE")</f>
        <v>DONE</v>
      </c>
      <c r="Z2227" s="229" t="str">
        <f>IFERROR(__xludf.DUMMYFUNCTION("""COMPUTED_VALUE"""),"#N/A")</f>
        <v>#N/A</v>
      </c>
      <c r="AA2227" s="229"/>
      <c r="AB2227" s="229"/>
      <c r="AC2227" s="229"/>
      <c r="AD2227" s="232"/>
      <c r="AE2227" s="233"/>
      <c r="AF2227" s="54" t="str">
        <f>IFERROR(__xludf.DUMMYFUNCTION("""COMPUTED_VALUE"""),"Draft BA DROP")</f>
        <v>Draft BA DROP</v>
      </c>
      <c r="AG2227" s="54"/>
      <c r="AH2227" s="54"/>
      <c r="AI2227" s="55" t="str">
        <f t="shared" si="211"/>
        <v/>
      </c>
      <c r="AW2227" s="234"/>
      <c r="BP2227" s="11"/>
      <c r="BQ2227" s="11"/>
      <c r="BV2227" s="158"/>
      <c r="BY2227" s="158"/>
      <c r="CB2227" s="158"/>
    </row>
    <row r="2228" ht="18.0" hidden="1" customHeight="1">
      <c r="A2228" s="222">
        <f>IFERROR(__xludf.DUMMYFUNCTION("""COMPUTED_VALUE"""),2026.0)</f>
        <v>2026</v>
      </c>
      <c r="B2228" s="221">
        <f>IFERROR(__xludf.DUMMYFUNCTION("""COMPUTED_VALUE"""),1.1380466E7)</f>
        <v>11380466</v>
      </c>
      <c r="C2228" s="222" t="str">
        <f>IFERROR(__xludf.DUMMYFUNCTION("""COMPUTED_VALUE"""),"MDN PT2 PER-FG SERDANG BEDAGAI_9519")</f>
        <v>MDN PT2 PER-FG SERDANG BEDAGAI_9519</v>
      </c>
      <c r="D2228" s="222" t="str">
        <f>IFERROR(__xludf.DUMMYFUNCTION("""COMPUTED_VALUE"""),"REGIONAL I")</f>
        <v>REGIONAL I</v>
      </c>
      <c r="E2228" s="222" t="str">
        <f>IFERROR(__xludf.DUMMYFUNCTION("""COMPUTED_VALUE"""),"MEDAN")</f>
        <v>MEDAN</v>
      </c>
      <c r="F2228" s="222" t="str">
        <f>IFERROR(__xludf.DUMMYFUNCTION("""COMPUTED_VALUE"""),"PER")</f>
        <v>PER</v>
      </c>
      <c r="G2228" s="222" t="str">
        <f>IFERROR(__xludf.DUMMYFUNCTION("""COMPUTED_VALUE"""),"SUMBAGUT")</f>
        <v>SUMBAGUT</v>
      </c>
      <c r="H2228" s="222" t="str">
        <f>IFERROR(__xludf.DUMMYFUNCTION("""COMPUTED_VALUE"""),"PEMATANG SIANTAR")</f>
        <v>PEMATANG SIANTAR</v>
      </c>
      <c r="I2228" s="222" t="str">
        <f>IFERROR(__xludf.DUMMYFUNCTION("""COMPUTED_VALUE"""),"Batch 2")</f>
        <v>Batch 2</v>
      </c>
      <c r="J2228" s="225">
        <f>IFERROR(__xludf.DUMMYFUNCTION("""COMPUTED_VALUE"""),2.0)</f>
        <v>2</v>
      </c>
      <c r="K2228" s="224">
        <f>IFERROR(__xludf.DUMMYFUNCTION("""COMPUTED_VALUE"""),16.0)</f>
        <v>16</v>
      </c>
      <c r="L2228" s="226">
        <f>IFERROR(__xludf.DUMMYFUNCTION("""COMPUTED_VALUE"""),360863.0)</f>
        <v>360863</v>
      </c>
      <c r="M2228" s="227">
        <f>IFERROR(__xludf.DUMMYFUNCTION("""COMPUTED_VALUE"""),5773798.0)</f>
        <v>5773798</v>
      </c>
      <c r="N2228" s="222" t="str">
        <f>IFERROR(__xludf.DUMMYFUNCTION("""COMPUTED_VALUE"""),"PT BONGKAR SEJATI ANDALAN")</f>
        <v>PT BONGKAR SEJATI ANDALAN</v>
      </c>
      <c r="O2228" s="222" t="str">
        <f>IFERROR(__xludf.DUMMYFUNCTION("""COMPUTED_VALUE"""),"8. UJI TERIMA")</f>
        <v>8. UJI TERIMA</v>
      </c>
      <c r="P2228" s="222" t="str">
        <f>IFERROR(__xludf.DUMMYFUNCTION("""COMPUTED_VALUE"""),"8.1 Proses UT")</f>
        <v>8.1 Proses UT</v>
      </c>
      <c r="Q2228" s="222" t="str">
        <f>IFERROR(__xludf.DUMMYFUNCTION("""COMPUTED_VALUE"""),"(07/01) Persiapan")</f>
        <v>(07/01) Persiapan</v>
      </c>
      <c r="R2228" s="228">
        <f>IFERROR(__xludf.DUMMYFUNCTION("""COMPUTED_VALUE"""),46033.0)</f>
        <v>46033</v>
      </c>
      <c r="S2228" s="11"/>
      <c r="T2228" s="11"/>
      <c r="U2228" s="11" t="str">
        <f>IFERROR(__xludf.DUMMYFUNCTION("""COMPUTED_VALUE"""),"FALSE")</f>
        <v>FALSE</v>
      </c>
      <c r="V2228" s="229"/>
      <c r="W2228" s="229"/>
      <c r="X2228" s="229" t="str">
        <f>IFERROR(__xludf.DUMMYFUNCTION("""COMPUTED_VALUE"""),"GOLIVE")</f>
        <v>GOLIVE</v>
      </c>
      <c r="Y2228" s="229" t="str">
        <f>IFERROR(__xludf.DUMMYFUNCTION("""COMPUTED_VALUE"""),"DONE")</f>
        <v>DONE</v>
      </c>
      <c r="Z2228" s="229" t="str">
        <f>IFERROR(__xludf.DUMMYFUNCTION("""COMPUTED_VALUE"""),"#N/A")</f>
        <v>#N/A</v>
      </c>
      <c r="AA2228" s="229">
        <f>IFERROR(__xludf.DUMMYFUNCTION("""COMPUTED_VALUE"""),2.0)</f>
        <v>2</v>
      </c>
      <c r="AB2228" s="229"/>
      <c r="AC2228" s="229" t="str">
        <f>IFERROR(__xludf.DUMMYFUNCTION("""COMPUTED_VALUE"""),"8798226#8798231")</f>
        <v>8798226#8798231</v>
      </c>
      <c r="AD2228" s="232">
        <f>IFERROR(__xludf.DUMMYFUNCTION("""COMPUTED_VALUE"""),16.0)</f>
        <v>16</v>
      </c>
      <c r="AE2228" s="233">
        <f>IFERROR(__xludf.DUMMYFUNCTION("""COMPUTED_VALUE"""),46033.0)</f>
        <v>46033</v>
      </c>
      <c r="AF2228" s="54"/>
      <c r="AG2228" s="54"/>
      <c r="AH2228" s="54">
        <v>46033.0</v>
      </c>
      <c r="AI2228" s="55">
        <f t="shared" si="211"/>
        <v>0</v>
      </c>
      <c r="AW2228" s="234"/>
      <c r="BP2228" s="11"/>
      <c r="BQ2228" s="11"/>
      <c r="BV2228" s="158"/>
      <c r="BY2228" s="158"/>
      <c r="CB2228" s="158"/>
    </row>
    <row r="2229" ht="18.0" hidden="1" customHeight="1">
      <c r="A2229" s="222">
        <f>IFERROR(__xludf.DUMMYFUNCTION("""COMPUTED_VALUE"""),2026.0)</f>
        <v>2026</v>
      </c>
      <c r="B2229" s="221">
        <f>IFERROR(__xludf.DUMMYFUNCTION("""COMPUTED_VALUE"""),1.1389636E7)</f>
        <v>11389636</v>
      </c>
      <c r="C2229" s="222" t="str">
        <f>IFERROR(__xludf.DUMMYFUNCTION("""COMPUTED_VALUE"""),"MDN PT3 TJR-FX KOMP GLAMOUR MANSION")</f>
        <v>MDN PT3 TJR-FX KOMP GLAMOUR MANSION</v>
      </c>
      <c r="D2229" s="222" t="str">
        <f>IFERROR(__xludf.DUMMYFUNCTION("""COMPUTED_VALUE"""),"REGIONAL I")</f>
        <v>REGIONAL I</v>
      </c>
      <c r="E2229" s="222" t="str">
        <f>IFERROR(__xludf.DUMMYFUNCTION("""COMPUTED_VALUE"""),"MEDAN")</f>
        <v>MEDAN</v>
      </c>
      <c r="F2229" s="222" t="str">
        <f>IFERROR(__xludf.DUMMYFUNCTION("""COMPUTED_VALUE"""),"TJR")</f>
        <v>TJR</v>
      </c>
      <c r="G2229" s="222" t="str">
        <f>IFERROR(__xludf.DUMMYFUNCTION("""COMPUTED_VALUE"""),"SUMBAGUT")</f>
        <v>SUMBAGUT</v>
      </c>
      <c r="H2229" s="222" t="str">
        <f>IFERROR(__xludf.DUMMYFUNCTION("""COMPUTED_VALUE"""),"MEDAN")</f>
        <v>MEDAN</v>
      </c>
      <c r="I2229" s="222" t="str">
        <f>IFERROR(__xludf.DUMMYFUNCTION("""COMPUTED_VALUE"""),"Batch 2")</f>
        <v>Batch 2</v>
      </c>
      <c r="J2229" s="225">
        <f>IFERROR(__xludf.DUMMYFUNCTION("""COMPUTED_VALUE"""),2.0)</f>
        <v>2</v>
      </c>
      <c r="K2229" s="224">
        <f>IFERROR(__xludf.DUMMYFUNCTION("""COMPUTED_VALUE"""),16.0)</f>
        <v>16</v>
      </c>
      <c r="L2229" s="226">
        <f>IFERROR(__xludf.DUMMYFUNCTION("""COMPUTED_VALUE"""),817176.0)</f>
        <v>817176</v>
      </c>
      <c r="M2229" s="227">
        <f>IFERROR(__xludf.DUMMYFUNCTION("""COMPUTED_VALUE"""),1.3074808E7)</f>
        <v>13074808</v>
      </c>
      <c r="N2229" s="222" t="str">
        <f>IFERROR(__xludf.DUMMYFUNCTION("""COMPUTED_VALUE"""),"PT TEKNOLOGI KARYA MANDIRI")</f>
        <v>PT TEKNOLOGI KARYA MANDIRI</v>
      </c>
      <c r="O2229" s="222" t="str">
        <f>IFERROR(__xludf.DUMMYFUNCTION("""COMPUTED_VALUE"""),"8. UJI TERIMA")</f>
        <v>8. UJI TERIMA</v>
      </c>
      <c r="P2229" s="222" t="str">
        <f>IFERROR(__xludf.DUMMYFUNCTION("""COMPUTED_VALUE"""),"8.1 Proses UT")</f>
        <v>8.1 Proses UT</v>
      </c>
      <c r="Q2229" s="222" t="str">
        <f>IFERROR(__xludf.DUMMYFUNCTION("""COMPUTED_VALUE"""),"18/01 golive 2025 (12/01) selesai fisik, menunggu golive (07/01) Persiapan")</f>
        <v>18/01 golive 2025 (12/01) selesai fisik, menunggu golive (07/01) Persiapan</v>
      </c>
      <c r="R2229" s="228">
        <f>IFERROR(__xludf.DUMMYFUNCTION("""COMPUTED_VALUE"""),46024.0)</f>
        <v>46024</v>
      </c>
      <c r="S2229" s="11"/>
      <c r="T2229" s="11"/>
      <c r="U2229" s="11" t="str">
        <f>IFERROR(__xludf.DUMMYFUNCTION("""COMPUTED_VALUE"""),"FALSE")</f>
        <v>FALSE</v>
      </c>
      <c r="V2229" s="229"/>
      <c r="W2229" s="229"/>
      <c r="X2229" s="229" t="str">
        <f>IFERROR(__xludf.DUMMYFUNCTION("""COMPUTED_VALUE"""),"GOLIVE")</f>
        <v>GOLIVE</v>
      </c>
      <c r="Y2229" s="229" t="str">
        <f>IFERROR(__xludf.DUMMYFUNCTION("""COMPUTED_VALUE"""),"DONE")</f>
        <v>DONE</v>
      </c>
      <c r="Z2229" s="229" t="str">
        <f>IFERROR(__xludf.DUMMYFUNCTION("""COMPUTED_VALUE"""),"#N/A")</f>
        <v>#N/A</v>
      </c>
      <c r="AA2229" s="229">
        <f>IFERROR(__xludf.DUMMYFUNCTION("""COMPUTED_VALUE"""),2.0)</f>
        <v>2</v>
      </c>
      <c r="AB2229" s="229"/>
      <c r="AC2229" s="229" t="str">
        <f>IFERROR(__xludf.DUMMYFUNCTION("""COMPUTED_VALUE"""),"8780670#8780675")</f>
        <v>8780670#8780675</v>
      </c>
      <c r="AD2229" s="232">
        <f>IFERROR(__xludf.DUMMYFUNCTION("""COMPUTED_VALUE"""),16.0)</f>
        <v>16</v>
      </c>
      <c r="AE2229" s="233">
        <f>IFERROR(__xludf.DUMMYFUNCTION("""COMPUTED_VALUE"""),46024.0)</f>
        <v>46024</v>
      </c>
      <c r="AF2229" s="54"/>
      <c r="AG2229" s="54"/>
      <c r="AH2229" s="54">
        <v>46024.0</v>
      </c>
      <c r="AI2229" s="55">
        <f t="shared" si="211"/>
        <v>0</v>
      </c>
      <c r="AW2229" s="234"/>
      <c r="BP2229" s="11"/>
      <c r="BQ2229" s="11"/>
      <c r="BV2229" s="158"/>
      <c r="BY2229" s="158"/>
      <c r="CB2229" s="158"/>
    </row>
    <row r="2230" ht="18.0" hidden="1" customHeight="1">
      <c r="A2230" s="222">
        <f>IFERROR(__xludf.DUMMYFUNCTION("""COMPUTED_VALUE"""),2026.0)</f>
        <v>2026</v>
      </c>
      <c r="B2230" s="221">
        <f>IFERROR(__xludf.DUMMYFUNCTION("""COMPUTED_VALUE"""),1.2131864E7)</f>
        <v>12131864</v>
      </c>
      <c r="C2230" s="222" t="str">
        <f>IFERROR(__xludf.DUMMYFUNCTION("""COMPUTED_VALUE"""),"SMS PT3 MPA FS D02 250_-1901_4193")</f>
        <v>SMS PT3 MPA FS D02 250_-1901_4193</v>
      </c>
      <c r="D2230" s="222" t="str">
        <f>IFERROR(__xludf.DUMMYFUNCTION("""COMPUTED_VALUE"""),"REGIONAL I")</f>
        <v>REGIONAL I</v>
      </c>
      <c r="E2230" s="222" t="str">
        <f>IFERROR(__xludf.DUMMYFUNCTION("""COMPUTED_VALUE"""),"SUMSEL")</f>
        <v>SUMSEL</v>
      </c>
      <c r="F2230" s="222" t="str">
        <f>IFERROR(__xludf.DUMMYFUNCTION("""COMPUTED_VALUE"""),"MPA")</f>
        <v>MPA</v>
      </c>
      <c r="G2230" s="222" t="str">
        <f>IFERROR(__xludf.DUMMYFUNCTION("""COMPUTED_VALUE"""),"SUMBAGSEL")</f>
        <v>SUMBAGSEL</v>
      </c>
      <c r="H2230" s="222" t="str">
        <f>IFERROR(__xludf.DUMMYFUNCTION("""COMPUTED_VALUE"""),"PALEMBANG")</f>
        <v>PALEMBANG</v>
      </c>
      <c r="I2230" s="222" t="str">
        <f>IFERROR(__xludf.DUMMYFUNCTION("""COMPUTED_VALUE"""),"Batch 2")</f>
        <v>Batch 2</v>
      </c>
      <c r="J2230" s="225">
        <f>IFERROR(__xludf.DUMMYFUNCTION("""COMPUTED_VALUE"""),1.0)</f>
        <v>1</v>
      </c>
      <c r="K2230" s="224">
        <f>IFERROR(__xludf.DUMMYFUNCTION("""COMPUTED_VALUE"""),8.0)</f>
        <v>8</v>
      </c>
      <c r="L2230" s="226">
        <f>IFERROR(__xludf.DUMMYFUNCTION("""COMPUTED_VALUE"""),1167275.0)</f>
        <v>1167275</v>
      </c>
      <c r="M2230" s="227">
        <f>IFERROR(__xludf.DUMMYFUNCTION("""COMPUTED_VALUE"""),9338200.0)</f>
        <v>9338200</v>
      </c>
      <c r="N2230" s="222" t="str">
        <f>IFERROR(__xludf.DUMMYFUNCTION("""COMPUTED_VALUE"""),"PT GARINDO TECHNO MANDIRI")</f>
        <v>PT GARINDO TECHNO MANDIRI</v>
      </c>
      <c r="O2230" s="222" t="str">
        <f>IFERROR(__xludf.DUMMYFUNCTION("""COMPUTED_VALUE"""),"8. UJI TERIMA")</f>
        <v>8. UJI TERIMA</v>
      </c>
      <c r="P2230" s="222" t="str">
        <f>IFERROR(__xludf.DUMMYFUNCTION("""COMPUTED_VALUE"""),"8.1 Proses UT")</f>
        <v>8.1 Proses UT</v>
      </c>
      <c r="Q2230" s="222" t="str">
        <f>IFERROR(__xludf.DUMMYFUNCTION("""COMPUTED_VALUE"""),"(21/01) GOLIVE, tgl 19/01/026, 14/01 GOLIVE, (29/11) submit abd ke sdi (24/11) tiang dan tarik kabel sudah selesai , paln submit abd 30 nov (20/11) material onsite, 17/11 material onsite, 12/11 delivery material 04/11 req matrial, menunggu Progres 3/11 re"&amp;"q matrial, menunggu Progres 13/10 SUDAH ANJIWZING, TUNGGU EVAL PED 08/10 progres aanwizjing
(01/10) menunggu jadwal aanwizjing
25/09/menunggu jadwal survey")</f>
        <v>(21/01) GOLIVE, tgl 19/01/026, 14/01 GOLIVE, (29/11) submit abd ke sdi (24/11) tiang dan tarik kabel sudah selesai , paln submit abd 30 nov (20/11) material onsite, 17/11 material onsite, 12/11 delivery material 04/11 req matrial, menunggu Progres 3/11 req matrial, menunggu Progres 13/10 SUDAH ANJIWZING, TUNGGU EVAL PED 08/10 progres aanwizjing
(01/10) menunggu jadwal aanwizjing
25/09/menunggu jadwal survey</v>
      </c>
      <c r="R2230" s="228"/>
      <c r="S2230" s="11"/>
      <c r="T2230" s="11"/>
      <c r="U2230" s="11"/>
      <c r="V2230" s="229" t="str">
        <f>IFERROR(__xludf.DUMMYFUNCTION("""COMPUTED_VALUE"""),"TANTOWI")</f>
        <v>TANTOWI</v>
      </c>
      <c r="W2230" s="229"/>
      <c r="X2230" s="229" t="str">
        <f>IFERROR(__xludf.DUMMYFUNCTION("""COMPUTED_VALUE"""),"GOLIVE")</f>
        <v>GOLIVE</v>
      </c>
      <c r="Y2230" s="229" t="str">
        <f>IFERROR(__xludf.DUMMYFUNCTION("""COMPUTED_VALUE"""),"DONE")</f>
        <v>DONE</v>
      </c>
      <c r="Z2230" s="229" t="str">
        <f>IFERROR(__xludf.DUMMYFUNCTION("""COMPUTED_VALUE"""),"#N/A")</f>
        <v>#N/A</v>
      </c>
      <c r="AA2230" s="229">
        <f>IFERROR(__xludf.DUMMYFUNCTION("""COMPUTED_VALUE"""),1.0)</f>
        <v>1</v>
      </c>
      <c r="AB2230" s="229"/>
      <c r="AC2230" s="229" t="str">
        <f>IFERROR(__xludf.DUMMYFUNCTION("""COMPUTED_VALUE"""),"8407104#8407109")</f>
        <v>8407104#8407109</v>
      </c>
      <c r="AD2230" s="232">
        <f>IFERROR(__xludf.DUMMYFUNCTION("""COMPUTED_VALUE"""),8.0)</f>
        <v>8</v>
      </c>
      <c r="AE2230" s="233">
        <f>IFERROR(__xludf.DUMMYFUNCTION("""COMPUTED_VALUE"""),46036.0)</f>
        <v>46036</v>
      </c>
      <c r="AF2230" s="54"/>
      <c r="AG2230" s="54"/>
      <c r="AH2230" s="54"/>
      <c r="AI2230" s="55" t="str">
        <f t="shared" si="211"/>
        <v/>
      </c>
      <c r="AW2230" s="234"/>
      <c r="BP2230" s="11"/>
      <c r="BQ2230" s="11"/>
      <c r="BV2230" s="158"/>
      <c r="BY2230" s="158"/>
      <c r="CB2230" s="158"/>
    </row>
    <row r="2231" ht="18.0" hidden="1" customHeight="1">
      <c r="A2231" s="222">
        <f>IFERROR(__xludf.DUMMYFUNCTION("""COMPUTED_VALUE"""),2026.0)</f>
        <v>2026</v>
      </c>
      <c r="B2231" s="221">
        <f>IFERROR(__xludf.DUMMYFUNCTION("""COMPUTED_VALUE"""),1.1783801E7)</f>
        <v>11783801</v>
      </c>
      <c r="C2231" s="222" t="str">
        <f>IFERROR(__xludf.DUMMYFUNCTION("""COMPUTED_VALUE"""),"LPG PT3 JPP SIDOARJO BUMI RATU BDU")</f>
        <v>LPG PT3 JPP SIDOARJO BUMI RATU BDU</v>
      </c>
      <c r="D2231" s="222" t="str">
        <f>IFERROR(__xludf.DUMMYFUNCTION("""COMPUTED_VALUE"""),"REGIONAL I")</f>
        <v>REGIONAL I</v>
      </c>
      <c r="E2231" s="222" t="str">
        <f>IFERROR(__xludf.DUMMYFUNCTION("""COMPUTED_VALUE"""),"LAMPUNG")</f>
        <v>LAMPUNG</v>
      </c>
      <c r="F2231" s="222" t="str">
        <f>IFERROR(__xludf.DUMMYFUNCTION("""COMPUTED_VALUE"""),"BDU")</f>
        <v>BDU</v>
      </c>
      <c r="G2231" s="222" t="str">
        <f>IFERROR(__xludf.DUMMYFUNCTION("""COMPUTED_VALUE"""),"SUMBAGSEL")</f>
        <v>SUMBAGSEL</v>
      </c>
      <c r="H2231" s="222" t="str">
        <f>IFERROR(__xludf.DUMMYFUNCTION("""COMPUTED_VALUE"""),"LAMPUNG")</f>
        <v>LAMPUNG</v>
      </c>
      <c r="I2231" s="222" t="str">
        <f>IFERROR(__xludf.DUMMYFUNCTION("""COMPUTED_VALUE"""),"Batch 2")</f>
        <v>Batch 2</v>
      </c>
      <c r="J2231" s="225">
        <f>IFERROR(__xludf.DUMMYFUNCTION("""COMPUTED_VALUE"""),23.0)</f>
        <v>23</v>
      </c>
      <c r="K2231" s="224">
        <f>IFERROR(__xludf.DUMMYFUNCTION("""COMPUTED_VALUE"""),184.0)</f>
        <v>184</v>
      </c>
      <c r="L2231" s="226">
        <f>IFERROR(__xludf.DUMMYFUNCTION("""COMPUTED_VALUE"""),1049471.0)</f>
        <v>1049471</v>
      </c>
      <c r="M2231" s="227">
        <f>IFERROR(__xludf.DUMMYFUNCTION("""COMPUTED_VALUE"""),1.93102616E8)</f>
        <v>193102616</v>
      </c>
      <c r="N2231" s="222" t="str">
        <f>IFERROR(__xludf.DUMMYFUNCTION("""COMPUTED_VALUE"""),"PT ALAM UTAMA MULIA")</f>
        <v>PT ALAM UTAMA MULIA</v>
      </c>
      <c r="O2231" s="222" t="str">
        <f>IFERROR(__xludf.DUMMYFUNCTION("""COMPUTED_VALUE"""),"0. DROP")</f>
        <v>0. DROP</v>
      </c>
      <c r="P2231" s="222" t="str">
        <f>IFERROR(__xludf.DUMMYFUNCTION("""COMPUTED_VALUE"""),"0.1 Double Order")</f>
        <v>0.1 Double Order</v>
      </c>
      <c r="Q2231" s="222" t="str">
        <f>IFERROR(__xludf.DUMMYFUNCTION("""COMPUTED_VALUE"""),"23/1 golive 2025")</f>
        <v>23/1 golive 2025</v>
      </c>
      <c r="R2231" s="228"/>
      <c r="S2231" s="11"/>
      <c r="T2231" s="11"/>
      <c r="U2231" s="11" t="str">
        <f>IFERROR(__xludf.DUMMYFUNCTION("""COMPUTED_VALUE"""),"W02-441/2025")</f>
        <v>W02-441/2025</v>
      </c>
      <c r="V2231" s="229"/>
      <c r="W2231" s="229"/>
      <c r="X2231" s="229" t="str">
        <f>IFERROR(__xludf.DUMMYFUNCTION("""COMPUTED_VALUE"""),"GOLIVE")</f>
        <v>GOLIVE</v>
      </c>
      <c r="Y2231" s="229" t="str">
        <f>IFERROR(__xludf.DUMMYFUNCTION("""COMPUTED_VALUE"""),"DONE")</f>
        <v>DONE</v>
      </c>
      <c r="Z2231" s="229" t="str">
        <f>IFERROR(__xludf.DUMMYFUNCTION("""COMPUTED_VALUE"""),"#N/A")</f>
        <v>#N/A</v>
      </c>
      <c r="AA2231" s="229"/>
      <c r="AB2231" s="229"/>
      <c r="AC2231" s="229"/>
      <c r="AD2231" s="232"/>
      <c r="AE2231" s="233"/>
      <c r="AF2231" s="54" t="str">
        <f>IFERROR(__xludf.DUMMYFUNCTION("""COMPUTED_VALUE"""),"Draft BA DROP")</f>
        <v>Draft BA DROP</v>
      </c>
      <c r="AG2231" s="54"/>
      <c r="AH2231" s="54"/>
      <c r="AI2231" s="55" t="str">
        <f t="shared" si="211"/>
        <v/>
      </c>
      <c r="AW2231" s="234"/>
      <c r="BP2231" s="11"/>
      <c r="BQ2231" s="11"/>
      <c r="BV2231" s="158"/>
      <c r="BY2231" s="158"/>
      <c r="CB2231" s="158"/>
    </row>
    <row r="2232" ht="18.0" customHeight="1">
      <c r="A2232" s="222">
        <f>IFERROR(__xludf.DUMMYFUNCTION("""COMPUTED_VALUE"""),2026.0)</f>
        <v>2026</v>
      </c>
      <c r="B2232" s="221">
        <f>IFERROR(__xludf.DUMMYFUNCTION("""COMPUTED_VALUE"""),1.151184E7)</f>
        <v>11511840</v>
      </c>
      <c r="C2232" s="222" t="str">
        <f>IFERROR(__xludf.DUMMYFUNCTION("""COMPUTED_VALUE"""),"RDR JPP PT3 TAK FT")</f>
        <v>RDR JPP PT3 TAK FT</v>
      </c>
      <c r="D2232" s="222" t="str">
        <f>IFERROR(__xludf.DUMMYFUNCTION("""COMPUTED_VALUE"""),"REGIONAL I")</f>
        <v>REGIONAL I</v>
      </c>
      <c r="E2232" s="222" t="str">
        <f>IFERROR(__xludf.DUMMYFUNCTION("""COMPUTED_VALUE"""),"RIDAR")</f>
        <v>RIDAR</v>
      </c>
      <c r="F2232" s="222" t="str">
        <f>IFERROR(__xludf.DUMMYFUNCTION("""COMPUTED_VALUE"""),"TAK")</f>
        <v>TAK</v>
      </c>
      <c r="G2232" s="222" t="str">
        <f>IFERROR(__xludf.DUMMYFUNCTION("""COMPUTED_VALUE"""),"SUMBAGTENG")</f>
        <v>SUMBAGTENG</v>
      </c>
      <c r="H2232" s="222" t="str">
        <f>IFERROR(__xludf.DUMMYFUNCTION("""COMPUTED_VALUE"""),"DUMAI")</f>
        <v>DUMAI</v>
      </c>
      <c r="I2232" s="222" t="str">
        <f>IFERROR(__xludf.DUMMYFUNCTION("""COMPUTED_VALUE"""),"Batch 2")</f>
        <v>Batch 2</v>
      </c>
      <c r="J2232" s="225">
        <f>IFERROR(__xludf.DUMMYFUNCTION("""COMPUTED_VALUE"""),6.0)</f>
        <v>6</v>
      </c>
      <c r="K2232" s="224">
        <f>IFERROR(__xludf.DUMMYFUNCTION("""COMPUTED_VALUE"""),48.0)</f>
        <v>48</v>
      </c>
      <c r="L2232" s="226">
        <f>IFERROR(__xludf.DUMMYFUNCTION("""COMPUTED_VALUE"""),1140485.0)</f>
        <v>1140485</v>
      </c>
      <c r="M2232" s="227">
        <f>IFERROR(__xludf.DUMMYFUNCTION("""COMPUTED_VALUE"""),5.4743248E7)</f>
        <v>54743248</v>
      </c>
      <c r="N2232" s="222" t="str">
        <f>IFERROR(__xludf.DUMMYFUNCTION("""COMPUTED_VALUE"""),"PT KENCANA RAYA INDONESIA")</f>
        <v>PT KENCANA RAYA INDONESIA</v>
      </c>
      <c r="O2232" s="222" t="str">
        <f>IFERROR(__xludf.DUMMYFUNCTION("""COMPUTED_VALUE"""),"8. UJI TERIMA")</f>
        <v>8. UJI TERIMA</v>
      </c>
      <c r="P2232" s="222" t="str">
        <f>IFERROR(__xludf.DUMMYFUNCTION("""COMPUTED_VALUE"""),"8.1 Proses UT")</f>
        <v>8.1 Proses UT</v>
      </c>
      <c r="Q2232" s="222" t="str">
        <f>IFERROR(__xludf.DUMMYFUNCTION("""COMPUTED_VALUE"""),"(07/01) Persiapan")</f>
        <v>(07/01) Persiapan</v>
      </c>
      <c r="R2232" s="228"/>
      <c r="S2232" s="11"/>
      <c r="T2232" s="11"/>
      <c r="U2232" s="11" t="str">
        <f>IFERROR(__xludf.DUMMYFUNCTION("""COMPUTED_VALUE"""),"W08-1533/2025")</f>
        <v>W08-1533/2025</v>
      </c>
      <c r="V2232" s="229" t="str">
        <f>IFERROR(__xludf.DUMMYFUNCTION("""COMPUTED_VALUE"""),"PIKI NOFRI SAPUTRA")</f>
        <v>PIKI NOFRI SAPUTRA</v>
      </c>
      <c r="W2232" s="229" t="str">
        <f>IFERROR(__xludf.DUMMYFUNCTION("""COMPUTED_VALUE"""),"ANZALA SAKINAH")</f>
        <v>ANZALA SAKINAH</v>
      </c>
      <c r="X2232" s="229" t="str">
        <f>IFERROR(__xludf.DUMMYFUNCTION("""COMPUTED_VALUE"""),"GOLIVE")</f>
        <v>GOLIVE</v>
      </c>
      <c r="Y2232" s="229" t="str">
        <f>IFERROR(__xludf.DUMMYFUNCTION("""COMPUTED_VALUE"""),"DONE")</f>
        <v>DONE</v>
      </c>
      <c r="Z2232" s="229" t="str">
        <f>IFERROR(__xludf.DUMMYFUNCTION("""COMPUTED_VALUE"""),"#N/A")</f>
        <v>#N/A</v>
      </c>
      <c r="AA2232" s="229">
        <f>IFERROR(__xludf.DUMMYFUNCTION("""COMPUTED_VALUE"""),11.0)</f>
        <v>11</v>
      </c>
      <c r="AB2232" s="229"/>
      <c r="AC2232" s="229" t="str">
        <f>IFERROR(__xludf.DUMMYFUNCTION("""COMPUTED_VALUE"""),"8360934#8360939")</f>
        <v>8360934#8360939</v>
      </c>
      <c r="AD2232" s="232">
        <f>IFERROR(__xludf.DUMMYFUNCTION("""COMPUTED_VALUE"""),88.0)</f>
        <v>88</v>
      </c>
      <c r="AE2232" s="233">
        <f>IFERROR(__xludf.DUMMYFUNCTION("""COMPUTED_VALUE"""),46029.0)</f>
        <v>46029</v>
      </c>
      <c r="AF2232" s="54"/>
      <c r="AG2232" s="54"/>
      <c r="AH2232" s="54"/>
      <c r="AI2232" s="55" t="str">
        <f t="shared" si="211"/>
        <v/>
      </c>
      <c r="AW2232" s="234"/>
      <c r="BP2232" s="11"/>
      <c r="BQ2232" s="11"/>
      <c r="BV2232" s="158"/>
      <c r="BY2232" s="158"/>
      <c r="CB2232" s="158"/>
    </row>
    <row r="2233" ht="18.0" hidden="1" customHeight="1">
      <c r="A2233" s="222">
        <f>IFERROR(__xludf.DUMMYFUNCTION("""COMPUTED_VALUE"""),2026.0)</f>
        <v>2026</v>
      </c>
      <c r="B2233" s="221">
        <f>IFERROR(__xludf.DUMMYFUNCTION("""COMPUTED_VALUE"""),1.138867E7)</f>
        <v>11388670</v>
      </c>
      <c r="C2233" s="222" t="str">
        <f>IFERROR(__xludf.DUMMYFUNCTION("""COMPUTED_VALUE"""),"MDN PT3 CTD-FCW JL.JATI GG.SEPAKAT_")</f>
        <v>MDN PT3 CTD-FCW JL.JATI GG.SEPAKAT_</v>
      </c>
      <c r="D2233" s="222" t="str">
        <f>IFERROR(__xludf.DUMMYFUNCTION("""COMPUTED_VALUE"""),"REGIONAL I")</f>
        <v>REGIONAL I</v>
      </c>
      <c r="E2233" s="222" t="str">
        <f>IFERROR(__xludf.DUMMYFUNCTION("""COMPUTED_VALUE"""),"MEDAN")</f>
        <v>MEDAN</v>
      </c>
      <c r="F2233" s="222" t="str">
        <f>IFERROR(__xludf.DUMMYFUNCTION("""COMPUTED_VALUE"""),"CTD")</f>
        <v>CTD</v>
      </c>
      <c r="G2233" s="222" t="str">
        <f>IFERROR(__xludf.DUMMYFUNCTION("""COMPUTED_VALUE"""),"SUMBAGUT")</f>
        <v>SUMBAGUT</v>
      </c>
      <c r="H2233" s="222" t="str">
        <f>IFERROR(__xludf.DUMMYFUNCTION("""COMPUTED_VALUE"""),"MEDAN")</f>
        <v>MEDAN</v>
      </c>
      <c r="I2233" s="222" t="str">
        <f>IFERROR(__xludf.DUMMYFUNCTION("""COMPUTED_VALUE"""),"Batch 2")</f>
        <v>Batch 2</v>
      </c>
      <c r="J2233" s="225">
        <f>IFERROR(__xludf.DUMMYFUNCTION("""COMPUTED_VALUE"""),3.0)</f>
        <v>3</v>
      </c>
      <c r="K2233" s="224">
        <f>IFERROR(__xludf.DUMMYFUNCTION("""COMPUTED_VALUE"""),24.0)</f>
        <v>24</v>
      </c>
      <c r="L2233" s="226">
        <f>IFERROR(__xludf.DUMMYFUNCTION("""COMPUTED_VALUE"""),1175605.0)</f>
        <v>1175605</v>
      </c>
      <c r="M2233" s="227">
        <f>IFERROR(__xludf.DUMMYFUNCTION("""COMPUTED_VALUE"""),2.8214503E7)</f>
        <v>28214503</v>
      </c>
      <c r="N2233" s="222" t="str">
        <f>IFERROR(__xludf.DUMMYFUNCTION("""COMPUTED_VALUE"""),"PT TRIPOLA PANATA")</f>
        <v>PT TRIPOLA PANATA</v>
      </c>
      <c r="O2233" s="222" t="str">
        <f>IFERROR(__xludf.DUMMYFUNCTION("""COMPUTED_VALUE"""),"8. UJI TERIMA")</f>
        <v>8. UJI TERIMA</v>
      </c>
      <c r="P2233" s="222" t="str">
        <f>IFERROR(__xludf.DUMMYFUNCTION("""COMPUTED_VALUE"""),"8.1 Proses UT")</f>
        <v>8.1 Proses UT</v>
      </c>
      <c r="Q2233" s="222" t="str">
        <f>IFERROR(__xludf.DUMMYFUNCTION("""COMPUTED_VALUE"""),"(07/01) Persiapan")</f>
        <v>(07/01) Persiapan</v>
      </c>
      <c r="R2233" s="228">
        <f>IFERROR(__xludf.DUMMYFUNCTION("""COMPUTED_VALUE"""),46031.0)</f>
        <v>46031</v>
      </c>
      <c r="S2233" s="11"/>
      <c r="T2233" s="11"/>
      <c r="U2233" s="11" t="str">
        <f>IFERROR(__xludf.DUMMYFUNCTION("""COMPUTED_VALUE"""),"FALSE")</f>
        <v>FALSE</v>
      </c>
      <c r="V2233" s="229"/>
      <c r="W2233" s="229"/>
      <c r="X2233" s="229" t="str">
        <f>IFERROR(__xludf.DUMMYFUNCTION("""COMPUTED_VALUE"""),"GOLIVE")</f>
        <v>GOLIVE</v>
      </c>
      <c r="Y2233" s="229" t="str">
        <f>IFERROR(__xludf.DUMMYFUNCTION("""COMPUTED_VALUE"""),"DONE")</f>
        <v>DONE</v>
      </c>
      <c r="Z2233" s="229" t="str">
        <f>IFERROR(__xludf.DUMMYFUNCTION("""COMPUTED_VALUE"""),"#N/A")</f>
        <v>#N/A</v>
      </c>
      <c r="AA2233" s="229">
        <f>IFERROR(__xludf.DUMMYFUNCTION("""COMPUTED_VALUE"""),3.0)</f>
        <v>3</v>
      </c>
      <c r="AB2233" s="229"/>
      <c r="AC2233" s="229" t="str">
        <f>IFERROR(__xludf.DUMMYFUNCTION("""COMPUTED_VALUE"""),"8766493#8766498")</f>
        <v>8766493#8766498</v>
      </c>
      <c r="AD2233" s="232">
        <f>IFERROR(__xludf.DUMMYFUNCTION("""COMPUTED_VALUE"""),24.0)</f>
        <v>24</v>
      </c>
      <c r="AE2233" s="233">
        <f>IFERROR(__xludf.DUMMYFUNCTION("""COMPUTED_VALUE"""),46031.0)</f>
        <v>46031</v>
      </c>
      <c r="AF2233" s="54"/>
      <c r="AG2233" s="54"/>
      <c r="AH2233" s="54">
        <v>46031.0</v>
      </c>
      <c r="AI2233" s="55">
        <f t="shared" si="211"/>
        <v>0</v>
      </c>
      <c r="AW2233" s="234"/>
      <c r="BP2233" s="11"/>
      <c r="BQ2233" s="11"/>
      <c r="BV2233" s="158"/>
      <c r="BY2233" s="158"/>
      <c r="CB2233" s="158"/>
    </row>
    <row r="2234" ht="18.0" hidden="1" customHeight="1">
      <c r="A2234" s="222">
        <f>IFERROR(__xludf.DUMMYFUNCTION("""COMPUTED_VALUE"""),2026.0)</f>
        <v>2026</v>
      </c>
      <c r="B2234" s="221">
        <f>IFERROR(__xludf.DUMMYFUNCTION("""COMPUTED_VALUE"""),1.1271851E7)</f>
        <v>11271851</v>
      </c>
      <c r="C2234" s="222" t="str">
        <f>IFERROR(__xludf.DUMMYFUNCTION("""COMPUTED_VALUE"""),"MDN PT3 P1I1 CTD-FAJ JL.KELAMBIR 5_")</f>
        <v>MDN PT3 P1I1 CTD-FAJ JL.KELAMBIR 5_</v>
      </c>
      <c r="D2234" s="222" t="str">
        <f>IFERROR(__xludf.DUMMYFUNCTION("""COMPUTED_VALUE"""),"REGIONAL I")</f>
        <v>REGIONAL I</v>
      </c>
      <c r="E2234" s="222" t="str">
        <f>IFERROR(__xludf.DUMMYFUNCTION("""COMPUTED_VALUE"""),"MEDAN")</f>
        <v>MEDAN</v>
      </c>
      <c r="F2234" s="222" t="str">
        <f>IFERROR(__xludf.DUMMYFUNCTION("""COMPUTED_VALUE"""),"CTD")</f>
        <v>CTD</v>
      </c>
      <c r="G2234" s="222" t="str">
        <f>IFERROR(__xludf.DUMMYFUNCTION("""COMPUTED_VALUE"""),"SUMBAGUT")</f>
        <v>SUMBAGUT</v>
      </c>
      <c r="H2234" s="222" t="str">
        <f>IFERROR(__xludf.DUMMYFUNCTION("""COMPUTED_VALUE"""),"MEDAN")</f>
        <v>MEDAN</v>
      </c>
      <c r="I2234" s="222" t="str">
        <f>IFERROR(__xludf.DUMMYFUNCTION("""COMPUTED_VALUE"""),"Batch 2")</f>
        <v>Batch 2</v>
      </c>
      <c r="J2234" s="225">
        <f>IFERROR(__xludf.DUMMYFUNCTION("""COMPUTED_VALUE"""),2.0)</f>
        <v>2</v>
      </c>
      <c r="K2234" s="224">
        <f>IFERROR(__xludf.DUMMYFUNCTION("""COMPUTED_VALUE"""),16.0)</f>
        <v>16</v>
      </c>
      <c r="L2234" s="226">
        <f>IFERROR(__xludf.DUMMYFUNCTION("""COMPUTED_VALUE"""),701799.0)</f>
        <v>701799</v>
      </c>
      <c r="M2234" s="227">
        <f>IFERROR(__xludf.DUMMYFUNCTION("""COMPUTED_VALUE"""),1.1228782E7)</f>
        <v>11228782</v>
      </c>
      <c r="N2234" s="222" t="str">
        <f>IFERROR(__xludf.DUMMYFUNCTION("""COMPUTED_VALUE"""),"PT TRIPOLA PANATA")</f>
        <v>PT TRIPOLA PANATA</v>
      </c>
      <c r="O2234" s="222" t="str">
        <f>IFERROR(__xludf.DUMMYFUNCTION("""COMPUTED_VALUE"""),"8. UJI TERIMA")</f>
        <v>8. UJI TERIMA</v>
      </c>
      <c r="P2234" s="222" t="str">
        <f>IFERROR(__xludf.DUMMYFUNCTION("""COMPUTED_VALUE"""),"8.1 Proses UT")</f>
        <v>8.1 Proses UT</v>
      </c>
      <c r="Q2234" s="222" t="str">
        <f>IFERROR(__xludf.DUMMYFUNCTION("""COMPUTED_VALUE"""),"(07/01) Persiapan")</f>
        <v>(07/01) Persiapan</v>
      </c>
      <c r="R2234" s="228">
        <f>IFERROR(__xludf.DUMMYFUNCTION("""COMPUTED_VALUE"""),46031.0)</f>
        <v>46031</v>
      </c>
      <c r="S2234" s="11"/>
      <c r="T2234" s="11"/>
      <c r="U2234" s="11" t="str">
        <f>IFERROR(__xludf.DUMMYFUNCTION("""COMPUTED_VALUE"""),"FALSE")</f>
        <v>FALSE</v>
      </c>
      <c r="V2234" s="229"/>
      <c r="W2234" s="229"/>
      <c r="X2234" s="229" t="str">
        <f>IFERROR(__xludf.DUMMYFUNCTION("""COMPUTED_VALUE"""),"GOLIVE")</f>
        <v>GOLIVE</v>
      </c>
      <c r="Y2234" s="229" t="str">
        <f>IFERROR(__xludf.DUMMYFUNCTION("""COMPUTED_VALUE"""),"DONE")</f>
        <v>DONE</v>
      </c>
      <c r="Z2234" s="229" t="str">
        <f>IFERROR(__xludf.DUMMYFUNCTION("""COMPUTED_VALUE"""),"#N/A")</f>
        <v>#N/A</v>
      </c>
      <c r="AA2234" s="229">
        <f>IFERROR(__xludf.DUMMYFUNCTION("""COMPUTED_VALUE"""),2.0)</f>
        <v>2</v>
      </c>
      <c r="AB2234" s="229"/>
      <c r="AC2234" s="229" t="str">
        <f>IFERROR(__xludf.DUMMYFUNCTION("""COMPUTED_VALUE"""),"8785384#8785389")</f>
        <v>8785384#8785389</v>
      </c>
      <c r="AD2234" s="232">
        <f>IFERROR(__xludf.DUMMYFUNCTION("""COMPUTED_VALUE"""),16.0)</f>
        <v>16</v>
      </c>
      <c r="AE2234" s="233">
        <f>IFERROR(__xludf.DUMMYFUNCTION("""COMPUTED_VALUE"""),46031.0)</f>
        <v>46031</v>
      </c>
      <c r="AF2234" s="54"/>
      <c r="AG2234" s="54"/>
      <c r="AH2234" s="54">
        <v>46031.0</v>
      </c>
      <c r="AI2234" s="55">
        <f t="shared" si="211"/>
        <v>0</v>
      </c>
      <c r="AW2234" s="234"/>
      <c r="BP2234" s="11"/>
      <c r="BQ2234" s="11"/>
      <c r="BV2234" s="158"/>
      <c r="BY2234" s="158"/>
      <c r="CB2234" s="158"/>
    </row>
    <row r="2235" ht="18.0" hidden="1" customHeight="1">
      <c r="A2235" s="222">
        <f>IFERROR(__xludf.DUMMYFUNCTION("""COMPUTED_VALUE"""),2026.0)</f>
        <v>2026</v>
      </c>
      <c r="B2235" s="221">
        <f>IFERROR(__xludf.DUMMYFUNCTION("""COMPUTED_VALUE"""),1.1535683E7)</f>
        <v>11535683</v>
      </c>
      <c r="C2235" s="222" t="str">
        <f>IFERROR(__xludf.DUMMYFUNCTION("""COMPUTED_VALUE"""),"MDN PT4 GLG-FM DESA KUALA BALI_")</f>
        <v>MDN PT4 GLG-FM DESA KUALA BALI_</v>
      </c>
      <c r="D2235" s="222" t="str">
        <f>IFERROR(__xludf.DUMMYFUNCTION("""COMPUTED_VALUE"""),"REGIONAL I")</f>
        <v>REGIONAL I</v>
      </c>
      <c r="E2235" s="222" t="str">
        <f>IFERROR(__xludf.DUMMYFUNCTION("""COMPUTED_VALUE"""),"MEDAN")</f>
        <v>MEDAN</v>
      </c>
      <c r="F2235" s="222" t="str">
        <f>IFERROR(__xludf.DUMMYFUNCTION("""COMPUTED_VALUE"""),"GLG")</f>
        <v>GLG</v>
      </c>
      <c r="G2235" s="222" t="str">
        <f>IFERROR(__xludf.DUMMYFUNCTION("""COMPUTED_VALUE"""),"SUMBAGUT")</f>
        <v>SUMBAGUT</v>
      </c>
      <c r="H2235" s="222" t="str">
        <f>IFERROR(__xludf.DUMMYFUNCTION("""COMPUTED_VALUE"""),"MEDAN")</f>
        <v>MEDAN</v>
      </c>
      <c r="I2235" s="222" t="str">
        <f>IFERROR(__xludf.DUMMYFUNCTION("""COMPUTED_VALUE"""),"Batch 2")</f>
        <v>Batch 2</v>
      </c>
      <c r="J2235" s="225">
        <f>IFERROR(__xludf.DUMMYFUNCTION("""COMPUTED_VALUE"""),16.0)</f>
        <v>16</v>
      </c>
      <c r="K2235" s="224">
        <f>IFERROR(__xludf.DUMMYFUNCTION("""COMPUTED_VALUE"""),128.0)</f>
        <v>128</v>
      </c>
      <c r="L2235" s="226">
        <f>IFERROR(__xludf.DUMMYFUNCTION("""COMPUTED_VALUE"""),1457025.0)</f>
        <v>1457025</v>
      </c>
      <c r="M2235" s="227">
        <f>IFERROR(__xludf.DUMMYFUNCTION("""COMPUTED_VALUE"""),1.86499092E8)</f>
        <v>186499092</v>
      </c>
      <c r="N2235" s="222" t="str">
        <f>IFERROR(__xludf.DUMMYFUNCTION("""COMPUTED_VALUE"""),"PT NIAGA NUSANTARA DIVA")</f>
        <v>PT NIAGA NUSANTARA DIVA</v>
      </c>
      <c r="O2235" s="222" t="str">
        <f>IFERROR(__xludf.DUMMYFUNCTION("""COMPUTED_VALUE"""),"8. UJI TERIMA")</f>
        <v>8. UJI TERIMA</v>
      </c>
      <c r="P2235" s="222" t="str">
        <f>IFERROR(__xludf.DUMMYFUNCTION("""COMPUTED_VALUE"""),"8.1 Proses UT")</f>
        <v>8.1 Proses UT</v>
      </c>
      <c r="Q2235" s="222" t="str">
        <f>IFERROR(__xludf.DUMMYFUNCTION("""COMPUTED_VALUE"""),"(07/01) Persiapan")</f>
        <v>(07/01) Persiapan</v>
      </c>
      <c r="R2235" s="228">
        <f>IFERROR(__xludf.DUMMYFUNCTION("""COMPUTED_VALUE"""),46034.0)</f>
        <v>46034</v>
      </c>
      <c r="S2235" s="11"/>
      <c r="T2235" s="11"/>
      <c r="U2235" s="11" t="str">
        <f>IFERROR(__xludf.DUMMYFUNCTION("""COMPUTED_VALUE"""),"FALSE")</f>
        <v>FALSE</v>
      </c>
      <c r="V2235" s="229"/>
      <c r="W2235" s="229"/>
      <c r="X2235" s="229" t="str">
        <f>IFERROR(__xludf.DUMMYFUNCTION("""COMPUTED_VALUE"""),"GOLIVE")</f>
        <v>GOLIVE</v>
      </c>
      <c r="Y2235" s="229" t="str">
        <f>IFERROR(__xludf.DUMMYFUNCTION("""COMPUTED_VALUE"""),"DONE")</f>
        <v>DONE</v>
      </c>
      <c r="Z2235" s="229" t="str">
        <f>IFERROR(__xludf.DUMMYFUNCTION("""COMPUTED_VALUE"""),"#N/A")</f>
        <v>#N/A</v>
      </c>
      <c r="AA2235" s="229">
        <f>IFERROR(__xludf.DUMMYFUNCTION("""COMPUTED_VALUE"""),16.0)</f>
        <v>16</v>
      </c>
      <c r="AB2235" s="229"/>
      <c r="AC2235" s="229" t="str">
        <f>IFERROR(__xludf.DUMMYFUNCTION("""COMPUTED_VALUE"""),"8801338#8801343")</f>
        <v>8801338#8801343</v>
      </c>
      <c r="AD2235" s="232">
        <f>IFERROR(__xludf.DUMMYFUNCTION("""COMPUTED_VALUE"""),128.0)</f>
        <v>128</v>
      </c>
      <c r="AE2235" s="233">
        <f>IFERROR(__xludf.DUMMYFUNCTION("""COMPUTED_VALUE"""),46034.0)</f>
        <v>46034</v>
      </c>
      <c r="AF2235" s="54"/>
      <c r="AG2235" s="54"/>
      <c r="AH2235" s="54">
        <v>46034.0</v>
      </c>
      <c r="AI2235" s="55">
        <f t="shared" si="211"/>
        <v>0</v>
      </c>
      <c r="AW2235" s="234"/>
      <c r="BP2235" s="11"/>
      <c r="BQ2235" s="11"/>
      <c r="BV2235" s="158"/>
      <c r="BY2235" s="158"/>
      <c r="CB2235" s="158"/>
    </row>
    <row r="2236" ht="18.0" hidden="1" customHeight="1">
      <c r="A2236" s="222">
        <f>IFERROR(__xludf.DUMMYFUNCTION("""COMPUTED_VALUE"""),2026.0)</f>
        <v>2026</v>
      </c>
      <c r="B2236" s="221">
        <f>IFERROR(__xludf.DUMMYFUNCTION("""COMPUTED_VALUE"""),1.1324276E7)</f>
        <v>11324276</v>
      </c>
      <c r="C2236" s="222" t="str">
        <f>IFERROR(__xludf.DUMMYFUNCTION("""COMPUTED_VALUE"""),"MDN PT3 GLG-FB JL.KESATUAN")</f>
        <v>MDN PT3 GLG-FB JL.KESATUAN</v>
      </c>
      <c r="D2236" s="222" t="str">
        <f>IFERROR(__xludf.DUMMYFUNCTION("""COMPUTED_VALUE"""),"REGIONAL I")</f>
        <v>REGIONAL I</v>
      </c>
      <c r="E2236" s="222" t="str">
        <f>IFERROR(__xludf.DUMMYFUNCTION("""COMPUTED_VALUE"""),"MEDAN")</f>
        <v>MEDAN</v>
      </c>
      <c r="F2236" s="222" t="str">
        <f>IFERROR(__xludf.DUMMYFUNCTION("""COMPUTED_VALUE"""),"GLG")</f>
        <v>GLG</v>
      </c>
      <c r="G2236" s="222" t="str">
        <f>IFERROR(__xludf.DUMMYFUNCTION("""COMPUTED_VALUE"""),"SUMBAGUT")</f>
        <v>SUMBAGUT</v>
      </c>
      <c r="H2236" s="222" t="str">
        <f>IFERROR(__xludf.DUMMYFUNCTION("""COMPUTED_VALUE"""),"MEDAN")</f>
        <v>MEDAN</v>
      </c>
      <c r="I2236" s="222" t="str">
        <f>IFERROR(__xludf.DUMMYFUNCTION("""COMPUTED_VALUE"""),"Batch 2")</f>
        <v>Batch 2</v>
      </c>
      <c r="J2236" s="225">
        <f>IFERROR(__xludf.DUMMYFUNCTION("""COMPUTED_VALUE"""),11.0)</f>
        <v>11</v>
      </c>
      <c r="K2236" s="224">
        <f>IFERROR(__xludf.DUMMYFUNCTION("""COMPUTED_VALUE"""),88.0)</f>
        <v>88</v>
      </c>
      <c r="L2236" s="226">
        <f>IFERROR(__xludf.DUMMYFUNCTION("""COMPUTED_VALUE"""),690370.0)</f>
        <v>690370</v>
      </c>
      <c r="M2236" s="227">
        <f>IFERROR(__xludf.DUMMYFUNCTION("""COMPUTED_VALUE"""),6.0752499E7)</f>
        <v>60752499</v>
      </c>
      <c r="N2236" s="222" t="str">
        <f>IFERROR(__xludf.DUMMYFUNCTION("""COMPUTED_VALUE"""),"PT NIAGA NUSANTARA DIVA")</f>
        <v>PT NIAGA NUSANTARA DIVA</v>
      </c>
      <c r="O2236" s="222" t="str">
        <f>IFERROR(__xludf.DUMMYFUNCTION("""COMPUTED_VALUE"""),"8. UJI TERIMA")</f>
        <v>8. UJI TERIMA</v>
      </c>
      <c r="P2236" s="222" t="str">
        <f>IFERROR(__xludf.DUMMYFUNCTION("""COMPUTED_VALUE"""),"8.1 Proses UT")</f>
        <v>8.1 Proses UT</v>
      </c>
      <c r="Q2236" s="222" t="str">
        <f>IFERROR(__xludf.DUMMYFUNCTION("""COMPUTED_VALUE"""),"(07/01) Persiapan")</f>
        <v>(07/01) Persiapan</v>
      </c>
      <c r="R2236" s="228">
        <f>IFERROR(__xludf.DUMMYFUNCTION("""COMPUTED_VALUE"""),46034.0)</f>
        <v>46034</v>
      </c>
      <c r="S2236" s="11"/>
      <c r="T2236" s="11"/>
      <c r="U2236" s="11" t="str">
        <f>IFERROR(__xludf.DUMMYFUNCTION("""COMPUTED_VALUE"""),"FALSE")</f>
        <v>FALSE</v>
      </c>
      <c r="V2236" s="229"/>
      <c r="W2236" s="229"/>
      <c r="X2236" s="229" t="str">
        <f>IFERROR(__xludf.DUMMYFUNCTION("""COMPUTED_VALUE"""),"GOLIVE")</f>
        <v>GOLIVE</v>
      </c>
      <c r="Y2236" s="229" t="str">
        <f>IFERROR(__xludf.DUMMYFUNCTION("""COMPUTED_VALUE"""),"DONE")</f>
        <v>DONE</v>
      </c>
      <c r="Z2236" s="229" t="str">
        <f>IFERROR(__xludf.DUMMYFUNCTION("""COMPUTED_VALUE"""),"#N/A")</f>
        <v>#N/A</v>
      </c>
      <c r="AA2236" s="229">
        <f>IFERROR(__xludf.DUMMYFUNCTION("""COMPUTED_VALUE"""),11.0)</f>
        <v>11</v>
      </c>
      <c r="AB2236" s="229"/>
      <c r="AC2236" s="229" t="str">
        <f>IFERROR(__xludf.DUMMYFUNCTION("""COMPUTED_VALUE"""),"8793139#8793144")</f>
        <v>8793139#8793144</v>
      </c>
      <c r="AD2236" s="232">
        <f>IFERROR(__xludf.DUMMYFUNCTION("""COMPUTED_VALUE"""),88.0)</f>
        <v>88</v>
      </c>
      <c r="AE2236" s="233">
        <f>IFERROR(__xludf.DUMMYFUNCTION("""COMPUTED_VALUE"""),46034.0)</f>
        <v>46034</v>
      </c>
      <c r="AF2236" s="54"/>
      <c r="AG2236" s="54"/>
      <c r="AH2236" s="54">
        <v>46034.0</v>
      </c>
      <c r="AI2236" s="55">
        <f t="shared" si="211"/>
        <v>0</v>
      </c>
      <c r="AW2236" s="234"/>
      <c r="BP2236" s="11"/>
      <c r="BQ2236" s="11"/>
      <c r="BV2236" s="158"/>
      <c r="BY2236" s="158"/>
      <c r="CB2236" s="158"/>
    </row>
    <row r="2237" ht="18.0" customHeight="1">
      <c r="A2237" s="222">
        <f>IFERROR(__xludf.DUMMYFUNCTION("""COMPUTED_VALUE"""),2026.0)</f>
        <v>2026</v>
      </c>
      <c r="B2237" s="221">
        <f>IFERROR(__xludf.DUMMYFUNCTION("""COMPUTED_VALUE"""),1.1350479E7)</f>
        <v>11350479</v>
      </c>
      <c r="C2237" s="222" t="str">
        <f>IFERROR(__xludf.DUMMYFUNCTION("""COMPUTED_VALUE"""),"RDR TBH PT4 P2I2 KM8 HARAPAN TANI 2")</f>
        <v>RDR TBH PT4 P2I2 KM8 HARAPAN TANI 2</v>
      </c>
      <c r="D2237" s="222" t="str">
        <f>IFERROR(__xludf.DUMMYFUNCTION("""COMPUTED_VALUE"""),"REGIONAL I")</f>
        <v>REGIONAL I</v>
      </c>
      <c r="E2237" s="222" t="str">
        <f>IFERROR(__xludf.DUMMYFUNCTION("""COMPUTED_VALUE"""),"RIDAR")</f>
        <v>RIDAR</v>
      </c>
      <c r="F2237" s="222" t="str">
        <f>IFERROR(__xludf.DUMMYFUNCTION("""COMPUTED_VALUE"""),"TBH")</f>
        <v>TBH</v>
      </c>
      <c r="G2237" s="222" t="str">
        <f>IFERROR(__xludf.DUMMYFUNCTION("""COMPUTED_VALUE"""),"SUMBAGTENG")</f>
        <v>SUMBAGTENG</v>
      </c>
      <c r="H2237" s="222" t="str">
        <f>IFERROR(__xludf.DUMMYFUNCTION("""COMPUTED_VALUE"""),"PEKANBARU")</f>
        <v>PEKANBARU</v>
      </c>
      <c r="I2237" s="222" t="str">
        <f>IFERROR(__xludf.DUMMYFUNCTION("""COMPUTED_VALUE"""),"Batch 2")</f>
        <v>Batch 2</v>
      </c>
      <c r="J2237" s="225">
        <f>IFERROR(__xludf.DUMMYFUNCTION("""COMPUTED_VALUE"""),40.0)</f>
        <v>40</v>
      </c>
      <c r="K2237" s="224">
        <f>IFERROR(__xludf.DUMMYFUNCTION("""COMPUTED_VALUE"""),312.0)</f>
        <v>312</v>
      </c>
      <c r="L2237" s="226">
        <f>IFERROR(__xludf.DUMMYFUNCTION("""COMPUTED_VALUE"""),1649700.0)</f>
        <v>1649700</v>
      </c>
      <c r="M2237" s="227">
        <f>IFERROR(__xludf.DUMMYFUNCTION("""COMPUTED_VALUE"""),5.14706221E8)</f>
        <v>514706221</v>
      </c>
      <c r="N2237" s="222" t="str">
        <f>IFERROR(__xludf.DUMMYFUNCTION("""COMPUTED_VALUE"""),"PT SAMUDERA PUTRA KENCANA")</f>
        <v>PT SAMUDERA PUTRA KENCANA</v>
      </c>
      <c r="O2237" s="222" t="str">
        <f>IFERROR(__xludf.DUMMYFUNCTION("""COMPUTED_VALUE"""),"0. DROP")</f>
        <v>0. DROP</v>
      </c>
      <c r="P2237" s="222" t="str">
        <f>IFERROR(__xludf.DUMMYFUNCTION("""COMPUTED_VALUE"""),"0.1 Double Order")</f>
        <v>0.1 Double Order</v>
      </c>
      <c r="Q2237" s="222" t="str">
        <f>IFERROR(__xludf.DUMMYFUNCTION("""COMPUTED_VALUE"""),"15/01 Sudah BAST di 2025 (07/01) Persiapan")</f>
        <v>15/01 Sudah BAST di 2025 (07/01) Persiapan</v>
      </c>
      <c r="R2237" s="228"/>
      <c r="S2237" s="11"/>
      <c r="T2237" s="11"/>
      <c r="U2237" s="11" t="str">
        <f>IFERROR(__xludf.DUMMYFUNCTION("""COMPUTED_VALUE"""),"W08-1615/2025")</f>
        <v>W08-1615/2025</v>
      </c>
      <c r="V2237" s="229" t="str">
        <f>IFERROR(__xludf.DUMMYFUNCTION("""COMPUTED_VALUE"""),"TEGUH IMAM PERDANA")</f>
        <v>TEGUH IMAM PERDANA</v>
      </c>
      <c r="W2237" s="229" t="str">
        <f>IFERROR(__xludf.DUMMYFUNCTION("""COMPUTED_VALUE"""),"DESLITA RAHMADANI")</f>
        <v>DESLITA RAHMADANI</v>
      </c>
      <c r="X2237" s="229" t="str">
        <f>IFERROR(__xludf.DUMMYFUNCTION("""COMPUTED_VALUE"""),"BELUM GOLIVE")</f>
        <v>BELUM GOLIVE</v>
      </c>
      <c r="Y2237" s="229"/>
      <c r="Z2237" s="229" t="str">
        <f>IFERROR(__xludf.DUMMYFUNCTION("""COMPUTED_VALUE"""),"5. Done Integrasi")</f>
        <v>5. Done Integrasi</v>
      </c>
      <c r="AA2237" s="229"/>
      <c r="AB2237" s="229"/>
      <c r="AC2237" s="229"/>
      <c r="AD2237" s="232"/>
      <c r="AE2237" s="233"/>
      <c r="AF2237" s="54" t="str">
        <f>IFERROR(__xludf.DUMMYFUNCTION("""COMPUTED_VALUE"""),"Draft BA DROP")</f>
        <v>Draft BA DROP</v>
      </c>
      <c r="AG2237" s="54"/>
      <c r="AH2237" s="54"/>
      <c r="AI2237" s="55" t="str">
        <f t="shared" si="211"/>
        <v/>
      </c>
      <c r="AW2237" s="234"/>
      <c r="BP2237" s="11"/>
      <c r="BQ2237" s="11"/>
      <c r="BV2237" s="158"/>
      <c r="BY2237" s="158"/>
      <c r="CB2237" s="158"/>
    </row>
    <row r="2238" ht="18.0" hidden="1" customHeight="1">
      <c r="A2238" s="222">
        <f>IFERROR(__xludf.DUMMYFUNCTION("""COMPUTED_VALUE"""),2026.0)</f>
        <v>2026</v>
      </c>
      <c r="B2238" s="221">
        <f>IFERROR(__xludf.DUMMYFUNCTION("""COMPUTED_VALUE"""),1.1220006E7)</f>
        <v>11220006</v>
      </c>
      <c r="C2238" s="222" t="str">
        <f>IFERROR(__xludf.DUMMYFUNCTION("""COMPUTED_VALUE"""),"MDN PT3 CTD-FCW SCATER GG.ISTIQOMAH")</f>
        <v>MDN PT3 CTD-FCW SCATER GG.ISTIQOMAH</v>
      </c>
      <c r="D2238" s="222" t="str">
        <f>IFERROR(__xludf.DUMMYFUNCTION("""COMPUTED_VALUE"""),"REGIONAL I")</f>
        <v>REGIONAL I</v>
      </c>
      <c r="E2238" s="222" t="str">
        <f>IFERROR(__xludf.DUMMYFUNCTION("""COMPUTED_VALUE"""),"MEDAN")</f>
        <v>MEDAN</v>
      </c>
      <c r="F2238" s="222" t="str">
        <f>IFERROR(__xludf.DUMMYFUNCTION("""COMPUTED_VALUE"""),"CTD")</f>
        <v>CTD</v>
      </c>
      <c r="G2238" s="222" t="str">
        <f>IFERROR(__xludf.DUMMYFUNCTION("""COMPUTED_VALUE"""),"SUMBAGUT")</f>
        <v>SUMBAGUT</v>
      </c>
      <c r="H2238" s="222" t="str">
        <f>IFERROR(__xludf.DUMMYFUNCTION("""COMPUTED_VALUE"""),"MEDAN")</f>
        <v>MEDAN</v>
      </c>
      <c r="I2238" s="222" t="str">
        <f>IFERROR(__xludf.DUMMYFUNCTION("""COMPUTED_VALUE"""),"Batch 2")</f>
        <v>Batch 2</v>
      </c>
      <c r="J2238" s="225">
        <f>IFERROR(__xludf.DUMMYFUNCTION("""COMPUTED_VALUE"""),1.0)</f>
        <v>1</v>
      </c>
      <c r="K2238" s="224">
        <f>IFERROR(__xludf.DUMMYFUNCTION("""COMPUTED_VALUE"""),8.0)</f>
        <v>8</v>
      </c>
      <c r="L2238" s="226">
        <f>IFERROR(__xludf.DUMMYFUNCTION("""COMPUTED_VALUE"""),1316434.0)</f>
        <v>1316434</v>
      </c>
      <c r="M2238" s="227">
        <f>IFERROR(__xludf.DUMMYFUNCTION("""COMPUTED_VALUE"""),1.0531472E7)</f>
        <v>10531472</v>
      </c>
      <c r="N2238" s="222" t="str">
        <f>IFERROR(__xludf.DUMMYFUNCTION("""COMPUTED_VALUE"""),"PT TRIPOLA PANATA")</f>
        <v>PT TRIPOLA PANATA</v>
      </c>
      <c r="O2238" s="222" t="str">
        <f>IFERROR(__xludf.DUMMYFUNCTION("""COMPUTED_VALUE"""),"8. UJI TERIMA")</f>
        <v>8. UJI TERIMA</v>
      </c>
      <c r="P2238" s="222" t="str">
        <f>IFERROR(__xludf.DUMMYFUNCTION("""COMPUTED_VALUE"""),"8.1 Proses UT")</f>
        <v>8.1 Proses UT</v>
      </c>
      <c r="Q2238" s="222" t="str">
        <f>IFERROR(__xludf.DUMMYFUNCTION("""COMPUTED_VALUE"""),"(07/01) Persiapan")</f>
        <v>(07/01) Persiapan</v>
      </c>
      <c r="R2238" s="228">
        <f>IFERROR(__xludf.DUMMYFUNCTION("""COMPUTED_VALUE"""),46038.0)</f>
        <v>46038</v>
      </c>
      <c r="S2238" s="11"/>
      <c r="T2238" s="11"/>
      <c r="U2238" s="11" t="str">
        <f>IFERROR(__xludf.DUMMYFUNCTION("""COMPUTED_VALUE"""),"FALSE")</f>
        <v>FALSE</v>
      </c>
      <c r="V2238" s="229"/>
      <c r="W2238" s="229"/>
      <c r="X2238" s="229" t="str">
        <f>IFERROR(__xludf.DUMMYFUNCTION("""COMPUTED_VALUE"""),"GOLIVE")</f>
        <v>GOLIVE</v>
      </c>
      <c r="Y2238" s="229" t="str">
        <f>IFERROR(__xludf.DUMMYFUNCTION("""COMPUTED_VALUE"""),"DONE")</f>
        <v>DONE</v>
      </c>
      <c r="Z2238" s="229" t="str">
        <f>IFERROR(__xludf.DUMMYFUNCTION("""COMPUTED_VALUE"""),"#N/A")</f>
        <v>#N/A</v>
      </c>
      <c r="AA2238" s="229">
        <f>IFERROR(__xludf.DUMMYFUNCTION("""COMPUTED_VALUE"""),1.0)</f>
        <v>1</v>
      </c>
      <c r="AB2238" s="229"/>
      <c r="AC2238" s="229" t="str">
        <f>IFERROR(__xludf.DUMMYFUNCTION("""COMPUTED_VALUE"""),"8774952#8774957")</f>
        <v>8774952#8774957</v>
      </c>
      <c r="AD2238" s="232">
        <f>IFERROR(__xludf.DUMMYFUNCTION("""COMPUTED_VALUE"""),8.0)</f>
        <v>8</v>
      </c>
      <c r="AE2238" s="233">
        <f>IFERROR(__xludf.DUMMYFUNCTION("""COMPUTED_VALUE"""),46038.0)</f>
        <v>46038</v>
      </c>
      <c r="AF2238" s="54"/>
      <c r="AG2238" s="54"/>
      <c r="AH2238" s="54">
        <v>46038.0</v>
      </c>
      <c r="AI2238" s="55">
        <f t="shared" si="211"/>
        <v>0</v>
      </c>
      <c r="AW2238" s="234"/>
      <c r="BP2238" s="11"/>
      <c r="BQ2238" s="11"/>
      <c r="BV2238" s="158"/>
      <c r="BY2238" s="158"/>
      <c r="CB2238" s="158"/>
    </row>
    <row r="2239" ht="18.0" hidden="1" customHeight="1">
      <c r="A2239" s="222">
        <f>IFERROR(__xludf.DUMMYFUNCTION("""COMPUTED_VALUE"""),2026.0)</f>
        <v>2026</v>
      </c>
      <c r="B2239" s="221">
        <f>IFERROR(__xludf.DUMMYFUNCTION("""COMPUTED_VALUE"""),1.1579372E7)</f>
        <v>11579372</v>
      </c>
      <c r="C2239" s="222" t="str">
        <f>IFERROR(__xludf.DUMMYFUNCTION("""COMPUTED_VALUE"""),"BBL PT4 P3I1 EKSPAND JEBUS SELATAN")</f>
        <v>BBL PT4 P3I1 EKSPAND JEBUS SELATAN</v>
      </c>
      <c r="D2239" s="222" t="str">
        <f>IFERROR(__xludf.DUMMYFUNCTION("""COMPUTED_VALUE"""),"REGIONAL I")</f>
        <v>REGIONAL I</v>
      </c>
      <c r="E2239" s="222" t="str">
        <f>IFERROR(__xludf.DUMMYFUNCTION("""COMPUTED_VALUE"""),"BABEL")</f>
        <v>BABEL</v>
      </c>
      <c r="F2239" s="222" t="str">
        <f>IFERROR(__xludf.DUMMYFUNCTION("""COMPUTED_VALUE"""),"JBS")</f>
        <v>JBS</v>
      </c>
      <c r="G2239" s="222" t="str">
        <f>IFERROR(__xludf.DUMMYFUNCTION("""COMPUTED_VALUE"""),"SUMBAGSEL")</f>
        <v>SUMBAGSEL</v>
      </c>
      <c r="H2239" s="222" t="str">
        <f>IFERROR(__xludf.DUMMYFUNCTION("""COMPUTED_VALUE"""),"PANGKAL PINANG")</f>
        <v>PANGKAL PINANG</v>
      </c>
      <c r="I2239" s="222" t="str">
        <f>IFERROR(__xludf.DUMMYFUNCTION("""COMPUTED_VALUE"""),"Batch 2")</f>
        <v>Batch 2</v>
      </c>
      <c r="J2239" s="225">
        <f>IFERROR(__xludf.DUMMYFUNCTION("""COMPUTED_VALUE"""),15.0)</f>
        <v>15</v>
      </c>
      <c r="K2239" s="224">
        <f>IFERROR(__xludf.DUMMYFUNCTION("""COMPUTED_VALUE"""),120.0)</f>
        <v>120</v>
      </c>
      <c r="L2239" s="226">
        <f>IFERROR(__xludf.DUMMYFUNCTION("""COMPUTED_VALUE"""),1379416.0)</f>
        <v>1379416</v>
      </c>
      <c r="M2239" s="227">
        <f>IFERROR(__xludf.DUMMYFUNCTION("""COMPUTED_VALUE"""),1.65529832E8)</f>
        <v>165529832</v>
      </c>
      <c r="N2239" s="222" t="str">
        <f>IFERROR(__xludf.DUMMYFUNCTION("""COMPUTED_VALUE"""),"PT SARANA MITRA PERSADA")</f>
        <v>PT SARANA MITRA PERSADA</v>
      </c>
      <c r="O2239" s="222" t="str">
        <f>IFERROR(__xludf.DUMMYFUNCTION("""COMPUTED_VALUE"""),"0. DROP")</f>
        <v>0. DROP</v>
      </c>
      <c r="P2239" s="222" t="str">
        <f>IFERROR(__xludf.DUMMYFUNCTION("""COMPUTED_VALUE"""),"0.1 Double Order")</f>
        <v>0.1 Double Order</v>
      </c>
      <c r="Q2239" s="222" t="str">
        <f>IFERROR(__xludf.DUMMYFUNCTION("""COMPUTED_VALUE"""),"18/01 golive 2025 7/11 DONE GOLIVE (06/01)order JPP batch-2 2026 - BAST 2025 (16/12 sirkulir TA  (01/12) finisi instal , masuk list hold golive 2025 (26/11) proses UT 24/11 kendala operasional mitra 16/11 proses pembangunan ODC(13/11) instal ODP  (6/11) i"&amp;"nstal ODP (04/11) TARIKAN KABEL 3000M DONE , PLAN PASANG ODP (29/10) PENARIKAN KU 27/10 PERAPIHAN 25/10  LANJUT PENANAMAN TIANG 24/10 TAnam tiang (23/10) AMBIL MATERIAL 14/10 Material Sudah Onsite")</f>
        <v>18/01 golive 2025 7/11 DONE GOLIVE (06/01)order JPP batch-2 2026 - BAST 2025 (16/12 sirkulir TA  (01/12) finisi instal , masuk list hold golive 2025 (26/11) proses UT 24/11 kendala operasional mitra 16/11 proses pembangunan ODC(13/11) instal ODP  (6/11) instal ODP (04/11) TARIKAN KABEL 3000M DONE , PLAN PASANG ODP (29/10) PENARIKAN KU 27/10 PERAPIHAN 25/10  LANJUT PENANAMAN TIANG 24/10 TAnam tiang (23/10) AMBIL MATERIAL 14/10 Material Sudah Onsite</v>
      </c>
      <c r="R2239" s="228"/>
      <c r="S2239" s="11"/>
      <c r="T2239" s="11"/>
      <c r="U2239" s="11"/>
      <c r="V2239" s="229"/>
      <c r="W2239" s="229"/>
      <c r="X2239" s="229" t="str">
        <f>IFERROR(__xludf.DUMMYFUNCTION("""COMPUTED_VALUE"""),"BELUM GOLIVE")</f>
        <v>BELUM GOLIVE</v>
      </c>
      <c r="Y2239" s="229"/>
      <c r="Z2239" s="229" t="str">
        <f>IFERROR(__xludf.DUMMYFUNCTION("""COMPUTED_VALUE"""),"#N/A")</f>
        <v>#N/A</v>
      </c>
      <c r="AA2239" s="229"/>
      <c r="AB2239" s="229"/>
      <c r="AC2239" s="229"/>
      <c r="AD2239" s="232"/>
      <c r="AE2239" s="233"/>
      <c r="AF2239" s="54" t="str">
        <f>IFERROR(__xludf.DUMMYFUNCTION("""COMPUTED_VALUE"""),"Draft BA DROP")</f>
        <v>Draft BA DROP</v>
      </c>
      <c r="AG2239" s="54"/>
      <c r="AH2239" s="54"/>
      <c r="AI2239" s="55" t="str">
        <f t="shared" si="211"/>
        <v/>
      </c>
      <c r="AW2239" s="234"/>
      <c r="BP2239" s="11"/>
      <c r="BQ2239" s="11"/>
      <c r="BV2239" s="158"/>
      <c r="BY2239" s="158"/>
      <c r="CB2239" s="158"/>
    </row>
    <row r="2240" ht="18.0" customHeight="1">
      <c r="A2240" s="222">
        <f>IFERROR(__xludf.DUMMYFUNCTION("""COMPUTED_VALUE"""),2026.0)</f>
        <v>2026</v>
      </c>
      <c r="B2240" s="221">
        <f>IFERROR(__xludf.DUMMYFUNCTION("""COMPUTED_VALUE"""),1.1410193E7)</f>
        <v>11410193</v>
      </c>
      <c r="C2240" s="222" t="str">
        <f>IFERROR(__xludf.DUMMYFUNCTION("""COMPUTED_VALUE"""),"RDR SUNGAI GERINGGING")</f>
        <v>RDR SUNGAI GERINGGING</v>
      </c>
      <c r="D2240" s="222" t="str">
        <f>IFERROR(__xludf.DUMMYFUNCTION("""COMPUTED_VALUE"""),"REGIONAL I")</f>
        <v>REGIONAL I</v>
      </c>
      <c r="E2240" s="222" t="str">
        <f>IFERROR(__xludf.DUMMYFUNCTION("""COMPUTED_VALUE"""),"RIDAR")</f>
        <v>RIDAR</v>
      </c>
      <c r="F2240" s="222" t="str">
        <f>IFERROR(__xludf.DUMMYFUNCTION("""COMPUTED_VALUE"""),"BKR")</f>
        <v>BKR</v>
      </c>
      <c r="G2240" s="222" t="str">
        <f>IFERROR(__xludf.DUMMYFUNCTION("""COMPUTED_VALUE"""),"SUMBAGTENG")</f>
        <v>SUMBAGTENG</v>
      </c>
      <c r="H2240" s="222" t="str">
        <f>IFERROR(__xludf.DUMMYFUNCTION("""COMPUTED_VALUE"""),"PEKANBARU")</f>
        <v>PEKANBARU</v>
      </c>
      <c r="I2240" s="222" t="str">
        <f>IFERROR(__xludf.DUMMYFUNCTION("""COMPUTED_VALUE"""),"Batch 2")</f>
        <v>Batch 2</v>
      </c>
      <c r="J2240" s="225">
        <f>IFERROR(__xludf.DUMMYFUNCTION("""COMPUTED_VALUE"""),19.0)</f>
        <v>19</v>
      </c>
      <c r="K2240" s="224">
        <f>IFERROR(__xludf.DUMMYFUNCTION("""COMPUTED_VALUE"""),152.0)</f>
        <v>152</v>
      </c>
      <c r="L2240" s="226">
        <f>IFERROR(__xludf.DUMMYFUNCTION("""COMPUTED_VALUE"""),1231647.0)</f>
        <v>1231647</v>
      </c>
      <c r="M2240" s="227">
        <f>IFERROR(__xludf.DUMMYFUNCTION("""COMPUTED_VALUE"""),1.87210204E8)</f>
        <v>187210204</v>
      </c>
      <c r="N2240" s="222" t="str">
        <f>IFERROR(__xludf.DUMMYFUNCTION("""COMPUTED_VALUE"""),"PT SABANA BABARE SEJAHTERA")</f>
        <v>PT SABANA BABARE SEJAHTERA</v>
      </c>
      <c r="O2240" s="222" t="str">
        <f>IFERROR(__xludf.DUMMYFUNCTION("""COMPUTED_VALUE"""),"8. UJI TERIMA")</f>
        <v>8. UJI TERIMA</v>
      </c>
      <c r="P2240" s="222" t="str">
        <f>IFERROR(__xludf.DUMMYFUNCTION("""COMPUTED_VALUE"""),"8.1 Proses UT")</f>
        <v>8.1 Proses UT</v>
      </c>
      <c r="Q2240" s="222" t="str">
        <f>IFERROR(__xludf.DUMMYFUNCTION("""COMPUTED_VALUE"""),"(07/01) Persiapan")</f>
        <v>(07/01) Persiapan</v>
      </c>
      <c r="R2240" s="228"/>
      <c r="S2240" s="11"/>
      <c r="T2240" s="11"/>
      <c r="U2240" s="11" t="str">
        <f>IFERROR(__xludf.DUMMYFUNCTION("""COMPUTED_VALUE"""),"W08-1666/2025")</f>
        <v>W08-1666/2025</v>
      </c>
      <c r="V2240" s="229" t="str">
        <f>IFERROR(__xludf.DUMMYFUNCTION("""COMPUTED_VALUE"""),"SYAFRIAL")</f>
        <v>SYAFRIAL</v>
      </c>
      <c r="W2240" s="229" t="str">
        <f>IFERROR(__xludf.DUMMYFUNCTION("""COMPUTED_VALUE"""),"DESLITA RAHMADANI")</f>
        <v>DESLITA RAHMADANI</v>
      </c>
      <c r="X2240" s="229" t="str">
        <f>IFERROR(__xludf.DUMMYFUNCTION("""COMPUTED_VALUE"""),"GOLIVE")</f>
        <v>GOLIVE</v>
      </c>
      <c r="Y2240" s="229" t="str">
        <f>IFERROR(__xludf.DUMMYFUNCTION("""COMPUTED_VALUE"""),"DONE")</f>
        <v>DONE</v>
      </c>
      <c r="Z2240" s="229" t="str">
        <f>IFERROR(__xludf.DUMMYFUNCTION("""COMPUTED_VALUE"""),"#N/A")</f>
        <v>#N/A</v>
      </c>
      <c r="AA2240" s="229">
        <f>IFERROR(__xludf.DUMMYFUNCTION("""COMPUTED_VALUE"""),19.0)</f>
        <v>19</v>
      </c>
      <c r="AB2240" s="229"/>
      <c r="AC2240" s="229" t="str">
        <f>IFERROR(__xludf.DUMMYFUNCTION("""COMPUTED_VALUE"""),"8446321#8446326")</f>
        <v>8446321#8446326</v>
      </c>
      <c r="AD2240" s="232">
        <f>IFERROR(__xludf.DUMMYFUNCTION("""COMPUTED_VALUE"""),152.0)</f>
        <v>152</v>
      </c>
      <c r="AE2240" s="233">
        <f>IFERROR(__xludf.DUMMYFUNCTION("""COMPUTED_VALUE"""),46029.0)</f>
        <v>46029</v>
      </c>
      <c r="AF2240" s="54"/>
      <c r="AG2240" s="54"/>
      <c r="AH2240" s="54"/>
      <c r="AI2240" s="55" t="str">
        <f t="shared" si="211"/>
        <v/>
      </c>
      <c r="AW2240" s="234"/>
      <c r="BP2240" s="11"/>
      <c r="BQ2240" s="11"/>
      <c r="BV2240" s="158"/>
      <c r="BY2240" s="158"/>
      <c r="CB2240" s="158"/>
    </row>
    <row r="2241" ht="18.0" hidden="1" customHeight="1">
      <c r="A2241" s="222">
        <f>IFERROR(__xludf.DUMMYFUNCTION("""COMPUTED_VALUE"""),2026.0)</f>
        <v>2026</v>
      </c>
      <c r="B2241" s="221">
        <f>IFERROR(__xludf.DUMMYFUNCTION("""COMPUTED_VALUE"""),1.1377786E7)</f>
        <v>11377786</v>
      </c>
      <c r="C2241" s="222" t="str">
        <f>IFERROR(__xludf.DUMMYFUNCTION("""COMPUTED_VALUE"""),"MDN PT2 TMU-FB DELI SERDANG_7425")</f>
        <v>MDN PT2 TMU-FB DELI SERDANG_7425</v>
      </c>
      <c r="D2241" s="222" t="str">
        <f>IFERROR(__xludf.DUMMYFUNCTION("""COMPUTED_VALUE"""),"REGIONAL I")</f>
        <v>REGIONAL I</v>
      </c>
      <c r="E2241" s="222" t="str">
        <f>IFERROR(__xludf.DUMMYFUNCTION("""COMPUTED_VALUE"""),"MEDAN")</f>
        <v>MEDAN</v>
      </c>
      <c r="F2241" s="222" t="str">
        <f>IFERROR(__xludf.DUMMYFUNCTION("""COMPUTED_VALUE"""),"TMU")</f>
        <v>TMU</v>
      </c>
      <c r="G2241" s="222" t="str">
        <f>IFERROR(__xludf.DUMMYFUNCTION("""COMPUTED_VALUE"""),"SUMBAGUT")</f>
        <v>SUMBAGUT</v>
      </c>
      <c r="H2241" s="222" t="str">
        <f>IFERROR(__xludf.DUMMYFUNCTION("""COMPUTED_VALUE"""),"MEDAN")</f>
        <v>MEDAN</v>
      </c>
      <c r="I2241" s="222" t="str">
        <f>IFERROR(__xludf.DUMMYFUNCTION("""COMPUTED_VALUE"""),"Batch 2")</f>
        <v>Batch 2</v>
      </c>
      <c r="J2241" s="225">
        <f>IFERROR(__xludf.DUMMYFUNCTION("""COMPUTED_VALUE"""),3.0)</f>
        <v>3</v>
      </c>
      <c r="K2241" s="224">
        <f>IFERROR(__xludf.DUMMYFUNCTION("""COMPUTED_VALUE"""),24.0)</f>
        <v>24</v>
      </c>
      <c r="L2241" s="226">
        <f>IFERROR(__xludf.DUMMYFUNCTION("""COMPUTED_VALUE"""),348802.0)</f>
        <v>348802</v>
      </c>
      <c r="M2241" s="227">
        <f>IFERROR(__xludf.DUMMYFUNCTION("""COMPUTED_VALUE"""),8371239.0)</f>
        <v>8371239</v>
      </c>
      <c r="N2241" s="222" t="str">
        <f>IFERROR(__xludf.DUMMYFUNCTION("""COMPUTED_VALUE"""),"PT GLOBAL KARYA WANDA")</f>
        <v>PT GLOBAL KARYA WANDA</v>
      </c>
      <c r="O2241" s="222" t="str">
        <f>IFERROR(__xludf.DUMMYFUNCTION("""COMPUTED_VALUE"""),"0. DROP")</f>
        <v>0. DROP</v>
      </c>
      <c r="P2241" s="222" t="str">
        <f>IFERROR(__xludf.DUMMYFUNCTION("""COMPUTED_VALUE"""),"0.3 Feeder Full")</f>
        <v>0.3 Feeder Full</v>
      </c>
      <c r="Q2241" s="222" t="str">
        <f>IFERROR(__xludf.DUMMYFUNCTION("""COMPUTED_VALUE"""),"16/10 Feeder Habis
(24/09) Perizinan Warga dan Kades / Lurah
(23/09) Perizinan Warga dan Kades / Lurah
15/09 proses aanwijzing")</f>
        <v>16/10 Feeder Habis
(24/09) Perizinan Warga dan Kades / Lurah
(23/09) Perizinan Warga dan Kades / Lurah
15/09 proses aanwijzing</v>
      </c>
      <c r="R2241" s="228"/>
      <c r="S2241" s="11"/>
      <c r="T2241" s="11"/>
      <c r="U2241" s="11"/>
      <c r="V2241" s="229"/>
      <c r="W2241" s="229"/>
      <c r="X2241" s="229" t="str">
        <f>IFERROR(__xludf.DUMMYFUNCTION("""COMPUTED_VALUE"""),"BELUM GOLIVE")</f>
        <v>BELUM GOLIVE</v>
      </c>
      <c r="Y2241" s="229"/>
      <c r="Z2241" s="229" t="str">
        <f>IFERROR(__xludf.DUMMYFUNCTION("""COMPUTED_VALUE"""),"#N/A")</f>
        <v>#N/A</v>
      </c>
      <c r="AA2241" s="229"/>
      <c r="AB2241" s="229"/>
      <c r="AC2241" s="229"/>
      <c r="AD2241" s="232"/>
      <c r="AE2241" s="233"/>
      <c r="AF2241" s="54"/>
      <c r="AG2241" s="54"/>
      <c r="AH2241" s="54"/>
      <c r="AI2241" s="55" t="str">
        <f t="shared" si="211"/>
        <v/>
      </c>
      <c r="AW2241" s="234"/>
      <c r="BP2241" s="11"/>
      <c r="BQ2241" s="11"/>
      <c r="BV2241" s="158"/>
      <c r="BY2241" s="158"/>
      <c r="CB2241" s="158"/>
    </row>
    <row r="2242" ht="18.0" hidden="1" customHeight="1">
      <c r="A2242" s="222">
        <f>IFERROR(__xludf.DUMMYFUNCTION("""COMPUTED_VALUE"""),2026.0)</f>
        <v>2026</v>
      </c>
      <c r="B2242" s="221">
        <f>IFERROR(__xludf.DUMMYFUNCTION("""COMPUTED_VALUE"""),1.243857E7)</f>
        <v>12438570</v>
      </c>
      <c r="C2242" s="222" t="str">
        <f>IFERROR(__xludf.DUMMYFUNCTION("""COMPUTED_VALUE"""),"BBL PT4 P4I4 TEMPILANG")</f>
        <v>BBL PT4 P4I4 TEMPILANG</v>
      </c>
      <c r="D2242" s="222" t="str">
        <f>IFERROR(__xludf.DUMMYFUNCTION("""COMPUTED_VALUE"""),"REGIONAL I")</f>
        <v>REGIONAL I</v>
      </c>
      <c r="E2242" s="222" t="str">
        <f>IFERROR(__xludf.DUMMYFUNCTION("""COMPUTED_VALUE"""),"BABEL")</f>
        <v>BABEL</v>
      </c>
      <c r="F2242" s="222" t="str">
        <f>IFERROR(__xludf.DUMMYFUNCTION("""COMPUTED_VALUE"""),"TPL")</f>
        <v>TPL</v>
      </c>
      <c r="G2242" s="222" t="str">
        <f>IFERROR(__xludf.DUMMYFUNCTION("""COMPUTED_VALUE"""),"SUMBAGSEL")</f>
        <v>SUMBAGSEL</v>
      </c>
      <c r="H2242" s="222" t="str">
        <f>IFERROR(__xludf.DUMMYFUNCTION("""COMPUTED_VALUE"""),"PANGKAL PINANG")</f>
        <v>PANGKAL PINANG</v>
      </c>
      <c r="I2242" s="222" t="str">
        <f>IFERROR(__xludf.DUMMYFUNCTION("""COMPUTED_VALUE"""),"Batch 2")</f>
        <v>Batch 2</v>
      </c>
      <c r="J2242" s="225">
        <f>IFERROR(__xludf.DUMMYFUNCTION("""COMPUTED_VALUE"""),35.0)</f>
        <v>35</v>
      </c>
      <c r="K2242" s="224">
        <f>IFERROR(__xludf.DUMMYFUNCTION("""COMPUTED_VALUE"""),280.0)</f>
        <v>280</v>
      </c>
      <c r="L2242" s="226">
        <f>IFERROR(__xludf.DUMMYFUNCTION("""COMPUTED_VALUE"""),1407893.0)</f>
        <v>1407893</v>
      </c>
      <c r="M2242" s="227">
        <f>IFERROR(__xludf.DUMMYFUNCTION("""COMPUTED_VALUE"""),3.94209999E8)</f>
        <v>394209999</v>
      </c>
      <c r="N2242" s="222" t="str">
        <f>IFERROR(__xludf.DUMMYFUNCTION("""COMPUTED_VALUE"""),"PT FAJAR MITRA KRIDA ABADI")</f>
        <v>PT FAJAR MITRA KRIDA ABADI</v>
      </c>
      <c r="O2242" s="222" t="str">
        <f>IFERROR(__xludf.DUMMYFUNCTION("""COMPUTED_VALUE"""),"7. GOLIVE")</f>
        <v>7. GOLIVE</v>
      </c>
      <c r="P2242" s="222" t="str">
        <f>IFERROR(__xludf.DUMMYFUNCTION("""COMPUTED_VALUE"""),"7.2 Golive Full / OA / DONE OTB")</f>
        <v>7.2 Golive Full / OA / DONE OTB</v>
      </c>
      <c r="Q2242" s="222" t="str">
        <f>IFERROR(__xludf.DUMMYFUNCTION("""COMPUTED_VALUE"""),"(28/1) pasang odp 15 odp 26/01 penarikan kabel 12D 7550 done, tanam tiang 64 done (18/01) penarikan kabel 12D 5000/7550, tanam tiang 44/64 (13/01) penarikan kabel 12D 3000/7550 (09/01) penarikan kabel 12D 1000/7550 (08/01) penarikan kabel 24D 7400 done (0"&amp;"7/01) penarikan kabel 24D 6000/7400, tanam tiang 30/64 (7/1) DROP  (06/01)order JPP batch-2 2026 (05/01 tanam tiang 30/4 (02/01) matdel (16/12) hold , material on site 28/11 sudah bisa request (27/11) proses pr po (26/11) DRM done (25/11) proses DRM mitra"&amp;" (17/11) sudah create PID (10/11) create PID kendala Budget (5/11) aanwijzing (4/11) Penunjukan mitra")</f>
        <v>(28/1) pasang odp 15 odp 26/01 penarikan kabel 12D 7550 done, tanam tiang 64 done (18/01) penarikan kabel 12D 5000/7550, tanam tiang 44/64 (13/01) penarikan kabel 12D 3000/7550 (09/01) penarikan kabel 12D 1000/7550 (08/01) penarikan kabel 24D 7400 done (07/01) penarikan kabel 24D 6000/7400, tanam tiang 30/64 (7/1) DROP  (06/01)order JPP batch-2 2026 (05/01 tanam tiang 30/4 (02/01) matdel (16/12) hold , material on site 28/11 sudah bisa request (27/11) proses pr po (26/11) DRM done (25/11) proses DRM mitra (17/11) sudah create PID (10/11) create PID kendala Budget (5/11) aanwijzing (4/11) Penunjukan mitra</v>
      </c>
      <c r="R2242" s="228"/>
      <c r="S2242" s="11"/>
      <c r="T2242" s="11"/>
      <c r="U2242" s="11"/>
      <c r="V2242" s="229"/>
      <c r="W2242" s="229"/>
      <c r="X2242" s="229" t="str">
        <f>IFERROR(__xludf.DUMMYFUNCTION("""COMPUTED_VALUE"""),"GOLIVE")</f>
        <v>GOLIVE</v>
      </c>
      <c r="Y2242" s="229" t="str">
        <f>IFERROR(__xludf.DUMMYFUNCTION("""COMPUTED_VALUE"""),"DONE")</f>
        <v>DONE</v>
      </c>
      <c r="Z2242" s="229" t="str">
        <f>IFERROR(__xludf.DUMMYFUNCTION("""COMPUTED_VALUE"""),"#N/A")</f>
        <v>#N/A</v>
      </c>
      <c r="AA2242" s="229">
        <f>IFERROR(__xludf.DUMMYFUNCTION("""COMPUTED_VALUE"""),32.0)</f>
        <v>32</v>
      </c>
      <c r="AB2242" s="229">
        <f>IFERROR(__xludf.DUMMYFUNCTION("""COMPUTED_VALUE"""),3.0)</f>
        <v>3</v>
      </c>
      <c r="AC2242" s="229" t="str">
        <f>IFERROR(__xludf.DUMMYFUNCTION("""COMPUTED_VALUE"""),"9018326#9018331")</f>
        <v>9018326#9018331</v>
      </c>
      <c r="AD2242" s="232">
        <f>IFERROR(__xludf.DUMMYFUNCTION("""COMPUTED_VALUE"""),304.0)</f>
        <v>304</v>
      </c>
      <c r="AE2242" s="233">
        <f>IFERROR(__xludf.DUMMYFUNCTION("""COMPUTED_VALUE"""),46052.0)</f>
        <v>46052</v>
      </c>
      <c r="AF2242" s="54" t="str">
        <f>IFERROR(__xludf.DUMMYFUNCTION("""COMPUTED_VALUE"""),"DONE")</f>
        <v>DONE</v>
      </c>
      <c r="AG2242" s="54"/>
      <c r="AH2242" s="54"/>
      <c r="AI2242" s="55" t="str">
        <f t="shared" si="211"/>
        <v/>
      </c>
      <c r="AW2242" s="234"/>
      <c r="BP2242" s="11"/>
      <c r="BQ2242" s="11"/>
      <c r="BV2242" s="158"/>
      <c r="BY2242" s="158"/>
      <c r="CB2242" s="158"/>
    </row>
    <row r="2243" ht="18.0" hidden="1" customHeight="1">
      <c r="A2243" s="222">
        <f>IFERROR(__xludf.DUMMYFUNCTION("""COMPUTED_VALUE"""),2026.0)</f>
        <v>2026</v>
      </c>
      <c r="B2243" s="221">
        <f>IFERROR(__xludf.DUMMYFUNCTION("""COMPUTED_VALUE"""),1.1393358E7)</f>
        <v>11393358</v>
      </c>
      <c r="C2243" s="222" t="str">
        <f>IFERROR(__xludf.DUMMYFUNCTION("""COMPUTED_VALUE"""),"SMS P2I2 PT4 BTA FXX DESA LUBUK BARU")</f>
        <v>SMS P2I2 PT4 BTA FXX DESA LUBUK BARU</v>
      </c>
      <c r="D2243" s="222" t="str">
        <f>IFERROR(__xludf.DUMMYFUNCTION("""COMPUTED_VALUE"""),"REGIONAL I")</f>
        <v>REGIONAL I</v>
      </c>
      <c r="E2243" s="222" t="str">
        <f>IFERROR(__xludf.DUMMYFUNCTION("""COMPUTED_VALUE"""),"SUMSEL")</f>
        <v>SUMSEL</v>
      </c>
      <c r="F2243" s="222" t="str">
        <f>IFERROR(__xludf.DUMMYFUNCTION("""COMPUTED_VALUE"""),"BTA")</f>
        <v>BTA</v>
      </c>
      <c r="G2243" s="222" t="str">
        <f>IFERROR(__xludf.DUMMYFUNCTION("""COMPUTED_VALUE"""),"SUMBAGSEL")</f>
        <v>SUMBAGSEL</v>
      </c>
      <c r="H2243" s="222" t="str">
        <f>IFERROR(__xludf.DUMMYFUNCTION("""COMPUTED_VALUE"""),"PALEMBANG")</f>
        <v>PALEMBANG</v>
      </c>
      <c r="I2243" s="222" t="str">
        <f>IFERROR(__xludf.DUMMYFUNCTION("""COMPUTED_VALUE"""),"Batch 3")</f>
        <v>Batch 3</v>
      </c>
      <c r="J2243" s="225">
        <f>IFERROR(__xludf.DUMMYFUNCTION("""COMPUTED_VALUE"""),51.0)</f>
        <v>51</v>
      </c>
      <c r="K2243" s="224">
        <f>IFERROR(__xludf.DUMMYFUNCTION("""COMPUTED_VALUE"""),408.0)</f>
        <v>408</v>
      </c>
      <c r="L2243" s="226">
        <f>IFERROR(__xludf.DUMMYFUNCTION("""COMPUTED_VALUE"""),1930565.0)</f>
        <v>1930565</v>
      </c>
      <c r="M2243" s="227">
        <f>IFERROR(__xludf.DUMMYFUNCTION("""COMPUTED_VALUE"""),7.87670412E8)</f>
        <v>787670412</v>
      </c>
      <c r="N2243" s="222" t="str">
        <f>IFERROR(__xludf.DUMMYFUNCTION("""COMPUTED_VALUE"""),"PT GARINDO TECHNO MANDIRI")</f>
        <v>PT GARINDO TECHNO MANDIRI</v>
      </c>
      <c r="O2243" s="222" t="str">
        <f>IFERROR(__xludf.DUMMYFUNCTION("""COMPUTED_VALUE"""),"2. DONE AANWIJZING")</f>
        <v>2. DONE AANWIJZING</v>
      </c>
      <c r="P2243" s="222" t="str">
        <f>IFERROR(__xludf.DUMMYFUNCTION("""COMPUTED_VALUE"""),"2.5 Proses Create PID")</f>
        <v>2.5 Proses Create PID</v>
      </c>
      <c r="Q2243" s="222" t="str">
        <f>IFERROR(__xludf.DUMMYFUNCTION("""COMPUTED_VALUE"""),"27/04 MENUNGGU TTD DRM MITRA, 24/04 PROSES DRM MITRA, 23/04 MENUNGGU INFO TIF TERKAIT KENAIKAN BOQ KARENA ADA PENAMBAHAN COMCASE, 22/04 LANJUT EVAL DGN TIF, 21/04 sdh d tunjuk mitra baru, dan d survey ulang dan izin ulang ada kenaikan nilai cocase, lgi d "&amp;"cek ulang nilai boq dan berkoordinasi dg tif untuk aproval nya, 10/04 dari mitra erikson tidak sanggup untuk lanjut pekerjaan (surat ketidaksanggupan sdh ada), proses penunjukan mitra baru, 09/04 proses perizinan dengan kades 07/04 MITRA INGIN MELAKUKAN A"&amp;"ANWDJZING DAN PERIZINAN ULANG, 03/04 KOORDINASI DG MITRA TERKAIT PERIZINAN, 30/03 MASIH KOORDINASI DG MITRA TERKAIT PERIZINAN DAN PARALEL INPUT ULANG MATERIAL, 27/03 PROSES PERIZINAN KADES PARAREL INPUT ULANG MATERIAL 25/03 INPUT ULANG MATERIAL - MSIH KOO"&amp;"RDINASI DG MITRA, 21/03 DONE PR PO - EST TGL 1 APRIL AMBIL MATERIAL 13/03 MENUNGGU PR PO, 12/03 SDH TTD DRM, MENUNGGU PR PO, 10/03 MENUNGGU PR PO, 09/03 PLAN HARI INI SELESAI TTD DRM MITRA, 06/03 MENUNGGU TTD MITRA, 04/03 DRM, 03/03 MENUNGGU TTD MITRA, 27"&amp;"/02 OGP DRM, BERKAS MASIH DI MITRA UTK DI TTD, 26/02 MASIH DRM, 25/02 OGP DRM, 24/02 LANJUT - BERUBAH CATUAN KE KABEL 94 DI TANAH TELKOM, 15/02 HOLD,TERKAIT CPP 1,9JT PLAN, CPP AANWIZING TURUN MENJADI 1,4 JT, CATUAN OKU 035 MENGGUNAKAN ROSET BERUBAH PETIK"&amp;" DARI KABEL 94 POSISI DI TANAH TELKOM BANGUN NEW MINI OLT,KENDALA KABEL DISTRIBUSI 1 PANJANG 3,8 KM, PERIZINAN OK, 11/2 kades setuju, menunggu jadwal aanwizing ulang  bersama waspang  06/02 HASIL REVIEW TSEL - LANJUT IZIN KADES DAN PENGECEKAN UPLINK, 04/0"&amp;"2 DONE EVAL, HOLD, DI RAK NODE B MENGGUNAKAN ROSET, JALUR PEMBANGUNAN MELEWATI 5 KADES, IZIN BELUM SELURUH KADES OK, ADA KENAIKAN SEBESAR 1,2 % DRI PLAN, DAN CPP DARI AWAL SDH 1,9 JT, MASUK IZIN PU PROVINSI, 03/02 OTW AANWJIING 04/02 DONE EVAL, HOLD, DI R"&amp;"AK NODE B MENGGUNAKAN ROSET, JALUR PEMBANGUNAN MELEWATI 5 KADES, IZIN BELUM SELURUH KADES OK, ADA KENAIKAN SEBESAR 1,2 % DRI PLAN, DAN CPP DARI AWAL SDH 1,9 JT, MASUK IZIN PU PROVINSI, 03/02 PROSES AANWIDJZING DAN PERIZINAN, 30/01 MENUNGGU JADWAL AANWIDJZ"&amp;"ING, 28/01 Erikson setuju 
 27/01 penunjukan oleh procurement ke erikson
 25/11 HOLD, 04/11 Mini OLT, confirm TIF 3/11 Mini OLT, confirm TIF 13/10 SUDAH ANJIWZING, TUNGGU EVAL PED 08/10 progres aanwizjing
 (01/10) menunggu jadwal aanwizjing
 25/09/menungg"&amp;"u jadwal survey")</f>
        <v>27/04 MENUNGGU TTD DRM MITRA, 24/04 PROSES DRM MITRA, 23/04 MENUNGGU INFO TIF TERKAIT KENAIKAN BOQ KARENA ADA PENAMBAHAN COMCASE, 22/04 LANJUT EVAL DGN TIF, 21/04 sdh d tunjuk mitra baru, dan d survey ulang dan izin ulang ada kenaikan nilai cocase, lgi d cek ulang nilai boq dan berkoordinasi dg tif untuk aproval nya, 10/04 dari mitra erikson tidak sanggup untuk lanjut pekerjaan (surat ketidaksanggupan sdh ada), proses penunjukan mitra baru, 09/04 proses perizinan dengan kades 07/04 MITRA INGIN MELAKUKAN AANWDJZING DAN PERIZINAN ULANG, 03/04 KOORDINASI DG MITRA TERKAIT PERIZINAN, 30/03 MASIH KOORDINASI DG MITRA TERKAIT PERIZINAN DAN PARALEL INPUT ULANG MATERIAL, 27/03 PROSES PERIZINAN KADES PARAREL INPUT ULANG MATERIAL 25/03 INPUT ULANG MATERIAL - MSIH KOORDINASI DG MITRA, 21/03 DONE PR PO - EST TGL 1 APRIL AMBIL MATERIAL 13/03 MENUNGGU PR PO, 12/03 SDH TTD DRM, MENUNGGU PR PO, 10/03 MENUNGGU PR PO, 09/03 PLAN HARI INI SELESAI TTD DRM MITRA, 06/03 MENUNGGU TTD MITRA, 04/03 DRM, 03/03 MENUNGGU TTD MITRA, 27/02 OGP DRM, BERKAS MASIH DI MITRA UTK DI TTD, 26/02 MASIH DRM, 25/02 OGP DRM, 24/02 LANJUT - BERUBAH CATUAN KE KABEL 94 DI TANAH TELKOM, 15/02 HOLD,TERKAIT CPP 1,9JT PLAN, CPP AANWIZING TURUN MENJADI 1,4 JT, CATUAN OKU 035 MENGGUNAKAN ROSET BERUBAH PETIK DARI KABEL 94 POSISI DI TANAH TELKOM BANGUN NEW MINI OLT,KENDALA KABEL DISTRIBUSI 1 PANJANG 3,8 KM, PERIZINAN OK, 11/2 kades setuju, menunggu jadwal aanwizing ulang  bersama waspang  06/02 HASIL REVIEW TSEL - LANJUT IZIN KADES DAN PENGECEKAN UPLINK, 04/02 DONE EVAL, HOLD, DI RAK NODE B MENGGUNAKAN ROSET, JALUR PEMBANGUNAN MELEWATI 5 KADES, IZIN BELUM SELURUH KADES OK, ADA KENAIKAN SEBESAR 1,2 % DRI PLAN, DAN CPP DARI AWAL SDH 1,9 JT, MASUK IZIN PU PROVINSI, 03/02 OTW AANWJIING 04/02 DONE EVAL, HOLD, DI RAK NODE B MENGGUNAKAN ROSET, JALUR PEMBANGUNAN MELEWATI 5 KADES, IZIN BELUM SELURUH KADES OK, ADA KENAIKAN SEBESAR 1,2 % DRI PLAN, DAN CPP DARI AWAL SDH 1,9 JT, MASUK IZIN PU PROVINSI, 03/02 PROSES AANWIDJZING DAN PERIZINAN, 30/01 MENUNGGU JADWAL AANWIDJZING, 28/01 Erikson setuju 
 27/01 penunjukan oleh procurement ke erikson
 25/11 HOLD, 04/11 Mini OLT, confirm TIF 3/11 Mini OLT, confirm TIF 13/10 SUDAH ANJIWZING, TUNGGU EVAL PED 08/10 progres aanwizjing
 (01/10) menunggu jadwal aanwizjing
 25/09/menunggu jadwal survey</v>
      </c>
      <c r="R2243" s="228"/>
      <c r="S2243" s="11"/>
      <c r="T2243" s="11" t="str">
        <f>IFERROR(__xludf.DUMMYFUNCTION("""COMPUTED_VALUE"""),"P1")</f>
        <v>P1</v>
      </c>
      <c r="U2243" s="11"/>
      <c r="V2243" s="229" t="str">
        <f>IFERROR(__xludf.DUMMYFUNCTION("""COMPUTED_VALUE"""),"RENALDO")</f>
        <v>RENALDO</v>
      </c>
      <c r="W2243" s="229"/>
      <c r="X2243" s="229" t="str">
        <f>IFERROR(__xludf.DUMMYFUNCTION("""COMPUTED_VALUE"""),"BELUM GOLIVE")</f>
        <v>BELUM GOLIVE</v>
      </c>
      <c r="Y2243" s="229" t="str">
        <f>IFERROR(__xludf.DUMMYFUNCTION("""COMPUTED_VALUE"""),"Mini OLT Not Ready")</f>
        <v>Mini OLT Not Ready</v>
      </c>
      <c r="Z2243" s="229" t="str">
        <f>IFERROR(__xludf.DUMMYFUNCTION("""COMPUTED_VALUE"""),"#N/A")</f>
        <v>#N/A</v>
      </c>
      <c r="AA2243" s="229"/>
      <c r="AB2243" s="229"/>
      <c r="AC2243" s="229"/>
      <c r="AD2243" s="232"/>
      <c r="AE2243" s="233"/>
      <c r="AF2243" s="54"/>
      <c r="AG2243" s="54"/>
      <c r="AH2243" s="54"/>
      <c r="AI2243" s="55" t="str">
        <f t="shared" si="211"/>
        <v/>
      </c>
      <c r="AW2243" s="234"/>
      <c r="BP2243" s="11"/>
      <c r="BQ2243" s="11"/>
      <c r="BV2243" s="158"/>
      <c r="BY2243" s="158"/>
      <c r="CB2243" s="158"/>
    </row>
    <row r="2244" ht="18.0" hidden="1" customHeight="1">
      <c r="A2244" s="222">
        <f>IFERROR(__xludf.DUMMYFUNCTION("""COMPUTED_VALUE"""),2026.0)</f>
        <v>2026</v>
      </c>
      <c r="B2244" s="221">
        <f>IFERROR(__xludf.DUMMYFUNCTION("""COMPUTED_VALUE"""),1.1503664E7)</f>
        <v>11503664</v>
      </c>
      <c r="C2244" s="222" t="str">
        <f>IFERROR(__xludf.DUMMYFUNCTION("""COMPUTED_VALUE"""),"SMS P3I1 PT3 PDP FC D04 PADANG BINDU")</f>
        <v>SMS P3I1 PT3 PDP FC D04 PADANG BINDU</v>
      </c>
      <c r="D2244" s="222" t="str">
        <f>IFERROR(__xludf.DUMMYFUNCTION("""COMPUTED_VALUE"""),"REGIONAL I")</f>
        <v>REGIONAL I</v>
      </c>
      <c r="E2244" s="222" t="str">
        <f>IFERROR(__xludf.DUMMYFUNCTION("""COMPUTED_VALUE"""),"SUMSEL")</f>
        <v>SUMSEL</v>
      </c>
      <c r="F2244" s="222" t="str">
        <f>IFERROR(__xludf.DUMMYFUNCTION("""COMPUTED_VALUE"""),"PDP")</f>
        <v>PDP</v>
      </c>
      <c r="G2244" s="222" t="str">
        <f>IFERROR(__xludf.DUMMYFUNCTION("""COMPUTED_VALUE"""),"SUMBAGSEL")</f>
        <v>SUMBAGSEL</v>
      </c>
      <c r="H2244" s="222" t="str">
        <f>IFERROR(__xludf.DUMMYFUNCTION("""COMPUTED_VALUE"""),"BENGKULU")</f>
        <v>BENGKULU</v>
      </c>
      <c r="I2244" s="222" t="str">
        <f>IFERROR(__xludf.DUMMYFUNCTION("""COMPUTED_VALUE"""),"Batch 3")</f>
        <v>Batch 3</v>
      </c>
      <c r="J2244" s="225">
        <f>IFERROR(__xludf.DUMMYFUNCTION("""COMPUTED_VALUE"""),4.0)</f>
        <v>4</v>
      </c>
      <c r="K2244" s="224">
        <f>IFERROR(__xludf.DUMMYFUNCTION("""COMPUTED_VALUE"""),32.0)</f>
        <v>32</v>
      </c>
      <c r="L2244" s="226">
        <f>IFERROR(__xludf.DUMMYFUNCTION("""COMPUTED_VALUE"""),1729742.0)</f>
        <v>1729742</v>
      </c>
      <c r="M2244" s="227">
        <f>IFERROR(__xludf.DUMMYFUNCTION("""COMPUTED_VALUE"""),5.5351726E7)</f>
        <v>55351726</v>
      </c>
      <c r="N2244" s="222" t="str">
        <f>IFERROR(__xludf.DUMMYFUNCTION("""COMPUTED_VALUE"""),"PT DIAN KARYA")</f>
        <v>PT DIAN KARYA</v>
      </c>
      <c r="O2244" s="222" t="str">
        <f>IFERROR(__xludf.DUMMYFUNCTION("""COMPUTED_VALUE"""),"4. MATDEL")</f>
        <v>4. MATDEL</v>
      </c>
      <c r="P2244" s="222" t="str">
        <f>IFERROR(__xludf.DUMMYFUNCTION("""COMPUTED_VALUE"""),"4.5 Material On Site")</f>
        <v>4.5 Material On Site</v>
      </c>
      <c r="Q2244" s="222" t="str">
        <f>IFERROR(__xludf.DUMMYFUNCTION("""COMPUTED_VALUE"""),"27/04 MENUNGGU ANTRIAN PEKERJAAN LOP TALANG PADANG 2, 25/04 kendala kabel 12 (23/04) MATDEL MATERIAL TAMBAHAN 13/03 Menunggu Depedensi dari talang Padang 2 25/03 MASIH MENUNNGGU PERIZINAN TALANG PADANG 2 24/03 MENUNNGGU ANTRIAN PROGRESS KERJA LOP TALANG P"&amp;"ADANG 2, 21/03 MENUNNGGU PROGRESS KERJA LOP TALANG PADANG 2, 17/03 MENUNGGU LOP TALANG PADANG 2, 12/03 MENUNGGU ANTRIAN PROGRESS LOP EMPAT LAWANG, 03/03 MENUNGGU ANTRIAN PROGRESS LOP EMPAT LAWANG, 27/02 DONE INPUT MATERIAL, 26/02 OGP INPUT MATERIAL, 25/02"&amp;" DONE AMD BUDGET, 24/02 KENDALA OVER BUDGET - OGP AMD BUDGET, 22/2 menunggu material TIANG 18/02 MASIH MENUNGGU PR PO, 12/02 DONE DRM, 11/2 DRM ulang karena BOQ dan CPP turun, plan 11 FEB selesai  10/02 LANJUT DRM -  BOQ DAN CPP TURUN DARI IHLD, 06/02 HAS"&amp;"IL REVIEW TSEL BLM ADA KEPUTUSAN, 04/02 DONE EVAL, HOLD KARENA NILAI CPP 1,3 JT 04/02 DONE EVAL, HOLD KARENA NILAI CPP 1,3 JT, 04/02 OGP EVAL, 31/1 DOne aanwijdzing, eval senin 2 feb 08/12 masih perizinan PU, 20/11 masih perizinan PU, 19/11 OGP perizinan "&amp;"PU, 17/11 masih on progress perizinan, 04/11 mau berkoordinasi dg pihak pu prov untuk izin pekerjaan 08/10 mau berkoordinasi dg pihak pu prov untuk izin pekerjaan
 (01/10) proses perizinan dg pihak pu prov
 (29/09) permintaan dari sales untuk tetap lanjut"&amp;", paralel untuk pengurusan izin dg pu prov
 (15/09) Proses Redesign Permintaan Sales Tsel, selesai kan izin pu prov sampai clear, izin pu prov rilis baru di lanjut OSP nya")</f>
        <v>27/04 MENUNGGU ANTRIAN PEKERJAAN LOP TALANG PADANG 2, 25/04 kendala kabel 12 (23/04) MATDEL MATERIAL TAMBAHAN 13/03 Menunggu Depedensi dari talang Padang 2 25/03 MASIH MENUNNGGU PERIZINAN TALANG PADANG 2 24/03 MENUNNGGU ANTRIAN PROGRESS KERJA LOP TALANG PADANG 2, 21/03 MENUNNGGU PROGRESS KERJA LOP TALANG PADANG 2, 17/03 MENUNGGU LOP TALANG PADANG 2, 12/03 MENUNGGU ANTRIAN PROGRESS LOP EMPAT LAWANG, 03/03 MENUNGGU ANTRIAN PROGRESS LOP EMPAT LAWANG, 27/02 DONE INPUT MATERIAL, 26/02 OGP INPUT MATERIAL, 25/02 DONE AMD BUDGET, 24/02 KENDALA OVER BUDGET - OGP AMD BUDGET, 22/2 menunggu material TIANG 18/02 MASIH MENUNGGU PR PO, 12/02 DONE DRM, 11/2 DRM ulang karena BOQ dan CPP turun, plan 11 FEB selesai  10/02 LANJUT DRM -  BOQ DAN CPP TURUN DARI IHLD, 06/02 HASIL REVIEW TSEL BLM ADA KEPUTUSAN, 04/02 DONE EVAL, HOLD KARENA NILAI CPP 1,3 JT 04/02 DONE EVAL, HOLD KARENA NILAI CPP 1,3 JT, 04/02 OGP EVAL, 31/1 DOne aanwijdzing, eval senin 2 feb 08/12 masih perizinan PU, 20/11 masih perizinan PU, 19/11 OGP perizinan PU, 17/11 masih on progress perizinan, 04/11 mau berkoordinasi dg pihak pu prov untuk izin pekerjaan 08/10 mau berkoordinasi dg pihak pu prov untuk izin pekerjaan
 (01/10) proses perizinan dg pihak pu prov
 (29/09) permintaan dari sales untuk tetap lanjut, paralel untuk pengurusan izin dg pu prov
 (15/09) Proses Redesign Permintaan Sales Tsel, selesai kan izin pu prov sampai clear, izin pu prov rilis baru di lanjut OSP nya</v>
      </c>
      <c r="R2244" s="228"/>
      <c r="S2244" s="11" t="str">
        <f>IFERROR(__xludf.DUMMYFUNCTION("""COMPUTED_VALUE"""),"APR")</f>
        <v>APR</v>
      </c>
      <c r="T2244" s="73" t="str">
        <f>IFERROR(__xludf.DUMMYFUNCTION("""COMPUTED_VALUE"""),"P1")</f>
        <v>P1</v>
      </c>
      <c r="U2244" s="11"/>
      <c r="V2244" s="229" t="str">
        <f>IFERROR(__xludf.DUMMYFUNCTION("""COMPUTED_VALUE"""),"PUTRA")</f>
        <v>PUTRA</v>
      </c>
      <c r="W2244" s="229"/>
      <c r="X2244" s="229"/>
      <c r="Y2244" s="229"/>
      <c r="Z2244" s="229" t="str">
        <f>IFERROR(__xludf.DUMMYFUNCTION("""COMPUTED_VALUE"""),"#N/A")</f>
        <v>#N/A</v>
      </c>
      <c r="AA2244" s="229"/>
      <c r="AB2244" s="229"/>
      <c r="AC2244" s="229"/>
      <c r="AD2244" s="232"/>
      <c r="AE2244" s="233"/>
      <c r="AF2244" s="54"/>
      <c r="AG2244" s="54"/>
      <c r="AH2244" s="54">
        <v>46126.0</v>
      </c>
      <c r="AI2244" s="55" t="str">
        <f t="shared" si="211"/>
        <v/>
      </c>
      <c r="AW2244" s="234"/>
      <c r="BP2244" s="11"/>
      <c r="BQ2244" s="11"/>
      <c r="BV2244" s="158"/>
      <c r="BY2244" s="158"/>
      <c r="CB2244" s="158"/>
    </row>
    <row r="2245" ht="18.0" hidden="1" customHeight="1">
      <c r="A2245" s="222">
        <f>IFERROR(__xludf.DUMMYFUNCTION("""COMPUTED_VALUE"""),2026.0)</f>
        <v>2026</v>
      </c>
      <c r="B2245" s="221">
        <f>IFERROR(__xludf.DUMMYFUNCTION("""COMPUTED_VALUE"""),1.1093377E7)</f>
        <v>11093377</v>
      </c>
      <c r="C2245" s="222" t="str">
        <f>IFERROR(__xludf.DUMMYFUNCTION("""COMPUTED_VALUE"""),"SMU TBT-FAH D05 CLUST SUMATERA UTARA_499")</f>
        <v>SMU TBT-FAH D05 CLUST SUMATERA UTARA_499</v>
      </c>
      <c r="D2245" s="222" t="str">
        <f>IFERROR(__xludf.DUMMYFUNCTION("""COMPUTED_VALUE"""),"REGIONAL I")</f>
        <v>REGIONAL I</v>
      </c>
      <c r="E2245" s="222" t="str">
        <f>IFERROR(__xludf.DUMMYFUNCTION("""COMPUTED_VALUE"""),"SUMUT")</f>
        <v>SUMUT</v>
      </c>
      <c r="F2245" s="222" t="str">
        <f>IFERROR(__xludf.DUMMYFUNCTION("""COMPUTED_VALUE"""),"TBT")</f>
        <v>TBT</v>
      </c>
      <c r="G2245" s="222" t="str">
        <f>IFERROR(__xludf.DUMMYFUNCTION("""COMPUTED_VALUE"""),"SUMBAGUT")</f>
        <v>SUMBAGUT</v>
      </c>
      <c r="H2245" s="222" t="str">
        <f>IFERROR(__xludf.DUMMYFUNCTION("""COMPUTED_VALUE"""),"PEMATANG SIANTAR")</f>
        <v>PEMATANG SIANTAR</v>
      </c>
      <c r="I2245" s="222" t="str">
        <f>IFERROR(__xludf.DUMMYFUNCTION("""COMPUTED_VALUE"""),"Batch 3")</f>
        <v>Batch 3</v>
      </c>
      <c r="J2245" s="225">
        <f>IFERROR(__xludf.DUMMYFUNCTION("""COMPUTED_VALUE"""),72.0)</f>
        <v>72</v>
      </c>
      <c r="K2245" s="224">
        <f>IFERROR(__xludf.DUMMYFUNCTION("""COMPUTED_VALUE"""),576.0)</f>
        <v>576</v>
      </c>
      <c r="L2245" s="226">
        <f>IFERROR(__xludf.DUMMYFUNCTION("""COMPUTED_VALUE"""),1873452.0)</f>
        <v>1873452</v>
      </c>
      <c r="M2245" s="227">
        <f>IFERROR(__xludf.DUMMYFUNCTION("""COMPUTED_VALUE"""),1.079108193E9)</f>
        <v>1079108193</v>
      </c>
      <c r="N2245" s="222" t="str">
        <f>IFERROR(__xludf.DUMMYFUNCTION("""COMPUTED_VALUE"""),"PT DIAN KARYA")</f>
        <v>PT DIAN KARYA</v>
      </c>
      <c r="O2245" s="222" t="str">
        <f>IFERROR(__xludf.DUMMYFUNCTION("""COMPUTED_VALUE"""),"4. MATDEL")</f>
        <v>4. MATDEL</v>
      </c>
      <c r="P2245" s="222" t="str">
        <f>IFERROR(__xludf.DUMMYFUNCTION("""COMPUTED_VALUE"""),"4.5 Material On Site")</f>
        <v>4.5 Material On Site</v>
      </c>
      <c r="Q2245" s="222" t="str">
        <f>IFERROR(__xludf.DUMMYFUNCTION("""COMPUTED_VALUE"""),"27/4  plan hari ini team mitra bersama tsel turun kelokasi untuk fu kembali perizinan ke pihak batalion,  proses pengambilan matrial  tiang 350 sudah di ambil 100 batang,( paralel izin sitac odc),  23/4 proses pengambilan matrial  tiang 350 sudah di ambil"&amp;" 100 batang,( paralel izin sitac odc),  22/4 prepair team untuk pengambilan material, 21/4 proses input alista, 20/4 menunggu ttd GM terkait perijinan pu, 16/4 menunggu ttd GM terkait perijinan pu, 15/4 menunggu approv pengantar izin pu, 14/4 menunggu app"&amp;"rov pengantar izin pu, 13/4 menunggu approv pengantar izin pu, 9/4 menunggu approv pengantar izin pu, 8/4 menunggu approv pengantar izin pu, 6/4 menunggu approv pengantar izin pu, 1/4 menunggu approv pengantar izin pu, 5/4 menunggu approv pengantar izin p"&amp;"u, 1/4 menunggu approv pengantar izin pu, 31/3 menunggu approv pengantar izin pu prov,  30/3 menunggu approv pengantar izin pu prov, 22/3 menunggu, 27/3 menunggu approv pengantar izin pu prov, 26/3 menunggu approv pengantar izin pu prov, 22/3 menunggu app"&amp;"rov pengantar izin pu prov, 18/3 menunggu approv pengantar izin pu prov, 16/3 menunggu pengantar izin pu prov ( menunggu appprove gm telkom),  13/3 menunggu pengantar izin pu prov ( menunggu appprove gm telkom),  11/3 menunggu pengantar izin pu prov ( men"&amp;"unggu appprove gm telkom), 10/3 menunggu pengantar izin pu prov ( menunggu appprove gm telkom), 6/3 menunggu pengantar izin pu prov ( menunggu appprove gm telkom), 5/3 proses mengurus ijin PU prov, 4/3 proses mengurus ijin PU prov, 3/3 meeting ED1-ED-RSBU"&amp;"-TA1: lanjut, buatkan timeline projectnya! 2/3 ada kenaikan cpp 1,4 dari  1,6 paralel proses req pengantar izin pu prov, 27/2 proses req pengantar izin pu prov, 25/2 ada kenaikan cpp 1,4 dari  1,6 , 24/2 ada kenaikan cpp 1,4 dari  1,6 , 23/2 ada kenaikan "&amp;"cpp 1,4 dari  1,6 , 20/2 ada kenaikan cpp 1,4 dari  1,6 19/2 kenaikan cpp 1,6, 16/2 revisi boq kml survey paralel menunggu evident testfit bc-tr-s-5, 13/2 revisi boq kml survey paralel menunggu evident testfit bc-tr-s-5,   12/2 revisi boq kml survey paral"&amp;"el menunggu evident testfit bc-tr-s-5,   11/2 revisi boq kml survey paralel menunggu evident testfit bc-tr-s-5, 10/2 revisi boq kml survey dikarenakan vol kml dengan boq tidak sesaui, 9/2 revisi boq kml survey dikrnekan vol kml dengan boq tidak sesaui, 6/"&amp;"2 revisi boq kml survey dikrnekan vol kml dengan boq tidak sesaui,  5/2 revisi boq kml survey dikrnekan vol kml dengan boq tidak sesaui, 3/2 menunggu boq dan kml survey, 2/2 menunggu boq dan kml survey, 1/2 menunggu boq kml survey, 30/1 menunggu boq kml s"&amp;"urvey,  28/1 menunggu boq kml survey, 27/1 plan survey palinglambat minggu ini 31/1, 26/1 plan survey tgl 27/1,  23/1 plan survey tgl 27/1, 22/1 prepair team untuk survey kelokasi (NEW ODC-DLM-FAB D01 YONIF 122 SUMUT_499.), 21/1 penunjukan mitra")</f>
        <v>27/4  plan hari ini team mitra bersama tsel turun kelokasi untuk fu kembali perizinan ke pihak batalion,  proses pengambilan matrial  tiang 350 sudah di ambil 100 batang,( paralel izin sitac odc),  23/4 proses pengambilan matrial  tiang 350 sudah di ambil 100 batang,( paralel izin sitac odc),  22/4 prepair team untuk pengambilan material, 21/4 proses input alista, 20/4 menunggu ttd GM terkait perijinan pu, 16/4 menunggu ttd GM terkait perijinan pu, 15/4 menunggu approv pengantar izin pu, 14/4 menunggu approv pengantar izin pu, 13/4 menunggu approv pengantar izin pu, 9/4 menunggu approv pengantar izin pu, 8/4 menunggu approv pengantar izin pu, 6/4 menunggu approv pengantar izin pu, 1/4 menunggu approv pengantar izin pu, 5/4 menunggu approv pengantar izin pu, 1/4 menunggu approv pengantar izin pu, 31/3 menunggu approv pengantar izin pu prov,  30/3 menunggu approv pengantar izin pu prov, 22/3 menunggu, 27/3 menunggu approv pengantar izin pu prov, 26/3 menunggu approv pengantar izin pu prov, 22/3 menunggu approv pengantar izin pu prov, 18/3 menunggu approv pengantar izin pu prov, 16/3 menunggu pengantar izin pu prov ( menunggu appprove gm telkom),  13/3 menunggu pengantar izin pu prov ( menunggu appprove gm telkom),  11/3 menunggu pengantar izin pu prov ( menunggu appprove gm telkom), 10/3 menunggu pengantar izin pu prov ( menunggu appprove gm telkom), 6/3 menunggu pengantar izin pu prov ( menunggu appprove gm telkom), 5/3 proses mengurus ijin PU prov, 4/3 proses mengurus ijin PU prov, 3/3 meeting ED1-ED-RSBU-TA1: lanjut, buatkan timeline projectnya! 2/3 ada kenaikan cpp 1,4 dari  1,6 paralel proses req pengantar izin pu prov, 27/2 proses req pengantar izin pu prov, 25/2 ada kenaikan cpp 1,4 dari  1,6 , 24/2 ada kenaikan cpp 1,4 dari  1,6 , 23/2 ada kenaikan cpp 1,4 dari  1,6 , 20/2 ada kenaikan cpp 1,4 dari  1,6 19/2 kenaikan cpp 1,6, 16/2 revisi boq kml survey paralel menunggu evident testfit bc-tr-s-5, 13/2 revisi boq kml survey paralel menunggu evident testfit bc-tr-s-5,   12/2 revisi boq kml survey paralel menunggu evident testfit bc-tr-s-5,   11/2 revisi boq kml survey paralel menunggu evident testfit bc-tr-s-5, 10/2 revisi boq kml survey dikarenakan vol kml dengan boq tidak sesaui, 9/2 revisi boq kml survey dikrnekan vol kml dengan boq tidak sesaui, 6/2 revisi boq kml survey dikrnekan vol kml dengan boq tidak sesaui,  5/2 revisi boq kml survey dikrnekan vol kml dengan boq tidak sesaui, 3/2 menunggu boq dan kml survey, 2/2 menunggu boq dan kml survey, 1/2 menunggu boq kml survey, 30/1 menunggu boq kml survey,  28/1 menunggu boq kml survey, 27/1 plan survey palinglambat minggu ini 31/1, 26/1 plan survey tgl 27/1,  23/1 plan survey tgl 27/1, 22/1 prepair team untuk survey kelokasi (NEW ODC-DLM-FAB D01 YONIF 122 SUMUT_499.), 21/1 penunjukan mitra</v>
      </c>
      <c r="R2245" s="228"/>
      <c r="S2245" s="11"/>
      <c r="T2245" s="73"/>
      <c r="U2245" s="11" t="str">
        <f>IFERROR(__xludf.DUMMYFUNCTION("""COMPUTED_VALUE"""),"TIF-2032/2026")</f>
        <v>TIF-2032/2026</v>
      </c>
      <c r="V2245" s="229" t="str">
        <f>IFERROR(__xludf.DUMMYFUNCTION("""COMPUTED_VALUE"""),"30/Apr/2026")</f>
        <v>30/Apr/2026</v>
      </c>
      <c r="W2245" s="229"/>
      <c r="X2245" s="229" t="str">
        <f>IFERROR(__xludf.DUMMYFUNCTION("""COMPUTED_VALUE"""),"BELUM GOLIVE")</f>
        <v>BELUM GOLIVE</v>
      </c>
      <c r="Y2245" s="229" t="str">
        <f>IFERROR(__xludf.DUMMYFUNCTION("""COMPUTED_VALUE"""),"Izin pu")</f>
        <v>Izin pu</v>
      </c>
      <c r="Z2245" s="229" t="str">
        <f>IFERROR(__xludf.DUMMYFUNCTION("""COMPUTED_VALUE"""),"#N/A")</f>
        <v>#N/A</v>
      </c>
      <c r="AA2245" s="229"/>
      <c r="AB2245" s="229"/>
      <c r="AC2245" s="229"/>
      <c r="AD2245" s="232"/>
      <c r="AE2245" s="233"/>
      <c r="AF2245" s="54"/>
      <c r="AG2245" s="54"/>
      <c r="AH2245" s="54"/>
      <c r="AI2245" s="55" t="str">
        <f t="shared" si="211"/>
        <v/>
      </c>
      <c r="AW2245" s="234"/>
      <c r="BP2245" s="11"/>
      <c r="BQ2245" s="11"/>
      <c r="BV2245" s="158"/>
      <c r="BY2245" s="158"/>
      <c r="CB2245" s="158"/>
    </row>
    <row r="2246" ht="18.0" hidden="1" customHeight="1">
      <c r="A2246" s="222">
        <f>IFERROR(__xludf.DUMMYFUNCTION("""COMPUTED_VALUE"""),2026.0)</f>
        <v>2026</v>
      </c>
      <c r="B2246" s="221">
        <f>IFERROR(__xludf.DUMMYFUNCTION("""COMPUTED_VALUE"""),1.1325934E7)</f>
        <v>11325934</v>
      </c>
      <c r="C2246" s="222" t="str">
        <f>IFERROR(__xludf.DUMMYFUNCTION("""COMPUTED_VALUE"""),"MDN PT3 LBP-FT JL.KAMBOJA")</f>
        <v>MDN PT3 LBP-FT JL.KAMBOJA</v>
      </c>
      <c r="D2246" s="222" t="str">
        <f>IFERROR(__xludf.DUMMYFUNCTION("""COMPUTED_VALUE"""),"REGIONAL I")</f>
        <v>REGIONAL I</v>
      </c>
      <c r="E2246" s="222" t="str">
        <f>IFERROR(__xludf.DUMMYFUNCTION("""COMPUTED_VALUE"""),"MEDAN")</f>
        <v>MEDAN</v>
      </c>
      <c r="F2246" s="222" t="str">
        <f>IFERROR(__xludf.DUMMYFUNCTION("""COMPUTED_VALUE"""),"LBP")</f>
        <v>LBP</v>
      </c>
      <c r="G2246" s="222" t="str">
        <f>IFERROR(__xludf.DUMMYFUNCTION("""COMPUTED_VALUE"""),"SUMBAGUT")</f>
        <v>SUMBAGUT</v>
      </c>
      <c r="H2246" s="222" t="str">
        <f>IFERROR(__xludf.DUMMYFUNCTION("""COMPUTED_VALUE"""),"MEDAN")</f>
        <v>MEDAN</v>
      </c>
      <c r="I2246" s="222" t="str">
        <f>IFERROR(__xludf.DUMMYFUNCTION("""COMPUTED_VALUE"""),"Batch 3")</f>
        <v>Batch 3</v>
      </c>
      <c r="J2246" s="225">
        <f>IFERROR(__xludf.DUMMYFUNCTION("""COMPUTED_VALUE"""),14.0)</f>
        <v>14</v>
      </c>
      <c r="K2246" s="224">
        <f>IFERROR(__xludf.DUMMYFUNCTION("""COMPUTED_VALUE"""),112.0)</f>
        <v>112</v>
      </c>
      <c r="L2246" s="226">
        <f>IFERROR(__xludf.DUMMYFUNCTION("""COMPUTED_VALUE"""),1451991.0)</f>
        <v>1451991</v>
      </c>
      <c r="M2246" s="227">
        <f>IFERROR(__xludf.DUMMYFUNCTION("""COMPUTED_VALUE"""),1.62622938E8)</f>
        <v>162622938</v>
      </c>
      <c r="N2246" s="222" t="str">
        <f>IFERROR(__xludf.DUMMYFUNCTION("""COMPUTED_VALUE"""),"PT BONGKAR SEJATI ANDALAN")</f>
        <v>PT BONGKAR SEJATI ANDALAN</v>
      </c>
      <c r="O2246" s="222" t="str">
        <f>IFERROR(__xludf.DUMMYFUNCTION("""COMPUTED_VALUE"""),"0. DROP")</f>
        <v>0. DROP</v>
      </c>
      <c r="P2246" s="222" t="str">
        <f>IFERROR(__xludf.DUMMYFUNCTION("""COMPUTED_VALUE"""),"0.4 CPP Tinggi Acc ED TIF")</f>
        <v>0.4 CPP Tinggi Acc ED TIF</v>
      </c>
      <c r="Q2246" s="222" t="str">
        <f>IFERROR(__xludf.DUMMYFUNCTION("""COMPUTED_VALUE"""),"25/02 tilen mini OLT to LBP-FU habis
14/02 repair feeder LBP-FU tilen ke LBP-FT")</f>
        <v>25/02 tilen mini OLT to LBP-FU habis
14/02 repair feeder LBP-FU tilen ke LBP-FT</v>
      </c>
      <c r="R2246" s="228"/>
      <c r="S2246" s="11"/>
      <c r="T2246" s="11"/>
      <c r="U2246" s="11"/>
      <c r="V2246" s="229"/>
      <c r="W2246" s="229"/>
      <c r="X2246" s="229" t="str">
        <f>IFERROR(__xludf.DUMMYFUNCTION("""COMPUTED_VALUE"""),"BELUM GOLIVE")</f>
        <v>BELUM GOLIVE</v>
      </c>
      <c r="Y2246" s="229"/>
      <c r="Z2246" s="229" t="str">
        <f>IFERROR(__xludf.DUMMYFUNCTION("""COMPUTED_VALUE"""),"#N/A")</f>
        <v>#N/A</v>
      </c>
      <c r="AA2246" s="229"/>
      <c r="AB2246" s="229"/>
      <c r="AC2246" s="229"/>
      <c r="AD2246" s="232"/>
      <c r="AE2246" s="233"/>
      <c r="AF2246" s="54" t="str">
        <f>IFERROR(__xludf.DUMMYFUNCTION("""COMPUTED_VALUE"""),"Draft BA DROP")</f>
        <v>Draft BA DROP</v>
      </c>
      <c r="AG2246" s="54"/>
      <c r="AH2246" s="54"/>
      <c r="AI2246" s="55" t="str">
        <f t="shared" si="211"/>
        <v/>
      </c>
      <c r="AW2246" s="234"/>
      <c r="BP2246" s="11"/>
      <c r="BQ2246" s="11"/>
      <c r="BV2246" s="158"/>
      <c r="BY2246" s="158"/>
      <c r="CB2246" s="158"/>
    </row>
    <row r="2247" ht="18.0" hidden="1" customHeight="1">
      <c r="A2247" s="222">
        <f>IFERROR(__xludf.DUMMYFUNCTION("""COMPUTED_VALUE"""),2026.0)</f>
        <v>2026</v>
      </c>
      <c r="B2247" s="221">
        <f>IFERROR(__xludf.DUMMYFUNCTION("""COMPUTED_VALUE"""),1.1116308E7)</f>
        <v>11116308</v>
      </c>
      <c r="C2247" s="222" t="str">
        <f>IFERROR(__xludf.DUMMYFUNCTION("""COMPUTED_VALUE"""),"SMU-ODC-PMS-FAZ D07 R BINTANG CEMERLANG")</f>
        <v>SMU-ODC-PMS-FAZ D07 R BINTANG CEMERLANG</v>
      </c>
      <c r="D2247" s="222" t="str">
        <f>IFERROR(__xludf.DUMMYFUNCTION("""COMPUTED_VALUE"""),"REGIONAL I")</f>
        <v>REGIONAL I</v>
      </c>
      <c r="E2247" s="222" t="str">
        <f>IFERROR(__xludf.DUMMYFUNCTION("""COMPUTED_VALUE"""),"SUMUT")</f>
        <v>SUMUT</v>
      </c>
      <c r="F2247" s="222" t="str">
        <f>IFERROR(__xludf.DUMMYFUNCTION("""COMPUTED_VALUE"""),"PMS")</f>
        <v>PMS</v>
      </c>
      <c r="G2247" s="222" t="str">
        <f>IFERROR(__xludf.DUMMYFUNCTION("""COMPUTED_VALUE"""),"SUMBAGUT")</f>
        <v>SUMBAGUT</v>
      </c>
      <c r="H2247" s="222" t="str">
        <f>IFERROR(__xludf.DUMMYFUNCTION("""COMPUTED_VALUE"""),"PEMATANG SIANTAR")</f>
        <v>PEMATANG SIANTAR</v>
      </c>
      <c r="I2247" s="222" t="str">
        <f>IFERROR(__xludf.DUMMYFUNCTION("""COMPUTED_VALUE"""),"Batch 3")</f>
        <v>Batch 3</v>
      </c>
      <c r="J2247" s="225">
        <f>IFERROR(__xludf.DUMMYFUNCTION("""COMPUTED_VALUE"""),37.0)</f>
        <v>37</v>
      </c>
      <c r="K2247" s="224">
        <f>IFERROR(__xludf.DUMMYFUNCTION("""COMPUTED_VALUE"""),296.0)</f>
        <v>296</v>
      </c>
      <c r="L2247" s="226">
        <f>IFERROR(__xludf.DUMMYFUNCTION("""COMPUTED_VALUE"""),4170628.0)</f>
        <v>4170628</v>
      </c>
      <c r="M2247" s="227">
        <f>IFERROR(__xludf.DUMMYFUNCTION("""COMPUTED_VALUE"""),1.234505829E9)</f>
        <v>1234505829</v>
      </c>
      <c r="N2247" s="222" t="str">
        <f>IFERROR(__xludf.DUMMYFUNCTION("""COMPUTED_VALUE"""),"PT GARINDO TECHNO MANDIRI")</f>
        <v>PT GARINDO TECHNO MANDIRI</v>
      </c>
      <c r="O2247" s="222" t="str">
        <f>IFERROR(__xludf.DUMMYFUNCTION("""COMPUTED_VALUE"""),"7. GOLIVE")</f>
        <v>7. GOLIVE</v>
      </c>
      <c r="P2247" s="222" t="str">
        <f>IFERROR(__xludf.DUMMYFUNCTION("""COMPUTED_VALUE"""),"7.2 Golive Full / OA / DONE OTB")</f>
        <v>7.2 Golive Full / OA / DONE OTB</v>
      </c>
      <c r="Q2247" s="222" t="str">
        <f>IFERROR(__xludf.DUMMYFUNCTION("""COMPUTED_VALUE"""),"25/2 proses valins sisa 13 odp, 24/2 team proses valins dilapangan , mneunggu update, 23/2 plan hari ini proses valins , 20/2 plan hari ini integrasi di mini olt , 19/2 plan integrasi di mini olt besok 20 feb, 18/2 plan besom malam 19 feb mini olt mos par"&amp;"alel terminasi di mini olt, 16/2 kendala mini olt, 13/2 kendala mini olt,  12/2 kendala mini olt,  11/2 kendala mini olt , 10/2 kendala mini olt est 3 hari kedepan ready,  9/2 kendala mini olt est 3 hari kedepan ready, 6/2 kendala mini olt est 3 hari kede"&amp;"pan ready,  5/2 kendala mini olt est 3 hari kedepan ready,  4/2 kendala mini olt est 3 hari kedepan ready,  3/2 kendala mini olt, 2/2 kendala mini olt,  1/2 kendala mini olt,  30/1 kendala mini olt,  28/1 kendala mini olt, 27/1 kendala mini olt, 26/1 kend"&amp;"ala mini olt, 23/1 kendala mini olt,22/1 kendala mini olt,  21/1 menunggu mini olt")</f>
        <v>25/2 proses valins sisa 13 odp, 24/2 team proses valins dilapangan , mneunggu update, 23/2 plan hari ini proses valins , 20/2 plan hari ini integrasi di mini olt , 19/2 plan integrasi di mini olt besok 20 feb, 18/2 plan besom malam 19 feb mini olt mos paralel terminasi di mini olt, 16/2 kendala mini olt, 13/2 kendala mini olt,  12/2 kendala mini olt,  11/2 kendala mini olt , 10/2 kendala mini olt est 3 hari kedepan ready,  9/2 kendala mini olt est 3 hari kedepan ready, 6/2 kendala mini olt est 3 hari kedepan ready,  5/2 kendala mini olt est 3 hari kedepan ready,  4/2 kendala mini olt est 3 hari kedepan ready,  3/2 kendala mini olt, 2/2 kendala mini olt,  1/2 kendala mini olt,  30/1 kendala mini olt,  28/1 kendala mini olt, 27/1 kendala mini olt, 26/1 kendala mini olt, 23/1 kendala mini olt,22/1 kendala mini olt,  21/1 menunggu mini olt</v>
      </c>
      <c r="R2247" s="228"/>
      <c r="S2247" s="11"/>
      <c r="T2247" s="11"/>
      <c r="U2247" s="11" t="str">
        <f>IFERROR(__xludf.DUMMYFUNCTION("""COMPUTED_VALUE"""),"W03-347/2025")</f>
        <v>W03-347/2025</v>
      </c>
      <c r="V2247" s="229"/>
      <c r="W2247" s="229"/>
      <c r="X2247" s="229" t="str">
        <f>IFERROR(__xludf.DUMMYFUNCTION("""COMPUTED_VALUE"""),"GOLIVE")</f>
        <v>GOLIVE</v>
      </c>
      <c r="Y2247" s="229" t="str">
        <f>IFERROR(__xludf.DUMMYFUNCTION("""COMPUTED_VALUE"""),"DONE")</f>
        <v>DONE</v>
      </c>
      <c r="Z2247" s="229" t="str">
        <f>IFERROR(__xludf.DUMMYFUNCTION("""COMPUTED_VALUE"""),"0. Drop Site")</f>
        <v>0. Drop Site</v>
      </c>
      <c r="AA2247" s="229">
        <f>IFERROR(__xludf.DUMMYFUNCTION("""COMPUTED_VALUE"""),37.0)</f>
        <v>37</v>
      </c>
      <c r="AB2247" s="229"/>
      <c r="AC2247" s="229" t="str">
        <f>IFERROR(__xludf.DUMMYFUNCTION("""COMPUTED_VALUE"""),"9153150#9153161")</f>
        <v>9153150#9153161</v>
      </c>
      <c r="AD2247" s="232">
        <f>IFERROR(__xludf.DUMMYFUNCTION("""COMPUTED_VALUE"""),296.0)</f>
        <v>296</v>
      </c>
      <c r="AE2247" s="233">
        <f>IFERROR(__xludf.DUMMYFUNCTION("""COMPUTED_VALUE"""),46079.0)</f>
        <v>46079</v>
      </c>
      <c r="AF2247" s="54"/>
      <c r="AG2247" s="54"/>
      <c r="AH2247" s="54"/>
      <c r="AI2247" s="55" t="str">
        <f t="shared" si="211"/>
        <v/>
      </c>
      <c r="AW2247" s="234"/>
      <c r="BP2247" s="11"/>
      <c r="BQ2247" s="11"/>
      <c r="BV2247" s="158"/>
      <c r="BY2247" s="158"/>
      <c r="CB2247" s="158"/>
    </row>
    <row r="2248" ht="18.0" customHeight="1">
      <c r="A2248" s="222">
        <f>IFERROR(__xludf.DUMMYFUNCTION("""COMPUTED_VALUE"""),2026.0)</f>
        <v>2026</v>
      </c>
      <c r="B2248" s="221">
        <f>IFERROR(__xludf.DUMMYFUNCTION("""COMPUTED_VALUE"""),1.0526583E7)</f>
        <v>10526583</v>
      </c>
      <c r="C2248" s="222" t="str">
        <f>IFERROR(__xludf.DUMMYFUNCTION("""COMPUTED_VALUE"""),"RKP P2I1 SKN-FXX PERUMAHAN SERENITY")</f>
        <v>RKP P2I1 SKN-FXX PERUMAHAN SERENITY</v>
      </c>
      <c r="D2248" s="222" t="str">
        <f>IFERROR(__xludf.DUMMYFUNCTION("""COMPUTED_VALUE"""),"REGIONAL I")</f>
        <v>REGIONAL I</v>
      </c>
      <c r="E2248" s="222" t="str">
        <f>IFERROR(__xludf.DUMMYFUNCTION("""COMPUTED_VALUE"""),"RIKEP")</f>
        <v>RIKEP</v>
      </c>
      <c r="F2248" s="222" t="str">
        <f>IFERROR(__xludf.DUMMYFUNCTION("""COMPUTED_VALUE"""),"SKN")</f>
        <v>SKN</v>
      </c>
      <c r="G2248" s="222" t="str">
        <f>IFERROR(__xludf.DUMMYFUNCTION("""COMPUTED_VALUE"""),"SUMBAGTENG")</f>
        <v>SUMBAGTENG</v>
      </c>
      <c r="H2248" s="222" t="str">
        <f>IFERROR(__xludf.DUMMYFUNCTION("""COMPUTED_VALUE"""),"BATAM")</f>
        <v>BATAM</v>
      </c>
      <c r="I2248" s="222" t="str">
        <f>IFERROR(__xludf.DUMMYFUNCTION("""COMPUTED_VALUE"""),"Batch 3")</f>
        <v>Batch 3</v>
      </c>
      <c r="J2248" s="225">
        <f>IFERROR(__xludf.DUMMYFUNCTION("""COMPUTED_VALUE"""),12.0)</f>
        <v>12</v>
      </c>
      <c r="K2248" s="224">
        <f>IFERROR(__xludf.DUMMYFUNCTION("""COMPUTED_VALUE"""),96.0)</f>
        <v>96</v>
      </c>
      <c r="L2248" s="226">
        <f>IFERROR(__xludf.DUMMYFUNCTION("""COMPUTED_VALUE"""),3699240.0)</f>
        <v>3699240</v>
      </c>
      <c r="M2248" s="227">
        <f>IFERROR(__xludf.DUMMYFUNCTION("""COMPUTED_VALUE"""),3.5512702E8)</f>
        <v>355127020</v>
      </c>
      <c r="N2248" s="222" t="str">
        <f>IFERROR(__xludf.DUMMYFUNCTION("""COMPUTED_VALUE"""),"PT MITRA HOSINDO SEJAHTERA")</f>
        <v>PT MITRA HOSINDO SEJAHTERA</v>
      </c>
      <c r="O2248" s="222" t="str">
        <f>IFERROR(__xludf.DUMMYFUNCTION("""COMPUTED_VALUE"""),"7. GOLIVE")</f>
        <v>7. GOLIVE</v>
      </c>
      <c r="P2248" s="222" t="str">
        <f>IFERROR(__xludf.DUMMYFUNCTION("""COMPUTED_VALUE"""),"7.2 Golive Full / OA / DONE OTB")</f>
        <v>7.2 Golive Full / OA / DONE OTB</v>
      </c>
      <c r="Q2248" s="222" t="str">
        <f>IFERROR(__xludf.DUMMYFUNCTION("""COMPUTED_VALUE"""),"30/01 GOLIVE. 28/01 Terminasi ODP. 26/01 Proses penarikan kabel dan install ODP. plan golive kamis 21/01 Proses galian terkendala 2 blok rumah masih banyak puing puing rumah")</f>
        <v>30/01 GOLIVE. 28/01 Terminasi ODP. 26/01 Proses penarikan kabel dan install ODP. plan golive kamis 21/01 Proses galian terkendala 2 blok rumah masih banyak puing puing rumah</v>
      </c>
      <c r="R2248" s="228"/>
      <c r="S2248" s="11"/>
      <c r="T2248" s="11"/>
      <c r="U2248" s="11"/>
      <c r="V2248" s="229" t="str">
        <f>IFERROR(__xludf.DUMMYFUNCTION("""COMPUTED_VALUE"""),"MUHAMMAD RIDHO FALFO")</f>
        <v>MUHAMMAD RIDHO FALFO</v>
      </c>
      <c r="W2248" s="229" t="str">
        <f>IFERROR(__xludf.DUMMYFUNCTION("""COMPUTED_VALUE"""),"LEVITA INDRIYANI")</f>
        <v>LEVITA INDRIYANI</v>
      </c>
      <c r="X2248" s="229" t="str">
        <f>IFERROR(__xludf.DUMMYFUNCTION("""COMPUTED_VALUE"""),"GOLIVE")</f>
        <v>GOLIVE</v>
      </c>
      <c r="Y2248" s="229" t="str">
        <f>IFERROR(__xludf.DUMMYFUNCTION("""COMPUTED_VALUE"""),"DONE")</f>
        <v>DONE</v>
      </c>
      <c r="Z2248" s="229" t="str">
        <f>IFERROR(__xludf.DUMMYFUNCTION("""COMPUTED_VALUE"""),"#N/A")</f>
        <v>#N/A</v>
      </c>
      <c r="AA2248" s="229">
        <f>IFERROR(__xludf.DUMMYFUNCTION("""COMPUTED_VALUE"""),12.0)</f>
        <v>12</v>
      </c>
      <c r="AB2248" s="229"/>
      <c r="AC2248" s="229" t="str">
        <f>IFERROR(__xludf.DUMMYFUNCTION("""COMPUTED_VALUE"""),"9040015#9040020")</f>
        <v>9040015#9040020</v>
      </c>
      <c r="AD2248" s="232">
        <f>IFERROR(__xludf.DUMMYFUNCTION("""COMPUTED_VALUE"""),96.0)</f>
        <v>96</v>
      </c>
      <c r="AE2248" s="233">
        <f>IFERROR(__xludf.DUMMYFUNCTION("""COMPUTED_VALUE"""),46052.0)</f>
        <v>46052</v>
      </c>
      <c r="AF2248" s="54"/>
      <c r="AG2248" s="54"/>
      <c r="AH2248" s="54"/>
      <c r="AI2248" s="55" t="str">
        <f>IF(OR(AH2248="",AE2248=""),"",AH2248-AE2248)</f>
        <v/>
      </c>
      <c r="AW2248" s="234"/>
      <c r="BP2248" s="11"/>
      <c r="BQ2248" s="11"/>
      <c r="BV2248" s="158"/>
      <c r="BY2248" s="158"/>
      <c r="CB2248" s="158"/>
    </row>
    <row r="2249" ht="18.0" hidden="1" customHeight="1">
      <c r="A2249" s="222">
        <f>IFERROR(__xludf.DUMMYFUNCTION("""COMPUTED_VALUE"""),2026.0)</f>
        <v>2026</v>
      </c>
      <c r="B2249" s="221">
        <f>IFERROR(__xludf.DUMMYFUNCTION("""COMPUTED_VALUE"""),1.1129699E7)</f>
        <v>11129699</v>
      </c>
      <c r="C2249" s="222" t="str">
        <f>IFERROR(__xludf.DUMMYFUNCTION("""COMPUTED_VALUE"""),"MDN PT4 P7I2 TJR-FXX KAMPOENG KENANGA")</f>
        <v>MDN PT4 P7I2 TJR-FXX KAMPOENG KENANGA</v>
      </c>
      <c r="D2249" s="222" t="str">
        <f>IFERROR(__xludf.DUMMYFUNCTION("""COMPUTED_VALUE"""),"REGIONAL I")</f>
        <v>REGIONAL I</v>
      </c>
      <c r="E2249" s="222" t="str">
        <f>IFERROR(__xludf.DUMMYFUNCTION("""COMPUTED_VALUE"""),"MEDAN")</f>
        <v>MEDAN</v>
      </c>
      <c r="F2249" s="222" t="str">
        <f>IFERROR(__xludf.DUMMYFUNCTION("""COMPUTED_VALUE"""),"TJR")</f>
        <v>TJR</v>
      </c>
      <c r="G2249" s="222" t="str">
        <f>IFERROR(__xludf.DUMMYFUNCTION("""COMPUTED_VALUE"""),"SUMBAGUT")</f>
        <v>SUMBAGUT</v>
      </c>
      <c r="H2249" s="222" t="str">
        <f>IFERROR(__xludf.DUMMYFUNCTION("""COMPUTED_VALUE"""),"MEDAN")</f>
        <v>MEDAN</v>
      </c>
      <c r="I2249" s="222" t="str">
        <f>IFERROR(__xludf.DUMMYFUNCTION("""COMPUTED_VALUE"""),"Batch 3")</f>
        <v>Batch 3</v>
      </c>
      <c r="J2249" s="225">
        <f>IFERROR(__xludf.DUMMYFUNCTION("""COMPUTED_VALUE"""),34.0)</f>
        <v>34</v>
      </c>
      <c r="K2249" s="224">
        <f>IFERROR(__xludf.DUMMYFUNCTION("""COMPUTED_VALUE"""),272.0)</f>
        <v>272</v>
      </c>
      <c r="L2249" s="226">
        <f>IFERROR(__xludf.DUMMYFUNCTION("""COMPUTED_VALUE"""),3299333.0)</f>
        <v>3299333</v>
      </c>
      <c r="M2249" s="227">
        <f>IFERROR(__xludf.DUMMYFUNCTION("""COMPUTED_VALUE"""),8.97418473E8)</f>
        <v>897418473</v>
      </c>
      <c r="N2249" s="222" t="str">
        <f>IFERROR(__xludf.DUMMYFUNCTION("""COMPUTED_VALUE"""),"PT SINAR KEPRI SEJAHTERA")</f>
        <v>PT SINAR KEPRI SEJAHTERA</v>
      </c>
      <c r="O2249" s="222" t="str">
        <f>IFERROR(__xludf.DUMMYFUNCTION("""COMPUTED_VALUE"""),"8. UJI TERIMA")</f>
        <v>8. UJI TERIMA</v>
      </c>
      <c r="P2249" s="222" t="str">
        <f>IFERROR(__xludf.DUMMYFUNCTION("""COMPUTED_VALUE"""),"8.1 Proses UT")</f>
        <v>8.1 Proses UT</v>
      </c>
      <c r="Q2249" s="222" t="str">
        <f>IFERROR(__xludf.DUMMYFUNCTION("""COMPUTED_VALUE"""),"16/02 golive sdi
29/11 temuan UT repair")</f>
        <v>16/02 golive sdi
29/11 temuan UT repair</v>
      </c>
      <c r="R2249" s="228">
        <f>IFERROR(__xludf.DUMMYFUNCTION("""COMPUTED_VALUE"""),46068.0)</f>
        <v>46068</v>
      </c>
      <c r="S2249" s="11"/>
      <c r="T2249" s="11"/>
      <c r="U2249" s="11" t="str">
        <f>IFERROR(__xludf.DUMMYFUNCTION("""COMPUTED_VALUE"""),"FALSE")</f>
        <v>FALSE</v>
      </c>
      <c r="V2249" s="229"/>
      <c r="W2249" s="229"/>
      <c r="X2249" s="229" t="str">
        <f>IFERROR(__xludf.DUMMYFUNCTION("""COMPUTED_VALUE"""),"GOLIVE")</f>
        <v>GOLIVE</v>
      </c>
      <c r="Y2249" s="229" t="str">
        <f>IFERROR(__xludf.DUMMYFUNCTION("""COMPUTED_VALUE"""),"DONE")</f>
        <v>DONE</v>
      </c>
      <c r="Z2249" s="229" t="str">
        <f>IFERROR(__xludf.DUMMYFUNCTION("""COMPUTED_VALUE"""),"#N/A")</f>
        <v>#N/A</v>
      </c>
      <c r="AA2249" s="229">
        <f>IFERROR(__xludf.DUMMYFUNCTION("""COMPUTED_VALUE"""),30.0)</f>
        <v>30</v>
      </c>
      <c r="AB2249" s="229"/>
      <c r="AC2249" s="229" t="str">
        <f>IFERROR(__xludf.DUMMYFUNCTION("""COMPUTED_VALUE"""),"9104348#9104353")</f>
        <v>9104348#9104353</v>
      </c>
      <c r="AD2249" s="232">
        <f>IFERROR(__xludf.DUMMYFUNCTION("""COMPUTED_VALUE"""),240.0)</f>
        <v>240</v>
      </c>
      <c r="AE2249" s="233">
        <f>IFERROR(__xludf.DUMMYFUNCTION("""COMPUTED_VALUE"""),46068.0)</f>
        <v>46068</v>
      </c>
      <c r="AF2249" s="54"/>
      <c r="AG2249" s="54"/>
      <c r="AH2249" s="54">
        <v>46068.0</v>
      </c>
      <c r="AI2249" s="55">
        <f>IF(OR(R2249="",AE2249=""),"",R2249-AE2249)</f>
        <v>0</v>
      </c>
      <c r="AW2249" s="234"/>
      <c r="BP2249" s="11"/>
      <c r="BQ2249" s="11"/>
      <c r="BV2249" s="158"/>
      <c r="BY2249" s="158"/>
      <c r="CB2249" s="158"/>
    </row>
    <row r="2250" ht="18.0" customHeight="1">
      <c r="A2250" s="222">
        <f>IFERROR(__xludf.DUMMYFUNCTION("""COMPUTED_VALUE"""),2026.0)</f>
        <v>2026</v>
      </c>
      <c r="B2250" s="221">
        <f>IFERROR(__xludf.DUMMYFUNCTION("""COMPUTED_VALUE"""),1.1346033E7)</f>
        <v>11346033</v>
      </c>
      <c r="C2250" s="222" t="str">
        <f>IFERROR(__xludf.DUMMYFUNCTION("""COMPUTED_VALUE"""),"RDR DESA SUKA RAJA TAK")</f>
        <v>RDR DESA SUKA RAJA TAK</v>
      </c>
      <c r="D2250" s="222" t="str">
        <f>IFERROR(__xludf.DUMMYFUNCTION("""COMPUTED_VALUE"""),"REGIONAL I")</f>
        <v>REGIONAL I</v>
      </c>
      <c r="E2250" s="222" t="str">
        <f>IFERROR(__xludf.DUMMYFUNCTION("""COMPUTED_VALUE"""),"RIDAR")</f>
        <v>RIDAR</v>
      </c>
      <c r="F2250" s="222" t="str">
        <f>IFERROR(__xludf.DUMMYFUNCTION("""COMPUTED_VALUE"""),"TAK")</f>
        <v>TAK</v>
      </c>
      <c r="G2250" s="222" t="str">
        <f>IFERROR(__xludf.DUMMYFUNCTION("""COMPUTED_VALUE"""),"SUMBAGTENG")</f>
        <v>SUMBAGTENG</v>
      </c>
      <c r="H2250" s="222" t="str">
        <f>IFERROR(__xludf.DUMMYFUNCTION("""COMPUTED_VALUE"""),"DUMAI")</f>
        <v>DUMAI</v>
      </c>
      <c r="I2250" s="222" t="str">
        <f>IFERROR(__xludf.DUMMYFUNCTION("""COMPUTED_VALUE"""),"Batch 3")</f>
        <v>Batch 3</v>
      </c>
      <c r="J2250" s="225">
        <f>IFERROR(__xludf.DUMMYFUNCTION("""COMPUTED_VALUE"""),34.0)</f>
        <v>34</v>
      </c>
      <c r="K2250" s="224">
        <f>IFERROR(__xludf.DUMMYFUNCTION("""COMPUTED_VALUE"""),272.0)</f>
        <v>272</v>
      </c>
      <c r="L2250" s="226">
        <f>IFERROR(__xludf.DUMMYFUNCTION("""COMPUTED_VALUE"""),3243950.0)</f>
        <v>3243950</v>
      </c>
      <c r="M2250" s="227">
        <f>IFERROR(__xludf.DUMMYFUNCTION("""COMPUTED_VALUE"""),8.82354316E8)</f>
        <v>882354316</v>
      </c>
      <c r="N2250" s="222" t="str">
        <f>IFERROR(__xludf.DUMMYFUNCTION("""COMPUTED_VALUE"""),"PT ALAM UTAMA MULIA")</f>
        <v>PT ALAM UTAMA MULIA</v>
      </c>
      <c r="O2250" s="222" t="str">
        <f>IFERROR(__xludf.DUMMYFUNCTION("""COMPUTED_VALUE"""),"7. GOLIVE")</f>
        <v>7. GOLIVE</v>
      </c>
      <c r="P2250" s="222" t="str">
        <f>IFERROR(__xludf.DUMMYFUNCTION("""COMPUTED_VALUE"""),"7.2 Golive Full / OA / DONE OTB")</f>
        <v>7.2 Golive Full / OA / DONE OTB</v>
      </c>
      <c r="Q2250" s="222" t="str">
        <f>IFERROR(__xludf.DUMMYFUNCTION("""COMPUTED_VALUE"""),"22/01 Proses Golive")</f>
        <v>22/01 Proses Golive</v>
      </c>
      <c r="R2250" s="228"/>
      <c r="S2250" s="11"/>
      <c r="T2250" s="11"/>
      <c r="U2250" s="11"/>
      <c r="V2250" s="229" t="str">
        <f>IFERROR(__xludf.DUMMYFUNCTION("""COMPUTED_VALUE"""),"ADIL WAHYUDI")</f>
        <v>ADIL WAHYUDI</v>
      </c>
      <c r="W2250" s="229" t="str">
        <f>IFERROR(__xludf.DUMMYFUNCTION("""COMPUTED_VALUE"""),"ANZALA SAKINAH")</f>
        <v>ANZALA SAKINAH</v>
      </c>
      <c r="X2250" s="229" t="str">
        <f>IFERROR(__xludf.DUMMYFUNCTION("""COMPUTED_VALUE"""),"GOLIVE")</f>
        <v>GOLIVE</v>
      </c>
      <c r="Y2250" s="229" t="str">
        <f>IFERROR(__xludf.DUMMYFUNCTION("""COMPUTED_VALUE"""),"DONE")</f>
        <v>DONE</v>
      </c>
      <c r="Z2250" s="229" t="str">
        <f>IFERROR(__xludf.DUMMYFUNCTION("""COMPUTED_VALUE"""),"5. Done Integrasi")</f>
        <v>5. Done Integrasi</v>
      </c>
      <c r="AA2250" s="229">
        <f>IFERROR(__xludf.DUMMYFUNCTION("""COMPUTED_VALUE"""),34.0)</f>
        <v>34</v>
      </c>
      <c r="AB2250" s="229"/>
      <c r="AC2250" s="229" t="str">
        <f>IFERROR(__xludf.DUMMYFUNCTION("""COMPUTED_VALUE"""),"8963294#8963299")</f>
        <v>8963294#8963299</v>
      </c>
      <c r="AD2250" s="232">
        <f>IFERROR(__xludf.DUMMYFUNCTION("""COMPUTED_VALUE"""),272.0)</f>
        <v>272</v>
      </c>
      <c r="AE2250" s="233">
        <f>IFERROR(__xludf.DUMMYFUNCTION("""COMPUTED_VALUE"""),46044.0)</f>
        <v>46044</v>
      </c>
      <c r="AF2250" s="54"/>
      <c r="AG2250" s="54"/>
      <c r="AH2250" s="54"/>
      <c r="AI2250" s="55" t="str">
        <f>IF(OR(AH2250="",AE2250=""),"",AH2250-AE2250)</f>
        <v/>
      </c>
      <c r="AW2250" s="234"/>
      <c r="BP2250" s="11"/>
      <c r="BQ2250" s="11"/>
      <c r="BV2250" s="158"/>
      <c r="BY2250" s="158"/>
      <c r="CB2250" s="158"/>
    </row>
    <row r="2251" ht="18.0" hidden="1" customHeight="1">
      <c r="A2251" s="222">
        <f>IFERROR(__xludf.DUMMYFUNCTION("""COMPUTED_VALUE"""),2026.0)</f>
        <v>2026</v>
      </c>
      <c r="B2251" s="221">
        <f>IFERROR(__xludf.DUMMYFUNCTION("""COMPUTED_VALUE"""),1.1197101E7)</f>
        <v>11197101</v>
      </c>
      <c r="C2251" s="222" t="str">
        <f>IFERROR(__xludf.DUMMYFUNCTION("""COMPUTED_VALUE"""),"BNK-PT3-IPU-JPPTSEL- KARYA MULYA")</f>
        <v>BNK-PT3-IPU-JPPTSEL- KARYA MULYA</v>
      </c>
      <c r="D2251" s="222" t="str">
        <f>IFERROR(__xludf.DUMMYFUNCTION("""COMPUTED_VALUE"""),"REGIONAL I")</f>
        <v>REGIONAL I</v>
      </c>
      <c r="E2251" s="222" t="str">
        <f>IFERROR(__xludf.DUMMYFUNCTION("""COMPUTED_VALUE"""),"BENGKULU")</f>
        <v>BENGKULU</v>
      </c>
      <c r="F2251" s="222" t="str">
        <f>IFERROR(__xludf.DUMMYFUNCTION("""COMPUTED_VALUE"""),"IPU")</f>
        <v>IPU</v>
      </c>
      <c r="G2251" s="222" t="str">
        <f>IFERROR(__xludf.DUMMYFUNCTION("""COMPUTED_VALUE"""),"SUMBAGSEL")</f>
        <v>SUMBAGSEL</v>
      </c>
      <c r="H2251" s="222" t="str">
        <f>IFERROR(__xludf.DUMMYFUNCTION("""COMPUTED_VALUE"""),"BENGKULU")</f>
        <v>BENGKULU</v>
      </c>
      <c r="I2251" s="222" t="str">
        <f>IFERROR(__xludf.DUMMYFUNCTION("""COMPUTED_VALUE"""),"Batch 3")</f>
        <v>Batch 3</v>
      </c>
      <c r="J2251" s="225">
        <f>IFERROR(__xludf.DUMMYFUNCTION("""COMPUTED_VALUE"""),22.0)</f>
        <v>22</v>
      </c>
      <c r="K2251" s="224">
        <f>IFERROR(__xludf.DUMMYFUNCTION("""COMPUTED_VALUE"""),176.0)</f>
        <v>176</v>
      </c>
      <c r="L2251" s="226">
        <f>IFERROR(__xludf.DUMMYFUNCTION("""COMPUTED_VALUE"""),3048132.0)</f>
        <v>3048132</v>
      </c>
      <c r="M2251" s="227">
        <f>IFERROR(__xludf.DUMMYFUNCTION("""COMPUTED_VALUE"""),5.36471134E8)</f>
        <v>536471134</v>
      </c>
      <c r="N2251" s="222" t="str">
        <f>IFERROR(__xludf.DUMMYFUNCTION("""COMPUTED_VALUE"""),"PT GITA PRIMA TAMBA PERKASA")</f>
        <v>PT GITA PRIMA TAMBA PERKASA</v>
      </c>
      <c r="O2251" s="222" t="str">
        <f>IFERROR(__xludf.DUMMYFUNCTION("""COMPUTED_VALUE"""),"7. GOLIVE")</f>
        <v>7. GOLIVE</v>
      </c>
      <c r="P2251" s="222" t="str">
        <f>IFERROR(__xludf.DUMMYFUNCTION("""COMPUTED_VALUE"""),"7.2 Golive Full / OA / DONE OTB")</f>
        <v>7.2 Golive Full / OA / DONE OTB</v>
      </c>
      <c r="Q2251" s="222" t="str">
        <f>IFERROR(__xludf.DUMMYFUNCTION("""COMPUTED_VALUE"""),"29/01 : revisi ABD // setor ABD ke SDI")</f>
        <v>29/01 : revisi ABD // setor ABD ke SDI</v>
      </c>
      <c r="R2251" s="228"/>
      <c r="S2251" s="11"/>
      <c r="T2251" s="11"/>
      <c r="U2251" s="11" t="str">
        <f>IFERROR(__xludf.DUMMYFUNCTION("""COMPUTED_VALUE"""),"W06-270/2025")</f>
        <v>W06-270/2025</v>
      </c>
      <c r="V2251" s="229"/>
      <c r="W2251" s="229"/>
      <c r="X2251" s="229" t="str">
        <f>IFERROR(__xludf.DUMMYFUNCTION("""COMPUTED_VALUE"""),"GOLIVE")</f>
        <v>GOLIVE</v>
      </c>
      <c r="Y2251" s="229" t="str">
        <f>IFERROR(__xludf.DUMMYFUNCTION("""COMPUTED_VALUE"""),"DONE")</f>
        <v>DONE</v>
      </c>
      <c r="Z2251" s="229" t="str">
        <f>IFERROR(__xludf.DUMMYFUNCTION("""COMPUTED_VALUE"""),"#N/A")</f>
        <v>#N/A</v>
      </c>
      <c r="AA2251" s="229">
        <f>IFERROR(__xludf.DUMMYFUNCTION("""COMPUTED_VALUE"""),22.0)</f>
        <v>22</v>
      </c>
      <c r="AB2251" s="229"/>
      <c r="AC2251" s="229" t="str">
        <f>IFERROR(__xludf.DUMMYFUNCTION("""COMPUTED_VALUE"""),"8878027#8878038")</f>
        <v>8878027#8878038</v>
      </c>
      <c r="AD2251" s="232">
        <f>IFERROR(__xludf.DUMMYFUNCTION("""COMPUTED_VALUE"""),176.0)</f>
        <v>176</v>
      </c>
      <c r="AE2251" s="233">
        <f>IFERROR(__xludf.DUMMYFUNCTION("""COMPUTED_VALUE"""),46059.0)</f>
        <v>46059</v>
      </c>
      <c r="AF2251" s="54"/>
      <c r="AG2251" s="54"/>
      <c r="AH2251" s="54"/>
      <c r="AI2251" s="55" t="str">
        <f>IF(OR(R2251="",AE2251=""),"",R2251-AE2251)</f>
        <v/>
      </c>
      <c r="AW2251" s="234"/>
      <c r="BP2251" s="11"/>
      <c r="BQ2251" s="11"/>
      <c r="BV2251" s="158"/>
      <c r="BY2251" s="158"/>
      <c r="CB2251" s="158"/>
    </row>
    <row r="2252" ht="18.0" hidden="1" customHeight="1">
      <c r="A2252" s="222">
        <f>IFERROR(__xludf.DUMMYFUNCTION("""COMPUTED_VALUE"""),2026.0)</f>
        <v>2026</v>
      </c>
      <c r="B2252" s="221">
        <f>IFERROR(__xludf.DUMMYFUNCTION("""COMPUTED_VALUE"""),1.1450079E7)</f>
        <v>11450079</v>
      </c>
      <c r="C2252" s="222" t="str">
        <f>IFERROR(__xludf.DUMMYFUNCTION("""COMPUTED_VALUE"""),"MDN PT4 PUB-FXX CITRALAND SEMPALI")</f>
        <v>MDN PT4 PUB-FXX CITRALAND SEMPALI</v>
      </c>
      <c r="D2252" s="222" t="str">
        <f>IFERROR(__xludf.DUMMYFUNCTION("""COMPUTED_VALUE"""),"REGIONAL I")</f>
        <v>REGIONAL I</v>
      </c>
      <c r="E2252" s="222" t="str">
        <f>IFERROR(__xludf.DUMMYFUNCTION("""COMPUTED_VALUE"""),"MEDAN")</f>
        <v>MEDAN</v>
      </c>
      <c r="F2252" s="222" t="str">
        <f>IFERROR(__xludf.DUMMYFUNCTION("""COMPUTED_VALUE"""),"PUB")</f>
        <v>PUB</v>
      </c>
      <c r="G2252" s="222" t="str">
        <f>IFERROR(__xludf.DUMMYFUNCTION("""COMPUTED_VALUE"""),"SUMBAGUT")</f>
        <v>SUMBAGUT</v>
      </c>
      <c r="H2252" s="222" t="str">
        <f>IFERROR(__xludf.DUMMYFUNCTION("""COMPUTED_VALUE"""),"MEDAN")</f>
        <v>MEDAN</v>
      </c>
      <c r="I2252" s="222" t="str">
        <f>IFERROR(__xludf.DUMMYFUNCTION("""COMPUTED_VALUE"""),"Batch 3")</f>
        <v>Batch 3</v>
      </c>
      <c r="J2252" s="225">
        <f>IFERROR(__xludf.DUMMYFUNCTION("""COMPUTED_VALUE"""),44.0)</f>
        <v>44</v>
      </c>
      <c r="K2252" s="224">
        <f>IFERROR(__xludf.DUMMYFUNCTION("""COMPUTED_VALUE"""),352.0)</f>
        <v>352</v>
      </c>
      <c r="L2252" s="226">
        <f>IFERROR(__xludf.DUMMYFUNCTION("""COMPUTED_VALUE"""),3000476.0)</f>
        <v>3000476</v>
      </c>
      <c r="M2252" s="227">
        <f>IFERROR(__xludf.DUMMYFUNCTION("""COMPUTED_VALUE"""),1.056167444E9)</f>
        <v>1056167444</v>
      </c>
      <c r="N2252" s="222" t="str">
        <f>IFERROR(__xludf.DUMMYFUNCTION("""COMPUTED_VALUE"""),"PT PRIMA INDO SENTOSA")</f>
        <v>PT PRIMA INDO SENTOSA</v>
      </c>
      <c r="O2252" s="222" t="str">
        <f>IFERROR(__xludf.DUMMYFUNCTION("""COMPUTED_VALUE"""),"3. PERIZINAN")</f>
        <v>3. PERIZINAN</v>
      </c>
      <c r="P2252" s="222" t="str">
        <f>IFERROR(__xludf.DUMMYFUNCTION("""COMPUTED_VALUE"""),"3.1 Submit permohon ke PU")</f>
        <v>3.1 Submit permohon ke PU</v>
      </c>
      <c r="Q2252" s="222" t="str">
        <f>IFERROR(__xludf.DUMMYFUNCTION("""COMPUTED_VALUE"""),"20/04 Proses perijinan PU untuk feeder
14/01 Pembuatan surat sewa menyewa untuk perizinan galian")</f>
        <v>20/04 Proses perijinan PU untuk feeder
14/01 Pembuatan surat sewa menyewa untuk perizinan galian</v>
      </c>
      <c r="R2252" s="228"/>
      <c r="S2252" s="11"/>
      <c r="T2252" s="11" t="str">
        <f>IFERROR(__xludf.DUMMYFUNCTION("""COMPUTED_VALUE"""),"P1")</f>
        <v>P1</v>
      </c>
      <c r="U2252" s="11"/>
      <c r="V2252" s="229"/>
      <c r="W2252" s="229"/>
      <c r="X2252" s="229" t="str">
        <f>IFERROR(__xludf.DUMMYFUNCTION("""COMPUTED_VALUE"""),"BELUM GOLIVE")</f>
        <v>BELUM GOLIVE</v>
      </c>
      <c r="Y2252" s="229"/>
      <c r="Z2252" s="229" t="str">
        <f>IFERROR(__xludf.DUMMYFUNCTION("""COMPUTED_VALUE"""),"#N/A")</f>
        <v>#N/A</v>
      </c>
      <c r="AA2252" s="229"/>
      <c r="AB2252" s="229"/>
      <c r="AC2252" s="229"/>
      <c r="AD2252" s="232"/>
      <c r="AE2252" s="233"/>
      <c r="AF2252" s="54"/>
      <c r="AG2252" s="54"/>
      <c r="AH2252" s="54">
        <v>46141.0</v>
      </c>
      <c r="AI2252" s="237">
        <f>AH2252-NOW()</f>
        <v>0.6220100579</v>
      </c>
      <c r="AJ2252" s="229" t="str">
        <f>if(AI2252&gt;=0,"In Komitmen","Out Komitmen")</f>
        <v>In Komitmen</v>
      </c>
      <c r="AK2252" s="229" t="e">
        <v>#N/A</v>
      </c>
      <c r="AW2252" s="234"/>
      <c r="BP2252" s="11"/>
      <c r="BQ2252" s="11"/>
      <c r="BV2252" s="158"/>
      <c r="BY2252" s="158"/>
      <c r="CB2252" s="158"/>
    </row>
    <row r="2253" ht="18.0" customHeight="1">
      <c r="A2253" s="222">
        <f>IFERROR(__xludf.DUMMYFUNCTION("""COMPUTED_VALUE"""),2026.0)</f>
        <v>2026</v>
      </c>
      <c r="B2253" s="221">
        <f>IFERROR(__xludf.DUMMYFUNCTION("""COMPUTED_VALUE"""),1.1038443E7)</f>
        <v>11038443</v>
      </c>
      <c r="C2253" s="222" t="str">
        <f>IFERROR(__xludf.DUMMYFUNCTION("""COMPUTED_VALUE"""),"RKP PT4 JPPTSEL BTC-FXX GREEN - VIEW HILLS")</f>
        <v>RKP PT4 JPPTSEL BTC-FXX GREEN - VIEW HILLS</v>
      </c>
      <c r="D2253" s="222" t="str">
        <f>IFERROR(__xludf.DUMMYFUNCTION("""COMPUTED_VALUE"""),"REGIONAL I")</f>
        <v>REGIONAL I</v>
      </c>
      <c r="E2253" s="222" t="str">
        <f>IFERROR(__xludf.DUMMYFUNCTION("""COMPUTED_VALUE"""),"RIKEP")</f>
        <v>RIKEP</v>
      </c>
      <c r="F2253" s="222" t="str">
        <f>IFERROR(__xludf.DUMMYFUNCTION("""COMPUTED_VALUE"""),"BTC")</f>
        <v>BTC</v>
      </c>
      <c r="G2253" s="222" t="str">
        <f>IFERROR(__xludf.DUMMYFUNCTION("""COMPUTED_VALUE"""),"SUMBAGTENG")</f>
        <v>SUMBAGTENG</v>
      </c>
      <c r="H2253" s="222" t="str">
        <f>IFERROR(__xludf.DUMMYFUNCTION("""COMPUTED_VALUE"""),"BATAM")</f>
        <v>BATAM</v>
      </c>
      <c r="I2253" s="222" t="str">
        <f>IFERROR(__xludf.DUMMYFUNCTION("""COMPUTED_VALUE"""),"Batch 3")</f>
        <v>Batch 3</v>
      </c>
      <c r="J2253" s="225">
        <f>IFERROR(__xludf.DUMMYFUNCTION("""COMPUTED_VALUE"""),33.0)</f>
        <v>33</v>
      </c>
      <c r="K2253" s="224">
        <f>IFERROR(__xludf.DUMMYFUNCTION("""COMPUTED_VALUE"""),264.0)</f>
        <v>264</v>
      </c>
      <c r="L2253" s="226">
        <f>IFERROR(__xludf.DUMMYFUNCTION("""COMPUTED_VALUE"""),2890189.0)</f>
        <v>2890189</v>
      </c>
      <c r="M2253" s="227">
        <f>IFERROR(__xludf.DUMMYFUNCTION("""COMPUTED_VALUE"""),7.63009731E8)</f>
        <v>763009731</v>
      </c>
      <c r="N2253" s="222" t="str">
        <f>IFERROR(__xludf.DUMMYFUNCTION("""COMPUTED_VALUE"""),"PT MITRA SETIA INDONESIA")</f>
        <v>PT MITRA SETIA INDONESIA</v>
      </c>
      <c r="O2253" s="222" t="str">
        <f>IFERROR(__xludf.DUMMYFUNCTION("""COMPUTED_VALUE"""),"5. INSTALASI")</f>
        <v>5. INSTALASI</v>
      </c>
      <c r="P2253" s="222" t="str">
        <f>IFERROR(__xludf.DUMMYFUNCTION("""COMPUTED_VALUE"""),"5.3 Proses Gali/Rojok - Paralel Comcase/Perjinan PU")</f>
        <v>5.3 Proses Gali/Rojok - Paralel Comcase/Perjinan PU</v>
      </c>
      <c r="Q2253" s="222" t="str">
        <f>IFERROR(__xludf.DUMMYFUNCTION("""COMPUTED_VALUE"""),"24/04 Titik ODC masih belum ada keputusan dari pimpinan developer.
11/03 Galian boring rojok manual, terkendala titik ODC belum fix dari developer. 21/01 Proses galian rojok feeder. 17/02 Galian boring rojok manual, terkendala titik ODC belum fix dari dev"&amp;"eloper. 21/01 Proses galian rojok feeder")</f>
        <v>24/04 Titik ODC masih belum ada keputusan dari pimpinan developer.
11/03 Galian boring rojok manual, terkendala titik ODC belum fix dari developer. 21/01 Proses galian rojok feeder. 17/02 Galian boring rojok manual, terkendala titik ODC belum fix dari developer. 21/01 Proses galian rojok feeder</v>
      </c>
      <c r="R2253" s="228"/>
      <c r="S2253" s="11"/>
      <c r="T2253" s="11"/>
      <c r="U2253" s="11" t="str">
        <f>IFERROR(__xludf.DUMMYFUNCTION("""COMPUTED_VALUE"""),"W09-217/2026")</f>
        <v>W09-217/2026</v>
      </c>
      <c r="V2253" s="229" t="str">
        <f>IFERROR(__xludf.DUMMYFUNCTION("""COMPUTED_VALUE"""),"GANI PRASTYO")</f>
        <v>GANI PRASTYO</v>
      </c>
      <c r="W2253" s="229" t="str">
        <f>IFERROR(__xludf.DUMMYFUNCTION("""COMPUTED_VALUE"""),"LEVITA INDRIYANI")</f>
        <v>LEVITA INDRIYANI</v>
      </c>
      <c r="X2253" s="229"/>
      <c r="Y2253" s="229"/>
      <c r="Z2253" s="229" t="str">
        <f>IFERROR(__xludf.DUMMYFUNCTION("""COMPUTED_VALUE"""),"#N/A")</f>
        <v>#N/A</v>
      </c>
      <c r="AA2253" s="229"/>
      <c r="AB2253" s="229"/>
      <c r="AC2253" s="229"/>
      <c r="AD2253" s="232"/>
      <c r="AE2253" s="233"/>
      <c r="AF2253" s="54"/>
      <c r="AG2253" s="54"/>
      <c r="AH2253" s="54"/>
      <c r="AI2253" s="55" t="str">
        <f t="shared" ref="AI2253:AI2260" si="212">IF(OR(R2253="",AE2253=""),"",R2253-AE2253)</f>
        <v/>
      </c>
      <c r="AW2253" s="234"/>
      <c r="BP2253" s="11"/>
      <c r="BQ2253" s="11"/>
      <c r="BV2253" s="158"/>
      <c r="BY2253" s="158"/>
      <c r="CB2253" s="158"/>
    </row>
    <row r="2254" ht="18.0" hidden="1" customHeight="1">
      <c r="A2254" s="222">
        <f>IFERROR(__xludf.DUMMYFUNCTION("""COMPUTED_VALUE"""),2026.0)</f>
        <v>2026</v>
      </c>
      <c r="B2254" s="221">
        <f>IFERROR(__xludf.DUMMYFUNCTION("""COMPUTED_VALUE"""),1.2213443E7)</f>
        <v>12213443</v>
      </c>
      <c r="C2254" s="222" t="str">
        <f>IFERROR(__xludf.DUMMYFUNCTION("""COMPUTED_VALUE"""),"BBL PT4 P3I4 MENTIGI - TELUK LIMAU")</f>
        <v>BBL PT4 P3I4 MENTIGI - TELUK LIMAU</v>
      </c>
      <c r="D2254" s="222" t="str">
        <f>IFERROR(__xludf.DUMMYFUNCTION("""COMPUTED_VALUE"""),"REGIONAL I")</f>
        <v>REGIONAL I</v>
      </c>
      <c r="E2254" s="222" t="str">
        <f>IFERROR(__xludf.DUMMYFUNCTION("""COMPUTED_VALUE"""),"BABEL")</f>
        <v>BABEL</v>
      </c>
      <c r="F2254" s="222" t="str">
        <f>IFERROR(__xludf.DUMMYFUNCTION("""COMPUTED_VALUE"""),"JBS")</f>
        <v>JBS</v>
      </c>
      <c r="G2254" s="222" t="str">
        <f>IFERROR(__xludf.DUMMYFUNCTION("""COMPUTED_VALUE"""),"SUMBAGSEL")</f>
        <v>SUMBAGSEL</v>
      </c>
      <c r="H2254" s="222" t="str">
        <f>IFERROR(__xludf.DUMMYFUNCTION("""COMPUTED_VALUE"""),"PANGKAL PINANG")</f>
        <v>PANGKAL PINANG</v>
      </c>
      <c r="I2254" s="222" t="str">
        <f>IFERROR(__xludf.DUMMYFUNCTION("""COMPUTED_VALUE"""),"Batch 3")</f>
        <v>Batch 3</v>
      </c>
      <c r="J2254" s="225">
        <f>IFERROR(__xludf.DUMMYFUNCTION("""COMPUTED_VALUE"""),31.0)</f>
        <v>31</v>
      </c>
      <c r="K2254" s="224">
        <f>IFERROR(__xludf.DUMMYFUNCTION("""COMPUTED_VALUE"""),248.0)</f>
        <v>248</v>
      </c>
      <c r="L2254" s="226">
        <f>IFERROR(__xludf.DUMMYFUNCTION("""COMPUTED_VALUE"""),2794628.0)</f>
        <v>2794628</v>
      </c>
      <c r="M2254" s="227">
        <f>IFERROR(__xludf.DUMMYFUNCTION("""COMPUTED_VALUE"""),6.93067634E8)</f>
        <v>693067634</v>
      </c>
      <c r="N2254" s="222" t="str">
        <f>IFERROR(__xludf.DUMMYFUNCTION("""COMPUTED_VALUE"""),"PT BAYUMI CAHAYA NUSANTARA")</f>
        <v>PT BAYUMI CAHAYA NUSANTARA</v>
      </c>
      <c r="O2254" s="222" t="str">
        <f>IFERROR(__xludf.DUMMYFUNCTION("""COMPUTED_VALUE"""),"7. GOLIVE")</f>
        <v>7. GOLIVE</v>
      </c>
      <c r="P2254" s="222" t="str">
        <f>IFERROR(__xludf.DUMMYFUNCTION("""COMPUTED_VALUE"""),"7.2 Golive Full / OA / DONE OTB")</f>
        <v>7.2 Golive Full / OA / DONE OTB</v>
      </c>
      <c r="Q2254" s="222" t="str">
        <f>IFERROR(__xludf.DUMMYFUNCTION("""COMPUTED_VALUE"""),"(27/1) golive 27 jan 2026 (26/01) perapian (21/01) tanam tiang 54 done (18/01) tanam tiang 50/54 (13/01) penarikan kabel 24D 3200 done (11/01) tanam tiang 40/54 (10/01) penggalian lobang (07/01) tarik kabel 24D 1200/3200 (06/01) penanaman tiang 30/54 (05/"&amp;"01) penanaman tiang 25/54 (02/01) penanaman tiang 17/54 (31/12) pemasangan aksesoris dan penanaman tiang (16/12) tarik kabel done 02/12  penarikan kabel 24D 2100/94500 (1/12) penarikan kabel 24D 1400/9450 (29/11) pengambilan material (28/11) request mater"&amp;"ial (27/11) proses pr po (26/11) DRM done (25/11) proses DRM mitra (24/11) created PID done, proses DRM mitra (22/11) create PID kendala budget 10/11 sudah anwijzing 7/11 Penunjukan mitra")</f>
        <v>(27/1) golive 27 jan 2026 (26/01) perapian (21/01) tanam tiang 54 done (18/01) tanam tiang 50/54 (13/01) penarikan kabel 24D 3200 done (11/01) tanam tiang 40/54 (10/01) penggalian lobang (07/01) tarik kabel 24D 1200/3200 (06/01) penanaman tiang 30/54 (05/01) penanaman tiang 25/54 (02/01) penanaman tiang 17/54 (31/12) pemasangan aksesoris dan penanaman tiang (16/12) tarik kabel done 02/12  penarikan kabel 24D 2100/94500 (1/12) penarikan kabel 24D 1400/9450 (29/11) pengambilan material (28/11) request material (27/11) proses pr po (26/11) DRM done (25/11) proses DRM mitra (24/11) created PID done, proses DRM mitra (22/11) create PID kendala budget 10/11 sudah anwijzing 7/11 Penunjukan mitra</v>
      </c>
      <c r="R2254" s="228"/>
      <c r="S2254" s="11"/>
      <c r="T2254" s="11"/>
      <c r="U2254" s="11"/>
      <c r="V2254" s="229"/>
      <c r="W2254" s="229"/>
      <c r="X2254" s="229" t="str">
        <f>IFERROR(__xludf.DUMMYFUNCTION("""COMPUTED_VALUE"""),"GOLIVE")</f>
        <v>GOLIVE</v>
      </c>
      <c r="Y2254" s="229"/>
      <c r="Z2254" s="229" t="str">
        <f>IFERROR(__xludf.DUMMYFUNCTION("""COMPUTED_VALUE"""),"#N/A")</f>
        <v>#N/A</v>
      </c>
      <c r="AA2254" s="229">
        <f>IFERROR(__xludf.DUMMYFUNCTION("""COMPUTED_VALUE"""),31.0)</f>
        <v>31</v>
      </c>
      <c r="AB2254" s="229"/>
      <c r="AC2254" s="229" t="str">
        <f>IFERROR(__xludf.DUMMYFUNCTION("""COMPUTED_VALUE"""),"9024533#9024538")</f>
        <v>9024533#9024538</v>
      </c>
      <c r="AD2254" s="232">
        <f>IFERROR(__xludf.DUMMYFUNCTION("""COMPUTED_VALUE"""),248.0)</f>
        <v>248</v>
      </c>
      <c r="AE2254" s="233">
        <f>IFERROR(__xludf.DUMMYFUNCTION("""COMPUTED_VALUE"""),46049.0)</f>
        <v>46049</v>
      </c>
      <c r="AF2254" s="54"/>
      <c r="AG2254" s="54"/>
      <c r="AH2254" s="54"/>
      <c r="AI2254" s="55" t="str">
        <f t="shared" si="212"/>
        <v/>
      </c>
      <c r="AW2254" s="234"/>
      <c r="BP2254" s="11"/>
      <c r="BQ2254" s="11"/>
      <c r="BV2254" s="158"/>
      <c r="BY2254" s="158"/>
      <c r="CB2254" s="158"/>
    </row>
    <row r="2255" ht="18.0" hidden="1" customHeight="1">
      <c r="A2255" s="222">
        <f>IFERROR(__xludf.DUMMYFUNCTION("""COMPUTED_VALUE"""),2026.0)</f>
        <v>2026</v>
      </c>
      <c r="B2255" s="221">
        <f>IFERROR(__xludf.DUMMYFUNCTION("""COMPUTED_VALUE"""),1.1264593E7)</f>
        <v>11264593</v>
      </c>
      <c r="C2255" s="222" t="str">
        <f>IFERROR(__xludf.DUMMYFUNCTION("""COMPUTED_VALUE"""),"ACH PT3 PTL-FB SIMPANG COT ULAYA_MD")</f>
        <v>ACH PT3 PTL-FB SIMPANG COT ULAYA_MD</v>
      </c>
      <c r="D2255" s="222" t="str">
        <f>IFERROR(__xludf.DUMMYFUNCTION("""COMPUTED_VALUE"""),"REGIONAL I")</f>
        <v>REGIONAL I</v>
      </c>
      <c r="E2255" s="222" t="str">
        <f>IFERROR(__xludf.DUMMYFUNCTION("""COMPUTED_VALUE"""),"ACEH")</f>
        <v>ACEH</v>
      </c>
      <c r="F2255" s="222" t="str">
        <f>IFERROR(__xludf.DUMMYFUNCTION("""COMPUTED_VALUE"""),"PTL")</f>
        <v>PTL</v>
      </c>
      <c r="G2255" s="222" t="str">
        <f>IFERROR(__xludf.DUMMYFUNCTION("""COMPUTED_VALUE"""),"SUMBAGUT")</f>
        <v>SUMBAGUT</v>
      </c>
      <c r="H2255" s="222" t="str">
        <f>IFERROR(__xludf.DUMMYFUNCTION("""COMPUTED_VALUE"""),"BINJAI")</f>
        <v>BINJAI</v>
      </c>
      <c r="I2255" s="222" t="str">
        <f>IFERROR(__xludf.DUMMYFUNCTION("""COMPUTED_VALUE"""),"Batch 3")</f>
        <v>Batch 3</v>
      </c>
      <c r="J2255" s="225">
        <f>IFERROR(__xludf.DUMMYFUNCTION("""COMPUTED_VALUE"""),26.0)</f>
        <v>26</v>
      </c>
      <c r="K2255" s="224">
        <f>IFERROR(__xludf.DUMMYFUNCTION("""COMPUTED_VALUE"""),208.0)</f>
        <v>208</v>
      </c>
      <c r="L2255" s="226">
        <f>IFERROR(__xludf.DUMMYFUNCTION("""COMPUTED_VALUE"""),2724383.0)</f>
        <v>2724383</v>
      </c>
      <c r="M2255" s="227">
        <f>IFERROR(__xludf.DUMMYFUNCTION("""COMPUTED_VALUE"""),5.66671615E8)</f>
        <v>566671615</v>
      </c>
      <c r="N2255" s="222" t="str">
        <f>IFERROR(__xludf.DUMMYFUNCTION("""COMPUTED_VALUE"""),"PT ARA PAYA INTAN")</f>
        <v>PT ARA PAYA INTAN</v>
      </c>
      <c r="O2255" s="222" t="str">
        <f>IFERROR(__xludf.DUMMYFUNCTION("""COMPUTED_VALUE"""),"7. GOLIVE")</f>
        <v>7. GOLIVE</v>
      </c>
      <c r="P2255" s="222" t="str">
        <f>IFERROR(__xludf.DUMMYFUNCTION("""COMPUTED_VALUE"""),"7.2 Golive Full / OA / DONE OTB")</f>
        <v>7.2 Golive Full / OA / DONE OTB</v>
      </c>
      <c r="Q2255" s="222" t="str">
        <f>IFERROR(__xludf.DUMMYFUNCTION("""COMPUTED_VALUE"""),"(22/01) ABD Mancore dan Valins")</f>
        <v>(22/01) ABD Mancore dan Valins</v>
      </c>
      <c r="R2255" s="228">
        <f>IFERROR(__xludf.DUMMYFUNCTION("""COMPUTED_VALUE"""),46053.0)</f>
        <v>46053</v>
      </c>
      <c r="S2255" s="11"/>
      <c r="T2255" s="11"/>
      <c r="U2255" s="11"/>
      <c r="V2255" s="229"/>
      <c r="W2255" s="229"/>
      <c r="X2255" s="229" t="str">
        <f>IFERROR(__xludf.DUMMYFUNCTION("""COMPUTED_VALUE"""),"GOLIVE")</f>
        <v>GOLIVE</v>
      </c>
      <c r="Y2255" s="229" t="str">
        <f>IFERROR(__xludf.DUMMYFUNCTION("""COMPUTED_VALUE"""),"DONE")</f>
        <v>DONE</v>
      </c>
      <c r="Z2255" s="229" t="str">
        <f>IFERROR(__xludf.DUMMYFUNCTION("""COMPUTED_VALUE"""),"#N/A")</f>
        <v>#N/A</v>
      </c>
      <c r="AA2255" s="229">
        <f>IFERROR(__xludf.DUMMYFUNCTION("""COMPUTED_VALUE"""),26.0)</f>
        <v>26</v>
      </c>
      <c r="AB2255" s="229"/>
      <c r="AC2255" s="229" t="str">
        <f>IFERROR(__xludf.DUMMYFUNCTION("""COMPUTED_VALUE"""),"9043346#9043351")</f>
        <v>9043346#9043351</v>
      </c>
      <c r="AD2255" s="232">
        <f>IFERROR(__xludf.DUMMYFUNCTION("""COMPUTED_VALUE"""),208.0)</f>
        <v>208</v>
      </c>
      <c r="AE2255" s="233">
        <f>IFERROR(__xludf.DUMMYFUNCTION("""COMPUTED_VALUE"""),46053.0)</f>
        <v>46053</v>
      </c>
      <c r="AF2255" s="54"/>
      <c r="AG2255" s="54"/>
      <c r="AH2255" s="54">
        <v>46053.0</v>
      </c>
      <c r="AI2255" s="55">
        <f t="shared" si="212"/>
        <v>0</v>
      </c>
      <c r="AW2255" s="234"/>
      <c r="BP2255" s="11"/>
      <c r="BQ2255" s="11"/>
      <c r="BV2255" s="158"/>
      <c r="BY2255" s="158"/>
      <c r="CB2255" s="158"/>
    </row>
    <row r="2256" ht="18.0" hidden="1" customHeight="1">
      <c r="A2256" s="222">
        <f>IFERROR(__xludf.DUMMYFUNCTION("""COMPUTED_VALUE"""),2026.0)</f>
        <v>2026</v>
      </c>
      <c r="B2256" s="221">
        <f>IFERROR(__xludf.DUMMYFUNCTION("""COMPUTED_VALUE"""),1.1027042E7)</f>
        <v>11027042</v>
      </c>
      <c r="C2256" s="222" t="str">
        <f>IFERROR(__xludf.DUMMYFUNCTION("""COMPUTED_VALUE"""),"ACH PT4 BNN-FG PALOH JEURELA_MD")</f>
        <v>ACH PT4 BNN-FG PALOH JEURELA_MD</v>
      </c>
      <c r="D2256" s="222" t="str">
        <f>IFERROR(__xludf.DUMMYFUNCTION("""COMPUTED_VALUE"""),"REGIONAL I")</f>
        <v>REGIONAL I</v>
      </c>
      <c r="E2256" s="222" t="str">
        <f>IFERROR(__xludf.DUMMYFUNCTION("""COMPUTED_VALUE"""),"ACEH")</f>
        <v>ACEH</v>
      </c>
      <c r="F2256" s="222" t="str">
        <f>IFERROR(__xludf.DUMMYFUNCTION("""COMPUTED_VALUE"""),"BNN")</f>
        <v>BNN</v>
      </c>
      <c r="G2256" s="222" t="str">
        <f>IFERROR(__xludf.DUMMYFUNCTION("""COMPUTED_VALUE"""),"SUMBAGUT")</f>
        <v>SUMBAGUT</v>
      </c>
      <c r="H2256" s="222" t="str">
        <f>IFERROR(__xludf.DUMMYFUNCTION("""COMPUTED_VALUE"""),"BANDA ACEH")</f>
        <v>BANDA ACEH</v>
      </c>
      <c r="I2256" s="222" t="str">
        <f>IFERROR(__xludf.DUMMYFUNCTION("""COMPUTED_VALUE"""),"Batch 3")</f>
        <v>Batch 3</v>
      </c>
      <c r="J2256" s="225">
        <f>IFERROR(__xludf.DUMMYFUNCTION("""COMPUTED_VALUE"""),23.0)</f>
        <v>23</v>
      </c>
      <c r="K2256" s="224">
        <f>IFERROR(__xludf.DUMMYFUNCTION("""COMPUTED_VALUE"""),184.0)</f>
        <v>184</v>
      </c>
      <c r="L2256" s="226">
        <f>IFERROR(__xludf.DUMMYFUNCTION("""COMPUTED_VALUE"""),2522636.0)</f>
        <v>2522636</v>
      </c>
      <c r="M2256" s="227">
        <f>IFERROR(__xludf.DUMMYFUNCTION("""COMPUTED_VALUE"""),4.64164879E8)</f>
        <v>464164879</v>
      </c>
      <c r="N2256" s="222" t="str">
        <f>IFERROR(__xludf.DUMMYFUNCTION("""COMPUTED_VALUE"""),"PT HASINA KARYA SEJAHTERA")</f>
        <v>PT HASINA KARYA SEJAHTERA</v>
      </c>
      <c r="O2256" s="222" t="str">
        <f>IFERROR(__xludf.DUMMYFUNCTION("""COMPUTED_VALUE"""),"7. GOLIVE")</f>
        <v>7. GOLIVE</v>
      </c>
      <c r="P2256" s="222" t="str">
        <f>IFERROR(__xludf.DUMMYFUNCTION("""COMPUTED_VALUE"""),"7.2 Golive Full / OA / DONE OTB")</f>
        <v>7.2 Golive Full / OA / DONE OTB</v>
      </c>
      <c r="Q2256" s="222" t="str">
        <f>IFERROR(__xludf.DUMMYFUNCTION("""COMPUTED_VALUE"""),"20/04 Done CO , lanjut terminasi ODP ODC  dan FInishing, tgt 29 April
(25/03) Pengajuan Jadwal CO (10/03) Persiapan Terminasi dan CO setelah Freeze Network (24/02) Instalasi kabel dan ODP sdh slesai persiapan CO Upgrade ODC
(29/01) Penarikan Kabel")</f>
        <v>20/04 Done CO , lanjut terminasi ODP ODC  dan FInishing, tgt 29 April
(25/03) Pengajuan Jadwal CO (10/03) Persiapan Terminasi dan CO setelah Freeze Network (24/02) Instalasi kabel dan ODP sdh slesai persiapan CO Upgrade ODC
(29/01) Penarikan Kabel</v>
      </c>
      <c r="R2256" s="228">
        <f>IFERROR(__xludf.DUMMYFUNCTION("""COMPUTED_VALUE"""),46139.0)</f>
        <v>46139</v>
      </c>
      <c r="S2256" s="11" t="str">
        <f>IFERROR(__xludf.DUMMYFUNCTION("""COMPUTED_VALUE"""),"APR")</f>
        <v>APR</v>
      </c>
      <c r="T2256" s="73"/>
      <c r="U2256" s="11"/>
      <c r="V2256" s="229"/>
      <c r="W2256" s="229" t="str">
        <f>IFERROR(__xludf.DUMMYFUNCTION("""COMPUTED_VALUE"""),"#N/A")</f>
        <v>#N/A</v>
      </c>
      <c r="X2256" s="229" t="str">
        <f>IFERROR(__xludf.DUMMYFUNCTION("""COMPUTED_VALUE"""),"GOLIVE")</f>
        <v>GOLIVE</v>
      </c>
      <c r="Y2256" s="229" t="str">
        <f>IFERROR(__xludf.DUMMYFUNCTION("""COMPUTED_VALUE"""),"DONE")</f>
        <v>DONE</v>
      </c>
      <c r="Z2256" s="229" t="str">
        <f>IFERROR(__xludf.DUMMYFUNCTION("""COMPUTED_VALUE"""),"#N/A")</f>
        <v>#N/A</v>
      </c>
      <c r="AA2256" s="229">
        <f>IFERROR(__xludf.DUMMYFUNCTION("""COMPUTED_VALUE"""),23.0)</f>
        <v>23</v>
      </c>
      <c r="AB2256" s="229"/>
      <c r="AC2256" s="229" t="str">
        <f>IFERROR(__xludf.DUMMYFUNCTION("""COMPUTED_VALUE"""),"9310719#9310724")</f>
        <v>9310719#9310724</v>
      </c>
      <c r="AD2256" s="232">
        <f>IFERROR(__xludf.DUMMYFUNCTION("""COMPUTED_VALUE"""),184.0)</f>
        <v>184</v>
      </c>
      <c r="AE2256" s="233">
        <f>IFERROR(__xludf.DUMMYFUNCTION("""COMPUTED_VALUE"""),46137.0)</f>
        <v>46137</v>
      </c>
      <c r="AF2256" s="54"/>
      <c r="AG2256" s="54"/>
      <c r="AH2256" s="54">
        <v>46126.0</v>
      </c>
      <c r="AI2256" s="55">
        <f t="shared" si="212"/>
        <v>2</v>
      </c>
      <c r="AW2256" s="234"/>
      <c r="BP2256" s="11"/>
      <c r="BQ2256" s="11"/>
      <c r="BV2256" s="158"/>
      <c r="BY2256" s="158"/>
      <c r="CB2256" s="158"/>
    </row>
    <row r="2257" ht="18.0" hidden="1" customHeight="1">
      <c r="A2257" s="222">
        <f>IFERROR(__xludf.DUMMYFUNCTION("""COMPUTED_VALUE"""),2026.0)</f>
        <v>2026</v>
      </c>
      <c r="B2257" s="221">
        <f>IFERROR(__xludf.DUMMYFUNCTION("""COMPUTED_VALUE"""),1.1129371E7)</f>
        <v>11129371</v>
      </c>
      <c r="C2257" s="222" t="str">
        <f>IFERROR(__xludf.DUMMYFUNCTION("""COMPUTED_VALUE"""),"SMS P4I2 PT3 PLJ FBK D04-D05 CASA GRANDE")</f>
        <v>SMS P4I2 PT3 PLJ FBK D04-D05 CASA GRANDE</v>
      </c>
      <c r="D2257" s="222" t="str">
        <f>IFERROR(__xludf.DUMMYFUNCTION("""COMPUTED_VALUE"""),"REGIONAL I")</f>
        <v>REGIONAL I</v>
      </c>
      <c r="E2257" s="222" t="str">
        <f>IFERROR(__xludf.DUMMYFUNCTION("""COMPUTED_VALUE"""),"SUMSEL")</f>
        <v>SUMSEL</v>
      </c>
      <c r="F2257" s="222" t="str">
        <f>IFERROR(__xludf.DUMMYFUNCTION("""COMPUTED_VALUE"""),"PLJ")</f>
        <v>PLJ</v>
      </c>
      <c r="G2257" s="222" t="str">
        <f>IFERROR(__xludf.DUMMYFUNCTION("""COMPUTED_VALUE"""),"SUMBAGSEL")</f>
        <v>SUMBAGSEL</v>
      </c>
      <c r="H2257" s="222" t="str">
        <f>IFERROR(__xludf.DUMMYFUNCTION("""COMPUTED_VALUE"""),"PALEMBANG")</f>
        <v>PALEMBANG</v>
      </c>
      <c r="I2257" s="222" t="str">
        <f>IFERROR(__xludf.DUMMYFUNCTION("""COMPUTED_VALUE"""),"Batch 3")</f>
        <v>Batch 3</v>
      </c>
      <c r="J2257" s="225">
        <f>IFERROR(__xludf.DUMMYFUNCTION("""COMPUTED_VALUE"""),31.0)</f>
        <v>31</v>
      </c>
      <c r="K2257" s="224">
        <f>IFERROR(__xludf.DUMMYFUNCTION("""COMPUTED_VALUE"""),248.0)</f>
        <v>248</v>
      </c>
      <c r="L2257" s="226">
        <f>IFERROR(__xludf.DUMMYFUNCTION("""COMPUTED_VALUE"""),2425242.0)</f>
        <v>2425242</v>
      </c>
      <c r="M2257" s="227">
        <f>IFERROR(__xludf.DUMMYFUNCTION("""COMPUTED_VALUE"""),6.01459982E8)</f>
        <v>601459982</v>
      </c>
      <c r="N2257" s="222" t="str">
        <f>IFERROR(__xludf.DUMMYFUNCTION("""COMPUTED_VALUE"""),"PT ACERO CETHA METALINDO")</f>
        <v>PT ACERO CETHA METALINDO</v>
      </c>
      <c r="O2257" s="222" t="str">
        <f>IFERROR(__xludf.DUMMYFUNCTION("""COMPUTED_VALUE"""),"7. GOLIVE")</f>
        <v>7. GOLIVE</v>
      </c>
      <c r="P2257" s="222" t="str">
        <f>IFERROR(__xludf.DUMMYFUNCTION("""COMPUTED_VALUE"""),"7.2 Golive Full / OA / DONE OTB")</f>
        <v>7.2 Golive Full / OA / DONE OTB</v>
      </c>
      <c r="Q2257" s="222" t="str">
        <f>IFERROR(__xludf.DUMMYFUNCTION("""COMPUTED_VALUE"""),"(25/1) golive 25 jan 2026 (22/01) selesai fisik, data abd sdh masuk ke sdi menunggu golive, 21/01 PENGECORAN TUTUP HH FIT, (15/1) data sudah setor, HOLD Go Live -karena Perumahan masih kosong (09/01) PENGECORAN PRAM, 07/01 PERAPIHAN, 2/1/26 finish Instala"&amp;"si 30/12 OGP cor HHFIT, 23/12 OGP cor HHFIT, 04/12 OGP pasang pondasi ODP, 02/12 pasang pondasi ODP, 25/11 OGP las HHFIT, 20/11 OGP las HHFIT, 19/11 MAT ODP PEDESTAL SOLID  31 BLM ADA (14/11)TARIK KABEL DONE , MAT ODP PEDESTAL SOLID  31 BLM ADA (12/11) ma"&amp;"sih onprogress, 11/11 on progress 75%,hdpe 1450/1900 (08/11) PEKERJAAN 75% (3/11 )proses gali open 850/1900 ")</f>
        <v>(25/1) golive 25 jan 2026 (22/01) selesai fisik, data abd sdh masuk ke sdi menunggu golive, 21/01 PENGECORAN TUTUP HH FIT, (15/1) data sudah setor, HOLD Go Live -karena Perumahan masih kosong (09/01) PENGECORAN PRAM, 07/01 PERAPIHAN, 2/1/26 finish Instalasi 30/12 OGP cor HHFIT, 23/12 OGP cor HHFIT, 04/12 OGP pasang pondasi ODP, 02/12 pasang pondasi ODP, 25/11 OGP las HHFIT, 20/11 OGP las HHFIT, 19/11 MAT ODP PEDESTAL SOLID  31 BLM ADA (14/11)TARIK KABEL DONE , MAT ODP PEDESTAL SOLID  31 BLM ADA (12/11) masih onprogress, 11/11 on progress 75%,hdpe 1450/1900 (08/11) PEKERJAAN 75% (3/11 )proses gali open 850/1900 </v>
      </c>
      <c r="R2257" s="228"/>
      <c r="S2257" s="11"/>
      <c r="T2257" s="11"/>
      <c r="U2257" s="11"/>
      <c r="V2257" s="229" t="str">
        <f>IFERROR(__xludf.DUMMYFUNCTION("""COMPUTED_VALUE"""),"TEGAR")</f>
        <v>TEGAR</v>
      </c>
      <c r="W2257" s="229"/>
      <c r="X2257" s="229" t="str">
        <f>IFERROR(__xludf.DUMMYFUNCTION("""COMPUTED_VALUE"""),"GOLIVE")</f>
        <v>GOLIVE</v>
      </c>
      <c r="Y2257" s="229" t="str">
        <f>IFERROR(__xludf.DUMMYFUNCTION("""COMPUTED_VALUE"""),"DONE")</f>
        <v>DONE</v>
      </c>
      <c r="Z2257" s="229" t="str">
        <f>IFERROR(__xludf.DUMMYFUNCTION("""COMPUTED_VALUE"""),"#N/A")</f>
        <v>#N/A</v>
      </c>
      <c r="AA2257" s="229">
        <f>IFERROR(__xludf.DUMMYFUNCTION("""COMPUTED_VALUE"""),31.0)</f>
        <v>31</v>
      </c>
      <c r="AB2257" s="229"/>
      <c r="AC2257" s="229" t="str">
        <f>IFERROR(__xludf.DUMMYFUNCTION("""COMPUTED_VALUE"""),"9007232#9007246")</f>
        <v>9007232#9007246</v>
      </c>
      <c r="AD2257" s="232">
        <f>IFERROR(__xludf.DUMMYFUNCTION("""COMPUTED_VALUE"""),248.0)</f>
        <v>248</v>
      </c>
      <c r="AE2257" s="233">
        <f>IFERROR(__xludf.DUMMYFUNCTION("""COMPUTED_VALUE"""),46047.0)</f>
        <v>46047</v>
      </c>
      <c r="AF2257" s="54"/>
      <c r="AG2257" s="54"/>
      <c r="AH2257" s="54"/>
      <c r="AI2257" s="55" t="str">
        <f t="shared" si="212"/>
        <v/>
      </c>
      <c r="AW2257" s="234"/>
      <c r="BP2257" s="11"/>
      <c r="BQ2257" s="11"/>
      <c r="BV2257" s="158"/>
      <c r="BY2257" s="158"/>
      <c r="CB2257" s="158"/>
    </row>
    <row r="2258" ht="18.0" customHeight="1">
      <c r="A2258" s="222">
        <f>IFERROR(__xludf.DUMMYFUNCTION("""COMPUTED_VALUE"""),2026.0)</f>
        <v>2026</v>
      </c>
      <c r="B2258" s="221">
        <f>IFERROR(__xludf.DUMMYFUNCTION("""COMPUTED_VALUE"""),1.1286852E7)</f>
        <v>11286852</v>
      </c>
      <c r="C2258" s="222" t="str">
        <f>IFERROR(__xludf.DUMMYFUNCTION("""COMPUTED_VALUE"""),"RKP PT3 TSEL BTC-FDQ PERUM. ORIENTAL")</f>
        <v>RKP PT3 TSEL BTC-FDQ PERUM. ORIENTAL</v>
      </c>
      <c r="D2258" s="222" t="str">
        <f>IFERROR(__xludf.DUMMYFUNCTION("""COMPUTED_VALUE"""),"REGIONAL I")</f>
        <v>REGIONAL I</v>
      </c>
      <c r="E2258" s="222" t="str">
        <f>IFERROR(__xludf.DUMMYFUNCTION("""COMPUTED_VALUE"""),"RIKEP")</f>
        <v>RIKEP</v>
      </c>
      <c r="F2258" s="222" t="str">
        <f>IFERROR(__xludf.DUMMYFUNCTION("""COMPUTED_VALUE"""),"BTC")</f>
        <v>BTC</v>
      </c>
      <c r="G2258" s="222" t="str">
        <f>IFERROR(__xludf.DUMMYFUNCTION("""COMPUTED_VALUE"""),"SUMBAGTENG")</f>
        <v>SUMBAGTENG</v>
      </c>
      <c r="H2258" s="222" t="str">
        <f>IFERROR(__xludf.DUMMYFUNCTION("""COMPUTED_VALUE"""),"BATAM")</f>
        <v>BATAM</v>
      </c>
      <c r="I2258" s="222" t="str">
        <f>IFERROR(__xludf.DUMMYFUNCTION("""COMPUTED_VALUE"""),"Batch 3")</f>
        <v>Batch 3</v>
      </c>
      <c r="J2258" s="225">
        <f>IFERROR(__xludf.DUMMYFUNCTION("""COMPUTED_VALUE"""),5.0)</f>
        <v>5</v>
      </c>
      <c r="K2258" s="224">
        <f>IFERROR(__xludf.DUMMYFUNCTION("""COMPUTED_VALUE"""),40.0)</f>
        <v>40</v>
      </c>
      <c r="L2258" s="226">
        <f>IFERROR(__xludf.DUMMYFUNCTION("""COMPUTED_VALUE"""),2422335.0)</f>
        <v>2422335</v>
      </c>
      <c r="M2258" s="227">
        <f>IFERROR(__xludf.DUMMYFUNCTION("""COMPUTED_VALUE"""),9.6893395E7)</f>
        <v>96893395</v>
      </c>
      <c r="N2258" s="222" t="str">
        <f>IFERROR(__xludf.DUMMYFUNCTION("""COMPUTED_VALUE"""),"PT SINAR KEPRI SEJAHTERA")</f>
        <v>PT SINAR KEPRI SEJAHTERA</v>
      </c>
      <c r="O2258" s="222" t="str">
        <f>IFERROR(__xludf.DUMMYFUNCTION("""COMPUTED_VALUE"""),"0. DROP")</f>
        <v>0. DROP</v>
      </c>
      <c r="P2258" s="222" t="str">
        <f>IFERROR(__xludf.DUMMYFUNCTION("""COMPUTED_VALUE"""),"0.1 Double Order")</f>
        <v>0.1 Double Order</v>
      </c>
      <c r="Q2258" s="222" t="str">
        <f>IFERROR(__xludf.DUMMYFUNCTION("""COMPUTED_VALUE"""),"21/01 sudah BAST di 2025")</f>
        <v>21/01 sudah BAST di 2025</v>
      </c>
      <c r="R2258" s="228"/>
      <c r="S2258" s="11"/>
      <c r="T2258" s="11"/>
      <c r="U2258" s="11"/>
      <c r="V2258" s="229" t="str">
        <f>IFERROR(__xludf.DUMMYFUNCTION("""COMPUTED_VALUE"""),"GANI PRASTYO")</f>
        <v>GANI PRASTYO</v>
      </c>
      <c r="W2258" s="229"/>
      <c r="X2258" s="229"/>
      <c r="Y2258" s="229"/>
      <c r="Z2258" s="229" t="str">
        <f>IFERROR(__xludf.DUMMYFUNCTION("""COMPUTED_VALUE"""),"#N/A")</f>
        <v>#N/A</v>
      </c>
      <c r="AA2258" s="229"/>
      <c r="AB2258" s="229"/>
      <c r="AC2258" s="229"/>
      <c r="AD2258" s="232"/>
      <c r="AE2258" s="233"/>
      <c r="AF2258" s="54" t="str">
        <f>IFERROR(__xludf.DUMMYFUNCTION("""COMPUTED_VALUE"""),"Draft BA DROP")</f>
        <v>Draft BA DROP</v>
      </c>
      <c r="AG2258" s="54"/>
      <c r="AH2258" s="54"/>
      <c r="AI2258" s="55" t="str">
        <f t="shared" si="212"/>
        <v/>
      </c>
      <c r="AW2258" s="234"/>
      <c r="BP2258" s="11"/>
      <c r="BQ2258" s="11"/>
      <c r="BV2258" s="158"/>
      <c r="BY2258" s="158"/>
      <c r="CB2258" s="158"/>
    </row>
    <row r="2259" ht="18.0" customHeight="1">
      <c r="A2259" s="222">
        <f>IFERROR(__xludf.DUMMYFUNCTION("""COMPUTED_VALUE"""),2026.0)</f>
        <v>2026</v>
      </c>
      <c r="B2259" s="221">
        <f>IFERROR(__xludf.DUMMYFUNCTION("""COMPUTED_VALUE"""),1.1407743E7)</f>
        <v>11407743</v>
      </c>
      <c r="C2259" s="222" t="str">
        <f>IFERROR(__xludf.DUMMYFUNCTION("""COMPUTED_VALUE"""),"SMB MD MUARA GADANG BARAT")</f>
        <v>SMB MD MUARA GADANG BARAT</v>
      </c>
      <c r="D2259" s="222" t="str">
        <f>IFERROR(__xludf.DUMMYFUNCTION("""COMPUTED_VALUE"""),"REGIONAL I")</f>
        <v>REGIONAL I</v>
      </c>
      <c r="E2259" s="222" t="str">
        <f>IFERROR(__xludf.DUMMYFUNCTION("""COMPUTED_VALUE"""),"SUMBAR")</f>
        <v>SUMBAR</v>
      </c>
      <c r="F2259" s="222" t="str">
        <f>IFERROR(__xludf.DUMMYFUNCTION("""COMPUTED_VALUE"""),"BLS")</f>
        <v>BLS</v>
      </c>
      <c r="G2259" s="222" t="str">
        <f>IFERROR(__xludf.DUMMYFUNCTION("""COMPUTED_VALUE"""),"SUMBAGTENG")</f>
        <v>SUMBAGTENG</v>
      </c>
      <c r="H2259" s="222" t="str">
        <f>IFERROR(__xludf.DUMMYFUNCTION("""COMPUTED_VALUE"""),"PADANG")</f>
        <v>PADANG</v>
      </c>
      <c r="I2259" s="222" t="str">
        <f>IFERROR(__xludf.DUMMYFUNCTION("""COMPUTED_VALUE"""),"Batch 3")</f>
        <v>Batch 3</v>
      </c>
      <c r="J2259" s="225">
        <f>IFERROR(__xludf.DUMMYFUNCTION("""COMPUTED_VALUE"""),14.0)</f>
        <v>14</v>
      </c>
      <c r="K2259" s="224">
        <f>IFERROR(__xludf.DUMMYFUNCTION("""COMPUTED_VALUE"""),112.0)</f>
        <v>112</v>
      </c>
      <c r="L2259" s="226">
        <f>IFERROR(__xludf.DUMMYFUNCTION("""COMPUTED_VALUE"""),2358418.0)</f>
        <v>2358418</v>
      </c>
      <c r="M2259" s="227">
        <f>IFERROR(__xludf.DUMMYFUNCTION("""COMPUTED_VALUE"""),2.64142767E8)</f>
        <v>264142767</v>
      </c>
      <c r="N2259" s="222" t="str">
        <f>IFERROR(__xludf.DUMMYFUNCTION("""COMPUTED_VALUE"""),"PT TANJUNG PUTRA PRIMA")</f>
        <v>PT TANJUNG PUTRA PRIMA</v>
      </c>
      <c r="O2259" s="222" t="str">
        <f>IFERROR(__xludf.DUMMYFUNCTION("""COMPUTED_VALUE"""),"8. UJI TERIMA")</f>
        <v>8. UJI TERIMA</v>
      </c>
      <c r="P2259" s="222" t="str">
        <f>IFERROR(__xludf.DUMMYFUNCTION("""COMPUTED_VALUE"""),"8.1 Proses UT")</f>
        <v>8.1 Proses UT</v>
      </c>
      <c r="Q2259" s="222" t="str">
        <f>IFERROR(__xludf.DUMMYFUNCTION("""COMPUTED_VALUE"""),"26/11 : Terminasi 21/11 : Penarikan kabel 18/11 : tanam tiang  25/09 : matdel ke site (nunggu PID)")</f>
        <v>26/11 : Terminasi 21/11 : Penarikan kabel 18/11 : tanam tiang  25/09 : matdel ke site (nunggu PID)</v>
      </c>
      <c r="R2259" s="228"/>
      <c r="S2259" s="11"/>
      <c r="T2259" s="11"/>
      <c r="U2259" s="11"/>
      <c r="V2259" s="229" t="str">
        <f>IFERROR(__xludf.DUMMYFUNCTION("""COMPUTED_VALUE"""),"FAISAL NURHAMDI")</f>
        <v>FAISAL NURHAMDI</v>
      </c>
      <c r="W2259" s="229" t="str">
        <f>IFERROR(__xludf.DUMMYFUNCTION("""COMPUTED_VALUE"""),"MELKO NARWADI")</f>
        <v>MELKO NARWADI</v>
      </c>
      <c r="X2259" s="229" t="str">
        <f>IFERROR(__xludf.DUMMYFUNCTION("""COMPUTED_VALUE"""),"GOLIVE")</f>
        <v>GOLIVE</v>
      </c>
      <c r="Y2259" s="229" t="str">
        <f>IFERROR(__xludf.DUMMYFUNCTION("""COMPUTED_VALUE"""),"DONE")</f>
        <v>DONE</v>
      </c>
      <c r="Z2259" s="229" t="str">
        <f>IFERROR(__xludf.DUMMYFUNCTION("""COMPUTED_VALUE"""),"#N/A")</f>
        <v>#N/A</v>
      </c>
      <c r="AA2259" s="229">
        <f>IFERROR(__xludf.DUMMYFUNCTION("""COMPUTED_VALUE"""),23.0)</f>
        <v>23</v>
      </c>
      <c r="AB2259" s="229"/>
      <c r="AC2259" s="229" t="str">
        <f>IFERROR(__xludf.DUMMYFUNCTION("""COMPUTED_VALUE"""),"9007185#9007191")</f>
        <v>9007185#9007191</v>
      </c>
      <c r="AD2259" s="232">
        <f>IFERROR(__xludf.DUMMYFUNCTION("""COMPUTED_VALUE"""),184.0)</f>
        <v>184</v>
      </c>
      <c r="AE2259" s="233">
        <f>IFERROR(__xludf.DUMMYFUNCTION("""COMPUTED_VALUE"""),46046.0)</f>
        <v>46046</v>
      </c>
      <c r="AF2259" s="54"/>
      <c r="AG2259" s="54"/>
      <c r="AH2259" s="54"/>
      <c r="AI2259" s="55" t="str">
        <f t="shared" si="212"/>
        <v/>
      </c>
      <c r="AW2259" s="234"/>
      <c r="BP2259" s="11"/>
      <c r="BQ2259" s="11"/>
      <c r="BV2259" s="158"/>
      <c r="BY2259" s="158"/>
      <c r="CB2259" s="158"/>
    </row>
    <row r="2260" ht="18.0" customHeight="1">
      <c r="A2260" s="222">
        <f>IFERROR(__xludf.DUMMYFUNCTION("""COMPUTED_VALUE"""),2026.0)</f>
        <v>2026</v>
      </c>
      <c r="B2260" s="221">
        <f>IFERROR(__xludf.DUMMYFUNCTION("""COMPUTED_VALUE"""),1.180048E7)</f>
        <v>11800480</v>
      </c>
      <c r="C2260" s="222" t="str">
        <f>IFERROR(__xludf.DUMMYFUNCTION("""COMPUTED_VALUE"""),"RKP TSEL PT3 BTC-FEH CLUSTER PHOENIX UV2")</f>
        <v>RKP TSEL PT3 BTC-FEH CLUSTER PHOENIX UV2</v>
      </c>
      <c r="D2260" s="222" t="str">
        <f>IFERROR(__xludf.DUMMYFUNCTION("""COMPUTED_VALUE"""),"REGIONAL I")</f>
        <v>REGIONAL I</v>
      </c>
      <c r="E2260" s="222" t="str">
        <f>IFERROR(__xludf.DUMMYFUNCTION("""COMPUTED_VALUE"""),"RIKEP")</f>
        <v>RIKEP</v>
      </c>
      <c r="F2260" s="222" t="str">
        <f>IFERROR(__xludf.DUMMYFUNCTION("""COMPUTED_VALUE"""),"BTC")</f>
        <v>BTC</v>
      </c>
      <c r="G2260" s="222" t="str">
        <f>IFERROR(__xludf.DUMMYFUNCTION("""COMPUTED_VALUE"""),"SUMBAGTENG")</f>
        <v>SUMBAGTENG</v>
      </c>
      <c r="H2260" s="222" t="str">
        <f>IFERROR(__xludf.DUMMYFUNCTION("""COMPUTED_VALUE"""),"BATAM")</f>
        <v>BATAM</v>
      </c>
      <c r="I2260" s="222" t="str">
        <f>IFERROR(__xludf.DUMMYFUNCTION("""COMPUTED_VALUE"""),"Batch 3")</f>
        <v>Batch 3</v>
      </c>
      <c r="J2260" s="225">
        <f>IFERROR(__xludf.DUMMYFUNCTION("""COMPUTED_VALUE"""),8.0)</f>
        <v>8</v>
      </c>
      <c r="K2260" s="224">
        <f>IFERROR(__xludf.DUMMYFUNCTION("""COMPUTED_VALUE"""),64.0)</f>
        <v>64</v>
      </c>
      <c r="L2260" s="226">
        <f>IFERROR(__xludf.DUMMYFUNCTION("""COMPUTED_VALUE"""),2330202.0)</f>
        <v>2330202</v>
      </c>
      <c r="M2260" s="227">
        <f>IFERROR(__xludf.DUMMYFUNCTION("""COMPUTED_VALUE"""),1.49132922E8)</f>
        <v>149132922</v>
      </c>
      <c r="N2260" s="222" t="str">
        <f>IFERROR(__xludf.DUMMYFUNCTION("""COMPUTED_VALUE"""),"PT MITRA SETIA INDONESIA")</f>
        <v>PT MITRA SETIA INDONESIA</v>
      </c>
      <c r="O2260" s="222" t="str">
        <f>IFERROR(__xludf.DUMMYFUNCTION("""COMPUTED_VALUE"""),"0. DROP")</f>
        <v>0. DROP</v>
      </c>
      <c r="P2260" s="222" t="str">
        <f>IFERROR(__xludf.DUMMYFUNCTION("""COMPUTED_VALUE"""),"0.1 Double Order")</f>
        <v>0.1 Double Order</v>
      </c>
      <c r="Q2260" s="222" t="str">
        <f>IFERROR(__xludf.DUMMYFUNCTION("""COMPUTED_VALUE"""),"21/01 sudah BAST di 2025")</f>
        <v>21/01 sudah BAST di 2025</v>
      </c>
      <c r="R2260" s="228"/>
      <c r="S2260" s="11"/>
      <c r="T2260" s="11"/>
      <c r="U2260" s="11"/>
      <c r="V2260" s="229" t="str">
        <f>IFERROR(__xludf.DUMMYFUNCTION("""COMPUTED_VALUE"""),"GANI PRASTYO")</f>
        <v>GANI PRASTYO</v>
      </c>
      <c r="W2260" s="229"/>
      <c r="X2260" s="229"/>
      <c r="Y2260" s="229"/>
      <c r="Z2260" s="229" t="str">
        <f>IFERROR(__xludf.DUMMYFUNCTION("""COMPUTED_VALUE"""),"#N/A")</f>
        <v>#N/A</v>
      </c>
      <c r="AA2260" s="229"/>
      <c r="AB2260" s="229"/>
      <c r="AC2260" s="229"/>
      <c r="AD2260" s="232"/>
      <c r="AE2260" s="233"/>
      <c r="AF2260" s="54" t="str">
        <f>IFERROR(__xludf.DUMMYFUNCTION("""COMPUTED_VALUE"""),"Draft BA DROP")</f>
        <v>Draft BA DROP</v>
      </c>
      <c r="AG2260" s="54"/>
      <c r="AH2260" s="54"/>
      <c r="AI2260" s="55" t="str">
        <f t="shared" si="212"/>
        <v/>
      </c>
      <c r="AW2260" s="234"/>
      <c r="BP2260" s="11"/>
      <c r="BQ2260" s="11"/>
      <c r="BV2260" s="158"/>
      <c r="BY2260" s="158"/>
      <c r="CB2260" s="158"/>
    </row>
    <row r="2261" ht="18.0" hidden="1" customHeight="1">
      <c r="A2261" s="222">
        <f>IFERROR(__xludf.DUMMYFUNCTION("""COMPUTED_VALUE"""),2026.0)</f>
        <v>2026</v>
      </c>
      <c r="B2261" s="221">
        <f>IFERROR(__xludf.DUMMYFUNCTION("""COMPUTED_VALUE"""),1.1234062E7)</f>
        <v>11234062</v>
      </c>
      <c r="C2261" s="222" t="str">
        <f>IFERROR(__xludf.DUMMYFUNCTION("""COMPUTED_VALUE"""),"SMS P1I1 PT4 LLG087 TMO FXX MARGA SAKTI")</f>
        <v>SMS P1I1 PT4 LLG087 TMO FXX MARGA SAKTI</v>
      </c>
      <c r="D2261" s="222" t="str">
        <f>IFERROR(__xludf.DUMMYFUNCTION("""COMPUTED_VALUE"""),"REGIONAL I")</f>
        <v>REGIONAL I</v>
      </c>
      <c r="E2261" s="222" t="str">
        <f>IFERROR(__xludf.DUMMYFUNCTION("""COMPUTED_VALUE"""),"SUMSEL")</f>
        <v>SUMSEL</v>
      </c>
      <c r="F2261" s="222" t="str">
        <f>IFERROR(__xludf.DUMMYFUNCTION("""COMPUTED_VALUE"""),"LLG")</f>
        <v>LLG</v>
      </c>
      <c r="G2261" s="222" t="str">
        <f>IFERROR(__xludf.DUMMYFUNCTION("""COMPUTED_VALUE"""),"SUMBAGSEL")</f>
        <v>SUMBAGSEL</v>
      </c>
      <c r="H2261" s="222" t="str">
        <f>IFERROR(__xludf.DUMMYFUNCTION("""COMPUTED_VALUE"""),"PALEMBANG")</f>
        <v>PALEMBANG</v>
      </c>
      <c r="I2261" s="222" t="str">
        <f>IFERROR(__xludf.DUMMYFUNCTION("""COMPUTED_VALUE"""),"Batch 3")</f>
        <v>Batch 3</v>
      </c>
      <c r="J2261" s="225">
        <f>IFERROR(__xludf.DUMMYFUNCTION("""COMPUTED_VALUE"""),16.0)</f>
        <v>16</v>
      </c>
      <c r="K2261" s="224">
        <f>IFERROR(__xludf.DUMMYFUNCTION("""COMPUTED_VALUE"""),128.0)</f>
        <v>128</v>
      </c>
      <c r="L2261" s="226">
        <f>IFERROR(__xludf.DUMMYFUNCTION("""COMPUTED_VALUE"""),2328709.0)</f>
        <v>2328709</v>
      </c>
      <c r="M2261" s="227">
        <f>IFERROR(__xludf.DUMMYFUNCTION("""COMPUTED_VALUE"""),2.98074747E8)</f>
        <v>298074747</v>
      </c>
      <c r="N2261" s="222" t="str">
        <f>IFERROR(__xludf.DUMMYFUNCTION("""COMPUTED_VALUE"""),"PT HAN SUNG INDONESIA")</f>
        <v>PT HAN SUNG INDONESIA</v>
      </c>
      <c r="O2261" s="222" t="str">
        <f>IFERROR(__xludf.DUMMYFUNCTION("""COMPUTED_VALUE"""),"0. DROP")</f>
        <v>0. DROP</v>
      </c>
      <c r="P2261" s="222" t="str">
        <f>IFERROR(__xludf.DUMMYFUNCTION("""COMPUTED_VALUE"""),"0.1 Double Order")</f>
        <v>0.1 Double Order</v>
      </c>
      <c r="Q2261" s="222" t="str">
        <f>IFERROR(__xludf.DUMMYFUNCTION("""COMPUTED_VALUE"""),"24/02 Sudah golive &amp; BAST di 2025 21/01 Sudah golive &amp; BAST di 2025, 05/12 DONE UT, 20/11 KABEL UPLINK PERLU REPAIR 17/11 KABEL UPLINK PERLU REPAIR , PLAN SELESAI UPLINK 17 NOV (14/11) KABEL UPLINK PERLU REPAIR , PLAN SELESAI UPLINK 17 NOV (04/11) selesai"&amp;" fisik, meunggu intergasi mini olt (08/10) selesai fisik, meunggu intergasi mini olt
 (01/10) selesai fisik, meunggu intergasi mini olt
 25/09 ogp tarik kabel, dan menunggu pengecekan kabel uplink dan jadwal intergasi mini olt 24/09 selesai fisik, menungg"&amp;"u mini olt 
 (19/09) proses pemasangan odp dan pemasangan odc
 (16/9) penarikan kabel 2080/3360(29/08) menunngu material tiang datang dari pabrik ke gudang TA
 (25/08) hasil negosiiasi dg kades meminta kompensasi untk berkoordinasi dg ED terakit nilai com"&amp;"case
 (19/08) belum ada jadwal dg sales untuk jovis dg kades untuk izin kerja
 (14/08) lagi berkoordinasi dg pihak sales tsel untuk bantu izin ke kades setempat
 (31/07) hasil negosisai masih belum d acc dri pihak kades dan jajaranya terkait comcase pemba"&amp;"ngunan jarinag telkom
 (24/07) hasil negosisai masih belum d acc dri pihak kades dan jajaranya terkait comcase pembangunan jarinag telkom
 (15/07) hasil pertemuan dg kades dimana dari pihak kades meminta kompensasi 25 jt untuk pemasangan alpro telkom, mas"&amp;"ih mau d negosiasikan kembali
 (03/07) belum ada info lbh lanjut dari kades
 (01/07) dri pihak kades setempat belum ada info untuk progres pembangunan jaringan telkom(25/06) belum ada update terbaru dari pihak kades terkait izin pemasangan jaringan telkom"&amp;"
 (30/06) dri pihak kades setempat belum ada info untuk progres pembangunan jaringan telkom(25/06) belum ada update terbaru dari pihak kades terkait izin pemasangan jaringan telkom
 (17/06)Kades Belum Mengizinkan karena menunggu musyawarah Perangkat Desa
"&amp;" (20/05) Proses Perizinan Perangkat Desa 
 (05/05) Material proses create PR/PO")</f>
        <v>24/02 Sudah golive &amp; BAST di 2025 21/01 Sudah golive &amp; BAST di 2025, 05/12 DONE UT, 20/11 KABEL UPLINK PERLU REPAIR 17/11 KABEL UPLINK PERLU REPAIR , PLAN SELESAI UPLINK 17 NOV (14/11) KABEL UPLINK PERLU REPAIR , PLAN SELESAI UPLINK 17 NOV (04/11) selesai fisik, meunggu intergasi mini olt (08/10) selesai fisik, meunggu intergasi mini olt
 (01/10) selesai fisik, meunggu intergasi mini olt
 25/09 ogp tarik kabel, dan menunggu pengecekan kabel uplink dan jadwal intergasi mini olt 24/09 selesai fisik, menunggu mini olt 
 (19/09) proses pemasangan odp dan pemasangan odc
 (16/9) penarikan kabel 2080/3360(29/08) menunngu material tiang datang dari pabrik ke gudang TA
 (25/08) hasil negosiiasi dg kades meminta kompensasi untk berkoordinasi dg ED terakit nilai comcase
 (19/08) belum ada jadwal dg sales untuk jovis dg kades untuk izin kerja
 (14/08) lagi berkoordinasi dg pihak sales tsel untuk bantu izin ke kades setempat
 (31/07) hasil negosisai masih belum d acc dri pihak kades dan jajaranya terkait comcase pembangunan jarinag telkom
 (24/07) hasil negosisai masih belum d acc dri pihak kades dan jajaranya terkait comcase pembangunan jarinag telkom
 (15/07) hasil pertemuan dg kades dimana dari pihak kades meminta kompensasi 25 jt untuk pemasangan alpro telkom, masih mau d negosiasikan kembali
 (03/07) belum ada info lbh lanjut dari kades
 (01/07) dri pihak kades setempat belum ada info untuk progres pembangunan jaringan telkom(25/06) belum ada update terbaru dari pihak kades terkait izin pemasangan jaringan telkom
 (30/06) dri pihak kades setempat belum ada info untuk progres pembangunan jaringan telkom(25/06) belum ada update terbaru dari pihak kades terkait izin pemasangan jaringan telkom
 (17/06)Kades Belum Mengizinkan karena menunggu musyawarah Perangkat Desa
 (20/05) Proses Perizinan Perangkat Desa 
 (05/05) Material proses create PR/PO</v>
      </c>
      <c r="R2261" s="228"/>
      <c r="S2261" s="11"/>
      <c r="T2261" s="11"/>
      <c r="U2261" s="11"/>
      <c r="V2261" s="229" t="str">
        <f>IFERROR(__xludf.DUMMYFUNCTION("""COMPUTED_VALUE"""),"WIJAYA")</f>
        <v>WIJAYA</v>
      </c>
      <c r="W2261" s="229"/>
      <c r="X2261" s="229"/>
      <c r="Y2261" s="229"/>
      <c r="Z2261" s="229" t="str">
        <f>IFERROR(__xludf.DUMMYFUNCTION("""COMPUTED_VALUE"""),"5. Done Integrasi")</f>
        <v>5. Done Integrasi</v>
      </c>
      <c r="AA2261" s="229"/>
      <c r="AB2261" s="229"/>
      <c r="AC2261" s="229"/>
      <c r="AD2261" s="232"/>
      <c r="AE2261" s="233"/>
      <c r="AF2261" s="54" t="str">
        <f>IFERROR(__xludf.DUMMYFUNCTION("""COMPUTED_VALUE"""),"Draft BA DROP")</f>
        <v>Draft BA DROP</v>
      </c>
      <c r="AG2261" s="54"/>
      <c r="AH2261" s="54">
        <v>46141.0</v>
      </c>
      <c r="AI2261" s="237">
        <f>AH2261-NOW()</f>
        <v>0.6220100579</v>
      </c>
      <c r="AJ2261" s="229" t="str">
        <f t="shared" ref="AJ2261:AJ2262" si="213">if(AI2261&gt;=0,"In Komitmen","Out Komitmen")</f>
        <v>In Komitmen</v>
      </c>
      <c r="AK2261" s="229" t="s">
        <v>199</v>
      </c>
      <c r="AW2261" s="234"/>
      <c r="BP2261" s="11"/>
      <c r="BQ2261" s="11"/>
      <c r="BV2261" s="158"/>
      <c r="BY2261" s="158"/>
      <c r="CB2261" s="158"/>
    </row>
    <row r="2262" ht="18.0" customHeight="1">
      <c r="A2262" s="222">
        <f>IFERROR(__xludf.DUMMYFUNCTION("""COMPUTED_VALUE"""),2026.0)</f>
        <v>2026</v>
      </c>
      <c r="B2262" s="221">
        <f>IFERROR(__xludf.DUMMYFUNCTION("""COMPUTED_VALUE"""),1.1130923E7)</f>
        <v>11130923</v>
      </c>
      <c r="C2262" s="222" t="str">
        <f>IFERROR(__xludf.DUMMYFUNCTION("""COMPUTED_VALUE"""),"RDR JPP PT4 Jl, Lintas Siak-Perawang KM")</f>
        <v>RDR JPP PT4 Jl, Lintas Siak-Perawang KM</v>
      </c>
      <c r="D2262" s="222" t="str">
        <f>IFERROR(__xludf.DUMMYFUNCTION("""COMPUTED_VALUE"""),"REGIONAL I")</f>
        <v>REGIONAL I</v>
      </c>
      <c r="E2262" s="222" t="str">
        <f>IFERROR(__xludf.DUMMYFUNCTION("""COMPUTED_VALUE"""),"RIDAR")</f>
        <v>RIDAR</v>
      </c>
      <c r="F2262" s="222" t="str">
        <f>IFERROR(__xludf.DUMMYFUNCTION("""COMPUTED_VALUE"""),"PWG")</f>
        <v>PWG</v>
      </c>
      <c r="G2262" s="222" t="str">
        <f>IFERROR(__xludf.DUMMYFUNCTION("""COMPUTED_VALUE"""),"SUMBAGTENG")</f>
        <v>SUMBAGTENG</v>
      </c>
      <c r="H2262" s="222" t="str">
        <f>IFERROR(__xludf.DUMMYFUNCTION("""COMPUTED_VALUE"""),"PEKANBARU")</f>
        <v>PEKANBARU</v>
      </c>
      <c r="I2262" s="222" t="str">
        <f>IFERROR(__xludf.DUMMYFUNCTION("""COMPUTED_VALUE"""),"Batch 3")</f>
        <v>Batch 3</v>
      </c>
      <c r="J2262" s="225">
        <f>IFERROR(__xludf.DUMMYFUNCTION("""COMPUTED_VALUE"""),36.0)</f>
        <v>36</v>
      </c>
      <c r="K2262" s="224">
        <f>IFERROR(__xludf.DUMMYFUNCTION("""COMPUTED_VALUE"""),288.0)</f>
        <v>288</v>
      </c>
      <c r="L2262" s="226">
        <f>IFERROR(__xludf.DUMMYFUNCTION("""COMPUTED_VALUE"""),2326706.0)</f>
        <v>2326706</v>
      </c>
      <c r="M2262" s="227">
        <f>IFERROR(__xludf.DUMMYFUNCTION("""COMPUTED_VALUE"""),6.70091233E8)</f>
        <v>670091233</v>
      </c>
      <c r="N2262" s="222" t="str">
        <f>IFERROR(__xludf.DUMMYFUNCTION("""COMPUTED_VALUE"""),"PT TRIPOLA PANATA")</f>
        <v>PT TRIPOLA PANATA</v>
      </c>
      <c r="O2262" s="222" t="str">
        <f>IFERROR(__xludf.DUMMYFUNCTION("""COMPUTED_VALUE"""),"5. INSTALASI")</f>
        <v>5. INSTALASI</v>
      </c>
      <c r="P2262" s="222" t="str">
        <f>IFERROR(__xludf.DUMMYFUNCTION("""COMPUTED_VALUE"""),"5.3 Proses Gali/Rojok - Paralel Comcase/Perjinan PU")</f>
        <v>5.3 Proses Gali/Rojok - Paralel Comcase/Perjinan PU</v>
      </c>
      <c r="Q2262" s="222" t="str">
        <f>IFERROR(__xludf.DUMMYFUNCTION("""COMPUTED_VALUE"""),"20/04 Masih menunggu izin dari PU Nasional 06/04 Masih menunggu izin dari PU Nasional 27/03 Masih menunggu izin dari PU Nasional, Pihak PU Baru selesai perbaikan jalan jadi belum boleh ada aktivitas 16/03 Masih menunggu izin dari PU Nasional 05/03 Menungg"&amp;"u Izin PU Nasional 10/02 Menunggu Izin PU Nasional")</f>
        <v>20/04 Masih menunggu izin dari PU Nasional 06/04 Masih menunggu izin dari PU Nasional 27/03 Masih menunggu izin dari PU Nasional, Pihak PU Baru selesai perbaikan jalan jadi belum boleh ada aktivitas 16/03 Masih menunggu izin dari PU Nasional 05/03 Menunggu Izin PU Nasional 10/02 Menunggu Izin PU Nasional</v>
      </c>
      <c r="R2262" s="228"/>
      <c r="S2262" s="11"/>
      <c r="T2262" s="73" t="str">
        <f>IFERROR(__xludf.DUMMYFUNCTION("""COMPUTED_VALUE"""),"P1")</f>
        <v>P1</v>
      </c>
      <c r="U2262" s="11"/>
      <c r="V2262" s="229" t="str">
        <f>IFERROR(__xludf.DUMMYFUNCTION("""COMPUTED_VALUE"""),"FIRDAUS ZULKARNAIEN")</f>
        <v>FIRDAUS ZULKARNAIEN</v>
      </c>
      <c r="W2262" s="229" t="str">
        <f>IFERROR(__xludf.DUMMYFUNCTION("""COMPUTED_VALUE"""),"ANZALA SAKINAH")</f>
        <v>ANZALA SAKINAH</v>
      </c>
      <c r="X2262" s="229"/>
      <c r="Y2262" s="229"/>
      <c r="Z2262" s="229" t="str">
        <f>IFERROR(__xludf.DUMMYFUNCTION("""COMPUTED_VALUE"""),"5. Done Integrasi")</f>
        <v>5. Done Integrasi</v>
      </c>
      <c r="AA2262" s="229"/>
      <c r="AB2262" s="229"/>
      <c r="AC2262" s="229"/>
      <c r="AD2262" s="232"/>
      <c r="AE2262" s="233"/>
      <c r="AF2262" s="54"/>
      <c r="AG2262" s="54"/>
      <c r="AH2262" s="54">
        <v>46142.0</v>
      </c>
      <c r="AI2262" s="55">
        <f>AH2262-TODAY()</f>
        <v>2</v>
      </c>
      <c r="AJ2262" s="229" t="str">
        <f t="shared" si="213"/>
        <v>In Komitmen</v>
      </c>
      <c r="AK2262" s="231" t="s">
        <v>199</v>
      </c>
      <c r="AW2262" s="234"/>
      <c r="BP2262" s="11"/>
      <c r="BQ2262" s="11"/>
      <c r="BV2262" s="158"/>
      <c r="BY2262" s="158"/>
      <c r="CB2262" s="158"/>
    </row>
    <row r="2263" ht="18.0" hidden="1" customHeight="1">
      <c r="A2263" s="222">
        <f>IFERROR(__xludf.DUMMYFUNCTION("""COMPUTED_VALUE"""),2026.0)</f>
        <v>2026</v>
      </c>
      <c r="B2263" s="221">
        <f>IFERROR(__xludf.DUMMYFUNCTION("""COMPUTED_VALUE"""),1.1986699E7)</f>
        <v>11986699</v>
      </c>
      <c r="C2263" s="222" t="str">
        <f>IFERROR(__xludf.DUMMYFUNCTION("""COMPUTED_VALUE"""),"BBL PT3 P3I2 Jl Sambas")</f>
        <v>BBL PT3 P3I2 Jl Sambas</v>
      </c>
      <c r="D2263" s="222" t="str">
        <f>IFERROR(__xludf.DUMMYFUNCTION("""COMPUTED_VALUE"""),"REGIONAL I")</f>
        <v>REGIONAL I</v>
      </c>
      <c r="E2263" s="222" t="str">
        <f>IFERROR(__xludf.DUMMYFUNCTION("""COMPUTED_VALUE"""),"BABEL")</f>
        <v>BABEL</v>
      </c>
      <c r="F2263" s="222" t="str">
        <f>IFERROR(__xludf.DUMMYFUNCTION("""COMPUTED_VALUE"""),"TJN")</f>
        <v>TJN</v>
      </c>
      <c r="G2263" s="222" t="str">
        <f>IFERROR(__xludf.DUMMYFUNCTION("""COMPUTED_VALUE"""),"SUMBAGSEL")</f>
        <v>SUMBAGSEL</v>
      </c>
      <c r="H2263" s="222" t="str">
        <f>IFERROR(__xludf.DUMMYFUNCTION("""COMPUTED_VALUE"""),"PANGKAL PINANG")</f>
        <v>PANGKAL PINANG</v>
      </c>
      <c r="I2263" s="222" t="str">
        <f>IFERROR(__xludf.DUMMYFUNCTION("""COMPUTED_VALUE"""),"Batch 3")</f>
        <v>Batch 3</v>
      </c>
      <c r="J2263" s="225">
        <f>IFERROR(__xludf.DUMMYFUNCTION("""COMPUTED_VALUE"""),3.0)</f>
        <v>3</v>
      </c>
      <c r="K2263" s="224">
        <f>IFERROR(__xludf.DUMMYFUNCTION("""COMPUTED_VALUE"""),24.0)</f>
        <v>24</v>
      </c>
      <c r="L2263" s="226">
        <f>IFERROR(__xludf.DUMMYFUNCTION("""COMPUTED_VALUE"""),2298769.0)</f>
        <v>2298769</v>
      </c>
      <c r="M2263" s="227">
        <f>IFERROR(__xludf.DUMMYFUNCTION("""COMPUTED_VALUE"""),5.5170434E7)</f>
        <v>55170434</v>
      </c>
      <c r="N2263" s="222" t="str">
        <f>IFERROR(__xludf.DUMMYFUNCTION("""COMPUTED_VALUE"""),"PT Raharja Prakarsa Nusantara")</f>
        <v>PT Raharja Prakarsa Nusantara</v>
      </c>
      <c r="O2263" s="222" t="str">
        <f>IFERROR(__xludf.DUMMYFUNCTION("""COMPUTED_VALUE"""),"7. GOLIVE")</f>
        <v>7. GOLIVE</v>
      </c>
      <c r="P2263" s="222" t="str">
        <f>IFERROR(__xludf.DUMMYFUNCTION("""COMPUTED_VALUE"""),"7.2 Golive Full / OA / DONE OTB")</f>
        <v>7.2 Golive Full / OA / DONE OTB</v>
      </c>
      <c r="Q2263" s="222" t="str">
        <f>IFERROR(__xludf.DUMMYFUNCTION("""COMPUTED_VALUE"""),"(28/1) golive hold 31 jan sesuai permintaan tsel 06/01 finish instalasi (05/01) progres instalasi ODP (02/01) perapian tiang, pelebelan tiang, pengecoran tiang (16/12) tarik kabel done 28/11 tanam 15 tiang done, penarikan kabel 12D 750 done (27/11) sudah "&amp;"ambil material (26/11) request material (25/11) sudah bisa request, DRM done (24/11) created PID done (21/11) created PID kendala budget (14/11) proses created PID (13/11) selesai anwijzing (5/11) Penunjukan mitra")</f>
        <v>(28/1) golive hold 31 jan sesuai permintaan tsel 06/01 finish instalasi (05/01) progres instalasi ODP (02/01) perapian tiang, pelebelan tiang, pengecoran tiang (16/12) tarik kabel done 28/11 tanam 15 tiang done, penarikan kabel 12D 750 done (27/11) sudah ambil material (26/11) request material (25/11) sudah bisa request, DRM done (24/11) created PID done (21/11) created PID kendala budget (14/11) proses created PID (13/11) selesai anwijzing (5/11) Penunjukan mitra</v>
      </c>
      <c r="R2263" s="228"/>
      <c r="S2263" s="11"/>
      <c r="T2263" s="11"/>
      <c r="U2263" s="11"/>
      <c r="V2263" s="229"/>
      <c r="W2263" s="229"/>
      <c r="X2263" s="229" t="str">
        <f>IFERROR(__xludf.DUMMYFUNCTION("""COMPUTED_VALUE"""),"GOLIVE")</f>
        <v>GOLIVE</v>
      </c>
      <c r="Y2263" s="229" t="str">
        <f>IFERROR(__xludf.DUMMYFUNCTION("""COMPUTED_VALUE"""),"DONE")</f>
        <v>DONE</v>
      </c>
      <c r="Z2263" s="229" t="str">
        <f>IFERROR(__xludf.DUMMYFUNCTION("""COMPUTED_VALUE"""),"#N/A")</f>
        <v>#N/A</v>
      </c>
      <c r="AA2263" s="229"/>
      <c r="AB2263" s="229">
        <f>IFERROR(__xludf.DUMMYFUNCTION("""COMPUTED_VALUE"""),3.0)</f>
        <v>3</v>
      </c>
      <c r="AC2263" s="229" t="str">
        <f>IFERROR(__xludf.DUMMYFUNCTION("""COMPUTED_VALUE"""),"9005338#9005343")</f>
        <v>9005338#9005343</v>
      </c>
      <c r="AD2263" s="232">
        <f>IFERROR(__xludf.DUMMYFUNCTION("""COMPUTED_VALUE"""),48.0)</f>
        <v>48</v>
      </c>
      <c r="AE2263" s="233">
        <f>IFERROR(__xludf.DUMMYFUNCTION("""COMPUTED_VALUE"""),46053.0)</f>
        <v>46053</v>
      </c>
      <c r="AF2263" s="54" t="str">
        <f>IFERROR(__xludf.DUMMYFUNCTION("""COMPUTED_VALUE"""),"DONE")</f>
        <v>DONE</v>
      </c>
      <c r="AG2263" s="54"/>
      <c r="AH2263" s="54"/>
      <c r="AI2263" s="55" t="str">
        <f t="shared" ref="AI2263:AI2270" si="214">IF(OR(R2263="",AE2263=""),"",R2263-AE2263)</f>
        <v/>
      </c>
      <c r="AW2263" s="234"/>
      <c r="BP2263" s="11"/>
      <c r="BQ2263" s="11"/>
      <c r="BV2263" s="158"/>
      <c r="BY2263" s="158"/>
      <c r="CB2263" s="158"/>
    </row>
    <row r="2264" ht="18.0" hidden="1" customHeight="1">
      <c r="A2264" s="222">
        <f>IFERROR(__xludf.DUMMYFUNCTION("""COMPUTED_VALUE"""),2026.0)</f>
        <v>2026</v>
      </c>
      <c r="B2264" s="221">
        <f>IFERROR(__xludf.DUMMYFUNCTION("""COMPUTED_VALUE"""),1.1243834E7)</f>
        <v>11243834</v>
      </c>
      <c r="C2264" s="222" t="str">
        <f>IFERROR(__xludf.DUMMYFUNCTION("""COMPUTED_VALUE"""),"BNK-PT4-JPPTSEL-SELUMA_496")</f>
        <v>BNK-PT4-JPPTSEL-SELUMA_496</v>
      </c>
      <c r="D2264" s="222" t="str">
        <f>IFERROR(__xludf.DUMMYFUNCTION("""COMPUTED_VALUE"""),"REGIONAL I")</f>
        <v>REGIONAL I</v>
      </c>
      <c r="E2264" s="222" t="str">
        <f>IFERROR(__xludf.DUMMYFUNCTION("""COMPUTED_VALUE"""),"BENGKULU")</f>
        <v>BENGKULU</v>
      </c>
      <c r="F2264" s="222" t="str">
        <f>IFERROR(__xludf.DUMMYFUNCTION("""COMPUTED_VALUE"""),"CRP")</f>
        <v>CRP</v>
      </c>
      <c r="G2264" s="222" t="str">
        <f>IFERROR(__xludf.DUMMYFUNCTION("""COMPUTED_VALUE"""),"SUMBAGSEL")</f>
        <v>SUMBAGSEL</v>
      </c>
      <c r="H2264" s="222" t="str">
        <f>IFERROR(__xludf.DUMMYFUNCTION("""COMPUTED_VALUE"""),"BENGKULU")</f>
        <v>BENGKULU</v>
      </c>
      <c r="I2264" s="222" t="str">
        <f>IFERROR(__xludf.DUMMYFUNCTION("""COMPUTED_VALUE"""),"Batch 3")</f>
        <v>Batch 3</v>
      </c>
      <c r="J2264" s="225">
        <f>IFERROR(__xludf.DUMMYFUNCTION("""COMPUTED_VALUE"""),45.0)</f>
        <v>45</v>
      </c>
      <c r="K2264" s="224">
        <f>IFERROR(__xludf.DUMMYFUNCTION("""COMPUTED_VALUE"""),360.0)</f>
        <v>360</v>
      </c>
      <c r="L2264" s="226">
        <f>IFERROR(__xludf.DUMMYFUNCTION("""COMPUTED_VALUE"""),2277511.0)</f>
        <v>2277511</v>
      </c>
      <c r="M2264" s="227">
        <f>IFERROR(__xludf.DUMMYFUNCTION("""COMPUTED_VALUE"""),8.19903643E8)</f>
        <v>819903643</v>
      </c>
      <c r="N2264" s="222" t="str">
        <f>IFERROR(__xludf.DUMMYFUNCTION("""COMPUTED_VALUE"""),"PT GITA PRIMA TAMBA PERKASA")</f>
        <v>PT GITA PRIMA TAMBA PERKASA</v>
      </c>
      <c r="O2264" s="222" t="str">
        <f>IFERROR(__xludf.DUMMYFUNCTION("""COMPUTED_VALUE"""),"5. INSTALASI")</f>
        <v>5. INSTALASI</v>
      </c>
      <c r="P2264" s="222" t="str">
        <f>IFERROR(__xludf.DUMMYFUNCTION("""COMPUTED_VALUE"""),"5.2 Proses Gali/Rojok")</f>
        <v>5.2 Proses Gali/Rojok</v>
      </c>
      <c r="Q2264" s="222" t="str">
        <f>IFERROR(__xludf.DUMMYFUNCTION("""COMPUTED_VALUE"""),"28/04: Gali dan Boring untuk pemasangan HDPE // 25/04: Proses gali rojok dan pemasangan HDPE // 13/04: Hari ini proses Gali rojok // 12/04: proses gali/rojok // 10/04 Material sudah tiba. lanjut proses QE. Pararel Menunggu perijinan keluar. ada progres CO"&amp;" kabel eksisting 08/04 Proses QE masih menunggu Kabel est tgk 8 april // 03/04: proses PO HDPE dan KT 48,  estimasi material tiba di gudang pagar dewa tanggal 9 april (Paralel proses pengajuan berkas perizinan PU) estimasi material tiba di gudang pagar de"&amp;"wa tanggal 6 april // 06/03 : QE akses fe eksisting di setujui, proses pengajuan perizinan galian ke PU Nas 3/3 Pekerjaan di lanjut cpp acc walaupun qe nilai tinggi acc ED TIF - TA area // 26/2 proses pencarian qe, sudah di gali 2 meter dan masih belum ke"&amp;"temu. 18/2 progress QE di feeder 5 titik , pengajuan HI  12/2 sudah di infokan sama tim mtc, belum 22/01 : proses anwizing feeder yg membutuhkan QE, untuk mengetahui nilai kebutuhan QE")</f>
        <v>28/04: Gali dan Boring untuk pemasangan HDPE // 25/04: Proses gali rojok dan pemasangan HDPE // 13/04: Hari ini proses Gali rojok // 12/04: proses gali/rojok // 10/04 Material sudah tiba. lanjut proses QE. Pararel Menunggu perijinan keluar. ada progres CO kabel eksisting 08/04 Proses QE masih menunggu Kabel est tgk 8 april // 03/04: proses PO HDPE dan KT 48,  estimasi material tiba di gudang pagar dewa tanggal 9 april (Paralel proses pengajuan berkas perizinan PU) estimasi material tiba di gudang pagar dewa tanggal 6 april // 06/03 : QE akses fe eksisting di setujui, proses pengajuan perizinan galian ke PU Nas 3/3 Pekerjaan di lanjut cpp acc walaupun qe nilai tinggi acc ED TIF - TA area // 26/2 proses pencarian qe, sudah di gali 2 meter dan masih belum ketemu. 18/2 progress QE di feeder 5 titik , pengajuan HI  12/2 sudah di infokan sama tim mtc, belum 22/01 : proses anwizing feeder yg membutuhkan QE, untuk mengetahui nilai kebutuhan QE</v>
      </c>
      <c r="R2264" s="228"/>
      <c r="S2264" s="11"/>
      <c r="T2264" s="11" t="str">
        <f>IFERROR(__xludf.DUMMYFUNCTION("""COMPUTED_VALUE"""),"P1")</f>
        <v>P1</v>
      </c>
      <c r="U2264" s="11" t="str">
        <f>IFERROR(__xludf.DUMMYFUNCTION("""COMPUTED_VALUE"""),"W06-67/2025")</f>
        <v>W06-67/2025</v>
      </c>
      <c r="V2264" s="229"/>
      <c r="W2264" s="229"/>
      <c r="X2264" s="229" t="str">
        <f>IFERROR(__xludf.DUMMYFUNCTION("""COMPUTED_VALUE"""),"BELUM GOLIVE")</f>
        <v>BELUM GOLIVE</v>
      </c>
      <c r="Y2264" s="229"/>
      <c r="Z2264" s="229" t="str">
        <f>IFERROR(__xludf.DUMMYFUNCTION("""COMPUTED_VALUE"""),"#N/A")</f>
        <v>#N/A</v>
      </c>
      <c r="AA2264" s="229"/>
      <c r="AB2264" s="229"/>
      <c r="AC2264" s="229"/>
      <c r="AD2264" s="232">
        <f>IFERROR(__xludf.DUMMYFUNCTION("""COMPUTED_VALUE"""),0.0)</f>
        <v>0</v>
      </c>
      <c r="AE2264" s="233"/>
      <c r="AF2264" s="54"/>
      <c r="AG2264" s="54"/>
      <c r="AH2264" s="54">
        <v>46149.0</v>
      </c>
      <c r="AI2264" s="55" t="str">
        <f t="shared" si="214"/>
        <v/>
      </c>
      <c r="AW2264" s="234"/>
      <c r="BP2264" s="11"/>
      <c r="BQ2264" s="11"/>
      <c r="BV2264" s="158"/>
      <c r="BY2264" s="158"/>
      <c r="CB2264" s="158"/>
    </row>
    <row r="2265" ht="18.0" hidden="1" customHeight="1">
      <c r="A2265" s="222">
        <f>IFERROR(__xludf.DUMMYFUNCTION("""COMPUTED_VALUE"""),2026.0)</f>
        <v>2026</v>
      </c>
      <c r="B2265" s="221">
        <f>IFERROR(__xludf.DUMMYFUNCTION("""COMPUTED_VALUE"""),1.1364794E7)</f>
        <v>11364794</v>
      </c>
      <c r="C2265" s="222" t="str">
        <f>IFERROR(__xludf.DUMMYFUNCTION("""COMPUTED_VALUE"""),"SMS P2I2 PT3 KAG FJ D01 TELOKO LAUT")</f>
        <v>SMS P2I2 PT3 KAG FJ D01 TELOKO LAUT</v>
      </c>
      <c r="D2265" s="222" t="str">
        <f>IFERROR(__xludf.DUMMYFUNCTION("""COMPUTED_VALUE"""),"REGIONAL I")</f>
        <v>REGIONAL I</v>
      </c>
      <c r="E2265" s="222" t="str">
        <f>IFERROR(__xludf.DUMMYFUNCTION("""COMPUTED_VALUE"""),"SUMSEL")</f>
        <v>SUMSEL</v>
      </c>
      <c r="F2265" s="222" t="str">
        <f>IFERROR(__xludf.DUMMYFUNCTION("""COMPUTED_VALUE"""),"KAG")</f>
        <v>KAG</v>
      </c>
      <c r="G2265" s="222" t="str">
        <f>IFERROR(__xludf.DUMMYFUNCTION("""COMPUTED_VALUE"""),"SUMBAGSEL")</f>
        <v>SUMBAGSEL</v>
      </c>
      <c r="H2265" s="222" t="str">
        <f>IFERROR(__xludf.DUMMYFUNCTION("""COMPUTED_VALUE"""),"PALEMBANG")</f>
        <v>PALEMBANG</v>
      </c>
      <c r="I2265" s="222" t="str">
        <f>IFERROR(__xludf.DUMMYFUNCTION("""COMPUTED_VALUE"""),"Batch 3")</f>
        <v>Batch 3</v>
      </c>
      <c r="J2265" s="225">
        <f>IFERROR(__xludf.DUMMYFUNCTION("""COMPUTED_VALUE"""),5.0)</f>
        <v>5</v>
      </c>
      <c r="K2265" s="224">
        <f>IFERROR(__xludf.DUMMYFUNCTION("""COMPUTED_VALUE"""),40.0)</f>
        <v>40</v>
      </c>
      <c r="L2265" s="226">
        <f>IFERROR(__xludf.DUMMYFUNCTION("""COMPUTED_VALUE"""),2252201.0)</f>
        <v>2252201</v>
      </c>
      <c r="M2265" s="227">
        <f>IFERROR(__xludf.DUMMYFUNCTION("""COMPUTED_VALUE"""),9.0088016E7)</f>
        <v>90088016</v>
      </c>
      <c r="N2265" s="222" t="str">
        <f>IFERROR(__xludf.DUMMYFUNCTION("""COMPUTED_VALUE"""),"PT SARANA MITRA PERSADA")</f>
        <v>PT SARANA MITRA PERSADA</v>
      </c>
      <c r="O2265" s="222" t="str">
        <f>IFERROR(__xludf.DUMMYFUNCTION("""COMPUTED_VALUE"""),"8. UJI TERIMA")</f>
        <v>8. UJI TERIMA</v>
      </c>
      <c r="P2265" s="222" t="str">
        <f>IFERROR(__xludf.DUMMYFUNCTION("""COMPUTED_VALUE"""),"8.1 Proses UT")</f>
        <v>8.1 Proses UT</v>
      </c>
      <c r="Q2265" s="222" t="str">
        <f>IFERROR(__xludf.DUMMYFUNCTION("""COMPUTED_VALUE"""),"13/02 DONE SUBMIT ABD KE SDI, 11/2  Plan 12 FEB lanjut perkerjaan 31/01 menunggu jadwal eksekusi dari tim maintence (28/1) konfirm tim mtc , plan progress blm ada karena feeder banyak olt dan site critical (26/1)SELESAI FISIK, KENDALA BUTUH QE FEEDER ODC("&amp;"21/01) selesai fisik, kendala butuh repair core feeder exisiting nya, sdh koordinasi dg tim mtc, (01/12) finisi instal , masuk list hold golive 2025 (28/11) proses rekonsiliasi UT, 19/11 UT DONE, 18/11 selesai fisik, menunggu QE Feeder, 17/11 MASIH KENDAL"&amp;"A FEEDER, 10/11 kendala feeder QE 04/11 kendala feedeer QE 3/11 kendala feedeer QE 16/10 Perapihan 13/10 sisa progress pasang ODP 08/10 progres tanam tiang
29/09 Proses Material Deliveri 19/09 proses perizinan Kades oleh Sales hri sabtu 20/09. 15/09 aanwi"&amp;"jzing done, proses Eval HI")</f>
        <v>13/02 DONE SUBMIT ABD KE SDI, 11/2  Plan 12 FEB lanjut perkerjaan 31/01 menunggu jadwal eksekusi dari tim maintence (28/1) konfirm tim mtc , plan progress blm ada karena feeder banyak olt dan site critical (26/1)SELESAI FISIK, KENDALA BUTUH QE FEEDER ODC(21/01) selesai fisik, kendala butuh repair core feeder exisiting nya, sdh koordinasi dg tim mtc, (01/12) finisi instal , masuk list hold golive 2025 (28/11) proses rekonsiliasi UT, 19/11 UT DONE, 18/11 selesai fisik, menunggu QE Feeder, 17/11 MASIH KENDALA FEEDER, 10/11 kendala feeder QE 04/11 kendala feedeer QE 3/11 kendala feedeer QE 16/10 Perapihan 13/10 sisa progress pasang ODP 08/10 progres tanam tiang
29/09 Proses Material Deliveri 19/09 proses perizinan Kades oleh Sales hri sabtu 20/09. 15/09 aanwijzing done, proses Eval HI</v>
      </c>
      <c r="R2265" s="228">
        <f>IFERROR(__xludf.DUMMYFUNCTION("""COMPUTED_VALUE"""),46064.0)</f>
        <v>46064</v>
      </c>
      <c r="S2265" s="11"/>
      <c r="T2265" s="11"/>
      <c r="U2265" s="11"/>
      <c r="V2265" s="229" t="str">
        <f>IFERROR(__xludf.DUMMYFUNCTION("""COMPUTED_VALUE"""),"PUTRA")</f>
        <v>PUTRA</v>
      </c>
      <c r="W2265" s="229"/>
      <c r="X2265" s="229" t="str">
        <f>IFERROR(__xludf.DUMMYFUNCTION("""COMPUTED_VALUE"""),"GOLIVE")</f>
        <v>GOLIVE</v>
      </c>
      <c r="Y2265" s="229" t="str">
        <f>IFERROR(__xludf.DUMMYFUNCTION("""COMPUTED_VALUE"""),"DONE")</f>
        <v>DONE</v>
      </c>
      <c r="Z2265" s="229" t="str">
        <f>IFERROR(__xludf.DUMMYFUNCTION("""COMPUTED_VALUE"""),"#N/A")</f>
        <v>#N/A</v>
      </c>
      <c r="AA2265" s="229">
        <f>IFERROR(__xludf.DUMMYFUNCTION("""COMPUTED_VALUE"""),5.0)</f>
        <v>5</v>
      </c>
      <c r="AB2265" s="229"/>
      <c r="AC2265" s="229" t="str">
        <f>IFERROR(__xludf.DUMMYFUNCTION("""COMPUTED_VALUE"""),"9014786#9014791")</f>
        <v>9014786#9014791</v>
      </c>
      <c r="AD2265" s="232">
        <f>IFERROR(__xludf.DUMMYFUNCTION("""COMPUTED_VALUE"""),40.0)</f>
        <v>40</v>
      </c>
      <c r="AE2265" s="233">
        <f>IFERROR(__xludf.DUMMYFUNCTION("""COMPUTED_VALUE"""),46064.0)</f>
        <v>46064</v>
      </c>
      <c r="AF2265" s="54"/>
      <c r="AG2265" s="54"/>
      <c r="AH2265" s="54">
        <v>46064.0</v>
      </c>
      <c r="AI2265" s="55">
        <f t="shared" si="214"/>
        <v>0</v>
      </c>
      <c r="AW2265" s="234"/>
      <c r="BP2265" s="11"/>
      <c r="BQ2265" s="11"/>
      <c r="BV2265" s="158"/>
      <c r="BY2265" s="158"/>
      <c r="CB2265" s="158"/>
    </row>
    <row r="2266" ht="18.0" hidden="1" customHeight="1">
      <c r="A2266" s="222">
        <f>IFERROR(__xludf.DUMMYFUNCTION("""COMPUTED_VALUE"""),2026.0)</f>
        <v>2026</v>
      </c>
      <c r="B2266" s="221">
        <f>IFERROR(__xludf.DUMMYFUNCTION("""COMPUTED_VALUE"""),1.1464902E7)</f>
        <v>11464902</v>
      </c>
      <c r="C2266" s="222" t="str">
        <f>IFERROR(__xludf.DUMMYFUNCTION("""COMPUTED_VALUE"""),"BNK-PT3-CRP-FQ-JPPTSEL-PERUM AL GAZY")</f>
        <v>BNK-PT3-CRP-FQ-JPPTSEL-PERUM AL GAZY</v>
      </c>
      <c r="D2266" s="222" t="str">
        <f>IFERROR(__xludf.DUMMYFUNCTION("""COMPUTED_VALUE"""),"REGIONAL I")</f>
        <v>REGIONAL I</v>
      </c>
      <c r="E2266" s="222" t="str">
        <f>IFERROR(__xludf.DUMMYFUNCTION("""COMPUTED_VALUE"""),"BENGKULU")</f>
        <v>BENGKULU</v>
      </c>
      <c r="F2266" s="222" t="str">
        <f>IFERROR(__xludf.DUMMYFUNCTION("""COMPUTED_VALUE"""),"CRP")</f>
        <v>CRP</v>
      </c>
      <c r="G2266" s="222" t="str">
        <f>IFERROR(__xludf.DUMMYFUNCTION("""COMPUTED_VALUE"""),"SUMBAGSEL")</f>
        <v>SUMBAGSEL</v>
      </c>
      <c r="H2266" s="222" t="str">
        <f>IFERROR(__xludf.DUMMYFUNCTION("""COMPUTED_VALUE"""),"BENGKULU")</f>
        <v>BENGKULU</v>
      </c>
      <c r="I2266" s="222" t="str">
        <f>IFERROR(__xludf.DUMMYFUNCTION("""COMPUTED_VALUE"""),"Batch 3")</f>
        <v>Batch 3</v>
      </c>
      <c r="J2266" s="225">
        <f>IFERROR(__xludf.DUMMYFUNCTION("""COMPUTED_VALUE"""),7.0)</f>
        <v>7</v>
      </c>
      <c r="K2266" s="224">
        <f>IFERROR(__xludf.DUMMYFUNCTION("""COMPUTED_VALUE"""),56.0)</f>
        <v>56</v>
      </c>
      <c r="L2266" s="226">
        <f>IFERROR(__xludf.DUMMYFUNCTION("""COMPUTED_VALUE"""),2249755.0)</f>
        <v>2249755</v>
      </c>
      <c r="M2266" s="227">
        <f>IFERROR(__xludf.DUMMYFUNCTION("""COMPUTED_VALUE"""),1.25986251E8)</f>
        <v>125986251</v>
      </c>
      <c r="N2266" s="222" t="str">
        <f>IFERROR(__xludf.DUMMYFUNCTION("""COMPUTED_VALUE"""),"PT TELAGA RESTU ABADI")</f>
        <v>PT TELAGA RESTU ABADI</v>
      </c>
      <c r="O2266" s="222" t="str">
        <f>IFERROR(__xludf.DUMMYFUNCTION("""COMPUTED_VALUE"""),"7. GOLIVE")</f>
        <v>7. GOLIVE</v>
      </c>
      <c r="P2266" s="222" t="str">
        <f>IFERROR(__xludf.DUMMYFUNCTION("""COMPUTED_VALUE"""),"7.2 Golive Full / OA / DONE OTB")</f>
        <v>7.2 Golive Full / OA / DONE OTB</v>
      </c>
      <c r="Q2266" s="222" t="str">
        <f>IFERROR(__xludf.DUMMYFUNCTION("""COMPUTED_VALUE"""),"28/01 : Done GOLIVE // 22/01 : setor ABD ke SDI")</f>
        <v>28/01 : Done GOLIVE // 22/01 : setor ABD ke SDI</v>
      </c>
      <c r="R2266" s="228"/>
      <c r="S2266" s="11"/>
      <c r="T2266" s="11"/>
      <c r="U2266" s="11" t="str">
        <f>IFERROR(__xludf.DUMMYFUNCTION("""COMPUTED_VALUE"""),"W06-378/2025")</f>
        <v>W06-378/2025</v>
      </c>
      <c r="V2266" s="229"/>
      <c r="W2266" s="229"/>
      <c r="X2266" s="229" t="str">
        <f>IFERROR(__xludf.DUMMYFUNCTION("""COMPUTED_VALUE"""),"GOLIVE")</f>
        <v>GOLIVE</v>
      </c>
      <c r="Y2266" s="229" t="str">
        <f>IFERROR(__xludf.DUMMYFUNCTION("""COMPUTED_VALUE"""),"DONE")</f>
        <v>DONE</v>
      </c>
      <c r="Z2266" s="229" t="str">
        <f>IFERROR(__xludf.DUMMYFUNCTION("""COMPUTED_VALUE"""),"#N/A")</f>
        <v>#N/A</v>
      </c>
      <c r="AA2266" s="229">
        <f>IFERROR(__xludf.DUMMYFUNCTION("""COMPUTED_VALUE"""),7.0)</f>
        <v>7</v>
      </c>
      <c r="AB2266" s="229"/>
      <c r="AC2266" s="229" t="str">
        <f>IFERROR(__xludf.DUMMYFUNCTION("""COMPUTED_VALUE"""),"8874940#8874945")</f>
        <v>8874940#8874945</v>
      </c>
      <c r="AD2266" s="232">
        <f>IFERROR(__xludf.DUMMYFUNCTION("""COMPUTED_VALUE"""),56.0)</f>
        <v>56</v>
      </c>
      <c r="AE2266" s="233">
        <f>IFERROR(__xludf.DUMMYFUNCTION("""COMPUTED_VALUE"""),46050.0)</f>
        <v>46050</v>
      </c>
      <c r="AF2266" s="54"/>
      <c r="AG2266" s="54"/>
      <c r="AH2266" s="54"/>
      <c r="AI2266" s="55" t="str">
        <f t="shared" si="214"/>
        <v/>
      </c>
      <c r="AW2266" s="234"/>
      <c r="BP2266" s="11"/>
      <c r="BQ2266" s="11"/>
      <c r="BV2266" s="158"/>
      <c r="BY2266" s="158"/>
      <c r="CB2266" s="158"/>
    </row>
    <row r="2267" ht="18.0" hidden="1" customHeight="1">
      <c r="A2267" s="222">
        <f>IFERROR(__xludf.DUMMYFUNCTION("""COMPUTED_VALUE"""),2026.0)</f>
        <v>2026</v>
      </c>
      <c r="B2267" s="221">
        <f>IFERROR(__xludf.DUMMYFUNCTION("""COMPUTED_VALUE"""),1.1422909E7)</f>
        <v>11422909</v>
      </c>
      <c r="C2267" s="222" t="str">
        <f>IFERROR(__xludf.DUMMYFUNCTION("""COMPUTED_VALUE"""),"BNK-PT3-JPPTSEL-KETAPANG BARU-KMBG MUMPO")</f>
        <v>BNK-PT3-JPPTSEL-KETAPANG BARU-KMBG MUMPO</v>
      </c>
      <c r="D2267" s="222" t="str">
        <f>IFERROR(__xludf.DUMMYFUNCTION("""COMPUTED_VALUE"""),"REGIONAL I")</f>
        <v>REGIONAL I</v>
      </c>
      <c r="E2267" s="222" t="str">
        <f>IFERROR(__xludf.DUMMYFUNCTION("""COMPUTED_VALUE"""),"BENGKULU")</f>
        <v>BENGKULU</v>
      </c>
      <c r="F2267" s="222" t="str">
        <f>IFERROR(__xludf.DUMMYFUNCTION("""COMPUTED_VALUE"""),"MNA")</f>
        <v>MNA</v>
      </c>
      <c r="G2267" s="222" t="str">
        <f>IFERROR(__xludf.DUMMYFUNCTION("""COMPUTED_VALUE"""),"SUMBAGSEL")</f>
        <v>SUMBAGSEL</v>
      </c>
      <c r="H2267" s="222" t="str">
        <f>IFERROR(__xludf.DUMMYFUNCTION("""COMPUTED_VALUE"""),"BENGKULU")</f>
        <v>BENGKULU</v>
      </c>
      <c r="I2267" s="222" t="str">
        <f>IFERROR(__xludf.DUMMYFUNCTION("""COMPUTED_VALUE"""),"Batch 3")</f>
        <v>Batch 3</v>
      </c>
      <c r="J2267" s="225">
        <f>IFERROR(__xludf.DUMMYFUNCTION("""COMPUTED_VALUE"""),40.0)</f>
        <v>40</v>
      </c>
      <c r="K2267" s="224">
        <f>IFERROR(__xludf.DUMMYFUNCTION("""COMPUTED_VALUE"""),320.0)</f>
        <v>320</v>
      </c>
      <c r="L2267" s="226">
        <f>IFERROR(__xludf.DUMMYFUNCTION("""COMPUTED_VALUE"""),2179589.0)</f>
        <v>2179589</v>
      </c>
      <c r="M2267" s="227">
        <f>IFERROR(__xludf.DUMMYFUNCTION("""COMPUTED_VALUE"""),6.97468474E8)</f>
        <v>697468474</v>
      </c>
      <c r="N2267" s="222" t="str">
        <f>IFERROR(__xludf.DUMMYFUNCTION("""COMPUTED_VALUE"""),"PT JAGO MULTI DIMENSI")</f>
        <v>PT JAGO MULTI DIMENSI</v>
      </c>
      <c r="O2267" s="222" t="str">
        <f>IFERROR(__xludf.DUMMYFUNCTION("""COMPUTED_VALUE"""),"7. GOLIVE")</f>
        <v>7. GOLIVE</v>
      </c>
      <c r="P2267" s="222" t="str">
        <f>IFERROR(__xludf.DUMMYFUNCTION("""COMPUTED_VALUE"""),"7.2 Golive Full / OA / DONE OTB")</f>
        <v>7.2 Golive Full / OA / DONE OTB</v>
      </c>
      <c r="Q2267" s="222" t="str">
        <f>IFERROR(__xludf.DUMMYFUNCTION("""COMPUTED_VALUE"""),"29/01 : revisi ABD, feeder exsisting redting // 25/01 : setor ABD ke SDI")</f>
        <v>29/01 : revisi ABD, feeder exsisting redting // 25/01 : setor ABD ke SDI</v>
      </c>
      <c r="R2267" s="228"/>
      <c r="S2267" s="11"/>
      <c r="T2267" s="11"/>
      <c r="U2267" s="11" t="str">
        <f>IFERROR(__xludf.DUMMYFUNCTION("""COMPUTED_VALUE"""),"W06-394/2025")</f>
        <v>W06-394/2025</v>
      </c>
      <c r="V2267" s="229"/>
      <c r="W2267" s="229"/>
      <c r="X2267" s="229" t="str">
        <f>IFERROR(__xludf.DUMMYFUNCTION("""COMPUTED_VALUE"""),"GOLIVE")</f>
        <v>GOLIVE</v>
      </c>
      <c r="Y2267" s="229" t="str">
        <f>IFERROR(__xludf.DUMMYFUNCTION("""COMPUTED_VALUE"""),"DONE")</f>
        <v>DONE</v>
      </c>
      <c r="Z2267" s="229" t="str">
        <f>IFERROR(__xludf.DUMMYFUNCTION("""COMPUTED_VALUE"""),"#N/A")</f>
        <v>#N/A</v>
      </c>
      <c r="AA2267" s="229">
        <f>IFERROR(__xludf.DUMMYFUNCTION("""COMPUTED_VALUE"""),40.0)</f>
        <v>40</v>
      </c>
      <c r="AB2267" s="229"/>
      <c r="AC2267" s="229" t="str">
        <f>IFERROR(__xludf.DUMMYFUNCTION("""COMPUTED_VALUE"""),"9009383#9009388")</f>
        <v>9009383#9009388</v>
      </c>
      <c r="AD2267" s="232">
        <f>IFERROR(__xludf.DUMMYFUNCTION("""COMPUTED_VALUE"""),320.0)</f>
        <v>320</v>
      </c>
      <c r="AE2267" s="233">
        <f>IFERROR(__xludf.DUMMYFUNCTION("""COMPUTED_VALUE"""),46057.0)</f>
        <v>46057</v>
      </c>
      <c r="AF2267" s="54"/>
      <c r="AG2267" s="54"/>
      <c r="AH2267" s="54"/>
      <c r="AI2267" s="55" t="str">
        <f t="shared" si="214"/>
        <v/>
      </c>
      <c r="AW2267" s="234"/>
      <c r="BP2267" s="11"/>
      <c r="BQ2267" s="11"/>
      <c r="BV2267" s="158"/>
      <c r="BY2267" s="158"/>
      <c r="CB2267" s="158"/>
    </row>
    <row r="2268" ht="18.0" hidden="1" customHeight="1">
      <c r="A2268" s="222">
        <f>IFERROR(__xludf.DUMMYFUNCTION("""COMPUTED_VALUE"""),2026.0)</f>
        <v>2026</v>
      </c>
      <c r="B2268" s="221">
        <f>IFERROR(__xludf.DUMMYFUNCTION("""COMPUTED_VALUE"""),1.2385549E7)</f>
        <v>12385549</v>
      </c>
      <c r="C2268" s="222" t="str">
        <f>IFERROR(__xludf.DUMMYFUNCTION("""COMPUTED_VALUE"""),"BBL PT3 P4I3 EXPAND ODC-JBS-FC")</f>
        <v>BBL PT3 P4I3 EXPAND ODC-JBS-FC</v>
      </c>
      <c r="D2268" s="222" t="str">
        <f>IFERROR(__xludf.DUMMYFUNCTION("""COMPUTED_VALUE"""),"REGIONAL I")</f>
        <v>REGIONAL I</v>
      </c>
      <c r="E2268" s="222" t="str">
        <f>IFERROR(__xludf.DUMMYFUNCTION("""COMPUTED_VALUE"""),"BABEL")</f>
        <v>BABEL</v>
      </c>
      <c r="F2268" s="222" t="str">
        <f>IFERROR(__xludf.DUMMYFUNCTION("""COMPUTED_VALUE"""),"JBS")</f>
        <v>JBS</v>
      </c>
      <c r="G2268" s="222" t="str">
        <f>IFERROR(__xludf.DUMMYFUNCTION("""COMPUTED_VALUE"""),"SUMBAGSEL")</f>
        <v>SUMBAGSEL</v>
      </c>
      <c r="H2268" s="222" t="str">
        <f>IFERROR(__xludf.DUMMYFUNCTION("""COMPUTED_VALUE"""),"PANGKAL PINANG")</f>
        <v>PANGKAL PINANG</v>
      </c>
      <c r="I2268" s="222" t="str">
        <f>IFERROR(__xludf.DUMMYFUNCTION("""COMPUTED_VALUE"""),"Batch 3")</f>
        <v>Batch 3</v>
      </c>
      <c r="J2268" s="225">
        <f>IFERROR(__xludf.DUMMYFUNCTION("""COMPUTED_VALUE"""),5.0)</f>
        <v>5</v>
      </c>
      <c r="K2268" s="224">
        <f>IFERROR(__xludf.DUMMYFUNCTION("""COMPUTED_VALUE"""),40.0)</f>
        <v>40</v>
      </c>
      <c r="L2268" s="226">
        <f>IFERROR(__xludf.DUMMYFUNCTION("""COMPUTED_VALUE"""),2163134.0)</f>
        <v>2163134</v>
      </c>
      <c r="M2268" s="227">
        <f>IFERROR(__xludf.DUMMYFUNCTION("""COMPUTED_VALUE"""),8.6525322E7)</f>
        <v>86525322</v>
      </c>
      <c r="N2268" s="222" t="str">
        <f>IFERROR(__xludf.DUMMYFUNCTION("""COMPUTED_VALUE"""),"PT BAYUMI CAHAYA NUSANTARA")</f>
        <v>PT BAYUMI CAHAYA NUSANTARA</v>
      </c>
      <c r="O2268" s="222" t="str">
        <f>IFERROR(__xludf.DUMMYFUNCTION("""COMPUTED_VALUE"""),"7. GOLIVE")</f>
        <v>7. GOLIVE</v>
      </c>
      <c r="P2268" s="222" t="str">
        <f>IFERROR(__xludf.DUMMYFUNCTION("""COMPUTED_VALUE"""),"7.2 Golive Full / OA / DONE OTB")</f>
        <v>7.2 Golive Full / OA / DONE OTB</v>
      </c>
      <c r="Q2268" s="222" t="str">
        <f>IFERROR(__xludf.DUMMYFUNCTION("""COMPUTED_VALUE"""),"( 22/1 ) SUdah golive SDI(28/1) sudah submit abd v4 , hold golive 31 jan 2026 sesuai permintaan tsel 07/01 finsh instalasi (06/01) progres instalasi ODP (02/01) tarik kabel done 02/12 penarikan kabel 24D 950 done (01/12) penarikan kabel 24D 500/950 (29/11"&amp;") pengambilan material (28/11) request material (27/11) progres di lokasi lain (24/11) plan golive 17 desember (14/11) sudah bisa request (12/11) proses pr po (11/11/ DRM mitra (10/11) anwizing ke lokasi (07/11) penunjukkan mitra")</f>
        <v>( 22/1 ) SUdah golive SDI(28/1) sudah submit abd v4 , hold golive 31 jan 2026 sesuai permintaan tsel 07/01 finsh instalasi (06/01) progres instalasi ODP (02/01) tarik kabel done 02/12 penarikan kabel 24D 950 done (01/12) penarikan kabel 24D 500/950 (29/11) pengambilan material (28/11) request material (27/11) progres di lokasi lain (24/11) plan golive 17 desember (14/11) sudah bisa request (12/11) proses pr po (11/11/ DRM mitra (10/11) anwizing ke lokasi (07/11) penunjukkan mitra</v>
      </c>
      <c r="R2268" s="228"/>
      <c r="S2268" s="11"/>
      <c r="T2268" s="11"/>
      <c r="U2268" s="11"/>
      <c r="V2268" s="229"/>
      <c r="W2268" s="229"/>
      <c r="X2268" s="229" t="str">
        <f>IFERROR(__xludf.DUMMYFUNCTION("""COMPUTED_VALUE"""),"GOLIVE")</f>
        <v>GOLIVE</v>
      </c>
      <c r="Y2268" s="229" t="str">
        <f>IFERROR(__xludf.DUMMYFUNCTION("""COMPUTED_VALUE"""),"DONE")</f>
        <v>DONE</v>
      </c>
      <c r="Z2268" s="229" t="str">
        <f>IFERROR(__xludf.DUMMYFUNCTION("""COMPUTED_VALUE"""),"#N/A")</f>
        <v>#N/A</v>
      </c>
      <c r="AA2268" s="229">
        <f>IFERROR(__xludf.DUMMYFUNCTION("""COMPUTED_VALUE"""),4.0)</f>
        <v>4</v>
      </c>
      <c r="AB2268" s="229">
        <f>IFERROR(__xludf.DUMMYFUNCTION("""COMPUTED_VALUE"""),1.0)</f>
        <v>1</v>
      </c>
      <c r="AC2268" s="229" t="str">
        <f>IFERROR(__xludf.DUMMYFUNCTION("""COMPUTED_VALUE"""),"8956251#8956256")</f>
        <v>8956251#8956256</v>
      </c>
      <c r="AD2268" s="232">
        <f>IFERROR(__xludf.DUMMYFUNCTION("""COMPUTED_VALUE"""),48.0)</f>
        <v>48</v>
      </c>
      <c r="AE2268" s="233">
        <f>IFERROR(__xludf.DUMMYFUNCTION("""COMPUTED_VALUE"""),46044.0)</f>
        <v>46044</v>
      </c>
      <c r="AF2268" s="54" t="str">
        <f>IFERROR(__xludf.DUMMYFUNCTION("""COMPUTED_VALUE"""),"DONE")</f>
        <v>DONE</v>
      </c>
      <c r="AG2268" s="54"/>
      <c r="AH2268" s="54"/>
      <c r="AI2268" s="55" t="str">
        <f t="shared" si="214"/>
        <v/>
      </c>
      <c r="AW2268" s="234"/>
      <c r="BP2268" s="11"/>
      <c r="BQ2268" s="11"/>
      <c r="BV2268" s="158"/>
      <c r="BY2268" s="158"/>
      <c r="CB2268" s="158"/>
    </row>
    <row r="2269" ht="18.0" customHeight="1">
      <c r="A2269" s="222">
        <f>IFERROR(__xludf.DUMMYFUNCTION("""COMPUTED_VALUE"""),2026.0)</f>
        <v>2026</v>
      </c>
      <c r="B2269" s="221">
        <f>IFERROR(__xludf.DUMMYFUNCTION("""COMPUTED_VALUE"""),1.1243754E7)</f>
        <v>11243754</v>
      </c>
      <c r="C2269" s="222" t="str">
        <f>IFERROR(__xludf.DUMMYFUNCTION("""COMPUTED_VALUE"""),"SMB P2I2 TANJUNG BONAI AUR ROBERT")</f>
        <v>SMB P2I2 TANJUNG BONAI AUR ROBERT</v>
      </c>
      <c r="D2269" s="222" t="str">
        <f>IFERROR(__xludf.DUMMYFUNCTION("""COMPUTED_VALUE"""),"REGIONAL I")</f>
        <v>REGIONAL I</v>
      </c>
      <c r="E2269" s="222" t="str">
        <f>IFERROR(__xludf.DUMMYFUNCTION("""COMPUTED_VALUE"""),"SUMBAR")</f>
        <v>SUMBAR</v>
      </c>
      <c r="F2269" s="222" t="str">
        <f>IFERROR(__xludf.DUMMYFUNCTION("""COMPUTED_VALUE"""),"LIN")</f>
        <v>LIN</v>
      </c>
      <c r="G2269" s="222" t="str">
        <f>IFERROR(__xludf.DUMMYFUNCTION("""COMPUTED_VALUE"""),"SUMBAGTENG")</f>
        <v>SUMBAGTENG</v>
      </c>
      <c r="H2269" s="222" t="str">
        <f>IFERROR(__xludf.DUMMYFUNCTION("""COMPUTED_VALUE"""),"BUKIT TINGGI")</f>
        <v>BUKIT TINGGI</v>
      </c>
      <c r="I2269" s="222" t="str">
        <f>IFERROR(__xludf.DUMMYFUNCTION("""COMPUTED_VALUE"""),"Batch 3")</f>
        <v>Batch 3</v>
      </c>
      <c r="J2269" s="225">
        <f>IFERROR(__xludf.DUMMYFUNCTION("""COMPUTED_VALUE"""),22.0)</f>
        <v>22</v>
      </c>
      <c r="K2269" s="224">
        <f>IFERROR(__xludf.DUMMYFUNCTION("""COMPUTED_VALUE"""),176.0)</f>
        <v>176</v>
      </c>
      <c r="L2269" s="226">
        <f>IFERROR(__xludf.DUMMYFUNCTION("""COMPUTED_VALUE"""),2092420.0)</f>
        <v>2092420</v>
      </c>
      <c r="M2269" s="227">
        <f>IFERROR(__xludf.DUMMYFUNCTION("""COMPUTED_VALUE"""),3.68265838E8)</f>
        <v>368265838</v>
      </c>
      <c r="N2269" s="222" t="str">
        <f>IFERROR(__xludf.DUMMYFUNCTION("""COMPUTED_VALUE"""),"PT RATRI PRIMA MANDIRI")</f>
        <v>PT RATRI PRIMA MANDIRI</v>
      </c>
      <c r="O2269" s="222" t="str">
        <f>IFERROR(__xludf.DUMMYFUNCTION("""COMPUTED_VALUE"""),"0. DROP")</f>
        <v>0. DROP</v>
      </c>
      <c r="P2269" s="222" t="str">
        <f>IFERROR(__xludf.DUMMYFUNCTION("""COMPUTED_VALUE"""),"0.1 Double Order")</f>
        <v>0.1 Double Order</v>
      </c>
      <c r="Q2269" s="222" t="str">
        <f>IFERROR(__xludf.DUMMYFUNCTION("""COMPUTED_VALUE"""),"(26/01)  Sudah golive &amp; BAST di 2025
 13/11 : MATDEL ke site  menunggu PID 10/11: Matdel ke site 06/11 : proses aanwijziing  23/10 : Proses mapping mitra ")</f>
        <v>(26/01)  Sudah golive &amp; BAST di 2025
 13/11 : MATDEL ke site  menunggu PID 10/11: Matdel ke site 06/11 : proses aanwijziing  23/10 : Proses mapping mitra </v>
      </c>
      <c r="R2269" s="228"/>
      <c r="S2269" s="11"/>
      <c r="T2269" s="11"/>
      <c r="U2269" s="11"/>
      <c r="V2269" s="229"/>
      <c r="W2269" s="229"/>
      <c r="X2269" s="229"/>
      <c r="Y2269" s="229"/>
      <c r="Z2269" s="229" t="str">
        <f>IFERROR(__xludf.DUMMYFUNCTION("""COMPUTED_VALUE"""),"#N/A")</f>
        <v>#N/A</v>
      </c>
      <c r="AA2269" s="229"/>
      <c r="AB2269" s="229"/>
      <c r="AC2269" s="229"/>
      <c r="AD2269" s="232"/>
      <c r="AE2269" s="233"/>
      <c r="AF2269" s="54" t="str">
        <f>IFERROR(__xludf.DUMMYFUNCTION("""COMPUTED_VALUE"""),"Draft BA DROP")</f>
        <v>Draft BA DROP</v>
      </c>
      <c r="AG2269" s="54"/>
      <c r="AH2269" s="54"/>
      <c r="AI2269" s="55" t="str">
        <f t="shared" si="214"/>
        <v/>
      </c>
      <c r="AW2269" s="234"/>
      <c r="BP2269" s="11"/>
      <c r="BQ2269" s="11"/>
      <c r="BV2269" s="158"/>
      <c r="BY2269" s="158"/>
      <c r="CB2269" s="158"/>
    </row>
    <row r="2270" ht="18.0" customHeight="1">
      <c r="A2270" s="222">
        <f>IFERROR(__xludf.DUMMYFUNCTION("""COMPUTED_VALUE"""),2026.0)</f>
        <v>2026</v>
      </c>
      <c r="B2270" s="221">
        <f>IFERROR(__xludf.DUMMYFUNCTION("""COMPUTED_VALUE"""),1.1377642E7)</f>
        <v>11377642</v>
      </c>
      <c r="C2270" s="222" t="str">
        <f>IFERROR(__xludf.DUMMYFUNCTION("""COMPUTED_VALUE"""),"RKP PT3 APC SLU-FEA GARDENIA BL A-B-I-J")</f>
        <v>RKP PT3 APC SLU-FEA GARDENIA BL A-B-I-J</v>
      </c>
      <c r="D2270" s="222" t="str">
        <f>IFERROR(__xludf.DUMMYFUNCTION("""COMPUTED_VALUE"""),"REGIONAL I")</f>
        <v>REGIONAL I</v>
      </c>
      <c r="E2270" s="222" t="str">
        <f>IFERROR(__xludf.DUMMYFUNCTION("""COMPUTED_VALUE"""),"RIKEP")</f>
        <v>RIKEP</v>
      </c>
      <c r="F2270" s="222" t="str">
        <f>IFERROR(__xludf.DUMMYFUNCTION("""COMPUTED_VALUE"""),"SLU")</f>
        <v>SLU</v>
      </c>
      <c r="G2270" s="222" t="str">
        <f>IFERROR(__xludf.DUMMYFUNCTION("""COMPUTED_VALUE"""),"SUMBAGTENG")</f>
        <v>SUMBAGTENG</v>
      </c>
      <c r="H2270" s="222" t="str">
        <f>IFERROR(__xludf.DUMMYFUNCTION("""COMPUTED_VALUE"""),"BATAM")</f>
        <v>BATAM</v>
      </c>
      <c r="I2270" s="222" t="str">
        <f>IFERROR(__xludf.DUMMYFUNCTION("""COMPUTED_VALUE"""),"Batch 3")</f>
        <v>Batch 3</v>
      </c>
      <c r="J2270" s="225">
        <f>IFERROR(__xludf.DUMMYFUNCTION("""COMPUTED_VALUE"""),6.0)</f>
        <v>6</v>
      </c>
      <c r="K2270" s="224">
        <f>IFERROR(__xludf.DUMMYFUNCTION("""COMPUTED_VALUE"""),48.0)</f>
        <v>48</v>
      </c>
      <c r="L2270" s="226">
        <f>IFERROR(__xludf.DUMMYFUNCTION("""COMPUTED_VALUE"""),2059474.0)</f>
        <v>2059474</v>
      </c>
      <c r="M2270" s="227">
        <f>IFERROR(__xludf.DUMMYFUNCTION("""COMPUTED_VALUE"""),9.8854733E7)</f>
        <v>98854733</v>
      </c>
      <c r="N2270" s="222" t="str">
        <f>IFERROR(__xludf.DUMMYFUNCTION("""COMPUTED_VALUE"""),"PT MITRA HOSINDO SEJAHTERA")</f>
        <v>PT MITRA HOSINDO SEJAHTERA</v>
      </c>
      <c r="O2270" s="222" t="str">
        <f>IFERROR(__xludf.DUMMYFUNCTION("""COMPUTED_VALUE"""),"8. UJI TERIMA")</f>
        <v>8. UJI TERIMA</v>
      </c>
      <c r="P2270" s="222" t="str">
        <f>IFERROR(__xludf.DUMMYFUNCTION("""COMPUTED_VALUE"""),"8.1 Proses UT")</f>
        <v>8.1 Proses UT</v>
      </c>
      <c r="Q2270" s="222" t="str">
        <f>IFERROR(__xludf.DUMMYFUNCTION("""COMPUTED_VALUE"""),"1 ODP tidak di bangun karena, perumahan masih belum selesai tanah kosong)")</f>
        <v>1 ODP tidak di bangun karena, perumahan masih belum selesai tanah kosong)</v>
      </c>
      <c r="R2270" s="228"/>
      <c r="S2270" s="11"/>
      <c r="T2270" s="11"/>
      <c r="U2270" s="11" t="str">
        <f>IFERROR(__xludf.DUMMYFUNCTION("""COMPUTED_VALUE"""),"W09-218/2026")</f>
        <v>W09-218/2026</v>
      </c>
      <c r="V2270" s="229" t="str">
        <f>IFERROR(__xludf.DUMMYFUNCTION("""COMPUTED_VALUE"""),"MUHAMMAD RIDHO FALFO")</f>
        <v>MUHAMMAD RIDHO FALFO</v>
      </c>
      <c r="W2270" s="229" t="str">
        <f>IFERROR(__xludf.DUMMYFUNCTION("""COMPUTED_VALUE"""),"LEVITA INDRIYANI")</f>
        <v>LEVITA INDRIYANI</v>
      </c>
      <c r="X2270" s="229" t="str">
        <f>IFERROR(__xludf.DUMMYFUNCTION("""COMPUTED_VALUE"""),"GOLIVE")</f>
        <v>GOLIVE</v>
      </c>
      <c r="Y2270" s="229" t="str">
        <f>IFERROR(__xludf.DUMMYFUNCTION("""COMPUTED_VALUE"""),"DONE")</f>
        <v>DONE</v>
      </c>
      <c r="Z2270" s="229" t="str">
        <f>IFERROR(__xludf.DUMMYFUNCTION("""COMPUTED_VALUE"""),"#N/A")</f>
        <v>#N/A</v>
      </c>
      <c r="AA2270" s="229">
        <f>IFERROR(__xludf.DUMMYFUNCTION("""COMPUTED_VALUE"""),5.0)</f>
        <v>5</v>
      </c>
      <c r="AB2270" s="229"/>
      <c r="AC2270" s="229" t="str">
        <f>IFERROR(__xludf.DUMMYFUNCTION("""COMPUTED_VALUE"""),"8716469#8716474")</f>
        <v>8716469#8716474</v>
      </c>
      <c r="AD2270" s="232">
        <f>IFERROR(__xludf.DUMMYFUNCTION("""COMPUTED_VALUE"""),40.0)</f>
        <v>40</v>
      </c>
      <c r="AE2270" s="233">
        <f>IFERROR(__xludf.DUMMYFUNCTION("""COMPUTED_VALUE"""),46043.0)</f>
        <v>46043</v>
      </c>
      <c r="AF2270" s="54"/>
      <c r="AG2270" s="54"/>
      <c r="AH2270" s="54"/>
      <c r="AI2270" s="55" t="str">
        <f t="shared" si="214"/>
        <v/>
      </c>
      <c r="AW2270" s="234"/>
      <c r="BP2270" s="11"/>
      <c r="BQ2270" s="11"/>
      <c r="BV2270" s="158"/>
      <c r="BY2270" s="158"/>
      <c r="CB2270" s="158"/>
    </row>
    <row r="2271" ht="18.0" hidden="1" customHeight="1">
      <c r="A2271" s="222">
        <f>IFERROR(__xludf.DUMMYFUNCTION("""COMPUTED_VALUE"""),2026.0)</f>
        <v>2026</v>
      </c>
      <c r="B2271" s="221">
        <f>IFERROR(__xludf.DUMMYFUNCTION("""COMPUTED_VALUE"""),1.1380992E7)</f>
        <v>11380992</v>
      </c>
      <c r="C2271" s="222" t="str">
        <f>IFERROR(__xludf.DUMMYFUNCTION("""COMPUTED_VALUE"""),"SMS P2I2 PT3 BET FL D04 SIMPANG KERANG")</f>
        <v>SMS P2I2 PT3 BET FL D04 SIMPANG KERANG</v>
      </c>
      <c r="D2271" s="222" t="str">
        <f>IFERROR(__xludf.DUMMYFUNCTION("""COMPUTED_VALUE"""),"REGIONAL I")</f>
        <v>REGIONAL I</v>
      </c>
      <c r="E2271" s="222" t="str">
        <f>IFERROR(__xludf.DUMMYFUNCTION("""COMPUTED_VALUE"""),"SUMSEL")</f>
        <v>SUMSEL</v>
      </c>
      <c r="F2271" s="222" t="str">
        <f>IFERROR(__xludf.DUMMYFUNCTION("""COMPUTED_VALUE"""),"BET")</f>
        <v>BET</v>
      </c>
      <c r="G2271" s="222" t="str">
        <f>IFERROR(__xludf.DUMMYFUNCTION("""COMPUTED_VALUE"""),"SUMBAGSEL")</f>
        <v>SUMBAGSEL</v>
      </c>
      <c r="H2271" s="222" t="str">
        <f>IFERROR(__xludf.DUMMYFUNCTION("""COMPUTED_VALUE"""),"PALEMBANG")</f>
        <v>PALEMBANG</v>
      </c>
      <c r="I2271" s="222" t="str">
        <f>IFERROR(__xludf.DUMMYFUNCTION("""COMPUTED_VALUE"""),"Batch 3")</f>
        <v>Batch 3</v>
      </c>
      <c r="J2271" s="225">
        <f>IFERROR(__xludf.DUMMYFUNCTION("""COMPUTED_VALUE"""),12.0)</f>
        <v>12</v>
      </c>
      <c r="K2271" s="224">
        <f>IFERROR(__xludf.DUMMYFUNCTION("""COMPUTED_VALUE"""),96.0)</f>
        <v>96</v>
      </c>
      <c r="L2271" s="226">
        <f>IFERROR(__xludf.DUMMYFUNCTION("""COMPUTED_VALUE"""),2014868.0)</f>
        <v>2014868</v>
      </c>
      <c r="M2271" s="227">
        <f>IFERROR(__xludf.DUMMYFUNCTION("""COMPUTED_VALUE"""),1.93427275E8)</f>
        <v>193427275</v>
      </c>
      <c r="N2271" s="222" t="str">
        <f>IFERROR(__xludf.DUMMYFUNCTION("""COMPUTED_VALUE"""),"PT SARANA MITRA PERSADA")</f>
        <v>PT SARANA MITRA PERSADA</v>
      </c>
      <c r="O2271" s="222" t="str">
        <f>IFERROR(__xludf.DUMMYFUNCTION("""COMPUTED_VALUE"""),"8. UJI TERIMA")</f>
        <v>8. UJI TERIMA</v>
      </c>
      <c r="P2271" s="222" t="str">
        <f>IFERROR(__xludf.DUMMYFUNCTION("""COMPUTED_VALUE"""),"8.1 Proses UT")</f>
        <v>8.1 Proses UT</v>
      </c>
      <c r="Q2271" s="222" t="str">
        <f>IFERROR(__xludf.DUMMYFUNCTION("""COMPUTED_VALUE"""),"(25/1) golive 25 jan 2026 (21/01) selesai fisik, data abd sdh masuk ke sdi untuk golive, (08/12) submit abd ke sdi (08/12) menunggu jadwal UT, 01/12 penarikan kabel done 3650/3650 28/11 penanaman tiang done all 26/11 pengecatan dan tanam tiang 36/48 sisa "&amp;"12 (24/11) gali lubang (hasil 23lubang)total lubang tergali 60btg done
(23/11) gali lobang 20/64 (22/11) material onsite, gali lubang 20 (20/11)perijinan pu sudah ok , persiapan progress (18/11) masih menunggu pembayaran kompensasi, 14/11 menunggu pembaya"&amp;"ran kompensasi, 12/11 comcase 15jt PU Nasional, 10/11  comcase 15jt PU Nasional, 10/11  comcase 15jt PU Nasional 04/11 comcase 15jt PU Nasional 13/10 belum ada info lebih lanjut dr PU.
09/10 Sudah dapat izin prinsip PU, menunggu jadwal Mulai instalasi dar"&amp;"i PU karena sedang banyak pembangunan di ruas jalan yg akan diinstal 08/10 untuk izin undertable dari pu nas belum di kasih izin karena di lokasi masih banyak tim pu pusat yg lewat
(01/10 ) pengurusan izin undertable PU Nas. (19/09) proses berkoordinasi d"&amp;"g pihak pu nasional untuk izin under table
08/09 Done Aanwidjing Comcase PU Nasional 17 Juta")</f>
        <v>(25/1) golive 25 jan 2026 (21/01) selesai fisik, data abd sdh masuk ke sdi untuk golive, (08/12) submit abd ke sdi (08/12) menunggu jadwal UT, 01/12 penarikan kabel done 3650/3650 28/11 penanaman tiang done all 26/11 pengecatan dan tanam tiang 36/48 sisa 12 (24/11) gali lubang (hasil 23lubang)total lubang tergali 60btg done
(23/11) gali lobang 20/64 (22/11) material onsite, gali lubang 20 (20/11)perijinan pu sudah ok , persiapan progress (18/11) masih menunggu pembayaran kompensasi, 14/11 menunggu pembayaran kompensasi, 12/11 comcase 15jt PU Nasional, 10/11  comcase 15jt PU Nasional, 10/11  comcase 15jt PU Nasional 04/11 comcase 15jt PU Nasional 13/10 belum ada info lebih lanjut dr PU.
09/10 Sudah dapat izin prinsip PU, menunggu jadwal Mulai instalasi dari PU karena sedang banyak pembangunan di ruas jalan yg akan diinstal 08/10 untuk izin undertable dari pu nas belum di kasih izin karena di lokasi masih banyak tim pu pusat yg lewat
(01/10 ) pengurusan izin undertable PU Nas. (19/09) proses berkoordinasi dg pihak pu nasional untuk izin under table
08/09 Done Aanwidjing Comcase PU Nasional 17 Juta</v>
      </c>
      <c r="R2271" s="228"/>
      <c r="S2271" s="11"/>
      <c r="T2271" s="11"/>
      <c r="U2271" s="11"/>
      <c r="V2271" s="229" t="str">
        <f>IFERROR(__xludf.DUMMYFUNCTION("""COMPUTED_VALUE"""),"PUTRA")</f>
        <v>PUTRA</v>
      </c>
      <c r="W2271" s="229"/>
      <c r="X2271" s="229" t="str">
        <f>IFERROR(__xludf.DUMMYFUNCTION("""COMPUTED_VALUE"""),"GOLIVE")</f>
        <v>GOLIVE</v>
      </c>
      <c r="Y2271" s="229" t="str">
        <f>IFERROR(__xludf.DUMMYFUNCTION("""COMPUTED_VALUE"""),"DONE")</f>
        <v>DONE</v>
      </c>
      <c r="Z2271" s="229" t="str">
        <f>IFERROR(__xludf.DUMMYFUNCTION("""COMPUTED_VALUE"""),"#N/A")</f>
        <v>#N/A</v>
      </c>
      <c r="AA2271" s="229">
        <f>IFERROR(__xludf.DUMMYFUNCTION("""COMPUTED_VALUE"""),12.0)</f>
        <v>12</v>
      </c>
      <c r="AB2271" s="229"/>
      <c r="AC2271" s="229" t="str">
        <f>IFERROR(__xludf.DUMMYFUNCTION("""COMPUTED_VALUE"""),"8268731#8268736")</f>
        <v>8268731#8268736</v>
      </c>
      <c r="AD2271" s="232">
        <f>IFERROR(__xludf.DUMMYFUNCTION("""COMPUTED_VALUE"""),96.0)</f>
        <v>96</v>
      </c>
      <c r="AE2271" s="233">
        <f>IFERROR(__xludf.DUMMYFUNCTION("""COMPUTED_VALUE"""),46047.0)</f>
        <v>46047</v>
      </c>
      <c r="AF2271" s="54"/>
      <c r="AG2271" s="54"/>
      <c r="AH2271" s="54">
        <v>46129.0</v>
      </c>
      <c r="AI2271" s="237">
        <f>AH2271-NOW()</f>
        <v>-11.37798995</v>
      </c>
      <c r="AJ2271" s="229" t="str">
        <f>if(AI2271&gt;=0,"Gl in Komitmen","Gl out Komitmen")</f>
        <v>Gl out Komitmen</v>
      </c>
      <c r="AK2271" s="229" t="s">
        <v>199</v>
      </c>
      <c r="AW2271" s="234"/>
      <c r="BP2271" s="11"/>
      <c r="BQ2271" s="11"/>
      <c r="BV2271" s="158"/>
      <c r="BY2271" s="158"/>
      <c r="CB2271" s="158"/>
    </row>
    <row r="2272" ht="18.0" customHeight="1">
      <c r="A2272" s="222">
        <f>IFERROR(__xludf.DUMMYFUNCTION("""COMPUTED_VALUE"""),2026.0)</f>
        <v>2026</v>
      </c>
      <c r="B2272" s="221">
        <f>IFERROR(__xludf.DUMMYFUNCTION("""COMPUTED_VALUE"""),1.0941736E7)</f>
        <v>10941736</v>
      </c>
      <c r="C2272" s="222" t="str">
        <f>IFERROR(__xludf.DUMMYFUNCTION("""COMPUTED_VALUE"""),"SMB PT3 MICRODEMAND SUMATERA BARAT_528")</f>
        <v>SMB PT3 MICRODEMAND SUMATERA BARAT_528</v>
      </c>
      <c r="D2272" s="222" t="str">
        <f>IFERROR(__xludf.DUMMYFUNCTION("""COMPUTED_VALUE"""),"REGIONAL I")</f>
        <v>REGIONAL I</v>
      </c>
      <c r="E2272" s="222" t="str">
        <f>IFERROR(__xludf.DUMMYFUNCTION("""COMPUTED_VALUE"""),"SUMBAR")</f>
        <v>SUMBAR</v>
      </c>
      <c r="F2272" s="222" t="str">
        <f>IFERROR(__xludf.DUMMYFUNCTION("""COMPUTED_VALUE"""),"MIN")</f>
        <v>MIN</v>
      </c>
      <c r="G2272" s="222" t="str">
        <f>IFERROR(__xludf.DUMMYFUNCTION("""COMPUTED_VALUE"""),"SUMBAGTENG")</f>
        <v>SUMBAGTENG</v>
      </c>
      <c r="H2272" s="222" t="str">
        <f>IFERROR(__xludf.DUMMYFUNCTION("""COMPUTED_VALUE"""),"BUKIT TINGGI")</f>
        <v>BUKIT TINGGI</v>
      </c>
      <c r="I2272" s="222" t="str">
        <f>IFERROR(__xludf.DUMMYFUNCTION("""COMPUTED_VALUE"""),"Batch 3")</f>
        <v>Batch 3</v>
      </c>
      <c r="J2272" s="225">
        <f>IFERROR(__xludf.DUMMYFUNCTION("""COMPUTED_VALUE"""),8.0)</f>
        <v>8</v>
      </c>
      <c r="K2272" s="224">
        <f>IFERROR(__xludf.DUMMYFUNCTION("""COMPUTED_VALUE"""),64.0)</f>
        <v>64</v>
      </c>
      <c r="L2272" s="226">
        <f>IFERROR(__xludf.DUMMYFUNCTION("""COMPUTED_VALUE"""),2014646.0)</f>
        <v>2014646</v>
      </c>
      <c r="M2272" s="227">
        <f>IFERROR(__xludf.DUMMYFUNCTION("""COMPUTED_VALUE"""),1.28937311E8)</f>
        <v>128937311</v>
      </c>
      <c r="N2272" s="222" t="str">
        <f>IFERROR(__xludf.DUMMYFUNCTION("""COMPUTED_VALUE"""),"PT ACERO CETHA METALINDO")</f>
        <v>PT ACERO CETHA METALINDO</v>
      </c>
      <c r="O2272" s="222" t="str">
        <f>IFERROR(__xludf.DUMMYFUNCTION("""COMPUTED_VALUE"""),"6. FINISH INSTALASI")</f>
        <v>6. FINISH INSTALASI</v>
      </c>
      <c r="P2272" s="222" t="str">
        <f>IFERROR(__xludf.DUMMYFUNCTION("""COMPUTED_VALUE"""),"6.6 Kendala - QE Feeder/Distribusi")</f>
        <v>6.6 Kendala - QE Feeder/Distribusi</v>
      </c>
      <c r="Q2272" s="222" t="str">
        <f>IFERROR(__xludf.DUMMYFUNCTION("""COMPUTED_VALUE"""),"(27/04) menunggu recovery lokasi habis bencana alam sumbar  (20/04) menunggu recovery lokasi habis bencana alam sumbar (06/04)  2 core sudah sampai tapi kendala redting (solusi new mini olt csf ) (30/03)  2 core sudah sampai tapi kendala redting (solusi n"&amp;"ew mini olt csf )  (16/03)  2 core sudah sampai tapi kendala redting (solusi new mini olt csf )  (05/03)  2 core sudah sampai tapi kendala redting (solusi new mini olt csf )  (29/01)  2 core sudah sampai tapi kendala redting 21/11 : 2 core sudah sampai ta"&amp;"pi kendala redting  06/11 : 2 core sudah sampai tapi kendala redting 23/10 : 2 core sudah sampai tapi kendala redting  16/10 : 2 core sudah sampai tapi kendala redting  09/10 : qe dist, kendala redting 02/10 : proses QE Feeder 1 titik lagi  25/09 : proses"&amp;" QE Feeder 1 titik lagi   25/08 proses QE Feeder 1 titik lagi.  19/08 : proses QE Feeder 1 titik lagi   25/08 proses QE Feeder 1 titik lagi. 19/08 Core idle feeder done repair, proses prepare team jumper dan valins (9 odp, hanya bisa golive 8 krn idle fee"&amp;"der 2core) (04/08) : Plan CO Feeder oleh team mtc tanggal 7 agustus  (01/07) : Menunggu repair di kerjakan MTC  (17/06) : kendala feeder MIN-FE butuh repair")</f>
        <v>(27/04) menunggu recovery lokasi habis bencana alam sumbar  (20/04) menunggu recovery lokasi habis bencana alam sumbar (06/04)  2 core sudah sampai tapi kendala redting (solusi new mini olt csf ) (30/03)  2 core sudah sampai tapi kendala redting (solusi new mini olt csf )  (16/03)  2 core sudah sampai tapi kendala redting (solusi new mini olt csf )  (05/03)  2 core sudah sampai tapi kendala redting (solusi new mini olt csf )  (29/01)  2 core sudah sampai tapi kendala redting 21/11 : 2 core sudah sampai tapi kendala redting  06/11 : 2 core sudah sampai tapi kendala redting 23/10 : 2 core sudah sampai tapi kendala redting  16/10 : 2 core sudah sampai tapi kendala redting  09/10 : qe dist, kendala redting 02/10 : proses QE Feeder 1 titik lagi  25/09 : proses QE Feeder 1 titik lagi   25/08 proses QE Feeder 1 titik lagi.  19/08 : proses QE Feeder 1 titik lagi   25/08 proses QE Feeder 1 titik lagi. 19/08 Core idle feeder done repair, proses prepare team jumper dan valins (9 odp, hanya bisa golive 8 krn idle feeder 2core) (04/08) : Plan CO Feeder oleh team mtc tanggal 7 agustus  (01/07) : Menunggu repair di kerjakan MTC  (17/06) : kendala feeder MIN-FE butuh repair</v>
      </c>
      <c r="R2272" s="228">
        <f>IFERROR(__xludf.DUMMYFUNCTION("""COMPUTED_VALUE"""),46142.0)</f>
        <v>46142</v>
      </c>
      <c r="S2272" s="11" t="str">
        <f>IFERROR(__xludf.DUMMYFUNCTION("""COMPUTED_VALUE"""),"MAR")</f>
        <v>MAR</v>
      </c>
      <c r="T2272" s="73"/>
      <c r="U2272" s="11"/>
      <c r="V2272" s="229" t="str">
        <f>IFERROR(__xludf.DUMMYFUNCTION("""COMPUTED_VALUE"""),"ALDI EFENDI")</f>
        <v>ALDI EFENDI</v>
      </c>
      <c r="W2272" s="229" t="str">
        <f>IFERROR(__xludf.DUMMYFUNCTION("""COMPUTED_VALUE"""),"MELKO NARWADI")</f>
        <v>MELKO NARWADI</v>
      </c>
      <c r="X2272" s="229"/>
      <c r="Y2272" s="229" t="str">
        <f>IFERROR(__xludf.DUMMYFUNCTION("""COMPUTED_VALUE"""),"Repair Core Eksisting")</f>
        <v>Repair Core Eksisting</v>
      </c>
      <c r="Z2272" s="229" t="str">
        <f>IFERROR(__xludf.DUMMYFUNCTION("""COMPUTED_VALUE"""),"#N/A")</f>
        <v>#N/A</v>
      </c>
      <c r="AA2272" s="229"/>
      <c r="AB2272" s="229"/>
      <c r="AC2272" s="229"/>
      <c r="AD2272" s="232"/>
      <c r="AE2272" s="233"/>
      <c r="AF2272" s="54"/>
      <c r="AG2272" s="54"/>
      <c r="AH2272" s="54">
        <v>46129.0</v>
      </c>
      <c r="AI2272" s="55">
        <f>AH2272-TODAY()</f>
        <v>-11</v>
      </c>
      <c r="AJ2272" s="229" t="str">
        <f>if(AI2272&gt;=0,"In Komitmen","Out Komitmen")</f>
        <v>Out Komitmen</v>
      </c>
      <c r="AK2272" s="231" t="s">
        <v>199</v>
      </c>
      <c r="AW2272" s="234"/>
      <c r="BP2272" s="11"/>
      <c r="BQ2272" s="11"/>
      <c r="BV2272" s="158"/>
      <c r="BY2272" s="158"/>
      <c r="CB2272" s="158"/>
    </row>
    <row r="2273" ht="18.0" hidden="1" customHeight="1">
      <c r="A2273" s="222">
        <f>IFERROR(__xludf.DUMMYFUNCTION("""COMPUTED_VALUE"""),2026.0)</f>
        <v>2026</v>
      </c>
      <c r="B2273" s="221">
        <f>IFERROR(__xludf.DUMMYFUNCTION("""COMPUTED_VALUE"""),1.1264299E7)</f>
        <v>11264299</v>
      </c>
      <c r="C2273" s="222" t="str">
        <f>IFERROR(__xludf.DUMMYFUNCTION("""COMPUTED_VALUE"""),"ACH PT4 JRM-FZ LAMIE")</f>
        <v>ACH PT4 JRM-FZ LAMIE</v>
      </c>
      <c r="D2273" s="222" t="str">
        <f>IFERROR(__xludf.DUMMYFUNCTION("""COMPUTED_VALUE"""),"REGIONAL I")</f>
        <v>REGIONAL I</v>
      </c>
      <c r="E2273" s="222" t="str">
        <f>IFERROR(__xludf.DUMMYFUNCTION("""COMPUTED_VALUE"""),"ACEH")</f>
        <v>ACEH</v>
      </c>
      <c r="F2273" s="222" t="str">
        <f>IFERROR(__xludf.DUMMYFUNCTION("""COMPUTED_VALUE"""),"JRM")</f>
        <v>JRM</v>
      </c>
      <c r="G2273" s="222" t="str">
        <f>IFERROR(__xludf.DUMMYFUNCTION("""COMPUTED_VALUE"""),"SUMBAGUT")</f>
        <v>SUMBAGUT</v>
      </c>
      <c r="H2273" s="222" t="str">
        <f>IFERROR(__xludf.DUMMYFUNCTION("""COMPUTED_VALUE"""),"BANDA ACEH")</f>
        <v>BANDA ACEH</v>
      </c>
      <c r="I2273" s="222" t="str">
        <f>IFERROR(__xludf.DUMMYFUNCTION("""COMPUTED_VALUE"""),"Batch 3")</f>
        <v>Batch 3</v>
      </c>
      <c r="J2273" s="225">
        <f>IFERROR(__xludf.DUMMYFUNCTION("""COMPUTED_VALUE"""),27.0)</f>
        <v>27</v>
      </c>
      <c r="K2273" s="224">
        <f>IFERROR(__xludf.DUMMYFUNCTION("""COMPUTED_VALUE"""),216.0)</f>
        <v>216</v>
      </c>
      <c r="L2273" s="226">
        <f>IFERROR(__xludf.DUMMYFUNCTION("""COMPUTED_VALUE"""),2372901.0)</f>
        <v>2372901</v>
      </c>
      <c r="M2273" s="227">
        <f>IFERROR(__xludf.DUMMYFUNCTION("""COMPUTED_VALUE"""),5.12546458E8)</f>
        <v>512546458</v>
      </c>
      <c r="N2273" s="222" t="str">
        <f>IFERROR(__xludf.DUMMYFUNCTION("""COMPUTED_VALUE"""),"PT TRIPOLI JAYA GROUP")</f>
        <v>PT TRIPOLI JAYA GROUP</v>
      </c>
      <c r="O2273" s="222" t="str">
        <f>IFERROR(__xludf.DUMMYFUNCTION("""COMPUTED_VALUE"""),"7. GOLIVE")</f>
        <v>7. GOLIVE</v>
      </c>
      <c r="P2273" s="222" t="str">
        <f>IFERROR(__xludf.DUMMYFUNCTION("""COMPUTED_VALUE"""),"7.2 Golive Full / OA / DONE OTB")</f>
        <v>7.2 Golive Full / OA / DONE OTB</v>
      </c>
      <c r="Q2273" s="222" t="str">
        <f>IFERROR(__xludf.DUMMYFUNCTION("""COMPUTED_VALUE"""),"(25/03) Terminasi (10/03) Persiapan Terminasi (30/01/2026)progres tanam tiang")</f>
        <v>(25/03) Terminasi (10/03) Persiapan Terminasi (30/01/2026)progres tanam tiang</v>
      </c>
      <c r="R2273" s="228">
        <f>IFERROR(__xludf.DUMMYFUNCTION("""COMPUTED_VALUE"""),46111.0)</f>
        <v>46111</v>
      </c>
      <c r="S2273" s="11"/>
      <c r="T2273" s="11"/>
      <c r="U2273" s="11"/>
      <c r="V2273" s="229"/>
      <c r="W2273" s="229"/>
      <c r="X2273" s="229" t="str">
        <f>IFERROR(__xludf.DUMMYFUNCTION("""COMPUTED_VALUE"""),"GOLIVE")</f>
        <v>GOLIVE</v>
      </c>
      <c r="Y2273" s="229" t="str">
        <f>IFERROR(__xludf.DUMMYFUNCTION("""COMPUTED_VALUE"""),"DONE")</f>
        <v>DONE</v>
      </c>
      <c r="Z2273" s="229" t="str">
        <f>IFERROR(__xludf.DUMMYFUNCTION("""COMPUTED_VALUE"""),"#N/A")</f>
        <v>#N/A</v>
      </c>
      <c r="AA2273" s="229">
        <f>IFERROR(__xludf.DUMMYFUNCTION("""COMPUTED_VALUE"""),31.0)</f>
        <v>31</v>
      </c>
      <c r="AB2273" s="229"/>
      <c r="AC2273" s="229" t="str">
        <f>IFERROR(__xludf.DUMMYFUNCTION("""COMPUTED_VALUE"""),"9225296#9225301")</f>
        <v>9225296#9225301</v>
      </c>
      <c r="AD2273" s="232">
        <f>IFERROR(__xludf.DUMMYFUNCTION("""COMPUTED_VALUE"""),248.0)</f>
        <v>248</v>
      </c>
      <c r="AE2273" s="233">
        <f>IFERROR(__xludf.DUMMYFUNCTION("""COMPUTED_VALUE"""),46111.0)</f>
        <v>46111</v>
      </c>
      <c r="AF2273" s="54"/>
      <c r="AG2273" s="54"/>
      <c r="AH2273" s="54">
        <v>46111.0</v>
      </c>
      <c r="AI2273" s="55">
        <f t="shared" ref="AI2273:AI2278" si="215">IF(OR(R2273="",AE2273=""),"",R2273-AE2273)</f>
        <v>0</v>
      </c>
      <c r="AW2273" s="234"/>
      <c r="BP2273" s="11"/>
      <c r="BQ2273" s="11"/>
      <c r="BV2273" s="158"/>
      <c r="BY2273" s="158"/>
      <c r="CB2273" s="158"/>
    </row>
    <row r="2274" ht="18.0" hidden="1" customHeight="1">
      <c r="A2274" s="222">
        <f>IFERROR(__xludf.DUMMYFUNCTION("""COMPUTED_VALUE"""),2026.0)</f>
        <v>2026</v>
      </c>
      <c r="B2274" s="221">
        <f>IFERROR(__xludf.DUMMYFUNCTION("""COMPUTED_VALUE"""),1.1380909E7)</f>
        <v>11380909</v>
      </c>
      <c r="C2274" s="222" t="str">
        <f>IFERROR(__xludf.DUMMYFUNCTION("""COMPUTED_VALUE"""),"SMS P2I2 PT4 OKI FXX D01 SURYA ADI")</f>
        <v>SMS P2I2 PT4 OKI FXX D01 SURYA ADI</v>
      </c>
      <c r="D2274" s="222" t="str">
        <f>IFERROR(__xludf.DUMMYFUNCTION("""COMPUTED_VALUE"""),"REGIONAL I")</f>
        <v>REGIONAL I</v>
      </c>
      <c r="E2274" s="222" t="str">
        <f>IFERROR(__xludf.DUMMYFUNCTION("""COMPUTED_VALUE"""),"SUMSEL")</f>
        <v>SUMSEL</v>
      </c>
      <c r="F2274" s="222" t="str">
        <f>IFERROR(__xludf.DUMMYFUNCTION("""COMPUTED_VALUE"""),"OKI")</f>
        <v>OKI</v>
      </c>
      <c r="G2274" s="222" t="str">
        <f>IFERROR(__xludf.DUMMYFUNCTION("""COMPUTED_VALUE"""),"SUMBAGSEL")</f>
        <v>SUMBAGSEL</v>
      </c>
      <c r="H2274" s="222" t="str">
        <f>IFERROR(__xludf.DUMMYFUNCTION("""COMPUTED_VALUE"""),"PALEMBANG")</f>
        <v>PALEMBANG</v>
      </c>
      <c r="I2274" s="222" t="str">
        <f>IFERROR(__xludf.DUMMYFUNCTION("""COMPUTED_VALUE"""),"Batch 3")</f>
        <v>Batch 3</v>
      </c>
      <c r="J2274" s="225">
        <f>IFERROR(__xludf.DUMMYFUNCTION("""COMPUTED_VALUE"""),22.0)</f>
        <v>22</v>
      </c>
      <c r="K2274" s="224">
        <f>IFERROR(__xludf.DUMMYFUNCTION("""COMPUTED_VALUE"""),176.0)</f>
        <v>176</v>
      </c>
      <c r="L2274" s="226">
        <f>IFERROR(__xludf.DUMMYFUNCTION("""COMPUTED_VALUE"""),2003754.0)</f>
        <v>2003754</v>
      </c>
      <c r="M2274" s="227">
        <f>IFERROR(__xludf.DUMMYFUNCTION("""COMPUTED_VALUE"""),3.5266054E8)</f>
        <v>352660540</v>
      </c>
      <c r="N2274" s="222" t="str">
        <f>IFERROR(__xludf.DUMMYFUNCTION("""COMPUTED_VALUE"""),"PT SARANA MITRA PERSADA")</f>
        <v>PT SARANA MITRA PERSADA</v>
      </c>
      <c r="O2274" s="222" t="str">
        <f>IFERROR(__xludf.DUMMYFUNCTION("""COMPUTED_VALUE"""),"2. DONE AANWIJZING")</f>
        <v>2. DONE AANWIJZING</v>
      </c>
      <c r="P2274" s="222" t="str">
        <f>IFERROR(__xludf.DUMMYFUNCTION("""COMPUTED_VALUE"""),"2.5 Proses Create PID")</f>
        <v>2.5 Proses Create PID</v>
      </c>
      <c r="Q2274" s="222" t="str">
        <f>IFERROR(__xludf.DUMMYFUNCTION("""COMPUTED_VALUE"""),"27/04 MENUNGGU TTD DRM MITRA, 24/04 PROSES DRM MITRA, 23/04 HASIL KOORDINASI TIF, TA DAN MTEL SDH DI APPROVE TERKAIT TIANG MTEL, 22/04 menunggu koordinasi antara tif, ta dan mtel terkait penggunaan tiang mterl secara bersama-sama, 09/04MASIH BLM ADA INFO "&amp;"LANJUT TERKAIT TIANG MTEL, 08/04 MASIH BLM ADA INFO LANJUT TERKAIT TIANG MTEL, 01/04 MASIH BLM ADA INFO LANJUT TERKAIT TIANG MTEL, 25/03 MASIH BLM ADA INFO KELANJUTAN TERKAIT TIANG MTEL, 21/03 BLM ADA UPDATE INFO TERKAIT TIANG MTEL, 13/03 SDH DI FU TRS TP"&amp;" MSI BLM ADA INFO TERKAIT TIANG MTEL, 10/03 MSH BLM ADA INFO TERKAIT TIANG MTEL, 27/02 MSH BLM ADA INFO TERKAIT TIANG MTEL, 24/02 BLM ADA UPDATE TERKAIT TIANG MTEL, 10/02 BLM ADA INFO TERKAIT KENDALA DI LOKASI BYK TIANG MTEL, 06/02 HASIL REVIEW TSEL - NEE"&amp;"D FU TIF PENGGUNAAN TIANG MTEL, 30/01 DONE EVAL, DI LOKASI ADA TIAG MTEL D RUAS PU NASIONAL, PRELIM KADES 5 JR, CPP MENJADI 1,5 JT, 21/01 sdh aanwizjing th 2025, proses izin ulang dg kades setempat 31/01 hold karena banyak tiang Mtel menunggu kesepakatan "&amp;"TIF dengan Mitratel 30/01 DONE EVAL, DI LOKASI ADA TIAG MTEL D RUAS PU NASIONAL, PRELIM KADES 5 JR, CPP MENJADI 1,5 JT, 21/01 order 2025, proses perizinan dg pihak kades, (15/1) USULAN JPP BATCH 3 (08/12) HOLD, 21/11 menunggu antrian matdel (18/11) intega"&amp;"rsi uplink mini olt juga blm (18/11) OGP menunggu antrian matdel, 12/11 MATDEL, 10/11 delivery material 04/11 sudah aanwidjzing 3/11 sudah aanwidjzing 09/10 proses perizinan dengan Kades 08/10 selesai survey ulng dg mitra SMP, proses pembuatan DRM mtra, u"&amp;"ntuk izin kades meminta kompensasi sebesar 5 jt
 01/10 peralihan mitra ke SMP (19/09) belum dpt konfirm dri mitra CCSI untuk lanjut Progres atau tidak
 (16/9)menunggu konfirm mitra CCSI untuk lanjut proses PR PO
 (09/09) menunggu konfirm mitra CCSI untuk "&amp;"lanjut proses PR PO
 (29/08) proses PR PO Ke mitra CCSI
 (25/08) tgl 25/08 aanwijzinf dg sales tsel, perubahan mitra menjadi PT CCSI
 (19/08) menunggu jadwal aanwizjing bareng sales
 (14/08) menunggu jadwal aanwizjing bareng sales
 (05/08) buat janji dg s"&amp;"ales untuk aanwizjing")</f>
        <v>27/04 MENUNGGU TTD DRM MITRA, 24/04 PROSES DRM MITRA, 23/04 HASIL KOORDINASI TIF, TA DAN MTEL SDH DI APPROVE TERKAIT TIANG MTEL, 22/04 menunggu koordinasi antara tif, ta dan mtel terkait penggunaan tiang mterl secara bersama-sama, 09/04MASIH BLM ADA INFO LANJUT TERKAIT TIANG MTEL, 08/04 MASIH BLM ADA INFO LANJUT TERKAIT TIANG MTEL, 01/04 MASIH BLM ADA INFO LANJUT TERKAIT TIANG MTEL, 25/03 MASIH BLM ADA INFO KELANJUTAN TERKAIT TIANG MTEL, 21/03 BLM ADA UPDATE INFO TERKAIT TIANG MTEL, 13/03 SDH DI FU TRS TP MSI BLM ADA INFO TERKAIT TIANG MTEL, 10/03 MSH BLM ADA INFO TERKAIT TIANG MTEL, 27/02 MSH BLM ADA INFO TERKAIT TIANG MTEL, 24/02 BLM ADA UPDATE TERKAIT TIANG MTEL, 10/02 BLM ADA INFO TERKAIT KENDALA DI LOKASI BYK TIANG MTEL, 06/02 HASIL REVIEW TSEL - NEED FU TIF PENGGUNAAN TIANG MTEL, 30/01 DONE EVAL, DI LOKASI ADA TIAG MTEL D RUAS PU NASIONAL, PRELIM KADES 5 JR, CPP MENJADI 1,5 JT, 21/01 sdh aanwizjing th 2025, proses izin ulang dg kades setempat 31/01 hold karena banyak tiang Mtel menunggu kesepakatan TIF dengan Mitratel 30/01 DONE EVAL, DI LOKASI ADA TIAG MTEL D RUAS PU NASIONAL, PRELIM KADES 5 JR, CPP MENJADI 1,5 JT, 21/01 order 2025, proses perizinan dg pihak kades, (15/1) USULAN JPP BATCH 3 (08/12) HOLD, 21/11 menunggu antrian matdel (18/11) integarsi uplink mini olt juga blm (18/11) OGP menunggu antrian matdel, 12/11 MATDEL, 10/11 delivery material 04/11 sudah aanwidjzing 3/11 sudah aanwidjzing 09/10 proses perizinan dengan Kades 08/10 selesai survey ulng dg mitra SMP, proses pembuatan DRM mtra, untuk izin kades meminta kompensasi sebesar 5 jt
 01/10 peralihan mitra ke SMP (19/09) belum dpt konfirm dri mitra CCSI untuk lanjut Progres atau tidak
 (16/9)menunggu konfirm mitra CCSI untuk lanjut proses PR PO
 (09/09) menunggu konfirm mitra CCSI untuk lanjut proses PR PO
 (29/08) proses PR PO Ke mitra CCSI
 (25/08) tgl 25/08 aanwijzinf dg sales tsel, perubahan mitra menjadi PT CCSI
 (19/08) menunggu jadwal aanwizjing bareng sales
 (14/08) menunggu jadwal aanwizjing bareng sales
 (05/08) buat janji dg sales untuk aanwizjing</v>
      </c>
      <c r="R2274" s="228"/>
      <c r="S2274" s="11"/>
      <c r="T2274" s="11"/>
      <c r="U2274" s="11"/>
      <c r="V2274" s="229" t="str">
        <f>IFERROR(__xludf.DUMMYFUNCTION("""COMPUTED_VALUE"""),"RENALDO")</f>
        <v>RENALDO</v>
      </c>
      <c r="W2274" s="229"/>
      <c r="X2274" s="229"/>
      <c r="Y2274" s="229"/>
      <c r="Z2274" s="229" t="str">
        <f>IFERROR(__xludf.DUMMYFUNCTION("""COMPUTED_VALUE"""),"5. Done Integrasi")</f>
        <v>5. Done Integrasi</v>
      </c>
      <c r="AA2274" s="229"/>
      <c r="AB2274" s="229"/>
      <c r="AC2274" s="229"/>
      <c r="AD2274" s="232"/>
      <c r="AE2274" s="233"/>
      <c r="AF2274" s="54"/>
      <c r="AG2274" s="54"/>
      <c r="AH2274" s="54"/>
      <c r="AI2274" s="55" t="str">
        <f t="shared" si="215"/>
        <v/>
      </c>
      <c r="AW2274" s="234"/>
      <c r="BP2274" s="11"/>
      <c r="BQ2274" s="11"/>
      <c r="BV2274" s="158"/>
      <c r="BY2274" s="158"/>
      <c r="CB2274" s="158"/>
    </row>
    <row r="2275" ht="18.0" hidden="1" customHeight="1">
      <c r="A2275" s="222">
        <f>IFERROR(__xludf.DUMMYFUNCTION("""COMPUTED_VALUE"""),2026.0)</f>
        <v>2026</v>
      </c>
      <c r="B2275" s="221">
        <f>IFERROR(__xludf.DUMMYFUNCTION("""COMPUTED_VALUE"""),1.1410926E7)</f>
        <v>11410926</v>
      </c>
      <c r="C2275" s="222" t="str">
        <f>IFERROR(__xludf.DUMMYFUNCTION("""COMPUTED_VALUE"""),"BNK-PT3-REJANG LEBONG_16017")</f>
        <v>BNK-PT3-REJANG LEBONG_16017</v>
      </c>
      <c r="D2275" s="222" t="str">
        <f>IFERROR(__xludf.DUMMYFUNCTION("""COMPUTED_VALUE"""),"REGIONAL I")</f>
        <v>REGIONAL I</v>
      </c>
      <c r="E2275" s="222" t="str">
        <f>IFERROR(__xludf.DUMMYFUNCTION("""COMPUTED_VALUE"""),"BENGKULU")</f>
        <v>BENGKULU</v>
      </c>
      <c r="F2275" s="222" t="str">
        <f>IFERROR(__xludf.DUMMYFUNCTION("""COMPUTED_VALUE"""),"CRP")</f>
        <v>CRP</v>
      </c>
      <c r="G2275" s="222" t="str">
        <f>IFERROR(__xludf.DUMMYFUNCTION("""COMPUTED_VALUE"""),"SUMBAGSEL")</f>
        <v>SUMBAGSEL</v>
      </c>
      <c r="H2275" s="222" t="str">
        <f>IFERROR(__xludf.DUMMYFUNCTION("""COMPUTED_VALUE"""),"BENGKULU")</f>
        <v>BENGKULU</v>
      </c>
      <c r="I2275" s="222" t="str">
        <f>IFERROR(__xludf.DUMMYFUNCTION("""COMPUTED_VALUE"""),"Batch 3")</f>
        <v>Batch 3</v>
      </c>
      <c r="J2275" s="225">
        <f>IFERROR(__xludf.DUMMYFUNCTION("""COMPUTED_VALUE"""),6.0)</f>
        <v>6</v>
      </c>
      <c r="K2275" s="224">
        <f>IFERROR(__xludf.DUMMYFUNCTION("""COMPUTED_VALUE"""),48.0)</f>
        <v>48</v>
      </c>
      <c r="L2275" s="226">
        <f>IFERROR(__xludf.DUMMYFUNCTION("""COMPUTED_VALUE"""),1997435.0)</f>
        <v>1997435</v>
      </c>
      <c r="M2275" s="227">
        <f>IFERROR(__xludf.DUMMYFUNCTION("""COMPUTED_VALUE"""),9.5876849E7)</f>
        <v>95876849</v>
      </c>
      <c r="N2275" s="222" t="str">
        <f>IFERROR(__xludf.DUMMYFUNCTION("""COMPUTED_VALUE"""),"PT TELAGA RESTU ABADI")</f>
        <v>PT TELAGA RESTU ABADI</v>
      </c>
      <c r="O2275" s="222" t="str">
        <f>IFERROR(__xludf.DUMMYFUNCTION("""COMPUTED_VALUE"""),"7. GOLIVE")</f>
        <v>7. GOLIVE</v>
      </c>
      <c r="P2275" s="222" t="str">
        <f>IFERROR(__xludf.DUMMYFUNCTION("""COMPUTED_VALUE"""),"7.2 Golive Full / OA / DONE OTB")</f>
        <v>7.2 Golive Full / OA / DONE OTB</v>
      </c>
      <c r="Q2275" s="222" t="str">
        <f>IFERROR(__xludf.DUMMYFUNCTION("""COMPUTED_VALUE"""),"03/02: GOLIVE // 29/01 : revisi ABD // 26/01 : setor ABD ke SDI")</f>
        <v>03/02: GOLIVE // 29/01 : revisi ABD // 26/01 : setor ABD ke SDI</v>
      </c>
      <c r="R2275" s="228"/>
      <c r="S2275" s="11"/>
      <c r="T2275" s="11"/>
      <c r="U2275" s="11" t="str">
        <f>IFERROR(__xludf.DUMMYFUNCTION("""COMPUTED_VALUE"""),"W06-379/2025")</f>
        <v>W06-379/2025</v>
      </c>
      <c r="V2275" s="229"/>
      <c r="W2275" s="229"/>
      <c r="X2275" s="229" t="str">
        <f>IFERROR(__xludf.DUMMYFUNCTION("""COMPUTED_VALUE"""),"GOLIVE")</f>
        <v>GOLIVE</v>
      </c>
      <c r="Y2275" s="229" t="str">
        <f>IFERROR(__xludf.DUMMYFUNCTION("""COMPUTED_VALUE"""),"DONE")</f>
        <v>DONE</v>
      </c>
      <c r="Z2275" s="229" t="str">
        <f>IFERROR(__xludf.DUMMYFUNCTION("""COMPUTED_VALUE"""),"#N/A")</f>
        <v>#N/A</v>
      </c>
      <c r="AA2275" s="229">
        <f>IFERROR(__xludf.DUMMYFUNCTION("""COMPUTED_VALUE"""),6.0)</f>
        <v>6</v>
      </c>
      <c r="AB2275" s="229"/>
      <c r="AC2275" s="229" t="str">
        <f>IFERROR(__xludf.DUMMYFUNCTION("""COMPUTED_VALUE"""),"8970085#8970090")</f>
        <v>8970085#8970090</v>
      </c>
      <c r="AD2275" s="232">
        <f>IFERROR(__xludf.DUMMYFUNCTION("""COMPUTED_VALUE"""),48.0)</f>
        <v>48</v>
      </c>
      <c r="AE2275" s="233">
        <f>IFERROR(__xludf.DUMMYFUNCTION("""COMPUTED_VALUE"""),46056.0)</f>
        <v>46056</v>
      </c>
      <c r="AF2275" s="54"/>
      <c r="AG2275" s="54"/>
      <c r="AH2275" s="54"/>
      <c r="AI2275" s="55" t="str">
        <f t="shared" si="215"/>
        <v/>
      </c>
      <c r="AW2275" s="234"/>
      <c r="BP2275" s="11"/>
      <c r="BQ2275" s="11"/>
      <c r="BV2275" s="158"/>
      <c r="BY2275" s="158"/>
      <c r="CB2275" s="158"/>
    </row>
    <row r="2276" ht="18.0" hidden="1" customHeight="1">
      <c r="A2276" s="222">
        <f>IFERROR(__xludf.DUMMYFUNCTION("""COMPUTED_VALUE"""),2026.0)</f>
        <v>2026</v>
      </c>
      <c r="B2276" s="221">
        <f>IFERROR(__xludf.DUMMYFUNCTION("""COMPUTED_VALUE"""),1.2386314E7)</f>
        <v>12386314</v>
      </c>
      <c r="C2276" s="222" t="str">
        <f>IFERROR(__xludf.DUMMYFUNCTION("""COMPUTED_VALUE"""),"BBL PT3 P4I3 DUKONG BISMILLAH")</f>
        <v>BBL PT3 P4I3 DUKONG BISMILLAH</v>
      </c>
      <c r="D2276" s="222" t="str">
        <f>IFERROR(__xludf.DUMMYFUNCTION("""COMPUTED_VALUE"""),"REGIONAL I")</f>
        <v>REGIONAL I</v>
      </c>
      <c r="E2276" s="222" t="str">
        <f>IFERROR(__xludf.DUMMYFUNCTION("""COMPUTED_VALUE"""),"BABEL")</f>
        <v>BABEL</v>
      </c>
      <c r="F2276" s="222" t="str">
        <f>IFERROR(__xludf.DUMMYFUNCTION("""COMPUTED_VALUE"""),"TJN")</f>
        <v>TJN</v>
      </c>
      <c r="G2276" s="222" t="str">
        <f>IFERROR(__xludf.DUMMYFUNCTION("""COMPUTED_VALUE"""),"SUMBAGSEL")</f>
        <v>SUMBAGSEL</v>
      </c>
      <c r="H2276" s="222" t="str">
        <f>IFERROR(__xludf.DUMMYFUNCTION("""COMPUTED_VALUE"""),"PANGKAL PINANG")</f>
        <v>PANGKAL PINANG</v>
      </c>
      <c r="I2276" s="222" t="str">
        <f>IFERROR(__xludf.DUMMYFUNCTION("""COMPUTED_VALUE"""),"Batch 3")</f>
        <v>Batch 3</v>
      </c>
      <c r="J2276" s="225">
        <f>IFERROR(__xludf.DUMMYFUNCTION("""COMPUTED_VALUE"""),6.0)</f>
        <v>6</v>
      </c>
      <c r="K2276" s="224">
        <f>IFERROR(__xludf.DUMMYFUNCTION("""COMPUTED_VALUE"""),48.0)</f>
        <v>48</v>
      </c>
      <c r="L2276" s="226">
        <f>IFERROR(__xludf.DUMMYFUNCTION("""COMPUTED_VALUE"""),1997389.0)</f>
        <v>1997389</v>
      </c>
      <c r="M2276" s="227">
        <f>IFERROR(__xludf.DUMMYFUNCTION("""COMPUTED_VALUE"""),9.5874626E7)</f>
        <v>95874626</v>
      </c>
      <c r="N2276" s="222" t="str">
        <f>IFERROR(__xludf.DUMMYFUNCTION("""COMPUTED_VALUE"""),"PT SARANA MITRA PERSADA")</f>
        <v>PT SARANA MITRA PERSADA</v>
      </c>
      <c r="O2276" s="222" t="str">
        <f>IFERROR(__xludf.DUMMYFUNCTION("""COMPUTED_VALUE"""),"7. GOLIVE")</f>
        <v>7. GOLIVE</v>
      </c>
      <c r="P2276" s="222" t="str">
        <f>IFERROR(__xludf.DUMMYFUNCTION("""COMPUTED_VALUE"""),"7.2 Golive Full / OA / DONE OTB")</f>
        <v>7.2 Golive Full / OA / DONE OTB</v>
      </c>
      <c r="Q2276" s="222" t="str">
        <f>IFERROR(__xludf.DUMMYFUNCTION("""COMPUTED_VALUE"""),"09/02 GOlive (28/1) mitra smp kendala budget , konfirm ulang  27/01 matdel (16/12) hold, pengambilan material 28/11 bisa request material (19/11) created PID (17/11) sudah aanwidjzing, menunggu material 14/11 atur jadwal anwijzing 6/11 Penunjukan mitra")</f>
        <v>09/02 GOlive (28/1) mitra smp kendala budget , konfirm ulang  27/01 matdel (16/12) hold, pengambilan material 28/11 bisa request material (19/11) created PID (17/11) sudah aanwidjzing, menunggu material 14/11 atur jadwal anwijzing 6/11 Penunjukan mitra</v>
      </c>
      <c r="R2276" s="228">
        <f>IFERROR(__xludf.DUMMYFUNCTION("""COMPUTED_VALUE"""),46062.0)</f>
        <v>46062</v>
      </c>
      <c r="S2276" s="11"/>
      <c r="T2276" s="11"/>
      <c r="U2276" s="11"/>
      <c r="V2276" s="229"/>
      <c r="W2276" s="229"/>
      <c r="X2276" s="229" t="str">
        <f>IFERROR(__xludf.DUMMYFUNCTION("""COMPUTED_VALUE"""),"GOLIVE")</f>
        <v>GOLIVE</v>
      </c>
      <c r="Y2276" s="229" t="str">
        <f>IFERROR(__xludf.DUMMYFUNCTION("""COMPUTED_VALUE"""),"DONE")</f>
        <v>DONE</v>
      </c>
      <c r="Z2276" s="229" t="str">
        <f>IFERROR(__xludf.DUMMYFUNCTION("""COMPUTED_VALUE"""),"#N/A")</f>
        <v>#N/A</v>
      </c>
      <c r="AA2276" s="229">
        <f>IFERROR(__xludf.DUMMYFUNCTION("""COMPUTED_VALUE"""),6.0)</f>
        <v>6</v>
      </c>
      <c r="AB2276" s="229">
        <f>IFERROR(__xludf.DUMMYFUNCTION("""COMPUTED_VALUE"""),2.0)</f>
        <v>2</v>
      </c>
      <c r="AC2276" s="229" t="str">
        <f>IFERROR(__xludf.DUMMYFUNCTION("""COMPUTED_VALUE"""),"9087679#9087685")</f>
        <v>9087679#9087685</v>
      </c>
      <c r="AD2276" s="232">
        <f>IFERROR(__xludf.DUMMYFUNCTION("""COMPUTED_VALUE"""),80.0)</f>
        <v>80</v>
      </c>
      <c r="AE2276" s="233">
        <f>IFERROR(__xludf.DUMMYFUNCTION("""COMPUTED_VALUE"""),46062.0)</f>
        <v>46062</v>
      </c>
      <c r="AF2276" s="54" t="str">
        <f>IFERROR(__xludf.DUMMYFUNCTION("""COMPUTED_VALUE"""),"DONE")</f>
        <v>DONE</v>
      </c>
      <c r="AG2276" s="54"/>
      <c r="AH2276" s="54">
        <v>46062.0</v>
      </c>
      <c r="AI2276" s="55">
        <f t="shared" si="215"/>
        <v>0</v>
      </c>
      <c r="AW2276" s="234"/>
      <c r="BP2276" s="11"/>
      <c r="BQ2276" s="11"/>
      <c r="BV2276" s="158"/>
      <c r="BY2276" s="158"/>
      <c r="CB2276" s="158"/>
    </row>
    <row r="2277" ht="18.0" hidden="1" customHeight="1">
      <c r="A2277" s="222">
        <f>IFERROR(__xludf.DUMMYFUNCTION("""COMPUTED_VALUE"""),2026.0)</f>
        <v>2026</v>
      </c>
      <c r="B2277" s="221">
        <f>IFERROR(__xludf.DUMMYFUNCTION("""COMPUTED_VALUE"""),1.238641E7)</f>
        <v>12386410</v>
      </c>
      <c r="C2277" s="222" t="str">
        <f>IFERROR(__xludf.DUMMYFUNCTION("""COMPUTED_VALUE"""),"BBL PT4 P4I3 SINAR BARU")</f>
        <v>BBL PT4 P4I3 SINAR BARU</v>
      </c>
      <c r="D2277" s="222" t="str">
        <f>IFERROR(__xludf.DUMMYFUNCTION("""COMPUTED_VALUE"""),"REGIONAL I")</f>
        <v>REGIONAL I</v>
      </c>
      <c r="E2277" s="222" t="str">
        <f>IFERROR(__xludf.DUMMYFUNCTION("""COMPUTED_VALUE"""),"BABEL")</f>
        <v>BABEL</v>
      </c>
      <c r="F2277" s="222" t="str">
        <f>IFERROR(__xludf.DUMMYFUNCTION("""COMPUTED_VALUE"""),"SLT")</f>
        <v>SLT</v>
      </c>
      <c r="G2277" s="222" t="str">
        <f>IFERROR(__xludf.DUMMYFUNCTION("""COMPUTED_VALUE"""),"SUMBAGSEL")</f>
        <v>SUMBAGSEL</v>
      </c>
      <c r="H2277" s="222" t="str">
        <f>IFERROR(__xludf.DUMMYFUNCTION("""COMPUTED_VALUE"""),"PANGKAL PINANG")</f>
        <v>PANGKAL PINANG</v>
      </c>
      <c r="I2277" s="222" t="str">
        <f>IFERROR(__xludf.DUMMYFUNCTION("""COMPUTED_VALUE"""),"Batch 3")</f>
        <v>Batch 3</v>
      </c>
      <c r="J2277" s="225">
        <f>IFERROR(__xludf.DUMMYFUNCTION("""COMPUTED_VALUE"""),17.0)</f>
        <v>17</v>
      </c>
      <c r="K2277" s="224">
        <f>IFERROR(__xludf.DUMMYFUNCTION("""COMPUTED_VALUE"""),136.0)</f>
        <v>136</v>
      </c>
      <c r="L2277" s="226">
        <f>IFERROR(__xludf.DUMMYFUNCTION("""COMPUTED_VALUE"""),1941765.0)</f>
        <v>1941765</v>
      </c>
      <c r="M2277" s="227">
        <f>IFERROR(__xludf.DUMMYFUNCTION("""COMPUTED_VALUE"""),2.64079934E8)</f>
        <v>264079934</v>
      </c>
      <c r="N2277" s="222" t="str">
        <f>IFERROR(__xludf.DUMMYFUNCTION("""COMPUTED_VALUE"""),"PT FAJAR MITRA KRIDA ABADI")</f>
        <v>PT FAJAR MITRA KRIDA ABADI</v>
      </c>
      <c r="O2277" s="222" t="str">
        <f>IFERROR(__xludf.DUMMYFUNCTION("""COMPUTED_VALUE"""),"7. GOLIVE")</f>
        <v>7. GOLIVE</v>
      </c>
      <c r="P2277" s="222" t="str">
        <f>IFERROR(__xludf.DUMMYFUNCTION("""COMPUTED_VALUE"""),"7.2 Golive Full / OA / DONE OTB")</f>
        <v>7.2 Golive Full / OA / DONE OTB</v>
      </c>
      <c r="Q2277" s="222" t="str">
        <f>IFERROR(__xludf.DUMMYFUNCTION("""COMPUTED_VALUE"""),"07/02 golive (6/2)proses pasang odp , plan golivew 7 feb (28/1) penarikan done , progress pasang odp , golive 5 frb 2026 sesuai permintaan tsel (26/01) kabel 12D 1875 done, tanam tiang 35 done (19/01) kabel 12D 1000/1875, kabel 24D done (06/01) penarikan "&amp;"kabel 24D 1000/1565 (01/01) material onsite(16/12) hold 01/12 pengambilan material (28/11) progres di lokasi lain (27/11) sudah request material (25/11) sudah bisa request (24/11) proses PR PO (18/11) Proses DRM Mitra 10/11 sudah anwijzing 6/11 Penunjukan"&amp;" mitra")</f>
        <v>07/02 golive (6/2)proses pasang odp , plan golivew 7 feb (28/1) penarikan done , progress pasang odp , golive 5 frb 2026 sesuai permintaan tsel (26/01) kabel 12D 1875 done, tanam tiang 35 done (19/01) kabel 12D 1000/1875, kabel 24D done (06/01) penarikan kabel 24D 1000/1565 (01/01) material onsite(16/12) hold 01/12 pengambilan material (28/11) progres di lokasi lain (27/11) sudah request material (25/11) sudah bisa request (24/11) proses PR PO (18/11) Proses DRM Mitra 10/11 sudah anwijzing 6/11 Penunjukan mitra</v>
      </c>
      <c r="R2277" s="228"/>
      <c r="S2277" s="11"/>
      <c r="T2277" s="11"/>
      <c r="U2277" s="11"/>
      <c r="V2277" s="229"/>
      <c r="W2277" s="229"/>
      <c r="X2277" s="229" t="str">
        <f>IFERROR(__xludf.DUMMYFUNCTION("""COMPUTED_VALUE"""),"GOLIVE")</f>
        <v>GOLIVE</v>
      </c>
      <c r="Y2277" s="229" t="str">
        <f>IFERROR(__xludf.DUMMYFUNCTION("""COMPUTED_VALUE"""),"DONE")</f>
        <v>DONE</v>
      </c>
      <c r="Z2277" s="229" t="str">
        <f>IFERROR(__xludf.DUMMYFUNCTION("""COMPUTED_VALUE"""),"#N/A")</f>
        <v>#N/A</v>
      </c>
      <c r="AA2277" s="229">
        <f>IFERROR(__xludf.DUMMYFUNCTION("""COMPUTED_VALUE"""),3.0)</f>
        <v>3</v>
      </c>
      <c r="AB2277" s="229">
        <f>IFERROR(__xludf.DUMMYFUNCTION("""COMPUTED_VALUE"""),7.0)</f>
        <v>7</v>
      </c>
      <c r="AC2277" s="229" t="str">
        <f>IFERROR(__xludf.DUMMYFUNCTION("""COMPUTED_VALUE"""),"9082674#9082679")</f>
        <v>9082674#9082679</v>
      </c>
      <c r="AD2277" s="232">
        <f>IFERROR(__xludf.DUMMYFUNCTION("""COMPUTED_VALUE"""),136.0)</f>
        <v>136</v>
      </c>
      <c r="AE2277" s="233">
        <f>IFERROR(__xludf.DUMMYFUNCTION("""COMPUTED_VALUE"""),46060.0)</f>
        <v>46060</v>
      </c>
      <c r="AF2277" s="54"/>
      <c r="AG2277" s="54"/>
      <c r="AH2277" s="54"/>
      <c r="AI2277" s="55" t="str">
        <f t="shared" si="215"/>
        <v/>
      </c>
      <c r="AW2277" s="234"/>
      <c r="BP2277" s="11"/>
      <c r="BQ2277" s="11"/>
      <c r="BV2277" s="158"/>
      <c r="BY2277" s="158"/>
      <c r="CB2277" s="158"/>
    </row>
    <row r="2278" ht="18.0" hidden="1" customHeight="1">
      <c r="A2278" s="222">
        <f>IFERROR(__xludf.DUMMYFUNCTION("""COMPUTED_VALUE"""),2026.0)</f>
        <v>2026</v>
      </c>
      <c r="B2278" s="221">
        <f>IFERROR(__xludf.DUMMYFUNCTION("""COMPUTED_VALUE"""),1.1386117E7)</f>
        <v>11386117</v>
      </c>
      <c r="C2278" s="222" t="str">
        <f>IFERROR(__xludf.DUMMYFUNCTION("""COMPUTED_VALUE"""),"BBL PT4 P2I2 KAMPIT GABUNGAN CSF")</f>
        <v>BBL PT4 P2I2 KAMPIT GABUNGAN CSF</v>
      </c>
      <c r="D2278" s="222" t="str">
        <f>IFERROR(__xludf.DUMMYFUNCTION("""COMPUTED_VALUE"""),"REGIONAL I")</f>
        <v>REGIONAL I</v>
      </c>
      <c r="E2278" s="222" t="str">
        <f>IFERROR(__xludf.DUMMYFUNCTION("""COMPUTED_VALUE"""),"BABEL")</f>
        <v>BABEL</v>
      </c>
      <c r="F2278" s="222" t="str">
        <f>IFERROR(__xludf.DUMMYFUNCTION("""COMPUTED_VALUE"""),"TJN")</f>
        <v>TJN</v>
      </c>
      <c r="G2278" s="222" t="str">
        <f>IFERROR(__xludf.DUMMYFUNCTION("""COMPUTED_VALUE"""),"SUMBAGSEL")</f>
        <v>SUMBAGSEL</v>
      </c>
      <c r="H2278" s="222" t="str">
        <f>IFERROR(__xludf.DUMMYFUNCTION("""COMPUTED_VALUE"""),"PANGKAL PINANG")</f>
        <v>PANGKAL PINANG</v>
      </c>
      <c r="I2278" s="222" t="str">
        <f>IFERROR(__xludf.DUMMYFUNCTION("""COMPUTED_VALUE"""),"Batch 3")</f>
        <v>Batch 3</v>
      </c>
      <c r="J2278" s="225">
        <f>IFERROR(__xludf.DUMMYFUNCTION("""COMPUTED_VALUE"""),38.0)</f>
        <v>38</v>
      </c>
      <c r="K2278" s="224">
        <f>IFERROR(__xludf.DUMMYFUNCTION("""COMPUTED_VALUE"""),304.0)</f>
        <v>304</v>
      </c>
      <c r="L2278" s="226">
        <f>IFERROR(__xludf.DUMMYFUNCTION("""COMPUTED_VALUE"""),1939330.0)</f>
        <v>1939330</v>
      </c>
      <c r="M2278" s="227">
        <f>IFERROR(__xludf.DUMMYFUNCTION("""COMPUTED_VALUE"""),5.89556158E8)</f>
        <v>589556158</v>
      </c>
      <c r="N2278" s="222" t="str">
        <f>IFERROR(__xludf.DUMMYFUNCTION("""COMPUTED_VALUE"""),"PT BAYUMI CAHAYA NUSANTARA")</f>
        <v>PT BAYUMI CAHAYA NUSANTARA</v>
      </c>
      <c r="O2278" s="222" t="str">
        <f>IFERROR(__xludf.DUMMYFUNCTION("""COMPUTED_VALUE"""),"7. GOLIVE")</f>
        <v>7. GOLIVE</v>
      </c>
      <c r="P2278" s="222" t="str">
        <f>IFERROR(__xludf.DUMMYFUNCTION("""COMPUTED_VALUE"""),"7.2 Golive Full / OA / DONE OTB")</f>
        <v>7.2 Golive Full / OA / DONE OTB</v>
      </c>
      <c r="Q2278" s="222" t="str">
        <f>IFERROR(__xludf.DUMMYFUNCTION("""COMPUTED_VALUE"""),"09/04 progres mini OLT (08/04) Mini olt Belum datang 26/03 Pengajuan Minol OLT dari 28 jan 2028 (12/03)pengajuan minol sudah diinput 28 jan 2026 , blm ada info  (11/2)kendala MINOL belum ada, lokasi Tanjung pandan, uplink ready dari kabel backbone(6/2) MI"&amp;"NOL BLM ADA 19/01 menunggu mini OLT (16/01) perapihan (06/01) progres instalasi ODP (02/01) perapian tiang, pengecatan tiang, pengecoran tiang (16/12) tarik kabel done 04/12 penarikan kabel 12D 7100/11000, 24D 7100 done (03/12) penarikan kabel 12D 1650/11"&amp;"000 (02/12) penanaman 194 tiang done (29/11)  proses penanaman tiang 132/194 (28/11) proses penanaman tiang 107/194 (27/11) proses penanaman tiang 94/194 (26/11) proses penanaman tiang 56/194 (25/11) prepare material 21/11 material onsite (19/11) material"&amp;" delivery (13/11) Besok PLan Ambil Material (11/11) sudah DRM mitra (10/11) progres drm mitra (08/11) optimis submit ABD Des-25 (2/11) Penunjukan mitra")</f>
        <v>09/04 progres mini OLT (08/04) Mini olt Belum datang 26/03 Pengajuan Minol OLT dari 28 jan 2028 (12/03)pengajuan minol sudah diinput 28 jan 2026 , blm ada info  (11/2)kendala MINOL belum ada, lokasi Tanjung pandan, uplink ready dari kabel backbone(6/2) MINOL BLM ADA 19/01 menunggu mini OLT (16/01) perapihan (06/01) progres instalasi ODP (02/01) perapian tiang, pengecatan tiang, pengecoran tiang (16/12) tarik kabel done 04/12 penarikan kabel 12D 7100/11000, 24D 7100 done (03/12) penarikan kabel 12D 1650/11000 (02/12) penanaman 194 tiang done (29/11)  proses penanaman tiang 132/194 (28/11) proses penanaman tiang 107/194 (27/11) proses penanaman tiang 94/194 (26/11) proses penanaman tiang 56/194 (25/11) prepare material 21/11 material onsite (19/11) material delivery (13/11) Besok PLan Ambil Material (11/11) sudah DRM mitra (10/11) progres drm mitra (08/11) optimis submit ABD Des-25 (2/11) Penunjukan mitra</v>
      </c>
      <c r="R2278" s="228">
        <f>IFERROR(__xludf.DUMMYFUNCTION("""COMPUTED_VALUE"""),46122.0)</f>
        <v>46122</v>
      </c>
      <c r="S2278" s="11" t="str">
        <f>IFERROR(__xludf.DUMMYFUNCTION("""COMPUTED_VALUE"""),"APR")</f>
        <v>APR</v>
      </c>
      <c r="T2278" s="11" t="str">
        <f>IFERROR(__xludf.DUMMYFUNCTION("""COMPUTED_VALUE"""),"P1")</f>
        <v>P1</v>
      </c>
      <c r="U2278" s="11"/>
      <c r="V2278" s="229"/>
      <c r="W2278" s="229"/>
      <c r="X2278" s="229" t="str">
        <f>IFERROR(__xludf.DUMMYFUNCTION("""COMPUTED_VALUE"""),"GOLIVE")</f>
        <v>GOLIVE</v>
      </c>
      <c r="Y2278" s="229" t="str">
        <f>IFERROR(__xludf.DUMMYFUNCTION("""COMPUTED_VALUE"""),"Mini OLT Not Ready, DONE")</f>
        <v>Mini OLT Not Ready, DONE</v>
      </c>
      <c r="Z2278" s="229"/>
      <c r="AA2278" s="229">
        <f>IFERROR(__xludf.DUMMYFUNCTION("""COMPUTED_VALUE"""),22.0)</f>
        <v>22</v>
      </c>
      <c r="AB2278" s="229">
        <f>IFERROR(__xludf.DUMMYFUNCTION("""COMPUTED_VALUE"""),5.0)</f>
        <v>5</v>
      </c>
      <c r="AC2278" s="229" t="str">
        <f>IFERROR(__xludf.DUMMYFUNCTION("""COMPUTED_VALUE"""),"9244914#9244919")</f>
        <v>9244914#9244919</v>
      </c>
      <c r="AD2278" s="232">
        <f>IFERROR(__xludf.DUMMYFUNCTION("""COMPUTED_VALUE"""),256.0)</f>
        <v>256</v>
      </c>
      <c r="AE2278" s="233">
        <f>IFERROR(__xludf.DUMMYFUNCTION("""COMPUTED_VALUE"""),46122.0)</f>
        <v>46122</v>
      </c>
      <c r="AF2278" s="54" t="str">
        <f>IFERROR(__xludf.DUMMYFUNCTION("""COMPUTED_VALUE"""),"DONE")</f>
        <v>DONE</v>
      </c>
      <c r="AG2278" s="54"/>
      <c r="AH2278" s="54">
        <v>46114.0</v>
      </c>
      <c r="AI2278" s="55">
        <f t="shared" si="215"/>
        <v>0</v>
      </c>
      <c r="AJ2278" s="229" t="str">
        <f t="shared" ref="AJ2278:AJ2279" si="216">if(AI2278&gt;=0,"Gl in Komitmen","Gl out komitmen")</f>
        <v>Gl in Komitmen</v>
      </c>
      <c r="AK2278" s="229" t="s">
        <v>199</v>
      </c>
      <c r="AW2278" s="234"/>
      <c r="BP2278" s="11"/>
      <c r="BQ2278" s="11"/>
      <c r="BV2278" s="158"/>
      <c r="BY2278" s="158"/>
      <c r="CB2278" s="158"/>
    </row>
    <row r="2279" ht="18.0" customHeight="1">
      <c r="A2279" s="222">
        <f>IFERROR(__xludf.DUMMYFUNCTION("""COMPUTED_VALUE"""),2026.0)</f>
        <v>2026</v>
      </c>
      <c r="B2279" s="221">
        <f>IFERROR(__xludf.DUMMYFUNCTION("""COMPUTED_VALUE"""),1.0259661E7)</f>
        <v>10259661</v>
      </c>
      <c r="C2279" s="222" t="str">
        <f>IFERROR(__xludf.DUMMYFUNCTION("""COMPUTED_VALUE"""),"SMB P7I2 Nagari kandang baru")</f>
        <v>SMB P7I2 Nagari kandang baru</v>
      </c>
      <c r="D2279" s="222" t="str">
        <f>IFERROR(__xludf.DUMMYFUNCTION("""COMPUTED_VALUE"""),"REGIONAL I")</f>
        <v>REGIONAL I</v>
      </c>
      <c r="E2279" s="222" t="str">
        <f>IFERROR(__xludf.DUMMYFUNCTION("""COMPUTED_VALUE"""),"SUMBAR")</f>
        <v>SUMBAR</v>
      </c>
      <c r="F2279" s="222" t="str">
        <f>IFERROR(__xludf.DUMMYFUNCTION("""COMPUTED_VALUE"""),"SJJ")</f>
        <v>SJJ</v>
      </c>
      <c r="G2279" s="222" t="str">
        <f>IFERROR(__xludf.DUMMYFUNCTION("""COMPUTED_VALUE"""),"SUMBAGTENG")</f>
        <v>SUMBAGTENG</v>
      </c>
      <c r="H2279" s="222" t="str">
        <f>IFERROR(__xludf.DUMMYFUNCTION("""COMPUTED_VALUE"""),"PADANG")</f>
        <v>PADANG</v>
      </c>
      <c r="I2279" s="222" t="str">
        <f>IFERROR(__xludf.DUMMYFUNCTION("""COMPUTED_VALUE"""),"Batch 3")</f>
        <v>Batch 3</v>
      </c>
      <c r="J2279" s="225">
        <f>IFERROR(__xludf.DUMMYFUNCTION("""COMPUTED_VALUE"""),8.0)</f>
        <v>8</v>
      </c>
      <c r="K2279" s="224">
        <f>IFERROR(__xludf.DUMMYFUNCTION("""COMPUTED_VALUE"""),64.0)</f>
        <v>64</v>
      </c>
      <c r="L2279" s="226">
        <f>IFERROR(__xludf.DUMMYFUNCTION("""COMPUTED_VALUE"""),1896994.0)</f>
        <v>1896994</v>
      </c>
      <c r="M2279" s="227">
        <f>IFERROR(__xludf.DUMMYFUNCTION("""COMPUTED_VALUE"""),1.2140756E8)</f>
        <v>121407560</v>
      </c>
      <c r="N2279" s="222" t="str">
        <f>IFERROR(__xludf.DUMMYFUNCTION("""COMPUTED_VALUE"""),"PT TANJUNG PUTRA PRIMA")</f>
        <v>PT TANJUNG PUTRA PRIMA</v>
      </c>
      <c r="O2279" s="222" t="str">
        <f>IFERROR(__xludf.DUMMYFUNCTION("""COMPUTED_VALUE"""),"7. GOLIVE")</f>
        <v>7. GOLIVE</v>
      </c>
      <c r="P2279" s="222" t="str">
        <f>IFERROR(__xludf.DUMMYFUNCTION("""COMPUTED_VALUE"""),"7.2 Golive Full / OA / DONE OTB")</f>
        <v>7.2 Golive Full / OA / DONE OTB</v>
      </c>
      <c r="Q2279" s="222" t="str">
        <f>IFERROR(__xludf.DUMMYFUNCTION("""COMPUTED_VALUE"""),"(16/03) menunggu SFP C++   (05/03) menunggu SFP C++  (02/03) menunggu SFP C++  (18/02) hold GL kendala red feeder tinggi, proses repair21/11 : tanam tiang  18/11 : tanam tiang   13/11 : MATDEL ke site  menunggu PID 06/11 : matdel ke site 23/10 : Proses ma"&amp;"pping mitra ")</f>
        <v>(16/03) menunggu SFP C++   (05/03) menunggu SFP C++  (02/03) menunggu SFP C++  (18/02) hold GL kendala red feeder tinggi, proses repair21/11 : tanam tiang  18/11 : tanam tiang   13/11 : MATDEL ke site  menunggu PID 06/11 : matdel ke site 23/10 : Proses mapping mitra </v>
      </c>
      <c r="R2279" s="228">
        <f>IFERROR(__xludf.DUMMYFUNCTION("""COMPUTED_VALUE"""),46114.0)</f>
        <v>46114</v>
      </c>
      <c r="S2279" s="11" t="str">
        <f>IFERROR(__xludf.DUMMYFUNCTION("""COMPUTED_VALUE"""),"MAR")</f>
        <v>MAR</v>
      </c>
      <c r="T2279" s="73"/>
      <c r="U2279" s="11"/>
      <c r="V2279" s="229" t="str">
        <f>IFERROR(__xludf.DUMMYFUNCTION("""COMPUTED_VALUE"""),"FAISAL NURHAMDI")</f>
        <v>FAISAL NURHAMDI</v>
      </c>
      <c r="W2279" s="229" t="str">
        <f>IFERROR(__xludf.DUMMYFUNCTION("""COMPUTED_VALUE"""),"MELKO NARWADI")</f>
        <v>MELKO NARWADI</v>
      </c>
      <c r="X2279" s="229" t="str">
        <f>IFERROR(__xludf.DUMMYFUNCTION("""COMPUTED_VALUE"""),"GOLIVE")</f>
        <v>GOLIVE</v>
      </c>
      <c r="Y2279" s="229" t="str">
        <f>IFERROR(__xludf.DUMMYFUNCTION("""COMPUTED_VALUE"""),"DONE")</f>
        <v>DONE</v>
      </c>
      <c r="Z2279" s="229" t="str">
        <f>IFERROR(__xludf.DUMMYFUNCTION("""COMPUTED_VALUE"""),"#N/A")</f>
        <v>#N/A</v>
      </c>
      <c r="AA2279" s="229">
        <f>IFERROR(__xludf.DUMMYFUNCTION("""COMPUTED_VALUE"""),14.0)</f>
        <v>14</v>
      </c>
      <c r="AB2279" s="229"/>
      <c r="AC2279" s="229" t="str">
        <f>IFERROR(__xludf.DUMMYFUNCTION("""COMPUTED_VALUE"""),"9078129#9078135")</f>
        <v>9078129#9078135</v>
      </c>
      <c r="AD2279" s="232">
        <f>IFERROR(__xludf.DUMMYFUNCTION("""COMPUTED_VALUE"""),112.0)</f>
        <v>112</v>
      </c>
      <c r="AE2279" s="233">
        <f>IFERROR(__xludf.DUMMYFUNCTION("""COMPUTED_VALUE"""),46114.0)</f>
        <v>46114</v>
      </c>
      <c r="AF2279" s="54"/>
      <c r="AG2279" s="54"/>
      <c r="AH2279" s="54">
        <v>46114.0</v>
      </c>
      <c r="AI2279" s="55">
        <f>IF(OR(AH2279="",AE2279=""),"",AH2279-AE2279)</f>
        <v>0</v>
      </c>
      <c r="AJ2279" s="229" t="str">
        <f t="shared" si="216"/>
        <v>Gl in Komitmen</v>
      </c>
      <c r="AK2279" s="231" t="s">
        <v>199</v>
      </c>
      <c r="AW2279" s="234"/>
      <c r="BP2279" s="11"/>
      <c r="BQ2279" s="11"/>
      <c r="BV2279" s="158"/>
      <c r="BY2279" s="158"/>
      <c r="CB2279" s="158"/>
    </row>
    <row r="2280" ht="18.0" hidden="1" customHeight="1">
      <c r="A2280" s="222">
        <f>IFERROR(__xludf.DUMMYFUNCTION("""COMPUTED_VALUE"""),2026.0)</f>
        <v>2026</v>
      </c>
      <c r="B2280" s="221">
        <f>IFERROR(__xludf.DUMMYFUNCTION("""COMPUTED_VALUE"""),1.138876E7)</f>
        <v>11388760</v>
      </c>
      <c r="C2280" s="222" t="str">
        <f>IFERROR(__xludf.DUMMYFUNCTION("""COMPUTED_VALUE"""),"SMS P2I2 PT3 PBM FAL D03 UWAIS AKBAR")</f>
        <v>SMS P2I2 PT3 PBM FAL D03 UWAIS AKBAR</v>
      </c>
      <c r="D2280" s="222" t="str">
        <f>IFERROR(__xludf.DUMMYFUNCTION("""COMPUTED_VALUE"""),"REGIONAL I")</f>
        <v>REGIONAL I</v>
      </c>
      <c r="E2280" s="222" t="str">
        <f>IFERROR(__xludf.DUMMYFUNCTION("""COMPUTED_VALUE"""),"SUMSEL")</f>
        <v>SUMSEL</v>
      </c>
      <c r="F2280" s="222" t="str">
        <f>IFERROR(__xludf.DUMMYFUNCTION("""COMPUTED_VALUE"""),"PBM")</f>
        <v>PBM</v>
      </c>
      <c r="G2280" s="222" t="str">
        <f>IFERROR(__xludf.DUMMYFUNCTION("""COMPUTED_VALUE"""),"SUMBAGSEL")</f>
        <v>SUMBAGSEL</v>
      </c>
      <c r="H2280" s="222" t="str">
        <f>IFERROR(__xludf.DUMMYFUNCTION("""COMPUTED_VALUE"""),"PALEMBANG")</f>
        <v>PALEMBANG</v>
      </c>
      <c r="I2280" s="222" t="str">
        <f>IFERROR(__xludf.DUMMYFUNCTION("""COMPUTED_VALUE"""),"Batch 3")</f>
        <v>Batch 3</v>
      </c>
      <c r="J2280" s="225">
        <f>IFERROR(__xludf.DUMMYFUNCTION("""COMPUTED_VALUE"""),2.0)</f>
        <v>2</v>
      </c>
      <c r="K2280" s="224">
        <f>IFERROR(__xludf.DUMMYFUNCTION("""COMPUTED_VALUE"""),16.0)</f>
        <v>16</v>
      </c>
      <c r="L2280" s="226">
        <f>IFERROR(__xludf.DUMMYFUNCTION("""COMPUTED_VALUE"""),1892130.0)</f>
        <v>1892130</v>
      </c>
      <c r="M2280" s="227">
        <f>IFERROR(__xludf.DUMMYFUNCTION("""COMPUTED_VALUE"""),3.0274074E7)</f>
        <v>30274074</v>
      </c>
      <c r="N2280" s="222" t="str">
        <f>IFERROR(__xludf.DUMMYFUNCTION("""COMPUTED_VALUE"""),"PT. SISCOM TECHNOLOGIES")</f>
        <v>PT. SISCOM TECHNOLOGIES</v>
      </c>
      <c r="O2280" s="222" t="str">
        <f>IFERROR(__xludf.DUMMYFUNCTION("""COMPUTED_VALUE"""),"7. GOLIVE")</f>
        <v>7. GOLIVE</v>
      </c>
      <c r="P2280" s="222" t="str">
        <f>IFERROR(__xludf.DUMMYFUNCTION("""COMPUTED_VALUE"""),"7.2 Golive Full / OA / DONE OTB")</f>
        <v>7.2 Golive Full / OA / DONE OTB</v>
      </c>
      <c r="Q2280" s="222" t="str">
        <f>IFERROR(__xludf.DUMMYFUNCTION("""COMPUTED_VALUE"""),"06/04 GOLIVE, 04/04 DONE SUBMIT ABD KE SDI, 02/04 LANJUT PROGRESS VALINS, 01/04 JUMPER QE DI FTM, 31/03 SUDAH AMBIL MATERIAL QE, 30/03 MASIH KENDALA QE DISTRIBUSI - MATERIAL QE SDH DI INPUT 27/03 BELUM ADA INFO DARI MITRA TERKAIT KENDALA QE DISTRIBUSI, 21"&amp;"/03 BELUM ADA INFO DARI MITRA TERKAIT KENDALA QE DISTRIBUSI, 13/03 koordinasi ke MTC terkait kendala QE Distribusi- mau ganti ODP dan CLosure, 06/03 masih kendala QE Distribusi- mau ganti ODP dan CLosure, 27/2 masih kendala QE Distribusi- mau ganti ODP da"&amp;"n CLosure  22/2 masih kendala QE Distribusi- mau ganti ODP dan CLosure  06/02 HASIL REVIEW TSEL PLAN GOLIVE TGL 20 FEB, (28/1) konfirm tim mtc , plan progress qe minggu ini , est  31 jan (26/1) selesai pisik , perlu qe dist (21/01 )pekerjaan panarikan kab"&amp;"el selesai, kendala butuh repair core distribusi, sdh berkoordinasi dg tim MTC untku bantu repair, 30/12 kendala QE distribusi, 23/12 kendala QE distribusi, 16/12 kendala QE distribusi, 08/12 kendala QE distribusi, 18/11 MENUNGGU GOLIVE,12/11 MENUNGGU GOL"&amp;"IVE, 10/11 menunggu data golive masuk 04/11 onprogress penarikan kabel  3/11 jumper menunngu intgrasi olt23/10 progres pemasangan odp, kendala di sto PBM habis port olt 3/11 jumper menunngu intgrasi olt23/10 progres pemasangan odp, kendala di sto PBM habi"&amp;"s port olt
15/10 material sdh d lokasi, meunggu antrian progres
08/10 mitra masih mencari armada untuk kirim material
(01/10) proses kirim material
(19/09) hasil koordinasi dg RT, dri pihak RT akan bermusyawarah dg warga dlu 15/09 Aanwijzing Done, lanjut "&amp;"proses DRM")</f>
        <v>06/04 GOLIVE, 04/04 DONE SUBMIT ABD KE SDI, 02/04 LANJUT PROGRESS VALINS, 01/04 JUMPER QE DI FTM, 31/03 SUDAH AMBIL MATERIAL QE, 30/03 MASIH KENDALA QE DISTRIBUSI - MATERIAL QE SDH DI INPUT 27/03 BELUM ADA INFO DARI MITRA TERKAIT KENDALA QE DISTRIBUSI, 21/03 BELUM ADA INFO DARI MITRA TERKAIT KENDALA QE DISTRIBUSI, 13/03 koordinasi ke MTC terkait kendala QE Distribusi- mau ganti ODP dan CLosure, 06/03 masih kendala QE Distribusi- mau ganti ODP dan CLosure, 27/2 masih kendala QE Distribusi- mau ganti ODP dan CLosure  22/2 masih kendala QE Distribusi- mau ganti ODP dan CLosure  06/02 HASIL REVIEW TSEL PLAN GOLIVE TGL 20 FEB, (28/1) konfirm tim mtc , plan progress qe minggu ini , est  31 jan (26/1) selesai pisik , perlu qe dist (21/01 )pekerjaan panarikan kabel selesai, kendala butuh repair core distribusi, sdh berkoordinasi dg tim MTC untku bantu repair, 30/12 kendala QE distribusi, 23/12 kendala QE distribusi, 16/12 kendala QE distribusi, 08/12 kendala QE distribusi, 18/11 MENUNGGU GOLIVE,12/11 MENUNGGU GOLIVE, 10/11 menunggu data golive masuk 04/11 onprogress penarikan kabel  3/11 jumper menunngu intgrasi olt23/10 progres pemasangan odp, kendala di sto PBM habis port olt 3/11 jumper menunngu intgrasi olt23/10 progres pemasangan odp, kendala di sto PBM habis port olt
15/10 material sdh d lokasi, meunggu antrian progres
08/10 mitra masih mencari armada untuk kirim material
(01/10) proses kirim material
(19/09) hasil koordinasi dg RT, dri pihak RT akan bermusyawarah dg warga dlu 15/09 Aanwijzing Done, lanjut proses DRM</v>
      </c>
      <c r="R2280" s="228">
        <f>IFERROR(__xludf.DUMMYFUNCTION("""COMPUTED_VALUE"""),46117.0)</f>
        <v>46117</v>
      </c>
      <c r="S2280" s="11" t="str">
        <f>IFERROR(__xludf.DUMMYFUNCTION("""COMPUTED_VALUE"""),"APR")</f>
        <v>APR</v>
      </c>
      <c r="T2280" s="73" t="str">
        <f>IFERROR(__xludf.DUMMYFUNCTION("""COMPUTED_VALUE"""),"P1")</f>
        <v>P1</v>
      </c>
      <c r="U2280" s="11"/>
      <c r="V2280" s="229" t="str">
        <f>IFERROR(__xludf.DUMMYFUNCTION("""COMPUTED_VALUE"""),"PUTRA")</f>
        <v>PUTRA</v>
      </c>
      <c r="W2280" s="229"/>
      <c r="X2280" s="229" t="str">
        <f>IFERROR(__xludf.DUMMYFUNCTION("""COMPUTED_VALUE"""),"GOLIVE")</f>
        <v>GOLIVE</v>
      </c>
      <c r="Y2280" s="229" t="str">
        <f>IFERROR(__xludf.DUMMYFUNCTION("""COMPUTED_VALUE"""),"DONE")</f>
        <v>DONE</v>
      </c>
      <c r="Z2280" s="229" t="str">
        <f>IFERROR(__xludf.DUMMYFUNCTION("""COMPUTED_VALUE"""),"#N/A")</f>
        <v>#N/A</v>
      </c>
      <c r="AA2280" s="229">
        <f>IFERROR(__xludf.DUMMYFUNCTION("""COMPUTED_VALUE"""),1.0)</f>
        <v>1</v>
      </c>
      <c r="AB2280" s="229"/>
      <c r="AC2280" s="229" t="str">
        <f>IFERROR(__xludf.DUMMYFUNCTION("""COMPUTED_VALUE"""),"9013947#9013954")</f>
        <v>9013947#9013954</v>
      </c>
      <c r="AD2280" s="232">
        <f>IFERROR(__xludf.DUMMYFUNCTION("""COMPUTED_VALUE"""),8.0)</f>
        <v>8</v>
      </c>
      <c r="AE2280" s="233">
        <f>IFERROR(__xludf.DUMMYFUNCTION("""COMPUTED_VALUE"""),46117.0)</f>
        <v>46117</v>
      </c>
      <c r="AF2280" s="54"/>
      <c r="AG2280" s="54"/>
      <c r="AH2280" s="54">
        <v>46117.0</v>
      </c>
      <c r="AI2280" s="55">
        <f t="shared" ref="AI2280:AI2288" si="217">IF(OR(R2280="",AE2280=""),"",R2280-AE2280)</f>
        <v>0</v>
      </c>
      <c r="AW2280" s="234"/>
      <c r="BP2280" s="11"/>
      <c r="BQ2280" s="11"/>
      <c r="BV2280" s="158"/>
      <c r="BY2280" s="158"/>
      <c r="CB2280" s="158"/>
    </row>
    <row r="2281" ht="18.0" hidden="1" customHeight="1">
      <c r="A2281" s="222">
        <f>IFERROR(__xludf.DUMMYFUNCTION("""COMPUTED_VALUE"""),2026.0)</f>
        <v>2026</v>
      </c>
      <c r="B2281" s="221">
        <f>IFERROR(__xludf.DUMMYFUNCTION("""COMPUTED_VALUE"""),1.1389115E7)</f>
        <v>11389115</v>
      </c>
      <c r="C2281" s="222" t="str">
        <f>IFERROR(__xludf.DUMMYFUNCTION("""COMPUTED_VALUE"""),"ACH PT4 KFR-FQ LIMAU PURUT")</f>
        <v>ACH PT4 KFR-FQ LIMAU PURUT</v>
      </c>
      <c r="D2281" s="222" t="str">
        <f>IFERROR(__xludf.DUMMYFUNCTION("""COMPUTED_VALUE"""),"REGIONAL I")</f>
        <v>REGIONAL I</v>
      </c>
      <c r="E2281" s="222" t="str">
        <f>IFERROR(__xludf.DUMMYFUNCTION("""COMPUTED_VALUE"""),"ACEH")</f>
        <v>ACEH</v>
      </c>
      <c r="F2281" s="222" t="str">
        <f>IFERROR(__xludf.DUMMYFUNCTION("""COMPUTED_VALUE"""),"KFR")</f>
        <v>KFR</v>
      </c>
      <c r="G2281" s="222" t="str">
        <f>IFERROR(__xludf.DUMMYFUNCTION("""COMPUTED_VALUE"""),"SUMBAGUT")</f>
        <v>SUMBAGUT</v>
      </c>
      <c r="H2281" s="222" t="str">
        <f>IFERROR(__xludf.DUMMYFUNCTION("""COMPUTED_VALUE"""),"BANDA ACEH")</f>
        <v>BANDA ACEH</v>
      </c>
      <c r="I2281" s="222" t="str">
        <f>IFERROR(__xludf.DUMMYFUNCTION("""COMPUTED_VALUE"""),"Batch 3")</f>
        <v>Batch 3</v>
      </c>
      <c r="J2281" s="225">
        <f>IFERROR(__xludf.DUMMYFUNCTION("""COMPUTED_VALUE"""),48.0)</f>
        <v>48</v>
      </c>
      <c r="K2281" s="224">
        <f>IFERROR(__xludf.DUMMYFUNCTION("""COMPUTED_VALUE"""),384.0)</f>
        <v>384</v>
      </c>
      <c r="L2281" s="226">
        <f>IFERROR(__xludf.DUMMYFUNCTION("""COMPUTED_VALUE"""),1872821.0)</f>
        <v>1872821</v>
      </c>
      <c r="M2281" s="227">
        <f>IFERROR(__xludf.DUMMYFUNCTION("""COMPUTED_VALUE"""),7.19163157E8)</f>
        <v>719163157</v>
      </c>
      <c r="N2281" s="222" t="str">
        <f>IFERROR(__xludf.DUMMYFUNCTION("""COMPUTED_VALUE"""),"PT ASWA KARYA DIFA")</f>
        <v>PT ASWA KARYA DIFA</v>
      </c>
      <c r="O2281" s="222" t="str">
        <f>IFERROR(__xludf.DUMMYFUNCTION("""COMPUTED_VALUE"""),"5. INSTALASI")</f>
        <v>5. INSTALASI</v>
      </c>
      <c r="P2281" s="222" t="str">
        <f>IFERROR(__xludf.DUMMYFUNCTION("""COMPUTED_VALUE"""),"5.9 Proses Pemasangan/Terminasi ODP/OTB")</f>
        <v>5.9 Proses Pemasangan/Terminasi ODP/OTB</v>
      </c>
      <c r="Q2281" s="222" t="str">
        <f>IFERROR(__xludf.DUMMYFUNCTION("""COMPUTED_VALUE"""),"(21/04) Tanam Tiang dan Penarikan Kabel (16/04) Tanam Tiang dan Penarikan Kabel (25/03) Waiting kekurangan Material (10/03) Menunggu Material Ready - Kekurangan (27/02) Terminasi Join dan Penarikan Kabel (11/02)terminasi (29/01) Progres  terkendala dengan"&amp;" izin tanam tiang di tanah warga (21/01) Penarikan Kabel")</f>
        <v>(21/04) Tanam Tiang dan Penarikan Kabel (16/04) Tanam Tiang dan Penarikan Kabel (25/03) Waiting kekurangan Material (10/03) Menunggu Material Ready - Kekurangan (27/02) Terminasi Join dan Penarikan Kabel (11/02)terminasi (29/01) Progres  terkendala dengan izin tanam tiang di tanah warga (21/01) Penarikan Kabel</v>
      </c>
      <c r="R2281" s="228">
        <f>IFERROR(__xludf.DUMMYFUNCTION("""COMPUTED_VALUE"""),46142.0)</f>
        <v>46142</v>
      </c>
      <c r="S2281" s="11" t="str">
        <f>IFERROR(__xludf.DUMMYFUNCTION("""COMPUTED_VALUE"""),"APR")</f>
        <v>APR</v>
      </c>
      <c r="T2281" s="73"/>
      <c r="U2281" s="11"/>
      <c r="V2281" s="229"/>
      <c r="W2281" s="229" t="str">
        <f>IFERROR(__xludf.DUMMYFUNCTION("""COMPUTED_VALUE"""),"#N/A")</f>
        <v>#N/A</v>
      </c>
      <c r="X2281" s="229" t="str">
        <f>IFERROR(__xludf.DUMMYFUNCTION("""COMPUTED_VALUE"""),"BELUM GOLIVE")</f>
        <v>BELUM GOLIVE</v>
      </c>
      <c r="Y2281" s="229"/>
      <c r="Z2281" s="229" t="str">
        <f>IFERROR(__xludf.DUMMYFUNCTION("""COMPUTED_VALUE"""),"#N/A")</f>
        <v>#N/A</v>
      </c>
      <c r="AA2281" s="229"/>
      <c r="AB2281" s="229"/>
      <c r="AC2281" s="229"/>
      <c r="AD2281" s="232"/>
      <c r="AE2281" s="233"/>
      <c r="AF2281" s="54"/>
      <c r="AG2281" s="54"/>
      <c r="AH2281" s="54">
        <v>46132.0</v>
      </c>
      <c r="AI2281" s="55" t="str">
        <f t="shared" si="217"/>
        <v/>
      </c>
      <c r="AW2281" s="234"/>
      <c r="BP2281" s="11"/>
      <c r="BQ2281" s="11"/>
      <c r="BV2281" s="158"/>
      <c r="BY2281" s="158"/>
      <c r="CB2281" s="158"/>
    </row>
    <row r="2282" ht="18.0" hidden="1" customHeight="1">
      <c r="A2282" s="222">
        <f>IFERROR(__xludf.DUMMYFUNCTION("""COMPUTED_VALUE"""),2026.0)</f>
        <v>2026</v>
      </c>
      <c r="B2282" s="221">
        <f>IFERROR(__xludf.DUMMYFUNCTION("""COMPUTED_VALUE"""),1.2439452E7)</f>
        <v>12439452</v>
      </c>
      <c r="C2282" s="222" t="str">
        <f>IFERROR(__xludf.DUMMYFUNCTION("""COMPUTED_VALUE"""),"BBL PT4 P4I4 DESA RADJIK - SEBAGIN CSF")</f>
        <v>BBL PT4 P4I4 DESA RADJIK - SEBAGIN CSF</v>
      </c>
      <c r="D2282" s="222" t="str">
        <f>IFERROR(__xludf.DUMMYFUNCTION("""COMPUTED_VALUE"""),"REGIONAL I")</f>
        <v>REGIONAL I</v>
      </c>
      <c r="E2282" s="222" t="str">
        <f>IFERROR(__xludf.DUMMYFUNCTION("""COMPUTED_VALUE"""),"BABEL")</f>
        <v>BABEL</v>
      </c>
      <c r="F2282" s="222" t="str">
        <f>IFERROR(__xludf.DUMMYFUNCTION("""COMPUTED_VALUE"""),"TBI")</f>
        <v>TBI</v>
      </c>
      <c r="G2282" s="222" t="str">
        <f>IFERROR(__xludf.DUMMYFUNCTION("""COMPUTED_VALUE"""),"SUMBAGSEL")</f>
        <v>SUMBAGSEL</v>
      </c>
      <c r="H2282" s="222" t="str">
        <f>IFERROR(__xludf.DUMMYFUNCTION("""COMPUTED_VALUE"""),"PANGKAL PINANG")</f>
        <v>PANGKAL PINANG</v>
      </c>
      <c r="I2282" s="222" t="str">
        <f>IFERROR(__xludf.DUMMYFUNCTION("""COMPUTED_VALUE"""),"Batch 3")</f>
        <v>Batch 3</v>
      </c>
      <c r="J2282" s="225">
        <f>IFERROR(__xludf.DUMMYFUNCTION("""COMPUTED_VALUE"""),121.0)</f>
        <v>121</v>
      </c>
      <c r="K2282" s="224">
        <f>IFERROR(__xludf.DUMMYFUNCTION("""COMPUTED_VALUE"""),968.0)</f>
        <v>968</v>
      </c>
      <c r="L2282" s="226">
        <f>IFERROR(__xludf.DUMMYFUNCTION("""COMPUTED_VALUE"""),1843869.0)</f>
        <v>1843869</v>
      </c>
      <c r="M2282" s="227">
        <f>IFERROR(__xludf.DUMMYFUNCTION("""COMPUTED_VALUE"""),1.784864958E9)</f>
        <v>1784864958</v>
      </c>
      <c r="N2282" s="222" t="str">
        <f>IFERROR(__xludf.DUMMYFUNCTION("""COMPUTED_VALUE"""),"PT Raharja Prakarsa Nusantara")</f>
        <v>PT Raharja Prakarsa Nusantara</v>
      </c>
      <c r="O2282" s="222" t="str">
        <f>IFERROR(__xludf.DUMMYFUNCTION("""COMPUTED_VALUE"""),"7. GOLIVE")</f>
        <v>7. GOLIVE</v>
      </c>
      <c r="P2282" s="222" t="str">
        <f>IFERROR(__xludf.DUMMYFUNCTION("""COMPUTED_VALUE"""),"7.1 Golive Parsial")</f>
        <v>7.1 Golive Parsial</v>
      </c>
      <c r="Q2282" s="222" t="str">
        <f>IFERROR(__xludf.DUMMYFUNCTION("""COMPUTED_VALUE"""),"13/04 terminasi ODP (07/04) Terkendala pemindahan ODC dari perkarangan Rumah Warga Pararel terminasi ODP 02/04 progres instal ODP (26/03) tarik kabel KT 24/02 penarikan kabel (18/2) tarik kabel     , tanam tiang  00/250 , galian  11400/12000(13/02) penari"&amp;"kan kabel (12/02) proses galian 10230/12850, penarikan kabel (06/02) Proses Galian 9830/12700 (28/1) progress galian / cor titik jembatan(26/01) gali dan tutup lobang 9110/12850 (21/01) gali dan tutup lobang 8110/12850 (19/01) gali dan tutup lobang 7110/1"&amp;"2850 (13/01)  gali dan tutup lobang 6710/12850 (09/01)  gali dan tutup lobang 5710/12850 (07/01) gali dan tutup lobang 5350/12850 (16/12) hold, gali rojok 03/12 galian rojok 1410/12850 (2/12) galian rojok 1230/12850 (29/11) galian rojok 830/12850 (27/11) "&amp;"galian rojok 430/12850 (26/11) galian rojok 270 meter (25/11) galian rojok (24/11) DRM mitra (21/11) created PID (17/11) sudah aanwijzing, menunggu material  14/11 Reschedule tanggal aanwijzing menjadi 17 November 10/11 proses anwijzing 6/11 Penunjukan mi"&amp;"tra")</f>
        <v>13/04 terminasi ODP (07/04) Terkendala pemindahan ODC dari perkarangan Rumah Warga Pararel terminasi ODP 02/04 progres instal ODP (26/03) tarik kabel KT 24/02 penarikan kabel (18/2) tarik kabel     , tanam tiang  00/250 , galian  11400/12000(13/02) penarikan kabel (12/02) proses galian 10230/12850, penarikan kabel (06/02) Proses Galian 9830/12700 (28/1) progress galian / cor titik jembatan(26/01) gali dan tutup lobang 9110/12850 (21/01) gali dan tutup lobang 8110/12850 (19/01) gali dan tutup lobang 7110/12850 (13/01)  gali dan tutup lobang 6710/12850 (09/01)  gali dan tutup lobang 5710/12850 (07/01) gali dan tutup lobang 5350/12850 (16/12) hold, gali rojok 03/12 galian rojok 1410/12850 (2/12) galian rojok 1230/12850 (29/11) galian rojok 830/12850 (27/11) galian rojok 430/12850 (26/11) galian rojok 270 meter (25/11) galian rojok (24/11) DRM mitra (21/11) created PID (17/11) sudah aanwijzing, menunggu material  14/11 Reschedule tanggal aanwijzing menjadi 17 November 10/11 proses anwijzing 6/11 Penunjukan mitra</v>
      </c>
      <c r="R2282" s="228">
        <f>IFERROR(__xludf.DUMMYFUNCTION("""COMPUTED_VALUE"""),46125.0)</f>
        <v>46125</v>
      </c>
      <c r="S2282" s="11" t="str">
        <f>IFERROR(__xludf.DUMMYFUNCTION("""COMPUTED_VALUE"""),"APR")</f>
        <v>APR</v>
      </c>
      <c r="T2282" s="73" t="str">
        <f>IFERROR(__xludf.DUMMYFUNCTION("""COMPUTED_VALUE"""),"P1")</f>
        <v>P1</v>
      </c>
      <c r="U2282" s="11"/>
      <c r="V2282" s="229"/>
      <c r="W2282" s="229"/>
      <c r="X2282" s="229" t="str">
        <f>IFERROR(__xludf.DUMMYFUNCTION("""COMPUTED_VALUE"""),"GOLIVE")</f>
        <v>GOLIVE</v>
      </c>
      <c r="Y2282" s="229" t="str">
        <f>IFERROR(__xludf.DUMMYFUNCTION("""COMPUTED_VALUE"""),"Golive Parsial")</f>
        <v>Golive Parsial</v>
      </c>
      <c r="Z2282" s="229" t="str">
        <f>IFERROR(__xludf.DUMMYFUNCTION("""COMPUTED_VALUE"""),"#N/A")</f>
        <v>#N/A</v>
      </c>
      <c r="AA2282" s="229">
        <f>IFERROR(__xludf.DUMMYFUNCTION("""COMPUTED_VALUE"""),11.0)</f>
        <v>11</v>
      </c>
      <c r="AB2282" s="229">
        <f>IFERROR(__xludf.DUMMYFUNCTION("""COMPUTED_VALUE"""),9.0)</f>
        <v>9</v>
      </c>
      <c r="AC2282" s="229" t="str">
        <f>IFERROR(__xludf.DUMMYFUNCTION("""COMPUTED_VALUE"""),"9269496#9269502")</f>
        <v>9269496#9269502</v>
      </c>
      <c r="AD2282" s="232">
        <f>IFERROR(__xludf.DUMMYFUNCTION("""COMPUTED_VALUE"""),240.0)</f>
        <v>240</v>
      </c>
      <c r="AE2282" s="233">
        <f>IFERROR(__xludf.DUMMYFUNCTION("""COMPUTED_VALUE"""),46125.0)</f>
        <v>46125</v>
      </c>
      <c r="AF2282" s="54"/>
      <c r="AG2282" s="54"/>
      <c r="AH2282" s="54">
        <v>46125.0</v>
      </c>
      <c r="AI2282" s="55">
        <f t="shared" si="217"/>
        <v>0</v>
      </c>
      <c r="AW2282" s="234"/>
      <c r="BP2282" s="11"/>
      <c r="BQ2282" s="11"/>
      <c r="BV2282" s="158"/>
      <c r="BY2282" s="158"/>
      <c r="CB2282" s="158"/>
    </row>
    <row r="2283" ht="18.0" hidden="1" customHeight="1">
      <c r="A2283" s="222">
        <f>IFERROR(__xludf.DUMMYFUNCTION("""COMPUTED_VALUE"""),2026.0)</f>
        <v>2026</v>
      </c>
      <c r="B2283" s="221">
        <f>IFERROR(__xludf.DUMMYFUNCTION("""COMPUTED_VALUE"""),1.2386381E7)</f>
        <v>12386381</v>
      </c>
      <c r="C2283" s="222" t="str">
        <f>IFERROR(__xludf.DUMMYFUNCTION("""COMPUTED_VALUE"""),"BBL PT4 P4I3 Aidila Mualim")</f>
        <v>BBL PT4 P4I3 Aidila Mualim</v>
      </c>
      <c r="D2283" s="222" t="str">
        <f>IFERROR(__xludf.DUMMYFUNCTION("""COMPUTED_VALUE"""),"REGIONAL I")</f>
        <v>REGIONAL I</v>
      </c>
      <c r="E2283" s="222" t="str">
        <f>IFERROR(__xludf.DUMMYFUNCTION("""COMPUTED_VALUE"""),"BABEL")</f>
        <v>BABEL</v>
      </c>
      <c r="F2283" s="222" t="str">
        <f>IFERROR(__xludf.DUMMYFUNCTION("""COMPUTED_VALUE"""),"JBS")</f>
        <v>JBS</v>
      </c>
      <c r="G2283" s="222" t="str">
        <f>IFERROR(__xludf.DUMMYFUNCTION("""COMPUTED_VALUE"""),"SUMBAGSEL")</f>
        <v>SUMBAGSEL</v>
      </c>
      <c r="H2283" s="222" t="str">
        <f>IFERROR(__xludf.DUMMYFUNCTION("""COMPUTED_VALUE"""),"PANGKAL PINANG")</f>
        <v>PANGKAL PINANG</v>
      </c>
      <c r="I2283" s="222" t="str">
        <f>IFERROR(__xludf.DUMMYFUNCTION("""COMPUTED_VALUE"""),"Batch 3")</f>
        <v>Batch 3</v>
      </c>
      <c r="J2283" s="225">
        <f>IFERROR(__xludf.DUMMYFUNCTION("""COMPUTED_VALUE"""),12.0)</f>
        <v>12</v>
      </c>
      <c r="K2283" s="224">
        <f>IFERROR(__xludf.DUMMYFUNCTION("""COMPUTED_VALUE"""),96.0)</f>
        <v>96</v>
      </c>
      <c r="L2283" s="226">
        <f>IFERROR(__xludf.DUMMYFUNCTION("""COMPUTED_VALUE"""),1840799.0)</f>
        <v>1840799</v>
      </c>
      <c r="M2283" s="227">
        <f>IFERROR(__xludf.DUMMYFUNCTION("""COMPUTED_VALUE"""),1.76716651E8)</f>
        <v>176716651</v>
      </c>
      <c r="N2283" s="222" t="str">
        <f>IFERROR(__xludf.DUMMYFUNCTION("""COMPUTED_VALUE"""),"PT SARANA MITRA PERSADA")</f>
        <v>PT SARANA MITRA PERSADA</v>
      </c>
      <c r="O2283" s="222" t="str">
        <f>IFERROR(__xludf.DUMMYFUNCTION("""COMPUTED_VALUE"""),"7. GOLIVE")</f>
        <v>7. GOLIVE</v>
      </c>
      <c r="P2283" s="222" t="str">
        <f>IFERROR(__xludf.DUMMYFUNCTION("""COMPUTED_VALUE"""),"7.2 Golive Full / OA / DONE OTB")</f>
        <v>7.2 Golive Full / OA / DONE OTB</v>
      </c>
      <c r="Q2283" s="222" t="str">
        <f>IFERROR(__xludf.DUMMYFUNCTION("""COMPUTED_VALUE"""),"02/04 GOLIVE (01/04) FINISH INSTALASI (31/03) penarikan kabel (26/03) penarikan kabel 24D 2800m (25/03) penanaman tiang 14 batang (16/03) penarikan kabel (13/03) pengambilan material (12/03) req material (16/2) mitra smp kendala operasional (13/2) mitra s"&amp;"mp kendala budget , konfirm ulang(26/01) matdel (16/12) hold selesai anwijzing 28/11 plan golive 16 desember (05/11) penunjukkan mitra")</f>
        <v>02/04 GOLIVE (01/04) FINISH INSTALASI (31/03) penarikan kabel (26/03) penarikan kabel 24D 2800m (25/03) penanaman tiang 14 batang (16/03) penarikan kabel (13/03) pengambilan material (12/03) req material (16/2) mitra smp kendala operasional (13/2) mitra smp kendala budget , konfirm ulang(26/01) matdel (16/12) hold selesai anwijzing 28/11 plan golive 16 desember (05/11) penunjukkan mitra</v>
      </c>
      <c r="R2283" s="228">
        <f>IFERROR(__xludf.DUMMYFUNCTION("""COMPUTED_VALUE"""),46114.0)</f>
        <v>46114</v>
      </c>
      <c r="S2283" s="11" t="str">
        <f>IFERROR(__xludf.DUMMYFUNCTION("""COMPUTED_VALUE"""),"APR")</f>
        <v>APR</v>
      </c>
      <c r="T2283" s="11" t="str">
        <f>IFERROR(__xludf.DUMMYFUNCTION("""COMPUTED_VALUE"""),"P1")</f>
        <v>P1</v>
      </c>
      <c r="U2283" s="11"/>
      <c r="V2283" s="229"/>
      <c r="W2283" s="229"/>
      <c r="X2283" s="229" t="str">
        <f>IFERROR(__xludf.DUMMYFUNCTION("""COMPUTED_VALUE"""),"GOLIVE")</f>
        <v>GOLIVE</v>
      </c>
      <c r="Y2283" s="229" t="str">
        <f>IFERROR(__xludf.DUMMYFUNCTION("""COMPUTED_VALUE"""),"DONE")</f>
        <v>DONE</v>
      </c>
      <c r="Z2283" s="229" t="str">
        <f>IFERROR(__xludf.DUMMYFUNCTION("""COMPUTED_VALUE"""),"#N/A")</f>
        <v>#N/A</v>
      </c>
      <c r="AA2283" s="229"/>
      <c r="AB2283" s="229">
        <f>IFERROR(__xludf.DUMMYFUNCTION("""COMPUTED_VALUE"""),6.0)</f>
        <v>6</v>
      </c>
      <c r="AC2283" s="229" t="str">
        <f>IFERROR(__xludf.DUMMYFUNCTION("""COMPUTED_VALUE"""),"9235349#9235354")</f>
        <v>9235349#9235354</v>
      </c>
      <c r="AD2283" s="232">
        <f>IFERROR(__xludf.DUMMYFUNCTION("""COMPUTED_VALUE"""),96.0)</f>
        <v>96</v>
      </c>
      <c r="AE2283" s="233">
        <f>IFERROR(__xludf.DUMMYFUNCTION("""COMPUTED_VALUE"""),46114.0)</f>
        <v>46114</v>
      </c>
      <c r="AF2283" s="54" t="str">
        <f>IFERROR(__xludf.DUMMYFUNCTION("""COMPUTED_VALUE"""),"DONE")</f>
        <v>DONE</v>
      </c>
      <c r="AG2283" s="54"/>
      <c r="AH2283" s="54">
        <v>46114.0</v>
      </c>
      <c r="AI2283" s="55">
        <f t="shared" si="217"/>
        <v>0</v>
      </c>
      <c r="AW2283" s="234"/>
      <c r="BP2283" s="11"/>
      <c r="BQ2283" s="11"/>
      <c r="BV2283" s="158"/>
      <c r="BY2283" s="158"/>
      <c r="CB2283" s="158"/>
    </row>
    <row r="2284" ht="18.0" hidden="1" customHeight="1">
      <c r="A2284" s="222">
        <f>IFERROR(__xludf.DUMMYFUNCTION("""COMPUTED_VALUE"""),2026.0)</f>
        <v>2026</v>
      </c>
      <c r="B2284" s="221">
        <f>IFERROR(__xludf.DUMMYFUNCTION("""COMPUTED_VALUE"""),1.1378158E7)</f>
        <v>11378158</v>
      </c>
      <c r="C2284" s="222" t="str">
        <f>IFERROR(__xludf.DUMMYFUNCTION("""COMPUTED_VALUE"""),"SMS P2I2 PT3 KAG FB D10 BANDING ANYAR")</f>
        <v>SMS P2I2 PT3 KAG FB D10 BANDING ANYAR</v>
      </c>
      <c r="D2284" s="222" t="str">
        <f>IFERROR(__xludf.DUMMYFUNCTION("""COMPUTED_VALUE"""),"REGIONAL I")</f>
        <v>REGIONAL I</v>
      </c>
      <c r="E2284" s="222" t="str">
        <f>IFERROR(__xludf.DUMMYFUNCTION("""COMPUTED_VALUE"""),"SUMSEL")</f>
        <v>SUMSEL</v>
      </c>
      <c r="F2284" s="222" t="str">
        <f>IFERROR(__xludf.DUMMYFUNCTION("""COMPUTED_VALUE"""),"KAG")</f>
        <v>KAG</v>
      </c>
      <c r="G2284" s="222" t="str">
        <f>IFERROR(__xludf.DUMMYFUNCTION("""COMPUTED_VALUE"""),"SUMBAGSEL")</f>
        <v>SUMBAGSEL</v>
      </c>
      <c r="H2284" s="222" t="str">
        <f>IFERROR(__xludf.DUMMYFUNCTION("""COMPUTED_VALUE"""),"PALEMBANG")</f>
        <v>PALEMBANG</v>
      </c>
      <c r="I2284" s="222" t="str">
        <f>IFERROR(__xludf.DUMMYFUNCTION("""COMPUTED_VALUE"""),"Batch 3")</f>
        <v>Batch 3</v>
      </c>
      <c r="J2284" s="225">
        <f>IFERROR(__xludf.DUMMYFUNCTION("""COMPUTED_VALUE"""),13.0)</f>
        <v>13</v>
      </c>
      <c r="K2284" s="224">
        <f>IFERROR(__xludf.DUMMYFUNCTION("""COMPUTED_VALUE"""),104.0)</f>
        <v>104</v>
      </c>
      <c r="L2284" s="226">
        <f>IFERROR(__xludf.DUMMYFUNCTION("""COMPUTED_VALUE"""),1839986.0)</f>
        <v>1839986</v>
      </c>
      <c r="M2284" s="227">
        <f>IFERROR(__xludf.DUMMYFUNCTION("""COMPUTED_VALUE"""),1.91358516E8)</f>
        <v>191358516</v>
      </c>
      <c r="N2284" s="222" t="str">
        <f>IFERROR(__xludf.DUMMYFUNCTION("""COMPUTED_VALUE"""),"PT SARANA MITRA PERSADA")</f>
        <v>PT SARANA MITRA PERSADA</v>
      </c>
      <c r="O2284" s="222" t="str">
        <f>IFERROR(__xludf.DUMMYFUNCTION("""COMPUTED_VALUE"""),"8. UJI TERIMA")</f>
        <v>8. UJI TERIMA</v>
      </c>
      <c r="P2284" s="222" t="str">
        <f>IFERROR(__xludf.DUMMYFUNCTION("""COMPUTED_VALUE"""),"8.1 Proses UT")</f>
        <v>8.1 Proses UT</v>
      </c>
      <c r="Q2284" s="222" t="str">
        <f>IFERROR(__xludf.DUMMYFUNCTION("""COMPUTED_VALUE"""),"(24/1) golive 24 jan 2026 (21/01) selesai fisik, data abd sdh masuk ke sdi untuk golive, 21/11 selesai fisik menunggu join dan pemasangan ODP, (18/11) KABEL24-4000/4000 , KABEL12-2040/2040 , TIANG16/16 (15/11) tarik kabel24 =1300/4000 , kabel 12=2040/2040"&amp;" , tiang 16/16   (14/11) proses penarikan kabel, 13/11 GALI LOBANG DAN PENANAMAN TIANG12/11 GALI LOBANG DAN PENANAMAN TIANG 10/11 delivery material 04/11 sudah aanwidjzing 3/11 sudah aanwidjzing 09/10 proses perizinan dengan Kades 08/10 selesai survey uln"&amp;"g dg mitra SMP, proses pembuatan DRM mtra
01/10 peralihan mitra ke SMP. (19/09) belum dpt konfirm dri mitra CCSI untuk lanjut Progres atau tidak
16/9 menunggu konfirm mitra CCSI untuk lanjut proses PR PO
(09/09) menunggu konfirm mitra CCSI untuk lanjut pr"&amp;"oses PR PO
(29/08) proses PR PO Ke mitra CCSI
(25/08) tgl 25/08 aanwijzinf dg sales tsel, perubahan mitra menjadi PT CCSI
(19/08) menunggu jadwal aanwizjing bareng sales
(14/08) menunggu jadwal aanwizjing bareng sales
(05/08) buat janji dg sales untuk aan"&amp;"wizjing")</f>
        <v>(24/1) golive 24 jan 2026 (21/01) selesai fisik, data abd sdh masuk ke sdi untuk golive, 21/11 selesai fisik menunggu join dan pemasangan ODP, (18/11) KABEL24-4000/4000 , KABEL12-2040/2040 , TIANG16/16 (15/11) tarik kabel24 =1300/4000 , kabel 12=2040/2040 , tiang 16/16   (14/11) proses penarikan kabel, 13/11 GALI LOBANG DAN PENANAMAN TIANG12/11 GALI LOBANG DAN PENANAMAN TIANG 10/11 delivery material 04/11 sudah aanwidjzing 3/11 sudah aanwidjzing 09/10 proses perizinan dengan Kades 08/10 selesai survey ulng dg mitra SMP, proses pembuatan DRM mtra
01/10 peralihan mitra ke SMP. (19/09) belum dpt konfirm dri mitra CCSI untuk lanjut Progres atau tidak
16/9 menunggu konfirm mitra CCSI untuk lanjut proses PR PO
(09/09) menunggu konfirm mitra CCSI untuk lanjut proses PR PO
(29/08) proses PR PO Ke mitra CCSI
(25/08) tgl 25/08 aanwijzinf dg sales tsel, perubahan mitra menjadi PT CCSI
(19/08) menunggu jadwal aanwizjing bareng sales
(14/08) menunggu jadwal aanwizjing bareng sales
(05/08) buat janji dg sales untuk aanwizjing</v>
      </c>
      <c r="R2284" s="228"/>
      <c r="S2284" s="11"/>
      <c r="T2284" s="11"/>
      <c r="U2284" s="11"/>
      <c r="V2284" s="229" t="str">
        <f>IFERROR(__xludf.DUMMYFUNCTION("""COMPUTED_VALUE"""),"PUTRA")</f>
        <v>PUTRA</v>
      </c>
      <c r="W2284" s="229"/>
      <c r="X2284" s="229" t="str">
        <f>IFERROR(__xludf.DUMMYFUNCTION("""COMPUTED_VALUE"""),"GOLIVE")</f>
        <v>GOLIVE</v>
      </c>
      <c r="Y2284" s="229" t="str">
        <f>IFERROR(__xludf.DUMMYFUNCTION("""COMPUTED_VALUE"""),"DONE")</f>
        <v>DONE</v>
      </c>
      <c r="Z2284" s="229" t="str">
        <f>IFERROR(__xludf.DUMMYFUNCTION("""COMPUTED_VALUE"""),"#N/A")</f>
        <v>#N/A</v>
      </c>
      <c r="AA2284" s="229">
        <f>IFERROR(__xludf.DUMMYFUNCTION("""COMPUTED_VALUE"""),7.0)</f>
        <v>7</v>
      </c>
      <c r="AB2284" s="229"/>
      <c r="AC2284" s="229" t="str">
        <f>IFERROR(__xludf.DUMMYFUNCTION("""COMPUTED_VALUE"""),"8151709#8151714")</f>
        <v>8151709#8151714</v>
      </c>
      <c r="AD2284" s="232">
        <f>IFERROR(__xludf.DUMMYFUNCTION("""COMPUTED_VALUE"""),56.0)</f>
        <v>56</v>
      </c>
      <c r="AE2284" s="233">
        <f>IFERROR(__xludf.DUMMYFUNCTION("""COMPUTED_VALUE"""),46046.0)</f>
        <v>46046</v>
      </c>
      <c r="AF2284" s="54"/>
      <c r="AG2284" s="54"/>
      <c r="AH2284" s="54"/>
      <c r="AI2284" s="55" t="str">
        <f t="shared" si="217"/>
        <v/>
      </c>
      <c r="AW2284" s="234"/>
      <c r="BP2284" s="11"/>
      <c r="BQ2284" s="11"/>
      <c r="BV2284" s="158"/>
      <c r="BY2284" s="158"/>
      <c r="CB2284" s="158"/>
    </row>
    <row r="2285" ht="18.0" hidden="1" customHeight="1">
      <c r="A2285" s="222">
        <f>IFERROR(__xludf.DUMMYFUNCTION("""COMPUTED_VALUE"""),2026.0)</f>
        <v>2026</v>
      </c>
      <c r="B2285" s="221">
        <f>IFERROR(__xludf.DUMMYFUNCTION("""COMPUTED_VALUE"""),1.1079291E7)</f>
        <v>11079291</v>
      </c>
      <c r="C2285" s="222" t="str">
        <f>IFERROR(__xludf.DUMMYFUNCTION("""COMPUTED_VALUE"""),"MDN PT3 P7I2 TJR-FXX PURI KHAZANAH  REGENCY")</f>
        <v>MDN PT3 P7I2 TJR-FXX PURI KHAZANAH  REGENCY</v>
      </c>
      <c r="D2285" s="222" t="str">
        <f>IFERROR(__xludf.DUMMYFUNCTION("""COMPUTED_VALUE"""),"REGIONAL I")</f>
        <v>REGIONAL I</v>
      </c>
      <c r="E2285" s="222" t="str">
        <f>IFERROR(__xludf.DUMMYFUNCTION("""COMPUTED_VALUE"""),"MEDAN")</f>
        <v>MEDAN</v>
      </c>
      <c r="F2285" s="222" t="str">
        <f>IFERROR(__xludf.DUMMYFUNCTION("""COMPUTED_VALUE"""),"TJR")</f>
        <v>TJR</v>
      </c>
      <c r="G2285" s="222" t="str">
        <f>IFERROR(__xludf.DUMMYFUNCTION("""COMPUTED_VALUE"""),"SUMBAGUT")</f>
        <v>SUMBAGUT</v>
      </c>
      <c r="H2285" s="222" t="str">
        <f>IFERROR(__xludf.DUMMYFUNCTION("""COMPUTED_VALUE"""),"MEDAN")</f>
        <v>MEDAN</v>
      </c>
      <c r="I2285" s="222" t="str">
        <f>IFERROR(__xludf.DUMMYFUNCTION("""COMPUTED_VALUE"""),"Batch 3")</f>
        <v>Batch 3</v>
      </c>
      <c r="J2285" s="225">
        <f>IFERROR(__xludf.DUMMYFUNCTION("""COMPUTED_VALUE"""),11.0)</f>
        <v>11</v>
      </c>
      <c r="K2285" s="224">
        <f>IFERROR(__xludf.DUMMYFUNCTION("""COMPUTED_VALUE"""),88.0)</f>
        <v>88</v>
      </c>
      <c r="L2285" s="226">
        <f>IFERROR(__xludf.DUMMYFUNCTION("""COMPUTED_VALUE"""),1827960.0)</f>
        <v>1827960</v>
      </c>
      <c r="M2285" s="227">
        <f>IFERROR(__xludf.DUMMYFUNCTION("""COMPUTED_VALUE"""),1.60860427E8)</f>
        <v>160860427</v>
      </c>
      <c r="N2285" s="222" t="str">
        <f>IFERROR(__xludf.DUMMYFUNCTION("""COMPUTED_VALUE"""),"PT SINAR KEPRI SEJAHTERA")</f>
        <v>PT SINAR KEPRI SEJAHTERA</v>
      </c>
      <c r="O2285" s="222" t="str">
        <f>IFERROR(__xludf.DUMMYFUNCTION("""COMPUTED_VALUE"""),"8. UJI TERIMA")</f>
        <v>8. UJI TERIMA</v>
      </c>
      <c r="P2285" s="222" t="str">
        <f>IFERROR(__xludf.DUMMYFUNCTION("""COMPUTED_VALUE"""),"8.1 Proses UT")</f>
        <v>8.1 Proses UT</v>
      </c>
      <c r="Q2285" s="222" t="str">
        <f>IFERROR(__xludf.DUMMYFUNCTION("""COMPUTED_VALUE"""),"16/02 golive sdi
13/02 pengecekan abd mancore")</f>
        <v>16/02 golive sdi
13/02 pengecekan abd mancore</v>
      </c>
      <c r="R2285" s="228">
        <f>IFERROR(__xludf.DUMMYFUNCTION("""COMPUTED_VALUE"""),46066.0)</f>
        <v>46066</v>
      </c>
      <c r="S2285" s="11"/>
      <c r="T2285" s="11"/>
      <c r="U2285" s="11" t="str">
        <f>IFERROR(__xludf.DUMMYFUNCTION("""COMPUTED_VALUE"""),"FALSE")</f>
        <v>FALSE</v>
      </c>
      <c r="V2285" s="229"/>
      <c r="W2285" s="229"/>
      <c r="X2285" s="229" t="str">
        <f>IFERROR(__xludf.DUMMYFUNCTION("""COMPUTED_VALUE"""),"GOLIVE")</f>
        <v>GOLIVE</v>
      </c>
      <c r="Y2285" s="229" t="str">
        <f>IFERROR(__xludf.DUMMYFUNCTION("""COMPUTED_VALUE"""),"DONE")</f>
        <v>DONE</v>
      </c>
      <c r="Z2285" s="229" t="str">
        <f>IFERROR(__xludf.DUMMYFUNCTION("""COMPUTED_VALUE"""),"#N/A")</f>
        <v>#N/A</v>
      </c>
      <c r="AA2285" s="229">
        <f>IFERROR(__xludf.DUMMYFUNCTION("""COMPUTED_VALUE"""),12.0)</f>
        <v>12</v>
      </c>
      <c r="AB2285" s="229"/>
      <c r="AC2285" s="229" t="str">
        <f>IFERROR(__xludf.DUMMYFUNCTION("""COMPUTED_VALUE"""),"9104348#9104353")</f>
        <v>9104348#9104353</v>
      </c>
      <c r="AD2285" s="232">
        <f>IFERROR(__xludf.DUMMYFUNCTION("""COMPUTED_VALUE"""),96.0)</f>
        <v>96</v>
      </c>
      <c r="AE2285" s="233">
        <f>IFERROR(__xludf.DUMMYFUNCTION("""COMPUTED_VALUE"""),46066.0)</f>
        <v>46066</v>
      </c>
      <c r="AF2285" s="54"/>
      <c r="AG2285" s="54"/>
      <c r="AH2285" s="54">
        <v>46066.0</v>
      </c>
      <c r="AI2285" s="55">
        <f t="shared" si="217"/>
        <v>0</v>
      </c>
      <c r="AW2285" s="234"/>
      <c r="BP2285" s="11"/>
      <c r="BQ2285" s="11"/>
      <c r="BV2285" s="158"/>
      <c r="BY2285" s="158"/>
      <c r="CB2285" s="158"/>
    </row>
    <row r="2286" ht="18.0" hidden="1" customHeight="1">
      <c r="A2286" s="222">
        <f>IFERROR(__xludf.DUMMYFUNCTION("""COMPUTED_VALUE"""),2026.0)</f>
        <v>2026</v>
      </c>
      <c r="B2286" s="221">
        <f>IFERROR(__xludf.DUMMYFUNCTION("""COMPUTED_VALUE"""),1.2386419E7)</f>
        <v>12386419</v>
      </c>
      <c r="C2286" s="222" t="str">
        <f>IFERROR(__xludf.DUMMYFUNCTION("""COMPUTED_VALUE"""),"BBL PT4 P4I3 DESA BELO")</f>
        <v>BBL PT4 P4I3 DESA BELO</v>
      </c>
      <c r="D2286" s="222" t="str">
        <f>IFERROR(__xludf.DUMMYFUNCTION("""COMPUTED_VALUE"""),"REGIONAL I")</f>
        <v>REGIONAL I</v>
      </c>
      <c r="E2286" s="222" t="str">
        <f>IFERROR(__xludf.DUMMYFUNCTION("""COMPUTED_VALUE"""),"BABEL")</f>
        <v>BABEL</v>
      </c>
      <c r="F2286" s="222" t="str">
        <f>IFERROR(__xludf.DUMMYFUNCTION("""COMPUTED_VALUE"""),"MTK")</f>
        <v>MTK</v>
      </c>
      <c r="G2286" s="222" t="str">
        <f>IFERROR(__xludf.DUMMYFUNCTION("""COMPUTED_VALUE"""),"SUMBAGSEL")</f>
        <v>SUMBAGSEL</v>
      </c>
      <c r="H2286" s="222" t="str">
        <f>IFERROR(__xludf.DUMMYFUNCTION("""COMPUTED_VALUE"""),"PANGKAL PINANG")</f>
        <v>PANGKAL PINANG</v>
      </c>
      <c r="I2286" s="222" t="str">
        <f>IFERROR(__xludf.DUMMYFUNCTION("""COMPUTED_VALUE"""),"Batch 3")</f>
        <v>Batch 3</v>
      </c>
      <c r="J2286" s="225">
        <f>IFERROR(__xludf.DUMMYFUNCTION("""COMPUTED_VALUE"""),32.0)</f>
        <v>32</v>
      </c>
      <c r="K2286" s="224">
        <f>IFERROR(__xludf.DUMMYFUNCTION("""COMPUTED_VALUE"""),256.0)</f>
        <v>256</v>
      </c>
      <c r="L2286" s="226">
        <f>IFERROR(__xludf.DUMMYFUNCTION("""COMPUTED_VALUE"""),1827480.0)</f>
        <v>1827480</v>
      </c>
      <c r="M2286" s="227">
        <f>IFERROR(__xludf.DUMMYFUNCTION("""COMPUTED_VALUE"""),4.67834827E8)</f>
        <v>467834827</v>
      </c>
      <c r="N2286" s="222" t="str">
        <f>IFERROR(__xludf.DUMMYFUNCTION("""COMPUTED_VALUE"""),"PT SARANA MITRA PERSADA")</f>
        <v>PT SARANA MITRA PERSADA</v>
      </c>
      <c r="O2286" s="222" t="str">
        <f>IFERROR(__xludf.DUMMYFUNCTION("""COMPUTED_VALUE"""),"7. GOLIVE")</f>
        <v>7. GOLIVE</v>
      </c>
      <c r="P2286" s="222" t="str">
        <f>IFERROR(__xludf.DUMMYFUNCTION("""COMPUTED_VALUE"""),"7.2 Golive Full / OA / DONE OTB")</f>
        <v>7.2 Golive Full / OA / DONE OTB</v>
      </c>
      <c r="Q2286" s="222" t="str">
        <f>IFERROR(__xludf.DUMMYFUNCTION("""COMPUTED_VALUE"""),"(24/2)terminasi ODP , plan submit abd  , MITRA SMP kendala operasional (13/02) progres instalasi ODP (06/02) Done Penarikan Kabel done , proses instal ODC , ODP  (28/1) progress tarik kabel (26/01) kabel 12D 7100 done (21/01) penarikan kabel 12D 2150/7100"&amp;" (18/01) penarikan kabel 24D 2900 done, tanam tiang 142 done (13/01) penarikan kabel 24D 2900/9100 (09/01) penarikan kabel 24D 1100/9100 (06/01) matdel (16/12) hold 28/11 proses DRM mitra (21/11) sudah created PID (17/11) done anwijzing 14/11 atur jawal a"&amp;"nwijzing 6/11 Penunjukan mitra")</f>
        <v>(24/2)terminasi ODP , plan submit abd  , MITRA SMP kendala operasional (13/02) progres instalasi ODP (06/02) Done Penarikan Kabel done , proses instal ODC , ODP  (28/1) progress tarik kabel (26/01) kabel 12D 7100 done (21/01) penarikan kabel 12D 2150/7100 (18/01) penarikan kabel 24D 2900 done, tanam tiang 142 done (13/01) penarikan kabel 24D 2900/9100 (09/01) penarikan kabel 24D 1100/9100 (06/01) matdel (16/12) hold 28/11 proses DRM mitra (21/11) sudah created PID (17/11) done anwijzing 14/11 atur jawal anwijzing 6/11 Penunjukan mitra</v>
      </c>
      <c r="R2286" s="228">
        <f>IFERROR(__xludf.DUMMYFUNCTION("""COMPUTED_VALUE"""),46079.0)</f>
        <v>46079</v>
      </c>
      <c r="S2286" s="11"/>
      <c r="T2286" s="11"/>
      <c r="U2286" s="11"/>
      <c r="V2286" s="229"/>
      <c r="W2286" s="229"/>
      <c r="X2286" s="229" t="str">
        <f>IFERROR(__xludf.DUMMYFUNCTION("""COMPUTED_VALUE"""),"GOLIVE")</f>
        <v>GOLIVE</v>
      </c>
      <c r="Y2286" s="229" t="str">
        <f>IFERROR(__xludf.DUMMYFUNCTION("""COMPUTED_VALUE"""),"DONE")</f>
        <v>DONE</v>
      </c>
      <c r="Z2286" s="229" t="str">
        <f>IFERROR(__xludf.DUMMYFUNCTION("""COMPUTED_VALUE"""),"#N/A")</f>
        <v>#N/A</v>
      </c>
      <c r="AA2286" s="229">
        <f>IFERROR(__xludf.DUMMYFUNCTION("""COMPUTED_VALUE"""),7.0)</f>
        <v>7</v>
      </c>
      <c r="AB2286" s="229">
        <f>IFERROR(__xludf.DUMMYFUNCTION("""COMPUTED_VALUE"""),14.0)</f>
        <v>14</v>
      </c>
      <c r="AC2286" s="229" t="str">
        <f>IFERROR(__xludf.DUMMYFUNCTION("""COMPUTED_VALUE"""),"9155800#9155805")</f>
        <v>9155800#9155805</v>
      </c>
      <c r="AD2286" s="232">
        <f>IFERROR(__xludf.DUMMYFUNCTION("""COMPUTED_VALUE"""),280.0)</f>
        <v>280</v>
      </c>
      <c r="AE2286" s="233">
        <f>IFERROR(__xludf.DUMMYFUNCTION("""COMPUTED_VALUE"""),46083.0)</f>
        <v>46083</v>
      </c>
      <c r="AF2286" s="54"/>
      <c r="AG2286" s="54"/>
      <c r="AH2286" s="54">
        <v>46079.0</v>
      </c>
      <c r="AI2286" s="55">
        <f t="shared" si="217"/>
        <v>-4</v>
      </c>
      <c r="AW2286" s="234"/>
      <c r="BP2286" s="11"/>
      <c r="BQ2286" s="11"/>
      <c r="BV2286" s="158"/>
      <c r="BY2286" s="158"/>
      <c r="CB2286" s="158"/>
    </row>
    <row r="2287" ht="18.0" hidden="1" customHeight="1">
      <c r="A2287" s="222">
        <f>IFERROR(__xludf.DUMMYFUNCTION("""COMPUTED_VALUE"""),2026.0)</f>
        <v>2026</v>
      </c>
      <c r="B2287" s="221">
        <f>IFERROR(__xludf.DUMMYFUNCTION("""COMPUTED_VALUE"""),1.1618364E7)</f>
        <v>11618364</v>
      </c>
      <c r="C2287" s="222" t="str">
        <f>IFERROR(__xludf.DUMMYFUNCTION("""COMPUTED_VALUE"""),"SMU ODC-LBK-FAJ D02 UJUNG KUBU")</f>
        <v>SMU ODC-LBK-FAJ D02 UJUNG KUBU</v>
      </c>
      <c r="D2287" s="222" t="str">
        <f>IFERROR(__xludf.DUMMYFUNCTION("""COMPUTED_VALUE"""),"REGIONAL I")</f>
        <v>REGIONAL I</v>
      </c>
      <c r="E2287" s="222" t="str">
        <f>IFERROR(__xludf.DUMMYFUNCTION("""COMPUTED_VALUE"""),"SUMUT")</f>
        <v>SUMUT</v>
      </c>
      <c r="F2287" s="222" t="str">
        <f>IFERROR(__xludf.DUMMYFUNCTION("""COMPUTED_VALUE"""),"LBK")</f>
        <v>LBK</v>
      </c>
      <c r="G2287" s="222" t="str">
        <f>IFERROR(__xludf.DUMMYFUNCTION("""COMPUTED_VALUE"""),"SUMBAGUT")</f>
        <v>SUMBAGUT</v>
      </c>
      <c r="H2287" s="222" t="str">
        <f>IFERROR(__xludf.DUMMYFUNCTION("""COMPUTED_VALUE"""),"PEMATANG SIANTAR")</f>
        <v>PEMATANG SIANTAR</v>
      </c>
      <c r="I2287" s="222" t="str">
        <f>IFERROR(__xludf.DUMMYFUNCTION("""COMPUTED_VALUE"""),"Batch 3")</f>
        <v>Batch 3</v>
      </c>
      <c r="J2287" s="225">
        <f>IFERROR(__xludf.DUMMYFUNCTION("""COMPUTED_VALUE"""),24.0)</f>
        <v>24</v>
      </c>
      <c r="K2287" s="224">
        <f>IFERROR(__xludf.DUMMYFUNCTION("""COMPUTED_VALUE"""),192.0)</f>
        <v>192</v>
      </c>
      <c r="L2287" s="226">
        <f>IFERROR(__xludf.DUMMYFUNCTION("""COMPUTED_VALUE"""),1817784.0)</f>
        <v>1817784</v>
      </c>
      <c r="M2287" s="227">
        <f>IFERROR(__xludf.DUMMYFUNCTION("""COMPUTED_VALUE"""),3.49014508E8)</f>
        <v>349014508</v>
      </c>
      <c r="N2287" s="222" t="str">
        <f>IFERROR(__xludf.DUMMYFUNCTION("""COMPUTED_VALUE"""),"PT MITRA SETIA INDONESIA")</f>
        <v>PT MITRA SETIA INDONESIA</v>
      </c>
      <c r="O2287" s="222" t="str">
        <f>IFERROR(__xludf.DUMMYFUNCTION("""COMPUTED_VALUE"""),"0. DROP")</f>
        <v>0. DROP</v>
      </c>
      <c r="P2287" s="222" t="str">
        <f>IFERROR(__xludf.DUMMYFUNCTION("""COMPUTED_VALUE"""),"0.1 Double Order")</f>
        <v>0.1 Double Order</v>
      </c>
      <c r="Q2287" s="222" t="str">
        <f>IFERROR(__xludf.DUMMYFUNCTION("""COMPUTED_VALUE"""),"sudah golive di 2025")</f>
        <v>sudah golive di 2025</v>
      </c>
      <c r="R2287" s="228"/>
      <c r="S2287" s="11"/>
      <c r="T2287" s="11"/>
      <c r="U2287" s="11" t="str">
        <f>IFERROR(__xludf.DUMMYFUNCTION("""COMPUTED_VALUE"""),"W03-1638/2025")</f>
        <v>W03-1638/2025</v>
      </c>
      <c r="V2287" s="229"/>
      <c r="W2287" s="229"/>
      <c r="X2287" s="229"/>
      <c r="Y2287" s="229" t="str">
        <f>IFERROR(__xludf.DUMMYFUNCTION("""COMPUTED_VALUE"""),"DONE")</f>
        <v>DONE</v>
      </c>
      <c r="Z2287" s="229" t="str">
        <f>IFERROR(__xludf.DUMMYFUNCTION("""COMPUTED_VALUE"""),"#N/A")</f>
        <v>#N/A</v>
      </c>
      <c r="AA2287" s="229"/>
      <c r="AB2287" s="229"/>
      <c r="AC2287" s="229"/>
      <c r="AD2287" s="232"/>
      <c r="AE2287" s="233"/>
      <c r="AF2287" s="54" t="str">
        <f>IFERROR(__xludf.DUMMYFUNCTION("""COMPUTED_VALUE"""),"Draft BA DROP")</f>
        <v>Draft BA DROP</v>
      </c>
      <c r="AG2287" s="54"/>
      <c r="AH2287" s="54"/>
      <c r="AI2287" s="55" t="str">
        <f t="shared" si="217"/>
        <v/>
      </c>
      <c r="AW2287" s="234"/>
      <c r="BP2287" s="11"/>
      <c r="BQ2287" s="11"/>
      <c r="BV2287" s="158"/>
      <c r="BY2287" s="158"/>
      <c r="CB2287" s="158"/>
    </row>
    <row r="2288" ht="18.0" customHeight="1">
      <c r="A2288" s="222">
        <f>IFERROR(__xludf.DUMMYFUNCTION("""COMPUTED_VALUE"""),2026.0)</f>
        <v>2026</v>
      </c>
      <c r="B2288" s="221">
        <f>IFERROR(__xludf.DUMMYFUNCTION("""COMPUTED_VALUE"""),1.1377644E7)</f>
        <v>11377644</v>
      </c>
      <c r="C2288" s="222" t="str">
        <f>IFERROR(__xludf.DUMMYFUNCTION("""COMPUTED_VALUE"""),"RKP PT3 APC SLU-FEA GARDENIA BL G-H-K-L")</f>
        <v>RKP PT3 APC SLU-FEA GARDENIA BL G-H-K-L</v>
      </c>
      <c r="D2288" s="222" t="str">
        <f>IFERROR(__xludf.DUMMYFUNCTION("""COMPUTED_VALUE"""),"REGIONAL I")</f>
        <v>REGIONAL I</v>
      </c>
      <c r="E2288" s="222" t="str">
        <f>IFERROR(__xludf.DUMMYFUNCTION("""COMPUTED_VALUE"""),"RIKEP")</f>
        <v>RIKEP</v>
      </c>
      <c r="F2288" s="222" t="str">
        <f>IFERROR(__xludf.DUMMYFUNCTION("""COMPUTED_VALUE"""),"SLU")</f>
        <v>SLU</v>
      </c>
      <c r="G2288" s="222" t="str">
        <f>IFERROR(__xludf.DUMMYFUNCTION("""COMPUTED_VALUE"""),"SUMBAGTENG")</f>
        <v>SUMBAGTENG</v>
      </c>
      <c r="H2288" s="222" t="str">
        <f>IFERROR(__xludf.DUMMYFUNCTION("""COMPUTED_VALUE"""),"BATAM")</f>
        <v>BATAM</v>
      </c>
      <c r="I2288" s="222" t="str">
        <f>IFERROR(__xludf.DUMMYFUNCTION("""COMPUTED_VALUE"""),"Batch 3")</f>
        <v>Batch 3</v>
      </c>
      <c r="J2288" s="225">
        <f>IFERROR(__xludf.DUMMYFUNCTION("""COMPUTED_VALUE"""),6.0)</f>
        <v>6</v>
      </c>
      <c r="K2288" s="224">
        <f>IFERROR(__xludf.DUMMYFUNCTION("""COMPUTED_VALUE"""),48.0)</f>
        <v>48</v>
      </c>
      <c r="L2288" s="226">
        <f>IFERROR(__xludf.DUMMYFUNCTION("""COMPUTED_VALUE"""),1801141.0)</f>
        <v>1801141</v>
      </c>
      <c r="M2288" s="227">
        <f>IFERROR(__xludf.DUMMYFUNCTION("""COMPUTED_VALUE"""),8.6454726E7)</f>
        <v>86454726</v>
      </c>
      <c r="N2288" s="222" t="str">
        <f>IFERROR(__xludf.DUMMYFUNCTION("""COMPUTED_VALUE"""),"PT MITRA HOSINDO SEJAHTERA")</f>
        <v>PT MITRA HOSINDO SEJAHTERA</v>
      </c>
      <c r="O2288" s="222" t="str">
        <f>IFERROR(__xludf.DUMMYFUNCTION("""COMPUTED_VALUE"""),"0. DROP")</f>
        <v>0. DROP</v>
      </c>
      <c r="P2288" s="222" t="str">
        <f>IFERROR(__xludf.DUMMYFUNCTION("""COMPUTED_VALUE"""),"0.1 Double Order")</f>
        <v>0.1 Double Order</v>
      </c>
      <c r="Q2288" s="222" t="str">
        <f>IFERROR(__xludf.DUMMYFUNCTION("""COMPUTED_VALUE"""),"21/01 sudah BAST di 2025")</f>
        <v>21/01 sudah BAST di 2025</v>
      </c>
      <c r="R2288" s="228"/>
      <c r="S2288" s="11"/>
      <c r="T2288" s="11"/>
      <c r="U2288" s="11"/>
      <c r="V2288" s="229" t="str">
        <f>IFERROR(__xludf.DUMMYFUNCTION("""COMPUTED_VALUE"""),"MUHAMMAD RIDHO FALFO")</f>
        <v>MUHAMMAD RIDHO FALFO</v>
      </c>
      <c r="W2288" s="229"/>
      <c r="X2288" s="229"/>
      <c r="Y2288" s="229"/>
      <c r="Z2288" s="229" t="str">
        <f>IFERROR(__xludf.DUMMYFUNCTION("""COMPUTED_VALUE"""),"#N/A")</f>
        <v>#N/A</v>
      </c>
      <c r="AA2288" s="229"/>
      <c r="AB2288" s="229"/>
      <c r="AC2288" s="229"/>
      <c r="AD2288" s="232"/>
      <c r="AE2288" s="233"/>
      <c r="AF2288" s="54" t="str">
        <f>IFERROR(__xludf.DUMMYFUNCTION("""COMPUTED_VALUE"""),"Draft BA DROP")</f>
        <v>Draft BA DROP</v>
      </c>
      <c r="AG2288" s="54"/>
      <c r="AH2288" s="54"/>
      <c r="AI2288" s="55" t="str">
        <f t="shared" si="217"/>
        <v/>
      </c>
      <c r="AW2288" s="234"/>
      <c r="BP2288" s="11"/>
      <c r="BQ2288" s="11"/>
      <c r="BV2288" s="158"/>
      <c r="BY2288" s="158"/>
      <c r="CB2288" s="158"/>
    </row>
    <row r="2289" ht="18.0" hidden="1" customHeight="1">
      <c r="A2289" s="222">
        <f>IFERROR(__xludf.DUMMYFUNCTION("""COMPUTED_VALUE"""),2026.0)</f>
        <v>2026</v>
      </c>
      <c r="B2289" s="221">
        <f>IFERROR(__xludf.DUMMYFUNCTION("""COMPUTED_VALUE"""),1.1802576E7)</f>
        <v>11802576</v>
      </c>
      <c r="C2289" s="222" t="str">
        <f>IFERROR(__xludf.DUMMYFUNCTION("""COMPUTED_VALUE"""),"BBL PT3 P3I2 PENYAMPAK SELATAN")</f>
        <v>BBL PT3 P3I2 PENYAMPAK SELATAN</v>
      </c>
      <c r="D2289" s="222" t="str">
        <f>IFERROR(__xludf.DUMMYFUNCTION("""COMPUTED_VALUE"""),"REGIONAL I")</f>
        <v>REGIONAL I</v>
      </c>
      <c r="E2289" s="222" t="str">
        <f>IFERROR(__xludf.DUMMYFUNCTION("""COMPUTED_VALUE"""),"BABEL")</f>
        <v>BABEL</v>
      </c>
      <c r="F2289" s="222" t="str">
        <f>IFERROR(__xludf.DUMMYFUNCTION("""COMPUTED_VALUE"""),"TPL")</f>
        <v>TPL</v>
      </c>
      <c r="G2289" s="222" t="str">
        <f>IFERROR(__xludf.DUMMYFUNCTION("""COMPUTED_VALUE"""),"SUMBAGSEL")</f>
        <v>SUMBAGSEL</v>
      </c>
      <c r="H2289" s="222" t="str">
        <f>IFERROR(__xludf.DUMMYFUNCTION("""COMPUTED_VALUE"""),"PANGKAL PINANG")</f>
        <v>PANGKAL PINANG</v>
      </c>
      <c r="I2289" s="222" t="str">
        <f>IFERROR(__xludf.DUMMYFUNCTION("""COMPUTED_VALUE"""),"Batch 3")</f>
        <v>Batch 3</v>
      </c>
      <c r="J2289" s="225">
        <f>IFERROR(__xludf.DUMMYFUNCTION("""COMPUTED_VALUE"""),5.0)</f>
        <v>5</v>
      </c>
      <c r="K2289" s="224">
        <f>IFERROR(__xludf.DUMMYFUNCTION("""COMPUTED_VALUE"""),40.0)</f>
        <v>40</v>
      </c>
      <c r="L2289" s="226">
        <f>IFERROR(__xludf.DUMMYFUNCTION("""COMPUTED_VALUE"""),1786951.0)</f>
        <v>1786951</v>
      </c>
      <c r="M2289" s="227">
        <f>IFERROR(__xludf.DUMMYFUNCTION("""COMPUTED_VALUE"""),7.1478014E7)</f>
        <v>71478014</v>
      </c>
      <c r="N2289" s="222" t="str">
        <f>IFERROR(__xludf.DUMMYFUNCTION("""COMPUTED_VALUE"""),"PT SARANA MITRA PERSADA")</f>
        <v>PT SARANA MITRA PERSADA</v>
      </c>
      <c r="O2289" s="222" t="str">
        <f>IFERROR(__xludf.DUMMYFUNCTION("""COMPUTED_VALUE"""),"5. INSTALASI")</f>
        <v>5. INSTALASI</v>
      </c>
      <c r="P2289" s="222" t="str">
        <f>IFERROR(__xludf.DUMMYFUNCTION("""COMPUTED_VALUE"""),"5.9 Proses Pemasangan/Terminasi ODP/OTB")</f>
        <v>5.9 Proses Pemasangan/Terminasi ODP/OTB</v>
      </c>
      <c r="Q2289" s="222" t="str">
        <f>IFERROR(__xludf.DUMMYFUNCTION("""COMPUTED_VALUE"""),"27/04 trminasi ODP (23/04) ogp QE (17/04) kendala QE di catu pembangunan Feeder under Telkom QE nya (12/03) Kendala QE Feeder, ODP done 09/03 Kendala QE Feeder, ODP done (24/2) tanam tiang dan tarik kabel done , kendala feeder perlu QE .plan 18 feb ke lok"&amp;"asi  , instal ODP (13/02) perapihan (09/02) penanaman tiang (28/1) mitra smp kendala budget , konfirm ulang (27/01) matdel (16/12) hold 28/11 proses DRM mitra (25/11) anwizing ke lokasi, PID done (24/11) plan golive 13 desember (07/11) penunjukkan mitra")</f>
        <v>27/04 trminasi ODP (23/04) ogp QE (17/04) kendala QE di catu pembangunan Feeder under Telkom QE nya (12/03) Kendala QE Feeder, ODP done 09/03 Kendala QE Feeder, ODP done (24/2) tanam tiang dan tarik kabel done , kendala feeder perlu QE .plan 18 feb ke lokasi  , instal ODP (13/02) perapihan (09/02) penanaman tiang (28/1) mitra smp kendala budget , konfirm ulang (27/01) matdel (16/12) hold 28/11 proses DRM mitra (25/11) anwizing ke lokasi, PID done (24/11) plan golive 13 desember (07/11) penunjukkan mitra</v>
      </c>
      <c r="R2289" s="228">
        <f>IFERROR(__xludf.DUMMYFUNCTION("""COMPUTED_VALUE"""),46141.0)</f>
        <v>46141</v>
      </c>
      <c r="S2289" s="11" t="str">
        <f>IFERROR(__xludf.DUMMYFUNCTION("""COMPUTED_VALUE"""),"APR")</f>
        <v>APR</v>
      </c>
      <c r="T2289" s="73" t="str">
        <f>IFERROR(__xludf.DUMMYFUNCTION("""COMPUTED_VALUE"""),"P1")</f>
        <v>P1</v>
      </c>
      <c r="U2289" s="11"/>
      <c r="V2289" s="229"/>
      <c r="W2289" s="229"/>
      <c r="X2289" s="229" t="str">
        <f>IFERROR(__xludf.DUMMYFUNCTION("""COMPUTED_VALUE"""),"BELUM GOLIVE")</f>
        <v>BELUM GOLIVE</v>
      </c>
      <c r="Y2289" s="229"/>
      <c r="Z2289" s="229" t="str">
        <f>IFERROR(__xludf.DUMMYFUNCTION("""COMPUTED_VALUE"""),"#N/A")</f>
        <v>#N/A</v>
      </c>
      <c r="AA2289" s="229"/>
      <c r="AB2289" s="229"/>
      <c r="AC2289" s="229"/>
      <c r="AD2289" s="232"/>
      <c r="AE2289" s="233"/>
      <c r="AF2289" s="54"/>
      <c r="AG2289" s="54"/>
      <c r="AH2289" s="54">
        <v>46141.0</v>
      </c>
      <c r="AI2289" s="237">
        <f>AH2289-NOW()</f>
        <v>0.6220100463</v>
      </c>
      <c r="AJ2289" s="229" t="str">
        <f>if(AI2289&gt;=0,"In Komitmen","Out Komitmen")</f>
        <v>In Komitmen</v>
      </c>
      <c r="AK2289" s="229" t="e">
        <v>#N/A</v>
      </c>
      <c r="AW2289" s="234"/>
      <c r="BP2289" s="11"/>
      <c r="BQ2289" s="11"/>
      <c r="BV2289" s="158"/>
      <c r="BY2289" s="158"/>
      <c r="CB2289" s="158"/>
    </row>
    <row r="2290" ht="18.0" customHeight="1">
      <c r="A2290" s="222">
        <f>IFERROR(__xludf.DUMMYFUNCTION("""COMPUTED_VALUE"""),2026.0)</f>
        <v>2026</v>
      </c>
      <c r="B2290" s="221">
        <f>IFERROR(__xludf.DUMMYFUNCTION("""COMPUTED_VALUE"""),1.1079764E7)</f>
        <v>11079764</v>
      </c>
      <c r="C2290" s="222" t="str">
        <f>IFERROR(__xludf.DUMMYFUNCTION("""COMPUTED_VALUE"""),"RDR JPP PT3 TAMBAHAN TANJUNG BERULAK")</f>
        <v>RDR JPP PT3 TAMBAHAN TANJUNG BERULAK</v>
      </c>
      <c r="D2290" s="222" t="str">
        <f>IFERROR(__xludf.DUMMYFUNCTION("""COMPUTED_VALUE"""),"REGIONAL I")</f>
        <v>REGIONAL I</v>
      </c>
      <c r="E2290" s="222" t="str">
        <f>IFERROR(__xludf.DUMMYFUNCTION("""COMPUTED_VALUE"""),"RIDAR")</f>
        <v>RIDAR</v>
      </c>
      <c r="F2290" s="222" t="str">
        <f>IFERROR(__xludf.DUMMYFUNCTION("""COMPUTED_VALUE"""),"BKN")</f>
        <v>BKN</v>
      </c>
      <c r="G2290" s="222" t="str">
        <f>IFERROR(__xludf.DUMMYFUNCTION("""COMPUTED_VALUE"""),"SUMBAGTENG")</f>
        <v>SUMBAGTENG</v>
      </c>
      <c r="H2290" s="222" t="str">
        <f>IFERROR(__xludf.DUMMYFUNCTION("""COMPUTED_VALUE"""),"PEKANBARU")</f>
        <v>PEKANBARU</v>
      </c>
      <c r="I2290" s="222" t="str">
        <f>IFERROR(__xludf.DUMMYFUNCTION("""COMPUTED_VALUE"""),"Batch 3")</f>
        <v>Batch 3</v>
      </c>
      <c r="J2290" s="225">
        <f>IFERROR(__xludf.DUMMYFUNCTION("""COMPUTED_VALUE"""),3.0)</f>
        <v>3</v>
      </c>
      <c r="K2290" s="224">
        <f>IFERROR(__xludf.DUMMYFUNCTION("""COMPUTED_VALUE"""),24.0)</f>
        <v>24</v>
      </c>
      <c r="L2290" s="226">
        <f>IFERROR(__xludf.DUMMYFUNCTION("""COMPUTED_VALUE"""),1778706.0)</f>
        <v>1778706</v>
      </c>
      <c r="M2290" s="227">
        <f>IFERROR(__xludf.DUMMYFUNCTION("""COMPUTED_VALUE"""),4.2688936E7)</f>
        <v>42688936</v>
      </c>
      <c r="N2290" s="222" t="str">
        <f>IFERROR(__xludf.DUMMYFUNCTION("""COMPUTED_VALUE"""),"PT TRIPUTRA ANDALAN")</f>
        <v>PT TRIPUTRA ANDALAN</v>
      </c>
      <c r="O2290" s="222" t="str">
        <f>IFERROR(__xludf.DUMMYFUNCTION("""COMPUTED_VALUE"""),"6. FINISH INSTALASI")</f>
        <v>6. FINISH INSTALASI</v>
      </c>
      <c r="P2290" s="222" t="str">
        <f>IFERROR(__xludf.DUMMYFUNCTION("""COMPUTED_VALUE"""),"6.6 Kendala - QE Feeder/Distribusi")</f>
        <v>6.6 Kendala - QE Feeder/Distribusi</v>
      </c>
      <c r="Q2290" s="222" t="str">
        <f>IFERROR(__xludf.DUMMYFUNCTION("""COMPUTED_VALUE"""),"20/04 Plan eksekusi repair 23 April 06/04 Plan eksekusi 11 April 27/03 QE Feeder dilanjut W1 April 16/03 Antrian tim QE 03/03 Antrian tim QE, Plan Repair 10 Mar 2026 18/02 Antrian tim utk pekerjaan repair feeder 12/02 Pengecekan Core Feeder 29/01 Pengecek"&amp;"an core feeder eksisting ODC BKN FG")</f>
        <v>20/04 Plan eksekusi repair 23 April 06/04 Plan eksekusi 11 April 27/03 QE Feeder dilanjut W1 April 16/03 Antrian tim QE 03/03 Antrian tim QE, Plan Repair 10 Mar 2026 18/02 Antrian tim utk pekerjaan repair feeder 12/02 Pengecekan Core Feeder 29/01 Pengecekan core feeder eksisting ODC BKN FG</v>
      </c>
      <c r="R2290" s="228">
        <f>IFERROR(__xludf.DUMMYFUNCTION("""COMPUTED_VALUE"""),46141.0)</f>
        <v>46141</v>
      </c>
      <c r="S2290" s="11"/>
      <c r="T2290" s="11"/>
      <c r="U2290" s="11"/>
      <c r="V2290" s="229" t="str">
        <f>IFERROR(__xludf.DUMMYFUNCTION("""COMPUTED_VALUE"""),"ADIL WAHYUDI")</f>
        <v>ADIL WAHYUDI</v>
      </c>
      <c r="W2290" s="229" t="str">
        <f>IFERROR(__xludf.DUMMYFUNCTION("""COMPUTED_VALUE"""),"ANZALA SAKINAH")</f>
        <v>ANZALA SAKINAH</v>
      </c>
      <c r="X2290" s="229"/>
      <c r="Y2290" s="229" t="str">
        <f>IFERROR(__xludf.DUMMYFUNCTION("""COMPUTED_VALUE"""),"QE Feeder")</f>
        <v>QE Feeder</v>
      </c>
      <c r="Z2290" s="229" t="str">
        <f>IFERROR(__xludf.DUMMYFUNCTION("""COMPUTED_VALUE"""),"#N/A")</f>
        <v>#N/A</v>
      </c>
      <c r="AA2290" s="229"/>
      <c r="AB2290" s="229"/>
      <c r="AC2290" s="229"/>
      <c r="AD2290" s="232"/>
      <c r="AE2290" s="233"/>
      <c r="AF2290" s="54"/>
      <c r="AG2290" s="54"/>
      <c r="AH2290" s="54">
        <v>46149.0</v>
      </c>
      <c r="AI2290" s="55" t="str">
        <f t="shared" ref="AI2290:AI2293" si="218">IF(OR(R2290="",AE2290=""),"",R2290-AE2290)</f>
        <v/>
      </c>
      <c r="AW2290" s="234"/>
      <c r="BP2290" s="11"/>
      <c r="BQ2290" s="11"/>
      <c r="BV2290" s="158"/>
      <c r="BY2290" s="158"/>
      <c r="CB2290" s="158"/>
    </row>
    <row r="2291" ht="18.0" hidden="1" customHeight="1">
      <c r="A2291" s="222">
        <f>IFERROR(__xludf.DUMMYFUNCTION("""COMPUTED_VALUE"""),2026.0)</f>
        <v>2026</v>
      </c>
      <c r="B2291" s="221">
        <f>IFERROR(__xludf.DUMMYFUNCTION("""COMPUTED_VALUE"""),1.1302168E7)</f>
        <v>11302168</v>
      </c>
      <c r="C2291" s="222" t="str">
        <f>IFERROR(__xludf.DUMMYFUNCTION("""COMPUTED_VALUE"""),"ACH PT3 SGI-FG BR.D05 BAROH LOT_MD")</f>
        <v>ACH PT3 SGI-FG BR.D05 BAROH LOT_MD</v>
      </c>
      <c r="D2291" s="222" t="str">
        <f>IFERROR(__xludf.DUMMYFUNCTION("""COMPUTED_VALUE"""),"REGIONAL I")</f>
        <v>REGIONAL I</v>
      </c>
      <c r="E2291" s="222" t="str">
        <f>IFERROR(__xludf.DUMMYFUNCTION("""COMPUTED_VALUE"""),"ACEH")</f>
        <v>ACEH</v>
      </c>
      <c r="F2291" s="222" t="str">
        <f>IFERROR(__xludf.DUMMYFUNCTION("""COMPUTED_VALUE"""),"SGI")</f>
        <v>SGI</v>
      </c>
      <c r="G2291" s="222" t="str">
        <f>IFERROR(__xludf.DUMMYFUNCTION("""COMPUTED_VALUE"""),"SUMBAGUT")</f>
        <v>SUMBAGUT</v>
      </c>
      <c r="H2291" s="222" t="str">
        <f>IFERROR(__xludf.DUMMYFUNCTION("""COMPUTED_VALUE"""),"BANDA ACEH")</f>
        <v>BANDA ACEH</v>
      </c>
      <c r="I2291" s="222" t="str">
        <f>IFERROR(__xludf.DUMMYFUNCTION("""COMPUTED_VALUE"""),"Batch 3")</f>
        <v>Batch 3</v>
      </c>
      <c r="J2291" s="225">
        <f>IFERROR(__xludf.DUMMYFUNCTION("""COMPUTED_VALUE"""),8.0)</f>
        <v>8</v>
      </c>
      <c r="K2291" s="224">
        <f>IFERROR(__xludf.DUMMYFUNCTION("""COMPUTED_VALUE"""),64.0)</f>
        <v>64</v>
      </c>
      <c r="L2291" s="226">
        <f>IFERROR(__xludf.DUMMYFUNCTION("""COMPUTED_VALUE"""),1774970.0)</f>
        <v>1774970</v>
      </c>
      <c r="M2291" s="227">
        <f>IFERROR(__xludf.DUMMYFUNCTION("""COMPUTED_VALUE"""),1.13598066E8)</f>
        <v>113598066</v>
      </c>
      <c r="N2291" s="222" t="str">
        <f>IFERROR(__xludf.DUMMYFUNCTION("""COMPUTED_VALUE"""),"PT TRIPOLI JAYA GROUP")</f>
        <v>PT TRIPOLI JAYA GROUP</v>
      </c>
      <c r="O2291" s="222" t="str">
        <f>IFERROR(__xludf.DUMMYFUNCTION("""COMPUTED_VALUE"""),"7. GOLIVE")</f>
        <v>7. GOLIVE</v>
      </c>
      <c r="P2291" s="222" t="str">
        <f>IFERROR(__xludf.DUMMYFUNCTION("""COMPUTED_VALUE"""),"7.2 Golive Full / OA / DONE OTB")</f>
        <v>7.2 Golive Full / OA / DONE OTB</v>
      </c>
      <c r="Q2291" s="222" t="str">
        <f>IFERROR(__xludf.DUMMYFUNCTION("""COMPUTED_VALUE"""),"(28/01) ABD Mancore (25/01) Terminasi (20/01) Penarikan Kabel (12/01) Tanam Tiang ")</f>
        <v>(28/01) ABD Mancore (25/01) Terminasi (20/01) Penarikan Kabel (12/01) Tanam Tiang </v>
      </c>
      <c r="R2291" s="228">
        <f>IFERROR(__xludf.DUMMYFUNCTION("""COMPUTED_VALUE"""),46056.0)</f>
        <v>46056</v>
      </c>
      <c r="S2291" s="11"/>
      <c r="T2291" s="11"/>
      <c r="U2291" s="11"/>
      <c r="V2291" s="229"/>
      <c r="W2291" s="229"/>
      <c r="X2291" s="229" t="str">
        <f>IFERROR(__xludf.DUMMYFUNCTION("""COMPUTED_VALUE"""),"GOLIVE")</f>
        <v>GOLIVE</v>
      </c>
      <c r="Y2291" s="229" t="str">
        <f>IFERROR(__xludf.DUMMYFUNCTION("""COMPUTED_VALUE"""),"DONE")</f>
        <v>DONE</v>
      </c>
      <c r="Z2291" s="229" t="str">
        <f>IFERROR(__xludf.DUMMYFUNCTION("""COMPUTED_VALUE"""),"#N/A")</f>
        <v>#N/A</v>
      </c>
      <c r="AA2291" s="229">
        <f>IFERROR(__xludf.DUMMYFUNCTION("""COMPUTED_VALUE"""),8.0)</f>
        <v>8</v>
      </c>
      <c r="AB2291" s="229"/>
      <c r="AC2291" s="229" t="str">
        <f>IFERROR(__xludf.DUMMYFUNCTION("""COMPUTED_VALUE"""),"9043898#9043903")</f>
        <v>9043898#9043903</v>
      </c>
      <c r="AD2291" s="232">
        <f>IFERROR(__xludf.DUMMYFUNCTION("""COMPUTED_VALUE"""),64.0)</f>
        <v>64</v>
      </c>
      <c r="AE2291" s="233">
        <f>IFERROR(__xludf.DUMMYFUNCTION("""COMPUTED_VALUE"""),46056.0)</f>
        <v>46056</v>
      </c>
      <c r="AF2291" s="54"/>
      <c r="AG2291" s="54"/>
      <c r="AH2291" s="54">
        <v>46056.0</v>
      </c>
      <c r="AI2291" s="55">
        <f t="shared" si="218"/>
        <v>0</v>
      </c>
      <c r="AW2291" s="234"/>
      <c r="BP2291" s="11"/>
      <c r="BQ2291" s="11"/>
      <c r="BV2291" s="158"/>
      <c r="BY2291" s="158"/>
      <c r="CB2291" s="158"/>
    </row>
    <row r="2292" ht="18.0" hidden="1" customHeight="1">
      <c r="A2292" s="222">
        <f>IFERROR(__xludf.DUMMYFUNCTION("""COMPUTED_VALUE"""),2026.0)</f>
        <v>2026</v>
      </c>
      <c r="B2292" s="221">
        <f>IFERROR(__xludf.DUMMYFUNCTION("""COMPUTED_VALUE"""),1.1754802E7)</f>
        <v>11754802</v>
      </c>
      <c r="C2292" s="222" t="str">
        <f>IFERROR(__xludf.DUMMYFUNCTION("""COMPUTED_VALUE"""),"SMS PT3 TMO FR D02 LUBUK TUA MK2")</f>
        <v>SMS PT3 TMO FR D02 LUBUK TUA MK2</v>
      </c>
      <c r="D2292" s="222" t="str">
        <f>IFERROR(__xludf.DUMMYFUNCTION("""COMPUTED_VALUE"""),"REGIONAL I")</f>
        <v>REGIONAL I</v>
      </c>
      <c r="E2292" s="222" t="str">
        <f>IFERROR(__xludf.DUMMYFUNCTION("""COMPUTED_VALUE"""),"SUMSEL")</f>
        <v>SUMSEL</v>
      </c>
      <c r="F2292" s="222" t="str">
        <f>IFERROR(__xludf.DUMMYFUNCTION("""COMPUTED_VALUE"""),"TMO")</f>
        <v>TMO</v>
      </c>
      <c r="G2292" s="222" t="str">
        <f>IFERROR(__xludf.DUMMYFUNCTION("""COMPUTED_VALUE"""),"SUMBAGSEL")</f>
        <v>SUMBAGSEL</v>
      </c>
      <c r="H2292" s="222" t="str">
        <f>IFERROR(__xludf.DUMMYFUNCTION("""COMPUTED_VALUE"""),"BENGKULU")</f>
        <v>BENGKULU</v>
      </c>
      <c r="I2292" s="222" t="str">
        <f>IFERROR(__xludf.DUMMYFUNCTION("""COMPUTED_VALUE"""),"Batch 3")</f>
        <v>Batch 3</v>
      </c>
      <c r="J2292" s="225">
        <f>IFERROR(__xludf.DUMMYFUNCTION("""COMPUTED_VALUE"""),7.0)</f>
        <v>7</v>
      </c>
      <c r="K2292" s="224">
        <f>IFERROR(__xludf.DUMMYFUNCTION("""COMPUTED_VALUE"""),56.0)</f>
        <v>56</v>
      </c>
      <c r="L2292" s="226">
        <f>IFERROR(__xludf.DUMMYFUNCTION("""COMPUTED_VALUE"""),1769796.0)</f>
        <v>1769796</v>
      </c>
      <c r="M2292" s="227">
        <f>IFERROR(__xludf.DUMMYFUNCTION("""COMPUTED_VALUE"""),9.9108564E7)</f>
        <v>99108564</v>
      </c>
      <c r="N2292" s="222" t="str">
        <f>IFERROR(__xludf.DUMMYFUNCTION("""COMPUTED_VALUE"""),"PT HAN SUNG INDONESIA")</f>
        <v>PT HAN SUNG INDONESIA</v>
      </c>
      <c r="O2292" s="222" t="str">
        <f>IFERROR(__xludf.DUMMYFUNCTION("""COMPUTED_VALUE"""),"7. GOLIVE")</f>
        <v>7. GOLIVE</v>
      </c>
      <c r="P2292" s="222" t="str">
        <f>IFERROR(__xludf.DUMMYFUNCTION("""COMPUTED_VALUE"""),"7.2 Golive Full / OA / DONE OTB")</f>
        <v>7.2 Golive Full / OA / DONE OTB</v>
      </c>
      <c r="Q2292" s="222" t="str">
        <f>IFERROR(__xludf.DUMMYFUNCTION("""COMPUTED_VALUE"""),"(4/2)golive sdi (4/2)sudah submit abd v4, (3/2) DATA V4 BELUM MASUK KE SDI (31/1 )plan 2 FEb Data valins dikirim oleh mitra   21/01 proses jumper dan valins, 30/12 selesai penarikan kabel, 08/12 tanam tiang, 25/11 masih menunggu antrian, 20/11 masih menun"&amp;"ggu antrian, 19/11 masih menunggu antrian, 17/11 material onsite, masih menunggu antrian, (14/11 )material onsite, masih menunggu antrian (08/11) kirim hasil anwijzing 8 nov , eval 10 nov  (04/11) menunggu progress 3/11 menunggu progress 08/10 material sd"&amp;"h d lokasi, menunggu antrian progres
(01/10) proses kirim mateial
(19/09) HOLD, karena hasil aanwijzing nilai CPP naik dan butuh konfirm ED, menunggu konfirm ED
15/09 aanwijzing done, proses Eval HI")</f>
        <v>(4/2)golive sdi (4/2)sudah submit abd v4, (3/2) DATA V4 BELUM MASUK KE SDI (31/1 )plan 2 FEb Data valins dikirim oleh mitra   21/01 proses jumper dan valins, 30/12 selesai penarikan kabel, 08/12 tanam tiang, 25/11 masih menunggu antrian, 20/11 masih menunggu antrian, 19/11 masih menunggu antrian, 17/11 material onsite, masih menunggu antrian, (14/11 )material onsite, masih menunggu antrian (08/11) kirim hasil anwijzing 8 nov , eval 10 nov  (04/11) menunggu progress 3/11 menunggu progress 08/10 material sdh d lokasi, menunggu antrian progres
(01/10) proses kirim mateial
(19/09) HOLD, karena hasil aanwijzing nilai CPP naik dan butuh konfirm ED, menunggu konfirm ED
15/09 aanwijzing done, proses Eval HI</v>
      </c>
      <c r="R2292" s="228"/>
      <c r="S2292" s="11"/>
      <c r="T2292" s="11"/>
      <c r="U2292" s="11"/>
      <c r="V2292" s="229" t="str">
        <f>IFERROR(__xludf.DUMMYFUNCTION("""COMPUTED_VALUE"""),"PUTRA")</f>
        <v>PUTRA</v>
      </c>
      <c r="W2292" s="229"/>
      <c r="X2292" s="229" t="str">
        <f>IFERROR(__xludf.DUMMYFUNCTION("""COMPUTED_VALUE"""),"GOLIVE")</f>
        <v>GOLIVE</v>
      </c>
      <c r="Y2292" s="229" t="str">
        <f>IFERROR(__xludf.DUMMYFUNCTION("""COMPUTED_VALUE"""),"DONE")</f>
        <v>DONE</v>
      </c>
      <c r="Z2292" s="229" t="str">
        <f>IFERROR(__xludf.DUMMYFUNCTION("""COMPUTED_VALUE"""),"#N/A")</f>
        <v>#N/A</v>
      </c>
      <c r="AA2292" s="229">
        <f>IFERROR(__xludf.DUMMYFUNCTION("""COMPUTED_VALUE"""),7.0)</f>
        <v>7</v>
      </c>
      <c r="AB2292" s="229"/>
      <c r="AC2292" s="229" t="str">
        <f>IFERROR(__xludf.DUMMYFUNCTION("""COMPUTED_VALUE"""),"9016050#9016055")</f>
        <v>9016050#9016055</v>
      </c>
      <c r="AD2292" s="232">
        <f>IFERROR(__xludf.DUMMYFUNCTION("""COMPUTED_VALUE"""),56.0)</f>
        <v>56</v>
      </c>
      <c r="AE2292" s="233">
        <f>IFERROR(__xludf.DUMMYFUNCTION("""COMPUTED_VALUE"""),46057.0)</f>
        <v>46057</v>
      </c>
      <c r="AF2292" s="54"/>
      <c r="AG2292" s="54"/>
      <c r="AH2292" s="54"/>
      <c r="AI2292" s="55" t="str">
        <f t="shared" si="218"/>
        <v/>
      </c>
      <c r="AW2292" s="234"/>
      <c r="BP2292" s="11"/>
      <c r="BQ2292" s="11"/>
      <c r="BV2292" s="158"/>
      <c r="BY2292" s="158"/>
      <c r="CB2292" s="158"/>
    </row>
    <row r="2293" ht="18.0" hidden="1" customHeight="1">
      <c r="A2293" s="222">
        <f>IFERROR(__xludf.DUMMYFUNCTION("""COMPUTED_VALUE"""),2026.0)</f>
        <v>2026</v>
      </c>
      <c r="B2293" s="221">
        <f>IFERROR(__xludf.DUMMYFUNCTION("""COMPUTED_VALUE"""),1.1434791E7)</f>
        <v>11434791</v>
      </c>
      <c r="C2293" s="222" t="str">
        <f>IFERROR(__xludf.DUMMYFUNCTION("""COMPUTED_VALUE"""),"SMS P3I1 PT3 TMO FG D02 BAMBANG P1")</f>
        <v>SMS P3I1 PT3 TMO FG D02 BAMBANG P1</v>
      </c>
      <c r="D2293" s="222" t="str">
        <f>IFERROR(__xludf.DUMMYFUNCTION("""COMPUTED_VALUE"""),"REGIONAL I")</f>
        <v>REGIONAL I</v>
      </c>
      <c r="E2293" s="222" t="str">
        <f>IFERROR(__xludf.DUMMYFUNCTION("""COMPUTED_VALUE"""),"SUMSEL")</f>
        <v>SUMSEL</v>
      </c>
      <c r="F2293" s="222" t="str">
        <f>IFERROR(__xludf.DUMMYFUNCTION("""COMPUTED_VALUE"""),"TMO")</f>
        <v>TMO</v>
      </c>
      <c r="G2293" s="222" t="str">
        <f>IFERROR(__xludf.DUMMYFUNCTION("""COMPUTED_VALUE"""),"SUMBAGSEL")</f>
        <v>SUMBAGSEL</v>
      </c>
      <c r="H2293" s="222" t="str">
        <f>IFERROR(__xludf.DUMMYFUNCTION("""COMPUTED_VALUE"""),"BENGKULU")</f>
        <v>BENGKULU</v>
      </c>
      <c r="I2293" s="222" t="str">
        <f>IFERROR(__xludf.DUMMYFUNCTION("""COMPUTED_VALUE"""),"Batch 3")</f>
        <v>Batch 3</v>
      </c>
      <c r="J2293" s="225">
        <f>IFERROR(__xludf.DUMMYFUNCTION("""COMPUTED_VALUE"""),7.0)</f>
        <v>7</v>
      </c>
      <c r="K2293" s="224">
        <f>IFERROR(__xludf.DUMMYFUNCTION("""COMPUTED_VALUE"""),56.0)</f>
        <v>56</v>
      </c>
      <c r="L2293" s="226">
        <f>IFERROR(__xludf.DUMMYFUNCTION("""COMPUTED_VALUE"""),1764693.0)</f>
        <v>1764693</v>
      </c>
      <c r="M2293" s="227">
        <f>IFERROR(__xludf.DUMMYFUNCTION("""COMPUTED_VALUE"""),9.8822789E7)</f>
        <v>98822789</v>
      </c>
      <c r="N2293" s="222" t="str">
        <f>IFERROR(__xludf.DUMMYFUNCTION("""COMPUTED_VALUE"""),"PT ALAM UTAMA MULIA")</f>
        <v>PT ALAM UTAMA MULIA</v>
      </c>
      <c r="O2293" s="222" t="str">
        <f>IFERROR(__xludf.DUMMYFUNCTION("""COMPUTED_VALUE"""),"8. UJI TERIMA")</f>
        <v>8. UJI TERIMA</v>
      </c>
      <c r="P2293" s="222" t="str">
        <f>IFERROR(__xludf.DUMMYFUNCTION("""COMPUTED_VALUE"""),"8.1 Proses UT")</f>
        <v>8.1 Proses UT</v>
      </c>
      <c r="Q2293" s="222" t="str">
        <f>IFERROR(__xludf.DUMMYFUNCTION("""COMPUTED_VALUE"""),"(29/1) SUBMIT ABD MAINCORE (21/010 proses jumper dan valins, 25/11 menunggu tim jointer, 20/11 menunggu tim jointer, 17/11 selesai penarikan kabel, 04/11 Matrial onsite, menunggu progress 3/11 Matrial onsite, menunggu progress 08/10 progres pengiriman mat"&amp;"erial
(01/10) proses pengiriman material ")</f>
        <v>(29/1) SUBMIT ABD MAINCORE (21/010 proses jumper dan valins, 25/11 menunggu tim jointer, 20/11 menunggu tim jointer, 17/11 selesai penarikan kabel, 04/11 Matrial onsite, menunggu progress 3/11 Matrial onsite, menunggu progress 08/10 progres pengiriman material
(01/10) proses pengiriman material </v>
      </c>
      <c r="R2293" s="228"/>
      <c r="S2293" s="11"/>
      <c r="T2293" s="11"/>
      <c r="U2293" s="11"/>
      <c r="V2293" s="229" t="str">
        <f>IFERROR(__xludf.DUMMYFUNCTION("""COMPUTED_VALUE"""),"PUTRA")</f>
        <v>PUTRA</v>
      </c>
      <c r="W2293" s="229"/>
      <c r="X2293" s="229" t="str">
        <f>IFERROR(__xludf.DUMMYFUNCTION("""COMPUTED_VALUE"""),"GOLIVE")</f>
        <v>GOLIVE</v>
      </c>
      <c r="Y2293" s="229" t="str">
        <f>IFERROR(__xludf.DUMMYFUNCTION("""COMPUTED_VALUE"""),"DONE")</f>
        <v>DONE</v>
      </c>
      <c r="Z2293" s="229" t="str">
        <f>IFERROR(__xludf.DUMMYFUNCTION("""COMPUTED_VALUE"""),"#N/A")</f>
        <v>#N/A</v>
      </c>
      <c r="AA2293" s="229">
        <f>IFERROR(__xludf.DUMMYFUNCTION("""COMPUTED_VALUE"""),8.0)</f>
        <v>8</v>
      </c>
      <c r="AB2293" s="229"/>
      <c r="AC2293" s="229" t="str">
        <f>IFERROR(__xludf.DUMMYFUNCTION("""COMPUTED_VALUE"""),"9015893#9015898")</f>
        <v>9015893#9015898</v>
      </c>
      <c r="AD2293" s="232">
        <f>IFERROR(__xludf.DUMMYFUNCTION("""COMPUTED_VALUE"""),64.0)</f>
        <v>64</v>
      </c>
      <c r="AE2293" s="233">
        <f>IFERROR(__xludf.DUMMYFUNCTION("""COMPUTED_VALUE"""),46052.0)</f>
        <v>46052</v>
      </c>
      <c r="AF2293" s="54"/>
      <c r="AG2293" s="54"/>
      <c r="AH2293" s="54"/>
      <c r="AI2293" s="55" t="str">
        <f t="shared" si="218"/>
        <v/>
      </c>
      <c r="AW2293" s="234"/>
      <c r="BP2293" s="11"/>
      <c r="BQ2293" s="11"/>
      <c r="BV2293" s="158"/>
      <c r="BY2293" s="158"/>
      <c r="CB2293" s="158"/>
    </row>
    <row r="2294" ht="18.0" hidden="1" customHeight="1">
      <c r="A2294" s="222">
        <f>IFERROR(__xludf.DUMMYFUNCTION("""COMPUTED_VALUE"""),2026.0)</f>
        <v>2026</v>
      </c>
      <c r="B2294" s="221">
        <f>IFERROR(__xludf.DUMMYFUNCTION("""COMPUTED_VALUE"""),1.1381072E7)</f>
        <v>11381072</v>
      </c>
      <c r="C2294" s="222" t="str">
        <f>IFERROR(__xludf.DUMMYFUNCTION("""COMPUTED_VALUE"""),"SMS P2I2 PT3 BET FL D01 LAIS BETUNG")</f>
        <v>SMS P2I2 PT3 BET FL D01 LAIS BETUNG</v>
      </c>
      <c r="D2294" s="222" t="str">
        <f>IFERROR(__xludf.DUMMYFUNCTION("""COMPUTED_VALUE"""),"REGIONAL I")</f>
        <v>REGIONAL I</v>
      </c>
      <c r="E2294" s="222" t="str">
        <f>IFERROR(__xludf.DUMMYFUNCTION("""COMPUTED_VALUE"""),"SUMSEL")</f>
        <v>SUMSEL</v>
      </c>
      <c r="F2294" s="222" t="str">
        <f>IFERROR(__xludf.DUMMYFUNCTION("""COMPUTED_VALUE"""),"BET")</f>
        <v>BET</v>
      </c>
      <c r="G2294" s="222" t="str">
        <f>IFERROR(__xludf.DUMMYFUNCTION("""COMPUTED_VALUE"""),"SUMBAGSEL")</f>
        <v>SUMBAGSEL</v>
      </c>
      <c r="H2294" s="222" t="str">
        <f>IFERROR(__xludf.DUMMYFUNCTION("""COMPUTED_VALUE"""),"PALEMBANG")</f>
        <v>PALEMBANG</v>
      </c>
      <c r="I2294" s="222" t="str">
        <f>IFERROR(__xludf.DUMMYFUNCTION("""COMPUTED_VALUE"""),"Batch 3")</f>
        <v>Batch 3</v>
      </c>
      <c r="J2294" s="225">
        <f>IFERROR(__xludf.DUMMYFUNCTION("""COMPUTED_VALUE"""),5.0)</f>
        <v>5</v>
      </c>
      <c r="K2294" s="224">
        <f>IFERROR(__xludf.DUMMYFUNCTION("""COMPUTED_VALUE"""),40.0)</f>
        <v>40</v>
      </c>
      <c r="L2294" s="226">
        <f>IFERROR(__xludf.DUMMYFUNCTION("""COMPUTED_VALUE"""),1762536.0)</f>
        <v>1762536</v>
      </c>
      <c r="M2294" s="227">
        <f>IFERROR(__xludf.DUMMYFUNCTION("""COMPUTED_VALUE"""),7.050143E7)</f>
        <v>70501430</v>
      </c>
      <c r="N2294" s="222" t="str">
        <f>IFERROR(__xludf.DUMMYFUNCTION("""COMPUTED_VALUE"""),"PT SARANA MITRA PERSADA")</f>
        <v>PT SARANA MITRA PERSADA</v>
      </c>
      <c r="O2294" s="222" t="str">
        <f>IFERROR(__xludf.DUMMYFUNCTION("""COMPUTED_VALUE"""),"8. UJI TERIMA")</f>
        <v>8. UJI TERIMA</v>
      </c>
      <c r="P2294" s="222" t="str">
        <f>IFERROR(__xludf.DUMMYFUNCTION("""COMPUTED_VALUE"""),"8.1 Proses UT")</f>
        <v>8.1 Proses UT</v>
      </c>
      <c r="Q2294" s="222" t="str">
        <f>IFERROR(__xludf.DUMMYFUNCTION("""COMPUTED_VALUE"""),"(24/1) golive 24 jan 2026 (21/01) selesai fisik, data abd sdh masuk ke sdi untuk golive, (08/12)Submit ABD KE SDI 08/12 menunggu jadwal UT, (22/11) plan tanam tiang (20/11)perijinan pu sudah ok , persiapan progress (18/11 masih menunggu pembayaran kompens"&amp;"asi, 14/11 menunggu pembayaran kompensasi, 12/11 comcase 15jt PU Nasional, 10/11 comcase 15jt PU Nasional 04/11 comcase 15jt PU Nasional 13/10 belum ada info lebih lanjut dr PU.
 09/10 Sudah dapat izin prinsip PU, menunggu jadwal Mulai instalasi dari PU k"&amp;"arena sedang banyak pembangunan di ruas jalan yg akan diinstal  08/10 untuk izin undertable dari pu nas belum di kasih izin karena di lokasi masih banyak tim pu pusat yg lewat
01/10 proses berkoordinasi dg pihak pu nasional untuk izin under table  (19/09)"&amp;" proses berkoordinasi dg pihak pu nasional untuk izin under table
08/09 Done Aanwidjing Comcase PU Nasional 17 Juta")</f>
        <v>(24/1) golive 24 jan 2026 (21/01) selesai fisik, data abd sdh masuk ke sdi untuk golive, (08/12)Submit ABD KE SDI 08/12 menunggu jadwal UT, (22/11) plan tanam tiang (20/11)perijinan pu sudah ok , persiapan progress (18/11 masih menunggu pembayaran kompensasi, 14/11 menunggu pembayaran kompensasi, 12/11 comcase 15jt PU Nasional, 10/11 comcase 15jt PU Nasional 04/11 comcase 15jt PU Nasional 13/10 belum ada info lebih lanjut dr PU.
 09/10 Sudah dapat izin prinsip PU, menunggu jadwal Mulai instalasi dari PU karena sedang banyak pembangunan di ruas jalan yg akan diinstal  08/10 untuk izin undertable dari pu nas belum di kasih izin karena di lokasi masih banyak tim pu pusat yg lewat
01/10 proses berkoordinasi dg pihak pu nasional untuk izin under table  (19/09) proses berkoordinasi dg pihak pu nasional untuk izin under table
08/09 Done Aanwidjing Comcase PU Nasional 17 Juta</v>
      </c>
      <c r="R2294" s="228"/>
      <c r="S2294" s="11"/>
      <c r="T2294" s="11"/>
      <c r="U2294" s="11"/>
      <c r="V2294" s="229" t="str">
        <f>IFERROR(__xludf.DUMMYFUNCTION("""COMPUTED_VALUE"""),"PUTRA")</f>
        <v>PUTRA</v>
      </c>
      <c r="W2294" s="229"/>
      <c r="X2294" s="229" t="str">
        <f>IFERROR(__xludf.DUMMYFUNCTION("""COMPUTED_VALUE"""),"GOLIVE")</f>
        <v>GOLIVE</v>
      </c>
      <c r="Y2294" s="229" t="str">
        <f>IFERROR(__xludf.DUMMYFUNCTION("""COMPUTED_VALUE"""),"DONE")</f>
        <v>DONE</v>
      </c>
      <c r="Z2294" s="229" t="str">
        <f>IFERROR(__xludf.DUMMYFUNCTION("""COMPUTED_VALUE"""),"#N/A")</f>
        <v>#N/A</v>
      </c>
      <c r="AA2294" s="229">
        <f>IFERROR(__xludf.DUMMYFUNCTION("""COMPUTED_VALUE"""),4.0)</f>
        <v>4</v>
      </c>
      <c r="AB2294" s="229"/>
      <c r="AC2294" s="229" t="str">
        <f>IFERROR(__xludf.DUMMYFUNCTION("""COMPUTED_VALUE"""),"9005508#9005513")</f>
        <v>9005508#9005513</v>
      </c>
      <c r="AD2294" s="232">
        <f>IFERROR(__xludf.DUMMYFUNCTION("""COMPUTED_VALUE"""),32.0)</f>
        <v>32</v>
      </c>
      <c r="AE2294" s="233">
        <f>IFERROR(__xludf.DUMMYFUNCTION("""COMPUTED_VALUE"""),46046.0)</f>
        <v>46046</v>
      </c>
      <c r="AF2294" s="54"/>
      <c r="AG2294" s="54"/>
      <c r="AH2294" s="54">
        <v>46136.0</v>
      </c>
      <c r="AI2294" s="237">
        <f>AH2294-NOW()</f>
        <v>-4.377989954</v>
      </c>
      <c r="AJ2294" s="229" t="str">
        <f>if(AI2294&gt;=0,"Gl in Komitmen","Gl out Komitmen")</f>
        <v>Gl out Komitmen</v>
      </c>
      <c r="AK2294" s="229" t="s">
        <v>199</v>
      </c>
      <c r="AW2294" s="234"/>
      <c r="BP2294" s="11"/>
      <c r="BQ2294" s="11"/>
      <c r="BV2294" s="158"/>
      <c r="BY2294" s="158"/>
      <c r="CB2294" s="158"/>
    </row>
    <row r="2295" ht="18.0" customHeight="1">
      <c r="A2295" s="222">
        <f>IFERROR(__xludf.DUMMYFUNCTION("""COMPUTED_VALUE"""),2026.0)</f>
        <v>2026</v>
      </c>
      <c r="B2295" s="221">
        <f>IFERROR(__xludf.DUMMYFUNCTION("""COMPUTED_VALUE"""),1.1288506E7)</f>
        <v>11288506</v>
      </c>
      <c r="C2295" s="222" t="str">
        <f>IFERROR(__xludf.DUMMYFUNCTION("""COMPUTED_VALUE"""),"RDR BGU PT3 P2I2 KEPENGHULUHANSAPTAPERMA")</f>
        <v>RDR BGU PT3 P2I2 KEPENGHULUHANSAPTAPERMA</v>
      </c>
      <c r="D2295" s="222" t="str">
        <f>IFERROR(__xludf.DUMMYFUNCTION("""COMPUTED_VALUE"""),"REGIONAL I")</f>
        <v>REGIONAL I</v>
      </c>
      <c r="E2295" s="222" t="str">
        <f>IFERROR(__xludf.DUMMYFUNCTION("""COMPUTED_VALUE"""),"RIDAR")</f>
        <v>RIDAR</v>
      </c>
      <c r="F2295" s="222" t="str">
        <f>IFERROR(__xludf.DUMMYFUNCTION("""COMPUTED_VALUE"""),"BGU")</f>
        <v>BGU</v>
      </c>
      <c r="G2295" s="222" t="str">
        <f>IFERROR(__xludf.DUMMYFUNCTION("""COMPUTED_VALUE"""),"SUMBAGTENG")</f>
        <v>SUMBAGTENG</v>
      </c>
      <c r="H2295" s="222" t="str">
        <f>IFERROR(__xludf.DUMMYFUNCTION("""COMPUTED_VALUE"""),"DUMAI")</f>
        <v>DUMAI</v>
      </c>
      <c r="I2295" s="222" t="str">
        <f>IFERROR(__xludf.DUMMYFUNCTION("""COMPUTED_VALUE"""),"Batch 3")</f>
        <v>Batch 3</v>
      </c>
      <c r="J2295" s="225">
        <f>IFERROR(__xludf.DUMMYFUNCTION("""COMPUTED_VALUE"""),18.0)</f>
        <v>18</v>
      </c>
      <c r="K2295" s="224">
        <f>IFERROR(__xludf.DUMMYFUNCTION("""COMPUTED_VALUE"""),144.0)</f>
        <v>144</v>
      </c>
      <c r="L2295" s="226">
        <f>IFERROR(__xludf.DUMMYFUNCTION("""COMPUTED_VALUE"""),1760034.0)</f>
        <v>1760034</v>
      </c>
      <c r="M2295" s="227">
        <f>IFERROR(__xludf.DUMMYFUNCTION("""COMPUTED_VALUE"""),2.53444774E8)</f>
        <v>253444774</v>
      </c>
      <c r="N2295" s="222" t="str">
        <f>IFERROR(__xludf.DUMMYFUNCTION("""COMPUTED_VALUE"""),"PT DWI MITRA JAYA UTAMA")</f>
        <v>PT DWI MITRA JAYA UTAMA</v>
      </c>
      <c r="O2295" s="222" t="str">
        <f>IFERROR(__xludf.DUMMYFUNCTION("""COMPUTED_VALUE"""),"5. INSTALASI")</f>
        <v>5. INSTALASI</v>
      </c>
      <c r="P2295" s="222" t="str">
        <f>IFERROR(__xludf.DUMMYFUNCTION("""COMPUTED_VALUE"""),"5.9 Proses Pemasangan/Terminasi ODP/OTB")</f>
        <v>5.9 Proses Pemasangan/Terminasi ODP/OTB</v>
      </c>
      <c r="Q2295" s="222" t="str">
        <f>IFERROR(__xludf.DUMMYFUNCTION("""COMPUTED_VALUE"""),"20/04 Masih menunggu SFP BiDI dari ZTE 06/04 SFP BiDi Estimasi sampai dari ZTE W4 april 27/03 Masih menunggu kiriman SFP BiDi dari ZTE 16/03 Masih menunggu kiriman SFP BiDI est W4 Mar 09/03 Menunggu kiriman SFP BiDi Est W4 Mar dari ZTE 04/03 Menunggu kiri"&amp;"man SFP BD 80km dari ZTE 12/02 Menunggu Mini OLT UJT666 29/01 Terminasi ODP")</f>
        <v>20/04 Masih menunggu SFP BiDI dari ZTE 06/04 SFP BiDi Estimasi sampai dari ZTE W4 april 27/03 Masih menunggu kiriman SFP BiDi dari ZTE 16/03 Masih menunggu kiriman SFP BiDI est W4 Mar 09/03 Menunggu kiriman SFP BiDi Est W4 Mar dari ZTE 04/03 Menunggu kiriman SFP BD 80km dari ZTE 12/02 Menunggu Mini OLT UJT666 29/01 Terminasi ODP</v>
      </c>
      <c r="R2295" s="228">
        <f>IFERROR(__xludf.DUMMYFUNCTION("""COMPUTED_VALUE"""),46142.0)</f>
        <v>46142</v>
      </c>
      <c r="S2295" s="11"/>
      <c r="T2295" s="73"/>
      <c r="U2295" s="11"/>
      <c r="V2295" s="229" t="str">
        <f>IFERROR(__xludf.DUMMYFUNCTION("""COMPUTED_VALUE"""),"ADIL WAHYUDI")</f>
        <v>ADIL WAHYUDI</v>
      </c>
      <c r="W2295" s="229" t="str">
        <f>IFERROR(__xludf.DUMMYFUNCTION("""COMPUTED_VALUE"""),"ANZALA SAKINAH")</f>
        <v>ANZALA SAKINAH</v>
      </c>
      <c r="X2295" s="229"/>
      <c r="Y2295" s="229" t="str">
        <f>IFERROR(__xludf.DUMMYFUNCTION("""COMPUTED_VALUE"""),"Mini OLT Not Ready")</f>
        <v>Mini OLT Not Ready</v>
      </c>
      <c r="Z2295" s="229" t="str">
        <f>IFERROR(__xludf.DUMMYFUNCTION("""COMPUTED_VALUE"""),"#N/A")</f>
        <v>#N/A</v>
      </c>
      <c r="AA2295" s="229"/>
      <c r="AB2295" s="229"/>
      <c r="AC2295" s="229"/>
      <c r="AD2295" s="232"/>
      <c r="AE2295" s="233"/>
      <c r="AF2295" s="54"/>
      <c r="AG2295" s="54"/>
      <c r="AH2295" s="54">
        <v>46136.0</v>
      </c>
      <c r="AI2295" s="55">
        <f>AH2295-TODAY()</f>
        <v>-4</v>
      </c>
      <c r="AJ2295" s="229" t="str">
        <f>if(AI2295&gt;=0,"In Komitmen","Out Komitmen")</f>
        <v>Out Komitmen</v>
      </c>
      <c r="AK2295" s="231" t="s">
        <v>199</v>
      </c>
      <c r="AW2295" s="234"/>
      <c r="BP2295" s="11"/>
      <c r="BQ2295" s="11"/>
      <c r="BV2295" s="158"/>
      <c r="BY2295" s="158"/>
      <c r="CB2295" s="158"/>
    </row>
    <row r="2296" ht="18.0" customHeight="1">
      <c r="A2296" s="222">
        <f>IFERROR(__xludf.DUMMYFUNCTION("""COMPUTED_VALUE"""),2026.0)</f>
        <v>2026</v>
      </c>
      <c r="B2296" s="221">
        <f>IFERROR(__xludf.DUMMYFUNCTION("""COMPUTED_VALUE"""),1.1506655E7)</f>
        <v>11506655</v>
      </c>
      <c r="C2296" s="222" t="str">
        <f>IFERROR(__xludf.DUMMYFUNCTION("""COMPUTED_VALUE"""),"RKP PT3 TSEL BUM-FJ GG. APEL BUNTUNG")</f>
        <v>RKP PT3 TSEL BUM-FJ GG. APEL BUNTUNG</v>
      </c>
      <c r="D2296" s="222" t="str">
        <f>IFERROR(__xludf.DUMMYFUNCTION("""COMPUTED_VALUE"""),"REGIONAL I")</f>
        <v>REGIONAL I</v>
      </c>
      <c r="E2296" s="222" t="str">
        <f>IFERROR(__xludf.DUMMYFUNCTION("""COMPUTED_VALUE"""),"RIKEP")</f>
        <v>RIKEP</v>
      </c>
      <c r="F2296" s="222" t="str">
        <f>IFERROR(__xludf.DUMMYFUNCTION("""COMPUTED_VALUE"""),"BUM")</f>
        <v>BUM</v>
      </c>
      <c r="G2296" s="222" t="str">
        <f>IFERROR(__xludf.DUMMYFUNCTION("""COMPUTED_VALUE"""),"SUMBAGTENG")</f>
        <v>SUMBAGTENG</v>
      </c>
      <c r="H2296" s="222" t="str">
        <f>IFERROR(__xludf.DUMMYFUNCTION("""COMPUTED_VALUE"""),"BATAM")</f>
        <v>BATAM</v>
      </c>
      <c r="I2296" s="222" t="str">
        <f>IFERROR(__xludf.DUMMYFUNCTION("""COMPUTED_VALUE"""),"Batch 3")</f>
        <v>Batch 3</v>
      </c>
      <c r="J2296" s="225">
        <f>IFERROR(__xludf.DUMMYFUNCTION("""COMPUTED_VALUE"""),2.0)</f>
        <v>2</v>
      </c>
      <c r="K2296" s="224">
        <f>IFERROR(__xludf.DUMMYFUNCTION("""COMPUTED_VALUE"""),16.0)</f>
        <v>16</v>
      </c>
      <c r="L2296" s="226">
        <f>IFERROR(__xludf.DUMMYFUNCTION("""COMPUTED_VALUE"""),1753470.0)</f>
        <v>1753470</v>
      </c>
      <c r="M2296" s="227">
        <f>IFERROR(__xludf.DUMMYFUNCTION("""COMPUTED_VALUE"""),2.805552E7)</f>
        <v>28055520</v>
      </c>
      <c r="N2296" s="222" t="str">
        <f>IFERROR(__xludf.DUMMYFUNCTION("""COMPUTED_VALUE"""),"PT TRIPOLA PANATA")</f>
        <v>PT TRIPOLA PANATA</v>
      </c>
      <c r="O2296" s="222" t="str">
        <f>IFERROR(__xludf.DUMMYFUNCTION("""COMPUTED_VALUE"""),"0. DROP")</f>
        <v>0. DROP</v>
      </c>
      <c r="P2296" s="222" t="str">
        <f>IFERROR(__xludf.DUMMYFUNCTION("""COMPUTED_VALUE"""),"0.1 Double Order")</f>
        <v>0.1 Double Order</v>
      </c>
      <c r="Q2296" s="222" t="str">
        <f>IFERROR(__xludf.DUMMYFUNCTION("""COMPUTED_VALUE"""),"26/01 order double RKP PT3 TSEL BUM-FJ GG. APEL TJ. BUNTUNG")</f>
        <v>26/01 order double RKP PT3 TSEL BUM-FJ GG. APEL TJ. BUNTUNG</v>
      </c>
      <c r="R2296" s="228"/>
      <c r="S2296" s="11"/>
      <c r="T2296" s="11"/>
      <c r="U2296" s="11"/>
      <c r="V2296" s="229" t="str">
        <f>IFERROR(__xludf.DUMMYFUNCTION("""COMPUTED_VALUE"""),"RONALDO LEO INFANTRI")</f>
        <v>RONALDO LEO INFANTRI</v>
      </c>
      <c r="W2296" s="229"/>
      <c r="X2296" s="229"/>
      <c r="Y2296" s="229"/>
      <c r="Z2296" s="229" t="str">
        <f>IFERROR(__xludf.DUMMYFUNCTION("""COMPUTED_VALUE"""),"#N/A")</f>
        <v>#N/A</v>
      </c>
      <c r="AA2296" s="229"/>
      <c r="AB2296" s="229"/>
      <c r="AC2296" s="229"/>
      <c r="AD2296" s="232"/>
      <c r="AE2296" s="233"/>
      <c r="AF2296" s="54" t="str">
        <f>IFERROR(__xludf.DUMMYFUNCTION("""COMPUTED_VALUE"""),"Draft BA DROP")</f>
        <v>Draft BA DROP</v>
      </c>
      <c r="AG2296" s="54"/>
      <c r="AH2296" s="54"/>
      <c r="AI2296" s="55" t="str">
        <f t="shared" ref="AI2296:AI2302" si="219">IF(OR(R2296="",AE2296=""),"",R2296-AE2296)</f>
        <v/>
      </c>
      <c r="AW2296" s="234"/>
      <c r="BP2296" s="11"/>
      <c r="BQ2296" s="11"/>
      <c r="BV2296" s="158"/>
      <c r="BY2296" s="158"/>
      <c r="CB2296" s="158"/>
    </row>
    <row r="2297" ht="18.0" hidden="1" customHeight="1">
      <c r="A2297" s="222">
        <f>IFERROR(__xludf.DUMMYFUNCTION("""COMPUTED_VALUE"""),2026.0)</f>
        <v>2026</v>
      </c>
      <c r="B2297" s="221">
        <f>IFERROR(__xludf.DUMMYFUNCTION("""COMPUTED_VALUE"""),1.1488329E7)</f>
        <v>11488329</v>
      </c>
      <c r="C2297" s="222" t="str">
        <f>IFERROR(__xludf.DUMMYFUNCTION("""COMPUTED_VALUE"""),"BBL PT4 Jl Garam Gantung CSF")</f>
        <v>BBL PT4 Jl Garam Gantung CSF</v>
      </c>
      <c r="D2297" s="222" t="str">
        <f>IFERROR(__xludf.DUMMYFUNCTION("""COMPUTED_VALUE"""),"REGIONAL I")</f>
        <v>REGIONAL I</v>
      </c>
      <c r="E2297" s="222" t="str">
        <f>IFERROR(__xludf.DUMMYFUNCTION("""COMPUTED_VALUE"""),"BABEL")</f>
        <v>BABEL</v>
      </c>
      <c r="F2297" s="222" t="str">
        <f>IFERROR(__xludf.DUMMYFUNCTION("""COMPUTED_VALUE"""),"MGR")</f>
        <v>MGR</v>
      </c>
      <c r="G2297" s="222" t="str">
        <f>IFERROR(__xludf.DUMMYFUNCTION("""COMPUTED_VALUE"""),"SUMBAGSEL")</f>
        <v>SUMBAGSEL</v>
      </c>
      <c r="H2297" s="222" t="str">
        <f>IFERROR(__xludf.DUMMYFUNCTION("""COMPUTED_VALUE"""),"PANGKAL PINANG")</f>
        <v>PANGKAL PINANG</v>
      </c>
      <c r="I2297" s="222" t="str">
        <f>IFERROR(__xludf.DUMMYFUNCTION("""COMPUTED_VALUE"""),"Batch 3")</f>
        <v>Batch 3</v>
      </c>
      <c r="J2297" s="225">
        <f>IFERROR(__xludf.DUMMYFUNCTION("""COMPUTED_VALUE"""),37.0)</f>
        <v>37</v>
      </c>
      <c r="K2297" s="224">
        <f>IFERROR(__xludf.DUMMYFUNCTION("""COMPUTED_VALUE"""),296.0)</f>
        <v>296</v>
      </c>
      <c r="L2297" s="226">
        <f>IFERROR(__xludf.DUMMYFUNCTION("""COMPUTED_VALUE"""),1742577.0)</f>
        <v>1742577</v>
      </c>
      <c r="M2297" s="227">
        <f>IFERROR(__xludf.DUMMYFUNCTION("""COMPUTED_VALUE"""),5.15802715E8)</f>
        <v>515802715</v>
      </c>
      <c r="N2297" s="222" t="str">
        <f>IFERROR(__xludf.DUMMYFUNCTION("""COMPUTED_VALUE"""),"PT BAYUMI CAHAYA NUSANTARA")</f>
        <v>PT BAYUMI CAHAYA NUSANTARA</v>
      </c>
      <c r="O2297" s="222" t="str">
        <f>IFERROR(__xludf.DUMMYFUNCTION("""COMPUTED_VALUE"""),"7. GOLIVE")</f>
        <v>7. GOLIVE</v>
      </c>
      <c r="P2297" s="222" t="str">
        <f>IFERROR(__xludf.DUMMYFUNCTION("""COMPUTED_VALUE"""),"7.2 Golive Full / OA / DONE OTB")</f>
        <v>7.2 Golive Full / OA / DONE OTB</v>
      </c>
      <c r="Q2297" s="222" t="str">
        <f>IFERROR(__xludf.DUMMYFUNCTION("""COMPUTED_VALUE"""),"(31/)GOLIVE (28/1) fi kendala mini olt 31/12 finish instalasi (16/12) hold 30/11 finish instalasi (29/11) instalasi ODP (27/11) proses instalasi ODC (26/11) penyambungan kabel ODC (25/11) progres di lokasi lain (24/11) perapian pondasi ODC (22/11) pembuan"&amp;"tan pondasi odc (20/11) perapian mainhole (19/11) pembuatan mainhole done (18/11) tarik kabel 12D 3142/3142, tarik kabel 24D 5100/5100, tarik kabel 48D 5800/5800 done (17/11) progres tarik kabel 48D 3400/5800 , 12D 2000/3142, plan selesai 30 november  14/"&amp;"11 penarikan kabel 48D 2400/5800 (13/11) penarikan kabel 12D 1362/3142,24D 2620/5100 11/11 penarikan kabel 12D 1362/3142,48D 1020/5100 (6/11) Kendala material, barang sudah di PO kabel 24 tanggal 3 Oktober dan kabel 48 dari tanggal 24 Oktober (4/11) TERAI"&amp;"K KABEL 1000/14000 (31/10) PERAPIAN TIANG 30/10 TANAM TIANG 28/10 TANAM TIANG 15/10 Approval PID 09/10 OGP Anwizing &amp; perizinan 06/10 Proses Created PID || 01/10 HI proses pengurusan izin RT/RW (16/9) Pengajuan pp15/9 menunggu jadwal aanwidzing (10/09) Pr"&amp;"oses Anwizing Plan 12 September")</f>
        <v>(31/)GOLIVE (28/1) fi kendala mini olt 31/12 finish instalasi (16/12) hold 30/11 finish instalasi (29/11) instalasi ODP (27/11) proses instalasi ODC (26/11) penyambungan kabel ODC (25/11) progres di lokasi lain (24/11) perapian pondasi ODC (22/11) pembuantan pondasi odc (20/11) perapian mainhole (19/11) pembuatan mainhole done (18/11) tarik kabel 12D 3142/3142, tarik kabel 24D 5100/5100, tarik kabel 48D 5800/5800 done (17/11) progres tarik kabel 48D 3400/5800 , 12D 2000/3142, plan selesai 30 november  14/11 penarikan kabel 48D 2400/5800 (13/11) penarikan kabel 12D 1362/3142,24D 2620/5100 11/11 penarikan kabel 12D 1362/3142,48D 1020/5100 (6/11) Kendala material, barang sudah di PO kabel 24 tanggal 3 Oktober dan kabel 48 dari tanggal 24 Oktober (4/11) TERAIK KABEL 1000/14000 (31/10) PERAPIAN TIANG 30/10 TANAM TIANG 28/10 TANAM TIANG 15/10 Approval PID 09/10 OGP Anwizing &amp; perizinan 06/10 Proses Created PID || 01/10 HI proses pengurusan izin RT/RW (16/9) Pengajuan pp15/9 menunggu jadwal aanwidzing (10/09) Proses Anwizing Plan 12 September</v>
      </c>
      <c r="R2297" s="228"/>
      <c r="S2297" s="11"/>
      <c r="T2297" s="11"/>
      <c r="U2297" s="11"/>
      <c r="V2297" s="229"/>
      <c r="W2297" s="229"/>
      <c r="X2297" s="229" t="str">
        <f>IFERROR(__xludf.DUMMYFUNCTION("""COMPUTED_VALUE"""),"GOLIVE")</f>
        <v>GOLIVE</v>
      </c>
      <c r="Y2297" s="229" t="str">
        <f>IFERROR(__xludf.DUMMYFUNCTION("""COMPUTED_VALUE"""),"DONE")</f>
        <v>DONE</v>
      </c>
      <c r="Z2297" s="229" t="str">
        <f>IFERROR(__xludf.DUMMYFUNCTION("""COMPUTED_VALUE"""),"5. Done Integrasi")</f>
        <v>5. Done Integrasi</v>
      </c>
      <c r="AA2297" s="229">
        <f>IFERROR(__xludf.DUMMYFUNCTION("""COMPUTED_VALUE"""),19.0)</f>
        <v>19</v>
      </c>
      <c r="AB2297" s="229">
        <f>IFERROR(__xludf.DUMMYFUNCTION("""COMPUTED_VALUE"""),6.0)</f>
        <v>6</v>
      </c>
      <c r="AC2297" s="229" t="str">
        <f>IFERROR(__xludf.DUMMYFUNCTION("""COMPUTED_VALUE"""),"9013072#9013077")</f>
        <v>9013072#9013077</v>
      </c>
      <c r="AD2297" s="232">
        <f>IFERROR(__xludf.DUMMYFUNCTION("""COMPUTED_VALUE"""),248.0)</f>
        <v>248</v>
      </c>
      <c r="AE2297" s="233">
        <f>IFERROR(__xludf.DUMMYFUNCTION("""COMPUTED_VALUE"""),46053.0)</f>
        <v>46053</v>
      </c>
      <c r="AF2297" s="54" t="str">
        <f>IFERROR(__xludf.DUMMYFUNCTION("""COMPUTED_VALUE"""),"DONE")</f>
        <v>DONE</v>
      </c>
      <c r="AG2297" s="54"/>
      <c r="AH2297" s="54"/>
      <c r="AI2297" s="55" t="str">
        <f t="shared" si="219"/>
        <v/>
      </c>
      <c r="AW2297" s="234"/>
      <c r="BP2297" s="11"/>
      <c r="BQ2297" s="11"/>
      <c r="BV2297" s="158"/>
      <c r="BY2297" s="158"/>
      <c r="CB2297" s="158"/>
    </row>
    <row r="2298" ht="18.0" hidden="1" customHeight="1">
      <c r="A2298" s="222">
        <f>IFERROR(__xludf.DUMMYFUNCTION("""COMPUTED_VALUE"""),2026.0)</f>
        <v>2026</v>
      </c>
      <c r="B2298" s="221">
        <f>IFERROR(__xludf.DUMMYFUNCTION("""COMPUTED_VALUE"""),1.2213695E7)</f>
        <v>12213695</v>
      </c>
      <c r="C2298" s="222" t="str">
        <f>IFERROR(__xludf.DUMMYFUNCTION("""COMPUTED_VALUE"""),"BBL PT4 P3I4 BADAU IBUL")</f>
        <v>BBL PT4 P3I4 BADAU IBUL</v>
      </c>
      <c r="D2298" s="222" t="str">
        <f>IFERROR(__xludf.DUMMYFUNCTION("""COMPUTED_VALUE"""),"REGIONAL I")</f>
        <v>REGIONAL I</v>
      </c>
      <c r="E2298" s="222" t="str">
        <f>IFERROR(__xludf.DUMMYFUNCTION("""COMPUTED_VALUE"""),"BABEL")</f>
        <v>BABEL</v>
      </c>
      <c r="F2298" s="222" t="str">
        <f>IFERROR(__xludf.DUMMYFUNCTION("""COMPUTED_VALUE"""),"TJN")</f>
        <v>TJN</v>
      </c>
      <c r="G2298" s="222" t="str">
        <f>IFERROR(__xludf.DUMMYFUNCTION("""COMPUTED_VALUE"""),"SUMBAGSEL")</f>
        <v>SUMBAGSEL</v>
      </c>
      <c r="H2298" s="222" t="str">
        <f>IFERROR(__xludf.DUMMYFUNCTION("""COMPUTED_VALUE"""),"PANGKAL PINANG")</f>
        <v>PANGKAL PINANG</v>
      </c>
      <c r="I2298" s="222" t="str">
        <f>IFERROR(__xludf.DUMMYFUNCTION("""COMPUTED_VALUE"""),"Batch 3")</f>
        <v>Batch 3</v>
      </c>
      <c r="J2298" s="225">
        <f>IFERROR(__xludf.DUMMYFUNCTION("""COMPUTED_VALUE"""),62.0)</f>
        <v>62</v>
      </c>
      <c r="K2298" s="224">
        <f>IFERROR(__xludf.DUMMYFUNCTION("""COMPUTED_VALUE"""),496.0)</f>
        <v>496</v>
      </c>
      <c r="L2298" s="226">
        <f>IFERROR(__xludf.DUMMYFUNCTION("""COMPUTED_VALUE"""),1720890.0)</f>
        <v>1720890</v>
      </c>
      <c r="M2298" s="227">
        <f>IFERROR(__xludf.DUMMYFUNCTION("""COMPUTED_VALUE"""),8.53561066E8)</f>
        <v>853561066</v>
      </c>
      <c r="N2298" s="222" t="str">
        <f>IFERROR(__xludf.DUMMYFUNCTION("""COMPUTED_VALUE"""),"PT SARANA MITRA PERSADA")</f>
        <v>PT SARANA MITRA PERSADA</v>
      </c>
      <c r="O2298" s="222" t="str">
        <f>IFERROR(__xludf.DUMMYFUNCTION("""COMPUTED_VALUE"""),"7. GOLIVE")</f>
        <v>7. GOLIVE</v>
      </c>
      <c r="P2298" s="222" t="str">
        <f>IFERROR(__xludf.DUMMYFUNCTION("""COMPUTED_VALUE"""),"7.1 Golive Parsial")</f>
        <v>7.1 Golive Parsial</v>
      </c>
      <c r="Q2298" s="222" t="str">
        <f>IFERROR(__xludf.DUMMYFUNCTION("""COMPUTED_VALUE"""),"26/02 Golive 16/35 ODP (25/02) terminasi ODP (25/02) perapihan (16/2)tanam tiang  done  , tarik kabel 2000/11100 (13/02) perapihan (09/02) Penarikan Kabel (28/1) mitra smp kendala budget , konfirm ulang (21/01) kabel 24D 5000/11.100 (19/01) kabel 24D 4000"&amp;"/11.100 (06/01) kabel 24D 2000/11,100, kabel 12D 1000 done, tiang 65 done (16/12) hold, tarik kabel sisa 18000 04/12 penanaman tiang 60/65 (03/12) penanaman tiang 48/65 (29/11) material on site (28/11) request material (27/11) sudah bisa request (24/11) p"&amp;"roses pr po (21/11) Proses DRM Mitra (12/11) sudah created PID (07/11) create PID kendala budget (06/11) anjiwzing  ke lokasi (5/11) Penunjukan mitr2a")</f>
        <v>26/02 Golive 16/35 ODP (25/02) terminasi ODP (25/02) perapihan (16/2)tanam tiang  done  , tarik kabel 2000/11100 (13/02) perapihan (09/02) Penarikan Kabel (28/1) mitra smp kendala budget , konfirm ulang (21/01) kabel 24D 5000/11.100 (19/01) kabel 24D 4000/11.100 (06/01) kabel 24D 2000/11,100, kabel 12D 1000 done, tiang 65 done (16/12) hold, tarik kabel sisa 18000 04/12 penanaman tiang 60/65 (03/12) penanaman tiang 48/65 (29/11) material on site (28/11) request material (27/11) sudah bisa request (24/11) proses pr po (21/11) Proses DRM Mitra (12/11) sudah created PID (07/11) create PID kendala budget (06/11) anjiwzing  ke lokasi (5/11) Penunjukan mitr2a</v>
      </c>
      <c r="R2298" s="228">
        <f>IFERROR(__xludf.DUMMYFUNCTION("""COMPUTED_VALUE"""),46080.0)</f>
        <v>46080</v>
      </c>
      <c r="S2298" s="11"/>
      <c r="T2298" s="11"/>
      <c r="U2298" s="11"/>
      <c r="V2298" s="229"/>
      <c r="W2298" s="229"/>
      <c r="X2298" s="229" t="str">
        <f>IFERROR(__xludf.DUMMYFUNCTION("""COMPUTED_VALUE"""),"GOLIVE")</f>
        <v>GOLIVE</v>
      </c>
      <c r="Y2298" s="229" t="str">
        <f>IFERROR(__xludf.DUMMYFUNCTION("""COMPUTED_VALUE"""),"Golive Parsial")</f>
        <v>Golive Parsial</v>
      </c>
      <c r="Z2298" s="229" t="str">
        <f>IFERROR(__xludf.DUMMYFUNCTION("""COMPUTED_VALUE"""),"#N/A")</f>
        <v>#N/A</v>
      </c>
      <c r="AA2298" s="229">
        <f>IFERROR(__xludf.DUMMYFUNCTION("""COMPUTED_VALUE"""),4.0)</f>
        <v>4</v>
      </c>
      <c r="AB2298" s="229">
        <f>IFERROR(__xludf.DUMMYFUNCTION("""COMPUTED_VALUE"""),12.0)</f>
        <v>12</v>
      </c>
      <c r="AC2298" s="229" t="str">
        <f>IFERROR(__xludf.DUMMYFUNCTION("""COMPUTED_VALUE"""),"9136977#9136982")</f>
        <v>9136977#9136982</v>
      </c>
      <c r="AD2298" s="232">
        <f>IFERROR(__xludf.DUMMYFUNCTION("""COMPUTED_VALUE"""),224.0)</f>
        <v>224</v>
      </c>
      <c r="AE2298" s="233">
        <f>IFERROR(__xludf.DUMMYFUNCTION("""COMPUTED_VALUE"""),46080.0)</f>
        <v>46080</v>
      </c>
      <c r="AF2298" s="54" t="str">
        <f>IFERROR(__xludf.DUMMYFUNCTION("""COMPUTED_VALUE"""),"DONE")</f>
        <v>DONE</v>
      </c>
      <c r="AG2298" s="54"/>
      <c r="AH2298" s="54">
        <v>46080.0</v>
      </c>
      <c r="AI2298" s="55">
        <f t="shared" si="219"/>
        <v>0</v>
      </c>
      <c r="AW2298" s="234"/>
      <c r="BP2298" s="11"/>
      <c r="BQ2298" s="11"/>
      <c r="BV2298" s="158"/>
      <c r="BY2298" s="158"/>
      <c r="CB2298" s="158"/>
    </row>
    <row r="2299" ht="18.0" hidden="1" customHeight="1">
      <c r="A2299" s="222">
        <f>IFERROR(__xludf.DUMMYFUNCTION("""COMPUTED_VALUE"""),2026.0)</f>
        <v>2026</v>
      </c>
      <c r="B2299" s="221">
        <f>IFERROR(__xludf.DUMMYFUNCTION("""COMPUTED_VALUE"""),1.1365501E7)</f>
        <v>11365501</v>
      </c>
      <c r="C2299" s="222" t="str">
        <f>IFERROR(__xludf.DUMMYFUNCTION("""COMPUTED_VALUE"""),"SMS P2I2 PT3 ODC OKI FF D04 OKI 169")</f>
        <v>SMS P2I2 PT3 ODC OKI FF D04 OKI 169</v>
      </c>
      <c r="D2299" s="222" t="str">
        <f>IFERROR(__xludf.DUMMYFUNCTION("""COMPUTED_VALUE"""),"REGIONAL I")</f>
        <v>REGIONAL I</v>
      </c>
      <c r="E2299" s="222" t="str">
        <f>IFERROR(__xludf.DUMMYFUNCTION("""COMPUTED_VALUE"""),"SUMSEL")</f>
        <v>SUMSEL</v>
      </c>
      <c r="F2299" s="222" t="str">
        <f>IFERROR(__xludf.DUMMYFUNCTION("""COMPUTED_VALUE"""),"OKI")</f>
        <v>OKI</v>
      </c>
      <c r="G2299" s="222" t="str">
        <f>IFERROR(__xludf.DUMMYFUNCTION("""COMPUTED_VALUE"""),"SUMBAGSEL")</f>
        <v>SUMBAGSEL</v>
      </c>
      <c r="H2299" s="222" t="str">
        <f>IFERROR(__xludf.DUMMYFUNCTION("""COMPUTED_VALUE"""),"PALEMBANG")</f>
        <v>PALEMBANG</v>
      </c>
      <c r="I2299" s="222" t="str">
        <f>IFERROR(__xludf.DUMMYFUNCTION("""COMPUTED_VALUE"""),"Batch 3")</f>
        <v>Batch 3</v>
      </c>
      <c r="J2299" s="225">
        <f>IFERROR(__xludf.DUMMYFUNCTION("""COMPUTED_VALUE"""),5.0)</f>
        <v>5</v>
      </c>
      <c r="K2299" s="224">
        <f>IFERROR(__xludf.DUMMYFUNCTION("""COMPUTED_VALUE"""),40.0)</f>
        <v>40</v>
      </c>
      <c r="L2299" s="226">
        <f>IFERROR(__xludf.DUMMYFUNCTION("""COMPUTED_VALUE"""),1709995.0)</f>
        <v>1709995</v>
      </c>
      <c r="M2299" s="227">
        <f>IFERROR(__xludf.DUMMYFUNCTION("""COMPUTED_VALUE"""),6.8399782E7)</f>
        <v>68399782</v>
      </c>
      <c r="N2299" s="222" t="str">
        <f>IFERROR(__xludf.DUMMYFUNCTION("""COMPUTED_VALUE"""),"PT. ERIKSON PROFESIONAL INDONESIA")</f>
        <v>PT. ERIKSON PROFESIONAL INDONESIA</v>
      </c>
      <c r="O2299" s="222" t="str">
        <f>IFERROR(__xludf.DUMMYFUNCTION("""COMPUTED_VALUE"""),"0. DROP")</f>
        <v>0. DROP</v>
      </c>
      <c r="P2299" s="222" t="str">
        <f>IFERROR(__xludf.DUMMYFUNCTION("""COMPUTED_VALUE"""),"0.2 Tidak Dapat Izin Warga/Kades/Lurah/Developer")</f>
        <v>0.2 Tidak Dapat Izin Warga/Kades/Lurah/Developer</v>
      </c>
      <c r="Q2299" s="222" t="str">
        <f>IFERROR(__xludf.DUMMYFUNCTION("""COMPUTED_VALUE"""),"04/03 ADA KENAIKAN BOQ SEBESAR 55% CPP, 1,5 JT, DI LOKASI ADA PRELIM DG KADES 5 JT  06/02 HASIL REVIEW TSEL DROP UNTKU DI REDESAIN ULANG, SDH KESEPEKATAN TSEL,, 04/02 DONE EVAL, HOLD, KARENA DI LOKASI ADA KENAIKAN BOQ SEBESAR 55% CPP, 1,5 JT, DI LOKASI AD"&amp;"A PRELIM DG KADES 5 JT, 04/02 DONE EVAL, HOLD, KARENA DI LOKASI ADA KENAIKAN BOQ SEBESAR 55% CPP, 1,5 JT, DI LOKASI ADA PRELIM DG KADES 5 JT, 30/01 MENUNGGU JADWAL AANWIDJZING, 27/01 penunjukan oleh procurement ke erikson
 15/1 drop comcase kades30/12 mas"&amp;"ih menunggu perizinan, 23/12 masih menunggu perizinan, 16/12 masih menunggu perizinan, 08/12 masih menunggu perizinan, 18/11 masih menunggu perizinan, 17/11 menunggu perizinan, 14/11 perizinan kades, 13/11 masih matdel, 12/11 masih delivery material,10/11"&amp;" delivery material 04/11 proses confirm ke mitra 3/11 proses confirm ke mitra 15/10 Req Material 08/10 hasil konfrim ED terkait nilai nak ok, prepare material
 (01/10) menunggu konfrm ED karena nilai CPP naik
 (19/09) hasil aanwizing ada pperubahan d lapa"&amp;"ngan permintaan sales, lgi d revisi update nya
 (15/09) Proses Redesign Permintaan Sales Tsel")</f>
        <v>04/03 ADA KENAIKAN BOQ SEBESAR 55% CPP, 1,5 JT, DI LOKASI ADA PRELIM DG KADES 5 JT  06/02 HASIL REVIEW TSEL DROP UNTKU DI REDESAIN ULANG, SDH KESEPEKATAN TSEL,, 04/02 DONE EVAL, HOLD, KARENA DI LOKASI ADA KENAIKAN BOQ SEBESAR 55% CPP, 1,5 JT, DI LOKASI ADA PRELIM DG KADES 5 JT, 04/02 DONE EVAL, HOLD, KARENA DI LOKASI ADA KENAIKAN BOQ SEBESAR 55% CPP, 1,5 JT, DI LOKASI ADA PRELIM DG KADES 5 JT, 30/01 MENUNGGU JADWAL AANWIDJZING, 27/01 penunjukan oleh procurement ke erikson
 15/1 drop comcase kades30/12 masih menunggu perizinan, 23/12 masih menunggu perizinan, 16/12 masih menunggu perizinan, 08/12 masih menunggu perizinan, 18/11 masih menunggu perizinan, 17/11 menunggu perizinan, 14/11 perizinan kades, 13/11 masih matdel, 12/11 masih delivery material,10/11 delivery material 04/11 proses confirm ke mitra 3/11 proses confirm ke mitra 15/10 Req Material 08/10 hasil konfrim ED terkait nilai nak ok, prepare material
 (01/10) menunggu konfrm ED karena nilai CPP naik
 (19/09) hasil aanwizing ada pperubahan d lapangan permintaan sales, lgi d revisi update nya
 (15/09) Proses Redesign Permintaan Sales Tsel</v>
      </c>
      <c r="R2299" s="228"/>
      <c r="S2299" s="11"/>
      <c r="T2299" s="11"/>
      <c r="U2299" s="11"/>
      <c r="V2299" s="229" t="str">
        <f>IFERROR(__xludf.DUMMYFUNCTION("""COMPUTED_VALUE"""),"RENALDO")</f>
        <v>RENALDO</v>
      </c>
      <c r="W2299" s="229"/>
      <c r="X2299" s="229"/>
      <c r="Y2299" s="229"/>
      <c r="Z2299" s="229" t="str">
        <f>IFERROR(__xludf.DUMMYFUNCTION("""COMPUTED_VALUE"""),"#N/A")</f>
        <v>#N/A</v>
      </c>
      <c r="AA2299" s="229"/>
      <c r="AB2299" s="229"/>
      <c r="AC2299" s="229"/>
      <c r="AD2299" s="232"/>
      <c r="AE2299" s="233"/>
      <c r="AF2299" s="54" t="str">
        <f>IFERROR(__xludf.DUMMYFUNCTION("""COMPUTED_VALUE"""),"Draft BA DROP")</f>
        <v>Draft BA DROP</v>
      </c>
      <c r="AG2299" s="54"/>
      <c r="AH2299" s="54"/>
      <c r="AI2299" s="55" t="str">
        <f t="shared" si="219"/>
        <v/>
      </c>
      <c r="AW2299" s="234"/>
      <c r="BP2299" s="11"/>
      <c r="BQ2299" s="11"/>
      <c r="BV2299" s="158"/>
      <c r="BY2299" s="158"/>
      <c r="CB2299" s="158"/>
    </row>
    <row r="2300" ht="18.0" hidden="1" customHeight="1">
      <c r="A2300" s="222">
        <f>IFERROR(__xludf.DUMMYFUNCTION("""COMPUTED_VALUE"""),2026.0)</f>
        <v>2026</v>
      </c>
      <c r="B2300" s="221">
        <f>IFERROR(__xludf.DUMMYFUNCTION("""COMPUTED_VALUE"""),1.1393204E7)</f>
        <v>11393204</v>
      </c>
      <c r="C2300" s="222" t="str">
        <f>IFERROR(__xludf.DUMMYFUNCTION("""COMPUTED_VALUE"""),"SMS P2I2 PT3 TMO FG D03 PURWAKARYA")</f>
        <v>SMS P2I2 PT3 TMO FG D03 PURWAKARYA</v>
      </c>
      <c r="D2300" s="222" t="str">
        <f>IFERROR(__xludf.DUMMYFUNCTION("""COMPUTED_VALUE"""),"REGIONAL I")</f>
        <v>REGIONAL I</v>
      </c>
      <c r="E2300" s="222" t="str">
        <f>IFERROR(__xludf.DUMMYFUNCTION("""COMPUTED_VALUE"""),"SUMSEL")</f>
        <v>SUMSEL</v>
      </c>
      <c r="F2300" s="222" t="str">
        <f>IFERROR(__xludf.DUMMYFUNCTION("""COMPUTED_VALUE"""),"TMO")</f>
        <v>TMO</v>
      </c>
      <c r="G2300" s="222" t="str">
        <f>IFERROR(__xludf.DUMMYFUNCTION("""COMPUTED_VALUE"""),"SUMBAGSEL")</f>
        <v>SUMBAGSEL</v>
      </c>
      <c r="H2300" s="222" t="str">
        <f>IFERROR(__xludf.DUMMYFUNCTION("""COMPUTED_VALUE"""),"BENGKULU")</f>
        <v>BENGKULU</v>
      </c>
      <c r="I2300" s="222" t="str">
        <f>IFERROR(__xludf.DUMMYFUNCTION("""COMPUTED_VALUE"""),"Batch 3")</f>
        <v>Batch 3</v>
      </c>
      <c r="J2300" s="225">
        <f>IFERROR(__xludf.DUMMYFUNCTION("""COMPUTED_VALUE"""),14.0)</f>
        <v>14</v>
      </c>
      <c r="K2300" s="224">
        <f>IFERROR(__xludf.DUMMYFUNCTION("""COMPUTED_VALUE"""),112.0)</f>
        <v>112</v>
      </c>
      <c r="L2300" s="226">
        <f>IFERROR(__xludf.DUMMYFUNCTION("""COMPUTED_VALUE"""),1708188.0)</f>
        <v>1708188</v>
      </c>
      <c r="M2300" s="227">
        <f>IFERROR(__xludf.DUMMYFUNCTION("""COMPUTED_VALUE"""),1.91316969E8)</f>
        <v>191316969</v>
      </c>
      <c r="N2300" s="222" t="str">
        <f>IFERROR(__xludf.DUMMYFUNCTION("""COMPUTED_VALUE"""),"PT ALAM UTAMA MULIA")</f>
        <v>PT ALAM UTAMA MULIA</v>
      </c>
      <c r="O2300" s="222" t="str">
        <f>IFERROR(__xludf.DUMMYFUNCTION("""COMPUTED_VALUE"""),"8. UJI TERIMA")</f>
        <v>8. UJI TERIMA</v>
      </c>
      <c r="P2300" s="222" t="str">
        <f>IFERROR(__xludf.DUMMYFUNCTION("""COMPUTED_VALUE"""),"8.1 Proses UT")</f>
        <v>8.1 Proses UT</v>
      </c>
      <c r="Q2300" s="222" t="str">
        <f>IFERROR(__xludf.DUMMYFUNCTION("""COMPUTED_VALUE"""),"(2/11) submit revisi abd v4 21/01 proses jumper dan valins, 08/12 selesai pasang ODP, 25/11 menunggu tim jointer, 20/11 menunggu tim jointer, 17/11 selesai penarikan kabel, 04/11 Matrial onsite, menunggu progress 3/11 Matrial onsite, menunggu progress 08/"&amp;"10 pengiriman material ke lokasi
(01/10) proses pengiriman material  ")</f>
        <v>(2/11) submit revisi abd v4 21/01 proses jumper dan valins, 08/12 selesai pasang ODP, 25/11 menunggu tim jointer, 20/11 menunggu tim jointer, 17/11 selesai penarikan kabel, 04/11 Matrial onsite, menunggu progress 3/11 Matrial onsite, menunggu progress 08/10 pengiriman material ke lokasi
(01/10) proses pengiriman material  </v>
      </c>
      <c r="R2300" s="228"/>
      <c r="S2300" s="11"/>
      <c r="T2300" s="11"/>
      <c r="U2300" s="11"/>
      <c r="V2300" s="229" t="str">
        <f>IFERROR(__xludf.DUMMYFUNCTION("""COMPUTED_VALUE"""),"PUTRA")</f>
        <v>PUTRA</v>
      </c>
      <c r="W2300" s="229"/>
      <c r="X2300" s="229" t="str">
        <f>IFERROR(__xludf.DUMMYFUNCTION("""COMPUTED_VALUE"""),"GOLIVE")</f>
        <v>GOLIVE</v>
      </c>
      <c r="Y2300" s="229" t="str">
        <f>IFERROR(__xludf.DUMMYFUNCTION("""COMPUTED_VALUE"""),"DONE")</f>
        <v>DONE</v>
      </c>
      <c r="Z2300" s="229" t="str">
        <f>IFERROR(__xludf.DUMMYFUNCTION("""COMPUTED_VALUE"""),"#N/A")</f>
        <v>#N/A</v>
      </c>
      <c r="AA2300" s="229">
        <f>IFERROR(__xludf.DUMMYFUNCTION("""COMPUTED_VALUE"""),14.0)</f>
        <v>14</v>
      </c>
      <c r="AB2300" s="229"/>
      <c r="AC2300" s="229" t="str">
        <f>IFERROR(__xludf.DUMMYFUNCTION("""COMPUTED_VALUE"""),"9016122#9016127")</f>
        <v>9016122#9016127</v>
      </c>
      <c r="AD2300" s="232">
        <f>IFERROR(__xludf.DUMMYFUNCTION("""COMPUTED_VALUE"""),112.0)</f>
        <v>112</v>
      </c>
      <c r="AE2300" s="233">
        <f>IFERROR(__xludf.DUMMYFUNCTION("""COMPUTED_VALUE"""),46053.0)</f>
        <v>46053</v>
      </c>
      <c r="AF2300" s="54"/>
      <c r="AG2300" s="54"/>
      <c r="AH2300" s="54"/>
      <c r="AI2300" s="55" t="str">
        <f t="shared" si="219"/>
        <v/>
      </c>
      <c r="AW2300" s="234"/>
      <c r="BP2300" s="11"/>
      <c r="BQ2300" s="11"/>
      <c r="BV2300" s="158"/>
      <c r="BY2300" s="158"/>
      <c r="CB2300" s="158"/>
    </row>
    <row r="2301" ht="18.0" hidden="1" customHeight="1">
      <c r="A2301" s="222">
        <f>IFERROR(__xludf.DUMMYFUNCTION("""COMPUTED_VALUE"""),2026.0)</f>
        <v>2026</v>
      </c>
      <c r="B2301" s="221">
        <f>IFERROR(__xludf.DUMMYFUNCTION("""COMPUTED_VALUE"""),1.1161478E7)</f>
        <v>11161478</v>
      </c>
      <c r="C2301" s="222" t="str">
        <f>IFERROR(__xludf.DUMMYFUNCTION("""COMPUTED_VALUE"""),"SMS SUMATERA SELATAN_89")</f>
        <v>SMS SUMATERA SELATAN_89</v>
      </c>
      <c r="D2301" s="222" t="str">
        <f>IFERROR(__xludf.DUMMYFUNCTION("""COMPUTED_VALUE"""),"REGIONAL I")</f>
        <v>REGIONAL I</v>
      </c>
      <c r="E2301" s="222" t="str">
        <f>IFERROR(__xludf.DUMMYFUNCTION("""COMPUTED_VALUE"""),"SUMSEL")</f>
        <v>SUMSEL</v>
      </c>
      <c r="F2301" s="222" t="str">
        <f>IFERROR(__xludf.DUMMYFUNCTION("""COMPUTED_VALUE"""),"MUB")</f>
        <v>MUB</v>
      </c>
      <c r="G2301" s="222" t="str">
        <f>IFERROR(__xludf.DUMMYFUNCTION("""COMPUTED_VALUE"""),"SUMBAGSEL")</f>
        <v>SUMBAGSEL</v>
      </c>
      <c r="H2301" s="222" t="str">
        <f>IFERROR(__xludf.DUMMYFUNCTION("""COMPUTED_VALUE"""),"PALEMBANG")</f>
        <v>PALEMBANG</v>
      </c>
      <c r="I2301" s="222" t="str">
        <f>IFERROR(__xludf.DUMMYFUNCTION("""COMPUTED_VALUE"""),"Batch 3")</f>
        <v>Batch 3</v>
      </c>
      <c r="J2301" s="225">
        <f>IFERROR(__xludf.DUMMYFUNCTION("""COMPUTED_VALUE"""),20.0)</f>
        <v>20</v>
      </c>
      <c r="K2301" s="224">
        <f>IFERROR(__xludf.DUMMYFUNCTION("""COMPUTED_VALUE"""),160.0)</f>
        <v>160</v>
      </c>
      <c r="L2301" s="226">
        <f>IFERROR(__xludf.DUMMYFUNCTION("""COMPUTED_VALUE"""),1705361.0)</f>
        <v>1705361</v>
      </c>
      <c r="M2301" s="227">
        <f>IFERROR(__xludf.DUMMYFUNCTION("""COMPUTED_VALUE"""),2.72857625E8)</f>
        <v>272857625</v>
      </c>
      <c r="N2301" s="222" t="str">
        <f>IFERROR(__xludf.DUMMYFUNCTION("""COMPUTED_VALUE"""),"PT TRIPOLA PANATA")</f>
        <v>PT TRIPOLA PANATA</v>
      </c>
      <c r="O2301" s="222" t="str">
        <f>IFERROR(__xludf.DUMMYFUNCTION("""COMPUTED_VALUE"""),"0. DROP")</f>
        <v>0. DROP</v>
      </c>
      <c r="P2301" s="222" t="str">
        <f>IFERROR(__xludf.DUMMYFUNCTION("""COMPUTED_VALUE"""),"0.1 Double Order")</f>
        <v>0.1 Double Order</v>
      </c>
      <c r="Q2301" s="222" t="str">
        <f>IFERROR(__xludf.DUMMYFUNCTION("""COMPUTED_VALUE"""),"09/03 Sudah golive &amp; BAST di 2025 21/01 Sudah golive &amp; BAST di 2025, 18/11 sudah UT")</f>
        <v>09/03 Sudah golive &amp; BAST di 2025 21/01 Sudah golive &amp; BAST di 2025, 18/11 sudah UT</v>
      </c>
      <c r="R2301" s="228"/>
      <c r="S2301" s="11"/>
      <c r="T2301" s="11"/>
      <c r="U2301" s="11"/>
      <c r="V2301" s="229" t="str">
        <f>IFERROR(__xludf.DUMMYFUNCTION("""COMPUTED_VALUE"""),"WIJAYA")</f>
        <v>WIJAYA</v>
      </c>
      <c r="W2301" s="229"/>
      <c r="X2301" s="229"/>
      <c r="Y2301" s="229"/>
      <c r="Z2301" s="229" t="str">
        <f>IFERROR(__xludf.DUMMYFUNCTION("""COMPUTED_VALUE"""),"5. Done Integrasi")</f>
        <v>5. Done Integrasi</v>
      </c>
      <c r="AA2301" s="229"/>
      <c r="AB2301" s="229"/>
      <c r="AC2301" s="229"/>
      <c r="AD2301" s="232"/>
      <c r="AE2301" s="233"/>
      <c r="AF2301" s="54" t="str">
        <f>IFERROR(__xludf.DUMMYFUNCTION("""COMPUTED_VALUE"""),"Draft BA DROP")</f>
        <v>Draft BA DROP</v>
      </c>
      <c r="AG2301" s="54"/>
      <c r="AH2301" s="54"/>
      <c r="AI2301" s="55" t="str">
        <f t="shared" si="219"/>
        <v/>
      </c>
      <c r="AW2301" s="234"/>
      <c r="BP2301" s="11"/>
      <c r="BQ2301" s="11"/>
      <c r="BV2301" s="158"/>
      <c r="BY2301" s="158"/>
      <c r="CB2301" s="158"/>
    </row>
    <row r="2302" ht="18.0" hidden="1" customHeight="1">
      <c r="A2302" s="222">
        <f>IFERROR(__xludf.DUMMYFUNCTION("""COMPUTED_VALUE"""),2026.0)</f>
        <v>2026</v>
      </c>
      <c r="B2302" s="221">
        <f>IFERROR(__xludf.DUMMYFUNCTION("""COMPUTED_VALUE"""),1.2386354E7)</f>
        <v>12386354</v>
      </c>
      <c r="C2302" s="222" t="str">
        <f>IFERROR(__xludf.DUMMYFUNCTION("""COMPUTED_VALUE"""),"BBL PT4 P4I3 SUNGAI BULUH")</f>
        <v>BBL PT4 P4I3 SUNGAI BULUH</v>
      </c>
      <c r="D2302" s="222" t="str">
        <f>IFERROR(__xludf.DUMMYFUNCTION("""COMPUTED_VALUE"""),"REGIONAL I")</f>
        <v>REGIONAL I</v>
      </c>
      <c r="E2302" s="222" t="str">
        <f>IFERROR(__xludf.DUMMYFUNCTION("""COMPUTED_VALUE"""),"BABEL")</f>
        <v>BABEL</v>
      </c>
      <c r="F2302" s="222" t="str">
        <f>IFERROR(__xludf.DUMMYFUNCTION("""COMPUTED_VALUE"""),"JBS")</f>
        <v>JBS</v>
      </c>
      <c r="G2302" s="222" t="str">
        <f>IFERROR(__xludf.DUMMYFUNCTION("""COMPUTED_VALUE"""),"SUMBAGSEL")</f>
        <v>SUMBAGSEL</v>
      </c>
      <c r="H2302" s="222" t="str">
        <f>IFERROR(__xludf.DUMMYFUNCTION("""COMPUTED_VALUE"""),"PANGKAL PINANG")</f>
        <v>PANGKAL PINANG</v>
      </c>
      <c r="I2302" s="222" t="str">
        <f>IFERROR(__xludf.DUMMYFUNCTION("""COMPUTED_VALUE"""),"Batch 3")</f>
        <v>Batch 3</v>
      </c>
      <c r="J2302" s="225">
        <f>IFERROR(__xludf.DUMMYFUNCTION("""COMPUTED_VALUE"""),31.0)</f>
        <v>31</v>
      </c>
      <c r="K2302" s="224">
        <f>IFERROR(__xludf.DUMMYFUNCTION("""COMPUTED_VALUE"""),248.0)</f>
        <v>248</v>
      </c>
      <c r="L2302" s="226">
        <f>IFERROR(__xludf.DUMMYFUNCTION("""COMPUTED_VALUE"""),1702904.0)</f>
        <v>1702904</v>
      </c>
      <c r="M2302" s="227">
        <f>IFERROR(__xludf.DUMMYFUNCTION("""COMPUTED_VALUE"""),4.22320094E8)</f>
        <v>422320094</v>
      </c>
      <c r="N2302" s="222" t="str">
        <f>IFERROR(__xludf.DUMMYFUNCTION("""COMPUTED_VALUE"""),"PT FAJAR MITRA KRIDA ABADI")</f>
        <v>PT FAJAR MITRA KRIDA ABADI</v>
      </c>
      <c r="O2302" s="222" t="str">
        <f>IFERROR(__xludf.DUMMYFUNCTION("""COMPUTED_VALUE"""),"7. GOLIVE")</f>
        <v>7. GOLIVE</v>
      </c>
      <c r="P2302" s="222" t="str">
        <f>IFERROR(__xludf.DUMMYFUNCTION("""COMPUTED_VALUE"""),"7.2 Golive Full / OA / DONE OTB")</f>
        <v>7.2 Golive Full / OA / DONE OTB</v>
      </c>
      <c r="Q2302" s="222" t="str">
        <f>IFERROR(__xludf.DUMMYFUNCTION("""COMPUTED_VALUE"""),"(23/1) golive 23 jan 2026 (07/01) finish instalasi (06/01) instalasi ODP (05/01) kabel 12D 7400 done, tanam tiang 104 done (02/01) penarikan kabel 24D 3550 done (16/12) hold , material on site 28/11 sudah bisa request (24/11) prosespr po (18/11) DRM mitra"&amp;" done (07/11) anwizing ke lokasi (05/11) penunjukkan mitra ")</f>
        <v>(23/1) golive 23 jan 2026 (07/01) finish instalasi (06/01) instalasi ODP (05/01) kabel 12D 7400 done, tanam tiang 104 done (02/01) penarikan kabel 24D 3550 done (16/12) hold , material on site 28/11 sudah bisa request (24/11) prosespr po (18/11) DRM mitra done (07/11) anwizing ke lokasi (05/11) penunjukkan mitra </v>
      </c>
      <c r="R2302" s="228"/>
      <c r="S2302" s="11"/>
      <c r="T2302" s="11"/>
      <c r="U2302" s="11"/>
      <c r="V2302" s="229"/>
      <c r="W2302" s="229"/>
      <c r="X2302" s="229" t="str">
        <f>IFERROR(__xludf.DUMMYFUNCTION("""COMPUTED_VALUE"""),"GOLIVE")</f>
        <v>GOLIVE</v>
      </c>
      <c r="Y2302" s="229" t="str">
        <f>IFERROR(__xludf.DUMMYFUNCTION("""COMPUTED_VALUE"""),"DONE")</f>
        <v>DONE</v>
      </c>
      <c r="Z2302" s="229" t="str">
        <f>IFERROR(__xludf.DUMMYFUNCTION("""COMPUTED_VALUE"""),"#N/A")</f>
        <v>#N/A</v>
      </c>
      <c r="AA2302" s="229">
        <f>IFERROR(__xludf.DUMMYFUNCTION("""COMPUTED_VALUE"""),13.0)</f>
        <v>13</v>
      </c>
      <c r="AB2302" s="229">
        <f>IFERROR(__xludf.DUMMYFUNCTION("""COMPUTED_VALUE"""),9.0)</f>
        <v>9</v>
      </c>
      <c r="AC2302" s="229" t="str">
        <f>IFERROR(__xludf.DUMMYFUNCTION("""COMPUTED_VALUE"""),"8952187#8952192")</f>
        <v>8952187#8952192</v>
      </c>
      <c r="AD2302" s="232">
        <f>IFERROR(__xludf.DUMMYFUNCTION("""COMPUTED_VALUE"""),248.0)</f>
        <v>248</v>
      </c>
      <c r="AE2302" s="233">
        <f>IFERROR(__xludf.DUMMYFUNCTION("""COMPUTED_VALUE"""),46044.0)</f>
        <v>46044</v>
      </c>
      <c r="AF2302" s="54" t="str">
        <f>IFERROR(__xludf.DUMMYFUNCTION("""COMPUTED_VALUE"""),"DONE")</f>
        <v>DONE</v>
      </c>
      <c r="AG2302" s="54"/>
      <c r="AH2302" s="54"/>
      <c r="AI2302" s="55" t="str">
        <f t="shared" si="219"/>
        <v/>
      </c>
      <c r="AW2302" s="234"/>
      <c r="BP2302" s="11"/>
      <c r="BQ2302" s="11"/>
      <c r="BV2302" s="158"/>
      <c r="BY2302" s="158"/>
      <c r="CB2302" s="158"/>
    </row>
    <row r="2303" ht="18.0" hidden="1" customHeight="1">
      <c r="A2303" s="222">
        <f>IFERROR(__xludf.DUMMYFUNCTION("""COMPUTED_VALUE"""),2026.0)</f>
        <v>2026</v>
      </c>
      <c r="B2303" s="221">
        <f>IFERROR(__xludf.DUMMYFUNCTION("""COMPUTED_VALUE"""),1.1563239E7)</f>
        <v>11563239</v>
      </c>
      <c r="C2303" s="222" t="str">
        <f>IFERROR(__xludf.DUMMYFUNCTION("""COMPUTED_VALUE"""),"SMU ODC-KBJ-FBB D02 DESA DOKAN")</f>
        <v>SMU ODC-KBJ-FBB D02 DESA DOKAN</v>
      </c>
      <c r="D2303" s="222" t="str">
        <f>IFERROR(__xludf.DUMMYFUNCTION("""COMPUTED_VALUE"""),"REGIONAL I")</f>
        <v>REGIONAL I</v>
      </c>
      <c r="E2303" s="222" t="str">
        <f>IFERROR(__xludf.DUMMYFUNCTION("""COMPUTED_VALUE"""),"SUMUT")</f>
        <v>SUMUT</v>
      </c>
      <c r="F2303" s="222" t="str">
        <f>IFERROR(__xludf.DUMMYFUNCTION("""COMPUTED_VALUE"""),"KBJ")</f>
        <v>KBJ</v>
      </c>
      <c r="G2303" s="222" t="str">
        <f>IFERROR(__xludf.DUMMYFUNCTION("""COMPUTED_VALUE"""),"SUMBAGUT")</f>
        <v>SUMBAGUT</v>
      </c>
      <c r="H2303" s="222" t="str">
        <f>IFERROR(__xludf.DUMMYFUNCTION("""COMPUTED_VALUE"""),"PEMATANG SIANTAR")</f>
        <v>PEMATANG SIANTAR</v>
      </c>
      <c r="I2303" s="222" t="str">
        <f>IFERROR(__xludf.DUMMYFUNCTION("""COMPUTED_VALUE"""),"Batch 3")</f>
        <v>Batch 3</v>
      </c>
      <c r="J2303" s="225">
        <f>IFERROR(__xludf.DUMMYFUNCTION("""COMPUTED_VALUE"""),8.0)</f>
        <v>8</v>
      </c>
      <c r="K2303" s="224">
        <f>IFERROR(__xludf.DUMMYFUNCTION("""COMPUTED_VALUE"""),64.0)</f>
        <v>64</v>
      </c>
      <c r="L2303" s="226">
        <f>IFERROR(__xludf.DUMMYFUNCTION("""COMPUTED_VALUE"""),1700358.0)</f>
        <v>1700358</v>
      </c>
      <c r="M2303" s="227">
        <f>IFERROR(__xludf.DUMMYFUNCTION("""COMPUTED_VALUE"""),1.0882288E8)</f>
        <v>108822880</v>
      </c>
      <c r="N2303" s="222" t="str">
        <f>IFERROR(__xludf.DUMMYFUNCTION("""COMPUTED_VALUE"""),"PT SALTTEK DUMPANG JAYA")</f>
        <v>PT SALTTEK DUMPANG JAYA</v>
      </c>
      <c r="O2303" s="222" t="str">
        <f>IFERROR(__xludf.DUMMYFUNCTION("""COMPUTED_VALUE"""),"7. GOLIVE")</f>
        <v>7. GOLIVE</v>
      </c>
      <c r="P2303" s="222" t="str">
        <f>IFERROR(__xludf.DUMMYFUNCTION("""COMPUTED_VALUE"""),"7.2 Golive Full / OA / DONE OTB")</f>
        <v>7.2 Golive Full / OA / DONE OTB</v>
      </c>
      <c r="Q2303" s="222" t="str">
        <f>IFERROR(__xludf.DUMMYFUNCTION("""COMPUTED_VALUE"""),"27/1 Golive, Golive partial, kendala 1 odp/017 redting, 22/1 Golive partial, kendala 1 odp/017 redting, 21/1 validasi sdi")</f>
        <v>27/1 Golive, Golive partial, kendala 1 odp/017 redting, 22/1 Golive partial, kendala 1 odp/017 redting, 21/1 validasi sdi</v>
      </c>
      <c r="R2303" s="228">
        <f>IFERROR(__xludf.DUMMYFUNCTION("""COMPUTED_VALUE"""),46044.0)</f>
        <v>46044</v>
      </c>
      <c r="S2303" s="11"/>
      <c r="T2303" s="11"/>
      <c r="U2303" s="11" t="str">
        <f>IFERROR(__xludf.DUMMYFUNCTION("""COMPUTED_VALUE"""),"W03-1412/2025")</f>
        <v>W03-1412/2025</v>
      </c>
      <c r="V2303" s="229"/>
      <c r="W2303" s="229"/>
      <c r="X2303" s="229" t="str">
        <f>IFERROR(__xludf.DUMMYFUNCTION("""COMPUTED_VALUE"""),"GOLIVE")</f>
        <v>GOLIVE</v>
      </c>
      <c r="Y2303" s="229" t="str">
        <f>IFERROR(__xludf.DUMMYFUNCTION("""COMPUTED_VALUE"""),"DONE")</f>
        <v>DONE</v>
      </c>
      <c r="Z2303" s="229" t="str">
        <f>IFERROR(__xludf.DUMMYFUNCTION("""COMPUTED_VALUE"""),"#N/A")</f>
        <v>#N/A</v>
      </c>
      <c r="AA2303" s="229">
        <f>IFERROR(__xludf.DUMMYFUNCTION("""COMPUTED_VALUE"""),5.0)</f>
        <v>5</v>
      </c>
      <c r="AB2303" s="229"/>
      <c r="AC2303" s="229" t="str">
        <f>IFERROR(__xludf.DUMMYFUNCTION("""COMPUTED_VALUE"""),"8887119#8887124")</f>
        <v>8887119#8887124</v>
      </c>
      <c r="AD2303" s="232">
        <f>IFERROR(__xludf.DUMMYFUNCTION("""COMPUTED_VALUE"""),40.0)</f>
        <v>40</v>
      </c>
      <c r="AE2303" s="233">
        <f>IFERROR(__xludf.DUMMYFUNCTION("""COMPUTED_VALUE"""),46044.0)</f>
        <v>46044</v>
      </c>
      <c r="AF2303" s="54"/>
      <c r="AG2303" s="54"/>
      <c r="AH2303" s="54">
        <v>46136.0</v>
      </c>
      <c r="AI2303" s="237">
        <f>AH2303-NOW()</f>
        <v>-4.377989954</v>
      </c>
      <c r="AJ2303" s="229" t="str">
        <f>if(AI2303&gt;=0,"Gl in Komitmen","Gl out Komitmen")</f>
        <v>Gl out Komitmen</v>
      </c>
      <c r="AK2303" s="229" t="s">
        <v>199</v>
      </c>
      <c r="AW2303" s="234"/>
      <c r="BP2303" s="11"/>
      <c r="BQ2303" s="11"/>
      <c r="BV2303" s="158"/>
      <c r="BY2303" s="158"/>
      <c r="CB2303" s="158"/>
    </row>
    <row r="2304" ht="18.0" customHeight="1">
      <c r="A2304" s="222">
        <f>IFERROR(__xludf.DUMMYFUNCTION("""COMPUTED_VALUE"""),2026.0)</f>
        <v>2026</v>
      </c>
      <c r="B2304" s="221">
        <f>IFERROR(__xludf.DUMMYFUNCTION("""COMPUTED_VALUE"""),1.1288505E7)</f>
        <v>11288505</v>
      </c>
      <c r="C2304" s="222" t="str">
        <f>IFERROR(__xludf.DUMMYFUNCTION("""COMPUTED_VALUE"""),"RDR JPP PT4 JL HARAPAN JAYA BAGAN BATU")</f>
        <v>RDR JPP PT4 JL HARAPAN JAYA BAGAN BATU</v>
      </c>
      <c r="D2304" s="222" t="str">
        <f>IFERROR(__xludf.DUMMYFUNCTION("""COMPUTED_VALUE"""),"REGIONAL I")</f>
        <v>REGIONAL I</v>
      </c>
      <c r="E2304" s="222" t="str">
        <f>IFERROR(__xludf.DUMMYFUNCTION("""COMPUTED_VALUE"""),"RIDAR")</f>
        <v>RIDAR</v>
      </c>
      <c r="F2304" s="222" t="str">
        <f>IFERROR(__xludf.DUMMYFUNCTION("""COMPUTED_VALUE"""),"BGU")</f>
        <v>BGU</v>
      </c>
      <c r="G2304" s="222" t="str">
        <f>IFERROR(__xludf.DUMMYFUNCTION("""COMPUTED_VALUE"""),"SUMBAGTENG")</f>
        <v>SUMBAGTENG</v>
      </c>
      <c r="H2304" s="222" t="str">
        <f>IFERROR(__xludf.DUMMYFUNCTION("""COMPUTED_VALUE"""),"DUMAI")</f>
        <v>DUMAI</v>
      </c>
      <c r="I2304" s="222" t="str">
        <f>IFERROR(__xludf.DUMMYFUNCTION("""COMPUTED_VALUE"""),"Batch 3")</f>
        <v>Batch 3</v>
      </c>
      <c r="J2304" s="225">
        <f>IFERROR(__xludf.DUMMYFUNCTION("""COMPUTED_VALUE"""),18.0)</f>
        <v>18</v>
      </c>
      <c r="K2304" s="224">
        <f>IFERROR(__xludf.DUMMYFUNCTION("""COMPUTED_VALUE"""),144.0)</f>
        <v>144</v>
      </c>
      <c r="L2304" s="226">
        <f>IFERROR(__xludf.DUMMYFUNCTION("""COMPUTED_VALUE"""),1683037.0)</f>
        <v>1683037</v>
      </c>
      <c r="M2304" s="227">
        <f>IFERROR(__xludf.DUMMYFUNCTION("""COMPUTED_VALUE"""),2.42357186E8)</f>
        <v>242357186</v>
      </c>
      <c r="N2304" s="222" t="str">
        <f>IFERROR(__xludf.DUMMYFUNCTION("""COMPUTED_VALUE"""),"PT DWI MITRA JAYA UTAMA")</f>
        <v>PT DWI MITRA JAYA UTAMA</v>
      </c>
      <c r="O2304" s="222" t="str">
        <f>IFERROR(__xludf.DUMMYFUNCTION("""COMPUTED_VALUE"""),"6. FINISH INSTALASI")</f>
        <v>6. FINISH INSTALASI</v>
      </c>
      <c r="P2304" s="222" t="str">
        <f>IFERROR(__xludf.DUMMYFUNCTION("""COMPUTED_VALUE"""),"6.3 Kendala - Big OLT Mini OLT")</f>
        <v>6.3 Kendala - Big OLT Mini OLT</v>
      </c>
      <c r="Q2304" s="222" t="str">
        <f>IFERROR(__xludf.DUMMYFUNCTION("""COMPUTED_VALUE"""),"20/04 Masih menunggu SFP BiDI dari ZTE 06/04 SFP BiDi Estimasi sampai dari ZTE W4 april 27/03 Masih menunggu kiriman SFP BiDi dari ZTE 16/03 Masih menunggu kiriman SFP BiDI est W4 Mar 09/03 Menunggu kiriman SFP BiDi Est W4 Mar dari ZTE 04/03 Menunggu kiri"&amp;"man SFP BD 80km dari ZTE 12/02 Menunggu Mini OLT UJT666 29/01 Terminasi ODP")</f>
        <v>20/04 Masih menunggu SFP BiDI dari ZTE 06/04 SFP BiDi Estimasi sampai dari ZTE W4 april 27/03 Masih menunggu kiriman SFP BiDi dari ZTE 16/03 Masih menunggu kiriman SFP BiDI est W4 Mar 09/03 Menunggu kiriman SFP BiDi Est W4 Mar dari ZTE 04/03 Menunggu kiriman SFP BD 80km dari ZTE 12/02 Menunggu Mini OLT UJT666 29/01 Terminasi ODP</v>
      </c>
      <c r="R2304" s="228">
        <f>IFERROR(__xludf.DUMMYFUNCTION("""COMPUTED_VALUE"""),46142.0)</f>
        <v>46142</v>
      </c>
      <c r="S2304" s="11"/>
      <c r="T2304" s="73"/>
      <c r="U2304" s="11"/>
      <c r="V2304" s="229" t="str">
        <f>IFERROR(__xludf.DUMMYFUNCTION("""COMPUTED_VALUE"""),"ADIL WAHYUDI")</f>
        <v>ADIL WAHYUDI</v>
      </c>
      <c r="W2304" s="229" t="str">
        <f>IFERROR(__xludf.DUMMYFUNCTION("""COMPUTED_VALUE"""),"ANZALA SAKINAH")</f>
        <v>ANZALA SAKINAH</v>
      </c>
      <c r="X2304" s="229"/>
      <c r="Y2304" s="229" t="str">
        <f>IFERROR(__xludf.DUMMYFUNCTION("""COMPUTED_VALUE"""),"Mini OLT Not Ready")</f>
        <v>Mini OLT Not Ready</v>
      </c>
      <c r="Z2304" s="229"/>
      <c r="AA2304" s="229"/>
      <c r="AB2304" s="229"/>
      <c r="AC2304" s="229"/>
      <c r="AD2304" s="232"/>
      <c r="AE2304" s="233"/>
      <c r="AF2304" s="54"/>
      <c r="AG2304" s="54"/>
      <c r="AH2304" s="54">
        <v>46136.0</v>
      </c>
      <c r="AI2304" s="55">
        <f>AH2304-TODAY()</f>
        <v>-4</v>
      </c>
      <c r="AJ2304" s="229" t="str">
        <f>if(AI2304&gt;=0,"In Komitmen","Out Komitmen")</f>
        <v>Out Komitmen</v>
      </c>
      <c r="AK2304" s="231" t="s">
        <v>199</v>
      </c>
      <c r="AW2304" s="234"/>
      <c r="BP2304" s="11"/>
      <c r="BQ2304" s="11"/>
      <c r="BV2304" s="158"/>
      <c r="BY2304" s="158"/>
      <c r="CB2304" s="158"/>
    </row>
    <row r="2305" ht="18.0" customHeight="1">
      <c r="A2305" s="222">
        <f>IFERROR(__xludf.DUMMYFUNCTION("""COMPUTED_VALUE"""),2026.0)</f>
        <v>2026</v>
      </c>
      <c r="B2305" s="221">
        <f>IFERROR(__xludf.DUMMYFUNCTION("""COMPUTED_VALUE"""),1.1645582E7)</f>
        <v>11645582</v>
      </c>
      <c r="C2305" s="222" t="str">
        <f>IFERROR(__xludf.DUMMYFUNCTION("""COMPUTED_VALUE"""),"SMB PAM PT3 PERM MENARA BUMI - VILLA")</f>
        <v>SMB PAM PT3 PERM MENARA BUMI - VILLA</v>
      </c>
      <c r="D2305" s="222" t="str">
        <f>IFERROR(__xludf.DUMMYFUNCTION("""COMPUTED_VALUE"""),"REGIONAL I")</f>
        <v>REGIONAL I</v>
      </c>
      <c r="E2305" s="222" t="str">
        <f>IFERROR(__xludf.DUMMYFUNCTION("""COMPUTED_VALUE"""),"SUMBAR")</f>
        <v>SUMBAR</v>
      </c>
      <c r="F2305" s="222" t="str">
        <f>IFERROR(__xludf.DUMMYFUNCTION("""COMPUTED_VALUE"""),"PAM")</f>
        <v>PAM</v>
      </c>
      <c r="G2305" s="222" t="str">
        <f>IFERROR(__xludf.DUMMYFUNCTION("""COMPUTED_VALUE"""),"SUMBAGTENG")</f>
        <v>SUMBAGTENG</v>
      </c>
      <c r="H2305" s="222" t="str">
        <f>IFERROR(__xludf.DUMMYFUNCTION("""COMPUTED_VALUE"""),"BUKIT TINGGI")</f>
        <v>BUKIT TINGGI</v>
      </c>
      <c r="I2305" s="222" t="str">
        <f>IFERROR(__xludf.DUMMYFUNCTION("""COMPUTED_VALUE"""),"Batch 3")</f>
        <v>Batch 3</v>
      </c>
      <c r="J2305" s="225">
        <f>IFERROR(__xludf.DUMMYFUNCTION("""COMPUTED_VALUE"""),8.0)</f>
        <v>8</v>
      </c>
      <c r="K2305" s="224">
        <f>IFERROR(__xludf.DUMMYFUNCTION("""COMPUTED_VALUE"""),64.0)</f>
        <v>64</v>
      </c>
      <c r="L2305" s="226">
        <f>IFERROR(__xludf.DUMMYFUNCTION("""COMPUTED_VALUE"""),1583622.0)</f>
        <v>1583622</v>
      </c>
      <c r="M2305" s="227">
        <f>IFERROR(__xludf.DUMMYFUNCTION("""COMPUTED_VALUE"""),1.01351748E8)</f>
        <v>101351748</v>
      </c>
      <c r="N2305" s="222" t="str">
        <f>IFERROR(__xludf.DUMMYFUNCTION("""COMPUTED_VALUE"""),"PT SANGKURIANG CIPTA JAYA TEKNINDO")</f>
        <v>PT SANGKURIANG CIPTA JAYA TEKNINDO</v>
      </c>
      <c r="O2305" s="222" t="str">
        <f>IFERROR(__xludf.DUMMYFUNCTION("""COMPUTED_VALUE"""),"8. UJI TERIMA")</f>
        <v>8. UJI TERIMA</v>
      </c>
      <c r="P2305" s="222" t="str">
        <f>IFERROR(__xludf.DUMMYFUNCTION("""COMPUTED_VALUE"""),"8.1 Proses UT")</f>
        <v>8.1 Proses UT</v>
      </c>
      <c r="Q2305" s="222" t="str">
        <f>IFERROR(__xludf.DUMMYFUNCTION("""COMPUTED_VALUE"""),"(29/01) Proses valins 21/11 :  Info bani, modul sudah dipasang, lanjut valins rekans 13/11 : modul OLT PAM Full  06/11 : terminasi  23/10 : Terminasi 16/10 : tanam tiang   13/10 : tanam tiang   09 /10 : tanam tiang 02/10 : tanam tiang 25/09 : Progres Tana"&amp;"m tiang 22/09 : HI pengambilan Material, tgl 23/09 Progres Tanam tiang  19/09 : matdel onsite, besok proses instalasi. 15/09 : proses eval")</f>
        <v>(29/01) Proses valins 21/11 :  Info bani, modul sudah dipasang, lanjut valins rekans 13/11 : modul OLT PAM Full  06/11 : terminasi  23/10 : Terminasi 16/10 : tanam tiang   13/10 : tanam tiang   09 /10 : tanam tiang 02/10 : tanam tiang 25/09 : Progres Tanam tiang 22/09 : HI pengambilan Material, tgl 23/09 Progres Tanam tiang  19/09 : matdel onsite, besok proses instalasi. 15/09 : proses eval</v>
      </c>
      <c r="R2305" s="228">
        <f>IFERROR(__xludf.DUMMYFUNCTION("""COMPUTED_VALUE"""),46080.0)</f>
        <v>46080</v>
      </c>
      <c r="S2305" s="11"/>
      <c r="T2305" s="11"/>
      <c r="U2305" s="11"/>
      <c r="V2305" s="229" t="str">
        <f>IFERROR(__xludf.DUMMYFUNCTION("""COMPUTED_VALUE"""),"PRAMADIO SEPWILMAN")</f>
        <v>PRAMADIO SEPWILMAN</v>
      </c>
      <c r="W2305" s="229" t="str">
        <f>IFERROR(__xludf.DUMMYFUNCTION("""COMPUTED_VALUE"""),"MELKO NARWADI")</f>
        <v>MELKO NARWADI</v>
      </c>
      <c r="X2305" s="229" t="str">
        <f>IFERROR(__xludf.DUMMYFUNCTION("""COMPUTED_VALUE"""),"GOLIVE")</f>
        <v>GOLIVE</v>
      </c>
      <c r="Y2305" s="229" t="str">
        <f>IFERROR(__xludf.DUMMYFUNCTION("""COMPUTED_VALUE"""),"DONE")</f>
        <v>DONE</v>
      </c>
      <c r="Z2305" s="229" t="str">
        <f>IFERROR(__xludf.DUMMYFUNCTION("""COMPUTED_VALUE"""),"#N/A")</f>
        <v>#N/A</v>
      </c>
      <c r="AA2305" s="229">
        <f>IFERROR(__xludf.DUMMYFUNCTION("""COMPUTED_VALUE"""),8.0)</f>
        <v>8</v>
      </c>
      <c r="AB2305" s="229"/>
      <c r="AC2305" s="229" t="str">
        <f>IFERROR(__xludf.DUMMYFUNCTION("""COMPUTED_VALUE"""),"9118050#9118055")</f>
        <v>9118050#9118055</v>
      </c>
      <c r="AD2305" s="232">
        <f>IFERROR(__xludf.DUMMYFUNCTION("""COMPUTED_VALUE"""),64.0)</f>
        <v>64</v>
      </c>
      <c r="AE2305" s="233">
        <f>IFERROR(__xludf.DUMMYFUNCTION("""COMPUTED_VALUE"""),46070.0)</f>
        <v>46070</v>
      </c>
      <c r="AF2305" s="54"/>
      <c r="AG2305" s="54"/>
      <c r="AH2305" s="54">
        <v>46080.0</v>
      </c>
      <c r="AI2305" s="55">
        <f t="shared" ref="AI2305:AI2306" si="220">IF(OR(R2305="",AE2305=""),"",R2305-AE2305)</f>
        <v>10</v>
      </c>
      <c r="AW2305" s="234"/>
      <c r="BP2305" s="11"/>
      <c r="BQ2305" s="11"/>
      <c r="BV2305" s="158"/>
      <c r="BY2305" s="158"/>
      <c r="CB2305" s="158"/>
    </row>
    <row r="2306" ht="18.0" hidden="1" customHeight="1">
      <c r="A2306" s="222">
        <f>IFERROR(__xludf.DUMMYFUNCTION("""COMPUTED_VALUE"""),2026.0)</f>
        <v>2026</v>
      </c>
      <c r="B2306" s="221">
        <f>IFERROR(__xludf.DUMMYFUNCTION("""COMPUTED_VALUE"""),1.1194295E7)</f>
        <v>11194295</v>
      </c>
      <c r="C2306" s="222" t="str">
        <f>IFERROR(__xludf.DUMMYFUNCTION("""COMPUTED_VALUE"""),"MDN PT3 P7I11 TMU-FU GG.KENANGA 2_")</f>
        <v>MDN PT3 P7I11 TMU-FU GG.KENANGA 2_</v>
      </c>
      <c r="D2306" s="222" t="str">
        <f>IFERROR(__xludf.DUMMYFUNCTION("""COMPUTED_VALUE"""),"REGIONAL I")</f>
        <v>REGIONAL I</v>
      </c>
      <c r="E2306" s="222" t="str">
        <f>IFERROR(__xludf.DUMMYFUNCTION("""COMPUTED_VALUE"""),"MEDAN")</f>
        <v>MEDAN</v>
      </c>
      <c r="F2306" s="222" t="str">
        <f>IFERROR(__xludf.DUMMYFUNCTION("""COMPUTED_VALUE"""),"TMU")</f>
        <v>TMU</v>
      </c>
      <c r="G2306" s="222" t="str">
        <f>IFERROR(__xludf.DUMMYFUNCTION("""COMPUTED_VALUE"""),"SUMBAGUT")</f>
        <v>SUMBAGUT</v>
      </c>
      <c r="H2306" s="222" t="str">
        <f>IFERROR(__xludf.DUMMYFUNCTION("""COMPUTED_VALUE"""),"MEDAN")</f>
        <v>MEDAN</v>
      </c>
      <c r="I2306" s="222" t="str">
        <f>IFERROR(__xludf.DUMMYFUNCTION("""COMPUTED_VALUE"""),"Batch 3")</f>
        <v>Batch 3</v>
      </c>
      <c r="J2306" s="225">
        <f>IFERROR(__xludf.DUMMYFUNCTION("""COMPUTED_VALUE"""),1.0)</f>
        <v>1</v>
      </c>
      <c r="K2306" s="224">
        <f>IFERROR(__xludf.DUMMYFUNCTION("""COMPUTED_VALUE"""),8.0)</f>
        <v>8</v>
      </c>
      <c r="L2306" s="226">
        <f>IFERROR(__xludf.DUMMYFUNCTION("""COMPUTED_VALUE"""),1582409.0)</f>
        <v>1582409</v>
      </c>
      <c r="M2306" s="227">
        <f>IFERROR(__xludf.DUMMYFUNCTION("""COMPUTED_VALUE"""),1.2659265E7)</f>
        <v>12659265</v>
      </c>
      <c r="N2306" s="222" t="str">
        <f>IFERROR(__xludf.DUMMYFUNCTION("""COMPUTED_VALUE"""),"PT ARTHA MANDIRI BERSAMA")</f>
        <v>PT ARTHA MANDIRI BERSAMA</v>
      </c>
      <c r="O2306" s="222" t="str">
        <f>IFERROR(__xludf.DUMMYFUNCTION("""COMPUTED_VALUE"""),"7. GOLIVE")</f>
        <v>7. GOLIVE</v>
      </c>
      <c r="P2306" s="222" t="str">
        <f>IFERROR(__xludf.DUMMYFUNCTION("""COMPUTED_VALUE"""),"7.2 Golive Full / OA / DONE OTB")</f>
        <v>7.2 Golive Full / OA / DONE OTB</v>
      </c>
      <c r="Q2306" s="222" t="str">
        <f>IFERROR(__xludf.DUMMYFUNCTION("""COMPUTED_VALUE"""),"08/04 pencarian core feeder ready, menunggu tim mitra fu sisa pekerjaan")</f>
        <v>08/04 pencarian core feeder ready, menunggu tim mitra fu sisa pekerjaan</v>
      </c>
      <c r="R2306" s="228">
        <f>IFERROR(__xludf.DUMMYFUNCTION("""COMPUTED_VALUE"""),46129.0)</f>
        <v>46129</v>
      </c>
      <c r="S2306" s="11"/>
      <c r="T2306" s="73"/>
      <c r="U2306" s="11"/>
      <c r="V2306" s="229"/>
      <c r="W2306" s="229" t="str">
        <f>IFERROR(__xludf.DUMMYFUNCTION("""COMPUTED_VALUE"""),"#N/A")</f>
        <v>#N/A</v>
      </c>
      <c r="X2306" s="229" t="str">
        <f>IFERROR(__xludf.DUMMYFUNCTION("""COMPUTED_VALUE"""),"GOLIVE")</f>
        <v>GOLIVE</v>
      </c>
      <c r="Y2306" s="229" t="str">
        <f>IFERROR(__xludf.DUMMYFUNCTION("""COMPUTED_VALUE"""),"DONE")</f>
        <v>DONE</v>
      </c>
      <c r="Z2306" s="229" t="str">
        <f>IFERROR(__xludf.DUMMYFUNCTION("""COMPUTED_VALUE"""),"#N/A")</f>
        <v>#N/A</v>
      </c>
      <c r="AA2306" s="229">
        <f>IFERROR(__xludf.DUMMYFUNCTION("""COMPUTED_VALUE"""),1.0)</f>
        <v>1</v>
      </c>
      <c r="AB2306" s="229"/>
      <c r="AC2306" s="229" t="str">
        <f>IFERROR(__xludf.DUMMYFUNCTION("""COMPUTED_VALUE"""),"9283972#9283977")</f>
        <v>9283972#9283977</v>
      </c>
      <c r="AD2306" s="232">
        <f>IFERROR(__xludf.DUMMYFUNCTION("""COMPUTED_VALUE"""),8.0)</f>
        <v>8</v>
      </c>
      <c r="AE2306" s="233">
        <f>IFERROR(__xludf.DUMMYFUNCTION("""COMPUTED_VALUE"""),46129.0)</f>
        <v>46129</v>
      </c>
      <c r="AF2306" s="54"/>
      <c r="AG2306" s="54"/>
      <c r="AH2306" s="54">
        <v>46132.0</v>
      </c>
      <c r="AI2306" s="55">
        <f t="shared" si="220"/>
        <v>0</v>
      </c>
      <c r="AW2306" s="234"/>
      <c r="BP2306" s="11"/>
      <c r="BQ2306" s="11"/>
      <c r="BV2306" s="158"/>
      <c r="BY2306" s="158"/>
      <c r="CB2306" s="158"/>
    </row>
    <row r="2307" ht="18.0" customHeight="1">
      <c r="A2307" s="222">
        <f>IFERROR(__xludf.DUMMYFUNCTION("""COMPUTED_VALUE"""),2026.0)</f>
        <v>2026</v>
      </c>
      <c r="B2307" s="221">
        <f>IFERROR(__xludf.DUMMYFUNCTION("""COMPUTED_VALUE"""),1.1437204E7)</f>
        <v>11437204</v>
      </c>
      <c r="C2307" s="222" t="str">
        <f>IFERROR(__xludf.DUMMYFUNCTION("""COMPUTED_VALUE"""),"RDR ARK PT3 P3I1 Desa Sungai Putih")</f>
        <v>RDR ARK PT3 P3I1 Desa Sungai Putih</v>
      </c>
      <c r="D2307" s="222" t="str">
        <f>IFERROR(__xludf.DUMMYFUNCTION("""COMPUTED_VALUE"""),"REGIONAL I")</f>
        <v>REGIONAL I</v>
      </c>
      <c r="E2307" s="222" t="str">
        <f>IFERROR(__xludf.DUMMYFUNCTION("""COMPUTED_VALUE"""),"RIDAR")</f>
        <v>RIDAR</v>
      </c>
      <c r="F2307" s="222" t="str">
        <f>IFERROR(__xludf.DUMMYFUNCTION("""COMPUTED_VALUE"""),"ARK")</f>
        <v>ARK</v>
      </c>
      <c r="G2307" s="222" t="str">
        <f>IFERROR(__xludf.DUMMYFUNCTION("""COMPUTED_VALUE"""),"SUMBAGTENG")</f>
        <v>SUMBAGTENG</v>
      </c>
      <c r="H2307" s="222" t="str">
        <f>IFERROR(__xludf.DUMMYFUNCTION("""COMPUTED_VALUE"""),"PEKANBARU")</f>
        <v>PEKANBARU</v>
      </c>
      <c r="I2307" s="222" t="str">
        <f>IFERROR(__xludf.DUMMYFUNCTION("""COMPUTED_VALUE"""),"Batch 3")</f>
        <v>Batch 3</v>
      </c>
      <c r="J2307" s="225">
        <f>IFERROR(__xludf.DUMMYFUNCTION("""COMPUTED_VALUE"""),39.0)</f>
        <v>39</v>
      </c>
      <c r="K2307" s="224">
        <f>IFERROR(__xludf.DUMMYFUNCTION("""COMPUTED_VALUE"""),312.0)</f>
        <v>312</v>
      </c>
      <c r="L2307" s="226">
        <f>IFERROR(__xludf.DUMMYFUNCTION("""COMPUTED_VALUE"""),1523248.0)</f>
        <v>1523248</v>
      </c>
      <c r="M2307" s="227">
        <f>IFERROR(__xludf.DUMMYFUNCTION("""COMPUTED_VALUE"""),4.75253172E8)</f>
        <v>475253172</v>
      </c>
      <c r="N2307" s="222" t="str">
        <f>IFERROR(__xludf.DUMMYFUNCTION("""COMPUTED_VALUE"""),"PT LIBER PERSADA MANDIRI")</f>
        <v>PT LIBER PERSADA MANDIRI</v>
      </c>
      <c r="O2307" s="222" t="str">
        <f>IFERROR(__xludf.DUMMYFUNCTION("""COMPUTED_VALUE"""),"7. GOLIVE")</f>
        <v>7. GOLIVE</v>
      </c>
      <c r="P2307" s="222" t="str">
        <f>IFERROR(__xludf.DUMMYFUNCTION("""COMPUTED_VALUE"""),"7.2 Golive Full / OA / DONE OTB")</f>
        <v>7.2 Golive Full / OA / DONE OTB</v>
      </c>
      <c r="Q2307" s="222" t="str">
        <f>IFERROR(__xludf.DUMMYFUNCTION("""COMPUTED_VALUE"""),"20/02 Proses Valins, Plan submit ABD 20 Feb 2026 12/02 Butuh penambahan HH di jalur feeder Node B PST, utk petikan feeder ODC JPP 29/01 Menunggu feeder dari PST")</f>
        <v>20/02 Proses Valins, Plan submit ABD 20 Feb 2026 12/02 Butuh penambahan HH di jalur feeder Node B PST, utk petikan feeder ODC JPP 29/01 Menunggu feeder dari PST</v>
      </c>
      <c r="R2307" s="228">
        <f>IFERROR(__xludf.DUMMYFUNCTION("""COMPUTED_VALUE"""),46079.0)</f>
        <v>46079</v>
      </c>
      <c r="S2307" s="11"/>
      <c r="T2307" s="11"/>
      <c r="U2307" s="11"/>
      <c r="V2307" s="229" t="str">
        <f>IFERROR(__xludf.DUMMYFUNCTION("""COMPUTED_VALUE"""),"ONDI EKA SAPUTRA")</f>
        <v>ONDI EKA SAPUTRA</v>
      </c>
      <c r="W2307" s="229" t="str">
        <f>IFERROR(__xludf.DUMMYFUNCTION("""COMPUTED_VALUE"""),"DESLITA RAHMADANI")</f>
        <v>DESLITA RAHMADANI</v>
      </c>
      <c r="X2307" s="229" t="str">
        <f>IFERROR(__xludf.DUMMYFUNCTION("""COMPUTED_VALUE"""),"GOLIVE")</f>
        <v>GOLIVE</v>
      </c>
      <c r="Y2307" s="229" t="str">
        <f>IFERROR(__xludf.DUMMYFUNCTION("""COMPUTED_VALUE"""),"DONE")</f>
        <v>DONE</v>
      </c>
      <c r="Z2307" s="229" t="str">
        <f>IFERROR(__xludf.DUMMYFUNCTION("""COMPUTED_VALUE"""),"#N/A")</f>
        <v>#N/A</v>
      </c>
      <c r="AA2307" s="229">
        <f>IFERROR(__xludf.DUMMYFUNCTION("""COMPUTED_VALUE"""),40.0)</f>
        <v>40</v>
      </c>
      <c r="AB2307" s="229"/>
      <c r="AC2307" s="229" t="str">
        <f>IFERROR(__xludf.DUMMYFUNCTION("""COMPUTED_VALUE"""),"9131824#9131829")</f>
        <v>9131824#9131829</v>
      </c>
      <c r="AD2307" s="232">
        <f>IFERROR(__xludf.DUMMYFUNCTION("""COMPUTED_VALUE"""),320.0)</f>
        <v>320</v>
      </c>
      <c r="AE2307" s="233">
        <f>IFERROR(__xludf.DUMMYFUNCTION("""COMPUTED_VALUE"""),46075.0)</f>
        <v>46075</v>
      </c>
      <c r="AF2307" s="54"/>
      <c r="AG2307" s="54"/>
      <c r="AH2307" s="54">
        <v>46079.0</v>
      </c>
      <c r="AI2307" s="55">
        <f>IF(OR(AH2307="",AE2307=""),"",AH2307-AE2307)</f>
        <v>4</v>
      </c>
      <c r="AW2307" s="234"/>
      <c r="BP2307" s="11"/>
      <c r="BQ2307" s="11"/>
      <c r="BV2307" s="158"/>
      <c r="BY2307" s="158"/>
      <c r="CB2307" s="158"/>
    </row>
    <row r="2308" ht="18.0" hidden="1" customHeight="1">
      <c r="A2308" s="222">
        <f>IFERROR(__xludf.DUMMYFUNCTION("""COMPUTED_VALUE"""),2026.0)</f>
        <v>2026</v>
      </c>
      <c r="B2308" s="221">
        <f>IFERROR(__xludf.DUMMYFUNCTION("""COMPUTED_VALUE"""),1.1266147E7)</f>
        <v>11266147</v>
      </c>
      <c r="C2308" s="222" t="str">
        <f>IFERROR(__xludf.DUMMYFUNCTION("""COMPUTED_VALUE"""),"ACH PT3 PRL-FL D02 BR SARAH TEUBEE")</f>
        <v>ACH PT3 PRL-FL D02 BR SARAH TEUBEE</v>
      </c>
      <c r="D2308" s="222" t="str">
        <f>IFERROR(__xludf.DUMMYFUNCTION("""COMPUTED_VALUE"""),"REGIONAL I")</f>
        <v>REGIONAL I</v>
      </c>
      <c r="E2308" s="222" t="str">
        <f>IFERROR(__xludf.DUMMYFUNCTION("""COMPUTED_VALUE"""),"ACEH")</f>
        <v>ACEH</v>
      </c>
      <c r="F2308" s="222" t="str">
        <f>IFERROR(__xludf.DUMMYFUNCTION("""COMPUTED_VALUE"""),"LGS")</f>
        <v>LGS</v>
      </c>
      <c r="G2308" s="222" t="str">
        <f>IFERROR(__xludf.DUMMYFUNCTION("""COMPUTED_VALUE"""),"SUMBAGUT")</f>
        <v>SUMBAGUT</v>
      </c>
      <c r="H2308" s="222" t="str">
        <f>IFERROR(__xludf.DUMMYFUNCTION("""COMPUTED_VALUE"""),"BINJAI")</f>
        <v>BINJAI</v>
      </c>
      <c r="I2308" s="222" t="str">
        <f>IFERROR(__xludf.DUMMYFUNCTION("""COMPUTED_VALUE"""),"Batch 3")</f>
        <v>Batch 3</v>
      </c>
      <c r="J2308" s="225">
        <f>IFERROR(__xludf.DUMMYFUNCTION("""COMPUTED_VALUE"""),8.0)</f>
        <v>8</v>
      </c>
      <c r="K2308" s="224">
        <f>IFERROR(__xludf.DUMMYFUNCTION("""COMPUTED_VALUE"""),64.0)</f>
        <v>64</v>
      </c>
      <c r="L2308" s="226">
        <f>IFERROR(__xludf.DUMMYFUNCTION("""COMPUTED_VALUE"""),1493217.0)</f>
        <v>1493217</v>
      </c>
      <c r="M2308" s="227">
        <f>IFERROR(__xludf.DUMMYFUNCTION("""COMPUTED_VALUE"""),9.5565853E7)</f>
        <v>95565853</v>
      </c>
      <c r="N2308" s="222" t="str">
        <f>IFERROR(__xludf.DUMMYFUNCTION("""COMPUTED_VALUE"""),"PT ARA PAYA INTAN")</f>
        <v>PT ARA PAYA INTAN</v>
      </c>
      <c r="O2308" s="222" t="str">
        <f>IFERROR(__xludf.DUMMYFUNCTION("""COMPUTED_VALUE"""),"7. GOLIVE")</f>
        <v>7. GOLIVE</v>
      </c>
      <c r="P2308" s="222" t="str">
        <f>IFERROR(__xludf.DUMMYFUNCTION("""COMPUTED_VALUE"""),"7.2 Golive Full / OA / DONE OTB")</f>
        <v>7.2 Golive Full / OA / DONE OTB</v>
      </c>
      <c r="Q2308" s="222" t="str">
        <f>IFERROR(__xludf.DUMMYFUNCTION("""COMPUTED_VALUE"""),"(11/03) Validasi ABD (05/02) Done CO, Lanjut Proses Valins (14/02) Need Repair di Distribusi Existing (07/02) Proses Valins dan ABD Mancore (29/01) progres pemasangan odp (22/01) Penarikan Kabel (16/01) Tanam Tiang")</f>
        <v>(11/03) Validasi ABD (05/02) Done CO, Lanjut Proses Valins (14/02) Need Repair di Distribusi Existing (07/02) Proses Valins dan ABD Mancore (29/01) progres pemasangan odp (22/01) Penarikan Kabel (16/01) Tanam Tiang</v>
      </c>
      <c r="R2308" s="228">
        <f>IFERROR(__xludf.DUMMYFUNCTION("""COMPUTED_VALUE"""),46095.0)</f>
        <v>46095</v>
      </c>
      <c r="S2308" s="11" t="str">
        <f>IFERROR(__xludf.DUMMYFUNCTION("""COMPUTED_VALUE"""),"MAR")</f>
        <v>MAR</v>
      </c>
      <c r="T2308" s="11"/>
      <c r="U2308" s="11" t="str">
        <f>IFERROR(__xludf.DUMMYFUNCTION("""COMPUTED_VALUE"""),"W04-955/2025")</f>
        <v>W04-955/2025</v>
      </c>
      <c r="V2308" s="229"/>
      <c r="W2308" s="229"/>
      <c r="X2308" s="229" t="str">
        <f>IFERROR(__xludf.DUMMYFUNCTION("""COMPUTED_VALUE"""),"GOLIVE")</f>
        <v>GOLIVE</v>
      </c>
      <c r="Y2308" s="229" t="str">
        <f>IFERROR(__xludf.DUMMYFUNCTION("""COMPUTED_VALUE"""),"DONE")</f>
        <v>DONE</v>
      </c>
      <c r="Z2308" s="229" t="str">
        <f>IFERROR(__xludf.DUMMYFUNCTION("""COMPUTED_VALUE"""),"#N/A")</f>
        <v>#N/A</v>
      </c>
      <c r="AA2308" s="229">
        <f>IFERROR(__xludf.DUMMYFUNCTION("""COMPUTED_VALUE"""),8.0)</f>
        <v>8</v>
      </c>
      <c r="AB2308" s="229"/>
      <c r="AC2308" s="229" t="str">
        <f>IFERROR(__xludf.DUMMYFUNCTION("""COMPUTED_VALUE"""),"9194804#9194809")</f>
        <v>9194804#9194809</v>
      </c>
      <c r="AD2308" s="232">
        <f>IFERROR(__xludf.DUMMYFUNCTION("""COMPUTED_VALUE"""),64.0)</f>
        <v>64</v>
      </c>
      <c r="AE2308" s="233">
        <f>IFERROR(__xludf.DUMMYFUNCTION("""COMPUTED_VALUE"""),46095.0)</f>
        <v>46095</v>
      </c>
      <c r="AF2308" s="54"/>
      <c r="AG2308" s="54"/>
      <c r="AH2308" s="54">
        <v>46141.0</v>
      </c>
      <c r="AI2308" s="237">
        <f>AH2308-NOW()</f>
        <v>0.6220100463</v>
      </c>
      <c r="AJ2308" s="229" t="str">
        <f>if(AI2308&gt;=0,"Gl in Komitmen","Gl out Komitmen")</f>
        <v>Gl in Komitmen</v>
      </c>
      <c r="AK2308" s="229" t="s">
        <v>199</v>
      </c>
      <c r="AW2308" s="234"/>
      <c r="BP2308" s="11"/>
      <c r="BQ2308" s="11"/>
      <c r="BV2308" s="158"/>
      <c r="BY2308" s="158"/>
      <c r="CB2308" s="158"/>
    </row>
    <row r="2309" ht="18.0" customHeight="1">
      <c r="A2309" s="222">
        <f>IFERROR(__xludf.DUMMYFUNCTION("""COMPUTED_VALUE"""),2026.0)</f>
        <v>2026</v>
      </c>
      <c r="B2309" s="221">
        <f>IFERROR(__xludf.DUMMYFUNCTION("""COMPUTED_VALUE"""),1.1284494E7)</f>
        <v>11284494</v>
      </c>
      <c r="C2309" s="222" t="str">
        <f>IFERROR(__xludf.DUMMYFUNCTION("""COMPUTED_VALUE"""),"RDR JPP PT3 JL BANGUN JINAWI")</f>
        <v>RDR JPP PT3 JL BANGUN JINAWI</v>
      </c>
      <c r="D2309" s="222" t="str">
        <f>IFERROR(__xludf.DUMMYFUNCTION("""COMPUTED_VALUE"""),"REGIONAL I")</f>
        <v>REGIONAL I</v>
      </c>
      <c r="E2309" s="222" t="str">
        <f>IFERROR(__xludf.DUMMYFUNCTION("""COMPUTED_VALUE"""),"RIDAR")</f>
        <v>RIDAR</v>
      </c>
      <c r="F2309" s="222" t="str">
        <f>IFERROR(__xludf.DUMMYFUNCTION("""COMPUTED_VALUE"""),"DUM")</f>
        <v>DUM</v>
      </c>
      <c r="G2309" s="222" t="str">
        <f>IFERROR(__xludf.DUMMYFUNCTION("""COMPUTED_VALUE"""),"SUMBAGTENG")</f>
        <v>SUMBAGTENG</v>
      </c>
      <c r="H2309" s="222" t="str">
        <f>IFERROR(__xludf.DUMMYFUNCTION("""COMPUTED_VALUE"""),"DUMAI")</f>
        <v>DUMAI</v>
      </c>
      <c r="I2309" s="222" t="str">
        <f>IFERROR(__xludf.DUMMYFUNCTION("""COMPUTED_VALUE"""),"Batch 3")</f>
        <v>Batch 3</v>
      </c>
      <c r="J2309" s="225">
        <f>IFERROR(__xludf.DUMMYFUNCTION("""COMPUTED_VALUE"""),7.0)</f>
        <v>7</v>
      </c>
      <c r="K2309" s="224">
        <f>IFERROR(__xludf.DUMMYFUNCTION("""COMPUTED_VALUE"""),56.0)</f>
        <v>56</v>
      </c>
      <c r="L2309" s="226">
        <f>IFERROR(__xludf.DUMMYFUNCTION("""COMPUTED_VALUE"""),1450311.0)</f>
        <v>1450311</v>
      </c>
      <c r="M2309" s="227">
        <f>IFERROR(__xludf.DUMMYFUNCTION("""COMPUTED_VALUE"""),8.1217415E7)</f>
        <v>81217415</v>
      </c>
      <c r="N2309" s="222" t="str">
        <f>IFERROR(__xludf.DUMMYFUNCTION("""COMPUTED_VALUE"""),"PT DWI MITRA JAYA UTAMA")</f>
        <v>PT DWI MITRA JAYA UTAMA</v>
      </c>
      <c r="O2309" s="222" t="str">
        <f>IFERROR(__xludf.DUMMYFUNCTION("""COMPUTED_VALUE"""),"6. FINISH INSTALASI")</f>
        <v>6. FINISH INSTALASI</v>
      </c>
      <c r="P2309" s="222" t="str">
        <f>IFERROR(__xludf.DUMMYFUNCTION("""COMPUTED_VALUE"""),"6.6 Kendala - QE Feeder/Distribusi")</f>
        <v>6.6 Kendala - QE Feeder/Distribusi</v>
      </c>
      <c r="Q2309" s="222" t="str">
        <f>IFERROR(__xludf.DUMMYFUNCTION("""COMPUTED_VALUE"""),"20/04 Repair Dist Eksisting, Tim Serial 07/04 Plan eksekuri 09 April 27/03 QE Feeder dilanjut W1 April 16/03 Repair distribusi akibat pihak ke 3 12/02 Proses Vallins 29/01 Menunggu tim utk valins 22/01 Jumper dan valins")</f>
        <v>20/04 Repair Dist Eksisting, Tim Serial 07/04 Plan eksekuri 09 April 27/03 QE Feeder dilanjut W1 April 16/03 Repair distribusi akibat pihak ke 3 12/02 Proses Vallins 29/01 Menunggu tim utk valins 22/01 Jumper dan valins</v>
      </c>
      <c r="R2309" s="228">
        <f>IFERROR(__xludf.DUMMYFUNCTION("""COMPUTED_VALUE"""),46141.0)</f>
        <v>46141</v>
      </c>
      <c r="S2309" s="11" t="str">
        <f>IFERROR(__xludf.DUMMYFUNCTION("""COMPUTED_VALUE"""),"APR")</f>
        <v>APR</v>
      </c>
      <c r="T2309" s="11" t="str">
        <f>IFERROR(__xludf.DUMMYFUNCTION("""COMPUTED_VALUE"""),"P1")</f>
        <v>P1</v>
      </c>
      <c r="U2309" s="11"/>
      <c r="V2309" s="229" t="str">
        <f>IFERROR(__xludf.DUMMYFUNCTION("""COMPUTED_VALUE"""),"ADIL WAHYUDI")</f>
        <v>ADIL WAHYUDI</v>
      </c>
      <c r="W2309" s="229" t="str">
        <f>IFERROR(__xludf.DUMMYFUNCTION("""COMPUTED_VALUE"""),"ANZALA SAKINAH")</f>
        <v>ANZALA SAKINAH</v>
      </c>
      <c r="X2309" s="229"/>
      <c r="Y2309" s="229"/>
      <c r="Z2309" s="229" t="str">
        <f>IFERROR(__xludf.DUMMYFUNCTION("""COMPUTED_VALUE"""),"#N/A")</f>
        <v>#N/A</v>
      </c>
      <c r="AA2309" s="229"/>
      <c r="AB2309" s="229"/>
      <c r="AC2309" s="229"/>
      <c r="AD2309" s="232"/>
      <c r="AE2309" s="233"/>
      <c r="AF2309" s="54"/>
      <c r="AG2309" s="54"/>
      <c r="AH2309" s="54">
        <v>46142.0</v>
      </c>
      <c r="AI2309" s="55">
        <f>AH2309-TODAY()</f>
        <v>2</v>
      </c>
      <c r="AJ2309" s="229" t="str">
        <f>if(AI2309&gt;=0,"In Komitmen","Out Komitmen")</f>
        <v>In Komitmen</v>
      </c>
      <c r="AK2309" s="231" t="s">
        <v>199</v>
      </c>
      <c r="AW2309" s="234"/>
      <c r="BP2309" s="11"/>
      <c r="BQ2309" s="11"/>
      <c r="BV2309" s="158"/>
      <c r="BY2309" s="158"/>
      <c r="CB2309" s="158"/>
    </row>
    <row r="2310" ht="18.0" hidden="1" customHeight="1">
      <c r="A2310" s="222">
        <f>IFERROR(__xludf.DUMMYFUNCTION("""COMPUTED_VALUE"""),2026.0)</f>
        <v>2026</v>
      </c>
      <c r="B2310" s="221">
        <f>IFERROR(__xludf.DUMMYFUNCTION("""COMPUTED_VALUE"""),1.1449957E7)</f>
        <v>11449957</v>
      </c>
      <c r="C2310" s="222" t="str">
        <f>IFERROR(__xludf.DUMMYFUNCTION("""COMPUTED_VALUE"""),"ACH PT3 KSG-FY D04 KARANG BARU")</f>
        <v>ACH PT3 KSG-FY D04 KARANG BARU</v>
      </c>
      <c r="D2310" s="222" t="str">
        <f>IFERROR(__xludf.DUMMYFUNCTION("""COMPUTED_VALUE"""),"REGIONAL I")</f>
        <v>REGIONAL I</v>
      </c>
      <c r="E2310" s="222" t="str">
        <f>IFERROR(__xludf.DUMMYFUNCTION("""COMPUTED_VALUE"""),"ACEH")</f>
        <v>ACEH</v>
      </c>
      <c r="F2310" s="222" t="str">
        <f>IFERROR(__xludf.DUMMYFUNCTION("""COMPUTED_VALUE"""),"KSG")</f>
        <v>KSG</v>
      </c>
      <c r="G2310" s="222" t="str">
        <f>IFERROR(__xludf.DUMMYFUNCTION("""COMPUTED_VALUE"""),"SUMBAGUT")</f>
        <v>SUMBAGUT</v>
      </c>
      <c r="H2310" s="222" t="str">
        <f>IFERROR(__xludf.DUMMYFUNCTION("""COMPUTED_VALUE"""),"BINJAI")</f>
        <v>BINJAI</v>
      </c>
      <c r="I2310" s="222" t="str">
        <f>IFERROR(__xludf.DUMMYFUNCTION("""COMPUTED_VALUE"""),"Batch 3")</f>
        <v>Batch 3</v>
      </c>
      <c r="J2310" s="225">
        <f>IFERROR(__xludf.DUMMYFUNCTION("""COMPUTED_VALUE"""),18.0)</f>
        <v>18</v>
      </c>
      <c r="K2310" s="224">
        <f>IFERROR(__xludf.DUMMYFUNCTION("""COMPUTED_VALUE"""),144.0)</f>
        <v>144</v>
      </c>
      <c r="L2310" s="226">
        <f>IFERROR(__xludf.DUMMYFUNCTION("""COMPUTED_VALUE"""),1444420.0)</f>
        <v>1444420</v>
      </c>
      <c r="M2310" s="227">
        <f>IFERROR(__xludf.DUMMYFUNCTION("""COMPUTED_VALUE"""),2.07996416E8)</f>
        <v>207996416</v>
      </c>
      <c r="N2310" s="222" t="str">
        <f>IFERROR(__xludf.DUMMYFUNCTION("""COMPUTED_VALUE"""),"PT NURISA JAYA PERKASA")</f>
        <v>PT NURISA JAYA PERKASA</v>
      </c>
      <c r="O2310" s="222" t="str">
        <f>IFERROR(__xludf.DUMMYFUNCTION("""COMPUTED_VALUE"""),"7. GOLIVE")</f>
        <v>7. GOLIVE</v>
      </c>
      <c r="P2310" s="222" t="str">
        <f>IFERROR(__xludf.DUMMYFUNCTION("""COMPUTED_VALUE"""),"7.2 Golive Full / OA / DONE OTB")</f>
        <v>7.2 Golive Full / OA / DONE OTB</v>
      </c>
      <c r="Q2310" s="222" t="str">
        <f>IFERROR(__xludf.DUMMYFUNCTION("""COMPUTED_VALUE"""),"(18/02) ABD Mancore (30/01) penarikan kabel (21/01) Persiapan Instalasi")</f>
        <v>(18/02) ABD Mancore (30/01) penarikan kabel (21/01) Persiapan Instalasi</v>
      </c>
      <c r="R2310" s="228">
        <f>IFERROR(__xludf.DUMMYFUNCTION("""COMPUTED_VALUE"""),46073.0)</f>
        <v>46073</v>
      </c>
      <c r="S2310" s="11"/>
      <c r="T2310" s="11"/>
      <c r="U2310" s="11"/>
      <c r="V2310" s="229"/>
      <c r="W2310" s="229"/>
      <c r="X2310" s="229" t="str">
        <f>IFERROR(__xludf.DUMMYFUNCTION("""COMPUTED_VALUE"""),"GOLIVE")</f>
        <v>GOLIVE</v>
      </c>
      <c r="Y2310" s="229" t="str">
        <f>IFERROR(__xludf.DUMMYFUNCTION("""COMPUTED_VALUE"""),"DONE")</f>
        <v>DONE</v>
      </c>
      <c r="Z2310" s="229" t="str">
        <f>IFERROR(__xludf.DUMMYFUNCTION("""COMPUTED_VALUE"""),"#N/A")</f>
        <v>#N/A</v>
      </c>
      <c r="AA2310" s="229">
        <f>IFERROR(__xludf.DUMMYFUNCTION("""COMPUTED_VALUE"""),14.0)</f>
        <v>14</v>
      </c>
      <c r="AB2310" s="229"/>
      <c r="AC2310" s="229" t="str">
        <f>IFERROR(__xludf.DUMMYFUNCTION("""COMPUTED_VALUE"""),"9120145#9120150")</f>
        <v>9120145#9120150</v>
      </c>
      <c r="AD2310" s="232">
        <f>IFERROR(__xludf.DUMMYFUNCTION("""COMPUTED_VALUE"""),112.0)</f>
        <v>112</v>
      </c>
      <c r="AE2310" s="233">
        <f>IFERROR(__xludf.DUMMYFUNCTION("""COMPUTED_VALUE"""),46073.0)</f>
        <v>46073</v>
      </c>
      <c r="AF2310" s="54"/>
      <c r="AG2310" s="54"/>
      <c r="AH2310" s="54">
        <v>46073.0</v>
      </c>
      <c r="AI2310" s="55">
        <f t="shared" ref="AI2310:AI2355" si="221">IF(OR(R2310="",AE2310=""),"",R2310-AE2310)</f>
        <v>0</v>
      </c>
      <c r="AW2310" s="234"/>
      <c r="BP2310" s="11"/>
      <c r="BQ2310" s="11"/>
      <c r="BV2310" s="158"/>
      <c r="BY2310" s="158"/>
      <c r="CB2310" s="158"/>
    </row>
    <row r="2311" ht="18.0" hidden="1" customHeight="1">
      <c r="A2311" s="222">
        <f>IFERROR(__xludf.DUMMYFUNCTION("""COMPUTED_VALUE"""),2026.0)</f>
        <v>2026</v>
      </c>
      <c r="B2311" s="221">
        <f>IFERROR(__xludf.DUMMYFUNCTION("""COMPUTED_VALUE"""),1.1440428E7)</f>
        <v>11440428</v>
      </c>
      <c r="C2311" s="222" t="str">
        <f>IFERROR(__xludf.DUMMYFUNCTION("""COMPUTED_VALUE"""),"ACH PT3 LGS-FRK D06 PULO LGS TIMUR")</f>
        <v>ACH PT3 LGS-FRK D06 PULO LGS TIMUR</v>
      </c>
      <c r="D2311" s="222" t="str">
        <f>IFERROR(__xludf.DUMMYFUNCTION("""COMPUTED_VALUE"""),"REGIONAL I")</f>
        <v>REGIONAL I</v>
      </c>
      <c r="E2311" s="222" t="str">
        <f>IFERROR(__xludf.DUMMYFUNCTION("""COMPUTED_VALUE"""),"ACEH")</f>
        <v>ACEH</v>
      </c>
      <c r="F2311" s="222" t="str">
        <f>IFERROR(__xludf.DUMMYFUNCTION("""COMPUTED_VALUE"""),"LGS")</f>
        <v>LGS</v>
      </c>
      <c r="G2311" s="222" t="str">
        <f>IFERROR(__xludf.DUMMYFUNCTION("""COMPUTED_VALUE"""),"SUMBAGUT")</f>
        <v>SUMBAGUT</v>
      </c>
      <c r="H2311" s="222" t="str">
        <f>IFERROR(__xludf.DUMMYFUNCTION("""COMPUTED_VALUE"""),"BINJAI")</f>
        <v>BINJAI</v>
      </c>
      <c r="I2311" s="222" t="str">
        <f>IFERROR(__xludf.DUMMYFUNCTION("""COMPUTED_VALUE"""),"Batch 3")</f>
        <v>Batch 3</v>
      </c>
      <c r="J2311" s="225">
        <f>IFERROR(__xludf.DUMMYFUNCTION("""COMPUTED_VALUE"""),18.0)</f>
        <v>18</v>
      </c>
      <c r="K2311" s="224">
        <f>IFERROR(__xludf.DUMMYFUNCTION("""COMPUTED_VALUE"""),144.0)</f>
        <v>144</v>
      </c>
      <c r="L2311" s="226">
        <f>IFERROR(__xludf.DUMMYFUNCTION("""COMPUTED_VALUE"""),1728949.0)</f>
        <v>1728949</v>
      </c>
      <c r="M2311" s="227">
        <f>IFERROR(__xludf.DUMMYFUNCTION("""COMPUTED_VALUE"""),2.48968578E8)</f>
        <v>248968578</v>
      </c>
      <c r="N2311" s="222" t="str">
        <f>IFERROR(__xludf.DUMMYFUNCTION("""COMPUTED_VALUE"""),"PT NURISA JAYA PERKASA")</f>
        <v>PT NURISA JAYA PERKASA</v>
      </c>
      <c r="O2311" s="222" t="str">
        <f>IFERROR(__xludf.DUMMYFUNCTION("""COMPUTED_VALUE"""),"7. GOLIVE")</f>
        <v>7. GOLIVE</v>
      </c>
      <c r="P2311" s="222" t="str">
        <f>IFERROR(__xludf.DUMMYFUNCTION("""COMPUTED_VALUE"""),"7.2 Golive Full / OA / DONE OTB")</f>
        <v>7.2 Golive Full / OA / DONE OTB</v>
      </c>
      <c r="Q2311" s="222" t="str">
        <f>IFERROR(__xludf.DUMMYFUNCTION("""COMPUTED_VALUE"""),"(11/02)pgl (08/02) ABD Mancore (22/01) Selesai Fisik, Waiting Big OLT STO LGS")</f>
        <v>(11/02)pgl (08/02) ABD Mancore (22/01) Selesai Fisik, Waiting Big OLT STO LGS</v>
      </c>
      <c r="R2311" s="228">
        <f>IFERROR(__xludf.DUMMYFUNCTION("""COMPUTED_VALUE"""),46069.0)</f>
        <v>46069</v>
      </c>
      <c r="S2311" s="11"/>
      <c r="T2311" s="11"/>
      <c r="U2311" s="11"/>
      <c r="V2311" s="229"/>
      <c r="W2311" s="229"/>
      <c r="X2311" s="229" t="str">
        <f>IFERROR(__xludf.DUMMYFUNCTION("""COMPUTED_VALUE"""),"GOLIVE")</f>
        <v>GOLIVE</v>
      </c>
      <c r="Y2311" s="229" t="str">
        <f>IFERROR(__xludf.DUMMYFUNCTION("""COMPUTED_VALUE"""),"DONE")</f>
        <v>DONE</v>
      </c>
      <c r="Z2311" s="229" t="str">
        <f>IFERROR(__xludf.DUMMYFUNCTION("""COMPUTED_VALUE"""),"#N/A")</f>
        <v>#N/A</v>
      </c>
      <c r="AA2311" s="229">
        <f>IFERROR(__xludf.DUMMYFUNCTION("""COMPUTED_VALUE"""),18.0)</f>
        <v>18</v>
      </c>
      <c r="AB2311" s="229"/>
      <c r="AC2311" s="229" t="str">
        <f>IFERROR(__xludf.DUMMYFUNCTION("""COMPUTED_VALUE"""),"9103766#9103771")</f>
        <v>9103766#9103771</v>
      </c>
      <c r="AD2311" s="232">
        <f>IFERROR(__xludf.DUMMYFUNCTION("""COMPUTED_VALUE"""),144.0)</f>
        <v>144</v>
      </c>
      <c r="AE2311" s="233">
        <f>IFERROR(__xludf.DUMMYFUNCTION("""COMPUTED_VALUE"""),46069.0)</f>
        <v>46069</v>
      </c>
      <c r="AF2311" s="54"/>
      <c r="AG2311" s="54"/>
      <c r="AH2311" s="54">
        <v>46069.0</v>
      </c>
      <c r="AI2311" s="55">
        <f t="shared" si="221"/>
        <v>0</v>
      </c>
      <c r="AW2311" s="234"/>
      <c r="BP2311" s="11"/>
      <c r="BQ2311" s="11"/>
      <c r="BV2311" s="158"/>
      <c r="BY2311" s="158"/>
      <c r="CB2311" s="158"/>
    </row>
    <row r="2312" ht="18.0" customHeight="1">
      <c r="A2312" s="222">
        <f>IFERROR(__xludf.DUMMYFUNCTION("""COMPUTED_VALUE"""),2026.0)</f>
        <v>2026</v>
      </c>
      <c r="B2312" s="221">
        <f>IFERROR(__xludf.DUMMYFUNCTION("""COMPUTED_VALUE"""),1.1133914E7)</f>
        <v>11133914</v>
      </c>
      <c r="C2312" s="222" t="str">
        <f>IFERROR(__xludf.DUMMYFUNCTION("""COMPUTED_VALUE"""),"RDR JPP PT4 SUKA DAMAI TAMBUSAI UTARA")</f>
        <v>RDR JPP PT4 SUKA DAMAI TAMBUSAI UTARA</v>
      </c>
      <c r="D2312" s="222" t="str">
        <f>IFERROR(__xludf.DUMMYFUNCTION("""COMPUTED_VALUE"""),"REGIONAL I")</f>
        <v>REGIONAL I</v>
      </c>
      <c r="E2312" s="222" t="str">
        <f>IFERROR(__xludf.DUMMYFUNCTION("""COMPUTED_VALUE"""),"RIDAR")</f>
        <v>RIDAR</v>
      </c>
      <c r="F2312" s="222" t="str">
        <f>IFERROR(__xludf.DUMMYFUNCTION("""COMPUTED_VALUE"""),"PPN")</f>
        <v>PPN</v>
      </c>
      <c r="G2312" s="222" t="str">
        <f>IFERROR(__xludf.DUMMYFUNCTION("""COMPUTED_VALUE"""),"SUMBAGTENG")</f>
        <v>SUMBAGTENG</v>
      </c>
      <c r="H2312" s="222" t="str">
        <f>IFERROR(__xludf.DUMMYFUNCTION("""COMPUTED_VALUE"""),"DUMAI")</f>
        <v>DUMAI</v>
      </c>
      <c r="I2312" s="222" t="str">
        <f>IFERROR(__xludf.DUMMYFUNCTION("""COMPUTED_VALUE"""),"Batch 3")</f>
        <v>Batch 3</v>
      </c>
      <c r="J2312" s="225">
        <f>IFERROR(__xludf.DUMMYFUNCTION("""COMPUTED_VALUE"""),57.0)</f>
        <v>57</v>
      </c>
      <c r="K2312" s="224">
        <f>IFERROR(__xludf.DUMMYFUNCTION("""COMPUTED_VALUE"""),456.0)</f>
        <v>456</v>
      </c>
      <c r="L2312" s="226">
        <f>IFERROR(__xludf.DUMMYFUNCTION("""COMPUTED_VALUE"""),1418296.0)</f>
        <v>1418296</v>
      </c>
      <c r="M2312" s="227">
        <f>IFERROR(__xludf.DUMMYFUNCTION("""COMPUTED_VALUE"""),6.46742552E8)</f>
        <v>646742552</v>
      </c>
      <c r="N2312" s="222" t="str">
        <f>IFERROR(__xludf.DUMMYFUNCTION("""COMPUTED_VALUE"""),"PT TRIPOLA PANATA")</f>
        <v>PT TRIPOLA PANATA</v>
      </c>
      <c r="O2312" s="222" t="str">
        <f>IFERROR(__xludf.DUMMYFUNCTION("""COMPUTED_VALUE"""),"8. UJI TERIMA")</f>
        <v>8. UJI TERIMA</v>
      </c>
      <c r="P2312" s="222" t="str">
        <f>IFERROR(__xludf.DUMMYFUNCTION("""COMPUTED_VALUE"""),"8.1 Proses UT")</f>
        <v>8.1 Proses UT</v>
      </c>
      <c r="Q2312" s="222" t="str">
        <f>IFERROR(__xludf.DUMMYFUNCTION("""COMPUTED_VALUE"""),"29/01 Proses Valins 22/01 Repair kabel node b ")</f>
        <v>29/01 Proses Valins 22/01 Repair kabel node b </v>
      </c>
      <c r="R2312" s="228"/>
      <c r="S2312" s="11"/>
      <c r="T2312" s="11"/>
      <c r="U2312" s="11"/>
      <c r="V2312" s="229" t="str">
        <f>IFERROR(__xludf.DUMMYFUNCTION("""COMPUTED_VALUE"""),"FIRDAUS ZULKARNAIEN")</f>
        <v>FIRDAUS ZULKARNAIEN</v>
      </c>
      <c r="W2312" s="229" t="str">
        <f>IFERROR(__xludf.DUMMYFUNCTION("""COMPUTED_VALUE"""),"ANZALA SAKINAH")</f>
        <v>ANZALA SAKINAH</v>
      </c>
      <c r="X2312" s="229" t="str">
        <f>IFERROR(__xludf.DUMMYFUNCTION("""COMPUTED_VALUE"""),"GOLIVE")</f>
        <v>GOLIVE</v>
      </c>
      <c r="Y2312" s="229" t="str">
        <f>IFERROR(__xludf.DUMMYFUNCTION("""COMPUTED_VALUE"""),"DONE")</f>
        <v>DONE</v>
      </c>
      <c r="Z2312" s="229"/>
      <c r="AA2312" s="229">
        <f>IFERROR(__xludf.DUMMYFUNCTION("""COMPUTED_VALUE"""),56.0)</f>
        <v>56</v>
      </c>
      <c r="AB2312" s="229"/>
      <c r="AC2312" s="229" t="str">
        <f>IFERROR(__xludf.DUMMYFUNCTION("""COMPUTED_VALUE"""),"9033703#9033708")</f>
        <v>9033703#9033708</v>
      </c>
      <c r="AD2312" s="232">
        <f>IFERROR(__xludf.DUMMYFUNCTION("""COMPUTED_VALUE"""),448.0)</f>
        <v>448</v>
      </c>
      <c r="AE2312" s="233">
        <f>IFERROR(__xludf.DUMMYFUNCTION("""COMPUTED_VALUE"""),46053.0)</f>
        <v>46053</v>
      </c>
      <c r="AF2312" s="54" t="str">
        <f>IFERROR(__xludf.DUMMYFUNCTION("""COMPUTED_VALUE"""),"DONE")</f>
        <v>DONE</v>
      </c>
      <c r="AG2312" s="54"/>
      <c r="AH2312" s="54"/>
      <c r="AI2312" s="55" t="str">
        <f t="shared" si="221"/>
        <v/>
      </c>
      <c r="AW2312" s="234"/>
      <c r="BP2312" s="11"/>
      <c r="BQ2312" s="11"/>
      <c r="BV2312" s="158"/>
      <c r="BY2312" s="158"/>
      <c r="CB2312" s="158"/>
    </row>
    <row r="2313" ht="18.0" hidden="1" customHeight="1">
      <c r="A2313" s="222">
        <f>IFERROR(__xludf.DUMMYFUNCTION("""COMPUTED_VALUE"""),2026.0)</f>
        <v>2026</v>
      </c>
      <c r="B2313" s="221">
        <f>IFERROR(__xludf.DUMMYFUNCTION("""COMPUTED_VALUE"""),1.1081234E7)</f>
        <v>11081234</v>
      </c>
      <c r="C2313" s="222" t="str">
        <f>IFERROR(__xludf.DUMMYFUNCTION("""COMPUTED_VALUE"""),"MDN PT3 P7I2 TJR-FXX UKNOWN-RESIDENCE")</f>
        <v>MDN PT3 P7I2 TJR-FXX UKNOWN-RESIDENCE</v>
      </c>
      <c r="D2313" s="222" t="str">
        <f>IFERROR(__xludf.DUMMYFUNCTION("""COMPUTED_VALUE"""),"REGIONAL I")</f>
        <v>REGIONAL I</v>
      </c>
      <c r="E2313" s="222" t="str">
        <f>IFERROR(__xludf.DUMMYFUNCTION("""COMPUTED_VALUE"""),"MEDAN")</f>
        <v>MEDAN</v>
      </c>
      <c r="F2313" s="222" t="str">
        <f>IFERROR(__xludf.DUMMYFUNCTION("""COMPUTED_VALUE"""),"TJR")</f>
        <v>TJR</v>
      </c>
      <c r="G2313" s="222" t="str">
        <f>IFERROR(__xludf.DUMMYFUNCTION("""COMPUTED_VALUE"""),"SUMBAGUT")</f>
        <v>SUMBAGUT</v>
      </c>
      <c r="H2313" s="222" t="str">
        <f>IFERROR(__xludf.DUMMYFUNCTION("""COMPUTED_VALUE"""),"MEDAN")</f>
        <v>MEDAN</v>
      </c>
      <c r="I2313" s="222" t="str">
        <f>IFERROR(__xludf.DUMMYFUNCTION("""COMPUTED_VALUE"""),"Batch 3")</f>
        <v>Batch 3</v>
      </c>
      <c r="J2313" s="225">
        <f>IFERROR(__xludf.DUMMYFUNCTION("""COMPUTED_VALUE"""),9.0)</f>
        <v>9</v>
      </c>
      <c r="K2313" s="224">
        <f>IFERROR(__xludf.DUMMYFUNCTION("""COMPUTED_VALUE"""),72.0)</f>
        <v>72</v>
      </c>
      <c r="L2313" s="226">
        <f>IFERROR(__xludf.DUMMYFUNCTION("""COMPUTED_VALUE"""),1399027.0)</f>
        <v>1399027</v>
      </c>
      <c r="M2313" s="227">
        <f>IFERROR(__xludf.DUMMYFUNCTION("""COMPUTED_VALUE"""),1.00729923E8)</f>
        <v>100729923</v>
      </c>
      <c r="N2313" s="222" t="str">
        <f>IFERROR(__xludf.DUMMYFUNCTION("""COMPUTED_VALUE"""),"PT SINAR KEPRI SEJAHTERA")</f>
        <v>PT SINAR KEPRI SEJAHTERA</v>
      </c>
      <c r="O2313" s="222" t="str">
        <f>IFERROR(__xludf.DUMMYFUNCTION("""COMPUTED_VALUE"""),"8. UJI TERIMA")</f>
        <v>8. UJI TERIMA</v>
      </c>
      <c r="P2313" s="222" t="str">
        <f>IFERROR(__xludf.DUMMYFUNCTION("""COMPUTED_VALUE"""),"8.1 Proses UT")</f>
        <v>8.1 Proses UT</v>
      </c>
      <c r="Q2313" s="222" t="str">
        <f>IFERROR(__xludf.DUMMYFUNCTION("""COMPUTED_VALUE"""),"16/02 golive sdi
13/02 pengecekan abd mancore 
25/11 temuan UT repair 
19/11/2025 Big port olt Habis 
(07/01) Persiapan")</f>
        <v>16/02 golive sdi
13/02 pengecekan abd mancore 
25/11 temuan UT repair 
19/11/2025 Big port olt Habis 
(07/01) Persiapan</v>
      </c>
      <c r="R2313" s="228">
        <f>IFERROR(__xludf.DUMMYFUNCTION("""COMPUTED_VALUE"""),46067.0)</f>
        <v>46067</v>
      </c>
      <c r="S2313" s="11"/>
      <c r="T2313" s="11"/>
      <c r="U2313" s="11" t="str">
        <f>IFERROR(__xludf.DUMMYFUNCTION("""COMPUTED_VALUE"""),"FALSE")</f>
        <v>FALSE</v>
      </c>
      <c r="V2313" s="229"/>
      <c r="W2313" s="229"/>
      <c r="X2313" s="229" t="str">
        <f>IFERROR(__xludf.DUMMYFUNCTION("""COMPUTED_VALUE"""),"GOLIVE")</f>
        <v>GOLIVE</v>
      </c>
      <c r="Y2313" s="229" t="str">
        <f>IFERROR(__xludf.DUMMYFUNCTION("""COMPUTED_VALUE"""),"DONE")</f>
        <v>DONE</v>
      </c>
      <c r="Z2313" s="229" t="str">
        <f>IFERROR(__xludf.DUMMYFUNCTION("""COMPUTED_VALUE"""),"#N/A")</f>
        <v>#N/A</v>
      </c>
      <c r="AA2313" s="229">
        <f>IFERROR(__xludf.DUMMYFUNCTION("""COMPUTED_VALUE"""),8.0)</f>
        <v>8</v>
      </c>
      <c r="AB2313" s="229"/>
      <c r="AC2313" s="229" t="str">
        <f>IFERROR(__xludf.DUMMYFUNCTION("""COMPUTED_VALUE"""),"9112553#9112559")</f>
        <v>9112553#9112559</v>
      </c>
      <c r="AD2313" s="232">
        <f>IFERROR(__xludf.DUMMYFUNCTION("""COMPUTED_VALUE"""),64.0)</f>
        <v>64</v>
      </c>
      <c r="AE2313" s="233">
        <f>IFERROR(__xludf.DUMMYFUNCTION("""COMPUTED_VALUE"""),46067.0)</f>
        <v>46067</v>
      </c>
      <c r="AF2313" s="54"/>
      <c r="AG2313" s="54"/>
      <c r="AH2313" s="54">
        <v>46067.0</v>
      </c>
      <c r="AI2313" s="55">
        <f t="shared" si="221"/>
        <v>0</v>
      </c>
      <c r="AW2313" s="234"/>
      <c r="BP2313" s="11"/>
      <c r="BQ2313" s="11"/>
      <c r="BV2313" s="158"/>
      <c r="BY2313" s="158"/>
      <c r="CB2313" s="158"/>
    </row>
    <row r="2314" ht="18.0" hidden="1" customHeight="1">
      <c r="A2314" s="222">
        <f>IFERROR(__xludf.DUMMYFUNCTION("""COMPUTED_VALUE"""),2026.0)</f>
        <v>2026</v>
      </c>
      <c r="B2314" s="221">
        <f>IFERROR(__xludf.DUMMYFUNCTION("""COMPUTED_VALUE"""),1.1516498E7)</f>
        <v>11516498</v>
      </c>
      <c r="C2314" s="222" t="str">
        <f>IFERROR(__xludf.DUMMYFUNCTION("""COMPUTED_VALUE"""),"ACH PT3 MBO-FG SUAK RIBEE-SIGADENG")</f>
        <v>ACH PT3 MBO-FG SUAK RIBEE-SIGADENG</v>
      </c>
      <c r="D2314" s="222" t="str">
        <f>IFERROR(__xludf.DUMMYFUNCTION("""COMPUTED_VALUE"""),"REGIONAL I")</f>
        <v>REGIONAL I</v>
      </c>
      <c r="E2314" s="222" t="str">
        <f>IFERROR(__xludf.DUMMYFUNCTION("""COMPUTED_VALUE"""),"ACEH")</f>
        <v>ACEH</v>
      </c>
      <c r="F2314" s="222" t="str">
        <f>IFERROR(__xludf.DUMMYFUNCTION("""COMPUTED_VALUE"""),"MBO")</f>
        <v>MBO</v>
      </c>
      <c r="G2314" s="222" t="str">
        <f>IFERROR(__xludf.DUMMYFUNCTION("""COMPUTED_VALUE"""),"SUMBAGUT")</f>
        <v>SUMBAGUT</v>
      </c>
      <c r="H2314" s="222" t="str">
        <f>IFERROR(__xludf.DUMMYFUNCTION("""COMPUTED_VALUE"""),"BANDA ACEH")</f>
        <v>BANDA ACEH</v>
      </c>
      <c r="I2314" s="222" t="str">
        <f>IFERROR(__xludf.DUMMYFUNCTION("""COMPUTED_VALUE"""),"Batch 3")</f>
        <v>Batch 3</v>
      </c>
      <c r="J2314" s="225">
        <f>IFERROR(__xludf.DUMMYFUNCTION("""COMPUTED_VALUE"""),9.0)</f>
        <v>9</v>
      </c>
      <c r="K2314" s="224">
        <f>IFERROR(__xludf.DUMMYFUNCTION("""COMPUTED_VALUE"""),72.0)</f>
        <v>72</v>
      </c>
      <c r="L2314" s="226">
        <f>IFERROR(__xludf.DUMMYFUNCTION("""COMPUTED_VALUE"""),1396202.0)</f>
        <v>1396202</v>
      </c>
      <c r="M2314" s="227">
        <f>IFERROR(__xludf.DUMMYFUNCTION("""COMPUTED_VALUE"""),1.00526494E8)</f>
        <v>100526494</v>
      </c>
      <c r="N2314" s="222" t="str">
        <f>IFERROR(__xludf.DUMMYFUNCTION("""COMPUTED_VALUE"""),"PT NURISA JAYA PERKASA")</f>
        <v>PT NURISA JAYA PERKASA</v>
      </c>
      <c r="O2314" s="222" t="str">
        <f>IFERROR(__xludf.DUMMYFUNCTION("""COMPUTED_VALUE"""),"7. GOLIVE")</f>
        <v>7. GOLIVE</v>
      </c>
      <c r="P2314" s="222" t="str">
        <f>IFERROR(__xludf.DUMMYFUNCTION("""COMPUTED_VALUE"""),"7.2 Golive Full / OA / DONE OTB")</f>
        <v>7.2 Golive Full / OA / DONE OTB</v>
      </c>
      <c r="Q2314" s="222" t="str">
        <f>IFERROR(__xludf.DUMMYFUNCTION("""COMPUTED_VALUE"""),"(11/02) pgl (10/02) Validasi ABD Mancore (30/01) proses ABD MANCORE  (21/01) Tanam Tiang (18/01) Persiapan ")</f>
        <v>(11/02) pgl (10/02) Validasi ABD Mancore (30/01) proses ABD MANCORE  (21/01) Tanam Tiang (18/01) Persiapan </v>
      </c>
      <c r="R2314" s="228">
        <f>IFERROR(__xludf.DUMMYFUNCTION("""COMPUTED_VALUE"""),46069.0)</f>
        <v>46069</v>
      </c>
      <c r="S2314" s="11"/>
      <c r="T2314" s="11"/>
      <c r="U2314" s="11"/>
      <c r="V2314" s="229"/>
      <c r="W2314" s="229"/>
      <c r="X2314" s="229" t="str">
        <f>IFERROR(__xludf.DUMMYFUNCTION("""COMPUTED_VALUE"""),"GOLIVE")</f>
        <v>GOLIVE</v>
      </c>
      <c r="Y2314" s="229" t="str">
        <f>IFERROR(__xludf.DUMMYFUNCTION("""COMPUTED_VALUE"""),"DONE")</f>
        <v>DONE</v>
      </c>
      <c r="Z2314" s="229" t="str">
        <f>IFERROR(__xludf.DUMMYFUNCTION("""COMPUTED_VALUE"""),"#N/A")</f>
        <v>#N/A</v>
      </c>
      <c r="AA2314" s="229">
        <f>IFERROR(__xludf.DUMMYFUNCTION("""COMPUTED_VALUE"""),9.0)</f>
        <v>9</v>
      </c>
      <c r="AB2314" s="229"/>
      <c r="AC2314" s="229" t="str">
        <f>IFERROR(__xludf.DUMMYFUNCTION("""COMPUTED_VALUE"""),"9109500#9109505")</f>
        <v>9109500#9109505</v>
      </c>
      <c r="AD2314" s="232">
        <f>IFERROR(__xludf.DUMMYFUNCTION("""COMPUTED_VALUE"""),72.0)</f>
        <v>72</v>
      </c>
      <c r="AE2314" s="233">
        <f>IFERROR(__xludf.DUMMYFUNCTION("""COMPUTED_VALUE"""),46069.0)</f>
        <v>46069</v>
      </c>
      <c r="AF2314" s="54"/>
      <c r="AG2314" s="54"/>
      <c r="AH2314" s="54">
        <v>46069.0</v>
      </c>
      <c r="AI2314" s="55">
        <f t="shared" si="221"/>
        <v>0</v>
      </c>
      <c r="AW2314" s="234"/>
      <c r="BP2314" s="11"/>
      <c r="BQ2314" s="11"/>
      <c r="BV2314" s="158"/>
      <c r="BY2314" s="158"/>
      <c r="CB2314" s="158"/>
    </row>
    <row r="2315" ht="18.0" customHeight="1">
      <c r="A2315" s="222">
        <f>IFERROR(__xludf.DUMMYFUNCTION("""COMPUTED_VALUE"""),2026.0)</f>
        <v>2026</v>
      </c>
      <c r="B2315" s="221">
        <f>IFERROR(__xludf.DUMMYFUNCTION("""COMPUTED_VALUE"""),1.1353485E7)</f>
        <v>11353485</v>
      </c>
      <c r="C2315" s="222" t="str">
        <f>IFERROR(__xludf.DUMMYFUNCTION("""COMPUTED_VALUE"""),"SMB P2I2 Lulu Surantih 1")</f>
        <v>SMB P2I2 Lulu Surantih 1</v>
      </c>
      <c r="D2315" s="222" t="str">
        <f>IFERROR(__xludf.DUMMYFUNCTION("""COMPUTED_VALUE"""),"REGIONAL I")</f>
        <v>REGIONAL I</v>
      </c>
      <c r="E2315" s="222" t="str">
        <f>IFERROR(__xludf.DUMMYFUNCTION("""COMPUTED_VALUE"""),"SUMBAR")</f>
        <v>SUMBAR</v>
      </c>
      <c r="F2315" s="222" t="str">
        <f>IFERROR(__xludf.DUMMYFUNCTION("""COMPUTED_VALUE"""),"SRT")</f>
        <v>SRT</v>
      </c>
      <c r="G2315" s="222" t="str">
        <f>IFERROR(__xludf.DUMMYFUNCTION("""COMPUTED_VALUE"""),"SUMBAGTENG")</f>
        <v>SUMBAGTENG</v>
      </c>
      <c r="H2315" s="222" t="str">
        <f>IFERROR(__xludf.DUMMYFUNCTION("""COMPUTED_VALUE"""),"PADANG")</f>
        <v>PADANG</v>
      </c>
      <c r="I2315" s="222" t="str">
        <f>IFERROR(__xludf.DUMMYFUNCTION("""COMPUTED_VALUE"""),"Batch 3")</f>
        <v>Batch 3</v>
      </c>
      <c r="J2315" s="225">
        <f>IFERROR(__xludf.DUMMYFUNCTION("""COMPUTED_VALUE"""),5.0)</f>
        <v>5</v>
      </c>
      <c r="K2315" s="224">
        <f>IFERROR(__xludf.DUMMYFUNCTION("""COMPUTED_VALUE"""),40.0)</f>
        <v>40</v>
      </c>
      <c r="L2315" s="226">
        <f>IFERROR(__xludf.DUMMYFUNCTION("""COMPUTED_VALUE"""),1395824.0)</f>
        <v>1395824</v>
      </c>
      <c r="M2315" s="227">
        <f>IFERROR(__xludf.DUMMYFUNCTION("""COMPUTED_VALUE"""),5.5832951E7)</f>
        <v>55832951</v>
      </c>
      <c r="N2315" s="222" t="str">
        <f>IFERROR(__xludf.DUMMYFUNCTION("""COMPUTED_VALUE"""),"PT ACERO CETHA METALINDO")</f>
        <v>PT ACERO CETHA METALINDO</v>
      </c>
      <c r="O2315" s="222" t="str">
        <f>IFERROR(__xludf.DUMMYFUNCTION("""COMPUTED_VALUE"""),"8. UJI TERIMA")</f>
        <v>8. UJI TERIMA</v>
      </c>
      <c r="P2315" s="222" t="str">
        <f>IFERROR(__xludf.DUMMYFUNCTION("""COMPUTED_VALUE"""),"8.1 Proses UT")</f>
        <v>8.1 Proses UT</v>
      </c>
      <c r="Q2315" s="222" t="str">
        <f>IFERROR(__xludf.DUMMYFUNCTION("""COMPUTED_VALUE"""),"(29/01) modul OLT SRT full  21/11 : proses valins  13/11 : proses valins  06/11 : proses valins  23/10: kendala modul olt sto SRT Full 16/10: kendala modul olt sto SRT Full 13/10 : Terminasi   09/10 : penarikan kabel  02/10 : penarikan kabel 25/09 : plan "&amp;"instalasi 27 sept (data abd 29 sept  19/09 : plan instalasi 27 sept (data abd 29 sept ) 17/09 : plan instalasi 27 sept (data abd 29 sept ) 15/09 : Matdel ke site")</f>
        <v>(29/01) modul OLT SRT full  21/11 : proses valins  13/11 : proses valins  06/11 : proses valins  23/10: kendala modul olt sto SRT Full 16/10: kendala modul olt sto SRT Full 13/10 : Terminasi   09/10 : penarikan kabel  02/10 : penarikan kabel 25/09 : plan instalasi 27 sept (data abd 29 sept  19/09 : plan instalasi 27 sept (data abd 29 sept ) 17/09 : plan instalasi 27 sept (data abd 29 sept ) 15/09 : Matdel ke site</v>
      </c>
      <c r="R2315" s="228">
        <f>IFERROR(__xludf.DUMMYFUNCTION("""COMPUTED_VALUE"""),46080.0)</f>
        <v>46080</v>
      </c>
      <c r="S2315" s="11"/>
      <c r="T2315" s="11"/>
      <c r="U2315" s="11"/>
      <c r="V2315" s="229" t="str">
        <f>IFERROR(__xludf.DUMMYFUNCTION("""COMPUTED_VALUE"""),"ALDI EFENDI")</f>
        <v>ALDI EFENDI</v>
      </c>
      <c r="W2315" s="229" t="str">
        <f>IFERROR(__xludf.DUMMYFUNCTION("""COMPUTED_VALUE"""),"MELKO NARWADI")</f>
        <v>MELKO NARWADI</v>
      </c>
      <c r="X2315" s="229" t="str">
        <f>IFERROR(__xludf.DUMMYFUNCTION("""COMPUTED_VALUE"""),"GOLIVE")</f>
        <v>GOLIVE</v>
      </c>
      <c r="Y2315" s="229" t="str">
        <f>IFERROR(__xludf.DUMMYFUNCTION("""COMPUTED_VALUE"""),"DONE")</f>
        <v>DONE</v>
      </c>
      <c r="Z2315" s="229" t="str">
        <f>IFERROR(__xludf.DUMMYFUNCTION("""COMPUTED_VALUE"""),"#N/A")</f>
        <v>#N/A</v>
      </c>
      <c r="AA2315" s="229">
        <f>IFERROR(__xludf.DUMMYFUNCTION("""COMPUTED_VALUE"""),5.0)</f>
        <v>5</v>
      </c>
      <c r="AB2315" s="229"/>
      <c r="AC2315" s="229" t="str">
        <f>IFERROR(__xludf.DUMMYFUNCTION("""COMPUTED_VALUE"""),"9030362#9030367")</f>
        <v>9030362#9030367</v>
      </c>
      <c r="AD2315" s="232">
        <f>IFERROR(__xludf.DUMMYFUNCTION("""COMPUTED_VALUE"""),40.0)</f>
        <v>40</v>
      </c>
      <c r="AE2315" s="233">
        <f>IFERROR(__xludf.DUMMYFUNCTION("""COMPUTED_VALUE"""),46056.0)</f>
        <v>46056</v>
      </c>
      <c r="AF2315" s="54"/>
      <c r="AG2315" s="54"/>
      <c r="AH2315" s="54">
        <v>46080.0</v>
      </c>
      <c r="AI2315" s="55">
        <f t="shared" si="221"/>
        <v>24</v>
      </c>
      <c r="AW2315" s="234"/>
      <c r="BP2315" s="11"/>
      <c r="BQ2315" s="11"/>
      <c r="BV2315" s="158"/>
      <c r="BY2315" s="158"/>
      <c r="CB2315" s="158"/>
    </row>
    <row r="2316" ht="18.0" hidden="1" customHeight="1">
      <c r="A2316" s="222">
        <f>IFERROR(__xludf.DUMMYFUNCTION("""COMPUTED_VALUE"""),2026.0)</f>
        <v>2026</v>
      </c>
      <c r="B2316" s="221">
        <f>IFERROR(__xludf.DUMMYFUNCTION("""COMPUTED_VALUE"""),1.1341738E7)</f>
        <v>11341738</v>
      </c>
      <c r="C2316" s="222" t="str">
        <f>IFERROR(__xludf.DUMMYFUNCTION("""COMPUTED_VALUE"""),"ACH PT3 MBO-FV D03 PADANG SIKABU_MD")</f>
        <v>ACH PT3 MBO-FV D03 PADANG SIKABU_MD</v>
      </c>
      <c r="D2316" s="222" t="str">
        <f>IFERROR(__xludf.DUMMYFUNCTION("""COMPUTED_VALUE"""),"REGIONAL I")</f>
        <v>REGIONAL I</v>
      </c>
      <c r="E2316" s="222" t="str">
        <f>IFERROR(__xludf.DUMMYFUNCTION("""COMPUTED_VALUE"""),"ACEH")</f>
        <v>ACEH</v>
      </c>
      <c r="F2316" s="222" t="str">
        <f>IFERROR(__xludf.DUMMYFUNCTION("""COMPUTED_VALUE"""),"MBO")</f>
        <v>MBO</v>
      </c>
      <c r="G2316" s="222" t="str">
        <f>IFERROR(__xludf.DUMMYFUNCTION("""COMPUTED_VALUE"""),"SUMBAGUT")</f>
        <v>SUMBAGUT</v>
      </c>
      <c r="H2316" s="222" t="str">
        <f>IFERROR(__xludf.DUMMYFUNCTION("""COMPUTED_VALUE"""),"BANDA ACEH")</f>
        <v>BANDA ACEH</v>
      </c>
      <c r="I2316" s="222" t="str">
        <f>IFERROR(__xludf.DUMMYFUNCTION("""COMPUTED_VALUE"""),"Batch 3")</f>
        <v>Batch 3</v>
      </c>
      <c r="J2316" s="225">
        <f>IFERROR(__xludf.DUMMYFUNCTION("""COMPUTED_VALUE"""),23.0)</f>
        <v>23</v>
      </c>
      <c r="K2316" s="224">
        <f>IFERROR(__xludf.DUMMYFUNCTION("""COMPUTED_VALUE"""),184.0)</f>
        <v>184</v>
      </c>
      <c r="L2316" s="226">
        <f>IFERROR(__xludf.DUMMYFUNCTION("""COMPUTED_VALUE"""),1381982.0)</f>
        <v>1381982</v>
      </c>
      <c r="M2316" s="227">
        <f>IFERROR(__xludf.DUMMYFUNCTION("""COMPUTED_VALUE"""),2.54284629E8)</f>
        <v>254284629</v>
      </c>
      <c r="N2316" s="222" t="str">
        <f>IFERROR(__xludf.DUMMYFUNCTION("""COMPUTED_VALUE"""),"PT NURISA JAYA PERKASA")</f>
        <v>PT NURISA JAYA PERKASA</v>
      </c>
      <c r="O2316" s="222" t="str">
        <f>IFERROR(__xludf.DUMMYFUNCTION("""COMPUTED_VALUE"""),"7. GOLIVE")</f>
        <v>7. GOLIVE</v>
      </c>
      <c r="P2316" s="222" t="str">
        <f>IFERROR(__xludf.DUMMYFUNCTION("""COMPUTED_VALUE"""),"7.2 Golive Full / OA / DONE OTB")</f>
        <v>7.2 Golive Full / OA / DONE OTB</v>
      </c>
      <c r="Q2316" s="222" t="str">
        <f>IFERROR(__xludf.DUMMYFUNCTION("""COMPUTED_VALUE"""),"(04/02) Validasi ABD Mancore (30/01) proses ABD MANCORE  (21/01) Tanam Tiang (18/01) Persiapan ")</f>
        <v>(04/02) Validasi ABD Mancore (30/01) proses ABD MANCORE  (21/01) Tanam Tiang (18/01) Persiapan </v>
      </c>
      <c r="R2316" s="228">
        <f>IFERROR(__xludf.DUMMYFUNCTION("""COMPUTED_VALUE"""),46062.0)</f>
        <v>46062</v>
      </c>
      <c r="S2316" s="11"/>
      <c r="T2316" s="11"/>
      <c r="U2316" s="11"/>
      <c r="V2316" s="229"/>
      <c r="W2316" s="229"/>
      <c r="X2316" s="229" t="str">
        <f>IFERROR(__xludf.DUMMYFUNCTION("""COMPUTED_VALUE"""),"GOLIVE")</f>
        <v>GOLIVE</v>
      </c>
      <c r="Y2316" s="229" t="str">
        <f>IFERROR(__xludf.DUMMYFUNCTION("""COMPUTED_VALUE"""),"DONE")</f>
        <v>DONE</v>
      </c>
      <c r="Z2316" s="229" t="str">
        <f>IFERROR(__xludf.DUMMYFUNCTION("""COMPUTED_VALUE"""),"#N/A")</f>
        <v>#N/A</v>
      </c>
      <c r="AA2316" s="229">
        <f>IFERROR(__xludf.DUMMYFUNCTION("""COMPUTED_VALUE"""),23.0)</f>
        <v>23</v>
      </c>
      <c r="AB2316" s="229"/>
      <c r="AC2316" s="229" t="str">
        <f>IFERROR(__xludf.DUMMYFUNCTION("""COMPUTED_VALUE"""),"9069654#9069659")</f>
        <v>9069654#9069659</v>
      </c>
      <c r="AD2316" s="232">
        <f>IFERROR(__xludf.DUMMYFUNCTION("""COMPUTED_VALUE"""),184.0)</f>
        <v>184</v>
      </c>
      <c r="AE2316" s="233">
        <f>IFERROR(__xludf.DUMMYFUNCTION("""COMPUTED_VALUE"""),46062.0)</f>
        <v>46062</v>
      </c>
      <c r="AF2316" s="54"/>
      <c r="AG2316" s="54"/>
      <c r="AH2316" s="54">
        <v>46062.0</v>
      </c>
      <c r="AI2316" s="55">
        <f t="shared" si="221"/>
        <v>0</v>
      </c>
      <c r="AW2316" s="234"/>
      <c r="BP2316" s="11"/>
      <c r="BQ2316" s="11"/>
      <c r="BV2316" s="158"/>
      <c r="BY2316" s="158"/>
      <c r="CB2316" s="158"/>
    </row>
    <row r="2317" ht="18.0" hidden="1" customHeight="1">
      <c r="A2317" s="222">
        <f>IFERROR(__xludf.DUMMYFUNCTION("""COMPUTED_VALUE"""),2026.0)</f>
        <v>2026</v>
      </c>
      <c r="B2317" s="221">
        <f>IFERROR(__xludf.DUMMYFUNCTION("""COMPUTED_VALUE"""),1.1517562E7)</f>
        <v>11517562</v>
      </c>
      <c r="C2317" s="222" t="str">
        <f>IFERROR(__xludf.DUMMYFUNCTION("""COMPUTED_VALUE"""),"ACH PT3 MBO-FD GAMPA")</f>
        <v>ACH PT3 MBO-FD GAMPA</v>
      </c>
      <c r="D2317" s="222" t="str">
        <f>IFERROR(__xludf.DUMMYFUNCTION("""COMPUTED_VALUE"""),"REGIONAL I")</f>
        <v>REGIONAL I</v>
      </c>
      <c r="E2317" s="222" t="str">
        <f>IFERROR(__xludf.DUMMYFUNCTION("""COMPUTED_VALUE"""),"ACEH")</f>
        <v>ACEH</v>
      </c>
      <c r="F2317" s="222" t="str">
        <f>IFERROR(__xludf.DUMMYFUNCTION("""COMPUTED_VALUE"""),"MBO")</f>
        <v>MBO</v>
      </c>
      <c r="G2317" s="222" t="str">
        <f>IFERROR(__xludf.DUMMYFUNCTION("""COMPUTED_VALUE"""),"SUMBAGUT")</f>
        <v>SUMBAGUT</v>
      </c>
      <c r="H2317" s="222" t="str">
        <f>IFERROR(__xludf.DUMMYFUNCTION("""COMPUTED_VALUE"""),"BANDA ACEH")</f>
        <v>BANDA ACEH</v>
      </c>
      <c r="I2317" s="222" t="str">
        <f>IFERROR(__xludf.DUMMYFUNCTION("""COMPUTED_VALUE"""),"Batch 3")</f>
        <v>Batch 3</v>
      </c>
      <c r="J2317" s="225">
        <f>IFERROR(__xludf.DUMMYFUNCTION("""COMPUTED_VALUE"""),8.0)</f>
        <v>8</v>
      </c>
      <c r="K2317" s="224">
        <f>IFERROR(__xludf.DUMMYFUNCTION("""COMPUTED_VALUE"""),64.0)</f>
        <v>64</v>
      </c>
      <c r="L2317" s="226">
        <f>IFERROR(__xludf.DUMMYFUNCTION("""COMPUTED_VALUE"""),1376812.0)</f>
        <v>1376812</v>
      </c>
      <c r="M2317" s="227">
        <f>IFERROR(__xludf.DUMMYFUNCTION("""COMPUTED_VALUE"""),8.8115936E7)</f>
        <v>88115936</v>
      </c>
      <c r="N2317" s="222" t="str">
        <f>IFERROR(__xludf.DUMMYFUNCTION("""COMPUTED_VALUE"""),"PT NURISA JAYA PERKASA")</f>
        <v>PT NURISA JAYA PERKASA</v>
      </c>
      <c r="O2317" s="222" t="str">
        <f>IFERROR(__xludf.DUMMYFUNCTION("""COMPUTED_VALUE"""),"7. GOLIVE")</f>
        <v>7. GOLIVE</v>
      </c>
      <c r="P2317" s="222" t="str">
        <f>IFERROR(__xludf.DUMMYFUNCTION("""COMPUTED_VALUE"""),"7.2 Golive Full / OA / DONE OTB")</f>
        <v>7.2 Golive Full / OA / DONE OTB</v>
      </c>
      <c r="Q2317" s="222" t="str">
        <f>IFERROR(__xludf.DUMMYFUNCTION("""COMPUTED_VALUE"""),"(11/02) pgl (09/02) Validasi ABD Mancore (30/01) proses ABD MANCORE  (21/01) Tanam Tiang (18/01) Persiapan ")</f>
        <v>(11/02) pgl (09/02) Validasi ABD Mancore (30/01) proses ABD MANCORE  (21/01) Tanam Tiang (18/01) Persiapan </v>
      </c>
      <c r="R2317" s="228">
        <f>IFERROR(__xludf.DUMMYFUNCTION("""COMPUTED_VALUE"""),46066.0)</f>
        <v>46066</v>
      </c>
      <c r="S2317" s="11"/>
      <c r="T2317" s="11"/>
      <c r="U2317" s="11"/>
      <c r="V2317" s="229"/>
      <c r="W2317" s="229"/>
      <c r="X2317" s="229" t="str">
        <f>IFERROR(__xludf.DUMMYFUNCTION("""COMPUTED_VALUE"""),"GOLIVE")</f>
        <v>GOLIVE</v>
      </c>
      <c r="Y2317" s="229" t="str">
        <f>IFERROR(__xludf.DUMMYFUNCTION("""COMPUTED_VALUE"""),"DONE")</f>
        <v>DONE</v>
      </c>
      <c r="Z2317" s="229" t="str">
        <f>IFERROR(__xludf.DUMMYFUNCTION("""COMPUTED_VALUE"""),"#N/A")</f>
        <v>#N/A</v>
      </c>
      <c r="AA2317" s="229">
        <f>IFERROR(__xludf.DUMMYFUNCTION("""COMPUTED_VALUE"""),8.0)</f>
        <v>8</v>
      </c>
      <c r="AB2317" s="229"/>
      <c r="AC2317" s="229" t="str">
        <f>IFERROR(__xludf.DUMMYFUNCTION("""COMPUTED_VALUE"""),"9094385#9094390")</f>
        <v>9094385#9094390</v>
      </c>
      <c r="AD2317" s="232">
        <f>IFERROR(__xludf.DUMMYFUNCTION("""COMPUTED_VALUE"""),64.0)</f>
        <v>64</v>
      </c>
      <c r="AE2317" s="233">
        <f>IFERROR(__xludf.DUMMYFUNCTION("""COMPUTED_VALUE"""),46066.0)</f>
        <v>46066</v>
      </c>
      <c r="AF2317" s="54"/>
      <c r="AG2317" s="54"/>
      <c r="AH2317" s="54">
        <v>46066.0</v>
      </c>
      <c r="AI2317" s="55">
        <f t="shared" si="221"/>
        <v>0</v>
      </c>
      <c r="AW2317" s="234"/>
      <c r="BP2317" s="11"/>
      <c r="BQ2317" s="11"/>
      <c r="BV2317" s="158"/>
      <c r="BY2317" s="158"/>
      <c r="CB2317" s="158"/>
    </row>
    <row r="2318" ht="18.0" customHeight="1">
      <c r="A2318" s="222">
        <f>IFERROR(__xludf.DUMMYFUNCTION("""COMPUTED_VALUE"""),2026.0)</f>
        <v>2026</v>
      </c>
      <c r="B2318" s="221">
        <f>IFERROR(__xludf.DUMMYFUNCTION("""COMPUTED_VALUE"""),1.0235279E7)</f>
        <v>10235279</v>
      </c>
      <c r="C2318" s="222" t="str">
        <f>IFERROR(__xludf.DUMMYFUNCTION("""COMPUTED_VALUE"""),"SMB P1I1 SC542326343-RAMON MENDRA")</f>
        <v>SMB P1I1 SC542326343-RAMON MENDRA</v>
      </c>
      <c r="D2318" s="222" t="str">
        <f>IFERROR(__xludf.DUMMYFUNCTION("""COMPUTED_VALUE"""),"REGIONAL I")</f>
        <v>REGIONAL I</v>
      </c>
      <c r="E2318" s="222" t="str">
        <f>IFERROR(__xludf.DUMMYFUNCTION("""COMPUTED_VALUE"""),"SUMBAR")</f>
        <v>SUMBAR</v>
      </c>
      <c r="F2318" s="222" t="str">
        <f>IFERROR(__xludf.DUMMYFUNCTION("""COMPUTED_VALUE"""),"PAM")</f>
        <v>PAM</v>
      </c>
      <c r="G2318" s="222" t="str">
        <f>IFERROR(__xludf.DUMMYFUNCTION("""COMPUTED_VALUE"""),"SUMBAGTENG")</f>
        <v>SUMBAGTENG</v>
      </c>
      <c r="H2318" s="222" t="str">
        <f>IFERROR(__xludf.DUMMYFUNCTION("""COMPUTED_VALUE"""),"BUKIT TINGGI")</f>
        <v>BUKIT TINGGI</v>
      </c>
      <c r="I2318" s="222" t="str">
        <f>IFERROR(__xludf.DUMMYFUNCTION("""COMPUTED_VALUE"""),"Batch 3")</f>
        <v>Batch 3</v>
      </c>
      <c r="J2318" s="225">
        <f>IFERROR(__xludf.DUMMYFUNCTION("""COMPUTED_VALUE"""),1.0)</f>
        <v>1</v>
      </c>
      <c r="K2318" s="224">
        <f>IFERROR(__xludf.DUMMYFUNCTION("""COMPUTED_VALUE"""),8.0)</f>
        <v>8</v>
      </c>
      <c r="L2318" s="226">
        <f>IFERROR(__xludf.DUMMYFUNCTION("""COMPUTED_VALUE"""),954824.0)</f>
        <v>954824</v>
      </c>
      <c r="M2318" s="227">
        <f>IFERROR(__xludf.DUMMYFUNCTION("""COMPUTED_VALUE"""),7638585.0)</f>
        <v>7638585</v>
      </c>
      <c r="N2318" s="222" t="str">
        <f>IFERROR(__xludf.DUMMYFUNCTION("""COMPUTED_VALUE"""),"PT SANGKURIANG CIPTA JAYA TEKNINDO")</f>
        <v>PT SANGKURIANG CIPTA JAYA TEKNINDO</v>
      </c>
      <c r="O2318" s="222" t="str">
        <f>IFERROR(__xludf.DUMMYFUNCTION("""COMPUTED_VALUE"""),"8. UJI TERIMA")</f>
        <v>8. UJI TERIMA</v>
      </c>
      <c r="P2318" s="222" t="str">
        <f>IFERROR(__xludf.DUMMYFUNCTION("""COMPUTED_VALUE"""),"8.1 Proses UT")</f>
        <v>8.1 Proses UT</v>
      </c>
      <c r="Q2318" s="222" t="str">
        <f>IFERROR(__xludf.DUMMYFUNCTION("""COMPUTED_VALUE"""),"(29/01) Proses valins 21/11 : Info bani, modul sudah dipasang, lanjut valins rekans 13/11 : modul OLT PAM Full  25/09 kendala feeder penuh. 15/09 : proses eval")</f>
        <v>(29/01) Proses valins 21/11 : Info bani, modul sudah dipasang, lanjut valins rekans 13/11 : modul OLT PAM Full  25/09 kendala feeder penuh. 15/09 : proses eval</v>
      </c>
      <c r="R2318" s="228">
        <f>IFERROR(__xludf.DUMMYFUNCTION("""COMPUTED_VALUE"""),46080.0)</f>
        <v>46080</v>
      </c>
      <c r="S2318" s="11"/>
      <c r="T2318" s="11"/>
      <c r="U2318" s="11"/>
      <c r="V2318" s="229" t="str">
        <f>IFERROR(__xludf.DUMMYFUNCTION("""COMPUTED_VALUE"""),"PRAMADIO SEPWILMAN")</f>
        <v>PRAMADIO SEPWILMAN</v>
      </c>
      <c r="W2318" s="229" t="str">
        <f>IFERROR(__xludf.DUMMYFUNCTION("""COMPUTED_VALUE"""),"MELKO NARWADI")</f>
        <v>MELKO NARWADI</v>
      </c>
      <c r="X2318" s="229" t="str">
        <f>IFERROR(__xludf.DUMMYFUNCTION("""COMPUTED_VALUE"""),"GOLIVE")</f>
        <v>GOLIVE</v>
      </c>
      <c r="Y2318" s="229" t="str">
        <f>IFERROR(__xludf.DUMMYFUNCTION("""COMPUTED_VALUE"""),"DONE")</f>
        <v>DONE</v>
      </c>
      <c r="Z2318" s="229" t="str">
        <f>IFERROR(__xludf.DUMMYFUNCTION("""COMPUTED_VALUE"""),"#N/A")</f>
        <v>#N/A</v>
      </c>
      <c r="AA2318" s="229">
        <f>IFERROR(__xludf.DUMMYFUNCTION("""COMPUTED_VALUE"""),1.0)</f>
        <v>1</v>
      </c>
      <c r="AB2318" s="229"/>
      <c r="AC2318" s="229" t="str">
        <f>IFERROR(__xludf.DUMMYFUNCTION("""COMPUTED_VALUE"""),"9069673#9069678")</f>
        <v>9069673#9069678</v>
      </c>
      <c r="AD2318" s="232">
        <f>IFERROR(__xludf.DUMMYFUNCTION("""COMPUTED_VALUE"""),8.0)</f>
        <v>8</v>
      </c>
      <c r="AE2318" s="233">
        <f>IFERROR(__xludf.DUMMYFUNCTION("""COMPUTED_VALUE"""),46058.0)</f>
        <v>46058</v>
      </c>
      <c r="AF2318" s="54"/>
      <c r="AG2318" s="54"/>
      <c r="AH2318" s="54">
        <v>46080.0</v>
      </c>
      <c r="AI2318" s="55">
        <f t="shared" si="221"/>
        <v>22</v>
      </c>
      <c r="AW2318" s="234"/>
      <c r="BP2318" s="11"/>
      <c r="BQ2318" s="11"/>
      <c r="BV2318" s="158"/>
      <c r="BY2318" s="158"/>
      <c r="CB2318" s="158"/>
    </row>
    <row r="2319" ht="18.0" hidden="1" customHeight="1">
      <c r="A2319" s="222">
        <f>IFERROR(__xludf.DUMMYFUNCTION("""COMPUTED_VALUE"""),2026.0)</f>
        <v>2026</v>
      </c>
      <c r="B2319" s="221">
        <f>IFERROR(__xludf.DUMMYFUNCTION("""COMPUTED_VALUE"""),1.151759E7)</f>
        <v>11517590</v>
      </c>
      <c r="C2319" s="222" t="str">
        <f>IFERROR(__xludf.DUMMYFUNCTION("""COMPUTED_VALUE"""),"ACH PT3 MBO-FL LEUHAN-LAPANG")</f>
        <v>ACH PT3 MBO-FL LEUHAN-LAPANG</v>
      </c>
      <c r="D2319" s="222" t="str">
        <f>IFERROR(__xludf.DUMMYFUNCTION("""COMPUTED_VALUE"""),"REGIONAL I")</f>
        <v>REGIONAL I</v>
      </c>
      <c r="E2319" s="222" t="str">
        <f>IFERROR(__xludf.DUMMYFUNCTION("""COMPUTED_VALUE"""),"ACEH")</f>
        <v>ACEH</v>
      </c>
      <c r="F2319" s="222" t="str">
        <f>IFERROR(__xludf.DUMMYFUNCTION("""COMPUTED_VALUE"""),"MBO")</f>
        <v>MBO</v>
      </c>
      <c r="G2319" s="222" t="str">
        <f>IFERROR(__xludf.DUMMYFUNCTION("""COMPUTED_VALUE"""),"SUMBAGUT")</f>
        <v>SUMBAGUT</v>
      </c>
      <c r="H2319" s="222" t="str">
        <f>IFERROR(__xludf.DUMMYFUNCTION("""COMPUTED_VALUE"""),"BANDA ACEH")</f>
        <v>BANDA ACEH</v>
      </c>
      <c r="I2319" s="222" t="str">
        <f>IFERROR(__xludf.DUMMYFUNCTION("""COMPUTED_VALUE"""),"Batch 3")</f>
        <v>Batch 3</v>
      </c>
      <c r="J2319" s="225">
        <f>IFERROR(__xludf.DUMMYFUNCTION("""COMPUTED_VALUE"""),12.0)</f>
        <v>12</v>
      </c>
      <c r="K2319" s="224">
        <f>IFERROR(__xludf.DUMMYFUNCTION("""COMPUTED_VALUE"""),96.0)</f>
        <v>96</v>
      </c>
      <c r="L2319" s="226">
        <f>IFERROR(__xludf.DUMMYFUNCTION("""COMPUTED_VALUE"""),1360130.0)</f>
        <v>1360130</v>
      </c>
      <c r="M2319" s="227">
        <f>IFERROR(__xludf.DUMMYFUNCTION("""COMPUTED_VALUE"""),1.30572464E8)</f>
        <v>130572464</v>
      </c>
      <c r="N2319" s="222" t="str">
        <f>IFERROR(__xludf.DUMMYFUNCTION("""COMPUTED_VALUE"""),"PT NURISA JAYA PERKASA")</f>
        <v>PT NURISA JAYA PERKASA</v>
      </c>
      <c r="O2319" s="222" t="str">
        <f>IFERROR(__xludf.DUMMYFUNCTION("""COMPUTED_VALUE"""),"7. GOLIVE")</f>
        <v>7. GOLIVE</v>
      </c>
      <c r="P2319" s="222" t="str">
        <f>IFERROR(__xludf.DUMMYFUNCTION("""COMPUTED_VALUE"""),"7.2 Golive Full / OA / DONE OTB")</f>
        <v>7.2 Golive Full / OA / DONE OTB</v>
      </c>
      <c r="Q2319" s="222" t="str">
        <f>IFERROR(__xludf.DUMMYFUNCTION("""COMPUTED_VALUE"""),"(11/02)pgl (10/02) Validasi ABD Mancore (30/01) proses ABD MANCORE  (21/01) Tanam Tiang (18/01) Persiapan ")</f>
        <v>(11/02)pgl (10/02) Validasi ABD Mancore (30/01) proses ABD MANCORE  (21/01) Tanam Tiang (18/01) Persiapan </v>
      </c>
      <c r="R2319" s="228">
        <f>IFERROR(__xludf.DUMMYFUNCTION("""COMPUTED_VALUE"""),46064.0)</f>
        <v>46064</v>
      </c>
      <c r="S2319" s="11"/>
      <c r="T2319" s="11"/>
      <c r="U2319" s="11"/>
      <c r="V2319" s="229"/>
      <c r="W2319" s="229"/>
      <c r="X2319" s="229" t="str">
        <f>IFERROR(__xludf.DUMMYFUNCTION("""COMPUTED_VALUE"""),"GOLIVE")</f>
        <v>GOLIVE</v>
      </c>
      <c r="Y2319" s="229" t="str">
        <f>IFERROR(__xludf.DUMMYFUNCTION("""COMPUTED_VALUE"""),"DONE")</f>
        <v>DONE</v>
      </c>
      <c r="Z2319" s="229" t="str">
        <f>IFERROR(__xludf.DUMMYFUNCTION("""COMPUTED_VALUE"""),"#N/A")</f>
        <v>#N/A</v>
      </c>
      <c r="AA2319" s="229">
        <f>IFERROR(__xludf.DUMMYFUNCTION("""COMPUTED_VALUE"""),12.0)</f>
        <v>12</v>
      </c>
      <c r="AB2319" s="229"/>
      <c r="AC2319" s="229" t="str">
        <f>IFERROR(__xludf.DUMMYFUNCTION("""COMPUTED_VALUE"""),"9091363#9091378")</f>
        <v>9091363#9091378</v>
      </c>
      <c r="AD2319" s="232">
        <f>IFERROR(__xludf.DUMMYFUNCTION("""COMPUTED_VALUE"""),96.0)</f>
        <v>96</v>
      </c>
      <c r="AE2319" s="233">
        <f>IFERROR(__xludf.DUMMYFUNCTION("""COMPUTED_VALUE"""),46064.0)</f>
        <v>46064</v>
      </c>
      <c r="AF2319" s="54"/>
      <c r="AG2319" s="54"/>
      <c r="AH2319" s="54">
        <v>46064.0</v>
      </c>
      <c r="AI2319" s="55">
        <f t="shared" si="221"/>
        <v>0</v>
      </c>
      <c r="AW2319" s="234"/>
      <c r="BP2319" s="11"/>
      <c r="BQ2319" s="11"/>
      <c r="BV2319" s="158"/>
      <c r="BY2319" s="158"/>
      <c r="CB2319" s="158"/>
    </row>
    <row r="2320" ht="18.0" hidden="1" customHeight="1">
      <c r="A2320" s="222">
        <f>IFERROR(__xludf.DUMMYFUNCTION("""COMPUTED_VALUE"""),2026.0)</f>
        <v>2026</v>
      </c>
      <c r="B2320" s="221">
        <f>IFERROR(__xludf.DUMMYFUNCTION("""COMPUTED_VALUE"""),1.1197157E7)</f>
        <v>11197157</v>
      </c>
      <c r="C2320" s="222" t="str">
        <f>IFERROR(__xludf.DUMMYFUNCTION("""COMPUTED_VALUE"""),"MDN PT3 P7I7 TJR-FV GG.KOSEARNA")</f>
        <v>MDN PT3 P7I7 TJR-FV GG.KOSEARNA</v>
      </c>
      <c r="D2320" s="222" t="str">
        <f>IFERROR(__xludf.DUMMYFUNCTION("""COMPUTED_VALUE"""),"REGIONAL I")</f>
        <v>REGIONAL I</v>
      </c>
      <c r="E2320" s="222" t="str">
        <f>IFERROR(__xludf.DUMMYFUNCTION("""COMPUTED_VALUE"""),"MEDAN")</f>
        <v>MEDAN</v>
      </c>
      <c r="F2320" s="222" t="str">
        <f>IFERROR(__xludf.DUMMYFUNCTION("""COMPUTED_VALUE"""),"TJR")</f>
        <v>TJR</v>
      </c>
      <c r="G2320" s="222" t="str">
        <f>IFERROR(__xludf.DUMMYFUNCTION("""COMPUTED_VALUE"""),"SUMBAGUT")</f>
        <v>SUMBAGUT</v>
      </c>
      <c r="H2320" s="222" t="str">
        <f>IFERROR(__xludf.DUMMYFUNCTION("""COMPUTED_VALUE"""),"MEDAN")</f>
        <v>MEDAN</v>
      </c>
      <c r="I2320" s="222" t="str">
        <f>IFERROR(__xludf.DUMMYFUNCTION("""COMPUTED_VALUE"""),"Batch 3")</f>
        <v>Batch 3</v>
      </c>
      <c r="J2320" s="225">
        <f>IFERROR(__xludf.DUMMYFUNCTION("""COMPUTED_VALUE"""),3.0)</f>
        <v>3</v>
      </c>
      <c r="K2320" s="224">
        <f>IFERROR(__xludf.DUMMYFUNCTION("""COMPUTED_VALUE"""),24.0)</f>
        <v>24</v>
      </c>
      <c r="L2320" s="226">
        <f>IFERROR(__xludf.DUMMYFUNCTION("""COMPUTED_VALUE"""),450495.0)</f>
        <v>450495</v>
      </c>
      <c r="M2320" s="227">
        <f>IFERROR(__xludf.DUMMYFUNCTION("""COMPUTED_VALUE"""),1.0811862E7)</f>
        <v>10811862</v>
      </c>
      <c r="N2320" s="222" t="str">
        <f>IFERROR(__xludf.DUMMYFUNCTION("""COMPUTED_VALUE"""),"PT UPAYA TEKNIK")</f>
        <v>PT UPAYA TEKNIK</v>
      </c>
      <c r="O2320" s="222" t="str">
        <f>IFERROR(__xludf.DUMMYFUNCTION("""COMPUTED_VALUE"""),"8. UJI TERIMA")</f>
        <v>8. UJI TERIMA</v>
      </c>
      <c r="P2320" s="222" t="str">
        <f>IFERROR(__xludf.DUMMYFUNCTION("""COMPUTED_VALUE"""),"8.1 Proses UT")</f>
        <v>8.1 Proses UT</v>
      </c>
      <c r="Q2320" s="222" t="str">
        <f>IFERROR(__xludf.DUMMYFUNCTION("""COMPUTED_VALUE"""),"07/02 pengecekan abd , golive sdi")</f>
        <v>07/02 pengecekan abd , golive sdi</v>
      </c>
      <c r="R2320" s="228">
        <f>IFERROR(__xludf.DUMMYFUNCTION("""COMPUTED_VALUE"""),46060.0)</f>
        <v>46060</v>
      </c>
      <c r="S2320" s="11"/>
      <c r="T2320" s="11"/>
      <c r="U2320" s="11" t="str">
        <f>IFERROR(__xludf.DUMMYFUNCTION("""COMPUTED_VALUE"""),"FALSE")</f>
        <v>FALSE</v>
      </c>
      <c r="V2320" s="229"/>
      <c r="W2320" s="229"/>
      <c r="X2320" s="229" t="str">
        <f>IFERROR(__xludf.DUMMYFUNCTION("""COMPUTED_VALUE"""),"GOLIVE")</f>
        <v>GOLIVE</v>
      </c>
      <c r="Y2320" s="229" t="str">
        <f>IFERROR(__xludf.DUMMYFUNCTION("""COMPUTED_VALUE"""),"DONE")</f>
        <v>DONE</v>
      </c>
      <c r="Z2320" s="229" t="str">
        <f>IFERROR(__xludf.DUMMYFUNCTION("""COMPUTED_VALUE"""),"#N/A")</f>
        <v>#N/A</v>
      </c>
      <c r="AA2320" s="229">
        <f>IFERROR(__xludf.DUMMYFUNCTION("""COMPUTED_VALUE"""),3.0)</f>
        <v>3</v>
      </c>
      <c r="AB2320" s="229"/>
      <c r="AC2320" s="229" t="str">
        <f>IFERROR(__xludf.DUMMYFUNCTION("""COMPUTED_VALUE"""),"9082285#9082290")</f>
        <v>9082285#9082290</v>
      </c>
      <c r="AD2320" s="232">
        <f>IFERROR(__xludf.DUMMYFUNCTION("""COMPUTED_VALUE"""),24.0)</f>
        <v>24</v>
      </c>
      <c r="AE2320" s="233">
        <f>IFERROR(__xludf.DUMMYFUNCTION("""COMPUTED_VALUE"""),46060.0)</f>
        <v>46060</v>
      </c>
      <c r="AF2320" s="54"/>
      <c r="AG2320" s="54"/>
      <c r="AH2320" s="54">
        <v>46060.0</v>
      </c>
      <c r="AI2320" s="55">
        <f t="shared" si="221"/>
        <v>0</v>
      </c>
      <c r="AW2320" s="234"/>
      <c r="BP2320" s="11"/>
      <c r="BQ2320" s="11"/>
      <c r="BV2320" s="158"/>
      <c r="BY2320" s="158"/>
      <c r="CB2320" s="158"/>
    </row>
    <row r="2321" ht="18.0" hidden="1" customHeight="1">
      <c r="A2321" s="222">
        <f>IFERROR(__xludf.DUMMYFUNCTION("""COMPUTED_VALUE"""),2026.0)</f>
        <v>2026</v>
      </c>
      <c r="B2321" s="221">
        <f>IFERROR(__xludf.DUMMYFUNCTION("""COMPUTED_VALUE"""),1.1350726E7)</f>
        <v>11350726</v>
      </c>
      <c r="C2321" s="222" t="str">
        <f>IFERROR(__xludf.DUMMYFUNCTION("""COMPUTED_VALUE"""),"MDN PT3 P7I13 TJM-FA JL.BENTENG")</f>
        <v>MDN PT3 P7I13 TJM-FA JL.BENTENG</v>
      </c>
      <c r="D2321" s="222" t="str">
        <f>IFERROR(__xludf.DUMMYFUNCTION("""COMPUTED_VALUE"""),"REGIONAL I")</f>
        <v>REGIONAL I</v>
      </c>
      <c r="E2321" s="222" t="str">
        <f>IFERROR(__xludf.DUMMYFUNCTION("""COMPUTED_VALUE"""),"MEDAN")</f>
        <v>MEDAN</v>
      </c>
      <c r="F2321" s="222" t="str">
        <f>IFERROR(__xludf.DUMMYFUNCTION("""COMPUTED_VALUE"""),"TJM")</f>
        <v>TJM</v>
      </c>
      <c r="G2321" s="222" t="str">
        <f>IFERROR(__xludf.DUMMYFUNCTION("""COMPUTED_VALUE"""),"SUMBAGUT")</f>
        <v>SUMBAGUT</v>
      </c>
      <c r="H2321" s="222" t="str">
        <f>IFERROR(__xludf.DUMMYFUNCTION("""COMPUTED_VALUE"""),"MEDAN")</f>
        <v>MEDAN</v>
      </c>
      <c r="I2321" s="222" t="str">
        <f>IFERROR(__xludf.DUMMYFUNCTION("""COMPUTED_VALUE"""),"Batch 3")</f>
        <v>Batch 3</v>
      </c>
      <c r="J2321" s="225">
        <f>IFERROR(__xludf.DUMMYFUNCTION("""COMPUTED_VALUE"""),4.0)</f>
        <v>4</v>
      </c>
      <c r="K2321" s="224">
        <f>IFERROR(__xludf.DUMMYFUNCTION("""COMPUTED_VALUE"""),32.0)</f>
        <v>32</v>
      </c>
      <c r="L2321" s="226">
        <f>IFERROR(__xludf.DUMMYFUNCTION("""COMPUTED_VALUE"""),893063.0)</f>
        <v>893063</v>
      </c>
      <c r="M2321" s="227">
        <f>IFERROR(__xludf.DUMMYFUNCTION("""COMPUTED_VALUE"""),2.8578008E7)</f>
        <v>28578008</v>
      </c>
      <c r="N2321" s="222" t="str">
        <f>IFERROR(__xludf.DUMMYFUNCTION("""COMPUTED_VALUE"""),"PT MITRA AKSES INSANI")</f>
        <v>PT MITRA AKSES INSANI</v>
      </c>
      <c r="O2321" s="222" t="str">
        <f>IFERROR(__xludf.DUMMYFUNCTION("""COMPUTED_VALUE"""),"8. UJI TERIMA")</f>
        <v>8. UJI TERIMA</v>
      </c>
      <c r="P2321" s="222" t="str">
        <f>IFERROR(__xludf.DUMMYFUNCTION("""COMPUTED_VALUE"""),"8.1 Proses UT")</f>
        <v>8.1 Proses UT</v>
      </c>
      <c r="Q2321" s="222"/>
      <c r="R2321" s="228">
        <f>IFERROR(__xludf.DUMMYFUNCTION("""COMPUTED_VALUE"""),46034.0)</f>
        <v>46034</v>
      </c>
      <c r="S2321" s="11"/>
      <c r="T2321" s="11"/>
      <c r="U2321" s="11" t="str">
        <f>IFERROR(__xludf.DUMMYFUNCTION("""COMPUTED_VALUE"""),"FALSE")</f>
        <v>FALSE</v>
      </c>
      <c r="V2321" s="229"/>
      <c r="W2321" s="229"/>
      <c r="X2321" s="229" t="str">
        <f>IFERROR(__xludf.DUMMYFUNCTION("""COMPUTED_VALUE"""),"GOLIVE")</f>
        <v>GOLIVE</v>
      </c>
      <c r="Y2321" s="229" t="str">
        <f>IFERROR(__xludf.DUMMYFUNCTION("""COMPUTED_VALUE"""),"DONE")</f>
        <v>DONE</v>
      </c>
      <c r="Z2321" s="229" t="str">
        <f>IFERROR(__xludf.DUMMYFUNCTION("""COMPUTED_VALUE"""),"#N/A")</f>
        <v>#N/A</v>
      </c>
      <c r="AA2321" s="229">
        <f>IFERROR(__xludf.DUMMYFUNCTION("""COMPUTED_VALUE"""),4.0)</f>
        <v>4</v>
      </c>
      <c r="AB2321" s="229"/>
      <c r="AC2321" s="229" t="str">
        <f>IFERROR(__xludf.DUMMYFUNCTION("""COMPUTED_VALUE"""),"8923951#8923956")</f>
        <v>8923951#8923956</v>
      </c>
      <c r="AD2321" s="232">
        <f>IFERROR(__xludf.DUMMYFUNCTION("""COMPUTED_VALUE"""),32.0)</f>
        <v>32</v>
      </c>
      <c r="AE2321" s="233">
        <f>IFERROR(__xludf.DUMMYFUNCTION("""COMPUTED_VALUE"""),46034.0)</f>
        <v>46034</v>
      </c>
      <c r="AF2321" s="54"/>
      <c r="AG2321" s="54"/>
      <c r="AH2321" s="54">
        <v>46034.0</v>
      </c>
      <c r="AI2321" s="55">
        <f t="shared" si="221"/>
        <v>0</v>
      </c>
      <c r="AW2321" s="234"/>
      <c r="BP2321" s="11"/>
      <c r="BQ2321" s="11"/>
      <c r="BV2321" s="158"/>
      <c r="BY2321" s="158"/>
      <c r="CB2321" s="158"/>
    </row>
    <row r="2322" ht="18.0" hidden="1" customHeight="1">
      <c r="A2322" s="222">
        <f>IFERROR(__xludf.DUMMYFUNCTION("""COMPUTED_VALUE"""),2026.0)</f>
        <v>2026</v>
      </c>
      <c r="B2322" s="221">
        <f>IFERROR(__xludf.DUMMYFUNCTION("""COMPUTED_VALUE"""),1.2386343E7)</f>
        <v>12386343</v>
      </c>
      <c r="C2322" s="222" t="str">
        <f>IFERROR(__xludf.DUMMYFUNCTION("""COMPUTED_VALUE"""),"BBL PT3 P4I3 Air Kelubi 25")</f>
        <v>BBL PT3 P4I3 Air Kelubi 25</v>
      </c>
      <c r="D2322" s="222" t="str">
        <f>IFERROR(__xludf.DUMMYFUNCTION("""COMPUTED_VALUE"""),"REGIONAL I")</f>
        <v>REGIONAL I</v>
      </c>
      <c r="E2322" s="222" t="str">
        <f>IFERROR(__xludf.DUMMYFUNCTION("""COMPUTED_VALUE"""),"BABEL")</f>
        <v>BABEL</v>
      </c>
      <c r="F2322" s="222" t="str">
        <f>IFERROR(__xludf.DUMMYFUNCTION("""COMPUTED_VALUE"""),"TJN")</f>
        <v>TJN</v>
      </c>
      <c r="G2322" s="222" t="str">
        <f>IFERROR(__xludf.DUMMYFUNCTION("""COMPUTED_VALUE"""),"SUMBAGSEL")</f>
        <v>SUMBAGSEL</v>
      </c>
      <c r="H2322" s="222" t="str">
        <f>IFERROR(__xludf.DUMMYFUNCTION("""COMPUTED_VALUE"""),"PANGKAL PINANG")</f>
        <v>PANGKAL PINANG</v>
      </c>
      <c r="I2322" s="222" t="str">
        <f>IFERROR(__xludf.DUMMYFUNCTION("""COMPUTED_VALUE"""),"Batch 3")</f>
        <v>Batch 3</v>
      </c>
      <c r="J2322" s="225">
        <f>IFERROR(__xludf.DUMMYFUNCTION("""COMPUTED_VALUE"""),4.0)</f>
        <v>4</v>
      </c>
      <c r="K2322" s="224">
        <f>IFERROR(__xludf.DUMMYFUNCTION("""COMPUTED_VALUE"""),32.0)</f>
        <v>32</v>
      </c>
      <c r="L2322" s="226">
        <f>IFERROR(__xludf.DUMMYFUNCTION("""COMPUTED_VALUE"""),1305771.0)</f>
        <v>1305771</v>
      </c>
      <c r="M2322" s="227">
        <f>IFERROR(__xludf.DUMMYFUNCTION("""COMPUTED_VALUE"""),4.1784664E7)</f>
        <v>41784664</v>
      </c>
      <c r="N2322" s="222" t="str">
        <f>IFERROR(__xludf.DUMMYFUNCTION("""COMPUTED_VALUE"""),"PT SARANA MITRA PERSADA")</f>
        <v>PT SARANA MITRA PERSADA</v>
      </c>
      <c r="O2322" s="222" t="str">
        <f>IFERROR(__xludf.DUMMYFUNCTION("""COMPUTED_VALUE"""),"0. DROP")</f>
        <v>0. DROP</v>
      </c>
      <c r="P2322" s="222" t="str">
        <f>IFERROR(__xludf.DUMMYFUNCTION("""COMPUTED_VALUE"""),"0.1 Double Order")</f>
        <v>0.1 Double Order</v>
      </c>
      <c r="Q2322" s="222" t="str">
        <f>IFERROR(__xludf.DUMMYFUNCTION("""COMPUTED_VALUE"""),"16/12 uji terima belum ada NDE pelimpahan  01/12 FINISH INSTALASI (28/11) masih progres di lokasi lain (15/11) tanam tiang 10 done, penarikan kabel 12D 1900 done (14/11) tanam tiang 5/10 (13/11) material onsite (11/11) matdel (07/11) DRM mitra (06/11) anw"&amp;"izing ke lokasi (05/11) penunjukkan mitra")</f>
        <v>16/12 uji terima belum ada NDE pelimpahan  01/12 FINISH INSTALASI (28/11) masih progres di lokasi lain (15/11) tanam tiang 10 done, penarikan kabel 12D 1900 done (14/11) tanam tiang 5/10 (13/11) material onsite (11/11) matdel (07/11) DRM mitra (06/11) anwizing ke lokasi (05/11) penunjukkan mitra</v>
      </c>
      <c r="R2322" s="228"/>
      <c r="S2322" s="11"/>
      <c r="T2322" s="11"/>
      <c r="U2322" s="11"/>
      <c r="V2322" s="229"/>
      <c r="W2322" s="229"/>
      <c r="X2322" s="229" t="str">
        <f>IFERROR(__xludf.DUMMYFUNCTION("""COMPUTED_VALUE"""),"BELUM GOLIVE")</f>
        <v>BELUM GOLIVE</v>
      </c>
      <c r="Y2322" s="229"/>
      <c r="Z2322" s="229" t="str">
        <f>IFERROR(__xludf.DUMMYFUNCTION("""COMPUTED_VALUE"""),"#N/A")</f>
        <v>#N/A</v>
      </c>
      <c r="AA2322" s="229"/>
      <c r="AB2322" s="229"/>
      <c r="AC2322" s="229"/>
      <c r="AD2322" s="232"/>
      <c r="AE2322" s="233"/>
      <c r="AF2322" s="54" t="str">
        <f>IFERROR(__xludf.DUMMYFUNCTION("""COMPUTED_VALUE"""),"Draft BA DROP")</f>
        <v>Draft BA DROP</v>
      </c>
      <c r="AG2322" s="54"/>
      <c r="AH2322" s="54"/>
      <c r="AI2322" s="55" t="str">
        <f t="shared" si="221"/>
        <v/>
      </c>
      <c r="AW2322" s="234"/>
      <c r="BP2322" s="11"/>
      <c r="BQ2322" s="11"/>
      <c r="BV2322" s="158"/>
      <c r="BY2322" s="158"/>
      <c r="CB2322" s="158"/>
    </row>
    <row r="2323" ht="18.0" hidden="1" customHeight="1">
      <c r="A2323" s="222">
        <f>IFERROR(__xludf.DUMMYFUNCTION("""COMPUTED_VALUE"""),2026.0)</f>
        <v>2026</v>
      </c>
      <c r="B2323" s="221">
        <f>IFERROR(__xludf.DUMMYFUNCTION("""COMPUTED_VALUE"""),1.1272105E7)</f>
        <v>11272105</v>
      </c>
      <c r="C2323" s="222" t="str">
        <f>IFERROR(__xludf.DUMMYFUNCTION("""COMPUTED_VALUE"""),"MDN PT3 P1I1 PBD-FL JL.TELAGA SAID")</f>
        <v>MDN PT3 P1I1 PBD-FL JL.TELAGA SAID</v>
      </c>
      <c r="D2323" s="222" t="str">
        <f>IFERROR(__xludf.DUMMYFUNCTION("""COMPUTED_VALUE"""),"REGIONAL I")</f>
        <v>REGIONAL I</v>
      </c>
      <c r="E2323" s="222" t="str">
        <f>IFERROR(__xludf.DUMMYFUNCTION("""COMPUTED_VALUE"""),"MEDAN")</f>
        <v>MEDAN</v>
      </c>
      <c r="F2323" s="222" t="str">
        <f>IFERROR(__xludf.DUMMYFUNCTION("""COMPUTED_VALUE"""),"PBD")</f>
        <v>PBD</v>
      </c>
      <c r="G2323" s="222" t="str">
        <f>IFERROR(__xludf.DUMMYFUNCTION("""COMPUTED_VALUE"""),"SUMBAGUT")</f>
        <v>SUMBAGUT</v>
      </c>
      <c r="H2323" s="222" t="str">
        <f>IFERROR(__xludf.DUMMYFUNCTION("""COMPUTED_VALUE"""),"BINJAI")</f>
        <v>BINJAI</v>
      </c>
      <c r="I2323" s="222" t="str">
        <f>IFERROR(__xludf.DUMMYFUNCTION("""COMPUTED_VALUE"""),"Batch 3")</f>
        <v>Batch 3</v>
      </c>
      <c r="J2323" s="225">
        <f>IFERROR(__xludf.DUMMYFUNCTION("""COMPUTED_VALUE"""),5.0)</f>
        <v>5</v>
      </c>
      <c r="K2323" s="224">
        <f>IFERROR(__xludf.DUMMYFUNCTION("""COMPUTED_VALUE"""),40.0)</f>
        <v>40</v>
      </c>
      <c r="L2323" s="226">
        <f>IFERROR(__xludf.DUMMYFUNCTION("""COMPUTED_VALUE"""),1300000.0)</f>
        <v>1300000</v>
      </c>
      <c r="M2323" s="227">
        <f>IFERROR(__xludf.DUMMYFUNCTION("""COMPUTED_VALUE"""),5.2E7)</f>
        <v>52000000</v>
      </c>
      <c r="N2323" s="222" t="str">
        <f>IFERROR(__xludf.DUMMYFUNCTION("""COMPUTED_VALUE"""),"PT FIBERHOME TECHNOLOGIES INDONESIA")</f>
        <v>PT FIBERHOME TECHNOLOGIES INDONESIA</v>
      </c>
      <c r="O2323" s="222" t="str">
        <f>IFERROR(__xludf.DUMMYFUNCTION("""COMPUTED_VALUE"""),"8. UJI TERIMA")</f>
        <v>8. UJI TERIMA</v>
      </c>
      <c r="P2323" s="222" t="str">
        <f>IFERROR(__xludf.DUMMYFUNCTION("""COMPUTED_VALUE"""),"8.1 Proses UT")</f>
        <v>8.1 Proses UT</v>
      </c>
      <c r="Q2323" s="222"/>
      <c r="R2323" s="228">
        <f>IFERROR(__xludf.DUMMYFUNCTION("""COMPUTED_VALUE"""),46043.0)</f>
        <v>46043</v>
      </c>
      <c r="S2323" s="11"/>
      <c r="T2323" s="11"/>
      <c r="U2323" s="11" t="str">
        <f>IFERROR(__xludf.DUMMYFUNCTION("""COMPUTED_VALUE"""),"FALSE")</f>
        <v>FALSE</v>
      </c>
      <c r="V2323" s="229"/>
      <c r="W2323" s="229"/>
      <c r="X2323" s="229" t="str">
        <f>IFERROR(__xludf.DUMMYFUNCTION("""COMPUTED_VALUE"""),"GOLIVE")</f>
        <v>GOLIVE</v>
      </c>
      <c r="Y2323" s="229" t="str">
        <f>IFERROR(__xludf.DUMMYFUNCTION("""COMPUTED_VALUE"""),"DONE")</f>
        <v>DONE</v>
      </c>
      <c r="Z2323" s="229" t="str">
        <f>IFERROR(__xludf.DUMMYFUNCTION("""COMPUTED_VALUE"""),"#N/A")</f>
        <v>#N/A</v>
      </c>
      <c r="AA2323" s="229">
        <f>IFERROR(__xludf.DUMMYFUNCTION("""COMPUTED_VALUE"""),6.0)</f>
        <v>6</v>
      </c>
      <c r="AB2323" s="229"/>
      <c r="AC2323" s="229" t="str">
        <f>IFERROR(__xludf.DUMMYFUNCTION("""COMPUTED_VALUE"""),"8993134#8993140")</f>
        <v>8993134#8993140</v>
      </c>
      <c r="AD2323" s="232">
        <f>IFERROR(__xludf.DUMMYFUNCTION("""COMPUTED_VALUE"""),48.0)</f>
        <v>48</v>
      </c>
      <c r="AE2323" s="233">
        <f>IFERROR(__xludf.DUMMYFUNCTION("""COMPUTED_VALUE"""),46043.0)</f>
        <v>46043</v>
      </c>
      <c r="AF2323" s="54"/>
      <c r="AG2323" s="54"/>
      <c r="AH2323" s="54">
        <v>46043.0</v>
      </c>
      <c r="AI2323" s="55">
        <f t="shared" si="221"/>
        <v>0</v>
      </c>
      <c r="AW2323" s="234"/>
      <c r="BP2323" s="11"/>
      <c r="BQ2323" s="11"/>
      <c r="BV2323" s="158"/>
      <c r="BY2323" s="158"/>
      <c r="CB2323" s="158"/>
    </row>
    <row r="2324" ht="18.0" hidden="1" customHeight="1">
      <c r="A2324" s="222">
        <f>IFERROR(__xludf.DUMMYFUNCTION("""COMPUTED_VALUE"""),2026.0)</f>
        <v>2026</v>
      </c>
      <c r="B2324" s="221">
        <f>IFERROR(__xludf.DUMMYFUNCTION("""COMPUTED_VALUE"""),1.1238673E7)</f>
        <v>11238673</v>
      </c>
      <c r="C2324" s="222" t="str">
        <f>IFERROR(__xludf.DUMMYFUNCTION("""COMPUTED_VALUE"""),"BNK-FEEDER-JPPTSEL-ADELIA CAWANG")</f>
        <v>BNK-FEEDER-JPPTSEL-ADELIA CAWANG</v>
      </c>
      <c r="D2324" s="222" t="str">
        <f>IFERROR(__xludf.DUMMYFUNCTION("""COMPUTED_VALUE"""),"REGIONAL I")</f>
        <v>REGIONAL I</v>
      </c>
      <c r="E2324" s="222" t="str">
        <f>IFERROR(__xludf.DUMMYFUNCTION("""COMPUTED_VALUE"""),"BENGKULU")</f>
        <v>BENGKULU</v>
      </c>
      <c r="F2324" s="222" t="str">
        <f>IFERROR(__xludf.DUMMYFUNCTION("""COMPUTED_VALUE"""),"CRP")</f>
        <v>CRP</v>
      </c>
      <c r="G2324" s="222" t="str">
        <f>IFERROR(__xludf.DUMMYFUNCTION("""COMPUTED_VALUE"""),"SUMBAGSEL")</f>
        <v>SUMBAGSEL</v>
      </c>
      <c r="H2324" s="222" t="str">
        <f>IFERROR(__xludf.DUMMYFUNCTION("""COMPUTED_VALUE"""),"BENGKULU")</f>
        <v>BENGKULU</v>
      </c>
      <c r="I2324" s="222" t="str">
        <f>IFERROR(__xludf.DUMMYFUNCTION("""COMPUTED_VALUE"""),"Batch 3")</f>
        <v>Batch 3</v>
      </c>
      <c r="J2324" s="225"/>
      <c r="K2324" s="224">
        <f>IFERROR(__xludf.DUMMYFUNCTION("""COMPUTED_VALUE"""),0.0)</f>
        <v>0</v>
      </c>
      <c r="L2324" s="226"/>
      <c r="M2324" s="227">
        <f>IFERROR(__xludf.DUMMYFUNCTION("""COMPUTED_VALUE"""),4.9132173E7)</f>
        <v>49132173</v>
      </c>
      <c r="N2324" s="222" t="str">
        <f>IFERROR(__xludf.DUMMYFUNCTION("""COMPUTED_VALUE"""),"PT GITA PRIMA TAMBA PERKASA")</f>
        <v>PT GITA PRIMA TAMBA PERKASA</v>
      </c>
      <c r="O2324" s="222" t="str">
        <f>IFERROR(__xludf.DUMMYFUNCTION("""COMPUTED_VALUE"""),"0. DROP")</f>
        <v>0. DROP</v>
      </c>
      <c r="P2324" s="222" t="str">
        <f>IFERROR(__xludf.DUMMYFUNCTION("""COMPUTED_VALUE"""),"0.1 Double Order")</f>
        <v>0.1 Double Order</v>
      </c>
      <c r="Q2324" s="222" t="str">
        <f>IFERROR(__xludf.DUMMYFUNCTION("""COMPUTED_VALUE"""),"22/01 : sudah BAST di tahun 2025")</f>
        <v>22/01 : sudah BAST di tahun 2025</v>
      </c>
      <c r="R2324" s="228"/>
      <c r="S2324" s="11"/>
      <c r="T2324" s="11"/>
      <c r="U2324" s="11"/>
      <c r="V2324" s="229"/>
      <c r="W2324" s="229"/>
      <c r="X2324" s="229" t="str">
        <f>IFERROR(__xludf.DUMMYFUNCTION("""COMPUTED_VALUE"""),"GOLIVE")</f>
        <v>GOLIVE</v>
      </c>
      <c r="Y2324" s="229"/>
      <c r="Z2324" s="229" t="str">
        <f>IFERROR(__xludf.DUMMYFUNCTION("""COMPUTED_VALUE"""),"#N/A")</f>
        <v>#N/A</v>
      </c>
      <c r="AA2324" s="229"/>
      <c r="AB2324" s="229"/>
      <c r="AC2324" s="229"/>
      <c r="AD2324" s="232"/>
      <c r="AE2324" s="233"/>
      <c r="AF2324" s="54" t="str">
        <f>IFERROR(__xludf.DUMMYFUNCTION("""COMPUTED_VALUE"""),"Draft BA DROP")</f>
        <v>Draft BA DROP</v>
      </c>
      <c r="AG2324" s="54"/>
      <c r="AH2324" s="54"/>
      <c r="AI2324" s="55" t="str">
        <f t="shared" si="221"/>
        <v/>
      </c>
      <c r="AW2324" s="234"/>
      <c r="BP2324" s="11"/>
      <c r="BQ2324" s="11"/>
      <c r="BV2324" s="158"/>
      <c r="BY2324" s="158"/>
      <c r="CB2324" s="158"/>
    </row>
    <row r="2325" ht="18.0" hidden="1" customHeight="1">
      <c r="A2325" s="222">
        <f>IFERROR(__xludf.DUMMYFUNCTION("""COMPUTED_VALUE"""),2026.0)</f>
        <v>2026</v>
      </c>
      <c r="B2325" s="221">
        <f>IFERROR(__xludf.DUMMYFUNCTION("""COMPUTED_VALUE"""),1.1360048E7)</f>
        <v>11360048</v>
      </c>
      <c r="C2325" s="222" t="str">
        <f>IFERROR(__xludf.DUMMYFUNCTION("""COMPUTED_VALUE"""),"MDN PT3 P7I7 TMU-FAC GG.TIMBANG ROSO_")</f>
        <v>MDN PT3 P7I7 TMU-FAC GG.TIMBANG ROSO_</v>
      </c>
      <c r="D2325" s="222" t="str">
        <f>IFERROR(__xludf.DUMMYFUNCTION("""COMPUTED_VALUE"""),"REGIONAL I")</f>
        <v>REGIONAL I</v>
      </c>
      <c r="E2325" s="222" t="str">
        <f>IFERROR(__xludf.DUMMYFUNCTION("""COMPUTED_VALUE"""),"MEDAN")</f>
        <v>MEDAN</v>
      </c>
      <c r="F2325" s="222" t="str">
        <f>IFERROR(__xludf.DUMMYFUNCTION("""COMPUTED_VALUE"""),"TMU")</f>
        <v>TMU</v>
      </c>
      <c r="G2325" s="222" t="str">
        <f>IFERROR(__xludf.DUMMYFUNCTION("""COMPUTED_VALUE"""),"SUMBAGUT")</f>
        <v>SUMBAGUT</v>
      </c>
      <c r="H2325" s="222" t="str">
        <f>IFERROR(__xludf.DUMMYFUNCTION("""COMPUTED_VALUE"""),"MEDAN")</f>
        <v>MEDAN</v>
      </c>
      <c r="I2325" s="222" t="str">
        <f>IFERROR(__xludf.DUMMYFUNCTION("""COMPUTED_VALUE"""),"Batch 3")</f>
        <v>Batch 3</v>
      </c>
      <c r="J2325" s="225">
        <f>IFERROR(__xludf.DUMMYFUNCTION("""COMPUTED_VALUE"""),1.0)</f>
        <v>1</v>
      </c>
      <c r="K2325" s="224">
        <f>IFERROR(__xludf.DUMMYFUNCTION("""COMPUTED_VALUE"""),8.0)</f>
        <v>8</v>
      </c>
      <c r="L2325" s="226">
        <f>IFERROR(__xludf.DUMMYFUNCTION("""COMPUTED_VALUE"""),1325081.0)</f>
        <v>1325081</v>
      </c>
      <c r="M2325" s="227">
        <f>IFERROR(__xludf.DUMMYFUNCTION("""COMPUTED_VALUE"""),1.0600641E7)</f>
        <v>10600641</v>
      </c>
      <c r="N2325" s="222" t="str">
        <f>IFERROR(__xludf.DUMMYFUNCTION("""COMPUTED_VALUE"""),"PT ARTHA MANDIRI BERSAMA")</f>
        <v>PT ARTHA MANDIRI BERSAMA</v>
      </c>
      <c r="O2325" s="222" t="str">
        <f>IFERROR(__xludf.DUMMYFUNCTION("""COMPUTED_VALUE"""),"0. DROP")</f>
        <v>0. DROP</v>
      </c>
      <c r="P2325" s="222" t="str">
        <f>IFERROR(__xludf.DUMMYFUNCTION("""COMPUTED_VALUE"""),"0.4 CPP Tinggi Acc ED TIF")</f>
        <v>0.4 CPP Tinggi Acc ED TIF</v>
      </c>
      <c r="Q2325" s="222" t="str">
        <f>IFERROR(__xludf.DUMMYFUNCTION("""COMPUTED_VALUE"""),"29/01 Done Order, lnjut Aanwidzing")</f>
        <v>29/01 Done Order, lnjut Aanwidzing</v>
      </c>
      <c r="R2325" s="228"/>
      <c r="S2325" s="11"/>
      <c r="T2325" s="11"/>
      <c r="U2325" s="11"/>
      <c r="V2325" s="229"/>
      <c r="W2325" s="229"/>
      <c r="X2325" s="229" t="str">
        <f>IFERROR(__xludf.DUMMYFUNCTION("""COMPUTED_VALUE"""),"BELUM GOLIVE")</f>
        <v>BELUM GOLIVE</v>
      </c>
      <c r="Y2325" s="229"/>
      <c r="Z2325" s="229" t="str">
        <f>IFERROR(__xludf.DUMMYFUNCTION("""COMPUTED_VALUE"""),"#N/A")</f>
        <v>#N/A</v>
      </c>
      <c r="AA2325" s="229"/>
      <c r="AB2325" s="229"/>
      <c r="AC2325" s="229"/>
      <c r="AD2325" s="232"/>
      <c r="AE2325" s="233"/>
      <c r="AF2325" s="54" t="str">
        <f>IFERROR(__xludf.DUMMYFUNCTION("""COMPUTED_VALUE"""),"Draft BA DROP")</f>
        <v>Draft BA DROP</v>
      </c>
      <c r="AG2325" s="54"/>
      <c r="AH2325" s="54"/>
      <c r="AI2325" s="55" t="str">
        <f t="shared" si="221"/>
        <v/>
      </c>
      <c r="AW2325" s="234"/>
      <c r="BP2325" s="11"/>
      <c r="BQ2325" s="11"/>
      <c r="BV2325" s="158"/>
      <c r="BY2325" s="158"/>
      <c r="CB2325" s="158"/>
    </row>
    <row r="2326" ht="18.0" hidden="1" customHeight="1">
      <c r="A2326" s="222">
        <f>IFERROR(__xludf.DUMMYFUNCTION("""COMPUTED_VALUE"""),2026.0)</f>
        <v>2026</v>
      </c>
      <c r="B2326" s="221">
        <f>IFERROR(__xludf.DUMMYFUNCTION("""COMPUTED_VALUE"""),1.1192737E7)</f>
        <v>11192737</v>
      </c>
      <c r="C2326" s="222" t="str">
        <f>IFERROR(__xludf.DUMMYFUNCTION("""COMPUTED_VALUE"""),"MDN PT3 P7I9 TJM-FA GG.SUKARELA")</f>
        <v>MDN PT3 P7I9 TJM-FA GG.SUKARELA</v>
      </c>
      <c r="D2326" s="222" t="str">
        <f>IFERROR(__xludf.DUMMYFUNCTION("""COMPUTED_VALUE"""),"REGIONAL I")</f>
        <v>REGIONAL I</v>
      </c>
      <c r="E2326" s="222" t="str">
        <f>IFERROR(__xludf.DUMMYFUNCTION("""COMPUTED_VALUE"""),"MEDAN")</f>
        <v>MEDAN</v>
      </c>
      <c r="F2326" s="222" t="str">
        <f>IFERROR(__xludf.DUMMYFUNCTION("""COMPUTED_VALUE"""),"TJM")</f>
        <v>TJM</v>
      </c>
      <c r="G2326" s="222" t="str">
        <f>IFERROR(__xludf.DUMMYFUNCTION("""COMPUTED_VALUE"""),"SUMBAGUT")</f>
        <v>SUMBAGUT</v>
      </c>
      <c r="H2326" s="222" t="str">
        <f>IFERROR(__xludf.DUMMYFUNCTION("""COMPUTED_VALUE"""),"MEDAN")</f>
        <v>MEDAN</v>
      </c>
      <c r="I2326" s="222" t="str">
        <f>IFERROR(__xludf.DUMMYFUNCTION("""COMPUTED_VALUE"""),"Batch 3")</f>
        <v>Batch 3</v>
      </c>
      <c r="J2326" s="225">
        <f>IFERROR(__xludf.DUMMYFUNCTION("""COMPUTED_VALUE"""),7.0)</f>
        <v>7</v>
      </c>
      <c r="K2326" s="224">
        <f>IFERROR(__xludf.DUMMYFUNCTION("""COMPUTED_VALUE"""),56.0)</f>
        <v>56</v>
      </c>
      <c r="L2326" s="226">
        <f>IFERROR(__xludf.DUMMYFUNCTION("""COMPUTED_VALUE"""),949380.0)</f>
        <v>949380</v>
      </c>
      <c r="M2326" s="227">
        <f>IFERROR(__xludf.DUMMYFUNCTION("""COMPUTED_VALUE"""),5.3165241E7)</f>
        <v>53165241</v>
      </c>
      <c r="N2326" s="222" t="str">
        <f>IFERROR(__xludf.DUMMYFUNCTION("""COMPUTED_VALUE"""),"PT MITRA AKSES INSANI")</f>
        <v>PT MITRA AKSES INSANI</v>
      </c>
      <c r="O2326" s="222" t="str">
        <f>IFERROR(__xludf.DUMMYFUNCTION("""COMPUTED_VALUE"""),"7. GOLIVE")</f>
        <v>7. GOLIVE</v>
      </c>
      <c r="P2326" s="222" t="str">
        <f>IFERROR(__xludf.DUMMYFUNCTION("""COMPUTED_VALUE"""),"7.2 Golive Full / OA / DONE OTB")</f>
        <v>7.2 Golive Full / OA / DONE OTB</v>
      </c>
      <c r="Q2326" s="222" t="str">
        <f>IFERROR(__xludf.DUMMYFUNCTION("""COMPUTED_VALUE"""),"19/12 Info revisi label DS di ODP")</f>
        <v>19/12 Info revisi label DS di ODP</v>
      </c>
      <c r="R2326" s="228">
        <f>IFERROR(__xludf.DUMMYFUNCTION("""COMPUTED_VALUE"""),46063.0)</f>
        <v>46063</v>
      </c>
      <c r="S2326" s="11"/>
      <c r="T2326" s="11"/>
      <c r="U2326" s="11" t="str">
        <f>IFERROR(__xludf.DUMMYFUNCTION("""COMPUTED_VALUE"""),"W01-677/2025")</f>
        <v>W01-677/2025</v>
      </c>
      <c r="V2326" s="229"/>
      <c r="W2326" s="229"/>
      <c r="X2326" s="229" t="str">
        <f>IFERROR(__xludf.DUMMYFUNCTION("""COMPUTED_VALUE"""),"GOLIVE")</f>
        <v>GOLIVE</v>
      </c>
      <c r="Y2326" s="229" t="str">
        <f>IFERROR(__xludf.DUMMYFUNCTION("""COMPUTED_VALUE"""),"DONE")</f>
        <v>DONE</v>
      </c>
      <c r="Z2326" s="229" t="str">
        <f>IFERROR(__xludf.DUMMYFUNCTION("""COMPUTED_VALUE"""),"#N/A")</f>
        <v>#N/A</v>
      </c>
      <c r="AA2326" s="229">
        <f>IFERROR(__xludf.DUMMYFUNCTION("""COMPUTED_VALUE"""),7.0)</f>
        <v>7</v>
      </c>
      <c r="AB2326" s="229"/>
      <c r="AC2326" s="229" t="str">
        <f>IFERROR(__xludf.DUMMYFUNCTION("""COMPUTED_VALUE"""),"8878415#8878420")</f>
        <v>8878415#8878420</v>
      </c>
      <c r="AD2326" s="232">
        <f>IFERROR(__xludf.DUMMYFUNCTION("""COMPUTED_VALUE"""),56.0)</f>
        <v>56</v>
      </c>
      <c r="AE2326" s="233">
        <f>IFERROR(__xludf.DUMMYFUNCTION("""COMPUTED_VALUE"""),46063.0)</f>
        <v>46063</v>
      </c>
      <c r="AF2326" s="54"/>
      <c r="AG2326" s="54"/>
      <c r="AH2326" s="54">
        <v>46063.0</v>
      </c>
      <c r="AI2326" s="55">
        <f t="shared" si="221"/>
        <v>0</v>
      </c>
      <c r="AW2326" s="234"/>
      <c r="BP2326" s="11"/>
      <c r="BQ2326" s="11"/>
      <c r="BV2326" s="158"/>
      <c r="BY2326" s="158"/>
      <c r="CB2326" s="158"/>
    </row>
    <row r="2327" ht="18.0" hidden="1" customHeight="1">
      <c r="A2327" s="222">
        <f>IFERROR(__xludf.DUMMYFUNCTION("""COMPUTED_VALUE"""),2026.0)</f>
        <v>2026</v>
      </c>
      <c r="B2327" s="221">
        <f>IFERROR(__xludf.DUMMYFUNCTION("""COMPUTED_VALUE"""),1.0019225E7)</f>
        <v>10019225</v>
      </c>
      <c r="C2327" s="222" t="str">
        <f>IFERROR(__xludf.DUMMYFUNCTION("""COMPUTED_VALUE"""),"JBI-PT4-2023-MINI OLT-KTL-FK-CLUSTER BETARA")</f>
        <v>JBI-PT4-2023-MINI OLT-KTL-FK-CLUSTER BETARA</v>
      </c>
      <c r="D2327" s="222" t="str">
        <f>IFERROR(__xludf.DUMMYFUNCTION("""COMPUTED_VALUE"""),"REGIONAL I")</f>
        <v>REGIONAL I</v>
      </c>
      <c r="E2327" s="222" t="str">
        <f>IFERROR(__xludf.DUMMYFUNCTION("""COMPUTED_VALUE"""),"JAMBI")</f>
        <v>JAMBI</v>
      </c>
      <c r="F2327" s="222" t="str">
        <f>IFERROR(__xludf.DUMMYFUNCTION("""COMPUTED_VALUE"""),"KTL")</f>
        <v>KTL</v>
      </c>
      <c r="G2327" s="222" t="str">
        <f>IFERROR(__xludf.DUMMYFUNCTION("""COMPUTED_VALUE"""),"SUMBAGSEL")</f>
        <v>SUMBAGSEL</v>
      </c>
      <c r="H2327" s="222" t="str">
        <f>IFERROR(__xludf.DUMMYFUNCTION("""COMPUTED_VALUE"""),"JAMBI")</f>
        <v>JAMBI</v>
      </c>
      <c r="I2327" s="222" t="str">
        <f>IFERROR(__xludf.DUMMYFUNCTION("""COMPUTED_VALUE"""),"Batch 3")</f>
        <v>Batch 3</v>
      </c>
      <c r="J2327" s="225"/>
      <c r="K2327" s="224">
        <f>IFERROR(__xludf.DUMMYFUNCTION("""COMPUTED_VALUE"""),0.0)</f>
        <v>0</v>
      </c>
      <c r="L2327" s="226"/>
      <c r="M2327" s="227">
        <f>IFERROR(__xludf.DUMMYFUNCTION("""COMPUTED_VALUE"""),7.6088703E7)</f>
        <v>76088703</v>
      </c>
      <c r="N2327" s="222" t="str">
        <f>IFERROR(__xludf.DUMMYFUNCTION("""COMPUTED_VALUE"""),"PT SAKHA ADYATMA MULTITEC")</f>
        <v>PT SAKHA ADYATMA MULTITEC</v>
      </c>
      <c r="O2327" s="222" t="str">
        <f>IFERROR(__xludf.DUMMYFUNCTION("""COMPUTED_VALUE"""),"0. DROP")</f>
        <v>0. DROP</v>
      </c>
      <c r="P2327" s="222" t="str">
        <f>IFERROR(__xludf.DUMMYFUNCTION("""COMPUTED_VALUE"""),"0.1 Double Order")</f>
        <v>0.1 Double Order</v>
      </c>
      <c r="Q2327" s="222" t="str">
        <f>IFERROR(__xludf.DUMMYFUNCTION("""COMPUTED_VALUE"""),"15/10 BACT DONE, SIRKULIR TTD TA-PED")</f>
        <v>15/10 BACT DONE, SIRKULIR TTD TA-PED</v>
      </c>
      <c r="R2327" s="228"/>
      <c r="S2327" s="11"/>
      <c r="T2327" s="11"/>
      <c r="U2327" s="11"/>
      <c r="V2327" s="229"/>
      <c r="W2327" s="229"/>
      <c r="X2327" s="229"/>
      <c r="Y2327" s="229"/>
      <c r="Z2327" s="229" t="str">
        <f>IFERROR(__xludf.DUMMYFUNCTION("""COMPUTED_VALUE"""),"#N/A")</f>
        <v>#N/A</v>
      </c>
      <c r="AA2327" s="229"/>
      <c r="AB2327" s="229"/>
      <c r="AC2327" s="229"/>
      <c r="AD2327" s="232"/>
      <c r="AE2327" s="233"/>
      <c r="AF2327" s="54" t="str">
        <f>IFERROR(__xludf.DUMMYFUNCTION("""COMPUTED_VALUE"""),"Draft BA DROP")</f>
        <v>Draft BA DROP</v>
      </c>
      <c r="AG2327" s="54"/>
      <c r="AH2327" s="54"/>
      <c r="AI2327" s="55" t="str">
        <f t="shared" si="221"/>
        <v/>
      </c>
      <c r="AW2327" s="234"/>
      <c r="BP2327" s="11"/>
      <c r="BQ2327" s="11"/>
      <c r="BV2327" s="158"/>
      <c r="BY2327" s="158"/>
      <c r="CB2327" s="158"/>
    </row>
    <row r="2328" ht="18.0" hidden="1" customHeight="1">
      <c r="A2328" s="222">
        <f>IFERROR(__xludf.DUMMYFUNCTION("""COMPUTED_VALUE"""),2026.0)</f>
        <v>2026</v>
      </c>
      <c r="B2328" s="221">
        <f>IFERROR(__xludf.DUMMYFUNCTION("""COMPUTED_VALUE"""),1.0886607E7)</f>
        <v>10886607</v>
      </c>
      <c r="C2328" s="222" t="str">
        <f>IFERROR(__xludf.DUMMYFUNCTION("""COMPUTED_VALUE"""),"MDN FEDERISASI TJR FAC CSF")</f>
        <v>MDN FEDERISASI TJR FAC CSF</v>
      </c>
      <c r="D2328" s="222" t="str">
        <f>IFERROR(__xludf.DUMMYFUNCTION("""COMPUTED_VALUE"""),"REGIONAL I")</f>
        <v>REGIONAL I</v>
      </c>
      <c r="E2328" s="222" t="str">
        <f>IFERROR(__xludf.DUMMYFUNCTION("""COMPUTED_VALUE"""),"MEDAN")</f>
        <v>MEDAN</v>
      </c>
      <c r="F2328" s="222" t="str">
        <f>IFERROR(__xludf.DUMMYFUNCTION("""COMPUTED_VALUE"""),"TJR")</f>
        <v>TJR</v>
      </c>
      <c r="G2328" s="222" t="str">
        <f>IFERROR(__xludf.DUMMYFUNCTION("""COMPUTED_VALUE"""),"SUMBAGUT")</f>
        <v>SUMBAGUT</v>
      </c>
      <c r="H2328" s="222" t="str">
        <f>IFERROR(__xludf.DUMMYFUNCTION("""COMPUTED_VALUE"""),"MEDAN")</f>
        <v>MEDAN</v>
      </c>
      <c r="I2328" s="222" t="str">
        <f>IFERROR(__xludf.DUMMYFUNCTION("""COMPUTED_VALUE"""),"Batch 3")</f>
        <v>Batch 3</v>
      </c>
      <c r="J2328" s="225"/>
      <c r="K2328" s="224">
        <f>IFERROR(__xludf.DUMMYFUNCTION("""COMPUTED_VALUE"""),0.0)</f>
        <v>0</v>
      </c>
      <c r="L2328" s="226"/>
      <c r="M2328" s="227">
        <f>IFERROR(__xludf.DUMMYFUNCTION("""COMPUTED_VALUE"""),3906344.0)</f>
        <v>3906344</v>
      </c>
      <c r="N2328" s="222" t="str">
        <f>IFERROR(__xludf.DUMMYFUNCTION("""COMPUTED_VALUE"""),"PT PILAR HARAPAN SENTOSA")</f>
        <v>PT PILAR HARAPAN SENTOSA</v>
      </c>
      <c r="O2328" s="222" t="str">
        <f>IFERROR(__xludf.DUMMYFUNCTION("""COMPUTED_VALUE"""),"0. DROP")</f>
        <v>0. DROP</v>
      </c>
      <c r="P2328" s="222" t="str">
        <f>IFERROR(__xludf.DUMMYFUNCTION("""COMPUTED_VALUE"""),"0.1 Double Order")</f>
        <v>0.1 Double Order</v>
      </c>
      <c r="Q2328" s="222"/>
      <c r="R2328" s="228"/>
      <c r="S2328" s="11"/>
      <c r="T2328" s="11"/>
      <c r="U2328" s="11"/>
      <c r="V2328" s="229"/>
      <c r="W2328" s="229"/>
      <c r="X2328" s="229" t="str">
        <f>IFERROR(__xludf.DUMMYFUNCTION("""COMPUTED_VALUE"""),"BELUM GOLIVE")</f>
        <v>BELUM GOLIVE</v>
      </c>
      <c r="Y2328" s="229"/>
      <c r="Z2328" s="229" t="str">
        <f>IFERROR(__xludf.DUMMYFUNCTION("""COMPUTED_VALUE"""),"#N/A")</f>
        <v>#N/A</v>
      </c>
      <c r="AA2328" s="229"/>
      <c r="AB2328" s="229"/>
      <c r="AC2328" s="229"/>
      <c r="AD2328" s="232"/>
      <c r="AE2328" s="233"/>
      <c r="AF2328" s="54" t="str">
        <f>IFERROR(__xludf.DUMMYFUNCTION("""COMPUTED_VALUE"""),"Draft BA DROP")</f>
        <v>Draft BA DROP</v>
      </c>
      <c r="AG2328" s="54"/>
      <c r="AH2328" s="54"/>
      <c r="AI2328" s="55" t="str">
        <f t="shared" si="221"/>
        <v/>
      </c>
      <c r="AW2328" s="234"/>
      <c r="BP2328" s="11"/>
      <c r="BQ2328" s="11"/>
      <c r="BV2328" s="158"/>
      <c r="BY2328" s="158"/>
      <c r="CB2328" s="158"/>
    </row>
    <row r="2329" ht="18.0" hidden="1" customHeight="1">
      <c r="A2329" s="222">
        <f>IFERROR(__xludf.DUMMYFUNCTION("""COMPUTED_VALUE"""),2026.0)</f>
        <v>2026</v>
      </c>
      <c r="B2329" s="221">
        <f>IFERROR(__xludf.DUMMYFUNCTION("""COMPUTED_VALUE"""),1.1271738E7)</f>
        <v>11271738</v>
      </c>
      <c r="C2329" s="222" t="str">
        <f>IFERROR(__xludf.DUMMYFUNCTION("""COMPUTED_VALUE"""),"MDN PT3 P1I1 PBD-FC JL.TELUK MEKU 1")</f>
        <v>MDN PT3 P1I1 PBD-FC JL.TELUK MEKU 1</v>
      </c>
      <c r="D2329" s="222" t="str">
        <f>IFERROR(__xludf.DUMMYFUNCTION("""COMPUTED_VALUE"""),"REGIONAL I")</f>
        <v>REGIONAL I</v>
      </c>
      <c r="E2329" s="222" t="str">
        <f>IFERROR(__xludf.DUMMYFUNCTION("""COMPUTED_VALUE"""),"MEDAN")</f>
        <v>MEDAN</v>
      </c>
      <c r="F2329" s="222" t="str">
        <f>IFERROR(__xludf.DUMMYFUNCTION("""COMPUTED_VALUE"""),"PBD")</f>
        <v>PBD</v>
      </c>
      <c r="G2329" s="222" t="str">
        <f>IFERROR(__xludf.DUMMYFUNCTION("""COMPUTED_VALUE"""),"SUMBAGUT")</f>
        <v>SUMBAGUT</v>
      </c>
      <c r="H2329" s="222" t="str">
        <f>IFERROR(__xludf.DUMMYFUNCTION("""COMPUTED_VALUE"""),"BINJAI")</f>
        <v>BINJAI</v>
      </c>
      <c r="I2329" s="222" t="str">
        <f>IFERROR(__xludf.DUMMYFUNCTION("""COMPUTED_VALUE"""),"Batch 3")</f>
        <v>Batch 3</v>
      </c>
      <c r="J2329" s="225">
        <f>IFERROR(__xludf.DUMMYFUNCTION("""COMPUTED_VALUE"""),6.0)</f>
        <v>6</v>
      </c>
      <c r="K2329" s="224">
        <f>IFERROR(__xludf.DUMMYFUNCTION("""COMPUTED_VALUE"""),48.0)</f>
        <v>48</v>
      </c>
      <c r="L2329" s="226">
        <f>IFERROR(__xludf.DUMMYFUNCTION("""COMPUTED_VALUE"""),1089615.0)</f>
        <v>1089615</v>
      </c>
      <c r="M2329" s="227">
        <f>IFERROR(__xludf.DUMMYFUNCTION("""COMPUTED_VALUE"""),5.2301496E7)</f>
        <v>52301496</v>
      </c>
      <c r="N2329" s="222" t="str">
        <f>IFERROR(__xludf.DUMMYFUNCTION("""COMPUTED_VALUE"""),"PT FIBERHOME TECHNOLOGIES INDONESIA")</f>
        <v>PT FIBERHOME TECHNOLOGIES INDONESIA</v>
      </c>
      <c r="O2329" s="222" t="str">
        <f>IFERROR(__xludf.DUMMYFUNCTION("""COMPUTED_VALUE"""),"7. GOLIVE")</f>
        <v>7. GOLIVE</v>
      </c>
      <c r="P2329" s="222" t="str">
        <f>IFERROR(__xludf.DUMMYFUNCTION("""COMPUTED_VALUE"""),"7.2 Golive Full / OA / DONE OTB")</f>
        <v>7.2 Golive Full / OA / DONE OTB</v>
      </c>
      <c r="Q2329" s="222" t="str">
        <f>IFERROR(__xludf.DUMMYFUNCTION("""COMPUTED_VALUE"""),"(11/02) penanaman tiang")</f>
        <v>(11/02) penanaman tiang</v>
      </c>
      <c r="R2329" s="228">
        <f>IFERROR(__xludf.DUMMYFUNCTION("""COMPUTED_VALUE"""),46065.0)</f>
        <v>46065</v>
      </c>
      <c r="S2329" s="11"/>
      <c r="T2329" s="11"/>
      <c r="U2329" s="11" t="str">
        <f>IFERROR(__xludf.DUMMYFUNCTION("""COMPUTED_VALUE"""),"W01-1855/2025")</f>
        <v>W01-1855/2025</v>
      </c>
      <c r="V2329" s="229"/>
      <c r="W2329" s="229"/>
      <c r="X2329" s="229" t="str">
        <f>IFERROR(__xludf.DUMMYFUNCTION("""COMPUTED_VALUE"""),"GOLIVE")</f>
        <v>GOLIVE</v>
      </c>
      <c r="Y2329" s="229" t="str">
        <f>IFERROR(__xludf.DUMMYFUNCTION("""COMPUTED_VALUE"""),"DONE")</f>
        <v>DONE</v>
      </c>
      <c r="Z2329" s="229" t="str">
        <f>IFERROR(__xludf.DUMMYFUNCTION("""COMPUTED_VALUE"""),"#N/A")</f>
        <v>#N/A</v>
      </c>
      <c r="AA2329" s="229">
        <f>IFERROR(__xludf.DUMMYFUNCTION("""COMPUTED_VALUE"""),6.0)</f>
        <v>6</v>
      </c>
      <c r="AB2329" s="229"/>
      <c r="AC2329" s="229" t="str">
        <f>IFERROR(__xludf.DUMMYFUNCTION("""COMPUTED_VALUE"""),"9107502#9107507")</f>
        <v>9107502#9107507</v>
      </c>
      <c r="AD2329" s="232">
        <f>IFERROR(__xludf.DUMMYFUNCTION("""COMPUTED_VALUE"""),48.0)</f>
        <v>48</v>
      </c>
      <c r="AE2329" s="233">
        <f>IFERROR(__xludf.DUMMYFUNCTION("""COMPUTED_VALUE"""),46065.0)</f>
        <v>46065</v>
      </c>
      <c r="AF2329" s="54"/>
      <c r="AG2329" s="54"/>
      <c r="AH2329" s="54">
        <v>46065.0</v>
      </c>
      <c r="AI2329" s="55">
        <f t="shared" si="221"/>
        <v>0</v>
      </c>
      <c r="AW2329" s="234"/>
      <c r="BP2329" s="11"/>
      <c r="BQ2329" s="11"/>
      <c r="BV2329" s="158"/>
      <c r="BY2329" s="158"/>
      <c r="CB2329" s="158"/>
    </row>
    <row r="2330" ht="18.0" hidden="1" customHeight="1">
      <c r="A2330" s="222">
        <f>IFERROR(__xludf.DUMMYFUNCTION("""COMPUTED_VALUE"""),2026.0)</f>
        <v>2026</v>
      </c>
      <c r="B2330" s="221">
        <f>IFERROR(__xludf.DUMMYFUNCTION("""COMPUTED_VALUE"""),1.1332907E7)</f>
        <v>11332907</v>
      </c>
      <c r="C2330" s="222" t="str">
        <f>IFERROR(__xludf.DUMMYFUNCTION("""COMPUTED_VALUE"""),"MDN PT3 P7I13 TTG-FBN JL.HORAS")</f>
        <v>MDN PT3 P7I13 TTG-FBN JL.HORAS</v>
      </c>
      <c r="D2330" s="222" t="str">
        <f>IFERROR(__xludf.DUMMYFUNCTION("""COMPUTED_VALUE"""),"REGIONAL I")</f>
        <v>REGIONAL I</v>
      </c>
      <c r="E2330" s="222" t="str">
        <f>IFERROR(__xludf.DUMMYFUNCTION("""COMPUTED_VALUE"""),"MEDAN")</f>
        <v>MEDAN</v>
      </c>
      <c r="F2330" s="222" t="str">
        <f>IFERROR(__xludf.DUMMYFUNCTION("""COMPUTED_VALUE"""),"TTG")</f>
        <v>TTG</v>
      </c>
      <c r="G2330" s="222" t="str">
        <f>IFERROR(__xludf.DUMMYFUNCTION("""COMPUTED_VALUE"""),"SUMBAGUT")</f>
        <v>SUMBAGUT</v>
      </c>
      <c r="H2330" s="222" t="str">
        <f>IFERROR(__xludf.DUMMYFUNCTION("""COMPUTED_VALUE"""),"MEDAN")</f>
        <v>MEDAN</v>
      </c>
      <c r="I2330" s="222" t="str">
        <f>IFERROR(__xludf.DUMMYFUNCTION("""COMPUTED_VALUE"""),"Batch 3")</f>
        <v>Batch 3</v>
      </c>
      <c r="J2330" s="225">
        <f>IFERROR(__xludf.DUMMYFUNCTION("""COMPUTED_VALUE"""),1.0)</f>
        <v>1</v>
      </c>
      <c r="K2330" s="224">
        <f>IFERROR(__xludf.DUMMYFUNCTION("""COMPUTED_VALUE"""),8.0)</f>
        <v>8</v>
      </c>
      <c r="L2330" s="226">
        <f>IFERROR(__xludf.DUMMYFUNCTION("""COMPUTED_VALUE"""),1206978.0)</f>
        <v>1206978</v>
      </c>
      <c r="M2330" s="227">
        <f>IFERROR(__xludf.DUMMYFUNCTION("""COMPUTED_VALUE"""),9655819.0)</f>
        <v>9655819</v>
      </c>
      <c r="N2330" s="222" t="str">
        <f>IFERROR(__xludf.DUMMYFUNCTION("""COMPUTED_VALUE"""),"PT SALTTEK DUMPANG JAYA")</f>
        <v>PT SALTTEK DUMPANG JAYA</v>
      </c>
      <c r="O2330" s="222" t="str">
        <f>IFERROR(__xludf.DUMMYFUNCTION("""COMPUTED_VALUE"""),"7. GOLIVE")</f>
        <v>7. GOLIVE</v>
      </c>
      <c r="P2330" s="222" t="str">
        <f>IFERROR(__xludf.DUMMYFUNCTION("""COMPUTED_VALUE"""),"7.2 Golive Full / OA / DONE OTB")</f>
        <v>7.2 Golive Full / OA / DONE OTB</v>
      </c>
      <c r="Q2330" s="222" t="str">
        <f>IFERROR(__xludf.DUMMYFUNCTION("""COMPUTED_VALUE"""),"(07/01) Persiapan")</f>
        <v>(07/01) Persiapan</v>
      </c>
      <c r="R2330" s="228">
        <f>IFERROR(__xludf.DUMMYFUNCTION("""COMPUTED_VALUE"""),46064.0)</f>
        <v>46064</v>
      </c>
      <c r="S2330" s="11"/>
      <c r="T2330" s="11"/>
      <c r="U2330" s="11" t="str">
        <f>IFERROR(__xludf.DUMMYFUNCTION("""COMPUTED_VALUE"""),"W01-990/2025")</f>
        <v>W01-990/2025</v>
      </c>
      <c r="V2330" s="229"/>
      <c r="W2330" s="229"/>
      <c r="X2330" s="229" t="str">
        <f>IFERROR(__xludf.DUMMYFUNCTION("""COMPUTED_VALUE"""),"GOLIVE")</f>
        <v>GOLIVE</v>
      </c>
      <c r="Y2330" s="229" t="str">
        <f>IFERROR(__xludf.DUMMYFUNCTION("""COMPUTED_VALUE"""),"DONE")</f>
        <v>DONE</v>
      </c>
      <c r="Z2330" s="229" t="str">
        <f>IFERROR(__xludf.DUMMYFUNCTION("""COMPUTED_VALUE"""),"#N/A")</f>
        <v>#N/A</v>
      </c>
      <c r="AA2330" s="229">
        <f>IFERROR(__xludf.DUMMYFUNCTION("""COMPUTED_VALUE"""),1.0)</f>
        <v>1</v>
      </c>
      <c r="AB2330" s="229"/>
      <c r="AC2330" s="229" t="str">
        <f>IFERROR(__xludf.DUMMYFUNCTION("""COMPUTED_VALUE"""),"8869252#8869259")</f>
        <v>8869252#8869259</v>
      </c>
      <c r="AD2330" s="232">
        <f>IFERROR(__xludf.DUMMYFUNCTION("""COMPUTED_VALUE"""),8.0)</f>
        <v>8</v>
      </c>
      <c r="AE2330" s="233">
        <f>IFERROR(__xludf.DUMMYFUNCTION("""COMPUTED_VALUE"""),46064.0)</f>
        <v>46064</v>
      </c>
      <c r="AF2330" s="54"/>
      <c r="AG2330" s="54"/>
      <c r="AH2330" s="54">
        <v>46064.0</v>
      </c>
      <c r="AI2330" s="55">
        <f t="shared" si="221"/>
        <v>0</v>
      </c>
      <c r="AW2330" s="234"/>
      <c r="BP2330" s="11"/>
      <c r="BQ2330" s="11"/>
      <c r="BV2330" s="158"/>
      <c r="BY2330" s="158"/>
      <c r="CB2330" s="158"/>
    </row>
    <row r="2331" ht="18.0" hidden="1" customHeight="1">
      <c r="A2331" s="222">
        <f>IFERROR(__xludf.DUMMYFUNCTION("""COMPUTED_VALUE"""),2026.0)</f>
        <v>2026</v>
      </c>
      <c r="B2331" s="221">
        <f>IFERROR(__xludf.DUMMYFUNCTION("""COMPUTED_VALUE"""),1.2274306E7)</f>
        <v>12274306</v>
      </c>
      <c r="C2331" s="222" t="str">
        <f>IFERROR(__xludf.DUMMYFUNCTION("""COMPUTED_VALUE"""),"SMU BUS-FAF CLUST PADANG MASIANG")</f>
        <v>SMU BUS-FAF CLUST PADANG MASIANG</v>
      </c>
      <c r="D2331" s="222" t="str">
        <f>IFERROR(__xludf.DUMMYFUNCTION("""COMPUTED_VALUE"""),"REGIONAL I")</f>
        <v>REGIONAL I</v>
      </c>
      <c r="E2331" s="222" t="str">
        <f>IFERROR(__xludf.DUMMYFUNCTION("""COMPUTED_VALUE"""),"SUMUT")</f>
        <v>SUMUT</v>
      </c>
      <c r="F2331" s="222" t="str">
        <f>IFERROR(__xludf.DUMMYFUNCTION("""COMPUTED_VALUE"""),"BUS")</f>
        <v>BUS</v>
      </c>
      <c r="G2331" s="222" t="str">
        <f>IFERROR(__xludf.DUMMYFUNCTION("""COMPUTED_VALUE"""),"SUMBAGUT")</f>
        <v>SUMBAGUT</v>
      </c>
      <c r="H2331" s="222" t="str">
        <f>IFERROR(__xludf.DUMMYFUNCTION("""COMPUTED_VALUE"""),"PADANG SIDEMPUAN")</f>
        <v>PADANG SIDEMPUAN</v>
      </c>
      <c r="I2331" s="222" t="str">
        <f>IFERROR(__xludf.DUMMYFUNCTION("""COMPUTED_VALUE"""),"Batch 3")</f>
        <v>Batch 3</v>
      </c>
      <c r="J2331" s="225">
        <f>IFERROR(__xludf.DUMMYFUNCTION("""COMPUTED_VALUE"""),15.0)</f>
        <v>15</v>
      </c>
      <c r="K2331" s="224">
        <f>IFERROR(__xludf.DUMMYFUNCTION("""COMPUTED_VALUE"""),120.0)</f>
        <v>120</v>
      </c>
      <c r="L2331" s="226">
        <f>IFERROR(__xludf.DUMMYFUNCTION("""COMPUTED_VALUE"""),1249369.0)</f>
        <v>1249369</v>
      </c>
      <c r="M2331" s="227">
        <f>IFERROR(__xludf.DUMMYFUNCTION("""COMPUTED_VALUE"""),1.49924195E8)</f>
        <v>149924195</v>
      </c>
      <c r="N2331" s="222" t="str">
        <f>IFERROR(__xludf.DUMMYFUNCTION("""COMPUTED_VALUE"""),"PT ARTHA MANDIRI BERSAMA")</f>
        <v>PT ARTHA MANDIRI BERSAMA</v>
      </c>
      <c r="O2331" s="222" t="str">
        <f>IFERROR(__xludf.DUMMYFUNCTION("""COMPUTED_VALUE"""),"7. GOLIVE")</f>
        <v>7. GOLIVE</v>
      </c>
      <c r="P2331" s="222" t="str">
        <f>IFERROR(__xludf.DUMMYFUNCTION("""COMPUTED_VALUE"""),"7.1 Golive Parsial")</f>
        <v>7.1 Golive Parsial</v>
      </c>
      <c r="Q2331" s="222" t="str">
        <f>IFERROR(__xludf.DUMMYFUNCTION("""COMPUTED_VALUE"""),"1/4 hari ini submit abd mancore 7 odp, untuk sisa dis 03 hari ini submit boq kml survey (9 odp), 31/3 untuk dis 02 total 7 odp 2 sudah valins sisa 5 proses instalasi, untuk penambahan dis 03 total 9 odp menunggu submit boq kml survey,  30/3 untuk dis 02 t"&amp;"otal 7 odp 2 sudah valins sisa 5 proses instalasi, untuk penambahan dis 03 total 9 odp menunggu submit boq kml survey,  27/3 untuk dis 02 total 7 odp 2 sudah valins sisa 5 proses instalasi, untuk penambahan dis 03 total 9 odp menunggu submit boq kml surve"&amp;"y, 22/3 plan kamis 26/3 lanjut progres valins 7 odp sisa 5  ,  18/3 proses valins 7 odp, untuk d3 plan survey setelah lebaran,16/3 proses penarikan kabel 12 (2085 sisa 1085), odp 7 belum progres, tiang 10 selesai, 13/3 proses gali dan tanam tiang , 11/3 p"&amp;"roses gali dan tanam tiang, 10/3 prepair tim pengambilan material, 6/3 proses input alista paralel cek ketersediaan matrial di wh sibolga, 5/3 kordinasi ulang dengan mitra terkait izin tinggal di sto selama pekerjaan berlangsung, 4/3 kordinasi ulang denga"&amp;"n mitra terkait izin tinggal di sto selama pekerjaan berlangsung, 3/3 hasil fu terkait perizinan dan akses jalna sudah aman, 2/3 hari ini waspang bersama tsel turun kelokasi untuk survey ulang akses kelokasi paralel pengurusan izin ke desa dan warga ,  27"&amp;"/2 plan 2 maret team dari psp turun kelokasi untuk memastikan apakah pekerjaan sudah bisa dilanjut atw belum, 25/2 pekerjaan belum bisa di progres dikarenakan akses belum bisa dilalui (imbas banjir susulan TRT-SBG) dan adanya alat berat di lokasi ,  24/2 "&amp;"pekerjaan belum bisa di progres dikarenakan akses belum bisa dilalui (imbas banjir susulan TRT-SBG) dan adanya alat berat di lokasi ,  23/2 pekerjaan belum bisa di progres dikarenakan akses belum bisa dilalui (imbas banjir susulan TRT-SBG) dan adanya alat"&amp;" berat di lokasi , 20/2 pekerjaan belum bisa di progres dikarenakan akses belum bisa dilalui (imbas banjir susulan TRT-SBG) dan adanya alat berat di lokasi ,19/2 pekerjaan belum bisa di progres dikarenakan akses belum bisa dilalui (imbas banjir susulan TR"&amp;"T-SBG) dan adanya alat berat di lokasi , 16/2 pekerjaan belum bisa di progres dikarenakan akses belum bisa dilalui (imbas banjir susulan TRT-SBG) dan adanya alat berat di lokasi ,13/2 pekerjaan belum bisa di progres dikarenakan akses belum bisa dilalui (i"&amp;"mbas banjir bandang),  12/2 pekerjaan belum bisa di progres dikarenakan akses belum bisa dilalui (imbas banjir bandang),  11/2 pekerjaan belum bisa di progres dikarenakan akses belum bisa dilalui (imbas banjir bandang), 10/2 pekerjaan belum bisa di progre"&amp;"s dikarenakan akses belum bisa dilalui (imbas banjir bandang), 9/2 pekerjaan belum bisa di progres dikarenakan akses belum bisa dilalui (imbas banjir bandang), 6/2 pekerjaan belum bisa di progres dikarenakan akses belum bisa dilalui (imbas banjir bandang)"&amp;",   5/2 pekerjaan belum bisa di progres dikarenakan akses belum bisa dilalui (imbas banjir bandang),  4/2 pekerjaan belum bisa di progres dikarenakan akses belum bisa dilalui (imbas banjir bandang), 3/2 pekerjaan belum bisa di progres dikarenakan akses be"&amp;"lum bisa dilalui (imbas banjir bandang), 2/2 pekerjaan belum bisa di progres dikarenakan akses belum bisa dilalui (imbas banjir bandang), 1/2 pekerjaan belum bisa di progres dikarenakan akses belum bisa dilalui (imbas banjir bandang), 30/1 pekerjaan belum"&amp;" bisa di progres dikarenakan akses belum bisa dilalui (imbas banjir bandang),  28/1 pekerjaan belum bisa di progres dikarenakan akses belum bisa dilalui (imbas banjir bandang), 27/1 pekerjaan belum bisa di progres dikarenakan akses belum bisa dilalui (imb"&amp;"as banjir bandang), 26/1 pekerjaan belum bisa di progres dikarenakan akses belum bisa dilalui (imbas banjir bandang),  23/1 pekerjaan belum bisa di progres dikarenakan akses belum bisa dilalui (imbas banjir bandang), 22/1 pekerjaan belum bisa di progres d"&amp;"ikarenakan akses belum bisa dilalui (imbas banjir bandang), 21/1 pekerjaan belum bisa di proggres dikarenakan akses jalan belum bisa dilalui (imbas banjir bandang)")</f>
        <v>1/4 hari ini submit abd mancore 7 odp, untuk sisa dis 03 hari ini submit boq kml survey (9 odp), 31/3 untuk dis 02 total 7 odp 2 sudah valins sisa 5 proses instalasi, untuk penambahan dis 03 total 9 odp menunggu submit boq kml survey,  30/3 untuk dis 02 total 7 odp 2 sudah valins sisa 5 proses instalasi, untuk penambahan dis 03 total 9 odp menunggu submit boq kml survey,  27/3 untuk dis 02 total 7 odp 2 sudah valins sisa 5 proses instalasi, untuk penambahan dis 03 total 9 odp menunggu submit boq kml survey, 22/3 plan kamis 26/3 lanjut progres valins 7 odp sisa 5  ,  18/3 proses valins 7 odp, untuk d3 plan survey setelah lebaran,16/3 proses penarikan kabel 12 (2085 sisa 1085), odp 7 belum progres, tiang 10 selesai, 13/3 proses gali dan tanam tiang , 11/3 proses gali dan tanam tiang, 10/3 prepair tim pengambilan material, 6/3 proses input alista paralel cek ketersediaan matrial di wh sibolga, 5/3 kordinasi ulang dengan mitra terkait izin tinggal di sto selama pekerjaan berlangsung, 4/3 kordinasi ulang dengan mitra terkait izin tinggal di sto selama pekerjaan berlangsung, 3/3 hasil fu terkait perizinan dan akses jalna sudah aman, 2/3 hari ini waspang bersama tsel turun kelokasi untuk survey ulang akses kelokasi paralel pengurusan izin ke desa dan warga ,  27/2 plan 2 maret team dari psp turun kelokasi untuk memastikan apakah pekerjaan sudah bisa dilanjut atw belum, 25/2 pekerjaan belum bisa di progres dikarenakan akses belum bisa dilalui (imbas banjir susulan TRT-SBG) dan adanya alat berat di lokasi ,  24/2 pekerjaan belum bisa di progres dikarenakan akses belum bisa dilalui (imbas banjir susulan TRT-SBG) dan adanya alat berat di lokasi ,  23/2 pekerjaan belum bisa di progres dikarenakan akses belum bisa dilalui (imbas banjir susulan TRT-SBG) dan adanya alat berat di lokasi , 20/2 pekerjaan belum bisa di progres dikarenakan akses belum bisa dilalui (imbas banjir susulan TRT-SBG) dan adanya alat berat di lokasi ,19/2 pekerjaan belum bisa di progres dikarenakan akses belum bisa dilalui (imbas banjir susulan TRT-SBG) dan adanya alat berat di lokasi , 16/2 pekerjaan belum bisa di progres dikarenakan akses belum bisa dilalui (imbas banjir susulan TRT-SBG) dan adanya alat berat di lokasi ,13/2 pekerjaan belum bisa di progres dikarenakan akses belum bisa dilalui (imbas banjir bandang),  12/2 pekerjaan belum bisa di progres dikarenakan akses belum bisa dilalui (imbas banjir bandang),  11/2 pekerjaan belum bisa di progres dikarenakan akses belum bisa dilalui (imbas banjir bandang), 10/2 pekerjaan belum bisa di progres dikarenakan akses belum bisa dilalui (imbas banjir bandang), 9/2 pekerjaan belum bisa di progres dikarenakan akses belum bisa dilalui (imbas banjir bandang), 6/2 pekerjaan belum bisa di progres dikarenakan akses belum bisa dilalui (imbas banjir bandang),   5/2 pekerjaan belum bisa di progres dikarenakan akses belum bisa dilalui (imbas banjir bandang),  4/2 pekerjaan belum bisa di progres dikarenakan akses belum bisa dilalui (imbas banjir bandang), 3/2 pekerjaan belum bisa di progres dikarenakan akses belum bisa dilalui (imbas banjir bandang), 2/2 pekerjaan belum bisa di progres dikarenakan akses belum bisa dilalui (imbas banjir bandang), 1/2 pekerjaan belum bisa di progres dikarenakan akses belum bisa dilalui (imbas banjir bandang), 30/1 pekerjaan belum bisa di progres dikarenakan akses belum bisa dilalui (imbas banjir bandang),  28/1 pekerjaan belum bisa di progres dikarenakan akses belum bisa dilalui (imbas banjir bandang), 27/1 pekerjaan belum bisa di progres dikarenakan akses belum bisa dilalui (imbas banjir bandang), 26/1 pekerjaan belum bisa di progres dikarenakan akses belum bisa dilalui (imbas banjir bandang),  23/1 pekerjaan belum bisa di progres dikarenakan akses belum bisa dilalui (imbas banjir bandang), 22/1 pekerjaan belum bisa di progres dikarenakan akses belum bisa dilalui (imbas banjir bandang), 21/1 pekerjaan belum bisa di proggres dikarenakan akses jalan belum bisa dilalui (imbas banjir bandang)</v>
      </c>
      <c r="R2331" s="228">
        <f>IFERROR(__xludf.DUMMYFUNCTION("""COMPUTED_VALUE"""),46113.0)</f>
        <v>46113</v>
      </c>
      <c r="S2331" s="11" t="str">
        <f>IFERROR(__xludf.DUMMYFUNCTION("""COMPUTED_VALUE"""),"MAR")</f>
        <v>MAR</v>
      </c>
      <c r="T2331" s="73"/>
      <c r="U2331" s="11" t="str">
        <f>IFERROR(__xludf.DUMMYFUNCTION("""COMPUTED_VALUE"""),"W03-1750/2025")</f>
        <v>W03-1750/2025</v>
      </c>
      <c r="V2331" s="229"/>
      <c r="W2331" s="229" t="str">
        <f>IFERROR(__xludf.DUMMYFUNCTION("""COMPUTED_VALUE"""),"#N/A")</f>
        <v>#N/A</v>
      </c>
      <c r="X2331" s="229" t="str">
        <f>IFERROR(__xludf.DUMMYFUNCTION("""COMPUTED_VALUE"""),"GOLIVE")</f>
        <v>GOLIVE</v>
      </c>
      <c r="Y2331" s="229" t="str">
        <f>IFERROR(__xludf.DUMMYFUNCTION("""COMPUTED_VALUE"""),"DONE")</f>
        <v>DONE</v>
      </c>
      <c r="Z2331" s="229" t="str">
        <f>IFERROR(__xludf.DUMMYFUNCTION("""COMPUTED_VALUE"""),"#N/A")</f>
        <v>#N/A</v>
      </c>
      <c r="AA2331" s="229">
        <f>IFERROR(__xludf.DUMMYFUNCTION("""COMPUTED_VALUE"""),7.0)</f>
        <v>7</v>
      </c>
      <c r="AB2331" s="229"/>
      <c r="AC2331" s="229" t="str">
        <f>IFERROR(__xludf.DUMMYFUNCTION("""COMPUTED_VALUE"""),"9234982#9234987")</f>
        <v>9234982#9234987</v>
      </c>
      <c r="AD2331" s="232">
        <f>IFERROR(__xludf.DUMMYFUNCTION("""COMPUTED_VALUE"""),56.0)</f>
        <v>56</v>
      </c>
      <c r="AE2331" s="233">
        <f>IFERROR(__xludf.DUMMYFUNCTION("""COMPUTED_VALUE"""),46113.0)</f>
        <v>46113</v>
      </c>
      <c r="AF2331" s="54"/>
      <c r="AG2331" s="54"/>
      <c r="AH2331" s="54">
        <v>46113.0</v>
      </c>
      <c r="AI2331" s="55">
        <f t="shared" si="221"/>
        <v>0</v>
      </c>
      <c r="AW2331" s="234"/>
      <c r="BP2331" s="11"/>
      <c r="BQ2331" s="11"/>
      <c r="BV2331" s="158"/>
      <c r="BY2331" s="158"/>
      <c r="CB2331" s="158"/>
    </row>
    <row r="2332" ht="18.0" hidden="1" customHeight="1">
      <c r="A2332" s="222">
        <f>IFERROR(__xludf.DUMMYFUNCTION("""COMPUTED_VALUE"""),2026.0)</f>
        <v>2026</v>
      </c>
      <c r="B2332" s="221">
        <f>IFERROR(__xludf.DUMMYFUNCTION("""COMPUTED_VALUE"""),1.1192281E7)</f>
        <v>11192281</v>
      </c>
      <c r="C2332" s="222" t="str">
        <f>IFERROR(__xludf.DUMMYFUNCTION("""COMPUTED_VALUE"""),"MDN PT3 P7I8 TJM-FA COVER DS 06")</f>
        <v>MDN PT3 P7I8 TJM-FA COVER DS 06</v>
      </c>
      <c r="D2332" s="222" t="str">
        <f>IFERROR(__xludf.DUMMYFUNCTION("""COMPUTED_VALUE"""),"REGIONAL I")</f>
        <v>REGIONAL I</v>
      </c>
      <c r="E2332" s="222" t="str">
        <f>IFERROR(__xludf.DUMMYFUNCTION("""COMPUTED_VALUE"""),"MEDAN")</f>
        <v>MEDAN</v>
      </c>
      <c r="F2332" s="222" t="str">
        <f>IFERROR(__xludf.DUMMYFUNCTION("""COMPUTED_VALUE"""),"TJM")</f>
        <v>TJM</v>
      </c>
      <c r="G2332" s="222" t="str">
        <f>IFERROR(__xludf.DUMMYFUNCTION("""COMPUTED_VALUE"""),"SUMBAGUT")</f>
        <v>SUMBAGUT</v>
      </c>
      <c r="H2332" s="222" t="str">
        <f>IFERROR(__xludf.DUMMYFUNCTION("""COMPUTED_VALUE"""),"MEDAN")</f>
        <v>MEDAN</v>
      </c>
      <c r="I2332" s="222" t="str">
        <f>IFERROR(__xludf.DUMMYFUNCTION("""COMPUTED_VALUE"""),"Batch 3")</f>
        <v>Batch 3</v>
      </c>
      <c r="J2332" s="225">
        <f>IFERROR(__xludf.DUMMYFUNCTION("""COMPUTED_VALUE"""),5.0)</f>
        <v>5</v>
      </c>
      <c r="K2332" s="224">
        <f>IFERROR(__xludf.DUMMYFUNCTION("""COMPUTED_VALUE"""),40.0)</f>
        <v>40</v>
      </c>
      <c r="L2332" s="226">
        <f>IFERROR(__xludf.DUMMYFUNCTION("""COMPUTED_VALUE"""),1043374.0)</f>
        <v>1043374</v>
      </c>
      <c r="M2332" s="227">
        <f>IFERROR(__xludf.DUMMYFUNCTION("""COMPUTED_VALUE"""),4.1734951E7)</f>
        <v>41734951</v>
      </c>
      <c r="N2332" s="222" t="str">
        <f>IFERROR(__xludf.DUMMYFUNCTION("""COMPUTED_VALUE"""),"PT MITRA AKSES INSANI")</f>
        <v>PT MITRA AKSES INSANI</v>
      </c>
      <c r="O2332" s="222" t="str">
        <f>IFERROR(__xludf.DUMMYFUNCTION("""COMPUTED_VALUE"""),"8. UJI TERIMA")</f>
        <v>8. UJI TERIMA</v>
      </c>
      <c r="P2332" s="222" t="str">
        <f>IFERROR(__xludf.DUMMYFUNCTION("""COMPUTED_VALUE"""),"8.1 Proses UT")</f>
        <v>8.1 Proses UT</v>
      </c>
      <c r="Q2332" s="222"/>
      <c r="R2332" s="228">
        <f>IFERROR(__xludf.DUMMYFUNCTION("""COMPUTED_VALUE"""),46034.0)</f>
        <v>46034</v>
      </c>
      <c r="S2332" s="11"/>
      <c r="T2332" s="11"/>
      <c r="U2332" s="11" t="str">
        <f>IFERROR(__xludf.DUMMYFUNCTION("""COMPUTED_VALUE"""),"FALSE")</f>
        <v>FALSE</v>
      </c>
      <c r="V2332" s="229"/>
      <c r="W2332" s="229"/>
      <c r="X2332" s="229" t="str">
        <f>IFERROR(__xludf.DUMMYFUNCTION("""COMPUTED_VALUE"""),"GOLIVE")</f>
        <v>GOLIVE</v>
      </c>
      <c r="Y2332" s="229" t="str">
        <f>IFERROR(__xludf.DUMMYFUNCTION("""COMPUTED_VALUE"""),"DONE")</f>
        <v>DONE</v>
      </c>
      <c r="Z2332" s="229" t="str">
        <f>IFERROR(__xludf.DUMMYFUNCTION("""COMPUTED_VALUE"""),"#N/A")</f>
        <v>#N/A</v>
      </c>
      <c r="AA2332" s="229">
        <f>IFERROR(__xludf.DUMMYFUNCTION("""COMPUTED_VALUE"""),5.0)</f>
        <v>5</v>
      </c>
      <c r="AB2332" s="229"/>
      <c r="AC2332" s="229" t="str">
        <f>IFERROR(__xludf.DUMMYFUNCTION("""COMPUTED_VALUE"""),"8923951#8923956")</f>
        <v>8923951#8923956</v>
      </c>
      <c r="AD2332" s="232">
        <f>IFERROR(__xludf.DUMMYFUNCTION("""COMPUTED_VALUE"""),40.0)</f>
        <v>40</v>
      </c>
      <c r="AE2332" s="233">
        <f>IFERROR(__xludf.DUMMYFUNCTION("""COMPUTED_VALUE"""),46034.0)</f>
        <v>46034</v>
      </c>
      <c r="AF2332" s="54"/>
      <c r="AG2332" s="54"/>
      <c r="AH2332" s="54">
        <v>46034.0</v>
      </c>
      <c r="AI2332" s="55">
        <f t="shared" si="221"/>
        <v>0</v>
      </c>
      <c r="AW2332" s="234"/>
      <c r="BP2332" s="11"/>
      <c r="BQ2332" s="11"/>
      <c r="BV2332" s="158"/>
      <c r="BY2332" s="158"/>
      <c r="CB2332" s="158"/>
    </row>
    <row r="2333" ht="18.0" hidden="1" customHeight="1">
      <c r="A2333" s="222">
        <f>IFERROR(__xludf.DUMMYFUNCTION("""COMPUTED_VALUE"""),2026.0)</f>
        <v>2026</v>
      </c>
      <c r="B2333" s="221">
        <f>IFERROR(__xludf.DUMMYFUNCTION("""COMPUTED_VALUE"""),1.13889E7)</f>
        <v>11388900</v>
      </c>
      <c r="C2333" s="222" t="str">
        <f>IFERROR(__xludf.DUMMYFUNCTION("""COMPUTED_VALUE"""),"ACH PT4 MBO-FAC ARONGAN LAMBALEK")</f>
        <v>ACH PT4 MBO-FAC ARONGAN LAMBALEK</v>
      </c>
      <c r="D2333" s="222" t="str">
        <f>IFERROR(__xludf.DUMMYFUNCTION("""COMPUTED_VALUE"""),"REGIONAL I")</f>
        <v>REGIONAL I</v>
      </c>
      <c r="E2333" s="222" t="str">
        <f>IFERROR(__xludf.DUMMYFUNCTION("""COMPUTED_VALUE"""),"ACEH")</f>
        <v>ACEH</v>
      </c>
      <c r="F2333" s="222" t="str">
        <f>IFERROR(__xludf.DUMMYFUNCTION("""COMPUTED_VALUE"""),"MBO")</f>
        <v>MBO</v>
      </c>
      <c r="G2333" s="222" t="str">
        <f>IFERROR(__xludf.DUMMYFUNCTION("""COMPUTED_VALUE"""),"SUMBAGUT")</f>
        <v>SUMBAGUT</v>
      </c>
      <c r="H2333" s="222" t="str">
        <f>IFERROR(__xludf.DUMMYFUNCTION("""COMPUTED_VALUE"""),"BANDA ACEH")</f>
        <v>BANDA ACEH</v>
      </c>
      <c r="I2333" s="222" t="str">
        <f>IFERROR(__xludf.DUMMYFUNCTION("""COMPUTED_VALUE"""),"Batch 3")</f>
        <v>Batch 3</v>
      </c>
      <c r="J2333" s="225">
        <f>IFERROR(__xludf.DUMMYFUNCTION("""COMPUTED_VALUE"""),35.0)</f>
        <v>35</v>
      </c>
      <c r="K2333" s="224">
        <f>IFERROR(__xludf.DUMMYFUNCTION("""COMPUTED_VALUE"""),280.0)</f>
        <v>280</v>
      </c>
      <c r="L2333" s="226">
        <f>IFERROR(__xludf.DUMMYFUNCTION("""COMPUTED_VALUE"""),1231248.0)</f>
        <v>1231248</v>
      </c>
      <c r="M2333" s="227">
        <f>IFERROR(__xludf.DUMMYFUNCTION("""COMPUTED_VALUE"""),3.44749289E8)</f>
        <v>344749289</v>
      </c>
      <c r="N2333" s="222" t="str">
        <f>IFERROR(__xludf.DUMMYFUNCTION("""COMPUTED_VALUE"""),"PT NIAGA NUSANTARA DIVA")</f>
        <v>PT NIAGA NUSANTARA DIVA</v>
      </c>
      <c r="O2333" s="222" t="str">
        <f>IFERROR(__xludf.DUMMYFUNCTION("""COMPUTED_VALUE"""),"4. MATDEL")</f>
        <v>4. MATDEL</v>
      </c>
      <c r="P2333" s="222" t="str">
        <f>IFERROR(__xludf.DUMMYFUNCTION("""COMPUTED_VALUE"""),"4.2 Sudah Request Material (Alista)")</f>
        <v>4.2 Sudah Request Material (Alista)</v>
      </c>
      <c r="Q2333" s="222" t="str">
        <f>IFERROR(__xludf.DUMMYFUNCTION("""COMPUTED_VALUE"""),"(10/04) DelMat dari Pabrik ke WH (10/03) Proses Negosiasi dengan Warga (23/2) hold kendala OLT di status Terakhir  12/02 Uplink mini OLT catuan BB tidak ada core idle
(09/02) Validasi Core Uplink New Mini OLT (29/01) done AANWIJZING")</f>
        <v>(10/04) DelMat dari Pabrik ke WH (10/03) Proses Negosiasi dengan Warga (23/2) hold kendala OLT di status Terakhir  12/02 Uplink mini OLT catuan BB tidak ada core idle
(09/02) Validasi Core Uplink New Mini OLT (29/01) done AANWIJZING</v>
      </c>
      <c r="R2333" s="228"/>
      <c r="S2333" s="11"/>
      <c r="T2333" s="11"/>
      <c r="U2333" s="11"/>
      <c r="V2333" s="229"/>
      <c r="W2333" s="229"/>
      <c r="X2333" s="229" t="str">
        <f>IFERROR(__xludf.DUMMYFUNCTION("""COMPUTED_VALUE"""),"BELUM GOLIVE")</f>
        <v>BELUM GOLIVE</v>
      </c>
      <c r="Y2333" s="229"/>
      <c r="Z2333" s="229"/>
      <c r="AA2333" s="229"/>
      <c r="AB2333" s="229"/>
      <c r="AC2333" s="229"/>
      <c r="AD2333" s="232"/>
      <c r="AE2333" s="233"/>
      <c r="AF2333" s="54"/>
      <c r="AG2333" s="54"/>
      <c r="AH2333" s="54"/>
      <c r="AI2333" s="55" t="str">
        <f t="shared" si="221"/>
        <v/>
      </c>
      <c r="AW2333" s="234"/>
      <c r="BP2333" s="11"/>
      <c r="BQ2333" s="11"/>
      <c r="BV2333" s="158"/>
      <c r="BY2333" s="158"/>
      <c r="CB2333" s="158"/>
    </row>
    <row r="2334" ht="18.0" hidden="1" customHeight="1">
      <c r="A2334" s="222">
        <f>IFERROR(__xludf.DUMMYFUNCTION("""COMPUTED_VALUE"""),2026.0)</f>
        <v>2026</v>
      </c>
      <c r="B2334" s="221">
        <f>IFERROR(__xludf.DUMMYFUNCTION("""COMPUTED_VALUE"""),1.108215E7)</f>
        <v>11082150</v>
      </c>
      <c r="C2334" s="222" t="str">
        <f>IFERROR(__xludf.DUMMYFUNCTION("""COMPUTED_VALUE"""),"MDN PT4 P7I3 TTG-FJ KOMP HAWILA RESIDENCE 3")</f>
        <v>MDN PT4 P7I3 TTG-FJ KOMP HAWILA RESIDENCE 3</v>
      </c>
      <c r="D2334" s="222" t="str">
        <f>IFERROR(__xludf.DUMMYFUNCTION("""COMPUTED_VALUE"""),"REGIONAL I")</f>
        <v>REGIONAL I</v>
      </c>
      <c r="E2334" s="222" t="str">
        <f>IFERROR(__xludf.DUMMYFUNCTION("""COMPUTED_VALUE"""),"MEDAN")</f>
        <v>MEDAN</v>
      </c>
      <c r="F2334" s="222" t="str">
        <f>IFERROR(__xludf.DUMMYFUNCTION("""COMPUTED_VALUE"""),"TTG")</f>
        <v>TTG</v>
      </c>
      <c r="G2334" s="222" t="str">
        <f>IFERROR(__xludf.DUMMYFUNCTION("""COMPUTED_VALUE"""),"SUMBAGUT")</f>
        <v>SUMBAGUT</v>
      </c>
      <c r="H2334" s="222" t="str">
        <f>IFERROR(__xludf.DUMMYFUNCTION("""COMPUTED_VALUE"""),"MEDAN")</f>
        <v>MEDAN</v>
      </c>
      <c r="I2334" s="222" t="str">
        <f>IFERROR(__xludf.DUMMYFUNCTION("""COMPUTED_VALUE"""),"Batch 3")</f>
        <v>Batch 3</v>
      </c>
      <c r="J2334" s="225">
        <f>IFERROR(__xludf.DUMMYFUNCTION("""COMPUTED_VALUE"""),22.0)</f>
        <v>22</v>
      </c>
      <c r="K2334" s="224">
        <f>IFERROR(__xludf.DUMMYFUNCTION("""COMPUTED_VALUE"""),176.0)</f>
        <v>176</v>
      </c>
      <c r="L2334" s="226">
        <f>IFERROR(__xludf.DUMMYFUNCTION("""COMPUTED_VALUE"""),1230560.0)</f>
        <v>1230560</v>
      </c>
      <c r="M2334" s="227">
        <f>IFERROR(__xludf.DUMMYFUNCTION("""COMPUTED_VALUE"""),2.16578388E8)</f>
        <v>216578388</v>
      </c>
      <c r="N2334" s="222" t="str">
        <f>IFERROR(__xludf.DUMMYFUNCTION("""COMPUTED_VALUE"""),"PT FAJAR MITRA KRIDA ABADI")</f>
        <v>PT FAJAR MITRA KRIDA ABADI</v>
      </c>
      <c r="O2334" s="222" t="str">
        <f>IFERROR(__xludf.DUMMYFUNCTION("""COMPUTED_VALUE"""),"0. DROP")</f>
        <v>0. DROP</v>
      </c>
      <c r="P2334" s="222" t="str">
        <f>IFERROR(__xludf.DUMMYFUNCTION("""COMPUTED_VALUE"""),"0.1 Double Order")</f>
        <v>0.1 Double Order</v>
      </c>
      <c r="Q2334" s="222" t="str">
        <f>IFERROR(__xludf.DUMMYFUNCTION("""COMPUTED_VALUE"""),"19/02 Duplikasi Order")</f>
        <v>19/02 Duplikasi Order</v>
      </c>
      <c r="R2334" s="228"/>
      <c r="S2334" s="11"/>
      <c r="T2334" s="11"/>
      <c r="U2334" s="11"/>
      <c r="V2334" s="229"/>
      <c r="W2334" s="229"/>
      <c r="X2334" s="229" t="str">
        <f>IFERROR(__xludf.DUMMYFUNCTION("""COMPUTED_VALUE"""),"GOLIVE")</f>
        <v>GOLIVE</v>
      </c>
      <c r="Y2334" s="229"/>
      <c r="Z2334" s="229" t="str">
        <f>IFERROR(__xludf.DUMMYFUNCTION("""COMPUTED_VALUE"""),"5. Done Integrasi")</f>
        <v>5. Done Integrasi</v>
      </c>
      <c r="AA2334" s="229"/>
      <c r="AB2334" s="229"/>
      <c r="AC2334" s="229"/>
      <c r="AD2334" s="232"/>
      <c r="AE2334" s="233"/>
      <c r="AF2334" s="54" t="str">
        <f>IFERROR(__xludf.DUMMYFUNCTION("""COMPUTED_VALUE"""),"Draft BA DROP")</f>
        <v>Draft BA DROP</v>
      </c>
      <c r="AG2334" s="54"/>
      <c r="AH2334" s="54"/>
      <c r="AI2334" s="55" t="str">
        <f t="shared" si="221"/>
        <v/>
      </c>
      <c r="AW2334" s="234"/>
      <c r="BP2334" s="11"/>
      <c r="BQ2334" s="11"/>
      <c r="BV2334" s="158"/>
      <c r="BY2334" s="158"/>
      <c r="CB2334" s="158"/>
    </row>
    <row r="2335" ht="18.0" hidden="1" customHeight="1">
      <c r="A2335" s="222">
        <f>IFERROR(__xludf.DUMMYFUNCTION("""COMPUTED_VALUE"""),2026.0)</f>
        <v>2026</v>
      </c>
      <c r="B2335" s="221">
        <f>IFERROR(__xludf.DUMMYFUNCTION("""COMPUTED_VALUE"""),1.1280126E7)</f>
        <v>11280126</v>
      </c>
      <c r="C2335" s="222" t="str">
        <f>IFERROR(__xludf.DUMMYFUNCTION("""COMPUTED_VALUE"""),"SMS P3I1 PT4 BKS FXX PULO KERTO")</f>
        <v>SMS P3I1 PT4 BKS FXX PULO KERTO</v>
      </c>
      <c r="D2335" s="222" t="str">
        <f>IFERROR(__xludf.DUMMYFUNCTION("""COMPUTED_VALUE"""),"REGIONAL I")</f>
        <v>REGIONAL I</v>
      </c>
      <c r="E2335" s="222" t="str">
        <f>IFERROR(__xludf.DUMMYFUNCTION("""COMPUTED_VALUE"""),"SUMSEL")</f>
        <v>SUMSEL</v>
      </c>
      <c r="F2335" s="222" t="str">
        <f>IFERROR(__xludf.DUMMYFUNCTION("""COMPUTED_VALUE"""),"bks")</f>
        <v>bks</v>
      </c>
      <c r="G2335" s="222" t="str">
        <f>IFERROR(__xludf.DUMMYFUNCTION("""COMPUTED_VALUE"""),"SUMBAGSEL")</f>
        <v>SUMBAGSEL</v>
      </c>
      <c r="H2335" s="222" t="str">
        <f>IFERROR(__xludf.DUMMYFUNCTION("""COMPUTED_VALUE"""),"PALEMBANG")</f>
        <v>PALEMBANG</v>
      </c>
      <c r="I2335" s="222" t="str">
        <f>IFERROR(__xludf.DUMMYFUNCTION("""COMPUTED_VALUE"""),"Batch 3")</f>
        <v>Batch 3</v>
      </c>
      <c r="J2335" s="225">
        <f>IFERROR(__xludf.DUMMYFUNCTION("""COMPUTED_VALUE"""),19.0)</f>
        <v>19</v>
      </c>
      <c r="K2335" s="224">
        <f>IFERROR(__xludf.DUMMYFUNCTION("""COMPUTED_VALUE"""),152.0)</f>
        <v>152</v>
      </c>
      <c r="L2335" s="226">
        <f>IFERROR(__xludf.DUMMYFUNCTION("""COMPUTED_VALUE"""),1223178.0)</f>
        <v>1223178</v>
      </c>
      <c r="M2335" s="227">
        <f>IFERROR(__xludf.DUMMYFUNCTION("""COMPUTED_VALUE"""),1.85923006E8)</f>
        <v>185923006</v>
      </c>
      <c r="N2335" s="222" t="str">
        <f>IFERROR(__xludf.DUMMYFUNCTION("""COMPUTED_VALUE"""),"PT SARANA MITRA PERSADA")</f>
        <v>PT SARANA MITRA PERSADA</v>
      </c>
      <c r="O2335" s="222" t="str">
        <f>IFERROR(__xludf.DUMMYFUNCTION("""COMPUTED_VALUE"""),"8. UJI TERIMA")</f>
        <v>8. UJI TERIMA</v>
      </c>
      <c r="P2335" s="222" t="str">
        <f>IFERROR(__xludf.DUMMYFUNCTION("""COMPUTED_VALUE"""),"8.1 Proses UT")</f>
        <v>8.1 Proses UT</v>
      </c>
      <c r="Q2335" s="222" t="str">
        <f>IFERROR(__xludf.DUMMYFUNCTION("""COMPUTED_VALUE"""),"(23/1) golive 23 jan 2026 (21/01 )selesai fisik, data abd sdh masuk ke sdi untuk golive, 18/11 masih menunggu integrasi mini OLT, 12/11 menunggu intergrasi OLT, 10/11 fisik selesai, menunggu integrasi olt (06/11) terminasi odc done04/11 tarik kabel 12=165"&amp;"1 DONE 3/11 tarik kabel 12=1651 DONE , KABEL24=1011 DONE  31/10 Tanam tiang 27/10 MATDEL 14/10 Req Material 13/10 instalasi setelahbanuayu.
09/10 proses negosiasi &amp; pembayaran kompensasi 08/10 dri phak kades seetmpat meminta kompesnasi terkait progres tan"&amp;"am tiang
01/10 delmat ke site. (19/09) HOLD, krena nilai CPP naik, menunggu konfirm ED
(16/9) Perijinan RT RW.
08/09 Done Aanwidjing")</f>
        <v>(23/1) golive 23 jan 2026 (21/01 )selesai fisik, data abd sdh masuk ke sdi untuk golive, 18/11 masih menunggu integrasi mini OLT, 12/11 menunggu intergrasi OLT, 10/11 fisik selesai, menunggu integrasi olt (06/11) terminasi odc done04/11 tarik kabel 12=1651 DONE 3/11 tarik kabel 12=1651 DONE , KABEL24=1011 DONE  31/10 Tanam tiang 27/10 MATDEL 14/10 Req Material 13/10 instalasi setelahbanuayu.
09/10 proses negosiasi &amp; pembayaran kompensasi 08/10 dri phak kades seetmpat meminta kompesnasi terkait progres tanam tiang
01/10 delmat ke site. (19/09) HOLD, krena nilai CPP naik, menunggu konfirm ED
(16/9) Perijinan RT RW.
08/09 Done Aanwidjing</v>
      </c>
      <c r="R2335" s="228"/>
      <c r="S2335" s="11"/>
      <c r="T2335" s="11"/>
      <c r="U2335" s="11"/>
      <c r="V2335" s="229" t="str">
        <f>IFERROR(__xludf.DUMMYFUNCTION("""COMPUTED_VALUE"""),"PUTRA")</f>
        <v>PUTRA</v>
      </c>
      <c r="W2335" s="229"/>
      <c r="X2335" s="229" t="str">
        <f>IFERROR(__xludf.DUMMYFUNCTION("""COMPUTED_VALUE"""),"GOLIVE")</f>
        <v>GOLIVE</v>
      </c>
      <c r="Y2335" s="229" t="str">
        <f>IFERROR(__xludf.DUMMYFUNCTION("""COMPUTED_VALUE"""),"DONE")</f>
        <v>DONE</v>
      </c>
      <c r="Z2335" s="229" t="str">
        <f>IFERROR(__xludf.DUMMYFUNCTION("""COMPUTED_VALUE"""),"5. Done Integrasi")</f>
        <v>5. Done Integrasi</v>
      </c>
      <c r="AA2335" s="229">
        <f>IFERROR(__xludf.DUMMYFUNCTION("""COMPUTED_VALUE"""),19.0)</f>
        <v>19</v>
      </c>
      <c r="AB2335" s="229"/>
      <c r="AC2335" s="229" t="str">
        <f>IFERROR(__xludf.DUMMYFUNCTION("""COMPUTED_VALUE"""),"8949825#8949830")</f>
        <v>8949825#8949830</v>
      </c>
      <c r="AD2335" s="232">
        <f>IFERROR(__xludf.DUMMYFUNCTION("""COMPUTED_VALUE"""),152.0)</f>
        <v>152</v>
      </c>
      <c r="AE2335" s="233">
        <f>IFERROR(__xludf.DUMMYFUNCTION("""COMPUTED_VALUE"""),46045.0)</f>
        <v>46045</v>
      </c>
      <c r="AF2335" s="54"/>
      <c r="AG2335" s="54"/>
      <c r="AH2335" s="54"/>
      <c r="AI2335" s="55" t="str">
        <f t="shared" si="221"/>
        <v/>
      </c>
      <c r="AW2335" s="234"/>
      <c r="BP2335" s="11"/>
      <c r="BQ2335" s="11"/>
      <c r="BV2335" s="158"/>
      <c r="BY2335" s="158"/>
      <c r="CB2335" s="158"/>
    </row>
    <row r="2336" ht="18.0" hidden="1" customHeight="1">
      <c r="A2336" s="222">
        <f>IFERROR(__xludf.DUMMYFUNCTION("""COMPUTED_VALUE"""),2026.0)</f>
        <v>2026</v>
      </c>
      <c r="B2336" s="221">
        <f>IFERROR(__xludf.DUMMYFUNCTION("""COMPUTED_VALUE"""),1.2386388E7)</f>
        <v>12386388</v>
      </c>
      <c r="C2336" s="222" t="str">
        <f>IFERROR(__xludf.DUMMYFUNCTION("""COMPUTED_VALUE"""),"BBL PT3  P4I3 Jalan Jerat Nangka")</f>
        <v>BBL PT3  P4I3 Jalan Jerat Nangka</v>
      </c>
      <c r="D2336" s="222" t="str">
        <f>IFERROR(__xludf.DUMMYFUNCTION("""COMPUTED_VALUE"""),"REGIONAL I")</f>
        <v>REGIONAL I</v>
      </c>
      <c r="E2336" s="222" t="str">
        <f>IFERROR(__xludf.DUMMYFUNCTION("""COMPUTED_VALUE"""),"BABEL")</f>
        <v>BABEL</v>
      </c>
      <c r="F2336" s="222" t="str">
        <f>IFERROR(__xludf.DUMMYFUNCTION("""COMPUTED_VALUE"""),"TJN")</f>
        <v>TJN</v>
      </c>
      <c r="G2336" s="222" t="str">
        <f>IFERROR(__xludf.DUMMYFUNCTION("""COMPUTED_VALUE"""),"SUMBAGSEL")</f>
        <v>SUMBAGSEL</v>
      </c>
      <c r="H2336" s="222" t="str">
        <f>IFERROR(__xludf.DUMMYFUNCTION("""COMPUTED_VALUE"""),"PANGKAL PINANG")</f>
        <v>PANGKAL PINANG</v>
      </c>
      <c r="I2336" s="222" t="str">
        <f>IFERROR(__xludf.DUMMYFUNCTION("""COMPUTED_VALUE"""),"Batch 3")</f>
        <v>Batch 3</v>
      </c>
      <c r="J2336" s="225">
        <f>IFERROR(__xludf.DUMMYFUNCTION("""COMPUTED_VALUE"""),3.0)</f>
        <v>3</v>
      </c>
      <c r="K2336" s="224">
        <f>IFERROR(__xludf.DUMMYFUNCTION("""COMPUTED_VALUE"""),24.0)</f>
        <v>24</v>
      </c>
      <c r="L2336" s="226">
        <f>IFERROR(__xludf.DUMMYFUNCTION("""COMPUTED_VALUE"""),1220480.0)</f>
        <v>1220480</v>
      </c>
      <c r="M2336" s="227">
        <f>IFERROR(__xludf.DUMMYFUNCTION("""COMPUTED_VALUE"""),2.9291507E7)</f>
        <v>29291507</v>
      </c>
      <c r="N2336" s="222" t="str">
        <f>IFERROR(__xludf.DUMMYFUNCTION("""COMPUTED_VALUE"""),"PT SARANA MITRA PERSADA")</f>
        <v>PT SARANA MITRA PERSADA</v>
      </c>
      <c r="O2336" s="222" t="str">
        <f>IFERROR(__xludf.DUMMYFUNCTION("""COMPUTED_VALUE"""),"7. GOLIVE")</f>
        <v>7. GOLIVE</v>
      </c>
      <c r="P2336" s="222" t="str">
        <f>IFERROR(__xludf.DUMMYFUNCTION("""COMPUTED_VALUE"""),"7.2 Golive Full / OA / DONE OTB")</f>
        <v>7.2 Golive Full / OA / DONE OTB</v>
      </c>
      <c r="Q2336" s="222" t="str">
        <f>IFERROR(__xludf.DUMMYFUNCTION("""COMPUTED_VALUE"""),"(13/2)golive 13 feb (9/2) TARIK KABEL 1900/1900 ")</f>
        <v>(13/2)golive 13 feb (9/2) TARIK KABEL 1900/1900 </v>
      </c>
      <c r="R2336" s="228">
        <f>IFERROR(__xludf.DUMMYFUNCTION("""COMPUTED_VALUE"""),46066.0)</f>
        <v>46066</v>
      </c>
      <c r="S2336" s="11"/>
      <c r="T2336" s="11"/>
      <c r="U2336" s="11"/>
      <c r="V2336" s="229"/>
      <c r="W2336" s="229"/>
      <c r="X2336" s="229" t="str">
        <f>IFERROR(__xludf.DUMMYFUNCTION("""COMPUTED_VALUE"""),"GOLIVE")</f>
        <v>GOLIVE</v>
      </c>
      <c r="Y2336" s="229" t="str">
        <f>IFERROR(__xludf.DUMMYFUNCTION("""COMPUTED_VALUE"""),"DONE")</f>
        <v>DONE</v>
      </c>
      <c r="Z2336" s="229" t="str">
        <f>IFERROR(__xludf.DUMMYFUNCTION("""COMPUTED_VALUE"""),"#N/A")</f>
        <v>#N/A</v>
      </c>
      <c r="AA2336" s="229">
        <f>IFERROR(__xludf.DUMMYFUNCTION("""COMPUTED_VALUE"""),4.0)</f>
        <v>4</v>
      </c>
      <c r="AB2336" s="229">
        <f>IFERROR(__xludf.DUMMYFUNCTION("""COMPUTED_VALUE"""),1.0)</f>
        <v>1</v>
      </c>
      <c r="AC2336" s="229" t="str">
        <f>IFERROR(__xludf.DUMMYFUNCTION("""COMPUTED_VALUE"""),"9105865#9105870,9106848#9106853")</f>
        <v>9105865#9105870,9106848#9106853</v>
      </c>
      <c r="AD2336" s="232">
        <f>IFERROR(__xludf.DUMMYFUNCTION("""COMPUTED_VALUE"""),48.0)</f>
        <v>48</v>
      </c>
      <c r="AE2336" s="233">
        <f>IFERROR(__xludf.DUMMYFUNCTION("""COMPUTED_VALUE"""),46066.0)</f>
        <v>46066</v>
      </c>
      <c r="AF2336" s="54"/>
      <c r="AG2336" s="54"/>
      <c r="AH2336" s="54">
        <v>46066.0</v>
      </c>
      <c r="AI2336" s="55">
        <f t="shared" si="221"/>
        <v>0</v>
      </c>
      <c r="AW2336" s="234"/>
      <c r="BP2336" s="11"/>
      <c r="BQ2336" s="11"/>
      <c r="BV2336" s="158"/>
      <c r="BY2336" s="158"/>
      <c r="CB2336" s="158"/>
    </row>
    <row r="2337" ht="18.0" hidden="1" customHeight="1">
      <c r="A2337" s="222">
        <f>IFERROR(__xludf.DUMMYFUNCTION("""COMPUTED_VALUE"""),2026.0)</f>
        <v>2026</v>
      </c>
      <c r="B2337" s="221">
        <f>IFERROR(__xludf.DUMMYFUNCTION("""COMPUTED_VALUE"""),1.2385116E7)</f>
        <v>12385116</v>
      </c>
      <c r="C2337" s="222" t="str">
        <f>IFERROR(__xludf.DUMMYFUNCTION("""COMPUTED_VALUE"""),"ACH PT3 IDI-FN D04 ALUE BU TUHA")</f>
        <v>ACH PT3 IDI-FN D04 ALUE BU TUHA</v>
      </c>
      <c r="D2337" s="222" t="str">
        <f>IFERROR(__xludf.DUMMYFUNCTION("""COMPUTED_VALUE"""),"REGIONAL I")</f>
        <v>REGIONAL I</v>
      </c>
      <c r="E2337" s="222" t="str">
        <f>IFERROR(__xludf.DUMMYFUNCTION("""COMPUTED_VALUE"""),"ACEH")</f>
        <v>ACEH</v>
      </c>
      <c r="F2337" s="222" t="str">
        <f>IFERROR(__xludf.DUMMYFUNCTION("""COMPUTED_VALUE"""),"PRL")</f>
        <v>PRL</v>
      </c>
      <c r="G2337" s="222" t="str">
        <f>IFERROR(__xludf.DUMMYFUNCTION("""COMPUTED_VALUE"""),"SUMBAGUT")</f>
        <v>SUMBAGUT</v>
      </c>
      <c r="H2337" s="222" t="str">
        <f>IFERROR(__xludf.DUMMYFUNCTION("""COMPUTED_VALUE"""),"BINJAI")</f>
        <v>BINJAI</v>
      </c>
      <c r="I2337" s="222" t="str">
        <f>IFERROR(__xludf.DUMMYFUNCTION("""COMPUTED_VALUE"""),"Batch 3")</f>
        <v>Batch 3</v>
      </c>
      <c r="J2337" s="225">
        <f>IFERROR(__xludf.DUMMYFUNCTION("""COMPUTED_VALUE"""),19.0)</f>
        <v>19</v>
      </c>
      <c r="K2337" s="224">
        <f>IFERROR(__xludf.DUMMYFUNCTION("""COMPUTED_VALUE"""),152.0)</f>
        <v>152</v>
      </c>
      <c r="L2337" s="226">
        <f>IFERROR(__xludf.DUMMYFUNCTION("""COMPUTED_VALUE"""),1200958.0)</f>
        <v>1200958</v>
      </c>
      <c r="M2337" s="227">
        <f>IFERROR(__xludf.DUMMYFUNCTION("""COMPUTED_VALUE"""),1.82545563E8)</f>
        <v>182545563</v>
      </c>
      <c r="N2337" s="222" t="str">
        <f>IFERROR(__xludf.DUMMYFUNCTION("""COMPUTED_VALUE"""),"PT ARA PAYA INTAN")</f>
        <v>PT ARA PAYA INTAN</v>
      </c>
      <c r="O2337" s="222" t="str">
        <f>IFERROR(__xludf.DUMMYFUNCTION("""COMPUTED_VALUE"""),"7. GOLIVE")</f>
        <v>7. GOLIVE</v>
      </c>
      <c r="P2337" s="222" t="str">
        <f>IFERROR(__xludf.DUMMYFUNCTION("""COMPUTED_VALUE"""),"7.2 Golive Full / OA / DONE OTB")</f>
        <v>7.2 Golive Full / OA / DONE OTB</v>
      </c>
      <c r="Q2337" s="222" t="str">
        <f>IFERROR(__xludf.DUMMYFUNCTION("""COMPUTED_VALUE"""),"(10/03) Request Penambahan Module OLT IDI (05/03) Done CO, Persiapan Valins (27/02) Need CO Feeder (07/02) Terminasi ODP (29/01) progres pemasang odp ( perlu QE feder idi fn ) (22/01) Penarikan Kabel (18/02) Tanam Tiang")</f>
        <v>(10/03) Request Penambahan Module OLT IDI (05/03) Done CO, Persiapan Valins (27/02) Need CO Feeder (07/02) Terminasi ODP (29/01) progres pemasang odp ( perlu QE feder idi fn ) (22/01) Penarikan Kabel (18/02) Tanam Tiang</v>
      </c>
      <c r="R2337" s="228">
        <f>IFERROR(__xludf.DUMMYFUNCTION("""COMPUTED_VALUE"""),46115.0)</f>
        <v>46115</v>
      </c>
      <c r="S2337" s="11" t="str">
        <f>IFERROR(__xludf.DUMMYFUNCTION("""COMPUTED_VALUE"""),"MAR")</f>
        <v>MAR</v>
      </c>
      <c r="T2337" s="73"/>
      <c r="U2337" s="11" t="str">
        <f>IFERROR(__xludf.DUMMYFUNCTION("""COMPUTED_VALUE"""),"W04-1133/2025")</f>
        <v>W04-1133/2025</v>
      </c>
      <c r="V2337" s="229"/>
      <c r="W2337" s="229" t="str">
        <f>IFERROR(__xludf.DUMMYFUNCTION("""COMPUTED_VALUE"""),"#N/A")</f>
        <v>#N/A</v>
      </c>
      <c r="X2337" s="229" t="str">
        <f>IFERROR(__xludf.DUMMYFUNCTION("""COMPUTED_VALUE"""),"GOLIVE")</f>
        <v>GOLIVE</v>
      </c>
      <c r="Y2337" s="229" t="str">
        <f>IFERROR(__xludf.DUMMYFUNCTION("""COMPUTED_VALUE"""),"DONE")</f>
        <v>DONE</v>
      </c>
      <c r="Z2337" s="229" t="str">
        <f>IFERROR(__xludf.DUMMYFUNCTION("""COMPUTED_VALUE"""),"#N/A")</f>
        <v>#N/A</v>
      </c>
      <c r="AA2337" s="229">
        <f>IFERROR(__xludf.DUMMYFUNCTION("""COMPUTED_VALUE"""),19.0)</f>
        <v>19</v>
      </c>
      <c r="AB2337" s="229"/>
      <c r="AC2337" s="229" t="str">
        <f>IFERROR(__xludf.DUMMYFUNCTION("""COMPUTED_VALUE"""),"9205194#9205199")</f>
        <v>9205194#9205199</v>
      </c>
      <c r="AD2337" s="232">
        <f>IFERROR(__xludf.DUMMYFUNCTION("""COMPUTED_VALUE"""),152.0)</f>
        <v>152</v>
      </c>
      <c r="AE2337" s="233">
        <f>IFERROR(__xludf.DUMMYFUNCTION("""COMPUTED_VALUE"""),46115.0)</f>
        <v>46115</v>
      </c>
      <c r="AF2337" s="54"/>
      <c r="AG2337" s="54"/>
      <c r="AH2337" s="54">
        <v>46115.0</v>
      </c>
      <c r="AI2337" s="55">
        <f t="shared" si="221"/>
        <v>0</v>
      </c>
      <c r="AW2337" s="234"/>
      <c r="BP2337" s="11"/>
      <c r="BQ2337" s="11"/>
      <c r="BV2337" s="158"/>
      <c r="BY2337" s="158"/>
      <c r="CB2337" s="158"/>
    </row>
    <row r="2338" ht="18.0" hidden="1" customHeight="1">
      <c r="A2338" s="222">
        <f>IFERROR(__xludf.DUMMYFUNCTION("""COMPUTED_VALUE"""),2026.0)</f>
        <v>2026</v>
      </c>
      <c r="B2338" s="221">
        <f>IFERROR(__xludf.DUMMYFUNCTION("""COMPUTED_VALUE"""),1.1342769E7)</f>
        <v>11342769</v>
      </c>
      <c r="C2338" s="222" t="str">
        <f>IFERROR(__xludf.DUMMYFUNCTION("""COMPUTED_VALUE"""),"ACH PT3 LGS-FAK D03 BR P MAKAM LGS BARO")</f>
        <v>ACH PT3 LGS-FAK D03 BR P MAKAM LGS BARO</v>
      </c>
      <c r="D2338" s="222" t="str">
        <f>IFERROR(__xludf.DUMMYFUNCTION("""COMPUTED_VALUE"""),"REGIONAL I")</f>
        <v>REGIONAL I</v>
      </c>
      <c r="E2338" s="222" t="str">
        <f>IFERROR(__xludf.DUMMYFUNCTION("""COMPUTED_VALUE"""),"ACEH")</f>
        <v>ACEH</v>
      </c>
      <c r="F2338" s="222" t="str">
        <f>IFERROR(__xludf.DUMMYFUNCTION("""COMPUTED_VALUE"""),"LGS")</f>
        <v>LGS</v>
      </c>
      <c r="G2338" s="222" t="str">
        <f>IFERROR(__xludf.DUMMYFUNCTION("""COMPUTED_VALUE"""),"SUMBAGUT")</f>
        <v>SUMBAGUT</v>
      </c>
      <c r="H2338" s="222" t="str">
        <f>IFERROR(__xludf.DUMMYFUNCTION("""COMPUTED_VALUE"""),"BINJAI")</f>
        <v>BINJAI</v>
      </c>
      <c r="I2338" s="222" t="str">
        <f>IFERROR(__xludf.DUMMYFUNCTION("""COMPUTED_VALUE"""),"Batch 3")</f>
        <v>Batch 3</v>
      </c>
      <c r="J2338" s="225">
        <f>IFERROR(__xludf.DUMMYFUNCTION("""COMPUTED_VALUE"""),6.0)</f>
        <v>6</v>
      </c>
      <c r="K2338" s="224">
        <f>IFERROR(__xludf.DUMMYFUNCTION("""COMPUTED_VALUE"""),48.0)</f>
        <v>48</v>
      </c>
      <c r="L2338" s="226">
        <f>IFERROR(__xludf.DUMMYFUNCTION("""COMPUTED_VALUE"""),1199924.0)</f>
        <v>1199924</v>
      </c>
      <c r="M2338" s="227">
        <f>IFERROR(__xludf.DUMMYFUNCTION("""COMPUTED_VALUE"""),5.7596346E7)</f>
        <v>57596346</v>
      </c>
      <c r="N2338" s="222" t="str">
        <f>IFERROR(__xludf.DUMMYFUNCTION("""COMPUTED_VALUE"""),"PT ARA PAYA INTAN")</f>
        <v>PT ARA PAYA INTAN</v>
      </c>
      <c r="O2338" s="222" t="str">
        <f>IFERROR(__xludf.DUMMYFUNCTION("""COMPUTED_VALUE"""),"7. GOLIVE")</f>
        <v>7. GOLIVE</v>
      </c>
      <c r="P2338" s="222" t="str">
        <f>IFERROR(__xludf.DUMMYFUNCTION("""COMPUTED_VALUE"""),"7.2 Golive Full / OA / DONE OTB")</f>
        <v>7.2 Golive Full / OA / DONE OTB</v>
      </c>
      <c r="Q2338" s="222" t="str">
        <f>IFERROR(__xludf.DUMMYFUNCTION("""COMPUTED_VALUE"""),"(13/02) ABD Mancore (09/02) Proses Valins ")</f>
        <v>(13/02) ABD Mancore (09/02) Proses Valins </v>
      </c>
      <c r="R2338" s="228">
        <f>IFERROR(__xludf.DUMMYFUNCTION("""COMPUTED_VALUE"""),46070.0)</f>
        <v>46070</v>
      </c>
      <c r="S2338" s="11"/>
      <c r="T2338" s="11"/>
      <c r="U2338" s="11"/>
      <c r="V2338" s="229"/>
      <c r="W2338" s="229"/>
      <c r="X2338" s="229" t="str">
        <f>IFERROR(__xludf.DUMMYFUNCTION("""COMPUTED_VALUE"""),"GOLIVE")</f>
        <v>GOLIVE</v>
      </c>
      <c r="Y2338" s="229" t="str">
        <f>IFERROR(__xludf.DUMMYFUNCTION("""COMPUTED_VALUE"""),"DONE")</f>
        <v>DONE</v>
      </c>
      <c r="Z2338" s="229" t="str">
        <f>IFERROR(__xludf.DUMMYFUNCTION("""COMPUTED_VALUE"""),"#N/A")</f>
        <v>#N/A</v>
      </c>
      <c r="AA2338" s="229">
        <f>IFERROR(__xludf.DUMMYFUNCTION("""COMPUTED_VALUE"""),6.0)</f>
        <v>6</v>
      </c>
      <c r="AB2338" s="229"/>
      <c r="AC2338" s="229" t="str">
        <f>IFERROR(__xludf.DUMMYFUNCTION("""COMPUTED_VALUE"""),"8676791#8676796")</f>
        <v>8676791#8676796</v>
      </c>
      <c r="AD2338" s="232">
        <f>IFERROR(__xludf.DUMMYFUNCTION("""COMPUTED_VALUE"""),48.0)</f>
        <v>48</v>
      </c>
      <c r="AE2338" s="233">
        <f>IFERROR(__xludf.DUMMYFUNCTION("""COMPUTED_VALUE"""),46070.0)</f>
        <v>46070</v>
      </c>
      <c r="AF2338" s="54"/>
      <c r="AG2338" s="54"/>
      <c r="AH2338" s="54">
        <v>46070.0</v>
      </c>
      <c r="AI2338" s="55">
        <f t="shared" si="221"/>
        <v>0</v>
      </c>
      <c r="AW2338" s="234"/>
      <c r="BP2338" s="11"/>
      <c r="BQ2338" s="11"/>
      <c r="BV2338" s="158"/>
      <c r="BY2338" s="158"/>
      <c r="CB2338" s="158"/>
    </row>
    <row r="2339" ht="18.0" hidden="1" customHeight="1">
      <c r="A2339" s="222">
        <f>IFERROR(__xludf.DUMMYFUNCTION("""COMPUTED_VALUE"""),2026.0)</f>
        <v>2026</v>
      </c>
      <c r="B2339" s="221">
        <f>IFERROR(__xludf.DUMMYFUNCTION("""COMPUTED_VALUE"""),1.1272369E7)</f>
        <v>11272369</v>
      </c>
      <c r="C2339" s="222" t="str">
        <f>IFERROR(__xludf.DUMMYFUNCTION("""COMPUTED_VALUE"""),"MDN PT3 P1I1 TJP-FJ JL.PULAU BANYAK")</f>
        <v>MDN PT3 P1I1 TJP-FJ JL.PULAU BANYAK</v>
      </c>
      <c r="D2339" s="222" t="str">
        <f>IFERROR(__xludf.DUMMYFUNCTION("""COMPUTED_VALUE"""),"REGIONAL I")</f>
        <v>REGIONAL I</v>
      </c>
      <c r="E2339" s="222" t="str">
        <f>IFERROR(__xludf.DUMMYFUNCTION("""COMPUTED_VALUE"""),"MEDAN")</f>
        <v>MEDAN</v>
      </c>
      <c r="F2339" s="222" t="str">
        <f>IFERROR(__xludf.DUMMYFUNCTION("""COMPUTED_VALUE"""),"TJP")</f>
        <v>TJP</v>
      </c>
      <c r="G2339" s="222" t="str">
        <f>IFERROR(__xludf.DUMMYFUNCTION("""COMPUTED_VALUE"""),"SUMBAGUT")</f>
        <v>SUMBAGUT</v>
      </c>
      <c r="H2339" s="222" t="str">
        <f>IFERROR(__xludf.DUMMYFUNCTION("""COMPUTED_VALUE"""),"BINJAI")</f>
        <v>BINJAI</v>
      </c>
      <c r="I2339" s="222" t="str">
        <f>IFERROR(__xludf.DUMMYFUNCTION("""COMPUTED_VALUE"""),"Batch 3")</f>
        <v>Batch 3</v>
      </c>
      <c r="J2339" s="225">
        <f>IFERROR(__xludf.DUMMYFUNCTION("""COMPUTED_VALUE"""),12.0)</f>
        <v>12</v>
      </c>
      <c r="K2339" s="224">
        <f>IFERROR(__xludf.DUMMYFUNCTION("""COMPUTED_VALUE"""),96.0)</f>
        <v>96</v>
      </c>
      <c r="L2339" s="226">
        <f>IFERROR(__xludf.DUMMYFUNCTION("""COMPUTED_VALUE"""),1186796.0)</f>
        <v>1186796</v>
      </c>
      <c r="M2339" s="227">
        <f>IFERROR(__xludf.DUMMYFUNCTION("""COMPUTED_VALUE"""),1.13932407E8)</f>
        <v>113932407</v>
      </c>
      <c r="N2339" s="222" t="str">
        <f>IFERROR(__xludf.DUMMYFUNCTION("""COMPUTED_VALUE"""),"PT FIBERHOME TECHNOLOGIES INDONESIA")</f>
        <v>PT FIBERHOME TECHNOLOGIES INDONESIA</v>
      </c>
      <c r="O2339" s="222" t="str">
        <f>IFERROR(__xludf.DUMMYFUNCTION("""COMPUTED_VALUE"""),"8. UJI TERIMA")</f>
        <v>8. UJI TERIMA</v>
      </c>
      <c r="P2339" s="222" t="str">
        <f>IFERROR(__xludf.DUMMYFUNCTION("""COMPUTED_VALUE"""),"8.1 Proses UT")</f>
        <v>8.1 Proses UT</v>
      </c>
      <c r="Q2339" s="222"/>
      <c r="R2339" s="228">
        <f>IFERROR(__xludf.DUMMYFUNCTION("""COMPUTED_VALUE"""),46043.0)</f>
        <v>46043</v>
      </c>
      <c r="S2339" s="11"/>
      <c r="T2339" s="11"/>
      <c r="U2339" s="11" t="str">
        <f>IFERROR(__xludf.DUMMYFUNCTION("""COMPUTED_VALUE"""),"FALSE")</f>
        <v>FALSE</v>
      </c>
      <c r="V2339" s="229"/>
      <c r="W2339" s="229"/>
      <c r="X2339" s="229" t="str">
        <f>IFERROR(__xludf.DUMMYFUNCTION("""COMPUTED_VALUE"""),"GOLIVE")</f>
        <v>GOLIVE</v>
      </c>
      <c r="Y2339" s="229" t="str">
        <f>IFERROR(__xludf.DUMMYFUNCTION("""COMPUTED_VALUE"""),"DONE")</f>
        <v>DONE</v>
      </c>
      <c r="Z2339" s="229" t="str">
        <f>IFERROR(__xludf.DUMMYFUNCTION("""COMPUTED_VALUE"""),"#N/A")</f>
        <v>#N/A</v>
      </c>
      <c r="AA2339" s="229">
        <f>IFERROR(__xludf.DUMMYFUNCTION("""COMPUTED_VALUE"""),12.0)</f>
        <v>12</v>
      </c>
      <c r="AB2339" s="229"/>
      <c r="AC2339" s="229" t="str">
        <f>IFERROR(__xludf.DUMMYFUNCTION("""COMPUTED_VALUE"""),"8994453#8994458")</f>
        <v>8994453#8994458</v>
      </c>
      <c r="AD2339" s="232">
        <f>IFERROR(__xludf.DUMMYFUNCTION("""COMPUTED_VALUE"""),96.0)</f>
        <v>96</v>
      </c>
      <c r="AE2339" s="233">
        <f>IFERROR(__xludf.DUMMYFUNCTION("""COMPUTED_VALUE"""),46043.0)</f>
        <v>46043</v>
      </c>
      <c r="AF2339" s="54"/>
      <c r="AG2339" s="54"/>
      <c r="AH2339" s="54">
        <v>46043.0</v>
      </c>
      <c r="AI2339" s="55">
        <f t="shared" si="221"/>
        <v>0</v>
      </c>
      <c r="AW2339" s="234"/>
      <c r="BP2339" s="11"/>
      <c r="BQ2339" s="11"/>
      <c r="BV2339" s="158"/>
      <c r="BY2339" s="158"/>
      <c r="CB2339" s="158"/>
    </row>
    <row r="2340" ht="18.0" hidden="1" customHeight="1">
      <c r="A2340" s="222">
        <f>IFERROR(__xludf.DUMMYFUNCTION("""COMPUTED_VALUE"""),2026.0)</f>
        <v>2026</v>
      </c>
      <c r="B2340" s="221">
        <f>IFERROR(__xludf.DUMMYFUNCTION("""COMPUTED_VALUE"""),1.2205486E7)</f>
        <v>12205486</v>
      </c>
      <c r="C2340" s="222" t="str">
        <f>IFERROR(__xludf.DUMMYFUNCTION("""COMPUTED_VALUE"""),"BBL PT3 P3I4 BELITUNG HIJAU 2")</f>
        <v>BBL PT3 P3I4 BELITUNG HIJAU 2</v>
      </c>
      <c r="D2340" s="222" t="str">
        <f>IFERROR(__xludf.DUMMYFUNCTION("""COMPUTED_VALUE"""),"REGIONAL I")</f>
        <v>REGIONAL I</v>
      </c>
      <c r="E2340" s="222" t="str">
        <f>IFERROR(__xludf.DUMMYFUNCTION("""COMPUTED_VALUE"""),"BABEL")</f>
        <v>BABEL</v>
      </c>
      <c r="F2340" s="222" t="str">
        <f>IFERROR(__xludf.DUMMYFUNCTION("""COMPUTED_VALUE"""),"TJN")</f>
        <v>TJN</v>
      </c>
      <c r="G2340" s="222" t="str">
        <f>IFERROR(__xludf.DUMMYFUNCTION("""COMPUTED_VALUE"""),"SUMBAGSEL")</f>
        <v>SUMBAGSEL</v>
      </c>
      <c r="H2340" s="222" t="str">
        <f>IFERROR(__xludf.DUMMYFUNCTION("""COMPUTED_VALUE"""),"PANGKAL PINANG")</f>
        <v>PANGKAL PINANG</v>
      </c>
      <c r="I2340" s="222" t="str">
        <f>IFERROR(__xludf.DUMMYFUNCTION("""COMPUTED_VALUE"""),"Batch 3")</f>
        <v>Batch 3</v>
      </c>
      <c r="J2340" s="225">
        <f>IFERROR(__xludf.DUMMYFUNCTION("""COMPUTED_VALUE"""),7.0)</f>
        <v>7</v>
      </c>
      <c r="K2340" s="224">
        <f>IFERROR(__xludf.DUMMYFUNCTION("""COMPUTED_VALUE"""),56.0)</f>
        <v>56</v>
      </c>
      <c r="L2340" s="226">
        <f>IFERROR(__xludf.DUMMYFUNCTION("""COMPUTED_VALUE"""),1171116.0)</f>
        <v>1171116</v>
      </c>
      <c r="M2340" s="227">
        <f>IFERROR(__xludf.DUMMYFUNCTION("""COMPUTED_VALUE"""),6.5582481E7)</f>
        <v>65582481</v>
      </c>
      <c r="N2340" s="222" t="str">
        <f>IFERROR(__xludf.DUMMYFUNCTION("""COMPUTED_VALUE"""),"PT SARANA MITRA PERSADA")</f>
        <v>PT SARANA MITRA PERSADA</v>
      </c>
      <c r="O2340" s="222" t="str">
        <f>IFERROR(__xludf.DUMMYFUNCTION("""COMPUTED_VALUE"""),"7. GOLIVE")</f>
        <v>7. GOLIVE</v>
      </c>
      <c r="P2340" s="222" t="str">
        <f>IFERROR(__xludf.DUMMYFUNCTION("""COMPUTED_VALUE"""),"7.2 Golive Full / OA / DONE OTB")</f>
        <v>7.2 Golive Full / OA / DONE OTB</v>
      </c>
      <c r="Q2340" s="222" t="str">
        <f>IFERROR(__xludf.DUMMYFUNCTION("""COMPUTED_VALUE"""),"26/03 penarikan kabel 12D 3095m (16/03) penarikan kabel 12D 700m, penanaman 4 tiang (13/03) pengambilan material (12/03) suda req material (16/2) mitra smp kendala operasional (13/2) mitra smp kendala budget , konfirm ulang (19/01) drop (16/12) hold seles"&amp;"ai anwijzing 28/11 plan golive 18 desember (07/11) penunjukkan mitra")</f>
        <v>26/03 penarikan kabel 12D 3095m (16/03) penarikan kabel 12D 700m, penanaman 4 tiang (13/03) pengambilan material (12/03) suda req material (16/2) mitra smp kendala operasional (13/2) mitra smp kendala budget , konfirm ulang (19/01) drop (16/12) hold selesai anwijzing 28/11 plan golive 18 desember (07/11) penunjukkan mitra</v>
      </c>
      <c r="R2340" s="228">
        <f>IFERROR(__xludf.DUMMYFUNCTION("""COMPUTED_VALUE"""),46109.0)</f>
        <v>46109</v>
      </c>
      <c r="S2340" s="11" t="str">
        <f>IFERROR(__xludf.DUMMYFUNCTION("""COMPUTED_VALUE"""),"MAR")</f>
        <v>MAR</v>
      </c>
      <c r="T2340" s="11" t="str">
        <f>IFERROR(__xludf.DUMMYFUNCTION("""COMPUTED_VALUE"""),"P1")</f>
        <v>P1</v>
      </c>
      <c r="U2340" s="11"/>
      <c r="V2340" s="229"/>
      <c r="W2340" s="229"/>
      <c r="X2340" s="229" t="str">
        <f>IFERROR(__xludf.DUMMYFUNCTION("""COMPUTED_VALUE"""),"GOLIVE")</f>
        <v>GOLIVE</v>
      </c>
      <c r="Y2340" s="229" t="str">
        <f>IFERROR(__xludf.DUMMYFUNCTION("""COMPUTED_VALUE"""),"DONE")</f>
        <v>DONE</v>
      </c>
      <c r="Z2340" s="229" t="str">
        <f>IFERROR(__xludf.DUMMYFUNCTION("""COMPUTED_VALUE"""),"#N/A")</f>
        <v>#N/A</v>
      </c>
      <c r="AA2340" s="229">
        <f>IFERROR(__xludf.DUMMYFUNCTION("""COMPUTED_VALUE"""),3.0)</f>
        <v>3</v>
      </c>
      <c r="AB2340" s="229">
        <f>IFERROR(__xludf.DUMMYFUNCTION("""COMPUTED_VALUE"""),2.0)</f>
        <v>2</v>
      </c>
      <c r="AC2340" s="229" t="str">
        <f>IFERROR(__xludf.DUMMYFUNCTION("""COMPUTED_VALUE"""),"9227266#9227271")</f>
        <v>9227266#9227271</v>
      </c>
      <c r="AD2340" s="232">
        <f>IFERROR(__xludf.DUMMYFUNCTION("""COMPUTED_VALUE"""),56.0)</f>
        <v>56</v>
      </c>
      <c r="AE2340" s="233">
        <f>IFERROR(__xludf.DUMMYFUNCTION("""COMPUTED_VALUE"""),46110.0)</f>
        <v>46110</v>
      </c>
      <c r="AF2340" s="54"/>
      <c r="AG2340" s="54"/>
      <c r="AH2340" s="54">
        <v>46109.0</v>
      </c>
      <c r="AI2340" s="55">
        <f t="shared" si="221"/>
        <v>-1</v>
      </c>
      <c r="AW2340" s="234"/>
      <c r="BP2340" s="11"/>
      <c r="BQ2340" s="11"/>
      <c r="BV2340" s="158"/>
      <c r="BY2340" s="158"/>
      <c r="CB2340" s="158"/>
    </row>
    <row r="2341" ht="18.0" hidden="1" customHeight="1">
      <c r="A2341" s="222">
        <f>IFERROR(__xludf.DUMMYFUNCTION("""COMPUTED_VALUE"""),2026.0)</f>
        <v>2026</v>
      </c>
      <c r="B2341" s="221">
        <f>IFERROR(__xludf.DUMMYFUNCTION("""COMPUTED_VALUE"""),1.1263804E7)</f>
        <v>11263804</v>
      </c>
      <c r="C2341" s="222" t="str">
        <f>IFERROR(__xludf.DUMMYFUNCTION("""COMPUTED_VALUE"""),"ACH PT3 TKN-FS BR.D05 PAYA JEGET")</f>
        <v>ACH PT3 TKN-FS BR.D05 PAYA JEGET</v>
      </c>
      <c r="D2341" s="222" t="str">
        <f>IFERROR(__xludf.DUMMYFUNCTION("""COMPUTED_VALUE"""),"REGIONAL I")</f>
        <v>REGIONAL I</v>
      </c>
      <c r="E2341" s="222" t="str">
        <f>IFERROR(__xludf.DUMMYFUNCTION("""COMPUTED_VALUE"""),"ACEH")</f>
        <v>ACEH</v>
      </c>
      <c r="F2341" s="222" t="str">
        <f>IFERROR(__xludf.DUMMYFUNCTION("""COMPUTED_VALUE"""),"TKN")</f>
        <v>TKN</v>
      </c>
      <c r="G2341" s="222" t="str">
        <f>IFERROR(__xludf.DUMMYFUNCTION("""COMPUTED_VALUE"""),"SUMBAGUT")</f>
        <v>SUMBAGUT</v>
      </c>
      <c r="H2341" s="222" t="str">
        <f>IFERROR(__xludf.DUMMYFUNCTION("""COMPUTED_VALUE"""),"BANDA ACEH")</f>
        <v>BANDA ACEH</v>
      </c>
      <c r="I2341" s="222" t="str">
        <f>IFERROR(__xludf.DUMMYFUNCTION("""COMPUTED_VALUE"""),"Batch 3")</f>
        <v>Batch 3</v>
      </c>
      <c r="J2341" s="225">
        <f>IFERROR(__xludf.DUMMYFUNCTION("""COMPUTED_VALUE"""),3.0)</f>
        <v>3</v>
      </c>
      <c r="K2341" s="224">
        <f>IFERROR(__xludf.DUMMYFUNCTION("""COMPUTED_VALUE"""),24.0)</f>
        <v>24</v>
      </c>
      <c r="L2341" s="226">
        <f>IFERROR(__xludf.DUMMYFUNCTION("""COMPUTED_VALUE"""),1160373.0)</f>
        <v>1160373</v>
      </c>
      <c r="M2341" s="227">
        <f>IFERROR(__xludf.DUMMYFUNCTION("""COMPUTED_VALUE"""),2.7848943E7)</f>
        <v>27848943</v>
      </c>
      <c r="N2341" s="222" t="str">
        <f>IFERROR(__xludf.DUMMYFUNCTION("""COMPUTED_VALUE"""),"PT KANA PRISMA AKSES")</f>
        <v>PT KANA PRISMA AKSES</v>
      </c>
      <c r="O2341" s="222" t="str">
        <f>IFERROR(__xludf.DUMMYFUNCTION("""COMPUTED_VALUE"""),"7. GOLIVE")</f>
        <v>7. GOLIVE</v>
      </c>
      <c r="P2341" s="222" t="str">
        <f>IFERROR(__xludf.DUMMYFUNCTION("""COMPUTED_VALUE"""),"7.2 Golive Full / OA / DONE OTB")</f>
        <v>7.2 Golive Full / OA / DONE OTB</v>
      </c>
      <c r="Q2341" s="222"/>
      <c r="R2341" s="228">
        <f>IFERROR(__xludf.DUMMYFUNCTION("""COMPUTED_VALUE"""),46039.0)</f>
        <v>46039</v>
      </c>
      <c r="S2341" s="11"/>
      <c r="T2341" s="11"/>
      <c r="U2341" s="11"/>
      <c r="V2341" s="229"/>
      <c r="W2341" s="229"/>
      <c r="X2341" s="229" t="str">
        <f>IFERROR(__xludf.DUMMYFUNCTION("""COMPUTED_VALUE"""),"GOLIVE")</f>
        <v>GOLIVE</v>
      </c>
      <c r="Y2341" s="229" t="str">
        <f>IFERROR(__xludf.DUMMYFUNCTION("""COMPUTED_VALUE"""),"DONE")</f>
        <v>DONE</v>
      </c>
      <c r="Z2341" s="229" t="str">
        <f>IFERROR(__xludf.DUMMYFUNCTION("""COMPUTED_VALUE"""),"#N/A")</f>
        <v>#N/A</v>
      </c>
      <c r="AA2341" s="229">
        <f>IFERROR(__xludf.DUMMYFUNCTION("""COMPUTED_VALUE"""),3.0)</f>
        <v>3</v>
      </c>
      <c r="AB2341" s="229"/>
      <c r="AC2341" s="229" t="str">
        <f>IFERROR(__xludf.DUMMYFUNCTION("""COMPUTED_VALUE"""),"8977983#8977988")</f>
        <v>8977983#8977988</v>
      </c>
      <c r="AD2341" s="232">
        <f>IFERROR(__xludf.DUMMYFUNCTION("""COMPUTED_VALUE"""),24.0)</f>
        <v>24</v>
      </c>
      <c r="AE2341" s="233">
        <f>IFERROR(__xludf.DUMMYFUNCTION("""COMPUTED_VALUE"""),46039.0)</f>
        <v>46039</v>
      </c>
      <c r="AF2341" s="54"/>
      <c r="AG2341" s="54"/>
      <c r="AH2341" s="54">
        <v>46039.0</v>
      </c>
      <c r="AI2341" s="55">
        <f t="shared" si="221"/>
        <v>0</v>
      </c>
      <c r="AW2341" s="234"/>
      <c r="BP2341" s="11"/>
      <c r="BQ2341" s="11"/>
      <c r="BV2341" s="158"/>
      <c r="BY2341" s="158"/>
      <c r="CB2341" s="158"/>
    </row>
    <row r="2342" ht="18.0" hidden="1" customHeight="1">
      <c r="A2342" s="222">
        <f>IFERROR(__xludf.DUMMYFUNCTION("""COMPUTED_VALUE"""),2026.0)</f>
        <v>2026</v>
      </c>
      <c r="B2342" s="221">
        <f>IFERROR(__xludf.DUMMYFUNCTION("""COMPUTED_VALUE"""),1.2384694E7)</f>
        <v>12384694</v>
      </c>
      <c r="C2342" s="222" t="str">
        <f>IFERROR(__xludf.DUMMYFUNCTION("""COMPUTED_VALUE"""),"ACH PT3 PRL-FD D03 BR PERUM KUALA PAREK")</f>
        <v>ACH PT3 PRL-FD D03 BR PERUM KUALA PAREK</v>
      </c>
      <c r="D2342" s="222" t="str">
        <f>IFERROR(__xludf.DUMMYFUNCTION("""COMPUTED_VALUE"""),"REGIONAL I")</f>
        <v>REGIONAL I</v>
      </c>
      <c r="E2342" s="222" t="str">
        <f>IFERROR(__xludf.DUMMYFUNCTION("""COMPUTED_VALUE"""),"ACEH")</f>
        <v>ACEH</v>
      </c>
      <c r="F2342" s="222" t="str">
        <f>IFERROR(__xludf.DUMMYFUNCTION("""COMPUTED_VALUE"""),"PRL")</f>
        <v>PRL</v>
      </c>
      <c r="G2342" s="222" t="str">
        <f>IFERROR(__xludf.DUMMYFUNCTION("""COMPUTED_VALUE"""),"SUMBAGUT")</f>
        <v>SUMBAGUT</v>
      </c>
      <c r="H2342" s="222" t="str">
        <f>IFERROR(__xludf.DUMMYFUNCTION("""COMPUTED_VALUE"""),"BINJAI")</f>
        <v>BINJAI</v>
      </c>
      <c r="I2342" s="222" t="str">
        <f>IFERROR(__xludf.DUMMYFUNCTION("""COMPUTED_VALUE"""),"Batch 3")</f>
        <v>Batch 3</v>
      </c>
      <c r="J2342" s="225">
        <f>IFERROR(__xludf.DUMMYFUNCTION("""COMPUTED_VALUE"""),11.0)</f>
        <v>11</v>
      </c>
      <c r="K2342" s="224">
        <f>IFERROR(__xludf.DUMMYFUNCTION("""COMPUTED_VALUE"""),88.0)</f>
        <v>88</v>
      </c>
      <c r="L2342" s="226">
        <f>IFERROR(__xludf.DUMMYFUNCTION("""COMPUTED_VALUE"""),1144093.0)</f>
        <v>1144093</v>
      </c>
      <c r="M2342" s="227">
        <f>IFERROR(__xludf.DUMMYFUNCTION("""COMPUTED_VALUE"""),1.00680097E8)</f>
        <v>100680097</v>
      </c>
      <c r="N2342" s="222" t="str">
        <f>IFERROR(__xludf.DUMMYFUNCTION("""COMPUTED_VALUE"""),"PT ARA PAYA INTAN")</f>
        <v>PT ARA PAYA INTAN</v>
      </c>
      <c r="O2342" s="222" t="str">
        <f>IFERROR(__xludf.DUMMYFUNCTION("""COMPUTED_VALUE"""),"7. GOLIVE")</f>
        <v>7. GOLIVE</v>
      </c>
      <c r="P2342" s="222" t="str">
        <f>IFERROR(__xludf.DUMMYFUNCTION("""COMPUTED_VALUE"""),"7.2 Golive Full / OA / DONE OTB")</f>
        <v>7.2 Golive Full / OA / DONE OTB</v>
      </c>
      <c r="Q2342" s="222" t="str">
        <f>IFERROR(__xludf.DUMMYFUNCTION("""COMPUTED_VALUE"""),"(13/02) ABD Mancore (09/02) Penarikan Kabel (04/02) Tanam Tiang (02/02) DelMat (29/01) progres pengambilan material")</f>
        <v>(13/02) ABD Mancore (09/02) Penarikan Kabel (04/02) Tanam Tiang (02/02) DelMat (29/01) progres pengambilan material</v>
      </c>
      <c r="R2342" s="228">
        <f>IFERROR(__xludf.DUMMYFUNCTION("""COMPUTED_VALUE"""),46069.0)</f>
        <v>46069</v>
      </c>
      <c r="S2342" s="11"/>
      <c r="T2342" s="11"/>
      <c r="U2342" s="11" t="str">
        <f>IFERROR(__xludf.DUMMYFUNCTION("""COMPUTED_VALUE"""),"W04-1132/2025")</f>
        <v>W04-1132/2025</v>
      </c>
      <c r="V2342" s="229"/>
      <c r="W2342" s="229"/>
      <c r="X2342" s="229" t="str">
        <f>IFERROR(__xludf.DUMMYFUNCTION("""COMPUTED_VALUE"""),"GOLIVE")</f>
        <v>GOLIVE</v>
      </c>
      <c r="Y2342" s="229" t="str">
        <f>IFERROR(__xludf.DUMMYFUNCTION("""COMPUTED_VALUE"""),"DONE")</f>
        <v>DONE</v>
      </c>
      <c r="Z2342" s="229" t="str">
        <f>IFERROR(__xludf.DUMMYFUNCTION("""COMPUTED_VALUE"""),"#N/A")</f>
        <v>#N/A</v>
      </c>
      <c r="AA2342" s="229">
        <f>IFERROR(__xludf.DUMMYFUNCTION("""COMPUTED_VALUE"""),11.0)</f>
        <v>11</v>
      </c>
      <c r="AB2342" s="229"/>
      <c r="AC2342" s="229" t="str">
        <f>IFERROR(__xludf.DUMMYFUNCTION("""COMPUTED_VALUE"""),"9111286#9111291")</f>
        <v>9111286#9111291</v>
      </c>
      <c r="AD2342" s="232">
        <f>IFERROR(__xludf.DUMMYFUNCTION("""COMPUTED_VALUE"""),88.0)</f>
        <v>88</v>
      </c>
      <c r="AE2342" s="233">
        <f>IFERROR(__xludf.DUMMYFUNCTION("""COMPUTED_VALUE"""),46069.0)</f>
        <v>46069</v>
      </c>
      <c r="AF2342" s="54"/>
      <c r="AG2342" s="54"/>
      <c r="AH2342" s="54">
        <v>46069.0</v>
      </c>
      <c r="AI2342" s="55">
        <f t="shared" si="221"/>
        <v>0</v>
      </c>
      <c r="AW2342" s="234"/>
      <c r="BP2342" s="11"/>
      <c r="BQ2342" s="11"/>
      <c r="BV2342" s="158"/>
      <c r="BY2342" s="158"/>
      <c r="CB2342" s="158"/>
    </row>
    <row r="2343" ht="18.0" hidden="1" customHeight="1">
      <c r="A2343" s="222">
        <f>IFERROR(__xludf.DUMMYFUNCTION("""COMPUTED_VALUE"""),2026.0)</f>
        <v>2026</v>
      </c>
      <c r="B2343" s="221">
        <f>IFERROR(__xludf.DUMMYFUNCTION("""COMPUTED_VALUE"""),1.1516653E7)</f>
        <v>11516653</v>
      </c>
      <c r="C2343" s="222" t="str">
        <f>IFERROR(__xludf.DUMMYFUNCTION("""COMPUTED_VALUE"""),"ACH PT3 MBO-FB D06 UJONG BAROH-KALAK")</f>
        <v>ACH PT3 MBO-FB D06 UJONG BAROH-KALAK</v>
      </c>
      <c r="D2343" s="222" t="str">
        <f>IFERROR(__xludf.DUMMYFUNCTION("""COMPUTED_VALUE"""),"REGIONAL I")</f>
        <v>REGIONAL I</v>
      </c>
      <c r="E2343" s="222" t="str">
        <f>IFERROR(__xludf.DUMMYFUNCTION("""COMPUTED_VALUE"""),"ACEH")</f>
        <v>ACEH</v>
      </c>
      <c r="F2343" s="222" t="str">
        <f>IFERROR(__xludf.DUMMYFUNCTION("""COMPUTED_VALUE"""),"MBO")</f>
        <v>MBO</v>
      </c>
      <c r="G2343" s="222" t="str">
        <f>IFERROR(__xludf.DUMMYFUNCTION("""COMPUTED_VALUE"""),"SUMBAGUT")</f>
        <v>SUMBAGUT</v>
      </c>
      <c r="H2343" s="222" t="str">
        <f>IFERROR(__xludf.DUMMYFUNCTION("""COMPUTED_VALUE"""),"BANDA ACEH")</f>
        <v>BANDA ACEH</v>
      </c>
      <c r="I2343" s="222" t="str">
        <f>IFERROR(__xludf.DUMMYFUNCTION("""COMPUTED_VALUE"""),"Batch 3")</f>
        <v>Batch 3</v>
      </c>
      <c r="J2343" s="225">
        <f>IFERROR(__xludf.DUMMYFUNCTION("""COMPUTED_VALUE"""),9.0)</f>
        <v>9</v>
      </c>
      <c r="K2343" s="224">
        <f>IFERROR(__xludf.DUMMYFUNCTION("""COMPUTED_VALUE"""),72.0)</f>
        <v>72</v>
      </c>
      <c r="L2343" s="226">
        <f>IFERROR(__xludf.DUMMYFUNCTION("""COMPUTED_VALUE"""),1138369.0)</f>
        <v>1138369</v>
      </c>
      <c r="M2343" s="227">
        <f>IFERROR(__xludf.DUMMYFUNCTION("""COMPUTED_VALUE"""),8.1962532E7)</f>
        <v>81962532</v>
      </c>
      <c r="N2343" s="222" t="str">
        <f>IFERROR(__xludf.DUMMYFUNCTION("""COMPUTED_VALUE"""),"PT NURISA JAYA PERKASA")</f>
        <v>PT NURISA JAYA PERKASA</v>
      </c>
      <c r="O2343" s="222" t="str">
        <f>IFERROR(__xludf.DUMMYFUNCTION("""COMPUTED_VALUE"""),"7. GOLIVE")</f>
        <v>7. GOLIVE</v>
      </c>
      <c r="P2343" s="222" t="str">
        <f>IFERROR(__xludf.DUMMYFUNCTION("""COMPUTED_VALUE"""),"7.2 Golive Full / OA / DONE OTB")</f>
        <v>7.2 Golive Full / OA / DONE OTB</v>
      </c>
      <c r="Q2343" s="222" t="str">
        <f>IFERROR(__xludf.DUMMYFUNCTION("""COMPUTED_VALUE"""),"(09/02) ABD Mancore (30/01) proses ABD MANCORE  (21/01) Tanam Tiang (18/01) Persiapan ")</f>
        <v>(09/02) ABD Mancore (30/01) proses ABD MANCORE  (21/01) Tanam Tiang (18/01) Persiapan </v>
      </c>
      <c r="R2343" s="228">
        <f>IFERROR(__xludf.DUMMYFUNCTION("""COMPUTED_VALUE"""),46063.0)</f>
        <v>46063</v>
      </c>
      <c r="S2343" s="11"/>
      <c r="T2343" s="11"/>
      <c r="U2343" s="11"/>
      <c r="V2343" s="229"/>
      <c r="W2343" s="229"/>
      <c r="X2343" s="229" t="str">
        <f>IFERROR(__xludf.DUMMYFUNCTION("""COMPUTED_VALUE"""),"GOLIVE")</f>
        <v>GOLIVE</v>
      </c>
      <c r="Y2343" s="229" t="str">
        <f>IFERROR(__xludf.DUMMYFUNCTION("""COMPUTED_VALUE"""),"DONE")</f>
        <v>DONE</v>
      </c>
      <c r="Z2343" s="229" t="str">
        <f>IFERROR(__xludf.DUMMYFUNCTION("""COMPUTED_VALUE"""),"#N/A")</f>
        <v>#N/A</v>
      </c>
      <c r="AA2343" s="229">
        <f>IFERROR(__xludf.DUMMYFUNCTION("""COMPUTED_VALUE"""),6.0)</f>
        <v>6</v>
      </c>
      <c r="AB2343" s="229"/>
      <c r="AC2343" s="229" t="str">
        <f>IFERROR(__xludf.DUMMYFUNCTION("""COMPUTED_VALUE"""),"9087762#9087767")</f>
        <v>9087762#9087767</v>
      </c>
      <c r="AD2343" s="232">
        <f>IFERROR(__xludf.DUMMYFUNCTION("""COMPUTED_VALUE"""),48.0)</f>
        <v>48</v>
      </c>
      <c r="AE2343" s="233">
        <f>IFERROR(__xludf.DUMMYFUNCTION("""COMPUTED_VALUE"""),46063.0)</f>
        <v>46063</v>
      </c>
      <c r="AF2343" s="54"/>
      <c r="AG2343" s="54"/>
      <c r="AH2343" s="54">
        <v>46063.0</v>
      </c>
      <c r="AI2343" s="55">
        <f t="shared" si="221"/>
        <v>0</v>
      </c>
      <c r="AW2343" s="234"/>
      <c r="BP2343" s="11"/>
      <c r="BQ2343" s="11"/>
      <c r="BV2343" s="158"/>
      <c r="BY2343" s="158"/>
      <c r="CB2343" s="158"/>
    </row>
    <row r="2344" ht="18.0" hidden="1" customHeight="1">
      <c r="A2344" s="222">
        <f>IFERROR(__xludf.DUMMYFUNCTION("""COMPUTED_VALUE"""),2026.0)</f>
        <v>2026</v>
      </c>
      <c r="B2344" s="221">
        <f>IFERROR(__xludf.DUMMYFUNCTION("""COMPUTED_VALUE"""),1.1264283E7)</f>
        <v>11264283</v>
      </c>
      <c r="C2344" s="222" t="str">
        <f>IFERROR(__xludf.DUMMYFUNCTION("""COMPUTED_VALUE"""),"ACH PT4 JRM-FY KUTA TRIENG")</f>
        <v>ACH PT4 JRM-FY KUTA TRIENG</v>
      </c>
      <c r="D2344" s="222" t="str">
        <f>IFERROR(__xludf.DUMMYFUNCTION("""COMPUTED_VALUE"""),"REGIONAL I")</f>
        <v>REGIONAL I</v>
      </c>
      <c r="E2344" s="222" t="str">
        <f>IFERROR(__xludf.DUMMYFUNCTION("""COMPUTED_VALUE"""),"ACEH")</f>
        <v>ACEH</v>
      </c>
      <c r="F2344" s="222" t="str">
        <f>IFERROR(__xludf.DUMMYFUNCTION("""COMPUTED_VALUE"""),"JRM")</f>
        <v>JRM</v>
      </c>
      <c r="G2344" s="222" t="str">
        <f>IFERROR(__xludf.DUMMYFUNCTION("""COMPUTED_VALUE"""),"SUMBAGUT")</f>
        <v>SUMBAGUT</v>
      </c>
      <c r="H2344" s="222" t="str">
        <f>IFERROR(__xludf.DUMMYFUNCTION("""COMPUTED_VALUE"""),"BANDA ACEH")</f>
        <v>BANDA ACEH</v>
      </c>
      <c r="I2344" s="222" t="str">
        <f>IFERROR(__xludf.DUMMYFUNCTION("""COMPUTED_VALUE"""),"Batch 3")</f>
        <v>Batch 3</v>
      </c>
      <c r="J2344" s="225">
        <f>IFERROR(__xludf.DUMMYFUNCTION("""COMPUTED_VALUE"""),34.0)</f>
        <v>34</v>
      </c>
      <c r="K2344" s="224">
        <f>IFERROR(__xludf.DUMMYFUNCTION("""COMPUTED_VALUE"""),272.0)</f>
        <v>272</v>
      </c>
      <c r="L2344" s="226">
        <f>IFERROR(__xludf.DUMMYFUNCTION("""COMPUTED_VALUE"""),1135701.0)</f>
        <v>1135701</v>
      </c>
      <c r="M2344" s="227">
        <f>IFERROR(__xludf.DUMMYFUNCTION("""COMPUTED_VALUE"""),3.08910427E8)</f>
        <v>308910427</v>
      </c>
      <c r="N2344" s="222" t="str">
        <f>IFERROR(__xludf.DUMMYFUNCTION("""COMPUTED_VALUE"""),"PT TRIPOLI JAYA GROUP")</f>
        <v>PT TRIPOLI JAYA GROUP</v>
      </c>
      <c r="O2344" s="222" t="str">
        <f>IFERROR(__xludf.DUMMYFUNCTION("""COMPUTED_VALUE"""),"5. INSTALASI")</f>
        <v>5. INSTALASI</v>
      </c>
      <c r="P2344" s="222" t="str">
        <f>IFERROR(__xludf.DUMMYFUNCTION("""COMPUTED_VALUE"""),"5.6 Proses Penarikan Kabel")</f>
        <v>5.6 Proses Penarikan Kabel</v>
      </c>
      <c r="Q2344" s="222" t="str">
        <f>IFERROR(__xludf.DUMMYFUNCTION("""COMPUTED_VALUE"""),"(21/04) Req CRA CRQ untuk Permanen Feeder Existing (14/04) Penarikan Kabel (25/03) Penarikan Kabel (10/03) Persiapan Terminasi (30/01) penarikan kabel")</f>
        <v>(21/04) Req CRA CRQ untuk Permanen Feeder Existing (14/04) Penarikan Kabel (25/03) Penarikan Kabel (10/03) Persiapan Terminasi (30/01) penarikan kabel</v>
      </c>
      <c r="R2344" s="228">
        <f>IFERROR(__xludf.DUMMYFUNCTION("""COMPUTED_VALUE"""),46142.0)</f>
        <v>46142</v>
      </c>
      <c r="S2344" s="11" t="str">
        <f>IFERROR(__xludf.DUMMYFUNCTION("""COMPUTED_VALUE"""),"APR")</f>
        <v>APR</v>
      </c>
      <c r="T2344" s="73"/>
      <c r="U2344" s="11"/>
      <c r="V2344" s="229"/>
      <c r="W2344" s="229" t="str">
        <f>IFERROR(__xludf.DUMMYFUNCTION("""COMPUTED_VALUE"""),"#N/A")</f>
        <v>#N/A</v>
      </c>
      <c r="X2344" s="229" t="str">
        <f>IFERROR(__xludf.DUMMYFUNCTION("""COMPUTED_VALUE"""),"BELUM GOLIVE")</f>
        <v>BELUM GOLIVE</v>
      </c>
      <c r="Y2344" s="229"/>
      <c r="Z2344" s="229" t="str">
        <f>IFERROR(__xludf.DUMMYFUNCTION("""COMPUTED_VALUE"""),"#N/A")</f>
        <v>#N/A</v>
      </c>
      <c r="AA2344" s="229"/>
      <c r="AB2344" s="229"/>
      <c r="AC2344" s="229"/>
      <c r="AD2344" s="232"/>
      <c r="AE2344" s="233"/>
      <c r="AF2344" s="54"/>
      <c r="AG2344" s="54"/>
      <c r="AH2344" s="54">
        <v>46137.0</v>
      </c>
      <c r="AI2344" s="55" t="str">
        <f t="shared" si="221"/>
        <v/>
      </c>
      <c r="AW2344" s="234"/>
      <c r="BP2344" s="11"/>
      <c r="BQ2344" s="11"/>
      <c r="BV2344" s="158"/>
      <c r="BY2344" s="158"/>
      <c r="CB2344" s="158"/>
    </row>
    <row r="2345" ht="18.0" hidden="1" customHeight="1">
      <c r="A2345" s="222">
        <f>IFERROR(__xludf.DUMMYFUNCTION("""COMPUTED_VALUE"""),2026.0)</f>
        <v>2026</v>
      </c>
      <c r="B2345" s="221">
        <f>IFERROR(__xludf.DUMMYFUNCTION("""COMPUTED_VALUE"""),1.1064089E7)</f>
        <v>11064089</v>
      </c>
      <c r="C2345" s="222" t="str">
        <f>IFERROR(__xludf.DUMMYFUNCTION("""COMPUTED_VALUE"""),"ACH PT3 LGS-FAF D01 BR ARAMIYAH BIREUM BAYEUN")</f>
        <v>ACH PT3 LGS-FAF D01 BR ARAMIYAH BIREUM BAYEUN</v>
      </c>
      <c r="D2345" s="222" t="str">
        <f>IFERROR(__xludf.DUMMYFUNCTION("""COMPUTED_VALUE"""),"REGIONAL I")</f>
        <v>REGIONAL I</v>
      </c>
      <c r="E2345" s="222" t="str">
        <f>IFERROR(__xludf.DUMMYFUNCTION("""COMPUTED_VALUE"""),"ACEH")</f>
        <v>ACEH</v>
      </c>
      <c r="F2345" s="222" t="str">
        <f>IFERROR(__xludf.DUMMYFUNCTION("""COMPUTED_VALUE"""),"LGS")</f>
        <v>LGS</v>
      </c>
      <c r="G2345" s="222" t="str">
        <f>IFERROR(__xludf.DUMMYFUNCTION("""COMPUTED_VALUE"""),"SUMBAGUT")</f>
        <v>SUMBAGUT</v>
      </c>
      <c r="H2345" s="222" t="str">
        <f>IFERROR(__xludf.DUMMYFUNCTION("""COMPUTED_VALUE"""),"BINJAI")</f>
        <v>BINJAI</v>
      </c>
      <c r="I2345" s="222" t="str">
        <f>IFERROR(__xludf.DUMMYFUNCTION("""COMPUTED_VALUE"""),"Batch 3")</f>
        <v>Batch 3</v>
      </c>
      <c r="J2345" s="225">
        <f>IFERROR(__xludf.DUMMYFUNCTION("""COMPUTED_VALUE"""),15.0)</f>
        <v>15</v>
      </c>
      <c r="K2345" s="224">
        <f>IFERROR(__xludf.DUMMYFUNCTION("""COMPUTED_VALUE"""),120.0)</f>
        <v>120</v>
      </c>
      <c r="L2345" s="226">
        <f>IFERROR(__xludf.DUMMYFUNCTION("""COMPUTED_VALUE"""),1131302.0)</f>
        <v>1131302</v>
      </c>
      <c r="M2345" s="227">
        <f>IFERROR(__xludf.DUMMYFUNCTION("""COMPUTED_VALUE"""),1.35756224E8)</f>
        <v>135756224</v>
      </c>
      <c r="N2345" s="222" t="str">
        <f>IFERROR(__xludf.DUMMYFUNCTION("""COMPUTED_VALUE"""),"PT NURISA JAYA PERKASA")</f>
        <v>PT NURISA JAYA PERKASA</v>
      </c>
      <c r="O2345" s="222" t="str">
        <f>IFERROR(__xludf.DUMMYFUNCTION("""COMPUTED_VALUE"""),"6. FINISH INSTALASI")</f>
        <v>6. FINISH INSTALASI</v>
      </c>
      <c r="P2345" s="222" t="str">
        <f>IFERROR(__xludf.DUMMYFUNCTION("""COMPUTED_VALUE"""),"6.4 Kendala - Modul OLT")</f>
        <v>6.4 Kendala - Modul OLT</v>
      </c>
      <c r="Q2345" s="222" t="str">
        <f>IFERROR(__xludf.DUMMYFUNCTION("""COMPUTED_VALUE"""),"(05/03) Menunggu Penambahan Module OLT (07/02) Need Penambahan Module OLT ALD3 (21/01) Waiting Big OLT STO LGS")</f>
        <v>(05/03) Menunggu Penambahan Module OLT (07/02) Need Penambahan Module OLT ALD3 (21/01) Waiting Big OLT STO LGS</v>
      </c>
      <c r="R2345" s="228">
        <f>IFERROR(__xludf.DUMMYFUNCTION("""COMPUTED_VALUE"""),46141.0)</f>
        <v>46141</v>
      </c>
      <c r="S2345" s="11"/>
      <c r="T2345" s="73"/>
      <c r="U2345" s="11"/>
      <c r="V2345" s="229" t="str">
        <f>IFERROR(__xludf.DUMMYFUNCTION("""COMPUTED_VALUE"""),"29/Apr/2026")</f>
        <v>29/Apr/2026</v>
      </c>
      <c r="W2345" s="229" t="str">
        <f>IFERROR(__xludf.DUMMYFUNCTION("""COMPUTED_VALUE"""),"#N/A")</f>
        <v>#N/A</v>
      </c>
      <c r="X2345" s="229" t="str">
        <f>IFERROR(__xludf.DUMMYFUNCTION("""COMPUTED_VALUE"""),"BELUM GOLIVE")</f>
        <v>BELUM GOLIVE</v>
      </c>
      <c r="Y2345" s="229" t="str">
        <f>IFERROR(__xludf.DUMMYFUNCTION("""COMPUTED_VALUE"""),"Butuh Big OLT")</f>
        <v>Butuh Big OLT</v>
      </c>
      <c r="Z2345" s="229" t="str">
        <f>IFERROR(__xludf.DUMMYFUNCTION("""COMPUTED_VALUE"""),"#N/A")</f>
        <v>#N/A</v>
      </c>
      <c r="AA2345" s="229"/>
      <c r="AB2345" s="229"/>
      <c r="AC2345" s="229"/>
      <c r="AD2345" s="232"/>
      <c r="AE2345" s="233"/>
      <c r="AF2345" s="54"/>
      <c r="AG2345" s="54"/>
      <c r="AH2345" s="54"/>
      <c r="AI2345" s="55" t="str">
        <f t="shared" si="221"/>
        <v/>
      </c>
      <c r="AW2345" s="234"/>
      <c r="BP2345" s="11"/>
      <c r="BQ2345" s="11"/>
      <c r="BV2345" s="158"/>
      <c r="BY2345" s="158"/>
      <c r="CB2345" s="158"/>
    </row>
    <row r="2346" ht="18.0" hidden="1" customHeight="1">
      <c r="A2346" s="222">
        <f>IFERROR(__xludf.DUMMYFUNCTION("""COMPUTED_VALUE"""),2026.0)</f>
        <v>2026</v>
      </c>
      <c r="B2346" s="221">
        <f>IFERROR(__xludf.DUMMYFUNCTION("""COMPUTED_VALUE"""),1.2325092E7)</f>
        <v>12325092</v>
      </c>
      <c r="C2346" s="222" t="str">
        <f>IFERROR(__xludf.DUMMYFUNCTION("""COMPUTED_VALUE"""),"MDN PT3 TJP-FE LANGKAT_73135_H2_2025")</f>
        <v>MDN PT3 TJP-FE LANGKAT_73135_H2_2025</v>
      </c>
      <c r="D2346" s="222" t="str">
        <f>IFERROR(__xludf.DUMMYFUNCTION("""COMPUTED_VALUE"""),"REGIONAL I")</f>
        <v>REGIONAL I</v>
      </c>
      <c r="E2346" s="222" t="str">
        <f>IFERROR(__xludf.DUMMYFUNCTION("""COMPUTED_VALUE"""),"MEDAN")</f>
        <v>MEDAN</v>
      </c>
      <c r="F2346" s="222" t="str">
        <f>IFERROR(__xludf.DUMMYFUNCTION("""COMPUTED_VALUE"""),"TJP")</f>
        <v>TJP</v>
      </c>
      <c r="G2346" s="222" t="str">
        <f>IFERROR(__xludf.DUMMYFUNCTION("""COMPUTED_VALUE"""),"SUMBAGUT")</f>
        <v>SUMBAGUT</v>
      </c>
      <c r="H2346" s="222" t="str">
        <f>IFERROR(__xludf.DUMMYFUNCTION("""COMPUTED_VALUE"""),"BINJAI")</f>
        <v>BINJAI</v>
      </c>
      <c r="I2346" s="222" t="str">
        <f>IFERROR(__xludf.DUMMYFUNCTION("""COMPUTED_VALUE"""),"Batch 3")</f>
        <v>Batch 3</v>
      </c>
      <c r="J2346" s="225">
        <f>IFERROR(__xludf.DUMMYFUNCTION("""COMPUTED_VALUE"""),6.0)</f>
        <v>6</v>
      </c>
      <c r="K2346" s="224">
        <f>IFERROR(__xludf.DUMMYFUNCTION("""COMPUTED_VALUE"""),48.0)</f>
        <v>48</v>
      </c>
      <c r="L2346" s="226">
        <f>IFERROR(__xludf.DUMMYFUNCTION("""COMPUTED_VALUE"""),1128099.0)</f>
        <v>1128099</v>
      </c>
      <c r="M2346" s="227">
        <f>IFERROR(__xludf.DUMMYFUNCTION("""COMPUTED_VALUE"""),5.4148716E7)</f>
        <v>54148716</v>
      </c>
      <c r="N2346" s="222" t="str">
        <f>IFERROR(__xludf.DUMMYFUNCTION("""COMPUTED_VALUE"""),"PT JAYA ANINDYA MUSTIKA")</f>
        <v>PT JAYA ANINDYA MUSTIKA</v>
      </c>
      <c r="O2346" s="222" t="str">
        <f>IFERROR(__xludf.DUMMYFUNCTION("""COMPUTED_VALUE"""),"8. UJI TERIMA")</f>
        <v>8. UJI TERIMA</v>
      </c>
      <c r="P2346" s="222" t="str">
        <f>IFERROR(__xludf.DUMMYFUNCTION("""COMPUTED_VALUE"""),"8.1 Proses UT")</f>
        <v>8.1 Proses UT</v>
      </c>
      <c r="Q2346" s="222"/>
      <c r="R2346" s="228">
        <f>IFERROR(__xludf.DUMMYFUNCTION("""COMPUTED_VALUE"""),46064.0)</f>
        <v>46064</v>
      </c>
      <c r="S2346" s="11"/>
      <c r="T2346" s="11"/>
      <c r="U2346" s="11" t="str">
        <f>IFERROR(__xludf.DUMMYFUNCTION("""COMPUTED_VALUE"""),"FALSE")</f>
        <v>FALSE</v>
      </c>
      <c r="V2346" s="229"/>
      <c r="W2346" s="229"/>
      <c r="X2346" s="229" t="str">
        <f>IFERROR(__xludf.DUMMYFUNCTION("""COMPUTED_VALUE"""),"GOLIVE")</f>
        <v>GOLIVE</v>
      </c>
      <c r="Y2346" s="229" t="str">
        <f>IFERROR(__xludf.DUMMYFUNCTION("""COMPUTED_VALUE"""),"DONE")</f>
        <v>DONE</v>
      </c>
      <c r="Z2346" s="229" t="str">
        <f>IFERROR(__xludf.DUMMYFUNCTION("""COMPUTED_VALUE"""),"#N/A")</f>
        <v>#N/A</v>
      </c>
      <c r="AA2346" s="229">
        <f>IFERROR(__xludf.DUMMYFUNCTION("""COMPUTED_VALUE"""),6.0)</f>
        <v>6</v>
      </c>
      <c r="AB2346" s="229"/>
      <c r="AC2346" s="229" t="str">
        <f>IFERROR(__xludf.DUMMYFUNCTION("""COMPUTED_VALUE"""),"9091678#9091696")</f>
        <v>9091678#9091696</v>
      </c>
      <c r="AD2346" s="232">
        <f>IFERROR(__xludf.DUMMYFUNCTION("""COMPUTED_VALUE"""),48.0)</f>
        <v>48</v>
      </c>
      <c r="AE2346" s="233">
        <f>IFERROR(__xludf.DUMMYFUNCTION("""COMPUTED_VALUE"""),46064.0)</f>
        <v>46064</v>
      </c>
      <c r="AF2346" s="54"/>
      <c r="AG2346" s="54"/>
      <c r="AH2346" s="54">
        <v>46064.0</v>
      </c>
      <c r="AI2346" s="55">
        <f t="shared" si="221"/>
        <v>0</v>
      </c>
      <c r="AW2346" s="234"/>
      <c r="BP2346" s="11"/>
      <c r="BQ2346" s="11"/>
      <c r="BV2346" s="158"/>
      <c r="BY2346" s="158"/>
      <c r="CB2346" s="158"/>
    </row>
    <row r="2347" ht="18.0" hidden="1" customHeight="1">
      <c r="A2347" s="222">
        <f>IFERROR(__xludf.DUMMYFUNCTION("""COMPUTED_VALUE"""),2026.0)</f>
        <v>2026</v>
      </c>
      <c r="B2347" s="221">
        <f>IFERROR(__xludf.DUMMYFUNCTION("""COMPUTED_VALUE"""),1.1346587E7)</f>
        <v>11346587</v>
      </c>
      <c r="C2347" s="222" t="str">
        <f>IFERROR(__xludf.DUMMYFUNCTION("""COMPUTED_VALUE"""),"ACH PT3 TKN-FAV BR D02 BINTANG")</f>
        <v>ACH PT3 TKN-FAV BR D02 BINTANG</v>
      </c>
      <c r="D2347" s="222" t="str">
        <f>IFERROR(__xludf.DUMMYFUNCTION("""COMPUTED_VALUE"""),"REGIONAL I")</f>
        <v>REGIONAL I</v>
      </c>
      <c r="E2347" s="222" t="str">
        <f>IFERROR(__xludf.DUMMYFUNCTION("""COMPUTED_VALUE"""),"ACEH")</f>
        <v>ACEH</v>
      </c>
      <c r="F2347" s="222" t="str">
        <f>IFERROR(__xludf.DUMMYFUNCTION("""COMPUTED_VALUE"""),"TKN")</f>
        <v>TKN</v>
      </c>
      <c r="G2347" s="222" t="str">
        <f>IFERROR(__xludf.DUMMYFUNCTION("""COMPUTED_VALUE"""),"SUMBAGUT")</f>
        <v>SUMBAGUT</v>
      </c>
      <c r="H2347" s="222" t="str">
        <f>IFERROR(__xludf.DUMMYFUNCTION("""COMPUTED_VALUE"""),"BANDA ACEH")</f>
        <v>BANDA ACEH</v>
      </c>
      <c r="I2347" s="222" t="str">
        <f>IFERROR(__xludf.DUMMYFUNCTION("""COMPUTED_VALUE"""),"Batch 3")</f>
        <v>Batch 3</v>
      </c>
      <c r="J2347" s="225">
        <f>IFERROR(__xludf.DUMMYFUNCTION("""COMPUTED_VALUE"""),13.0)</f>
        <v>13</v>
      </c>
      <c r="K2347" s="224">
        <f>IFERROR(__xludf.DUMMYFUNCTION("""COMPUTED_VALUE"""),104.0)</f>
        <v>104</v>
      </c>
      <c r="L2347" s="226">
        <f>IFERROR(__xludf.DUMMYFUNCTION("""COMPUTED_VALUE"""),1126598.0)</f>
        <v>1126598</v>
      </c>
      <c r="M2347" s="227">
        <f>IFERROR(__xludf.DUMMYFUNCTION("""COMPUTED_VALUE"""),1.17166168E8)</f>
        <v>117166168</v>
      </c>
      <c r="N2347" s="222" t="str">
        <f>IFERROR(__xludf.DUMMYFUNCTION("""COMPUTED_VALUE"""),"PT KANA PRISMA AKSES")</f>
        <v>PT KANA PRISMA AKSES</v>
      </c>
      <c r="O2347" s="222" t="str">
        <f>IFERROR(__xludf.DUMMYFUNCTION("""COMPUTED_VALUE"""),"7. GOLIVE")</f>
        <v>7. GOLIVE</v>
      </c>
      <c r="P2347" s="222" t="str">
        <f>IFERROR(__xludf.DUMMYFUNCTION("""COMPUTED_VALUE"""),"7.2 Golive Full / OA / DONE OTB")</f>
        <v>7.2 Golive Full / OA / DONE OTB</v>
      </c>
      <c r="Q2347" s="222" t="str">
        <f>IFERROR(__xludf.DUMMYFUNCTION("""COMPUTED_VALUE"""),"(11/02)pgl (10/02) Validasi ABD Mancore (29/01) Terminasi ODP (22/01) Penarikan Kabel")</f>
        <v>(11/02)pgl (10/02) Validasi ABD Mancore (29/01) Terminasi ODP (22/01) Penarikan Kabel</v>
      </c>
      <c r="R2347" s="228">
        <f>IFERROR(__xludf.DUMMYFUNCTION("""COMPUTED_VALUE"""),46068.0)</f>
        <v>46068</v>
      </c>
      <c r="S2347" s="11"/>
      <c r="T2347" s="11"/>
      <c r="U2347" s="11"/>
      <c r="V2347" s="229"/>
      <c r="W2347" s="229"/>
      <c r="X2347" s="229" t="str">
        <f>IFERROR(__xludf.DUMMYFUNCTION("""COMPUTED_VALUE"""),"GOLIVE")</f>
        <v>GOLIVE</v>
      </c>
      <c r="Y2347" s="229" t="str">
        <f>IFERROR(__xludf.DUMMYFUNCTION("""COMPUTED_VALUE"""),"DONE")</f>
        <v>DONE</v>
      </c>
      <c r="Z2347" s="229" t="str">
        <f>IFERROR(__xludf.DUMMYFUNCTION("""COMPUTED_VALUE"""),"#N/A")</f>
        <v>#N/A</v>
      </c>
      <c r="AA2347" s="229">
        <f>IFERROR(__xludf.DUMMYFUNCTION("""COMPUTED_VALUE"""),13.0)</f>
        <v>13</v>
      </c>
      <c r="AB2347" s="229"/>
      <c r="AC2347" s="229" t="str">
        <f>IFERROR(__xludf.DUMMYFUNCTION("""COMPUTED_VALUE"""),"9100552#9100557")</f>
        <v>9100552#9100557</v>
      </c>
      <c r="AD2347" s="232">
        <f>IFERROR(__xludf.DUMMYFUNCTION("""COMPUTED_VALUE"""),104.0)</f>
        <v>104</v>
      </c>
      <c r="AE2347" s="233">
        <f>IFERROR(__xludf.DUMMYFUNCTION("""COMPUTED_VALUE"""),46068.0)</f>
        <v>46068</v>
      </c>
      <c r="AF2347" s="54"/>
      <c r="AG2347" s="54"/>
      <c r="AH2347" s="54">
        <v>46068.0</v>
      </c>
      <c r="AI2347" s="55">
        <f t="shared" si="221"/>
        <v>0</v>
      </c>
      <c r="AW2347" s="234"/>
      <c r="BP2347" s="11"/>
      <c r="BQ2347" s="11"/>
      <c r="BV2347" s="158"/>
      <c r="BY2347" s="158"/>
      <c r="CB2347" s="158"/>
    </row>
    <row r="2348" ht="18.0" hidden="1" customHeight="1">
      <c r="A2348" s="222">
        <f>IFERROR(__xludf.DUMMYFUNCTION("""COMPUTED_VALUE"""),2026.0)</f>
        <v>2026</v>
      </c>
      <c r="B2348" s="221">
        <f>IFERROR(__xludf.DUMMYFUNCTION("""COMPUTED_VALUE"""),1.1401063E7)</f>
        <v>11401063</v>
      </c>
      <c r="C2348" s="222" t="str">
        <f>IFERROR(__xludf.DUMMYFUNCTION("""COMPUTED_VALUE"""),"ACH PT3 LSK-FH D06 MNS GEULINGGANG")</f>
        <v>ACH PT3 LSK-FH D06 MNS GEULINGGANG</v>
      </c>
      <c r="D2348" s="222" t="str">
        <f>IFERROR(__xludf.DUMMYFUNCTION("""COMPUTED_VALUE"""),"REGIONAL I")</f>
        <v>REGIONAL I</v>
      </c>
      <c r="E2348" s="222" t="str">
        <f>IFERROR(__xludf.DUMMYFUNCTION("""COMPUTED_VALUE"""),"ACEH")</f>
        <v>ACEH</v>
      </c>
      <c r="F2348" s="222" t="str">
        <f>IFERROR(__xludf.DUMMYFUNCTION("""COMPUTED_VALUE"""),"LSK")</f>
        <v>LSK</v>
      </c>
      <c r="G2348" s="222" t="str">
        <f>IFERROR(__xludf.DUMMYFUNCTION("""COMPUTED_VALUE"""),"SUMBAGUT")</f>
        <v>SUMBAGUT</v>
      </c>
      <c r="H2348" s="222" t="str">
        <f>IFERROR(__xludf.DUMMYFUNCTION("""COMPUTED_VALUE"""),"BINJAI")</f>
        <v>BINJAI</v>
      </c>
      <c r="I2348" s="222" t="str">
        <f>IFERROR(__xludf.DUMMYFUNCTION("""COMPUTED_VALUE"""),"Batch 3")</f>
        <v>Batch 3</v>
      </c>
      <c r="J2348" s="225">
        <f>IFERROR(__xludf.DUMMYFUNCTION("""COMPUTED_VALUE"""),12.0)</f>
        <v>12</v>
      </c>
      <c r="K2348" s="224">
        <f>IFERROR(__xludf.DUMMYFUNCTION("""COMPUTED_VALUE"""),96.0)</f>
        <v>96</v>
      </c>
      <c r="L2348" s="226">
        <f>IFERROR(__xludf.DUMMYFUNCTION("""COMPUTED_VALUE"""),1123976.0)</f>
        <v>1123976</v>
      </c>
      <c r="M2348" s="227">
        <f>IFERROR(__xludf.DUMMYFUNCTION("""COMPUTED_VALUE"""),1.07901663E8)</f>
        <v>107901663</v>
      </c>
      <c r="N2348" s="222" t="str">
        <f>IFERROR(__xludf.DUMMYFUNCTION("""COMPUTED_VALUE"""),"PT ARA PAYA INTAN")</f>
        <v>PT ARA PAYA INTAN</v>
      </c>
      <c r="O2348" s="222" t="str">
        <f>IFERROR(__xludf.DUMMYFUNCTION("""COMPUTED_VALUE"""),"7. GOLIVE")</f>
        <v>7. GOLIVE</v>
      </c>
      <c r="P2348" s="222" t="str">
        <f>IFERROR(__xludf.DUMMYFUNCTION("""COMPUTED_VALUE"""),"7.2 Golive Full / OA / DONE OTB")</f>
        <v>7.2 Golive Full / OA / DONE OTB</v>
      </c>
      <c r="Q2348" s="222"/>
      <c r="R2348" s="228">
        <f>IFERROR(__xludf.DUMMYFUNCTION("""COMPUTED_VALUE"""),46037.0)</f>
        <v>46037</v>
      </c>
      <c r="S2348" s="11"/>
      <c r="T2348" s="11"/>
      <c r="U2348" s="11"/>
      <c r="V2348" s="229"/>
      <c r="W2348" s="229"/>
      <c r="X2348" s="229" t="str">
        <f>IFERROR(__xludf.DUMMYFUNCTION("""COMPUTED_VALUE"""),"GOLIVE")</f>
        <v>GOLIVE</v>
      </c>
      <c r="Y2348" s="229" t="str">
        <f>IFERROR(__xludf.DUMMYFUNCTION("""COMPUTED_VALUE"""),"DONE")</f>
        <v>DONE</v>
      </c>
      <c r="Z2348" s="229" t="str">
        <f>IFERROR(__xludf.DUMMYFUNCTION("""COMPUTED_VALUE"""),"#N/A")</f>
        <v>#N/A</v>
      </c>
      <c r="AA2348" s="229">
        <f>IFERROR(__xludf.DUMMYFUNCTION("""COMPUTED_VALUE"""),12.0)</f>
        <v>12</v>
      </c>
      <c r="AB2348" s="229"/>
      <c r="AC2348" s="229" t="str">
        <f>IFERROR(__xludf.DUMMYFUNCTION("""COMPUTED_VALUE"""),"8968153#8968158")</f>
        <v>8968153#8968158</v>
      </c>
      <c r="AD2348" s="232">
        <f>IFERROR(__xludf.DUMMYFUNCTION("""COMPUTED_VALUE"""),96.0)</f>
        <v>96</v>
      </c>
      <c r="AE2348" s="233">
        <f>IFERROR(__xludf.DUMMYFUNCTION("""COMPUTED_VALUE"""),46037.0)</f>
        <v>46037</v>
      </c>
      <c r="AF2348" s="54"/>
      <c r="AG2348" s="54"/>
      <c r="AH2348" s="54">
        <v>46037.0</v>
      </c>
      <c r="AI2348" s="55">
        <f t="shared" si="221"/>
        <v>0</v>
      </c>
      <c r="AW2348" s="234"/>
      <c r="BP2348" s="11"/>
      <c r="BQ2348" s="11"/>
      <c r="BV2348" s="158"/>
      <c r="BY2348" s="158"/>
      <c r="CB2348" s="158"/>
    </row>
    <row r="2349" ht="18.0" hidden="1" customHeight="1">
      <c r="A2349" s="222">
        <f>IFERROR(__xludf.DUMMYFUNCTION("""COMPUTED_VALUE"""),2026.0)</f>
        <v>2026</v>
      </c>
      <c r="B2349" s="221">
        <f>IFERROR(__xludf.DUMMYFUNCTION("""COMPUTED_VALUE"""),1.1272429E7)</f>
        <v>11272429</v>
      </c>
      <c r="C2349" s="222" t="str">
        <f>IFERROR(__xludf.DUMMYFUNCTION("""COMPUTED_VALUE"""),"MDN PT3 P1I1 LBP-FU GG.PANCING P. LABU")</f>
        <v>MDN PT3 P1I1 LBP-FU GG.PANCING P. LABU</v>
      </c>
      <c r="D2349" s="222" t="str">
        <f>IFERROR(__xludf.DUMMYFUNCTION("""COMPUTED_VALUE"""),"REGIONAL I")</f>
        <v>REGIONAL I</v>
      </c>
      <c r="E2349" s="222" t="str">
        <f>IFERROR(__xludf.DUMMYFUNCTION("""COMPUTED_VALUE"""),"MEDAN")</f>
        <v>MEDAN</v>
      </c>
      <c r="F2349" s="222" t="str">
        <f>IFERROR(__xludf.DUMMYFUNCTION("""COMPUTED_VALUE"""),"LBP")</f>
        <v>LBP</v>
      </c>
      <c r="G2349" s="222" t="str">
        <f>IFERROR(__xludf.DUMMYFUNCTION("""COMPUTED_VALUE"""),"SUMBAGUT")</f>
        <v>SUMBAGUT</v>
      </c>
      <c r="H2349" s="222" t="str">
        <f>IFERROR(__xludf.DUMMYFUNCTION("""COMPUTED_VALUE"""),"MEDAN")</f>
        <v>MEDAN</v>
      </c>
      <c r="I2349" s="222" t="str">
        <f>IFERROR(__xludf.DUMMYFUNCTION("""COMPUTED_VALUE"""),"Batch 3")</f>
        <v>Batch 3</v>
      </c>
      <c r="J2349" s="225">
        <f>IFERROR(__xludf.DUMMYFUNCTION("""COMPUTED_VALUE"""),6.0)</f>
        <v>6</v>
      </c>
      <c r="K2349" s="224">
        <f>IFERROR(__xludf.DUMMYFUNCTION("""COMPUTED_VALUE"""),48.0)</f>
        <v>48</v>
      </c>
      <c r="L2349" s="226">
        <f>IFERROR(__xludf.DUMMYFUNCTION("""COMPUTED_VALUE"""),1037554.0)</f>
        <v>1037554</v>
      </c>
      <c r="M2349" s="227">
        <f>IFERROR(__xludf.DUMMYFUNCTION("""COMPUTED_VALUE"""),4.9802588E7)</f>
        <v>49802588</v>
      </c>
      <c r="N2349" s="222" t="str">
        <f>IFERROR(__xludf.DUMMYFUNCTION("""COMPUTED_VALUE"""),"PT BANGUN PRIMA SEMESTA")</f>
        <v>PT BANGUN PRIMA SEMESTA</v>
      </c>
      <c r="O2349" s="222" t="str">
        <f>IFERROR(__xludf.DUMMYFUNCTION("""COMPUTED_VALUE"""),"7. GOLIVE")</f>
        <v>7. GOLIVE</v>
      </c>
      <c r="P2349" s="222" t="str">
        <f>IFERROR(__xludf.DUMMYFUNCTION("""COMPUTED_VALUE"""),"7.2 Golive Full / OA / DONE OTB")</f>
        <v>7.2 Golive Full / OA / DONE OTB</v>
      </c>
      <c r="Q2349" s="222" t="str">
        <f>IFERROR(__xludf.DUMMYFUNCTION("""COMPUTED_VALUE"""),"09/03 golive sdi
08/03 pengecekan abd mancore
03/02 proses penarikan
02/01 order mitra")</f>
        <v>09/03 golive sdi
08/03 pengecekan abd mancore
03/02 proses penarikan
02/01 order mitra</v>
      </c>
      <c r="R2349" s="228">
        <f>IFERROR(__xludf.DUMMYFUNCTION("""COMPUTED_VALUE"""),46090.0)</f>
        <v>46090</v>
      </c>
      <c r="S2349" s="11" t="str">
        <f>IFERROR(__xludf.DUMMYFUNCTION("""COMPUTED_VALUE"""),"MAR")</f>
        <v>MAR</v>
      </c>
      <c r="T2349" s="11"/>
      <c r="U2349" s="11"/>
      <c r="V2349" s="229"/>
      <c r="W2349" s="229"/>
      <c r="X2349" s="229" t="str">
        <f>IFERROR(__xludf.DUMMYFUNCTION("""COMPUTED_VALUE"""),"GOLIVE")</f>
        <v>GOLIVE</v>
      </c>
      <c r="Y2349" s="229" t="str">
        <f>IFERROR(__xludf.DUMMYFUNCTION("""COMPUTED_VALUE"""),"DONE")</f>
        <v>DONE</v>
      </c>
      <c r="Z2349" s="229" t="str">
        <f>IFERROR(__xludf.DUMMYFUNCTION("""COMPUTED_VALUE"""),"#N/A")</f>
        <v>#N/A</v>
      </c>
      <c r="AA2349" s="229">
        <f>IFERROR(__xludf.DUMMYFUNCTION("""COMPUTED_VALUE"""),4.0)</f>
        <v>4</v>
      </c>
      <c r="AB2349" s="229"/>
      <c r="AC2349" s="229" t="str">
        <f>IFERROR(__xludf.DUMMYFUNCTION("""COMPUTED_VALUE"""),"9187183#9187188")</f>
        <v>9187183#9187188</v>
      </c>
      <c r="AD2349" s="232">
        <f>IFERROR(__xludf.DUMMYFUNCTION("""COMPUTED_VALUE"""),32.0)</f>
        <v>32</v>
      </c>
      <c r="AE2349" s="233">
        <f>IFERROR(__xludf.DUMMYFUNCTION("""COMPUTED_VALUE"""),46090.0)</f>
        <v>46090</v>
      </c>
      <c r="AF2349" s="54"/>
      <c r="AG2349" s="54"/>
      <c r="AH2349" s="54">
        <v>46090.0</v>
      </c>
      <c r="AI2349" s="55">
        <f t="shared" si="221"/>
        <v>0</v>
      </c>
      <c r="AW2349" s="234"/>
      <c r="BP2349" s="11"/>
      <c r="BQ2349" s="11"/>
      <c r="BV2349" s="158"/>
      <c r="BY2349" s="158"/>
      <c r="CB2349" s="158"/>
    </row>
    <row r="2350" ht="18.0" hidden="1" customHeight="1">
      <c r="A2350" s="222">
        <f>IFERROR(__xludf.DUMMYFUNCTION("""COMPUTED_VALUE"""),2026.0)</f>
        <v>2026</v>
      </c>
      <c r="B2350" s="221">
        <f>IFERROR(__xludf.DUMMYFUNCTION("""COMPUTED_VALUE"""),1.1398931E7)</f>
        <v>11398931</v>
      </c>
      <c r="C2350" s="222" t="str">
        <f>IFERROR(__xludf.DUMMYFUNCTION("""COMPUTED_VALUE"""),"MDN PT3 TMU-FU GG.MAWAR 11")</f>
        <v>MDN PT3 TMU-FU GG.MAWAR 11</v>
      </c>
      <c r="D2350" s="222" t="str">
        <f>IFERROR(__xludf.DUMMYFUNCTION("""COMPUTED_VALUE"""),"REGIONAL I")</f>
        <v>REGIONAL I</v>
      </c>
      <c r="E2350" s="222" t="str">
        <f>IFERROR(__xludf.DUMMYFUNCTION("""COMPUTED_VALUE"""),"MEDAN")</f>
        <v>MEDAN</v>
      </c>
      <c r="F2350" s="222" t="str">
        <f>IFERROR(__xludf.DUMMYFUNCTION("""COMPUTED_VALUE"""),"TMU")</f>
        <v>TMU</v>
      </c>
      <c r="G2350" s="222" t="str">
        <f>IFERROR(__xludf.DUMMYFUNCTION("""COMPUTED_VALUE"""),"SUMBAGUT")</f>
        <v>SUMBAGUT</v>
      </c>
      <c r="H2350" s="222" t="str">
        <f>IFERROR(__xludf.DUMMYFUNCTION("""COMPUTED_VALUE"""),"MEDAN")</f>
        <v>MEDAN</v>
      </c>
      <c r="I2350" s="222" t="str">
        <f>IFERROR(__xludf.DUMMYFUNCTION("""COMPUTED_VALUE"""),"Batch 3")</f>
        <v>Batch 3</v>
      </c>
      <c r="J2350" s="225">
        <f>IFERROR(__xludf.DUMMYFUNCTION("""COMPUTED_VALUE"""),2.0)</f>
        <v>2</v>
      </c>
      <c r="K2350" s="224">
        <f>IFERROR(__xludf.DUMMYFUNCTION("""COMPUTED_VALUE"""),16.0)</f>
        <v>16</v>
      </c>
      <c r="L2350" s="226">
        <f>IFERROR(__xludf.DUMMYFUNCTION("""COMPUTED_VALUE"""),1145762.0)</f>
        <v>1145762</v>
      </c>
      <c r="M2350" s="227">
        <f>IFERROR(__xludf.DUMMYFUNCTION("""COMPUTED_VALUE"""),1.8332191E7)</f>
        <v>18332191</v>
      </c>
      <c r="N2350" s="222" t="str">
        <f>IFERROR(__xludf.DUMMYFUNCTION("""COMPUTED_VALUE"""),"PT ARTHA MANDIRI BERSAMA")</f>
        <v>PT ARTHA MANDIRI BERSAMA</v>
      </c>
      <c r="O2350" s="222" t="str">
        <f>IFERROR(__xludf.DUMMYFUNCTION("""COMPUTED_VALUE"""),"7. GOLIVE")</f>
        <v>7. GOLIVE</v>
      </c>
      <c r="P2350" s="222" t="str">
        <f>IFERROR(__xludf.DUMMYFUNCTION("""COMPUTED_VALUE"""),"7.2 Golive Full / OA / DONE OTB")</f>
        <v>7.2 Golive Full / OA / DONE OTB</v>
      </c>
      <c r="Q2350" s="222" t="str">
        <f>IFERROR(__xludf.DUMMYFUNCTION("""COMPUTED_VALUE"""),"08/04 pencarian core feeder ready, menunggu tim mitra fu sisa pekerjaan")</f>
        <v>08/04 pencarian core feeder ready, menunggu tim mitra fu sisa pekerjaan</v>
      </c>
      <c r="R2350" s="228">
        <f>IFERROR(__xludf.DUMMYFUNCTION("""COMPUTED_VALUE"""),46129.0)</f>
        <v>46129</v>
      </c>
      <c r="S2350" s="11"/>
      <c r="T2350" s="73"/>
      <c r="U2350" s="11"/>
      <c r="V2350" s="229"/>
      <c r="W2350" s="229" t="str">
        <f>IFERROR(__xludf.DUMMYFUNCTION("""COMPUTED_VALUE"""),"#N/A")</f>
        <v>#N/A</v>
      </c>
      <c r="X2350" s="229" t="str">
        <f>IFERROR(__xludf.DUMMYFUNCTION("""COMPUTED_VALUE"""),"GOLIVE")</f>
        <v>GOLIVE</v>
      </c>
      <c r="Y2350" s="229" t="str">
        <f>IFERROR(__xludf.DUMMYFUNCTION("""COMPUTED_VALUE"""),"DONE")</f>
        <v>DONE</v>
      </c>
      <c r="Z2350" s="229" t="str">
        <f>IFERROR(__xludf.DUMMYFUNCTION("""COMPUTED_VALUE"""),"#N/A")</f>
        <v>#N/A</v>
      </c>
      <c r="AA2350" s="229">
        <f>IFERROR(__xludf.DUMMYFUNCTION("""COMPUTED_VALUE"""),2.0)</f>
        <v>2</v>
      </c>
      <c r="AB2350" s="229"/>
      <c r="AC2350" s="229" t="str">
        <f>IFERROR(__xludf.DUMMYFUNCTION("""COMPUTED_VALUE"""),"9285721#9285726")</f>
        <v>9285721#9285726</v>
      </c>
      <c r="AD2350" s="232">
        <f>IFERROR(__xludf.DUMMYFUNCTION("""COMPUTED_VALUE"""),16.0)</f>
        <v>16</v>
      </c>
      <c r="AE2350" s="233">
        <f>IFERROR(__xludf.DUMMYFUNCTION("""COMPUTED_VALUE"""),46129.0)</f>
        <v>46129</v>
      </c>
      <c r="AF2350" s="54"/>
      <c r="AG2350" s="54"/>
      <c r="AH2350" s="54">
        <v>46132.0</v>
      </c>
      <c r="AI2350" s="55">
        <f t="shared" si="221"/>
        <v>0</v>
      </c>
      <c r="AW2350" s="234"/>
      <c r="BP2350" s="11"/>
      <c r="BQ2350" s="11"/>
      <c r="BV2350" s="158"/>
      <c r="BY2350" s="158"/>
      <c r="CB2350" s="158"/>
    </row>
    <row r="2351" ht="18.0" hidden="1" customHeight="1">
      <c r="A2351" s="222">
        <f>IFERROR(__xludf.DUMMYFUNCTION("""COMPUTED_VALUE"""),2026.0)</f>
        <v>2026</v>
      </c>
      <c r="B2351" s="221">
        <f>IFERROR(__xludf.DUMMYFUNCTION("""COMPUTED_VALUE"""),1.1187802E7)</f>
        <v>11187802</v>
      </c>
      <c r="C2351" s="222" t="str">
        <f>IFERROR(__xludf.DUMMYFUNCTION("""COMPUTED_VALUE"""),"MDN PT3 P7I11 TMU-FU GG.SEROJA")</f>
        <v>MDN PT3 P7I11 TMU-FU GG.SEROJA</v>
      </c>
      <c r="D2351" s="222" t="str">
        <f>IFERROR(__xludf.DUMMYFUNCTION("""COMPUTED_VALUE"""),"REGIONAL I")</f>
        <v>REGIONAL I</v>
      </c>
      <c r="E2351" s="222" t="str">
        <f>IFERROR(__xludf.DUMMYFUNCTION("""COMPUTED_VALUE"""),"MEDAN")</f>
        <v>MEDAN</v>
      </c>
      <c r="F2351" s="222" t="str">
        <f>IFERROR(__xludf.DUMMYFUNCTION("""COMPUTED_VALUE"""),"TMU")</f>
        <v>TMU</v>
      </c>
      <c r="G2351" s="222" t="str">
        <f>IFERROR(__xludf.DUMMYFUNCTION("""COMPUTED_VALUE"""),"SUMBAGUT")</f>
        <v>SUMBAGUT</v>
      </c>
      <c r="H2351" s="222" t="str">
        <f>IFERROR(__xludf.DUMMYFUNCTION("""COMPUTED_VALUE"""),"MEDAN")</f>
        <v>MEDAN</v>
      </c>
      <c r="I2351" s="222" t="str">
        <f>IFERROR(__xludf.DUMMYFUNCTION("""COMPUTED_VALUE"""),"Batch 3")</f>
        <v>Batch 3</v>
      </c>
      <c r="J2351" s="225">
        <f>IFERROR(__xludf.DUMMYFUNCTION("""COMPUTED_VALUE"""),2.0)</f>
        <v>2</v>
      </c>
      <c r="K2351" s="224">
        <f>IFERROR(__xludf.DUMMYFUNCTION("""COMPUTED_VALUE"""),16.0)</f>
        <v>16</v>
      </c>
      <c r="L2351" s="226">
        <f>IFERROR(__xludf.DUMMYFUNCTION("""COMPUTED_VALUE"""),1095171.0)</f>
        <v>1095171</v>
      </c>
      <c r="M2351" s="227">
        <f>IFERROR(__xludf.DUMMYFUNCTION("""COMPUTED_VALUE"""),1.7522728E7)</f>
        <v>17522728</v>
      </c>
      <c r="N2351" s="222" t="str">
        <f>IFERROR(__xludf.DUMMYFUNCTION("""COMPUTED_VALUE"""),"PT ARTHA MANDIRI BERSAMA")</f>
        <v>PT ARTHA MANDIRI BERSAMA</v>
      </c>
      <c r="O2351" s="222" t="str">
        <f>IFERROR(__xludf.DUMMYFUNCTION("""COMPUTED_VALUE"""),"7. GOLIVE")</f>
        <v>7. GOLIVE</v>
      </c>
      <c r="P2351" s="222" t="str">
        <f>IFERROR(__xludf.DUMMYFUNCTION("""COMPUTED_VALUE"""),"7.2 Golive Full / OA / DONE OTB")</f>
        <v>7.2 Golive Full / OA / DONE OTB</v>
      </c>
      <c r="Q2351" s="222" t="str">
        <f>IFERROR(__xludf.DUMMYFUNCTION("""COMPUTED_VALUE"""),"16/04 pengecekan abd mancore
08/04 pencarian core feeder ready, menunggu tim mitra fu sisa pekerjaan")</f>
        <v>16/04 pengecekan abd mancore
08/04 pencarian core feeder ready, menunggu tim mitra fu sisa pekerjaan</v>
      </c>
      <c r="R2351" s="228">
        <f>IFERROR(__xludf.DUMMYFUNCTION("""COMPUTED_VALUE"""),46129.0)</f>
        <v>46129</v>
      </c>
      <c r="S2351" s="11"/>
      <c r="T2351" s="73"/>
      <c r="U2351" s="11"/>
      <c r="V2351" s="229"/>
      <c r="W2351" s="229" t="str">
        <f>IFERROR(__xludf.DUMMYFUNCTION("""COMPUTED_VALUE"""),"#N/A")</f>
        <v>#N/A</v>
      </c>
      <c r="X2351" s="229" t="str">
        <f>IFERROR(__xludf.DUMMYFUNCTION("""COMPUTED_VALUE"""),"GOLIVE")</f>
        <v>GOLIVE</v>
      </c>
      <c r="Y2351" s="229" t="str">
        <f>IFERROR(__xludf.DUMMYFUNCTION("""COMPUTED_VALUE"""),"DONE")</f>
        <v>DONE</v>
      </c>
      <c r="Z2351" s="229" t="str">
        <f>IFERROR(__xludf.DUMMYFUNCTION("""COMPUTED_VALUE"""),"#N/A")</f>
        <v>#N/A</v>
      </c>
      <c r="AA2351" s="229">
        <f>IFERROR(__xludf.DUMMYFUNCTION("""COMPUTED_VALUE"""),2.0)</f>
        <v>2</v>
      </c>
      <c r="AB2351" s="229"/>
      <c r="AC2351" s="229" t="str">
        <f>IFERROR(__xludf.DUMMYFUNCTION("""COMPUTED_VALUE"""),"9283972#9283977")</f>
        <v>9283972#9283977</v>
      </c>
      <c r="AD2351" s="232">
        <f>IFERROR(__xludf.DUMMYFUNCTION("""COMPUTED_VALUE"""),16.0)</f>
        <v>16</v>
      </c>
      <c r="AE2351" s="233">
        <f>IFERROR(__xludf.DUMMYFUNCTION("""COMPUTED_VALUE"""),46129.0)</f>
        <v>46129</v>
      </c>
      <c r="AF2351" s="54"/>
      <c r="AG2351" s="54"/>
      <c r="AH2351" s="54">
        <v>46132.0</v>
      </c>
      <c r="AI2351" s="55">
        <f t="shared" si="221"/>
        <v>0</v>
      </c>
      <c r="AW2351" s="234"/>
      <c r="BP2351" s="11"/>
      <c r="BQ2351" s="11"/>
      <c r="BV2351" s="158"/>
      <c r="BY2351" s="158"/>
      <c r="CB2351" s="158"/>
    </row>
    <row r="2352" ht="18.0" hidden="1" customHeight="1">
      <c r="A2352" s="222">
        <f>IFERROR(__xludf.DUMMYFUNCTION("""COMPUTED_VALUE"""),2026.0)</f>
        <v>2026</v>
      </c>
      <c r="B2352" s="221">
        <f>IFERROR(__xludf.DUMMYFUNCTION("""COMPUTED_VALUE"""),1.1997917E7)</f>
        <v>11997917</v>
      </c>
      <c r="C2352" s="222" t="str">
        <f>IFERROR(__xludf.DUMMYFUNCTION("""COMPUTED_VALUE"""),"SMU PND-FAI D05 18631_H2_2025")</f>
        <v>SMU PND-FAI D05 18631_H2_2025</v>
      </c>
      <c r="D2352" s="222" t="str">
        <f>IFERROR(__xludf.DUMMYFUNCTION("""COMPUTED_VALUE"""),"REGIONAL I")</f>
        <v>REGIONAL I</v>
      </c>
      <c r="E2352" s="222" t="str">
        <f>IFERROR(__xludf.DUMMYFUNCTION("""COMPUTED_VALUE"""),"SUMUT")</f>
        <v>SUMUT</v>
      </c>
      <c r="F2352" s="222" t="str">
        <f>IFERROR(__xludf.DUMMYFUNCTION("""COMPUTED_VALUE"""),"PND")</f>
        <v>PND</v>
      </c>
      <c r="G2352" s="222" t="str">
        <f>IFERROR(__xludf.DUMMYFUNCTION("""COMPUTED_VALUE"""),"SUMBAGUT")</f>
        <v>SUMBAGUT</v>
      </c>
      <c r="H2352" s="222" t="str">
        <f>IFERROR(__xludf.DUMMYFUNCTION("""COMPUTED_VALUE"""),"PADANG SIDEMPUAN")</f>
        <v>PADANG SIDEMPUAN</v>
      </c>
      <c r="I2352" s="222" t="str">
        <f>IFERROR(__xludf.DUMMYFUNCTION("""COMPUTED_VALUE"""),"Batch 3")</f>
        <v>Batch 3</v>
      </c>
      <c r="J2352" s="225">
        <f>IFERROR(__xludf.DUMMYFUNCTION("""COMPUTED_VALUE"""),1.0)</f>
        <v>1</v>
      </c>
      <c r="K2352" s="224">
        <f>IFERROR(__xludf.DUMMYFUNCTION("""COMPUTED_VALUE"""),8.0)</f>
        <v>8</v>
      </c>
      <c r="L2352" s="226">
        <f>IFERROR(__xludf.DUMMYFUNCTION("""COMPUTED_VALUE"""),1089350.0)</f>
        <v>1089350</v>
      </c>
      <c r="M2352" s="227">
        <f>IFERROR(__xludf.DUMMYFUNCTION("""COMPUTED_VALUE"""),8714795.0)</f>
        <v>8714795</v>
      </c>
      <c r="N2352" s="222" t="str">
        <f>IFERROR(__xludf.DUMMYFUNCTION("""COMPUTED_VALUE"""),"PT ARTHA MANDIRI BERSAMA")</f>
        <v>PT ARTHA MANDIRI BERSAMA</v>
      </c>
      <c r="O2352" s="222" t="str">
        <f>IFERROR(__xludf.DUMMYFUNCTION("""COMPUTED_VALUE"""),"4. MATDEL")</f>
        <v>4. MATDEL</v>
      </c>
      <c r="P2352" s="222" t="str">
        <f>IFERROR(__xludf.DUMMYFUNCTION("""COMPUTED_VALUE"""),"4.3 Proses Kirim Mateial Kelokasi")</f>
        <v>4.3 Proses Kirim Mateial Kelokasi</v>
      </c>
      <c r="Q2352" s="222" t="str">
        <f>IFERROR(__xludf.DUMMYFUNCTION("""COMPUTED_VALUE"""),"27/4 tim serial di lop SIB FAC, , 24/4 tim partial di lop dls fah, 23/4 tim partial di lop dls fah,  22/4 tim partial di lop dls fah, 21/4 tim masih pararel di lop lain, 16/4 tim masih pararel di lop lain, 15/4 mitra blm turun ke lokasi untuk melanjutkan "&amp;"progres, 14/4 mitra blm turun ke lokasi untuk melanjutkan progres, 13/4 mitra blm turun ke lokasi untuk melanjutkan progres, 9/4 mitra belum turun kelokasi untuk melanjutkan progres, 8/4 plan progres setelah lop BUS FAF selesai, 6/4 plan progres setelah l"&amp;"op BUS FAF selesai, 5/4 plan progres setelah lop BUS FAF selesai, 1/4 plan progres setelah lop BUS FAF selesai, 31/3 plan progres setelah lop BUS FAF selesai, 30/3 plan progres setelah lop BUS FAF selesai, 27/3 plan progres setelah lop BUS FAF selesai, 26"&amp;"/3 plan progres setelah lop BUS FAF selesai, 22/3 plan progres setelah lop BUS FAF selesai, 18/3 prepair team setelah lebaran, 16/3 prepair team setelah progres lop BUS,   13/3 prepair team setelah progres lop BUS,  12/3 prepair team setelah progres lop B"&amp;"US, 11/3 prepair team setelah progres lop BUS,  10/3 prepair team setelah progres lop BUS, 6/3 prepair team setelah progres lop BUS, 4/3 plan besok fu ulang terkait perizinan, 3/3 plan besok fu ulang terkait perizinan, 2/3 hari ini waspang bersama tsel tu"&amp;"run kelokasi untuk survey ulang akses kelokasi paralel pengurusan izin ke desa dan warga , 27/2 plan 2 maret team dari psp turun kelokasi untuk memastikan apakah pekerjaan sudah bisa dilanjut atw belum, 25/2  pekerjaan belum bisa di progres dikarenakan ak"&amp;"ses belum bisa dilalui (imbas banjir susulan TRT-SBG) dan adanya alat berat di lokasi ,  24/2  pekerjaan belum bisa di progres dikarenakan akses belum bisa dilalui (imbas banjir susulan TRT-SBG) dan adanya alat berat di lokasi ,  23/2  pekerjaan belum bis"&amp;"a di progres dikarenakan akses belum bisa dilalui (imbas banjir susulan TRT-SBG) dan adanya alat berat di lokasi ,  20/2  pekerjaan belum bisa di progres dikarenakan akses belum bisa dilalui (imbas banjir susulan TRT-SBG) dan adanya alat berat di lokasi ,"&amp;" 19/2 pekerjaan belum bisa di progres dikarenakan akses belum bisa dilalui (imbas banjir susulan TRT-SBG) dan adanya alat berat di lokasi , 16/2 pekerjaan belum bisa di progres dikarenakan akses belum bisa dilalui (imbas banjir susulan TRT-SBG) dan adanya"&amp;" alat berat di lokasi , 13/2 pekerjaan belum bisa di progres dikarenakan akses belum bisa dilalui (imbas banjir bandang) dan adanya alat berat di lokasi ,12/2 pekerjaan belum bisa di progres dikarenakan akses belum bisa dilalui (imbas banjir bandang) dan "&amp;"adanya alat berat di lokasi , 11/2 pekerjaan belum bisa di progres dikarenakan akses belum bisa dilalui (imbas banjir bandang) dan adanya alat berat di lokasi , 10/2 pekerjaan belum bisa di progres dikarenakan akses belum bisa dilalui (imbas banjir bandan"&amp;"g) , 9/2 pekerjaan belum bisa di progres dikarenakan akses belum bisa dilalui (imbas banjir bandang) , 6/2 pekerjaan belum bisa di progres dikarenakan akses belum bisa dilalui (imbas banjir bandang) ,   5/2 pekerjaan belum bisa di progres dikarenakan akse"&amp;"s belum bisa dilalui (imbas banjir bandang) ,  4/2 pekerjaan belum bisa di progres dikarenakan akses belum bisa dilalui (imbas banjir bandang) ,  3/2 pekerjaan belum bisa di progres dikarenakan akses belum bisa dilalui (imbas banjir bandang) , 2/2 pekerja"&amp;"an belum bisa di progres dikarenakan akses belum bisa dilalui (imbas banjir bandang) , 1/2 pekerjaan belum bisa di progres dikarenakan akses belum bisa dilalui (imbas banjir bandang) , 30/1 pekerjaan belum bisa di progres dikarenakan akses belum bisa dila"&amp;"lui (imbas banjir bandang) , 28/1 pekerjaan belum bisa di progres dikarenakan akses belum bisa dilalui (imbas banjir bandang) 27/1 blm bisa di progres kendala  dilokasi masih perbaikan, 26/1 menunggu boq kml, pararel menunggu kondsiis lapangan stabil imba"&amp;"s banjir bandang,  23/1 menunggu boq kml, pararel menunggu kondsiis lapangan stabil imbas banjir bandang, 22/1 penunjukan mitra, 21/1 pengalihan dari mitra ALAM UTAMA MULIA")</f>
        <v>27/4 tim serial di lop SIB FAC, , 24/4 tim partial di lop dls fah, 23/4 tim partial di lop dls fah,  22/4 tim partial di lop dls fah, 21/4 tim masih pararel di lop lain, 16/4 tim masih pararel di lop lain, 15/4 mitra blm turun ke lokasi untuk melanjutkan progres, 14/4 mitra blm turun ke lokasi untuk melanjutkan progres, 13/4 mitra blm turun ke lokasi untuk melanjutkan progres, 9/4 mitra belum turun kelokasi untuk melanjutkan progres, 8/4 plan progres setelah lop BUS FAF selesai, 6/4 plan progres setelah lop BUS FAF selesai, 5/4 plan progres setelah lop BUS FAF selesai, 1/4 plan progres setelah lop BUS FAF selesai, 31/3 plan progres setelah lop BUS FAF selesai, 30/3 plan progres setelah lop BUS FAF selesai, 27/3 plan progres setelah lop BUS FAF selesai, 26/3 plan progres setelah lop BUS FAF selesai, 22/3 plan progres setelah lop BUS FAF selesai, 18/3 prepair team setelah lebaran, 16/3 prepair team setelah progres lop BUS,   13/3 prepair team setelah progres lop BUS,  12/3 prepair team setelah progres lop BUS, 11/3 prepair team setelah progres lop BUS,  10/3 prepair team setelah progres lop BUS, 6/3 prepair team setelah progres lop BUS, 4/3 plan besok fu ulang terkait perizinan, 3/3 plan besok fu ulang terkait perizinan, 2/3 hari ini waspang bersama tsel turun kelokasi untuk survey ulang akses kelokasi paralel pengurusan izin ke desa dan warga , 27/2 plan 2 maret team dari psp turun kelokasi untuk memastikan apakah pekerjaan sudah bisa dilanjut atw belum, 25/2  pekerjaan belum bisa di progres dikarenakan akses belum bisa dilalui (imbas banjir susulan TRT-SBG) dan adanya alat berat di lokasi ,  24/2  pekerjaan belum bisa di progres dikarenakan akses belum bisa dilalui (imbas banjir susulan TRT-SBG) dan adanya alat berat di lokasi ,  23/2  pekerjaan belum bisa di progres dikarenakan akses belum bisa dilalui (imbas banjir susulan TRT-SBG) dan adanya alat berat di lokasi ,  20/2  pekerjaan belum bisa di progres dikarenakan akses belum bisa dilalui (imbas banjir susulan TRT-SBG) dan adanya alat berat di lokasi , 19/2 pekerjaan belum bisa di progres dikarenakan akses belum bisa dilalui (imbas banjir susulan TRT-SBG) dan adanya alat berat di lokasi , 16/2 pekerjaan belum bisa di progres dikarenakan akses belum bisa dilalui (imbas banjir susulan TRT-SBG) dan adanya alat berat di lokasi , 13/2 pekerjaan belum bisa di progres dikarenakan akses belum bisa dilalui (imbas banjir bandang) dan adanya alat berat di lokasi ,12/2 pekerjaan belum bisa di progres dikarenakan akses belum bisa dilalui (imbas banjir bandang) dan adanya alat berat di lokasi , 11/2 pekerjaan belum bisa di progres dikarenakan akses belum bisa dilalui (imbas banjir bandang) dan adanya alat berat di lokasi , 10/2 pekerjaan belum bisa di progres dikarenakan akses belum bisa dilalui (imbas banjir bandang) , 9/2 pekerjaan belum bisa di progres dikarenakan akses belum bisa dilalui (imbas banjir bandang) , 6/2 pekerjaan belum bisa di progres dikarenakan akses belum bisa dilalui (imbas banjir bandang) ,   5/2 pekerjaan belum bisa di progres dikarenakan akses belum bisa dilalui (imbas banjir bandang) ,  4/2 pekerjaan belum bisa di progres dikarenakan akses belum bisa dilalui (imbas banjir bandang) ,  3/2 pekerjaan belum bisa di progres dikarenakan akses belum bisa dilalui (imbas banjir bandang) , 2/2 pekerjaan belum bisa di progres dikarenakan akses belum bisa dilalui (imbas banjir bandang) , 1/2 pekerjaan belum bisa di progres dikarenakan akses belum bisa dilalui (imbas banjir bandang) , 30/1 pekerjaan belum bisa di progres dikarenakan akses belum bisa dilalui (imbas banjir bandang) , 28/1 pekerjaan belum bisa di progres dikarenakan akses belum bisa dilalui (imbas banjir bandang) 27/1 blm bisa di progres kendala  dilokasi masih perbaikan, 26/1 menunggu boq kml, pararel menunggu kondsiis lapangan stabil imbas banjir bandang,  23/1 menunggu boq kml, pararel menunggu kondsiis lapangan stabil imbas banjir bandang, 22/1 penunjukan mitra, 21/1 pengalihan dari mitra ALAM UTAMA MULIA</v>
      </c>
      <c r="R2352" s="228">
        <f>IFERROR(__xludf.DUMMYFUNCTION("""COMPUTED_VALUE"""),46137.0)</f>
        <v>46137</v>
      </c>
      <c r="S2352" s="11" t="str">
        <f>IFERROR(__xludf.DUMMYFUNCTION("""COMPUTED_VALUE"""),"MAR")</f>
        <v>MAR</v>
      </c>
      <c r="T2352" s="73"/>
      <c r="U2352" s="11" t="str">
        <f>IFERROR(__xludf.DUMMYFUNCTION("""COMPUTED_VALUE"""),"W03-1641/2025")</f>
        <v>W03-1641/2025</v>
      </c>
      <c r="V2352" s="229"/>
      <c r="W2352" s="229" t="str">
        <f>IFERROR(__xludf.DUMMYFUNCTION("""COMPUTED_VALUE"""),"#N/A")</f>
        <v>#N/A</v>
      </c>
      <c r="X2352" s="229" t="str">
        <f>IFERROR(__xludf.DUMMYFUNCTION("""COMPUTED_VALUE"""),"BELUM GOLIVE")</f>
        <v>BELUM GOLIVE</v>
      </c>
      <c r="Y2352" s="229"/>
      <c r="Z2352" s="229" t="str">
        <f>IFERROR(__xludf.DUMMYFUNCTION("""COMPUTED_VALUE"""),"#N/A")</f>
        <v>#N/A</v>
      </c>
      <c r="AA2352" s="229"/>
      <c r="AB2352" s="229"/>
      <c r="AC2352" s="229"/>
      <c r="AD2352" s="232"/>
      <c r="AE2352" s="233"/>
      <c r="AF2352" s="54"/>
      <c r="AG2352" s="54"/>
      <c r="AH2352" s="54">
        <v>46133.0</v>
      </c>
      <c r="AI2352" s="55" t="str">
        <f t="shared" si="221"/>
        <v/>
      </c>
      <c r="AW2352" s="234"/>
      <c r="BP2352" s="11"/>
      <c r="BQ2352" s="11"/>
      <c r="BV2352" s="158"/>
      <c r="BY2352" s="158"/>
      <c r="CB2352" s="158"/>
    </row>
    <row r="2353" ht="18.0" hidden="1" customHeight="1">
      <c r="A2353" s="222">
        <f>IFERROR(__xludf.DUMMYFUNCTION("""COMPUTED_VALUE"""),2026.0)</f>
        <v>2026</v>
      </c>
      <c r="B2353" s="221">
        <f>IFERROR(__xludf.DUMMYFUNCTION("""COMPUTED_VALUE"""),1.1368652E7)</f>
        <v>11368652</v>
      </c>
      <c r="C2353" s="222" t="str">
        <f>IFERROR(__xludf.DUMMYFUNCTION("""COMPUTED_VALUE"""),"MDN PT3 TJR-FT GG.TAPAI")</f>
        <v>MDN PT3 TJR-FT GG.TAPAI</v>
      </c>
      <c r="D2353" s="222" t="str">
        <f>IFERROR(__xludf.DUMMYFUNCTION("""COMPUTED_VALUE"""),"REGIONAL I")</f>
        <v>REGIONAL I</v>
      </c>
      <c r="E2353" s="222" t="str">
        <f>IFERROR(__xludf.DUMMYFUNCTION("""COMPUTED_VALUE"""),"MEDAN")</f>
        <v>MEDAN</v>
      </c>
      <c r="F2353" s="222" t="str">
        <f>IFERROR(__xludf.DUMMYFUNCTION("""COMPUTED_VALUE"""),"TJR")</f>
        <v>TJR</v>
      </c>
      <c r="G2353" s="222" t="str">
        <f>IFERROR(__xludf.DUMMYFUNCTION("""COMPUTED_VALUE"""),"SUMBAGUT")</f>
        <v>SUMBAGUT</v>
      </c>
      <c r="H2353" s="222" t="str">
        <f>IFERROR(__xludf.DUMMYFUNCTION("""COMPUTED_VALUE"""),"MEDAN")</f>
        <v>MEDAN</v>
      </c>
      <c r="I2353" s="222" t="str">
        <f>IFERROR(__xludf.DUMMYFUNCTION("""COMPUTED_VALUE"""),"Batch 3")</f>
        <v>Batch 3</v>
      </c>
      <c r="J2353" s="225">
        <f>IFERROR(__xludf.DUMMYFUNCTION("""COMPUTED_VALUE"""),4.0)</f>
        <v>4</v>
      </c>
      <c r="K2353" s="224">
        <f>IFERROR(__xludf.DUMMYFUNCTION("""COMPUTED_VALUE"""),32.0)</f>
        <v>32</v>
      </c>
      <c r="L2353" s="226">
        <f>IFERROR(__xludf.DUMMYFUNCTION("""COMPUTED_VALUE"""),1081888.0)</f>
        <v>1081888</v>
      </c>
      <c r="M2353" s="227">
        <f>IFERROR(__xludf.DUMMYFUNCTION("""COMPUTED_VALUE"""),3.4620407E7)</f>
        <v>34620407</v>
      </c>
      <c r="N2353" s="222" t="str">
        <f>IFERROR(__xludf.DUMMYFUNCTION("""COMPUTED_VALUE"""),"PT TEKNOLOGI KARYA MANDIRI")</f>
        <v>PT TEKNOLOGI KARYA MANDIRI</v>
      </c>
      <c r="O2353" s="222" t="str">
        <f>IFERROR(__xludf.DUMMYFUNCTION("""COMPUTED_VALUE"""),"7. GOLIVE")</f>
        <v>7. GOLIVE</v>
      </c>
      <c r="P2353" s="222" t="str">
        <f>IFERROR(__xludf.DUMMYFUNCTION("""COMPUTED_VALUE"""),"7.2 Golive Full / OA / DONE OTB")</f>
        <v>7.2 Golive Full / OA / DONE OTB</v>
      </c>
      <c r="Q2353" s="222" t="str">
        <f>IFERROR(__xludf.DUMMYFUNCTION("""COMPUTED_VALUE"""),"24/04 golive sdi
23/04 pengecekan abd mancore
09/04 menungggu LoP MDN PT3 P7I9 TJR-FT JL.KOALA 16/02 penarikan kabel")</f>
        <v>24/04 golive sdi
23/04 pengecekan abd mancore
09/04 menungggu LoP MDN PT3 P7I9 TJR-FT JL.KOALA 16/02 penarikan kabel</v>
      </c>
      <c r="R2353" s="228">
        <f>IFERROR(__xludf.DUMMYFUNCTION("""COMPUTED_VALUE"""),46135.0)</f>
        <v>46135</v>
      </c>
      <c r="S2353" s="11" t="str">
        <f>IFERROR(__xludf.DUMMYFUNCTION("""COMPUTED_VALUE"""),"APR")</f>
        <v>APR</v>
      </c>
      <c r="T2353" s="73"/>
      <c r="U2353" s="11"/>
      <c r="V2353" s="229" t="str">
        <f>IFERROR(__xludf.DUMMYFUNCTION("""COMPUTED_VALUE"""),"24/Apr/2026")</f>
        <v>24/Apr/2026</v>
      </c>
      <c r="W2353" s="229" t="str">
        <f>IFERROR(__xludf.DUMMYFUNCTION("""COMPUTED_VALUE"""),"#N/A")</f>
        <v>#N/A</v>
      </c>
      <c r="X2353" s="229" t="str">
        <f>IFERROR(__xludf.DUMMYFUNCTION("""COMPUTED_VALUE"""),"GOLIVE")</f>
        <v>GOLIVE</v>
      </c>
      <c r="Y2353" s="229" t="str">
        <f>IFERROR(__xludf.DUMMYFUNCTION("""COMPUTED_VALUE"""),"DONE")</f>
        <v>DONE</v>
      </c>
      <c r="Z2353" s="229" t="str">
        <f>IFERROR(__xludf.DUMMYFUNCTION("""COMPUTED_VALUE"""),"#N/A")</f>
        <v>#N/A</v>
      </c>
      <c r="AA2353" s="229">
        <f>IFERROR(__xludf.DUMMYFUNCTION("""COMPUTED_VALUE"""),4.0)</f>
        <v>4</v>
      </c>
      <c r="AB2353" s="229"/>
      <c r="AC2353" s="229" t="str">
        <f>IFERROR(__xludf.DUMMYFUNCTION("""COMPUTED_VALUE"""),"9307321#9307326")</f>
        <v>9307321#9307326</v>
      </c>
      <c r="AD2353" s="232">
        <f>IFERROR(__xludf.DUMMYFUNCTION("""COMPUTED_VALUE"""),32.0)</f>
        <v>32</v>
      </c>
      <c r="AE2353" s="233">
        <f>IFERROR(__xludf.DUMMYFUNCTION("""COMPUTED_VALUE"""),46135.0)</f>
        <v>46135</v>
      </c>
      <c r="AF2353" s="54"/>
      <c r="AG2353" s="54"/>
      <c r="AH2353" s="54">
        <v>46139.0</v>
      </c>
      <c r="AI2353" s="55">
        <f t="shared" si="221"/>
        <v>0</v>
      </c>
      <c r="AW2353" s="234"/>
      <c r="BP2353" s="11"/>
      <c r="BQ2353" s="11"/>
      <c r="BV2353" s="158"/>
      <c r="BY2353" s="158"/>
      <c r="CB2353" s="158"/>
    </row>
    <row r="2354" ht="18.0" hidden="1" customHeight="1">
      <c r="A2354" s="222">
        <f>IFERROR(__xludf.DUMMYFUNCTION("""COMPUTED_VALUE"""),2026.0)</f>
        <v>2026</v>
      </c>
      <c r="B2354" s="221">
        <f>IFERROR(__xludf.DUMMYFUNCTION("""COMPUTED_VALUE"""),1.1265785E7)</f>
        <v>11265785</v>
      </c>
      <c r="C2354" s="222" t="str">
        <f>IFERROR(__xludf.DUMMYFUNCTION("""COMPUTED_VALUE"""),"ACH PT3 LGS-FAK D02 BR KUALA LANGSA")</f>
        <v>ACH PT3 LGS-FAK D02 BR KUALA LANGSA</v>
      </c>
      <c r="D2354" s="222" t="str">
        <f>IFERROR(__xludf.DUMMYFUNCTION("""COMPUTED_VALUE"""),"REGIONAL I")</f>
        <v>REGIONAL I</v>
      </c>
      <c r="E2354" s="222" t="str">
        <f>IFERROR(__xludf.DUMMYFUNCTION("""COMPUTED_VALUE"""),"ACEH")</f>
        <v>ACEH</v>
      </c>
      <c r="F2354" s="222" t="str">
        <f>IFERROR(__xludf.DUMMYFUNCTION("""COMPUTED_VALUE"""),"LGS")</f>
        <v>LGS</v>
      </c>
      <c r="G2354" s="222" t="str">
        <f>IFERROR(__xludf.DUMMYFUNCTION("""COMPUTED_VALUE"""),"SUMBAGUT")</f>
        <v>SUMBAGUT</v>
      </c>
      <c r="H2354" s="222" t="str">
        <f>IFERROR(__xludf.DUMMYFUNCTION("""COMPUTED_VALUE"""),"BINJAI")</f>
        <v>BINJAI</v>
      </c>
      <c r="I2354" s="222" t="str">
        <f>IFERROR(__xludf.DUMMYFUNCTION("""COMPUTED_VALUE"""),"Batch 3")</f>
        <v>Batch 3</v>
      </c>
      <c r="J2354" s="225">
        <f>IFERROR(__xludf.DUMMYFUNCTION("""COMPUTED_VALUE"""),7.0)</f>
        <v>7</v>
      </c>
      <c r="K2354" s="224">
        <f>IFERROR(__xludf.DUMMYFUNCTION("""COMPUTED_VALUE"""),56.0)</f>
        <v>56</v>
      </c>
      <c r="L2354" s="226">
        <f>IFERROR(__xludf.DUMMYFUNCTION("""COMPUTED_VALUE"""),1058542.0)</f>
        <v>1058542</v>
      </c>
      <c r="M2354" s="227">
        <f>IFERROR(__xludf.DUMMYFUNCTION("""COMPUTED_VALUE"""),5.927835E7)</f>
        <v>59278350</v>
      </c>
      <c r="N2354" s="222" t="str">
        <f>IFERROR(__xludf.DUMMYFUNCTION("""COMPUTED_VALUE"""),"PT NURISA JAYA PERKASA")</f>
        <v>PT NURISA JAYA PERKASA</v>
      </c>
      <c r="O2354" s="222" t="str">
        <f>IFERROR(__xludf.DUMMYFUNCTION("""COMPUTED_VALUE"""),"7. GOLIVE")</f>
        <v>7. GOLIVE</v>
      </c>
      <c r="P2354" s="222" t="str">
        <f>IFERROR(__xludf.DUMMYFUNCTION("""COMPUTED_VALUE"""),"7.2 Golive Full / OA / DONE OTB")</f>
        <v>7.2 Golive Full / OA / DONE OTB</v>
      </c>
      <c r="Q2354" s="222" t="str">
        <f>IFERROR(__xludf.DUMMYFUNCTION("""COMPUTED_VALUE"""),"(07/02) ABD Mancore (21/01) Waiting Big OLT STO LGS")</f>
        <v>(07/02) ABD Mancore (21/01) Waiting Big OLT STO LGS</v>
      </c>
      <c r="R2354" s="228">
        <f>IFERROR(__xludf.DUMMYFUNCTION("""COMPUTED_VALUE"""),46063.0)</f>
        <v>46063</v>
      </c>
      <c r="S2354" s="11"/>
      <c r="T2354" s="11"/>
      <c r="U2354" s="11"/>
      <c r="V2354" s="229"/>
      <c r="W2354" s="229"/>
      <c r="X2354" s="229" t="str">
        <f>IFERROR(__xludf.DUMMYFUNCTION("""COMPUTED_VALUE"""),"GOLIVE")</f>
        <v>GOLIVE</v>
      </c>
      <c r="Y2354" s="229" t="str">
        <f>IFERROR(__xludf.DUMMYFUNCTION("""COMPUTED_VALUE"""),"DONE")</f>
        <v>DONE</v>
      </c>
      <c r="Z2354" s="229" t="str">
        <f>IFERROR(__xludf.DUMMYFUNCTION("""COMPUTED_VALUE"""),"#N/A")</f>
        <v>#N/A</v>
      </c>
      <c r="AA2354" s="229">
        <f>IFERROR(__xludf.DUMMYFUNCTION("""COMPUTED_VALUE"""),7.0)</f>
        <v>7</v>
      </c>
      <c r="AB2354" s="229"/>
      <c r="AC2354" s="229" t="str">
        <f>IFERROR(__xludf.DUMMYFUNCTION("""COMPUTED_VALUE"""),"9084806#9084816")</f>
        <v>9084806#9084816</v>
      </c>
      <c r="AD2354" s="232">
        <f>IFERROR(__xludf.DUMMYFUNCTION("""COMPUTED_VALUE"""),56.0)</f>
        <v>56</v>
      </c>
      <c r="AE2354" s="233">
        <f>IFERROR(__xludf.DUMMYFUNCTION("""COMPUTED_VALUE"""),46063.0)</f>
        <v>46063</v>
      </c>
      <c r="AF2354" s="54"/>
      <c r="AG2354" s="54"/>
      <c r="AH2354" s="54">
        <v>46063.0</v>
      </c>
      <c r="AI2354" s="55">
        <f t="shared" si="221"/>
        <v>0</v>
      </c>
      <c r="AW2354" s="234"/>
      <c r="BP2354" s="11"/>
      <c r="BQ2354" s="11"/>
      <c r="BV2354" s="158"/>
      <c r="BY2354" s="158"/>
      <c r="CB2354" s="158"/>
    </row>
    <row r="2355" ht="18.0" hidden="1" customHeight="1">
      <c r="A2355" s="222">
        <f>IFERROR(__xludf.DUMMYFUNCTION("""COMPUTED_VALUE"""),2026.0)</f>
        <v>2026</v>
      </c>
      <c r="B2355" s="221">
        <f>IFERROR(__xludf.DUMMYFUNCTION("""COMPUTED_VALUE"""),1.1194284E7)</f>
        <v>11194284</v>
      </c>
      <c r="C2355" s="222" t="str">
        <f>IFERROR(__xludf.DUMMYFUNCTION("""COMPUTED_VALUE"""),"MDN PT3 P7I11 TJR-FT GG.BUNU_")</f>
        <v>MDN PT3 P7I11 TJR-FT GG.BUNU_</v>
      </c>
      <c r="D2355" s="222" t="str">
        <f>IFERROR(__xludf.DUMMYFUNCTION("""COMPUTED_VALUE"""),"REGIONAL I")</f>
        <v>REGIONAL I</v>
      </c>
      <c r="E2355" s="222" t="str">
        <f>IFERROR(__xludf.DUMMYFUNCTION("""COMPUTED_VALUE"""),"MEDAN")</f>
        <v>MEDAN</v>
      </c>
      <c r="F2355" s="222" t="str">
        <f>IFERROR(__xludf.DUMMYFUNCTION("""COMPUTED_VALUE"""),"TJR")</f>
        <v>TJR</v>
      </c>
      <c r="G2355" s="222" t="str">
        <f>IFERROR(__xludf.DUMMYFUNCTION("""COMPUTED_VALUE"""),"SUMBAGUT")</f>
        <v>SUMBAGUT</v>
      </c>
      <c r="H2355" s="222" t="str">
        <f>IFERROR(__xludf.DUMMYFUNCTION("""COMPUTED_VALUE"""),"MEDAN")</f>
        <v>MEDAN</v>
      </c>
      <c r="I2355" s="222" t="str">
        <f>IFERROR(__xludf.DUMMYFUNCTION("""COMPUTED_VALUE"""),"Batch 3")</f>
        <v>Batch 3</v>
      </c>
      <c r="J2355" s="225">
        <f>IFERROR(__xludf.DUMMYFUNCTION("""COMPUTED_VALUE"""),6.0)</f>
        <v>6</v>
      </c>
      <c r="K2355" s="224">
        <f>IFERROR(__xludf.DUMMYFUNCTION("""COMPUTED_VALUE"""),48.0)</f>
        <v>48</v>
      </c>
      <c r="L2355" s="226">
        <f>IFERROR(__xludf.DUMMYFUNCTION("""COMPUTED_VALUE"""),1053501.0)</f>
        <v>1053501</v>
      </c>
      <c r="M2355" s="227">
        <f>IFERROR(__xludf.DUMMYFUNCTION("""COMPUTED_VALUE"""),5.0568008E7)</f>
        <v>50568008</v>
      </c>
      <c r="N2355" s="222" t="str">
        <f>IFERROR(__xludf.DUMMYFUNCTION("""COMPUTED_VALUE"""),"PT TEKNOLOGI KARYA MANDIRI")</f>
        <v>PT TEKNOLOGI KARYA MANDIRI</v>
      </c>
      <c r="O2355" s="222" t="str">
        <f>IFERROR(__xludf.DUMMYFUNCTION("""COMPUTED_VALUE"""),"7. GOLIVE")</f>
        <v>7. GOLIVE</v>
      </c>
      <c r="P2355" s="222" t="str">
        <f>IFERROR(__xludf.DUMMYFUNCTION("""COMPUTED_VALUE"""),"7.2 Golive Full / OA / DONE OTB")</f>
        <v>7.2 Golive Full / OA / DONE OTB</v>
      </c>
      <c r="Q2355" s="222" t="str">
        <f>IFERROR(__xludf.DUMMYFUNCTION("""COMPUTED_VALUE"""),"14/03 pemasangan odp
06/03 penarikan kabel
25/02 tanam tiang
09/02 proses perizinan")</f>
        <v>14/03 pemasangan odp
06/03 penarikan kabel
25/02 tanam tiang
09/02 proses perizinan</v>
      </c>
      <c r="R2355" s="228"/>
      <c r="S2355" s="11"/>
      <c r="T2355" s="11"/>
      <c r="U2355" s="11"/>
      <c r="V2355" s="229"/>
      <c r="W2355" s="229"/>
      <c r="X2355" s="229" t="str">
        <f>IFERROR(__xludf.DUMMYFUNCTION("""COMPUTED_VALUE"""),"GOLIVE")</f>
        <v>GOLIVE</v>
      </c>
      <c r="Y2355" s="229" t="str">
        <f>IFERROR(__xludf.DUMMYFUNCTION("""COMPUTED_VALUE"""),"DONE")</f>
        <v>DONE</v>
      </c>
      <c r="Z2355" s="229" t="str">
        <f>IFERROR(__xludf.DUMMYFUNCTION("""COMPUTED_VALUE"""),"#N/A")</f>
        <v>#N/A</v>
      </c>
      <c r="AA2355" s="229">
        <f>IFERROR(__xludf.DUMMYFUNCTION("""COMPUTED_VALUE"""),6.0)</f>
        <v>6</v>
      </c>
      <c r="AB2355" s="229"/>
      <c r="AC2355" s="229" t="str">
        <f>IFERROR(__xludf.DUMMYFUNCTION("""COMPUTED_VALUE"""),"9231242#9231247")</f>
        <v>9231242#9231247</v>
      </c>
      <c r="AD2355" s="232">
        <f>IFERROR(__xludf.DUMMYFUNCTION("""COMPUTED_VALUE"""),48.0)</f>
        <v>48</v>
      </c>
      <c r="AE2355" s="233">
        <f>IFERROR(__xludf.DUMMYFUNCTION("""COMPUTED_VALUE"""),46112.0)</f>
        <v>46112</v>
      </c>
      <c r="AF2355" s="54"/>
      <c r="AG2355" s="54"/>
      <c r="AH2355" s="54"/>
      <c r="AI2355" s="55" t="str">
        <f t="shared" si="221"/>
        <v/>
      </c>
      <c r="AW2355" s="234"/>
      <c r="BP2355" s="11"/>
      <c r="BQ2355" s="11"/>
      <c r="BV2355" s="158"/>
      <c r="BY2355" s="158"/>
      <c r="CB2355" s="158"/>
    </row>
    <row r="2356" ht="18.0" hidden="1" customHeight="1">
      <c r="A2356" s="222">
        <f>IFERROR(__xludf.DUMMYFUNCTION("""COMPUTED_VALUE"""),2026.0)</f>
        <v>2026</v>
      </c>
      <c r="B2356" s="221">
        <f>IFERROR(__xludf.DUMMYFUNCTION("""COMPUTED_VALUE"""),1.2386384E7)</f>
        <v>12386384</v>
      </c>
      <c r="C2356" s="222" t="str">
        <f>IFERROR(__xludf.DUMMYFUNCTION("""COMPUTED_VALUE"""),"BBL PT3 P4I3 Gang Miun Tanjung")</f>
        <v>BBL PT3 P4I3 Gang Miun Tanjung</v>
      </c>
      <c r="D2356" s="222" t="str">
        <f>IFERROR(__xludf.DUMMYFUNCTION("""COMPUTED_VALUE"""),"REGIONAL I")</f>
        <v>REGIONAL I</v>
      </c>
      <c r="E2356" s="222" t="str">
        <f>IFERROR(__xludf.DUMMYFUNCTION("""COMPUTED_VALUE"""),"BABEL")</f>
        <v>BABEL</v>
      </c>
      <c r="F2356" s="222" t="str">
        <f>IFERROR(__xludf.DUMMYFUNCTION("""COMPUTED_VALUE"""),"TJN")</f>
        <v>TJN</v>
      </c>
      <c r="G2356" s="222" t="str">
        <f>IFERROR(__xludf.DUMMYFUNCTION("""COMPUTED_VALUE"""),"SUMBAGSEL")</f>
        <v>SUMBAGSEL</v>
      </c>
      <c r="H2356" s="222" t="str">
        <f>IFERROR(__xludf.DUMMYFUNCTION("""COMPUTED_VALUE"""),"PANGKAL PINANG")</f>
        <v>PANGKAL PINANG</v>
      </c>
      <c r="I2356" s="222" t="str">
        <f>IFERROR(__xludf.DUMMYFUNCTION("""COMPUTED_VALUE"""),"Batch 3")</f>
        <v>Batch 3</v>
      </c>
      <c r="J2356" s="225">
        <f>IFERROR(__xludf.DUMMYFUNCTION("""COMPUTED_VALUE"""),3.0)</f>
        <v>3</v>
      </c>
      <c r="K2356" s="224">
        <f>IFERROR(__xludf.DUMMYFUNCTION("""COMPUTED_VALUE"""),24.0)</f>
        <v>24</v>
      </c>
      <c r="L2356" s="226">
        <f>IFERROR(__xludf.DUMMYFUNCTION("""COMPUTED_VALUE"""),1013123.0)</f>
        <v>1013123</v>
      </c>
      <c r="M2356" s="227">
        <f>IFERROR(__xludf.DUMMYFUNCTION("""COMPUTED_VALUE"""),2.4314937E7)</f>
        <v>24314937</v>
      </c>
      <c r="N2356" s="222" t="str">
        <f>IFERROR(__xludf.DUMMYFUNCTION("""COMPUTED_VALUE"""),"PT Raharja Prakarsa Nusantara")</f>
        <v>PT Raharja Prakarsa Nusantara</v>
      </c>
      <c r="O2356" s="222" t="str">
        <f>IFERROR(__xludf.DUMMYFUNCTION("""COMPUTED_VALUE"""),"7. GOLIVE")</f>
        <v>7. GOLIVE</v>
      </c>
      <c r="P2356" s="222" t="str">
        <f>IFERROR(__xludf.DUMMYFUNCTION("""COMPUTED_VALUE"""),"7.2 Golive Full / OA / DONE OTB")</f>
        <v>7.2 Golive Full / OA / DONE OTB</v>
      </c>
      <c r="Q2356" s="222" t="str">
        <f>IFERROR(__xludf.DUMMYFUNCTION("""COMPUTED_VALUE"""),"06/01 finish instalasi (05/01) progres instalasi ODP (02/01) perapian tiang, pelebelan tiang, pengecoran tiang (16/12) tarik kabel done 29/11 penarikan kabel 12D 1300 done (27/11) sudah ambil material (26/11) request material (25/11) sudah bisa request (2"&amp;"4/11) DRM mitra done (23/11) proses DRM mitra (11/11) ctread PID done (07/11) anwizing (05/11) penunjukkan mitra")</f>
        <v>06/01 finish instalasi (05/01) progres instalasi ODP (02/01) perapian tiang, pelebelan tiang, pengecoran tiang (16/12) tarik kabel done 29/11 penarikan kabel 12D 1300 done (27/11) sudah ambil material (26/11) request material (25/11) sudah bisa request (24/11) DRM mitra done (23/11) proses DRM mitra (11/11) ctread PID done (07/11) anwizing (05/11) penunjukkan mitra</v>
      </c>
      <c r="R2356" s="228"/>
      <c r="S2356" s="11"/>
      <c r="T2356" s="11"/>
      <c r="U2356" s="11"/>
      <c r="V2356" s="229"/>
      <c r="W2356" s="229"/>
      <c r="X2356" s="229" t="str">
        <f>IFERROR(__xludf.DUMMYFUNCTION("""COMPUTED_VALUE"""),"GOLIVE")</f>
        <v>GOLIVE</v>
      </c>
      <c r="Y2356" s="229" t="str">
        <f>IFERROR(__xludf.DUMMYFUNCTION("""COMPUTED_VALUE"""),"DONE")</f>
        <v>DONE</v>
      </c>
      <c r="Z2356" s="229" t="str">
        <f>IFERROR(__xludf.DUMMYFUNCTION("""COMPUTED_VALUE"""),"#N/A")</f>
        <v>#N/A</v>
      </c>
      <c r="AA2356" s="229">
        <f>IFERROR(__xludf.DUMMYFUNCTION("""COMPUTED_VALUE"""),3.0)</f>
        <v>3</v>
      </c>
      <c r="AB2356" s="229"/>
      <c r="AC2356" s="229" t="str">
        <f>IFERROR(__xludf.DUMMYFUNCTION("""COMPUTED_VALUE"""),"9006876#9006881")</f>
        <v>9006876#9006881</v>
      </c>
      <c r="AD2356" s="232">
        <f>IFERROR(__xludf.DUMMYFUNCTION("""COMPUTED_VALUE"""),24.0)</f>
        <v>24</v>
      </c>
      <c r="AE2356" s="233">
        <f>IFERROR(__xludf.DUMMYFUNCTION("""COMPUTED_VALUE"""),46053.0)</f>
        <v>46053</v>
      </c>
      <c r="AF2356" s="54" t="str">
        <f>IFERROR(__xludf.DUMMYFUNCTION("""COMPUTED_VALUE"""),"DONE")</f>
        <v>DONE</v>
      </c>
      <c r="AG2356" s="54"/>
      <c r="AH2356" s="54">
        <v>46138.0</v>
      </c>
      <c r="AI2356" s="237">
        <f>AH2356-NOW()</f>
        <v>-2.377989954</v>
      </c>
      <c r="AJ2356" s="229" t="str">
        <f>if(AI2356&gt;=0,"Gl in Komitmen","Gl out Komitmen")</f>
        <v>Gl out Komitmen</v>
      </c>
      <c r="AK2356" s="229" t="s">
        <v>199</v>
      </c>
      <c r="AW2356" s="234"/>
      <c r="BP2356" s="11"/>
      <c r="BQ2356" s="11"/>
      <c r="BV2356" s="158"/>
      <c r="BY2356" s="158"/>
      <c r="CB2356" s="158"/>
    </row>
    <row r="2357" ht="18.0" customHeight="1">
      <c r="A2357" s="222">
        <f>IFERROR(__xludf.DUMMYFUNCTION("""COMPUTED_VALUE"""),2026.0)</f>
        <v>2026</v>
      </c>
      <c r="B2357" s="221">
        <f>IFERROR(__xludf.DUMMYFUNCTION("""COMPUTED_VALUE"""),1.1408293E7)</f>
        <v>11408293</v>
      </c>
      <c r="C2357" s="222" t="str">
        <f>IFERROR(__xludf.DUMMYFUNCTION("""COMPUTED_VALUE"""),"RDR ARK PT3 P3I1 UFAIRA RESIDENCE 2")</f>
        <v>RDR ARK PT3 P3I1 UFAIRA RESIDENCE 2</v>
      </c>
      <c r="D2357" s="222" t="str">
        <f>IFERROR(__xludf.DUMMYFUNCTION("""COMPUTED_VALUE"""),"REGIONAL I")</f>
        <v>REGIONAL I</v>
      </c>
      <c r="E2357" s="222" t="str">
        <f>IFERROR(__xludf.DUMMYFUNCTION("""COMPUTED_VALUE"""),"RIDAR")</f>
        <v>RIDAR</v>
      </c>
      <c r="F2357" s="222" t="str">
        <f>IFERROR(__xludf.DUMMYFUNCTION("""COMPUTED_VALUE"""),"ARK")</f>
        <v>ARK</v>
      </c>
      <c r="G2357" s="222" t="str">
        <f>IFERROR(__xludf.DUMMYFUNCTION("""COMPUTED_VALUE"""),"SUMBAGTENG")</f>
        <v>SUMBAGTENG</v>
      </c>
      <c r="H2357" s="222" t="str">
        <f>IFERROR(__xludf.DUMMYFUNCTION("""COMPUTED_VALUE"""),"PEKANBARU")</f>
        <v>PEKANBARU</v>
      </c>
      <c r="I2357" s="222" t="str">
        <f>IFERROR(__xludf.DUMMYFUNCTION("""COMPUTED_VALUE"""),"Batch 3")</f>
        <v>Batch 3</v>
      </c>
      <c r="J2357" s="225">
        <f>IFERROR(__xludf.DUMMYFUNCTION("""COMPUTED_VALUE"""),4.0)</f>
        <v>4</v>
      </c>
      <c r="K2357" s="224">
        <f>IFERROR(__xludf.DUMMYFUNCTION("""COMPUTED_VALUE"""),32.0)</f>
        <v>32</v>
      </c>
      <c r="L2357" s="226">
        <f>IFERROR(__xludf.DUMMYFUNCTION("""COMPUTED_VALUE"""),1007289.0)</f>
        <v>1007289</v>
      </c>
      <c r="M2357" s="227">
        <f>IFERROR(__xludf.DUMMYFUNCTION("""COMPUTED_VALUE"""),3.2233224E7)</f>
        <v>32233224</v>
      </c>
      <c r="N2357" s="222" t="str">
        <f>IFERROR(__xludf.DUMMYFUNCTION("""COMPUTED_VALUE"""),"PT SABANA BABARE SEJAHTERA")</f>
        <v>PT SABANA BABARE SEJAHTERA</v>
      </c>
      <c r="O2357" s="222" t="str">
        <f>IFERROR(__xludf.DUMMYFUNCTION("""COMPUTED_VALUE"""),"6. FINISH INSTALASI")</f>
        <v>6. FINISH INSTALASI</v>
      </c>
      <c r="P2357" s="222" t="str">
        <f>IFERROR(__xludf.DUMMYFUNCTION("""COMPUTED_VALUE"""),"6.4 Kendala - Modul OLT")</f>
        <v>6.4 Kendala - Modul OLT</v>
      </c>
      <c r="Q2357" s="222" t="str">
        <f>IFERROR(__xludf.DUMMYFUNCTION("""COMPUTED_VALUE"""),"20/04 Menunggu kiriman Modul OLT Kubang 06/04 Sudah validasi, menunggu penambahan Modul utk kebutuhan CO 27/03 Proses CO di Week 2 April 16/03 Proses CO Setelah RAFI 04/03 Proses Validasi ODC ARK FCY, untuk di CO ke Shelter Kubang 29/01 Menunggu Co ODC AR"&amp;"K FCY ke Shelter Kubang, di Week 2 Feb 22/01 Menunggu jadwal CO di W2 Februari")</f>
        <v>20/04 Menunggu kiriman Modul OLT Kubang 06/04 Sudah validasi, menunggu penambahan Modul utk kebutuhan CO 27/03 Proses CO di Week 2 April 16/03 Proses CO Setelah RAFI 04/03 Proses Validasi ODC ARK FCY, untuk di CO ke Shelter Kubang 29/01 Menunggu Co ODC ARK FCY ke Shelter Kubang, di Week 2 Feb 22/01 Menunggu jadwal CO di W2 Februari</v>
      </c>
      <c r="R2357" s="228">
        <f>IFERROR(__xludf.DUMMYFUNCTION("""COMPUTED_VALUE"""),46142.0)</f>
        <v>46142</v>
      </c>
      <c r="S2357" s="11"/>
      <c r="T2357" s="73" t="str">
        <f>IFERROR(__xludf.DUMMYFUNCTION("""COMPUTED_VALUE"""),"P1")</f>
        <v>P1</v>
      </c>
      <c r="U2357" s="11"/>
      <c r="V2357" s="229" t="str">
        <f>IFERROR(__xludf.DUMMYFUNCTION("""COMPUTED_VALUE"""),"SYAFRIAL")</f>
        <v>SYAFRIAL</v>
      </c>
      <c r="W2357" s="229" t="str">
        <f>IFERROR(__xludf.DUMMYFUNCTION("""COMPUTED_VALUE"""),"DESLITA RAHMADANI")</f>
        <v>DESLITA RAHMADANI</v>
      </c>
      <c r="X2357" s="229"/>
      <c r="Y2357" s="229"/>
      <c r="Z2357" s="229" t="str">
        <f>IFERROR(__xludf.DUMMYFUNCTION("""COMPUTED_VALUE"""),"#N/A")</f>
        <v>#N/A</v>
      </c>
      <c r="AA2357" s="229"/>
      <c r="AB2357" s="229"/>
      <c r="AC2357" s="229"/>
      <c r="AD2357" s="232"/>
      <c r="AE2357" s="233"/>
      <c r="AF2357" s="54"/>
      <c r="AG2357" s="54"/>
      <c r="AH2357" s="54">
        <v>46138.0</v>
      </c>
      <c r="AI2357" s="55">
        <f>AH2357-TODAY()</f>
        <v>-2</v>
      </c>
      <c r="AJ2357" s="229" t="str">
        <f>if(AI2357&gt;=0,"In Komitmen","Out Komitmen")</f>
        <v>Out Komitmen</v>
      </c>
      <c r="AK2357" s="231" t="s">
        <v>199</v>
      </c>
      <c r="AW2357" s="234"/>
      <c r="BP2357" s="11"/>
      <c r="BQ2357" s="11"/>
      <c r="BV2357" s="158"/>
      <c r="BY2357" s="158"/>
      <c r="CB2357" s="158"/>
    </row>
    <row r="2358" ht="18.0" hidden="1" customHeight="1">
      <c r="A2358" s="222">
        <f>IFERROR(__xludf.DUMMYFUNCTION("""COMPUTED_VALUE"""),2026.0)</f>
        <v>2026</v>
      </c>
      <c r="B2358" s="221">
        <f>IFERROR(__xludf.DUMMYFUNCTION("""COMPUTED_VALUE"""),1.2437993E7)</f>
        <v>12437993</v>
      </c>
      <c r="C2358" s="222" t="str">
        <f>IFERROR(__xludf.DUMMYFUNCTION("""COMPUTED_VALUE"""),"MDN PT3 CTD-FBG JL.PERJUANGAN_MD25")</f>
        <v>MDN PT3 CTD-FBG JL.PERJUANGAN_MD25</v>
      </c>
      <c r="D2358" s="222" t="str">
        <f>IFERROR(__xludf.DUMMYFUNCTION("""COMPUTED_VALUE"""),"REGIONAL I")</f>
        <v>REGIONAL I</v>
      </c>
      <c r="E2358" s="222" t="str">
        <f>IFERROR(__xludf.DUMMYFUNCTION("""COMPUTED_VALUE"""),"MEDAN")</f>
        <v>MEDAN</v>
      </c>
      <c r="F2358" s="222" t="str">
        <f>IFERROR(__xludf.DUMMYFUNCTION("""COMPUTED_VALUE"""),"CTD")</f>
        <v>CTD</v>
      </c>
      <c r="G2358" s="222" t="str">
        <f>IFERROR(__xludf.DUMMYFUNCTION("""COMPUTED_VALUE"""),"SUMBAGUT")</f>
        <v>SUMBAGUT</v>
      </c>
      <c r="H2358" s="222" t="str">
        <f>IFERROR(__xludf.DUMMYFUNCTION("""COMPUTED_VALUE"""),"MEDAN")</f>
        <v>MEDAN</v>
      </c>
      <c r="I2358" s="222" t="str">
        <f>IFERROR(__xludf.DUMMYFUNCTION("""COMPUTED_VALUE"""),"Batch 3")</f>
        <v>Batch 3</v>
      </c>
      <c r="J2358" s="225">
        <f>IFERROR(__xludf.DUMMYFUNCTION("""COMPUTED_VALUE"""),4.0)</f>
        <v>4</v>
      </c>
      <c r="K2358" s="224">
        <f>IFERROR(__xludf.DUMMYFUNCTION("""COMPUTED_VALUE"""),32.0)</f>
        <v>32</v>
      </c>
      <c r="L2358" s="226">
        <f>IFERROR(__xludf.DUMMYFUNCTION("""COMPUTED_VALUE"""),996220.0)</f>
        <v>996220</v>
      </c>
      <c r="M2358" s="227">
        <f>IFERROR(__xludf.DUMMYFUNCTION("""COMPUTED_VALUE"""),3.1879026E7)</f>
        <v>31879026</v>
      </c>
      <c r="N2358" s="222" t="str">
        <f>IFERROR(__xludf.DUMMYFUNCTION("""COMPUTED_VALUE"""),"PT MILFHA MUTIARA PRIMA")</f>
        <v>PT MILFHA MUTIARA PRIMA</v>
      </c>
      <c r="O2358" s="222" t="str">
        <f>IFERROR(__xludf.DUMMYFUNCTION("""COMPUTED_VALUE"""),"0. DROP")</f>
        <v>0. DROP</v>
      </c>
      <c r="P2358" s="222" t="str">
        <f>IFERROR(__xludf.DUMMYFUNCTION("""COMPUTED_VALUE"""),"0.4 CPP Tinggi Acc ED TIF")</f>
        <v>0.4 CPP Tinggi Acc ED TIF</v>
      </c>
      <c r="Q2358" s="222" t="str">
        <f>IFERROR(__xludf.DUMMYFUNCTION("""COMPUTED_VALUE"""),"08/04 cpp tinggi akibat comcase
02/04 survey redesign karena design awal tidak di beri izin tanam tiang
01/04 survey ulang untuk peralihan rute lama karena tidak di beri izin tanam tiang no space
04/02 Aanwidzing ok, lanjut perizinan")</f>
        <v>08/04 cpp tinggi akibat comcase
02/04 survey redesign karena design awal tidak di beri izin tanam tiang
01/04 survey ulang untuk peralihan rute lama karena tidak di beri izin tanam tiang no space
04/02 Aanwidzing ok, lanjut perizinan</v>
      </c>
      <c r="R2358" s="228"/>
      <c r="S2358" s="11"/>
      <c r="T2358" s="73"/>
      <c r="U2358" s="11"/>
      <c r="V2358" s="229" t="str">
        <f>IFERROR(__xludf.DUMMYFUNCTION("""COMPUTED_VALUE"""),"28/Apr/2026")</f>
        <v>28/Apr/2026</v>
      </c>
      <c r="W2358" s="229"/>
      <c r="X2358" s="229" t="str">
        <f>IFERROR(__xludf.DUMMYFUNCTION("""COMPUTED_VALUE"""),"BELUM GOLIVE")</f>
        <v>BELUM GOLIVE</v>
      </c>
      <c r="Y2358" s="229"/>
      <c r="Z2358" s="229" t="str">
        <f>IFERROR(__xludf.DUMMYFUNCTION("""COMPUTED_VALUE"""),"#N/A")</f>
        <v>#N/A</v>
      </c>
      <c r="AA2358" s="229"/>
      <c r="AB2358" s="229"/>
      <c r="AC2358" s="229"/>
      <c r="AD2358" s="232"/>
      <c r="AE2358" s="233"/>
      <c r="AF2358" s="54"/>
      <c r="AG2358" s="54"/>
      <c r="AH2358" s="54"/>
      <c r="AI2358" s="55" t="str">
        <f>IF(OR(R2358="",AE2358=""),"",R2358-AE2358)</f>
        <v/>
      </c>
      <c r="AW2358" s="234"/>
      <c r="BP2358" s="11"/>
      <c r="BQ2358" s="11"/>
      <c r="BV2358" s="158"/>
      <c r="BY2358" s="158"/>
      <c r="CB2358" s="158"/>
    </row>
    <row r="2359" ht="18.0" customHeight="1">
      <c r="A2359" s="222">
        <f>IFERROR(__xludf.DUMMYFUNCTION("""COMPUTED_VALUE"""),2026.0)</f>
        <v>2026</v>
      </c>
      <c r="B2359" s="221">
        <f>IFERROR(__xludf.DUMMYFUNCTION("""COMPUTED_VALUE"""),1.2494439E7)</f>
        <v>12494439</v>
      </c>
      <c r="C2359" s="222" t="str">
        <f>IFERROR(__xludf.DUMMYFUNCTION("""COMPUTED_VALUE"""),"RDR JPP PT3 250_184_2904")</f>
        <v>RDR JPP PT3 250_184_2904</v>
      </c>
      <c r="D2359" s="222" t="str">
        <f>IFERROR(__xludf.DUMMYFUNCTION("""COMPUTED_VALUE"""),"REGIONAL I")</f>
        <v>REGIONAL I</v>
      </c>
      <c r="E2359" s="222" t="str">
        <f>IFERROR(__xludf.DUMMYFUNCTION("""COMPUTED_VALUE"""),"RIDAR")</f>
        <v>RIDAR</v>
      </c>
      <c r="F2359" s="222" t="str">
        <f>IFERROR(__xludf.DUMMYFUNCTION("""COMPUTED_VALUE"""),"BKR")</f>
        <v>BKR</v>
      </c>
      <c r="G2359" s="222" t="str">
        <f>IFERROR(__xludf.DUMMYFUNCTION("""COMPUTED_VALUE"""),"SUMBAGTENG")</f>
        <v>SUMBAGTENG</v>
      </c>
      <c r="H2359" s="222" t="str">
        <f>IFERROR(__xludf.DUMMYFUNCTION("""COMPUTED_VALUE"""),"PEKANBARU")</f>
        <v>PEKANBARU</v>
      </c>
      <c r="I2359" s="222" t="str">
        <f>IFERROR(__xludf.DUMMYFUNCTION("""COMPUTED_VALUE"""),"Batch 3")</f>
        <v>Batch 3</v>
      </c>
      <c r="J2359" s="225">
        <f>IFERROR(__xludf.DUMMYFUNCTION("""COMPUTED_VALUE"""),12.0)</f>
        <v>12</v>
      </c>
      <c r="K2359" s="224">
        <f>IFERROR(__xludf.DUMMYFUNCTION("""COMPUTED_VALUE"""),96.0)</f>
        <v>96</v>
      </c>
      <c r="L2359" s="226">
        <f>IFERROR(__xludf.DUMMYFUNCTION("""COMPUTED_VALUE"""),995402.0)</f>
        <v>995402</v>
      </c>
      <c r="M2359" s="227">
        <f>IFERROR(__xludf.DUMMYFUNCTION("""COMPUTED_VALUE"""),9.5558539E7)</f>
        <v>95558539</v>
      </c>
      <c r="N2359" s="222" t="str">
        <f>IFERROR(__xludf.DUMMYFUNCTION("""COMPUTED_VALUE"""),"PT TIGA AKSES MANDIRI")</f>
        <v>PT TIGA AKSES MANDIRI</v>
      </c>
      <c r="O2359" s="222" t="str">
        <f>IFERROR(__xludf.DUMMYFUNCTION("""COMPUTED_VALUE"""),"7. GOLIVE")</f>
        <v>7. GOLIVE</v>
      </c>
      <c r="P2359" s="222" t="str">
        <f>IFERROR(__xludf.DUMMYFUNCTION("""COMPUTED_VALUE"""),"7.2 Golive Full / OA / DONE OTB")</f>
        <v>7.2 Golive Full / OA / DONE OTB</v>
      </c>
      <c r="Q2359" s="222" t="str">
        <f>IFERROR(__xludf.DUMMYFUNCTION("""COMPUTED_VALUE"""),"05/03 Penarikan kabel 04/03 Pekerjaan sudah lanjut penarikan kabel 20/02 Pekerjaan di stop oleh warga setempat 10/02 Pengitiman material ke Lokasi 29/01 Antrian review hasil anwidzing ")</f>
        <v>05/03 Penarikan kabel 04/03 Pekerjaan sudah lanjut penarikan kabel 20/02 Pekerjaan di stop oleh warga setempat 10/02 Pengitiman material ke Lokasi 29/01 Antrian review hasil anwidzing </v>
      </c>
      <c r="R2359" s="228">
        <f>IFERROR(__xludf.DUMMYFUNCTION("""COMPUTED_VALUE"""),46088.0)</f>
        <v>46088</v>
      </c>
      <c r="S2359" s="11" t="str">
        <f>IFERROR(__xludf.DUMMYFUNCTION("""COMPUTED_VALUE"""),"MAR")</f>
        <v>MAR</v>
      </c>
      <c r="T2359" s="11"/>
      <c r="U2359" s="11" t="str">
        <f>IFERROR(__xludf.DUMMYFUNCTION("""COMPUTED_VALUE"""),"TIF-2684/2026")</f>
        <v>TIF-2684/2026</v>
      </c>
      <c r="V2359" s="229" t="str">
        <f>IFERROR(__xludf.DUMMYFUNCTION("""COMPUTED_VALUE"""),"PIKI NOFRI SAPUTRA")</f>
        <v>PIKI NOFRI SAPUTRA</v>
      </c>
      <c r="W2359" s="229" t="str">
        <f>IFERROR(__xludf.DUMMYFUNCTION("""COMPUTED_VALUE"""),"ANZALA SAKINAH")</f>
        <v>ANZALA SAKINAH</v>
      </c>
      <c r="X2359" s="229" t="str">
        <f>IFERROR(__xludf.DUMMYFUNCTION("""COMPUTED_VALUE"""),"GOLIVE")</f>
        <v>GOLIVE</v>
      </c>
      <c r="Y2359" s="229" t="str">
        <f>IFERROR(__xludf.DUMMYFUNCTION("""COMPUTED_VALUE"""),"DONE")</f>
        <v>DONE</v>
      </c>
      <c r="Z2359" s="229" t="str">
        <f>IFERROR(__xludf.DUMMYFUNCTION("""COMPUTED_VALUE"""),"#N/A")</f>
        <v>#N/A</v>
      </c>
      <c r="AA2359" s="229">
        <f>IFERROR(__xludf.DUMMYFUNCTION("""COMPUTED_VALUE"""),12.0)</f>
        <v>12</v>
      </c>
      <c r="AB2359" s="229"/>
      <c r="AC2359" s="229" t="str">
        <f>IFERROR(__xludf.DUMMYFUNCTION("""COMPUTED_VALUE"""),"9032293#9032305")</f>
        <v>9032293#9032305</v>
      </c>
      <c r="AD2359" s="232">
        <f>IFERROR(__xludf.DUMMYFUNCTION("""COMPUTED_VALUE"""),96.0)</f>
        <v>96</v>
      </c>
      <c r="AE2359" s="233">
        <f>IFERROR(__xludf.DUMMYFUNCTION("""COMPUTED_VALUE"""),46091.0)</f>
        <v>46091</v>
      </c>
      <c r="AF2359" s="54"/>
      <c r="AG2359" s="54"/>
      <c r="AH2359" s="54">
        <v>46088.0</v>
      </c>
      <c r="AI2359" s="55">
        <f>IF(OR(AH2359="",AE2359=""),"",AH2359-AE2359)</f>
        <v>-3</v>
      </c>
      <c r="AW2359" s="234"/>
      <c r="BP2359" s="11"/>
      <c r="BQ2359" s="11"/>
      <c r="BV2359" s="158"/>
      <c r="BY2359" s="158"/>
      <c r="CB2359" s="158"/>
    </row>
    <row r="2360" ht="18.0" hidden="1" customHeight="1">
      <c r="A2360" s="222">
        <f>IFERROR(__xludf.DUMMYFUNCTION("""COMPUTED_VALUE"""),2026.0)</f>
        <v>2026</v>
      </c>
      <c r="B2360" s="221">
        <f>IFERROR(__xludf.DUMMYFUNCTION("""COMPUTED_VALUE"""),1.272795E7)</f>
        <v>12727950</v>
      </c>
      <c r="C2360" s="222" t="str">
        <f>IFERROR(__xludf.DUMMYFUNCTION("""COMPUTED_VALUE"""),"LPG PT3 JPP LAMPUNG SELATAN 169144 KLA")</f>
        <v>LPG PT3 JPP LAMPUNG SELATAN 169144 KLA</v>
      </c>
      <c r="D2360" s="222" t="str">
        <f>IFERROR(__xludf.DUMMYFUNCTION("""COMPUTED_VALUE"""),"REGIONAL I")</f>
        <v>REGIONAL I</v>
      </c>
      <c r="E2360" s="222" t="str">
        <f>IFERROR(__xludf.DUMMYFUNCTION("""COMPUTED_VALUE"""),"LAMPUNG")</f>
        <v>LAMPUNG</v>
      </c>
      <c r="F2360" s="222" t="str">
        <f>IFERROR(__xludf.DUMMYFUNCTION("""COMPUTED_VALUE"""),"KLA")</f>
        <v>KLA</v>
      </c>
      <c r="G2360" s="222" t="str">
        <f>IFERROR(__xludf.DUMMYFUNCTION("""COMPUTED_VALUE"""),"SUMBAGSEL")</f>
        <v>SUMBAGSEL</v>
      </c>
      <c r="H2360" s="222" t="str">
        <f>IFERROR(__xludf.DUMMYFUNCTION("""COMPUTED_VALUE"""),"LAMPUNG")</f>
        <v>LAMPUNG</v>
      </c>
      <c r="I2360" s="222" t="str">
        <f>IFERROR(__xludf.DUMMYFUNCTION("""COMPUTED_VALUE"""),"Batch 3")</f>
        <v>Batch 3</v>
      </c>
      <c r="J2360" s="225">
        <f>IFERROR(__xludf.DUMMYFUNCTION("""COMPUTED_VALUE"""),3.0)</f>
        <v>3</v>
      </c>
      <c r="K2360" s="224">
        <f>IFERROR(__xludf.DUMMYFUNCTION("""COMPUTED_VALUE"""),24.0)</f>
        <v>24</v>
      </c>
      <c r="L2360" s="226">
        <f>IFERROR(__xludf.DUMMYFUNCTION("""COMPUTED_VALUE"""),992738.0)</f>
        <v>992738</v>
      </c>
      <c r="M2360" s="227">
        <f>IFERROR(__xludf.DUMMYFUNCTION("""COMPUTED_VALUE"""),2.3825697E7)</f>
        <v>23825697</v>
      </c>
      <c r="N2360" s="222" t="str">
        <f>IFERROR(__xludf.DUMMYFUNCTION("""COMPUTED_VALUE"""),"PT ACERO CETHA METALINDO")</f>
        <v>PT ACERO CETHA METALINDO</v>
      </c>
      <c r="O2360" s="222" t="str">
        <f>IFERROR(__xludf.DUMMYFUNCTION("""COMPUTED_VALUE"""),"7. GOLIVE")</f>
        <v>7. GOLIVE</v>
      </c>
      <c r="P2360" s="222" t="str">
        <f>IFERROR(__xludf.DUMMYFUNCTION("""COMPUTED_VALUE"""),"7.2 Golive Full / OA / DONE OTB")</f>
        <v>7.2 Golive Full / OA / DONE OTB</v>
      </c>
      <c r="Q2360" s="222" t="str">
        <f>IFERROR(__xludf.DUMMYFUNCTION("""COMPUTED_VALUE"""),"31/3 terminasi odp dan proves valin, plan golive 31/3
25/3 Proses Tanam Tiang  13/3 plan Matdel HI,,   10/3 PROSES AMD BUGET 
9/3 proses pr/po plan matdel ,plan matdel 9/2
2/3 proses pr/po plan matdel ,plan matdel 5/2
27/2 OGP PRIZINAN 
23/2 proses perizi"&amp;"nan &amp; Pengecekan core 
18/2 konfirmasi tif  untuk penambahan modul  6/2 kendala olt bakauheni habis 
30/1 butuh penambahan modul  23/1 butuh penambahan modul olt14/1 mini olt habis")</f>
        <v>31/3 terminasi odp dan proves valin, plan golive 31/3
25/3 Proses Tanam Tiang  13/3 plan Matdel HI,,   10/3 PROSES AMD BUGET 
9/3 proses pr/po plan matdel ,plan matdel 9/2
2/3 proses pr/po plan matdel ,plan matdel 5/2
27/2 OGP PRIZINAN 
23/2 proses perizinan &amp; Pengecekan core 
18/2 konfirmasi tif  untuk penambahan modul  6/2 kendala olt bakauheni habis 
30/1 butuh penambahan modul  23/1 butuh penambahan modul olt14/1 mini olt habis</v>
      </c>
      <c r="R2360" s="228">
        <f>IFERROR(__xludf.DUMMYFUNCTION("""COMPUTED_VALUE"""),46113.0)</f>
        <v>46113</v>
      </c>
      <c r="S2360" s="11" t="str">
        <f>IFERROR(__xludf.DUMMYFUNCTION("""COMPUTED_VALUE"""),"APR")</f>
        <v>APR</v>
      </c>
      <c r="T2360" s="73"/>
      <c r="U2360" s="11" t="str">
        <f>IFERROR(__xludf.DUMMYFUNCTION("""COMPUTED_VALUE"""),"TIF-4339/2026")</f>
        <v>TIF-4339/2026</v>
      </c>
      <c r="V2360" s="229"/>
      <c r="W2360" s="229"/>
      <c r="X2360" s="229" t="str">
        <f>IFERROR(__xludf.DUMMYFUNCTION("""COMPUTED_VALUE"""),"GOLIVE")</f>
        <v>GOLIVE</v>
      </c>
      <c r="Y2360" s="229" t="str">
        <f>IFERROR(__xludf.DUMMYFUNCTION("""COMPUTED_VALUE"""),"PORT OLT Penuh")</f>
        <v>PORT OLT Penuh</v>
      </c>
      <c r="Z2360" s="229" t="str">
        <f>IFERROR(__xludf.DUMMYFUNCTION("""COMPUTED_VALUE"""),"#N/A")</f>
        <v>#N/A</v>
      </c>
      <c r="AA2360" s="229">
        <f>IFERROR(__xludf.DUMMYFUNCTION("""COMPUTED_VALUE"""),3.0)</f>
        <v>3</v>
      </c>
      <c r="AB2360" s="229">
        <f>IFERROR(__xludf.DUMMYFUNCTION("""COMPUTED_VALUE"""),0.0)</f>
        <v>0</v>
      </c>
      <c r="AC2360" s="229" t="str">
        <f>IFERROR(__xludf.DUMMYFUNCTION("""COMPUTED_VALUE"""),"9124417#9124422")</f>
        <v>9124417#9124422</v>
      </c>
      <c r="AD2360" s="232">
        <f>IFERROR(__xludf.DUMMYFUNCTION("""COMPUTED_VALUE"""),24.0)</f>
        <v>24</v>
      </c>
      <c r="AE2360" s="233">
        <f>IFERROR(__xludf.DUMMYFUNCTION("""COMPUTED_VALUE"""),46113.0)</f>
        <v>46113</v>
      </c>
      <c r="AF2360" s="54"/>
      <c r="AG2360" s="54"/>
      <c r="AH2360" s="54">
        <v>46113.0</v>
      </c>
      <c r="AI2360" s="55">
        <f t="shared" ref="AI2360:AI2372" si="222">IF(OR(R2360="",AE2360=""),"",R2360-AE2360)</f>
        <v>0</v>
      </c>
      <c r="AW2360" s="234"/>
      <c r="BP2360" s="11"/>
      <c r="BQ2360" s="11"/>
      <c r="BV2360" s="158"/>
      <c r="BY2360" s="158"/>
      <c r="CB2360" s="158"/>
    </row>
    <row r="2361" ht="18.0" hidden="1" customHeight="1">
      <c r="A2361" s="222">
        <f>IFERROR(__xludf.DUMMYFUNCTION("""COMPUTED_VALUE"""),2026.0)</f>
        <v>2026</v>
      </c>
      <c r="B2361" s="221">
        <f>IFERROR(__xludf.DUMMYFUNCTION("""COMPUTED_VALUE"""),1.1390744E7)</f>
        <v>11390744</v>
      </c>
      <c r="C2361" s="222" t="str">
        <f>IFERROR(__xludf.DUMMYFUNCTION("""COMPUTED_VALUE"""),"ACH PT3 MBO-FP BR.D04 LAPANG 2")</f>
        <v>ACH PT3 MBO-FP BR.D04 LAPANG 2</v>
      </c>
      <c r="D2361" s="222" t="str">
        <f>IFERROR(__xludf.DUMMYFUNCTION("""COMPUTED_VALUE"""),"REGIONAL I")</f>
        <v>REGIONAL I</v>
      </c>
      <c r="E2361" s="222" t="str">
        <f>IFERROR(__xludf.DUMMYFUNCTION("""COMPUTED_VALUE"""),"ACEH")</f>
        <v>ACEH</v>
      </c>
      <c r="F2361" s="222" t="str">
        <f>IFERROR(__xludf.DUMMYFUNCTION("""COMPUTED_VALUE"""),"MBO")</f>
        <v>MBO</v>
      </c>
      <c r="G2361" s="222" t="str">
        <f>IFERROR(__xludf.DUMMYFUNCTION("""COMPUTED_VALUE"""),"SUMBAGUT")</f>
        <v>SUMBAGUT</v>
      </c>
      <c r="H2361" s="222" t="str">
        <f>IFERROR(__xludf.DUMMYFUNCTION("""COMPUTED_VALUE"""),"BANDA ACEH")</f>
        <v>BANDA ACEH</v>
      </c>
      <c r="I2361" s="222" t="str">
        <f>IFERROR(__xludf.DUMMYFUNCTION("""COMPUTED_VALUE"""),"Batch 3")</f>
        <v>Batch 3</v>
      </c>
      <c r="J2361" s="225">
        <f>IFERROR(__xludf.DUMMYFUNCTION("""COMPUTED_VALUE"""),7.0)</f>
        <v>7</v>
      </c>
      <c r="K2361" s="224">
        <f>IFERROR(__xludf.DUMMYFUNCTION("""COMPUTED_VALUE"""),56.0)</f>
        <v>56</v>
      </c>
      <c r="L2361" s="226">
        <f>IFERROR(__xludf.DUMMYFUNCTION("""COMPUTED_VALUE"""),990719.0)</f>
        <v>990719</v>
      </c>
      <c r="M2361" s="227">
        <f>IFERROR(__xludf.DUMMYFUNCTION("""COMPUTED_VALUE"""),5.5480223E7)</f>
        <v>55480223</v>
      </c>
      <c r="N2361" s="222" t="str">
        <f>IFERROR(__xludf.DUMMYFUNCTION("""COMPUTED_VALUE"""),"PT NIAGA NUSANTARA DIVA")</f>
        <v>PT NIAGA NUSANTARA DIVA</v>
      </c>
      <c r="O2361" s="222" t="str">
        <f>IFERROR(__xludf.DUMMYFUNCTION("""COMPUTED_VALUE"""),"7. GOLIVE")</f>
        <v>7. GOLIVE</v>
      </c>
      <c r="P2361" s="222" t="str">
        <f>IFERROR(__xludf.DUMMYFUNCTION("""COMPUTED_VALUE"""),"7.2 Golive Full / OA / DONE OTB")</f>
        <v>7.2 Golive Full / OA / DONE OTB</v>
      </c>
      <c r="Q2361" s="222"/>
      <c r="R2361" s="228">
        <f>IFERROR(__xludf.DUMMYFUNCTION("""COMPUTED_VALUE"""),46034.0)</f>
        <v>46034</v>
      </c>
      <c r="S2361" s="11"/>
      <c r="T2361" s="11"/>
      <c r="U2361" s="11"/>
      <c r="V2361" s="229"/>
      <c r="W2361" s="229"/>
      <c r="X2361" s="229" t="str">
        <f>IFERROR(__xludf.DUMMYFUNCTION("""COMPUTED_VALUE"""),"GOLIVE")</f>
        <v>GOLIVE</v>
      </c>
      <c r="Y2361" s="229" t="str">
        <f>IFERROR(__xludf.DUMMYFUNCTION("""COMPUTED_VALUE"""),"DONE")</f>
        <v>DONE</v>
      </c>
      <c r="Z2361" s="229" t="str">
        <f>IFERROR(__xludf.DUMMYFUNCTION("""COMPUTED_VALUE"""),"#N/A")</f>
        <v>#N/A</v>
      </c>
      <c r="AA2361" s="229">
        <f>IFERROR(__xludf.DUMMYFUNCTION("""COMPUTED_VALUE"""),8.0)</f>
        <v>8</v>
      </c>
      <c r="AB2361" s="229"/>
      <c r="AC2361" s="229" t="str">
        <f>IFERROR(__xludf.DUMMYFUNCTION("""COMPUTED_VALUE"""),"8913256#8913261")</f>
        <v>8913256#8913261</v>
      </c>
      <c r="AD2361" s="232">
        <f>IFERROR(__xludf.DUMMYFUNCTION("""COMPUTED_VALUE"""),64.0)</f>
        <v>64</v>
      </c>
      <c r="AE2361" s="233">
        <f>IFERROR(__xludf.DUMMYFUNCTION("""COMPUTED_VALUE"""),46034.0)</f>
        <v>46034</v>
      </c>
      <c r="AF2361" s="54"/>
      <c r="AG2361" s="54"/>
      <c r="AH2361" s="54">
        <v>46034.0</v>
      </c>
      <c r="AI2361" s="55">
        <f t="shared" si="222"/>
        <v>0</v>
      </c>
      <c r="AW2361" s="234"/>
      <c r="BP2361" s="11"/>
      <c r="BQ2361" s="11"/>
      <c r="BV2361" s="158"/>
      <c r="BY2361" s="158"/>
      <c r="CB2361" s="158"/>
    </row>
    <row r="2362" ht="18.0" hidden="1" customHeight="1">
      <c r="A2362" s="222">
        <f>IFERROR(__xludf.DUMMYFUNCTION("""COMPUTED_VALUE"""),2026.0)</f>
        <v>2026</v>
      </c>
      <c r="B2362" s="221">
        <f>IFERROR(__xludf.DUMMYFUNCTION("""COMPUTED_VALUE"""),1.2629622E7)</f>
        <v>12629622</v>
      </c>
      <c r="C2362" s="222" t="str">
        <f>IFERROR(__xludf.DUMMYFUNCTION("""COMPUTED_VALUE"""),"SMU PT3 GNT-FD D04 CLUST PALUTA_46516_H2")</f>
        <v>SMU PT3 GNT-FD D04 CLUST PALUTA_46516_H2</v>
      </c>
      <c r="D2362" s="222" t="str">
        <f>IFERROR(__xludf.DUMMYFUNCTION("""COMPUTED_VALUE"""),"REGIONAL I")</f>
        <v>REGIONAL I</v>
      </c>
      <c r="E2362" s="222" t="str">
        <f>IFERROR(__xludf.DUMMYFUNCTION("""COMPUTED_VALUE"""),"SUMUT")</f>
        <v>SUMUT</v>
      </c>
      <c r="F2362" s="222" t="str">
        <f>IFERROR(__xludf.DUMMYFUNCTION("""COMPUTED_VALUE"""),"GNT")</f>
        <v>GNT</v>
      </c>
      <c r="G2362" s="222" t="str">
        <f>IFERROR(__xludf.DUMMYFUNCTION("""COMPUTED_VALUE"""),"SUMBAGUT")</f>
        <v>SUMBAGUT</v>
      </c>
      <c r="H2362" s="222" t="str">
        <f>IFERROR(__xludf.DUMMYFUNCTION("""COMPUTED_VALUE"""),"RANTAU PRAPAT")</f>
        <v>RANTAU PRAPAT</v>
      </c>
      <c r="I2362" s="222" t="str">
        <f>IFERROR(__xludf.DUMMYFUNCTION("""COMPUTED_VALUE"""),"Batch 3")</f>
        <v>Batch 3</v>
      </c>
      <c r="J2362" s="225">
        <f>IFERROR(__xludf.DUMMYFUNCTION("""COMPUTED_VALUE"""),7.0)</f>
        <v>7</v>
      </c>
      <c r="K2362" s="224">
        <f>IFERROR(__xludf.DUMMYFUNCTION("""COMPUTED_VALUE"""),56.0)</f>
        <v>56</v>
      </c>
      <c r="L2362" s="226">
        <f>IFERROR(__xludf.DUMMYFUNCTION("""COMPUTED_VALUE"""),989831.0)</f>
        <v>989831</v>
      </c>
      <c r="M2362" s="227">
        <f>IFERROR(__xludf.DUMMYFUNCTION("""COMPUTED_VALUE"""),5.5430515E7)</f>
        <v>55430515</v>
      </c>
      <c r="N2362" s="222" t="str">
        <f>IFERROR(__xludf.DUMMYFUNCTION("""COMPUTED_VALUE"""),"PT MEDCOM SOLUTION")</f>
        <v>PT MEDCOM SOLUTION</v>
      </c>
      <c r="O2362" s="222" t="str">
        <f>IFERROR(__xludf.DUMMYFUNCTION("""COMPUTED_VALUE"""),"4. MATDEL")</f>
        <v>4. MATDEL</v>
      </c>
      <c r="P2362" s="222" t="str">
        <f>IFERROR(__xludf.DUMMYFUNCTION("""COMPUTED_VALUE"""),"4.2 Sudah Request Material (Alista)")</f>
        <v>4.2 Sudah Request Material (Alista)</v>
      </c>
      <c r="Q2362" s="222" t="str">
        <f>IFERROR(__xludf.DUMMYFUNCTION("""COMPUTED_VALUE"""),"24/4 prepair tim untuk pengambilan material, 23/4 prepair tim untuk pengambilan material, 22/4 proses input material di alista, 21/4 plan malam ini mitra mengirim req material, 20/4 mitra blm mengirim req material, 16/4 mitra blm megirim req material,  15"&amp;"/4 mitra blm megirim req material, 14/4 mitra blm megirim req material, 13/4 mitra blm megirim req material, 9/4 plan malam ini mengiirm req material, 8/4 mitra belum mengirim req material, 6/4 plan req matrial hari ini,  5/4 menunggu req kebutuhan matria"&amp;"l mitra, 1/4 menunggu req kebutuhan matrial mitra, 31/3 menunggu req kebutuhan matrial mitra, 30/3 menunggu req kebutuhan matrial mitra, 27/3 menunggu req kebutuhan matrial mitra, 26/3 menunggu req kebutuhan matrial mitra, 22/3 menunggu req kebutuhan matr"&amp;"ial mitra,18/3 menunggu req material , 16/3 proses req matrial , 13/3 ada kenaikan nilai diatas 10%,  11/3 ada kenaikan nilai diatas 10%, 10/3 ada kenaikan nilai diatas 10%, 9/3 proses cek cpp, 6/3 menunggu boq kml survey,  5/3 menunggu boq kml survey, 4/"&amp;"3 menunggu boq kml survey,  3/3 menunggu boq kml survey, 2/3 menunggu boq kml survey,  27/2 menunggu boq kml survey, 25/2 plan besok 26 feb submit boq kml survey, 24/2 menunggu boq kml survey,  23/2 menunggu boq kml survey, 20/2 menunggu boq kml survey  e"&amp;"st submit 22 feb,  19/2 menunggu boq kml survey  est submit 22 feb,18/2 menunggu boq kml survey,  16/2 menunggu boq kml survey ,13/2 prepair team untuk survey est paling lambat 14 feb,  11/2 prepair team untuk survey est paling lambat 14 feb, 10/2 prepair"&amp;" team untuk survey est paling lambat 14 feb, 9/2 prepair team untuk survey est paling lambat 14 feb, 6/2 prepair team untuk survey est paling lambat 14 feb, 5/2 prepair team untuk survey est paling lambat 14 feb, 3/2 plan survey 5/2 (peralihan dari mitra "&amp;"truputra), 2/2 penunjukan mitra ( peralihan dari mitra triputra),  1/2 penunjukan mitra ( peralihan dari mitra triputra), 30/1 penunjukan mitra ( peralihan dari mitra triputra), 28/1 penu jukan mitra ( peralihan dari mitra triputra), 27/1 plan survey tgl "&amp;"28/1, 26/1 plan survey tgl 27/1,23/1 plan survey tgl 27/1, 22/1 penunjukan mitra, 21/1 penunjukan mitra")</f>
        <v>24/4 prepair tim untuk pengambilan material, 23/4 prepair tim untuk pengambilan material, 22/4 proses input material di alista, 21/4 plan malam ini mitra mengirim req material, 20/4 mitra blm mengirim req material, 16/4 mitra blm megirim req material,  15/4 mitra blm megirim req material, 14/4 mitra blm megirim req material, 13/4 mitra blm megirim req material, 9/4 plan malam ini mengiirm req material, 8/4 mitra belum mengirim req material, 6/4 plan req matrial hari ini,  5/4 menunggu req kebutuhan matrial mitra, 1/4 menunggu req kebutuhan matrial mitra, 31/3 menunggu req kebutuhan matrial mitra, 30/3 menunggu req kebutuhan matrial mitra, 27/3 menunggu req kebutuhan matrial mitra, 26/3 menunggu req kebutuhan matrial mitra, 22/3 menunggu req kebutuhan matrial mitra,18/3 menunggu req material , 16/3 proses req matrial , 13/3 ada kenaikan nilai diatas 10%,  11/3 ada kenaikan nilai diatas 10%, 10/3 ada kenaikan nilai diatas 10%, 9/3 proses cek cpp, 6/3 menunggu boq kml survey,  5/3 menunggu boq kml survey, 4/3 menunggu boq kml survey,  3/3 menunggu boq kml survey, 2/3 menunggu boq kml survey,  27/2 menunggu boq kml survey, 25/2 plan besok 26 feb submit boq kml survey, 24/2 menunggu boq kml survey,  23/2 menunggu boq kml survey, 20/2 menunggu boq kml survey  est submit 22 feb,  19/2 menunggu boq kml survey  est submit 22 feb,18/2 menunggu boq kml survey,  16/2 menunggu boq kml survey ,13/2 prepair team untuk survey est paling lambat 14 feb,  11/2 prepair team untuk survey est paling lambat 14 feb, 10/2 prepair team untuk survey est paling lambat 14 feb, 9/2 prepair team untuk survey est paling lambat 14 feb, 6/2 prepair team untuk survey est paling lambat 14 feb, 5/2 prepair team untuk survey est paling lambat 14 feb, 3/2 plan survey 5/2 (peralihan dari mitra truputra), 2/2 penunjukan mitra ( peralihan dari mitra triputra),  1/2 penunjukan mitra ( peralihan dari mitra triputra), 30/1 penunjukan mitra ( peralihan dari mitra triputra), 28/1 penu jukan mitra ( peralihan dari mitra triputra), 27/1 plan survey tgl 28/1, 26/1 plan survey tgl 27/1,23/1 plan survey tgl 27/1, 22/1 penunjukan mitra, 21/1 penunjukan mitra</v>
      </c>
      <c r="R2362" s="228"/>
      <c r="S2362" s="11"/>
      <c r="T2362" s="73"/>
      <c r="U2362" s="11" t="str">
        <f>IFERROR(__xludf.DUMMYFUNCTION("""COMPUTED_VALUE"""),"TIF-2035/2026")</f>
        <v>TIF-2035/2026</v>
      </c>
      <c r="V2362" s="229" t="str">
        <f>IFERROR(__xludf.DUMMYFUNCTION("""COMPUTED_VALUE"""),"16/Apr/2026")</f>
        <v>16/Apr/2026</v>
      </c>
      <c r="W2362" s="229"/>
      <c r="X2362" s="229" t="str">
        <f>IFERROR(__xludf.DUMMYFUNCTION("""COMPUTED_VALUE"""),"BELUM GOLIVE")</f>
        <v>BELUM GOLIVE</v>
      </c>
      <c r="Y2362" s="229"/>
      <c r="Z2362" s="229" t="str">
        <f>IFERROR(__xludf.DUMMYFUNCTION("""COMPUTED_VALUE"""),"#N/A")</f>
        <v>#N/A</v>
      </c>
      <c r="AA2362" s="229"/>
      <c r="AB2362" s="229"/>
      <c r="AC2362" s="229"/>
      <c r="AD2362" s="232"/>
      <c r="AE2362" s="233"/>
      <c r="AF2362" s="54"/>
      <c r="AG2362" s="54"/>
      <c r="AH2362" s="54"/>
      <c r="AI2362" s="55" t="str">
        <f t="shared" si="222"/>
        <v/>
      </c>
      <c r="AW2362" s="234"/>
      <c r="BP2362" s="11"/>
      <c r="BQ2362" s="11"/>
      <c r="BV2362" s="158"/>
      <c r="BY2362" s="158"/>
      <c r="CB2362" s="158"/>
    </row>
    <row r="2363" ht="18.0" hidden="1" customHeight="1">
      <c r="A2363" s="222">
        <f>IFERROR(__xludf.DUMMYFUNCTION("""COMPUTED_VALUE"""),2026.0)</f>
        <v>2026</v>
      </c>
      <c r="B2363" s="221">
        <f>IFERROR(__xludf.DUMMYFUNCTION("""COMPUTED_VALUE"""),1.2760349E7)</f>
        <v>12760349</v>
      </c>
      <c r="C2363" s="222" t="str">
        <f>IFERROR(__xludf.DUMMYFUNCTION("""COMPUTED_VALUE"""),"LPG PT4 JPP LAMPUNG TENGAH_1001 CSF BDA")</f>
        <v>LPG PT4 JPP LAMPUNG TENGAH_1001 CSF BDA</v>
      </c>
      <c r="D2363" s="222" t="str">
        <f>IFERROR(__xludf.DUMMYFUNCTION("""COMPUTED_VALUE"""),"REGIONAL I")</f>
        <v>REGIONAL I</v>
      </c>
      <c r="E2363" s="222" t="str">
        <f>IFERROR(__xludf.DUMMYFUNCTION("""COMPUTED_VALUE"""),"LAMPUNG")</f>
        <v>LAMPUNG</v>
      </c>
      <c r="F2363" s="222" t="str">
        <f>IFERROR(__xludf.DUMMYFUNCTION("""COMPUTED_VALUE"""),"BDA")</f>
        <v>BDA</v>
      </c>
      <c r="G2363" s="222" t="str">
        <f>IFERROR(__xludf.DUMMYFUNCTION("""COMPUTED_VALUE"""),"SUMBAGSEL")</f>
        <v>SUMBAGSEL</v>
      </c>
      <c r="H2363" s="222" t="str">
        <f>IFERROR(__xludf.DUMMYFUNCTION("""COMPUTED_VALUE"""),"LAMPUNG")</f>
        <v>LAMPUNG</v>
      </c>
      <c r="I2363" s="222" t="str">
        <f>IFERROR(__xludf.DUMMYFUNCTION("""COMPUTED_VALUE"""),"Batch 3")</f>
        <v>Batch 3</v>
      </c>
      <c r="J2363" s="225">
        <f>IFERROR(__xludf.DUMMYFUNCTION("""COMPUTED_VALUE"""),32.0)</f>
        <v>32</v>
      </c>
      <c r="K2363" s="224">
        <f>IFERROR(__xludf.DUMMYFUNCTION("""COMPUTED_VALUE"""),256.0)</f>
        <v>256</v>
      </c>
      <c r="L2363" s="226">
        <f>IFERROR(__xludf.DUMMYFUNCTION("""COMPUTED_VALUE"""),989359.0)</f>
        <v>989359</v>
      </c>
      <c r="M2363" s="227">
        <f>IFERROR(__xludf.DUMMYFUNCTION("""COMPUTED_VALUE"""),2.53275727E8)</f>
        <v>253275727</v>
      </c>
      <c r="N2363" s="222" t="str">
        <f>IFERROR(__xludf.DUMMYFUNCTION("""COMPUTED_VALUE"""),"PT GARINDO TECHNO MANDIRI")</f>
        <v>PT GARINDO TECHNO MANDIRI</v>
      </c>
      <c r="O2363" s="222" t="str">
        <f>IFERROR(__xludf.DUMMYFUNCTION("""COMPUTED_VALUE"""),"0. DROP")</f>
        <v>0. DROP</v>
      </c>
      <c r="P2363" s="222" t="str">
        <f>IFERROR(__xludf.DUMMYFUNCTION("""COMPUTED_VALUE"""),"0.2 Tidak Dapat Izin Warga/Kades/Lurah/Developer")</f>
        <v>0.2 Tidak Dapat Izin Warga/Kades/Lurah/Developer</v>
      </c>
      <c r="Q2363" s="222" t="str">
        <f>IFERROR(__xludf.DUMMYFUNCTION("""COMPUTED_VALUE"""),"12/2 red zone"" dengan ""4/2 progres prizinan dan eletrical 30/1 plan anwizing 23/1 plan anwizing tanggal 26/1""")</f>
        <v>12/2 red zone" dengan "4/2 progres prizinan dan eletrical 30/1 plan anwizing 23/1 plan anwizing tanggal 26/1"</v>
      </c>
      <c r="R2363" s="228"/>
      <c r="S2363" s="11"/>
      <c r="T2363" s="11"/>
      <c r="U2363" s="11"/>
      <c r="V2363" s="229"/>
      <c r="W2363" s="229"/>
      <c r="X2363" s="229"/>
      <c r="Y2363" s="229" t="str">
        <f>IFERROR(__xludf.DUMMYFUNCTION("""COMPUTED_VALUE"""),"PORT OLT Penuh")</f>
        <v>PORT OLT Penuh</v>
      </c>
      <c r="Z2363" s="229" t="str">
        <f>IFERROR(__xludf.DUMMYFUNCTION("""COMPUTED_VALUE"""),"#N/A")</f>
        <v>#N/A</v>
      </c>
      <c r="AA2363" s="229"/>
      <c r="AB2363" s="229"/>
      <c r="AC2363" s="229"/>
      <c r="AD2363" s="232"/>
      <c r="AE2363" s="233"/>
      <c r="AF2363" s="54" t="str">
        <f>IFERROR(__xludf.DUMMYFUNCTION("""COMPUTED_VALUE"""),"Draft BA DROP")</f>
        <v>Draft BA DROP</v>
      </c>
      <c r="AG2363" s="54"/>
      <c r="AH2363" s="54"/>
      <c r="AI2363" s="55" t="str">
        <f t="shared" si="222"/>
        <v/>
      </c>
      <c r="AW2363" s="234"/>
      <c r="BP2363" s="11"/>
      <c r="BQ2363" s="11"/>
      <c r="BV2363" s="158"/>
      <c r="BY2363" s="158"/>
      <c r="CB2363" s="158"/>
    </row>
    <row r="2364" ht="18.0" hidden="1" customHeight="1">
      <c r="A2364" s="222">
        <f>IFERROR(__xludf.DUMMYFUNCTION("""COMPUTED_VALUE"""),2026.0)</f>
        <v>2026</v>
      </c>
      <c r="B2364" s="221">
        <f>IFERROR(__xludf.DUMMYFUNCTION("""COMPUTED_VALUE"""),1.2753046E7)</f>
        <v>12753046</v>
      </c>
      <c r="C2364" s="222" t="str">
        <f>IFERROR(__xludf.DUMMYFUNCTION("""COMPUTED_VALUE"""),"LPG PT3 JPP LAMPUNG TIMUR_152201 MET")</f>
        <v>LPG PT3 JPP LAMPUNG TIMUR_152201 MET</v>
      </c>
      <c r="D2364" s="222" t="str">
        <f>IFERROR(__xludf.DUMMYFUNCTION("""COMPUTED_VALUE"""),"REGIONAL I")</f>
        <v>REGIONAL I</v>
      </c>
      <c r="E2364" s="222" t="str">
        <f>IFERROR(__xludf.DUMMYFUNCTION("""COMPUTED_VALUE"""),"LAMPUNG")</f>
        <v>LAMPUNG</v>
      </c>
      <c r="F2364" s="222" t="str">
        <f>IFERROR(__xludf.DUMMYFUNCTION("""COMPUTED_VALUE"""),"MET")</f>
        <v>MET</v>
      </c>
      <c r="G2364" s="222" t="str">
        <f>IFERROR(__xludf.DUMMYFUNCTION("""COMPUTED_VALUE"""),"SUMBAGSEL")</f>
        <v>SUMBAGSEL</v>
      </c>
      <c r="H2364" s="222" t="str">
        <f>IFERROR(__xludf.DUMMYFUNCTION("""COMPUTED_VALUE"""),"LAMPUNG")</f>
        <v>LAMPUNG</v>
      </c>
      <c r="I2364" s="222" t="str">
        <f>IFERROR(__xludf.DUMMYFUNCTION("""COMPUTED_VALUE"""),"Batch 3")</f>
        <v>Batch 3</v>
      </c>
      <c r="J2364" s="225">
        <f>IFERROR(__xludf.DUMMYFUNCTION("""COMPUTED_VALUE"""),6.0)</f>
        <v>6</v>
      </c>
      <c r="K2364" s="224">
        <f>IFERROR(__xludf.DUMMYFUNCTION("""COMPUTED_VALUE"""),48.0)</f>
        <v>48</v>
      </c>
      <c r="L2364" s="226">
        <f>IFERROR(__xludf.DUMMYFUNCTION("""COMPUTED_VALUE"""),986968.0)</f>
        <v>986968</v>
      </c>
      <c r="M2364" s="227">
        <f>IFERROR(__xludf.DUMMYFUNCTION("""COMPUTED_VALUE"""),4.7374452E7)</f>
        <v>47374452</v>
      </c>
      <c r="N2364" s="222" t="str">
        <f>IFERROR(__xludf.DUMMYFUNCTION("""COMPUTED_VALUE"""),"PT FAJAR MITRA KRIDA ABADI")</f>
        <v>PT FAJAR MITRA KRIDA ABADI</v>
      </c>
      <c r="O2364" s="222" t="str">
        <f>IFERROR(__xludf.DUMMYFUNCTION("""COMPUTED_VALUE"""),"0. DROP")</f>
        <v>0. DROP</v>
      </c>
      <c r="P2364" s="222" t="str">
        <f>IFERROR(__xludf.DUMMYFUNCTION("""COMPUTED_VALUE"""),"0.2 Tidak Dapat Izin Warga/Kades/Lurah/Developer")</f>
        <v>0.2 Tidak Dapat Izin Warga/Kades/Lurah/Developer</v>
      </c>
      <c r="Q2364" s="222" t="str">
        <f>IFERROR(__xludf.DUMMYFUNCTION("""COMPUTED_VALUE"""),"6/2 Tidak dapat izin dari lurah")</f>
        <v>6/2 Tidak dapat izin dari lurah</v>
      </c>
      <c r="R2364" s="228"/>
      <c r="S2364" s="11"/>
      <c r="T2364" s="11"/>
      <c r="U2364" s="11"/>
      <c r="V2364" s="229"/>
      <c r="W2364" s="229"/>
      <c r="X2364" s="229"/>
      <c r="Y2364" s="229"/>
      <c r="Z2364" s="229" t="str">
        <f>IFERROR(__xludf.DUMMYFUNCTION("""COMPUTED_VALUE"""),"#N/A")</f>
        <v>#N/A</v>
      </c>
      <c r="AA2364" s="229"/>
      <c r="AB2364" s="229"/>
      <c r="AC2364" s="229"/>
      <c r="AD2364" s="232"/>
      <c r="AE2364" s="233"/>
      <c r="AF2364" s="54" t="str">
        <f>IFERROR(__xludf.DUMMYFUNCTION("""COMPUTED_VALUE"""),"Draft BA DROP")</f>
        <v>Draft BA DROP</v>
      </c>
      <c r="AG2364" s="54"/>
      <c r="AH2364" s="54"/>
      <c r="AI2364" s="55" t="str">
        <f t="shared" si="222"/>
        <v/>
      </c>
      <c r="AW2364" s="234"/>
      <c r="BP2364" s="11"/>
      <c r="BQ2364" s="11"/>
      <c r="BV2364" s="158"/>
      <c r="BY2364" s="158"/>
      <c r="CB2364" s="158"/>
    </row>
    <row r="2365" ht="18.0" hidden="1" customHeight="1">
      <c r="A2365" s="222">
        <f>IFERROR(__xludf.DUMMYFUNCTION("""COMPUTED_VALUE"""),2026.0)</f>
        <v>2026</v>
      </c>
      <c r="B2365" s="221">
        <f>IFERROR(__xludf.DUMMYFUNCTION("""COMPUTED_VALUE"""),1.1131027E7)</f>
        <v>11131027</v>
      </c>
      <c r="C2365" s="222" t="str">
        <f>IFERROR(__xludf.DUMMYFUNCTION("""COMPUTED_VALUE"""),"MDN PT3 P7I2 TMU-FAB RUMAH PONDOK 6")</f>
        <v>MDN PT3 P7I2 TMU-FAB RUMAH PONDOK 6</v>
      </c>
      <c r="D2365" s="222" t="str">
        <f>IFERROR(__xludf.DUMMYFUNCTION("""COMPUTED_VALUE"""),"REGIONAL I")</f>
        <v>REGIONAL I</v>
      </c>
      <c r="E2365" s="222" t="str">
        <f>IFERROR(__xludf.DUMMYFUNCTION("""COMPUTED_VALUE"""),"MEDAN")</f>
        <v>MEDAN</v>
      </c>
      <c r="F2365" s="222" t="str">
        <f>IFERROR(__xludf.DUMMYFUNCTION("""COMPUTED_VALUE"""),"TMU")</f>
        <v>TMU</v>
      </c>
      <c r="G2365" s="222" t="str">
        <f>IFERROR(__xludf.DUMMYFUNCTION("""COMPUTED_VALUE"""),"SUMBAGUT")</f>
        <v>SUMBAGUT</v>
      </c>
      <c r="H2365" s="222" t="str">
        <f>IFERROR(__xludf.DUMMYFUNCTION("""COMPUTED_VALUE"""),"MEDAN")</f>
        <v>MEDAN</v>
      </c>
      <c r="I2365" s="222" t="str">
        <f>IFERROR(__xludf.DUMMYFUNCTION("""COMPUTED_VALUE"""),"Batch 3")</f>
        <v>Batch 3</v>
      </c>
      <c r="J2365" s="225">
        <f>IFERROR(__xludf.DUMMYFUNCTION("""COMPUTED_VALUE"""),18.0)</f>
        <v>18</v>
      </c>
      <c r="K2365" s="224">
        <f>IFERROR(__xludf.DUMMYFUNCTION("""COMPUTED_VALUE"""),144.0)</f>
        <v>144</v>
      </c>
      <c r="L2365" s="226">
        <f>IFERROR(__xludf.DUMMYFUNCTION("""COMPUTED_VALUE"""),985827.0)</f>
        <v>985827</v>
      </c>
      <c r="M2365" s="227">
        <f>IFERROR(__xludf.DUMMYFUNCTION("""COMPUTED_VALUE"""),1.41958968E8)</f>
        <v>141958968</v>
      </c>
      <c r="N2365" s="222" t="str">
        <f>IFERROR(__xludf.DUMMYFUNCTION("""COMPUTED_VALUE"""),"PT DUL JAYA TAMA")</f>
        <v>PT DUL JAYA TAMA</v>
      </c>
      <c r="O2365" s="222" t="str">
        <f>IFERROR(__xludf.DUMMYFUNCTION("""COMPUTED_VALUE"""),"0. DROP")</f>
        <v>0. DROP</v>
      </c>
      <c r="P2365" s="222" t="str">
        <f>IFERROR(__xludf.DUMMYFUNCTION("""COMPUTED_VALUE"""),"0.1 Double Order")</f>
        <v>0.1 Double Order</v>
      </c>
      <c r="Q2365" s="222" t="str">
        <f>IFERROR(__xludf.DUMMYFUNCTION("""COMPUTED_VALUE"""),"GL 01/03/2025 13/02 menunggu LoP MDN PT4 TMU-FAB ODP PRIORITAS 02/02 Feeder Tidak Tembus")</f>
        <v>GL 01/03/2025 13/02 menunggu LoP MDN PT4 TMU-FAB ODP PRIORITAS 02/02 Feeder Tidak Tembus</v>
      </c>
      <c r="R2365" s="228"/>
      <c r="S2365" s="11"/>
      <c r="T2365" s="11"/>
      <c r="U2365" s="11"/>
      <c r="V2365" s="229"/>
      <c r="W2365" s="229"/>
      <c r="X2365" s="229" t="str">
        <f>IFERROR(__xludf.DUMMYFUNCTION("""COMPUTED_VALUE"""),"BELUM GOLIVE")</f>
        <v>BELUM GOLIVE</v>
      </c>
      <c r="Y2365" s="229"/>
      <c r="Z2365" s="229" t="str">
        <f>IFERROR(__xludf.DUMMYFUNCTION("""COMPUTED_VALUE"""),"#N/A")</f>
        <v>#N/A</v>
      </c>
      <c r="AA2365" s="229"/>
      <c r="AB2365" s="229"/>
      <c r="AC2365" s="229"/>
      <c r="AD2365" s="232"/>
      <c r="AE2365" s="233"/>
      <c r="AF2365" s="54"/>
      <c r="AG2365" s="54"/>
      <c r="AH2365" s="54"/>
      <c r="AI2365" s="55" t="str">
        <f t="shared" si="222"/>
        <v/>
      </c>
      <c r="AW2365" s="234"/>
      <c r="BP2365" s="11"/>
      <c r="BQ2365" s="11"/>
      <c r="BV2365" s="158"/>
      <c r="BY2365" s="158"/>
      <c r="CB2365" s="158"/>
    </row>
    <row r="2366" ht="18.0" hidden="1" customHeight="1">
      <c r="A2366" s="222">
        <f>IFERROR(__xludf.DUMMYFUNCTION("""COMPUTED_VALUE"""),2026.0)</f>
        <v>2026</v>
      </c>
      <c r="B2366" s="221">
        <f>IFERROR(__xludf.DUMMYFUNCTION("""COMPUTED_VALUE"""),1.1272074E7)</f>
        <v>11272074</v>
      </c>
      <c r="C2366" s="222" t="str">
        <f>IFERROR(__xludf.DUMMYFUNCTION("""COMPUTED_VALUE"""),"MDN PT3 P1I1 PBD-FL JL.DATUK PELAWI")</f>
        <v>MDN PT3 P1I1 PBD-FL JL.DATUK PELAWI</v>
      </c>
      <c r="D2366" s="222" t="str">
        <f>IFERROR(__xludf.DUMMYFUNCTION("""COMPUTED_VALUE"""),"REGIONAL I")</f>
        <v>REGIONAL I</v>
      </c>
      <c r="E2366" s="222" t="str">
        <f>IFERROR(__xludf.DUMMYFUNCTION("""COMPUTED_VALUE"""),"MEDAN")</f>
        <v>MEDAN</v>
      </c>
      <c r="F2366" s="222" t="str">
        <f>IFERROR(__xludf.DUMMYFUNCTION("""COMPUTED_VALUE"""),"PBD")</f>
        <v>PBD</v>
      </c>
      <c r="G2366" s="222" t="str">
        <f>IFERROR(__xludf.DUMMYFUNCTION("""COMPUTED_VALUE"""),"SUMBAGUT")</f>
        <v>SUMBAGUT</v>
      </c>
      <c r="H2366" s="222" t="str">
        <f>IFERROR(__xludf.DUMMYFUNCTION("""COMPUTED_VALUE"""),"BINJAI")</f>
        <v>BINJAI</v>
      </c>
      <c r="I2366" s="222" t="str">
        <f>IFERROR(__xludf.DUMMYFUNCTION("""COMPUTED_VALUE"""),"Batch 3")</f>
        <v>Batch 3</v>
      </c>
      <c r="J2366" s="225">
        <f>IFERROR(__xludf.DUMMYFUNCTION("""COMPUTED_VALUE"""),6.0)</f>
        <v>6</v>
      </c>
      <c r="K2366" s="224">
        <f>IFERROR(__xludf.DUMMYFUNCTION("""COMPUTED_VALUE"""),48.0)</f>
        <v>48</v>
      </c>
      <c r="L2366" s="226">
        <f>IFERROR(__xludf.DUMMYFUNCTION("""COMPUTED_VALUE"""),982391.0)</f>
        <v>982391</v>
      </c>
      <c r="M2366" s="227">
        <f>IFERROR(__xludf.DUMMYFUNCTION("""COMPUTED_VALUE"""),4.7154729E7)</f>
        <v>47154729</v>
      </c>
      <c r="N2366" s="222" t="str">
        <f>IFERROR(__xludf.DUMMYFUNCTION("""COMPUTED_VALUE"""),"PT FIBERHOME TECHNOLOGIES INDONESIA")</f>
        <v>PT FIBERHOME TECHNOLOGIES INDONESIA</v>
      </c>
      <c r="O2366" s="222" t="str">
        <f>IFERROR(__xludf.DUMMYFUNCTION("""COMPUTED_VALUE"""),"8. UJI TERIMA")</f>
        <v>8. UJI TERIMA</v>
      </c>
      <c r="P2366" s="222" t="str">
        <f>IFERROR(__xludf.DUMMYFUNCTION("""COMPUTED_VALUE"""),"8.1 Proses UT")</f>
        <v>8.1 Proses UT</v>
      </c>
      <c r="Q2366" s="222"/>
      <c r="R2366" s="228">
        <f>IFERROR(__xludf.DUMMYFUNCTION("""COMPUTED_VALUE"""),46043.0)</f>
        <v>46043</v>
      </c>
      <c r="S2366" s="11"/>
      <c r="T2366" s="11"/>
      <c r="U2366" s="11" t="str">
        <f>IFERROR(__xludf.DUMMYFUNCTION("""COMPUTED_VALUE"""),"FALSE")</f>
        <v>FALSE</v>
      </c>
      <c r="V2366" s="229"/>
      <c r="W2366" s="229"/>
      <c r="X2366" s="229" t="str">
        <f>IFERROR(__xludf.DUMMYFUNCTION("""COMPUTED_VALUE"""),"GOLIVE")</f>
        <v>GOLIVE</v>
      </c>
      <c r="Y2366" s="229" t="str">
        <f>IFERROR(__xludf.DUMMYFUNCTION("""COMPUTED_VALUE"""),"DONE")</f>
        <v>DONE</v>
      </c>
      <c r="Z2366" s="229" t="str">
        <f>IFERROR(__xludf.DUMMYFUNCTION("""COMPUTED_VALUE"""),"#N/A")</f>
        <v>#N/A</v>
      </c>
      <c r="AA2366" s="229">
        <f>IFERROR(__xludf.DUMMYFUNCTION("""COMPUTED_VALUE"""),6.0)</f>
        <v>6</v>
      </c>
      <c r="AB2366" s="229"/>
      <c r="AC2366" s="229" t="str">
        <f>IFERROR(__xludf.DUMMYFUNCTION("""COMPUTED_VALUE"""),"8993134#8993140")</f>
        <v>8993134#8993140</v>
      </c>
      <c r="AD2366" s="232">
        <f>IFERROR(__xludf.DUMMYFUNCTION("""COMPUTED_VALUE"""),48.0)</f>
        <v>48</v>
      </c>
      <c r="AE2366" s="233">
        <f>IFERROR(__xludf.DUMMYFUNCTION("""COMPUTED_VALUE"""),46043.0)</f>
        <v>46043</v>
      </c>
      <c r="AF2366" s="54"/>
      <c r="AG2366" s="54"/>
      <c r="AH2366" s="54">
        <v>46043.0</v>
      </c>
      <c r="AI2366" s="55">
        <f t="shared" si="222"/>
        <v>0</v>
      </c>
      <c r="AW2366" s="234"/>
      <c r="BP2366" s="11"/>
      <c r="BQ2366" s="11"/>
      <c r="BV2366" s="158"/>
      <c r="BY2366" s="158"/>
      <c r="CB2366" s="158"/>
    </row>
    <row r="2367" ht="18.0" hidden="1" customHeight="1">
      <c r="A2367" s="222">
        <f>IFERROR(__xludf.DUMMYFUNCTION("""COMPUTED_VALUE"""),2026.0)</f>
        <v>2026</v>
      </c>
      <c r="B2367" s="221">
        <f>IFERROR(__xludf.DUMMYFUNCTION("""COMPUTED_VALUE"""),1.272753E7)</f>
        <v>12727530</v>
      </c>
      <c r="C2367" s="222" t="str">
        <f>IFERROR(__xludf.DUMMYFUNCTION("""COMPUTED_VALUE"""),"MDN PT3 TMU-FL 250_1602_1701")</f>
        <v>MDN PT3 TMU-FL 250_1602_1701</v>
      </c>
      <c r="D2367" s="222" t="str">
        <f>IFERROR(__xludf.DUMMYFUNCTION("""COMPUTED_VALUE"""),"REGIONAL I")</f>
        <v>REGIONAL I</v>
      </c>
      <c r="E2367" s="222" t="str">
        <f>IFERROR(__xludf.DUMMYFUNCTION("""COMPUTED_VALUE"""),"MEDAN")</f>
        <v>MEDAN</v>
      </c>
      <c r="F2367" s="222" t="str">
        <f>IFERROR(__xludf.DUMMYFUNCTION("""COMPUTED_VALUE"""),"TMU")</f>
        <v>TMU</v>
      </c>
      <c r="G2367" s="222" t="str">
        <f>IFERROR(__xludf.DUMMYFUNCTION("""COMPUTED_VALUE"""),"SUMBAGUT")</f>
        <v>SUMBAGUT</v>
      </c>
      <c r="H2367" s="222" t="str">
        <f>IFERROR(__xludf.DUMMYFUNCTION("""COMPUTED_VALUE"""),"MEDAN")</f>
        <v>MEDAN</v>
      </c>
      <c r="I2367" s="222" t="str">
        <f>IFERROR(__xludf.DUMMYFUNCTION("""COMPUTED_VALUE"""),"Batch 3")</f>
        <v>Batch 3</v>
      </c>
      <c r="J2367" s="225">
        <f>IFERROR(__xludf.DUMMYFUNCTION("""COMPUTED_VALUE"""),3.0)</f>
        <v>3</v>
      </c>
      <c r="K2367" s="224">
        <f>IFERROR(__xludf.DUMMYFUNCTION("""COMPUTED_VALUE"""),24.0)</f>
        <v>24</v>
      </c>
      <c r="L2367" s="226">
        <f>IFERROR(__xludf.DUMMYFUNCTION("""COMPUTED_VALUE"""),982075.0)</f>
        <v>982075</v>
      </c>
      <c r="M2367" s="227">
        <f>IFERROR(__xludf.DUMMYFUNCTION("""COMPUTED_VALUE"""),2.3569799E7)</f>
        <v>23569799</v>
      </c>
      <c r="N2367" s="222" t="str">
        <f>IFERROR(__xludf.DUMMYFUNCTION("""COMPUTED_VALUE"""),"PT DUL JAYA TAMA")</f>
        <v>PT DUL JAYA TAMA</v>
      </c>
      <c r="O2367" s="222" t="str">
        <f>IFERROR(__xludf.DUMMYFUNCTION("""COMPUTED_VALUE"""),"2. DONE AANWIJZING")</f>
        <v>2. DONE AANWIJZING</v>
      </c>
      <c r="P2367" s="222" t="str">
        <f>IFERROR(__xludf.DUMMYFUNCTION("""COMPUTED_VALUE"""),"2.10 Kendala - Feeder Rusak")</f>
        <v>2.10 Kendala - Feeder Rusak</v>
      </c>
      <c r="Q2367" s="222" t="str">
        <f>IFERROR(__xludf.DUMMYFUNCTION("""COMPUTED_VALUE"""),"21/04 pengecekan tipus / butuh qe
31/03 Feeder Redti 29/01 Done Order, lnjut Aanwidzing")</f>
        <v>21/04 pengecekan tipus / butuh qe
31/03 Feeder Redti 29/01 Done Order, lnjut Aanwidzing</v>
      </c>
      <c r="R2367" s="228"/>
      <c r="S2367" s="11"/>
      <c r="T2367" s="11"/>
      <c r="U2367" s="11"/>
      <c r="V2367" s="229"/>
      <c r="W2367" s="229"/>
      <c r="X2367" s="229" t="str">
        <f>IFERROR(__xludf.DUMMYFUNCTION("""COMPUTED_VALUE"""),"BELUM GOLIVE")</f>
        <v>BELUM GOLIVE</v>
      </c>
      <c r="Y2367" s="229"/>
      <c r="Z2367" s="229" t="str">
        <f>IFERROR(__xludf.DUMMYFUNCTION("""COMPUTED_VALUE"""),"#N/A")</f>
        <v>#N/A</v>
      </c>
      <c r="AA2367" s="229"/>
      <c r="AB2367" s="229"/>
      <c r="AC2367" s="229"/>
      <c r="AD2367" s="232"/>
      <c r="AE2367" s="233"/>
      <c r="AF2367" s="54"/>
      <c r="AG2367" s="54"/>
      <c r="AH2367" s="54"/>
      <c r="AI2367" s="55" t="str">
        <f t="shared" si="222"/>
        <v/>
      </c>
      <c r="AW2367" s="234"/>
      <c r="BP2367" s="11"/>
      <c r="BQ2367" s="11"/>
      <c r="BV2367" s="158"/>
      <c r="BY2367" s="158"/>
      <c r="CB2367" s="158"/>
    </row>
    <row r="2368" ht="18.0" hidden="1" customHeight="1">
      <c r="A2368" s="222">
        <f>IFERROR(__xludf.DUMMYFUNCTION("""COMPUTED_VALUE"""),2026.0)</f>
        <v>2026</v>
      </c>
      <c r="B2368" s="221">
        <f>IFERROR(__xludf.DUMMYFUNCTION("""COMPUTED_VALUE"""),1.2727644E7)</f>
        <v>12727644</v>
      </c>
      <c r="C2368" s="222" t="str">
        <f>IFERROR(__xludf.DUMMYFUNCTION("""COMPUTED_VALUE"""),"TULANG BAWANG BARAT_168598_H2_2025")</f>
        <v>TULANG BAWANG BARAT_168598_H2_2025</v>
      </c>
      <c r="D2368" s="222" t="str">
        <f>IFERROR(__xludf.DUMMYFUNCTION("""COMPUTED_VALUE"""),"REGIONAL I")</f>
        <v>REGIONAL I</v>
      </c>
      <c r="E2368" s="222" t="str">
        <f>IFERROR(__xludf.DUMMYFUNCTION("""COMPUTED_VALUE"""),"LAMPUNG")</f>
        <v>LAMPUNG</v>
      </c>
      <c r="F2368" s="222" t="str">
        <f>IFERROR(__xludf.DUMMYFUNCTION("""COMPUTED_VALUE"""),"UNT")</f>
        <v>UNT</v>
      </c>
      <c r="G2368" s="222" t="str">
        <f>IFERROR(__xludf.DUMMYFUNCTION("""COMPUTED_VALUE"""),"SUMBAGSEL")</f>
        <v>SUMBAGSEL</v>
      </c>
      <c r="H2368" s="222" t="str">
        <f>IFERROR(__xludf.DUMMYFUNCTION("""COMPUTED_VALUE"""),"LAMPUNG")</f>
        <v>LAMPUNG</v>
      </c>
      <c r="I2368" s="222" t="str">
        <f>IFERROR(__xludf.DUMMYFUNCTION("""COMPUTED_VALUE"""),"Batch 3")</f>
        <v>Batch 3</v>
      </c>
      <c r="J2368" s="225">
        <f>IFERROR(__xludf.DUMMYFUNCTION("""COMPUTED_VALUE"""),3.0)</f>
        <v>3</v>
      </c>
      <c r="K2368" s="224">
        <f>IFERROR(__xludf.DUMMYFUNCTION("""COMPUTED_VALUE"""),24.0)</f>
        <v>24</v>
      </c>
      <c r="L2368" s="226">
        <f>IFERROR(__xludf.DUMMYFUNCTION("""COMPUTED_VALUE"""),981782.0)</f>
        <v>981782</v>
      </c>
      <c r="M2368" s="227">
        <f>IFERROR(__xludf.DUMMYFUNCTION("""COMPUTED_VALUE"""),2.3562747E7)</f>
        <v>23562747</v>
      </c>
      <c r="N2368" s="222" t="str">
        <f>IFERROR(__xludf.DUMMYFUNCTION("""COMPUTED_VALUE"""),"PT KOPRASI PILAR UTAMA")</f>
        <v>PT KOPRASI PILAR UTAMA</v>
      </c>
      <c r="O2368" s="222" t="str">
        <f>IFERROR(__xludf.DUMMYFUNCTION("""COMPUTED_VALUE"""),"7. GOLIVE")</f>
        <v>7. GOLIVE</v>
      </c>
      <c r="P2368" s="222" t="str">
        <f>IFERROR(__xludf.DUMMYFUNCTION("""COMPUTED_VALUE"""),"7.2 Golive Full / OA / DONE OTB")</f>
        <v>7.2 Golive Full / OA / DONE OTB</v>
      </c>
      <c r="Q2368" s="222" t="str">
        <f>IFERROR(__xludf.DUMMYFUNCTION("""COMPUTED_VALUE"""),"4/3 proses golive 
2/3 proses abd data valid 4 ,golive 3/3
27/2  plan golive 28/2
20/2 proses penanaman tiang 21/2, plan fi 25/2
18/2 MATDEL 5/2 ada 5 port modul kosong bisa di lanjut ,estimasi prizinan selesai 9/2
4/2 Slot Modul OLT Penuh 
3/2 on going p"&amp;"rogres perizinan
23/1 plan anwizing 26/1")</f>
        <v>4/3 proses golive 
2/3 proses abd data valid 4 ,golive 3/3
27/2  plan golive 28/2
20/2 proses penanaman tiang 21/2, plan fi 25/2
18/2 MATDEL 5/2 ada 5 port modul kosong bisa di lanjut ,estimasi prizinan selesai 9/2
4/2 Slot Modul OLT Penuh 
3/2 on going progres perizinan
23/1 plan anwizing 26/1</v>
      </c>
      <c r="R2368" s="228">
        <f>IFERROR(__xludf.DUMMYFUNCTION("""COMPUTED_VALUE"""),46088.0)</f>
        <v>46088</v>
      </c>
      <c r="S2368" s="11" t="str">
        <f>IFERROR(__xludf.DUMMYFUNCTION("""COMPUTED_VALUE"""),"MAR")</f>
        <v>MAR</v>
      </c>
      <c r="T2368" s="11"/>
      <c r="U2368" s="11" t="str">
        <f>IFERROR(__xludf.DUMMYFUNCTION("""COMPUTED_VALUE"""),"TIF-4374/2026")</f>
        <v>TIF-4374/2026</v>
      </c>
      <c r="V2368" s="229"/>
      <c r="W2368" s="229"/>
      <c r="X2368" s="229" t="str">
        <f>IFERROR(__xludf.DUMMYFUNCTION("""COMPUTED_VALUE"""),"GOLIVE")</f>
        <v>GOLIVE</v>
      </c>
      <c r="Y2368" s="229" t="str">
        <f>IFERROR(__xludf.DUMMYFUNCTION("""COMPUTED_VALUE"""),"DONE")</f>
        <v>DONE</v>
      </c>
      <c r="Z2368" s="229" t="str">
        <f>IFERROR(__xludf.DUMMYFUNCTION("""COMPUTED_VALUE"""),"#N/A")</f>
        <v>#N/A</v>
      </c>
      <c r="AA2368" s="229">
        <f>IFERROR(__xludf.DUMMYFUNCTION("""COMPUTED_VALUE"""),3.0)</f>
        <v>3</v>
      </c>
      <c r="AB2368" s="229"/>
      <c r="AC2368" s="229" t="str">
        <f>IFERROR(__xludf.DUMMYFUNCTION("""COMPUTED_VALUE"""),"9127464#9127469")</f>
        <v>9127464#9127469</v>
      </c>
      <c r="AD2368" s="232">
        <f>IFERROR(__xludf.DUMMYFUNCTION("""COMPUTED_VALUE"""),24.0)</f>
        <v>24</v>
      </c>
      <c r="AE2368" s="233">
        <f>IFERROR(__xludf.DUMMYFUNCTION("""COMPUTED_VALUE"""),46086.0)</f>
        <v>46086</v>
      </c>
      <c r="AF2368" s="54"/>
      <c r="AG2368" s="54"/>
      <c r="AH2368" s="54">
        <v>46088.0</v>
      </c>
      <c r="AI2368" s="55">
        <f t="shared" si="222"/>
        <v>2</v>
      </c>
      <c r="AW2368" s="234"/>
      <c r="BP2368" s="11"/>
      <c r="BQ2368" s="11"/>
      <c r="BV2368" s="158"/>
      <c r="BY2368" s="158"/>
      <c r="CB2368" s="158"/>
    </row>
    <row r="2369" ht="18.0" hidden="1" customHeight="1">
      <c r="A2369" s="222">
        <f>IFERROR(__xludf.DUMMYFUNCTION("""COMPUTED_VALUE"""),2026.0)</f>
        <v>2026</v>
      </c>
      <c r="B2369" s="221">
        <f>IFERROR(__xludf.DUMMYFUNCTION("""COMPUTED_VALUE"""),1.1535807E7)</f>
        <v>11535807</v>
      </c>
      <c r="C2369" s="222" t="str">
        <f>IFERROR(__xludf.DUMMYFUNCTION("""COMPUTED_VALUE"""),"MDN PT3 TJM-FV JL.BAROKAH III")</f>
        <v>MDN PT3 TJM-FV JL.BAROKAH III</v>
      </c>
      <c r="D2369" s="222" t="str">
        <f>IFERROR(__xludf.DUMMYFUNCTION("""COMPUTED_VALUE"""),"REGIONAL I")</f>
        <v>REGIONAL I</v>
      </c>
      <c r="E2369" s="222" t="str">
        <f>IFERROR(__xludf.DUMMYFUNCTION("""COMPUTED_VALUE"""),"MEDAN")</f>
        <v>MEDAN</v>
      </c>
      <c r="F2369" s="222" t="str">
        <f>IFERROR(__xludf.DUMMYFUNCTION("""COMPUTED_VALUE"""),"TJM")</f>
        <v>TJM</v>
      </c>
      <c r="G2369" s="222" t="str">
        <f>IFERROR(__xludf.DUMMYFUNCTION("""COMPUTED_VALUE"""),"SUMBAGUT")</f>
        <v>SUMBAGUT</v>
      </c>
      <c r="H2369" s="222" t="str">
        <f>IFERROR(__xludf.DUMMYFUNCTION("""COMPUTED_VALUE"""),"MEDAN")</f>
        <v>MEDAN</v>
      </c>
      <c r="I2369" s="222" t="str">
        <f>IFERROR(__xludf.DUMMYFUNCTION("""COMPUTED_VALUE"""),"Batch 3")</f>
        <v>Batch 3</v>
      </c>
      <c r="J2369" s="225">
        <f>IFERROR(__xludf.DUMMYFUNCTION("""COMPUTED_VALUE"""),11.0)</f>
        <v>11</v>
      </c>
      <c r="K2369" s="224">
        <f>IFERROR(__xludf.DUMMYFUNCTION("""COMPUTED_VALUE"""),88.0)</f>
        <v>88</v>
      </c>
      <c r="L2369" s="226">
        <f>IFERROR(__xludf.DUMMYFUNCTION("""COMPUTED_VALUE"""),980711.0)</f>
        <v>980711</v>
      </c>
      <c r="M2369" s="227">
        <f>IFERROR(__xludf.DUMMYFUNCTION("""COMPUTED_VALUE"""),8.6302514E7)</f>
        <v>86302514</v>
      </c>
      <c r="N2369" s="222" t="str">
        <f>IFERROR(__xludf.DUMMYFUNCTION("""COMPUTED_VALUE"""),"PT UPAYA TEKNIK")</f>
        <v>PT UPAYA TEKNIK</v>
      </c>
      <c r="O2369" s="222" t="str">
        <f>IFERROR(__xludf.DUMMYFUNCTION("""COMPUTED_VALUE"""),"2. DONE AANWIJZING")</f>
        <v>2. DONE AANWIJZING</v>
      </c>
      <c r="P2369" s="222" t="str">
        <f>IFERROR(__xludf.DUMMYFUNCTION("""COMPUTED_VALUE"""),"2.10 Kendala - Feeder Rusak")</f>
        <v>2.10 Kendala - Feeder Rusak</v>
      </c>
      <c r="Q2369" s="222" t="str">
        <f>IFERROR(__xludf.DUMMYFUNCTION("""COMPUTED_VALUE"""),"02/02 Feeder Tidak Tembus")</f>
        <v>02/02 Feeder Tidak Tembus</v>
      </c>
      <c r="R2369" s="228"/>
      <c r="S2369" s="11"/>
      <c r="T2369" s="11"/>
      <c r="U2369" s="11"/>
      <c r="V2369" s="229"/>
      <c r="W2369" s="229"/>
      <c r="X2369" s="229" t="str">
        <f>IFERROR(__xludf.DUMMYFUNCTION("""COMPUTED_VALUE"""),"BELUM GOLIVE")</f>
        <v>BELUM GOLIVE</v>
      </c>
      <c r="Y2369" s="229"/>
      <c r="Z2369" s="229" t="str">
        <f>IFERROR(__xludf.DUMMYFUNCTION("""COMPUTED_VALUE"""),"#N/A")</f>
        <v>#N/A</v>
      </c>
      <c r="AA2369" s="229"/>
      <c r="AB2369" s="229"/>
      <c r="AC2369" s="229"/>
      <c r="AD2369" s="232"/>
      <c r="AE2369" s="233"/>
      <c r="AF2369" s="54"/>
      <c r="AG2369" s="54"/>
      <c r="AH2369" s="54"/>
      <c r="AI2369" s="55" t="str">
        <f t="shared" si="222"/>
        <v/>
      </c>
      <c r="AW2369" s="234"/>
      <c r="BP2369" s="11"/>
      <c r="BQ2369" s="11"/>
      <c r="BV2369" s="158"/>
      <c r="BY2369" s="158"/>
      <c r="CB2369" s="158"/>
    </row>
    <row r="2370" ht="18.0" hidden="1" customHeight="1">
      <c r="A2370" s="222">
        <f>IFERROR(__xludf.DUMMYFUNCTION("""COMPUTED_VALUE"""),2026.0)</f>
        <v>2026</v>
      </c>
      <c r="B2370" s="221">
        <f>IFERROR(__xludf.DUMMYFUNCTION("""COMPUTED_VALUE"""),1.2160813E7)</f>
        <v>12160813</v>
      </c>
      <c r="C2370" s="222" t="str">
        <f>IFERROR(__xludf.DUMMYFUNCTION("""COMPUTED_VALUE"""),"LPG PT3 JPP LAMPUNG TIMUR_92220 WJA")</f>
        <v>LPG PT3 JPP LAMPUNG TIMUR_92220 WJA</v>
      </c>
      <c r="D2370" s="222" t="str">
        <f>IFERROR(__xludf.DUMMYFUNCTION("""COMPUTED_VALUE"""),"REGIONAL I")</f>
        <v>REGIONAL I</v>
      </c>
      <c r="E2370" s="222" t="str">
        <f>IFERROR(__xludf.DUMMYFUNCTION("""COMPUTED_VALUE"""),"LAMPUNG")</f>
        <v>LAMPUNG</v>
      </c>
      <c r="F2370" s="222" t="str">
        <f>IFERROR(__xludf.DUMMYFUNCTION("""COMPUTED_VALUE"""),"WJA")</f>
        <v>WJA</v>
      </c>
      <c r="G2370" s="222" t="str">
        <f>IFERROR(__xludf.DUMMYFUNCTION("""COMPUTED_VALUE"""),"SUMBAGSEL")</f>
        <v>SUMBAGSEL</v>
      </c>
      <c r="H2370" s="222" t="str">
        <f>IFERROR(__xludf.DUMMYFUNCTION("""COMPUTED_VALUE"""),"LAMPUNG")</f>
        <v>LAMPUNG</v>
      </c>
      <c r="I2370" s="222" t="str">
        <f>IFERROR(__xludf.DUMMYFUNCTION("""COMPUTED_VALUE"""),"Batch 3")</f>
        <v>Batch 3</v>
      </c>
      <c r="J2370" s="225">
        <f>IFERROR(__xludf.DUMMYFUNCTION("""COMPUTED_VALUE"""),7.0)</f>
        <v>7</v>
      </c>
      <c r="K2370" s="224">
        <f>IFERROR(__xludf.DUMMYFUNCTION("""COMPUTED_VALUE"""),56.0)</f>
        <v>56</v>
      </c>
      <c r="L2370" s="226">
        <f>IFERROR(__xludf.DUMMYFUNCTION("""COMPUTED_VALUE"""),978852.0)</f>
        <v>978852</v>
      </c>
      <c r="M2370" s="227">
        <f>IFERROR(__xludf.DUMMYFUNCTION("""COMPUTED_VALUE"""),5.4815704E7)</f>
        <v>54815704</v>
      </c>
      <c r="N2370" s="222" t="str">
        <f>IFERROR(__xludf.DUMMYFUNCTION("""COMPUTED_VALUE"""),"PT GARINDO TECHNO MANDIRI")</f>
        <v>PT GARINDO TECHNO MANDIRI</v>
      </c>
      <c r="O2370" s="222" t="str">
        <f>IFERROR(__xludf.DUMMYFUNCTION("""COMPUTED_VALUE"""),"0. DROP")</f>
        <v>0. DROP</v>
      </c>
      <c r="P2370" s="222" t="str">
        <f>IFERROR(__xludf.DUMMYFUNCTION("""COMPUTED_VALUE"""),"0.2 Tidak Dapat Izin Warga/Kades/Lurah/Developer")</f>
        <v>0.2 Tidak Dapat Izin Warga/Kades/Lurah/Developer</v>
      </c>
      <c r="Q2370" s="222" t="str">
        <f>IFERROR(__xludf.DUMMYFUNCTION("""COMPUTED_VALUE"""),"6/2 masih case belum dapat jawabn dari kades reda zone , mengukit penanamna tiang eksis minta kopensasi 
4/2 progres prizinan dan eletrical 
30/1 plan anwizing 
23/1 plan anwizing tanggal 26/1")</f>
        <v>6/2 masih case belum dapat jawabn dari kades reda zone , mengukit penanamna tiang eksis minta kopensasi 
4/2 progres prizinan dan eletrical 
30/1 plan anwizing 
23/1 plan anwizing tanggal 26/1</v>
      </c>
      <c r="R2370" s="228"/>
      <c r="S2370" s="11"/>
      <c r="T2370" s="11"/>
      <c r="U2370" s="11"/>
      <c r="V2370" s="229"/>
      <c r="W2370" s="229"/>
      <c r="X2370" s="229"/>
      <c r="Y2370" s="229"/>
      <c r="Z2370" s="229" t="str">
        <f>IFERROR(__xludf.DUMMYFUNCTION("""COMPUTED_VALUE"""),"#N/A")</f>
        <v>#N/A</v>
      </c>
      <c r="AA2370" s="229"/>
      <c r="AB2370" s="229"/>
      <c r="AC2370" s="229"/>
      <c r="AD2370" s="232"/>
      <c r="AE2370" s="233"/>
      <c r="AF2370" s="54" t="str">
        <f>IFERROR(__xludf.DUMMYFUNCTION("""COMPUTED_VALUE"""),"Draft BA DROP")</f>
        <v>Draft BA DROP</v>
      </c>
      <c r="AG2370" s="54"/>
      <c r="AH2370" s="54"/>
      <c r="AI2370" s="55" t="str">
        <f t="shared" si="222"/>
        <v/>
      </c>
      <c r="AW2370" s="234"/>
      <c r="BP2370" s="11"/>
      <c r="BQ2370" s="11"/>
      <c r="BV2370" s="158"/>
      <c r="BY2370" s="158"/>
      <c r="CB2370" s="158"/>
    </row>
    <row r="2371" ht="18.0" hidden="1" customHeight="1">
      <c r="A2371" s="222">
        <f>IFERROR(__xludf.DUMMYFUNCTION("""COMPUTED_VALUE"""),2026.0)</f>
        <v>2026</v>
      </c>
      <c r="B2371" s="221">
        <f>IFERROR(__xludf.DUMMYFUNCTION("""COMPUTED_VALUE"""),1.2752941E7)</f>
        <v>12752941</v>
      </c>
      <c r="C2371" s="222" t="str">
        <f>IFERROR(__xludf.DUMMYFUNCTION("""COMPUTED_VALUE"""),"LPG PT3 JPP LAMPUNG TIMUR_92177 MET")</f>
        <v>LPG PT3 JPP LAMPUNG TIMUR_92177 MET</v>
      </c>
      <c r="D2371" s="222" t="str">
        <f>IFERROR(__xludf.DUMMYFUNCTION("""COMPUTED_VALUE"""),"REGIONAL I")</f>
        <v>REGIONAL I</v>
      </c>
      <c r="E2371" s="222" t="str">
        <f>IFERROR(__xludf.DUMMYFUNCTION("""COMPUTED_VALUE"""),"LAMPUNG")</f>
        <v>LAMPUNG</v>
      </c>
      <c r="F2371" s="222" t="str">
        <f>IFERROR(__xludf.DUMMYFUNCTION("""COMPUTED_VALUE"""),"MET")</f>
        <v>MET</v>
      </c>
      <c r="G2371" s="222" t="str">
        <f>IFERROR(__xludf.DUMMYFUNCTION("""COMPUTED_VALUE"""),"SUMBAGSEL")</f>
        <v>SUMBAGSEL</v>
      </c>
      <c r="H2371" s="222" t="str">
        <f>IFERROR(__xludf.DUMMYFUNCTION("""COMPUTED_VALUE"""),"LAMPUNG")</f>
        <v>LAMPUNG</v>
      </c>
      <c r="I2371" s="222" t="str">
        <f>IFERROR(__xludf.DUMMYFUNCTION("""COMPUTED_VALUE"""),"Batch 3")</f>
        <v>Batch 3</v>
      </c>
      <c r="J2371" s="225">
        <f>IFERROR(__xludf.DUMMYFUNCTION("""COMPUTED_VALUE"""),5.0)</f>
        <v>5</v>
      </c>
      <c r="K2371" s="224">
        <f>IFERROR(__xludf.DUMMYFUNCTION("""COMPUTED_VALUE"""),40.0)</f>
        <v>40</v>
      </c>
      <c r="L2371" s="226">
        <f>IFERROR(__xludf.DUMMYFUNCTION("""COMPUTED_VALUE"""),977738.0)</f>
        <v>977738</v>
      </c>
      <c r="M2371" s="227">
        <f>IFERROR(__xludf.DUMMYFUNCTION("""COMPUTED_VALUE"""),3.9109499E7)</f>
        <v>39109499</v>
      </c>
      <c r="N2371" s="222" t="str">
        <f>IFERROR(__xludf.DUMMYFUNCTION("""COMPUTED_VALUE"""),"PT FAJAR MITRA KRIDA ABADI")</f>
        <v>PT FAJAR MITRA KRIDA ABADI</v>
      </c>
      <c r="O2371" s="222" t="str">
        <f>IFERROR(__xludf.DUMMYFUNCTION("""COMPUTED_VALUE"""),"0. DROP")</f>
        <v>0. DROP</v>
      </c>
      <c r="P2371" s="222" t="str">
        <f>IFERROR(__xludf.DUMMYFUNCTION("""COMPUTED_VALUE"""),"0.2 Tidak Dapat Izin Warga/Kades/Lurah/Developer")</f>
        <v>0.2 Tidak Dapat Izin Warga/Kades/Lurah/Developer</v>
      </c>
      <c r="Q2371" s="222" t="str">
        <f>IFERROR(__xludf.DUMMYFUNCTION("""COMPUTED_VALUE"""),"6/2 Tidak dapat izin dari lurah")</f>
        <v>6/2 Tidak dapat izin dari lurah</v>
      </c>
      <c r="R2371" s="228"/>
      <c r="S2371" s="11"/>
      <c r="T2371" s="11"/>
      <c r="U2371" s="11"/>
      <c r="V2371" s="229"/>
      <c r="W2371" s="229"/>
      <c r="X2371" s="229"/>
      <c r="Y2371" s="229" t="str">
        <f>IFERROR(__xludf.DUMMYFUNCTION("""COMPUTED_VALUE"""),"PORT OLT Penuh")</f>
        <v>PORT OLT Penuh</v>
      </c>
      <c r="Z2371" s="229" t="str">
        <f>IFERROR(__xludf.DUMMYFUNCTION("""COMPUTED_VALUE"""),"#N/A")</f>
        <v>#N/A</v>
      </c>
      <c r="AA2371" s="229"/>
      <c r="AB2371" s="229"/>
      <c r="AC2371" s="229"/>
      <c r="AD2371" s="232"/>
      <c r="AE2371" s="233"/>
      <c r="AF2371" s="54" t="str">
        <f>IFERROR(__xludf.DUMMYFUNCTION("""COMPUTED_VALUE"""),"Draft BA DROP")</f>
        <v>Draft BA DROP</v>
      </c>
      <c r="AG2371" s="54"/>
      <c r="AH2371" s="54"/>
      <c r="AI2371" s="55" t="str">
        <f t="shared" si="222"/>
        <v/>
      </c>
      <c r="AW2371" s="234"/>
      <c r="BP2371" s="11"/>
      <c r="BQ2371" s="11"/>
      <c r="BV2371" s="158"/>
      <c r="BY2371" s="158"/>
      <c r="CB2371" s="158"/>
    </row>
    <row r="2372" ht="18.0" hidden="1" customHeight="1">
      <c r="A2372" s="222">
        <f>IFERROR(__xludf.DUMMYFUNCTION("""COMPUTED_VALUE"""),2026.0)</f>
        <v>2026</v>
      </c>
      <c r="B2372" s="221">
        <f>IFERROR(__xludf.DUMMYFUNCTION("""COMPUTED_VALUE"""),1.1478236E7)</f>
        <v>11478236</v>
      </c>
      <c r="C2372" s="222" t="str">
        <f>IFERROR(__xludf.DUMMYFUNCTION("""COMPUTED_VALUE"""),"ACH PT3 LGS-FAK D04 ALUE BEURAWE")</f>
        <v>ACH PT3 LGS-FAK D04 ALUE BEURAWE</v>
      </c>
      <c r="D2372" s="222" t="str">
        <f>IFERROR(__xludf.DUMMYFUNCTION("""COMPUTED_VALUE"""),"REGIONAL I")</f>
        <v>REGIONAL I</v>
      </c>
      <c r="E2372" s="222" t="str">
        <f>IFERROR(__xludf.DUMMYFUNCTION("""COMPUTED_VALUE"""),"ACEH")</f>
        <v>ACEH</v>
      </c>
      <c r="F2372" s="222" t="str">
        <f>IFERROR(__xludf.DUMMYFUNCTION("""COMPUTED_VALUE"""),"LGS")</f>
        <v>LGS</v>
      </c>
      <c r="G2372" s="222" t="str">
        <f>IFERROR(__xludf.DUMMYFUNCTION("""COMPUTED_VALUE"""),"SUMBAGUT")</f>
        <v>SUMBAGUT</v>
      </c>
      <c r="H2372" s="222" t="str">
        <f>IFERROR(__xludf.DUMMYFUNCTION("""COMPUTED_VALUE"""),"BINJAI")</f>
        <v>BINJAI</v>
      </c>
      <c r="I2372" s="222" t="str">
        <f>IFERROR(__xludf.DUMMYFUNCTION("""COMPUTED_VALUE"""),"Batch 3")</f>
        <v>Batch 3</v>
      </c>
      <c r="J2372" s="225">
        <f>IFERROR(__xludf.DUMMYFUNCTION("""COMPUTED_VALUE"""),10.0)</f>
        <v>10</v>
      </c>
      <c r="K2372" s="224">
        <f>IFERROR(__xludf.DUMMYFUNCTION("""COMPUTED_VALUE"""),80.0)</f>
        <v>80</v>
      </c>
      <c r="L2372" s="226">
        <f>IFERROR(__xludf.DUMMYFUNCTION("""COMPUTED_VALUE"""),1203913.0)</f>
        <v>1203913</v>
      </c>
      <c r="M2372" s="227">
        <f>IFERROR(__xludf.DUMMYFUNCTION("""COMPUTED_VALUE"""),9.6312971E7)</f>
        <v>96312971</v>
      </c>
      <c r="N2372" s="222" t="str">
        <f>IFERROR(__xludf.DUMMYFUNCTION("""COMPUTED_VALUE"""),"PT ARA PAYA INTAN")</f>
        <v>PT ARA PAYA INTAN</v>
      </c>
      <c r="O2372" s="222" t="str">
        <f>IFERROR(__xludf.DUMMYFUNCTION("""COMPUTED_VALUE"""),"7. GOLIVE")</f>
        <v>7. GOLIVE</v>
      </c>
      <c r="P2372" s="222" t="str">
        <f>IFERROR(__xludf.DUMMYFUNCTION("""COMPUTED_VALUE"""),"7.2 Golive Full / OA / DONE OTB")</f>
        <v>7.2 Golive Full / OA / DONE OTB</v>
      </c>
      <c r="Q2372" s="222" t="str">
        <f>IFERROR(__xludf.DUMMYFUNCTION("""COMPUTED_VALUE"""),"(11/02) pastcore belum sampai ke gudang LGS")</f>
        <v>(11/02) pastcore belum sampai ke gudang LGS</v>
      </c>
      <c r="R2372" s="228">
        <f>IFERROR(__xludf.DUMMYFUNCTION("""COMPUTED_VALUE"""),46070.0)</f>
        <v>46070</v>
      </c>
      <c r="S2372" s="11"/>
      <c r="T2372" s="11"/>
      <c r="U2372" s="11"/>
      <c r="V2372" s="229"/>
      <c r="W2372" s="229"/>
      <c r="X2372" s="229" t="str">
        <f>IFERROR(__xludf.DUMMYFUNCTION("""COMPUTED_VALUE"""),"GOLIVE")</f>
        <v>GOLIVE</v>
      </c>
      <c r="Y2372" s="229" t="str">
        <f>IFERROR(__xludf.DUMMYFUNCTION("""COMPUTED_VALUE"""),"DONE")</f>
        <v>DONE</v>
      </c>
      <c r="Z2372" s="229" t="str">
        <f>IFERROR(__xludf.DUMMYFUNCTION("""COMPUTED_VALUE"""),"#N/A")</f>
        <v>#N/A</v>
      </c>
      <c r="AA2372" s="229">
        <f>IFERROR(__xludf.DUMMYFUNCTION("""COMPUTED_VALUE"""),10.0)</f>
        <v>10</v>
      </c>
      <c r="AB2372" s="229"/>
      <c r="AC2372" s="229" t="str">
        <f>IFERROR(__xludf.DUMMYFUNCTION("""COMPUTED_VALUE"""),"8676791#8676796")</f>
        <v>8676791#8676796</v>
      </c>
      <c r="AD2372" s="232">
        <f>IFERROR(__xludf.DUMMYFUNCTION("""COMPUTED_VALUE"""),80.0)</f>
        <v>80</v>
      </c>
      <c r="AE2372" s="233">
        <f>IFERROR(__xludf.DUMMYFUNCTION("""COMPUTED_VALUE"""),46070.0)</f>
        <v>46070</v>
      </c>
      <c r="AF2372" s="54"/>
      <c r="AG2372" s="54"/>
      <c r="AH2372" s="54">
        <v>46070.0</v>
      </c>
      <c r="AI2372" s="55">
        <f t="shared" si="222"/>
        <v>0</v>
      </c>
      <c r="AW2372" s="234"/>
      <c r="BP2372" s="11"/>
      <c r="BQ2372" s="11"/>
      <c r="BV2372" s="158"/>
      <c r="BY2372" s="158"/>
      <c r="CB2372" s="158"/>
    </row>
    <row r="2373" ht="18.0" hidden="1" customHeight="1">
      <c r="A2373" s="222">
        <f>IFERROR(__xludf.DUMMYFUNCTION("""COMPUTED_VALUE"""),2026.0)</f>
        <v>2026</v>
      </c>
      <c r="B2373" s="221">
        <f>IFERROR(__xludf.DUMMYFUNCTION("""COMPUTED_VALUE"""),1.2530246E7)</f>
        <v>12530246</v>
      </c>
      <c r="C2373" s="222" t="str">
        <f>IFERROR(__xludf.DUMMYFUNCTION("""COMPUTED_VALUE"""),"MDN PT3 PER-FAA JL.SMU N 250_1591_1777")</f>
        <v>MDN PT3 PER-FAA JL.SMU N 250_1591_1777</v>
      </c>
      <c r="D2373" s="222" t="str">
        <f>IFERROR(__xludf.DUMMYFUNCTION("""COMPUTED_VALUE"""),"REGIONAL I")</f>
        <v>REGIONAL I</v>
      </c>
      <c r="E2373" s="222" t="str">
        <f>IFERROR(__xludf.DUMMYFUNCTION("""COMPUTED_VALUE"""),"MEDAN")</f>
        <v>MEDAN</v>
      </c>
      <c r="F2373" s="222" t="str">
        <f>IFERROR(__xludf.DUMMYFUNCTION("""COMPUTED_VALUE"""),"PER")</f>
        <v>PER</v>
      </c>
      <c r="G2373" s="222" t="str">
        <f>IFERROR(__xludf.DUMMYFUNCTION("""COMPUTED_VALUE"""),"SUMBAGUT")</f>
        <v>SUMBAGUT</v>
      </c>
      <c r="H2373" s="222" t="str">
        <f>IFERROR(__xludf.DUMMYFUNCTION("""COMPUTED_VALUE"""),"PEMATANG SIANTAR")</f>
        <v>PEMATANG SIANTAR</v>
      </c>
      <c r="I2373" s="222" t="str">
        <f>IFERROR(__xludf.DUMMYFUNCTION("""COMPUTED_VALUE"""),"Batch 3")</f>
        <v>Batch 3</v>
      </c>
      <c r="J2373" s="225">
        <f>IFERROR(__xludf.DUMMYFUNCTION("""COMPUTED_VALUE"""),2.0)</f>
        <v>2</v>
      </c>
      <c r="K2373" s="224">
        <f>IFERROR(__xludf.DUMMYFUNCTION("""COMPUTED_VALUE"""),16.0)</f>
        <v>16</v>
      </c>
      <c r="L2373" s="226">
        <f>IFERROR(__xludf.DUMMYFUNCTION("""COMPUTED_VALUE"""),974182.0)</f>
        <v>974182</v>
      </c>
      <c r="M2373" s="227">
        <f>IFERROR(__xludf.DUMMYFUNCTION("""COMPUTED_VALUE"""),1.5586904E7)</f>
        <v>15586904</v>
      </c>
      <c r="N2373" s="222" t="str">
        <f>IFERROR(__xludf.DUMMYFUNCTION("""COMPUTED_VALUE"""),"PT INNANDA INDAH")</f>
        <v>PT INNANDA INDAH</v>
      </c>
      <c r="O2373" s="222" t="str">
        <f>IFERROR(__xludf.DUMMYFUNCTION("""COMPUTED_VALUE"""),"2. DONE AANWIJZING")</f>
        <v>2. DONE AANWIJZING</v>
      </c>
      <c r="P2373" s="222" t="str">
        <f>IFERROR(__xludf.DUMMYFUNCTION("""COMPUTED_VALUE"""),"2.10 Kendala - Feeder Rusak")</f>
        <v>2.10 Kendala - Feeder Rusak</v>
      </c>
      <c r="Q2373" s="222" t="str">
        <f>IFERROR(__xludf.DUMMYFUNCTION("""COMPUTED_VALUE"""),"20/04 pengecekan hasil ukur ulang 
09/02 PER-FAA feeder loss/rusak")</f>
        <v>20/04 pengecekan hasil ukur ulang 
09/02 PER-FAA feeder loss/rusak</v>
      </c>
      <c r="R2373" s="228"/>
      <c r="S2373" s="11"/>
      <c r="T2373" s="11"/>
      <c r="U2373" s="11"/>
      <c r="V2373" s="229"/>
      <c r="W2373" s="229"/>
      <c r="X2373" s="229" t="str">
        <f>IFERROR(__xludf.DUMMYFUNCTION("""COMPUTED_VALUE"""),"BELUM GOLIVE")</f>
        <v>BELUM GOLIVE</v>
      </c>
      <c r="Y2373" s="229"/>
      <c r="Z2373" s="229" t="str">
        <f>IFERROR(__xludf.DUMMYFUNCTION("""COMPUTED_VALUE"""),"#N/A")</f>
        <v>#N/A</v>
      </c>
      <c r="AA2373" s="229"/>
      <c r="AB2373" s="229"/>
      <c r="AC2373" s="229"/>
      <c r="AD2373" s="232"/>
      <c r="AE2373" s="233"/>
      <c r="AF2373" s="54"/>
      <c r="AG2373" s="54"/>
      <c r="AH2373" s="54">
        <v>46125.0</v>
      </c>
      <c r="AI2373" s="237">
        <f>AH2373-NOW()</f>
        <v>-15.37798995</v>
      </c>
      <c r="AJ2373" s="229" t="str">
        <f>if(AI2373&gt;=0,"in Komitmen","Out komitmen")</f>
        <v>Out komitmen</v>
      </c>
      <c r="AK2373" s="229" t="s">
        <v>199</v>
      </c>
      <c r="AW2373" s="234"/>
      <c r="BP2373" s="11"/>
      <c r="BQ2373" s="11"/>
      <c r="BV2373" s="158"/>
      <c r="BY2373" s="158"/>
      <c r="CB2373" s="158"/>
    </row>
    <row r="2374" ht="18.0" customHeight="1">
      <c r="A2374" s="222">
        <f>IFERROR(__xludf.DUMMYFUNCTION("""COMPUTED_VALUE"""),2026.0)</f>
        <v>2026</v>
      </c>
      <c r="B2374" s="221">
        <f>IFERROR(__xludf.DUMMYFUNCTION("""COMPUTED_VALUE"""),1.2548654E7)</f>
        <v>12548654</v>
      </c>
      <c r="C2374" s="222" t="str">
        <f>IFERROR(__xludf.DUMMYFUNCTION("""COMPUTED_VALUE"""),"RKP TSEL PT3 LBJ-FBQ 250_514_4036")</f>
        <v>RKP TSEL PT3 LBJ-FBQ 250_514_4036</v>
      </c>
      <c r="D2374" s="222" t="str">
        <f>IFERROR(__xludf.DUMMYFUNCTION("""COMPUTED_VALUE"""),"REGIONAL I")</f>
        <v>REGIONAL I</v>
      </c>
      <c r="E2374" s="222" t="str">
        <f>IFERROR(__xludf.DUMMYFUNCTION("""COMPUTED_VALUE"""),"RIKEP")</f>
        <v>RIKEP</v>
      </c>
      <c r="F2374" s="222" t="str">
        <f>IFERROR(__xludf.DUMMYFUNCTION("""COMPUTED_VALUE"""),"LBJ")</f>
        <v>LBJ</v>
      </c>
      <c r="G2374" s="222" t="str">
        <f>IFERROR(__xludf.DUMMYFUNCTION("""COMPUTED_VALUE"""),"SUMBAGTENG")</f>
        <v>SUMBAGTENG</v>
      </c>
      <c r="H2374" s="222" t="str">
        <f>IFERROR(__xludf.DUMMYFUNCTION("""COMPUTED_VALUE"""),"BATAM")</f>
        <v>BATAM</v>
      </c>
      <c r="I2374" s="222" t="str">
        <f>IFERROR(__xludf.DUMMYFUNCTION("""COMPUTED_VALUE"""),"Batch 3")</f>
        <v>Batch 3</v>
      </c>
      <c r="J2374" s="225">
        <f>IFERROR(__xludf.DUMMYFUNCTION("""COMPUTED_VALUE"""),3.0)</f>
        <v>3</v>
      </c>
      <c r="K2374" s="224">
        <f>IFERROR(__xludf.DUMMYFUNCTION("""COMPUTED_VALUE"""),24.0)</f>
        <v>24</v>
      </c>
      <c r="L2374" s="226">
        <f>IFERROR(__xludf.DUMMYFUNCTION("""COMPUTED_VALUE"""),972082.0)</f>
        <v>972082</v>
      </c>
      <c r="M2374" s="227">
        <f>IFERROR(__xludf.DUMMYFUNCTION("""COMPUTED_VALUE"""),2.3329961E7)</f>
        <v>23329961</v>
      </c>
      <c r="N2374" s="222" t="str">
        <f>IFERROR(__xludf.DUMMYFUNCTION("""COMPUTED_VALUE"""),"PT HDUA PUTRA PRAJODA")</f>
        <v>PT HDUA PUTRA PRAJODA</v>
      </c>
      <c r="O2374" s="222" t="str">
        <f>IFERROR(__xludf.DUMMYFUNCTION("""COMPUTED_VALUE"""),"8. UJI TERIMA")</f>
        <v>8. UJI TERIMA</v>
      </c>
      <c r="P2374" s="222" t="str">
        <f>IFERROR(__xludf.DUMMYFUNCTION("""COMPUTED_VALUE"""),"8.3 Penyusunan Foto/ Hasil Ukur menjadi Dokument UT")</f>
        <v>8.3 Penyusunan Foto/ Hasil Ukur menjadi Dokument UT</v>
      </c>
      <c r="Q2374" s="222" t="str">
        <f>IFERROR(__xludf.DUMMYFUNCTION("""COMPUTED_VALUE"""),"13/04 Plan ABD Hari ini. 10/04 Penarikan KU. 
06/04 plan install tanggal 07 april 2026, Plan GL tanggal 11 april.   27/03 MP mitra cuma ada 1 serial masih mengerjakan LOP lain / tematik lain. 05/03 Blm req material, MP mitra seriall. 21/02 perijinan RT 01"&amp;",03,04,05/ RW 04 Status : Di izinkan( Rapikan kabel lama yang ada di sekitaran RW 04)
• RT 01/05Status : Di izinkan
16/02 Plan anwijzing 18 Feb.  11/02 Peralihan mitra. 28/01 Mitra tripola belum ada PIC untuk anwijzing. 23/01 Plan anwijzing 26 Jan, pic mi"&amp;"tra ada pertanggal 25 jan. 21/01 proses penunjukan mitra ")</f>
        <v>13/04 Plan ABD Hari ini. 10/04 Penarikan KU. 
06/04 plan install tanggal 07 april 2026, Plan GL tanggal 11 april.   27/03 MP mitra cuma ada 1 serial masih mengerjakan LOP lain / tematik lain. 05/03 Blm req material, MP mitra seriall. 21/02 perijinan RT 01,03,04,05/ RW 04 Status : Di izinkan( Rapikan kabel lama yang ada di sekitaran RW 04)
• RT 01/05Status : Di izinkan
16/02 Plan anwijzing 18 Feb.  11/02 Peralihan mitra. 28/01 Mitra tripola belum ada PIC untuk anwijzing. 23/01 Plan anwijzing 26 Jan, pic mitra ada pertanggal 25 jan. 21/01 proses penunjukan mitra </v>
      </c>
      <c r="R2374" s="228">
        <f>IFERROR(__xludf.DUMMYFUNCTION("""COMPUTED_VALUE"""),46125.0)</f>
        <v>46125</v>
      </c>
      <c r="S2374" s="11" t="str">
        <f>IFERROR(__xludf.DUMMYFUNCTION("""COMPUTED_VALUE"""),"APR")</f>
        <v>APR</v>
      </c>
      <c r="T2374" s="73"/>
      <c r="U2374" s="11" t="str">
        <f>IFERROR(__xludf.DUMMYFUNCTION("""COMPUTED_VALUE"""),"W09-239/2026")</f>
        <v>W09-239/2026</v>
      </c>
      <c r="V2374" s="229" t="str">
        <f>IFERROR(__xludf.DUMMYFUNCTION("""COMPUTED_VALUE"""),"RONALDO LEO INFANTRI")</f>
        <v>RONALDO LEO INFANTRI</v>
      </c>
      <c r="W2374" s="229" t="str">
        <f>IFERROR(__xludf.DUMMYFUNCTION("""COMPUTED_VALUE"""),"LEVITA INDRIYANI")</f>
        <v>LEVITA INDRIYANI</v>
      </c>
      <c r="X2374" s="229" t="str">
        <f>IFERROR(__xludf.DUMMYFUNCTION("""COMPUTED_VALUE"""),"GOLIVE")</f>
        <v>GOLIVE</v>
      </c>
      <c r="Y2374" s="229" t="str">
        <f>IFERROR(__xludf.DUMMYFUNCTION("""COMPUTED_VALUE"""),"DONE")</f>
        <v>DONE</v>
      </c>
      <c r="Z2374" s="229" t="str">
        <f>IFERROR(__xludf.DUMMYFUNCTION("""COMPUTED_VALUE"""),"#N/A")</f>
        <v>#N/A</v>
      </c>
      <c r="AA2374" s="229">
        <f>IFERROR(__xludf.DUMMYFUNCTION("""COMPUTED_VALUE"""),3.0)</f>
        <v>3</v>
      </c>
      <c r="AB2374" s="229"/>
      <c r="AC2374" s="229" t="str">
        <f>IFERROR(__xludf.DUMMYFUNCTION("""COMPUTED_VALUE"""),"9205546#9205551")</f>
        <v>9205546#9205551</v>
      </c>
      <c r="AD2374" s="232">
        <f>IFERROR(__xludf.DUMMYFUNCTION("""COMPUTED_VALUE"""),24.0)</f>
        <v>24</v>
      </c>
      <c r="AE2374" s="233">
        <f>IFERROR(__xludf.DUMMYFUNCTION("""COMPUTED_VALUE"""),46125.0)</f>
        <v>46125</v>
      </c>
      <c r="AF2374" s="54"/>
      <c r="AG2374" s="54"/>
      <c r="AH2374" s="54">
        <v>46125.0</v>
      </c>
      <c r="AI2374" s="55">
        <f>IF(OR(AH2374="",AE2374=""),"",AH2374-AE2374)</f>
        <v>0</v>
      </c>
      <c r="AJ2374" s="229" t="str">
        <f>if(AI2374&gt;=0,"Gl in Komitmen","Gl out komitmen")</f>
        <v>Gl in Komitmen</v>
      </c>
      <c r="AK2374" s="231" t="s">
        <v>199</v>
      </c>
      <c r="AW2374" s="234"/>
      <c r="BP2374" s="11"/>
      <c r="BQ2374" s="11"/>
      <c r="BV2374" s="158"/>
      <c r="BY2374" s="158"/>
      <c r="CB2374" s="158"/>
    </row>
    <row r="2375" ht="18.0" hidden="1" customHeight="1">
      <c r="A2375" s="222">
        <f>IFERROR(__xludf.DUMMYFUNCTION("""COMPUTED_VALUE"""),2026.0)</f>
        <v>2026</v>
      </c>
      <c r="B2375" s="221">
        <f>IFERROR(__xludf.DUMMYFUNCTION("""COMPUTED_VALUE"""),1.1867983E7)</f>
        <v>11867983</v>
      </c>
      <c r="C2375" s="222" t="str">
        <f>IFERROR(__xludf.DUMMYFUNCTION("""COMPUTED_VALUE"""),"MDN PT3 TMU-FL JL.SIDOMULYO_MD25")</f>
        <v>MDN PT3 TMU-FL JL.SIDOMULYO_MD25</v>
      </c>
      <c r="D2375" s="222" t="str">
        <f>IFERROR(__xludf.DUMMYFUNCTION("""COMPUTED_VALUE"""),"REGIONAL I")</f>
        <v>REGIONAL I</v>
      </c>
      <c r="E2375" s="222" t="str">
        <f>IFERROR(__xludf.DUMMYFUNCTION("""COMPUTED_VALUE"""),"MEDAN")</f>
        <v>MEDAN</v>
      </c>
      <c r="F2375" s="222" t="str">
        <f>IFERROR(__xludf.DUMMYFUNCTION("""COMPUTED_VALUE"""),"TMU")</f>
        <v>TMU</v>
      </c>
      <c r="G2375" s="222" t="str">
        <f>IFERROR(__xludf.DUMMYFUNCTION("""COMPUTED_VALUE"""),"SUMBAGUT")</f>
        <v>SUMBAGUT</v>
      </c>
      <c r="H2375" s="222" t="str">
        <f>IFERROR(__xludf.DUMMYFUNCTION("""COMPUTED_VALUE"""),"MEDAN")</f>
        <v>MEDAN</v>
      </c>
      <c r="I2375" s="222" t="str">
        <f>IFERROR(__xludf.DUMMYFUNCTION("""COMPUTED_VALUE"""),"Batch 3")</f>
        <v>Batch 3</v>
      </c>
      <c r="J2375" s="225">
        <f>IFERROR(__xludf.DUMMYFUNCTION("""COMPUTED_VALUE"""),4.0)</f>
        <v>4</v>
      </c>
      <c r="K2375" s="224">
        <f>IFERROR(__xludf.DUMMYFUNCTION("""COMPUTED_VALUE"""),32.0)</f>
        <v>32</v>
      </c>
      <c r="L2375" s="226">
        <f>IFERROR(__xludf.DUMMYFUNCTION("""COMPUTED_VALUE"""),971013.0)</f>
        <v>971013</v>
      </c>
      <c r="M2375" s="227">
        <f>IFERROR(__xludf.DUMMYFUNCTION("""COMPUTED_VALUE"""),3.1072406E7)</f>
        <v>31072406</v>
      </c>
      <c r="N2375" s="222" t="str">
        <f>IFERROR(__xludf.DUMMYFUNCTION("""COMPUTED_VALUE"""),"PT DUL JAYA TAMA")</f>
        <v>PT DUL JAYA TAMA</v>
      </c>
      <c r="O2375" s="222" t="str">
        <f>IFERROR(__xludf.DUMMYFUNCTION("""COMPUTED_VALUE"""),"7. GOLIVE")</f>
        <v>7. GOLIVE</v>
      </c>
      <c r="P2375" s="222" t="str">
        <f>IFERROR(__xludf.DUMMYFUNCTION("""COMPUTED_VALUE"""),"7.2 Golive Full / OA / DONE OTB")</f>
        <v>7.2 Golive Full / OA / DONE OTB</v>
      </c>
      <c r="Q2375" s="222" t="str">
        <f>IFERROR(__xludf.DUMMYFUNCTION("""COMPUTED_VALUE"""),"06/03 ABD 10/03 27/02 tarik DS 25/02 pengambilan material 29/01 Done Order, lnjut Aanwidzing")</f>
        <v>06/03 ABD 10/03 27/02 tarik DS 25/02 pengambilan material 29/01 Done Order, lnjut Aanwidzing</v>
      </c>
      <c r="R2375" s="228">
        <f>IFERROR(__xludf.DUMMYFUNCTION("""COMPUTED_VALUE"""),46094.0)</f>
        <v>46094</v>
      </c>
      <c r="S2375" s="11" t="str">
        <f>IFERROR(__xludf.DUMMYFUNCTION("""COMPUTED_VALUE"""),"MAR")</f>
        <v>MAR</v>
      </c>
      <c r="T2375" s="11"/>
      <c r="U2375" s="11"/>
      <c r="V2375" s="229"/>
      <c r="W2375" s="229"/>
      <c r="X2375" s="229" t="str">
        <f>IFERROR(__xludf.DUMMYFUNCTION("""COMPUTED_VALUE"""),"GOLIVE")</f>
        <v>GOLIVE</v>
      </c>
      <c r="Y2375" s="229" t="str">
        <f>IFERROR(__xludf.DUMMYFUNCTION("""COMPUTED_VALUE"""),"DONE")</f>
        <v>DONE</v>
      </c>
      <c r="Z2375" s="229" t="str">
        <f>IFERROR(__xludf.DUMMYFUNCTION("""COMPUTED_VALUE"""),"#N/A")</f>
        <v>#N/A</v>
      </c>
      <c r="AA2375" s="229">
        <f>IFERROR(__xludf.DUMMYFUNCTION("""COMPUTED_VALUE"""),4.0)</f>
        <v>4</v>
      </c>
      <c r="AB2375" s="229"/>
      <c r="AC2375" s="229" t="str">
        <f>IFERROR(__xludf.DUMMYFUNCTION("""COMPUTED_VALUE"""),"9207809#9207814")</f>
        <v>9207809#9207814</v>
      </c>
      <c r="AD2375" s="232">
        <f>IFERROR(__xludf.DUMMYFUNCTION("""COMPUTED_VALUE"""),32.0)</f>
        <v>32</v>
      </c>
      <c r="AE2375" s="233">
        <f>IFERROR(__xludf.DUMMYFUNCTION("""COMPUTED_VALUE"""),46094.0)</f>
        <v>46094</v>
      </c>
      <c r="AF2375" s="54"/>
      <c r="AG2375" s="54"/>
      <c r="AH2375" s="54">
        <v>46094.0</v>
      </c>
      <c r="AI2375" s="55">
        <f t="shared" ref="AI2375:AI2376" si="223">IF(OR(R2375="",AE2375=""),"",R2375-AE2375)</f>
        <v>0</v>
      </c>
      <c r="AW2375" s="234"/>
      <c r="BP2375" s="11"/>
      <c r="BQ2375" s="11"/>
      <c r="BV2375" s="158"/>
      <c r="BY2375" s="158"/>
      <c r="CB2375" s="158"/>
    </row>
    <row r="2376" ht="18.0" hidden="1" customHeight="1">
      <c r="A2376" s="222">
        <f>IFERROR(__xludf.DUMMYFUNCTION("""COMPUTED_VALUE"""),2026.0)</f>
        <v>2026</v>
      </c>
      <c r="B2376" s="221">
        <f>IFERROR(__xludf.DUMMYFUNCTION("""COMPUTED_VALUE"""),1.2744482E7)</f>
        <v>12744482</v>
      </c>
      <c r="C2376" s="222" t="str">
        <f>IFERROR(__xludf.DUMMYFUNCTION("""COMPUTED_VALUE"""),"LPG PT3 JPP LAMPUNG TIMUR_20102 LAM")</f>
        <v>LPG PT3 JPP LAMPUNG TIMUR_20102 LAM</v>
      </c>
      <c r="D2376" s="222" t="str">
        <f>IFERROR(__xludf.DUMMYFUNCTION("""COMPUTED_VALUE"""),"REGIONAL I")</f>
        <v>REGIONAL I</v>
      </c>
      <c r="E2376" s="222" t="str">
        <f>IFERROR(__xludf.DUMMYFUNCTION("""COMPUTED_VALUE"""),"LAMPUNG")</f>
        <v>LAMPUNG</v>
      </c>
      <c r="F2376" s="222" t="str">
        <f>IFERROR(__xludf.DUMMYFUNCTION("""COMPUTED_VALUE"""),"LAM")</f>
        <v>LAM</v>
      </c>
      <c r="G2376" s="222" t="str">
        <f>IFERROR(__xludf.DUMMYFUNCTION("""COMPUTED_VALUE"""),"SUMBAGSEL")</f>
        <v>SUMBAGSEL</v>
      </c>
      <c r="H2376" s="222" t="str">
        <f>IFERROR(__xludf.DUMMYFUNCTION("""COMPUTED_VALUE"""),"LAMPUNG")</f>
        <v>LAMPUNG</v>
      </c>
      <c r="I2376" s="222" t="str">
        <f>IFERROR(__xludf.DUMMYFUNCTION("""COMPUTED_VALUE"""),"Batch 3")</f>
        <v>Batch 3</v>
      </c>
      <c r="J2376" s="225">
        <f>IFERROR(__xludf.DUMMYFUNCTION("""COMPUTED_VALUE"""),6.0)</f>
        <v>6</v>
      </c>
      <c r="K2376" s="224">
        <f>IFERROR(__xludf.DUMMYFUNCTION("""COMPUTED_VALUE"""),48.0)</f>
        <v>48</v>
      </c>
      <c r="L2376" s="226">
        <f>IFERROR(__xludf.DUMMYFUNCTION("""COMPUTED_VALUE"""),969741.0)</f>
        <v>969741</v>
      </c>
      <c r="M2376" s="227">
        <f>IFERROR(__xludf.DUMMYFUNCTION("""COMPUTED_VALUE"""),4.6547524E7)</f>
        <v>46547524</v>
      </c>
      <c r="N2376" s="222" t="str">
        <f>IFERROR(__xludf.DUMMYFUNCTION("""COMPUTED_VALUE"""),"PT GARINDO TECHNO MANDIRI")</f>
        <v>PT GARINDO TECHNO MANDIRI</v>
      </c>
      <c r="O2376" s="222" t="str">
        <f>IFERROR(__xludf.DUMMYFUNCTION("""COMPUTED_VALUE"""),"0. DROP")</f>
        <v>0. DROP</v>
      </c>
      <c r="P2376" s="222" t="str">
        <f>IFERROR(__xludf.DUMMYFUNCTION("""COMPUTED_VALUE"""),"0.2 Tidak Dapat Izin Warga/Kades/Lurah/Developer")</f>
        <v>0.2 Tidak Dapat Izin Warga/Kades/Lurah/Developer</v>
      </c>
      <c r="Q2376" s="222" t="str">
        <f>IFERROR(__xludf.DUMMYFUNCTION("""COMPUTED_VALUE"""),"11/2 tidak dapat izin dari lurah karna masih ada case exsisting belum selesai, 6/2 plan anwizing ,9/2 survey eletrical fedeer dan distribusi 
4/2 progres prizinan dan eletrical 
30/1 plan anwizing 
23/1 plan anwizing tanggal 26/1")</f>
        <v>11/2 tidak dapat izin dari lurah karna masih ada case exsisting belum selesai, 6/2 plan anwizing ,9/2 survey eletrical fedeer dan distribusi 
4/2 progres prizinan dan eletrical 
30/1 plan anwizing 
23/1 plan anwizing tanggal 26/1</v>
      </c>
      <c r="R2376" s="228"/>
      <c r="S2376" s="11"/>
      <c r="T2376" s="11"/>
      <c r="U2376" s="11"/>
      <c r="V2376" s="229"/>
      <c r="W2376" s="229"/>
      <c r="X2376" s="229"/>
      <c r="Y2376" s="229"/>
      <c r="Z2376" s="229" t="str">
        <f>IFERROR(__xludf.DUMMYFUNCTION("""COMPUTED_VALUE"""),"#N/A")</f>
        <v>#N/A</v>
      </c>
      <c r="AA2376" s="229"/>
      <c r="AB2376" s="229"/>
      <c r="AC2376" s="229"/>
      <c r="AD2376" s="232"/>
      <c r="AE2376" s="233"/>
      <c r="AF2376" s="54" t="str">
        <f>IFERROR(__xludf.DUMMYFUNCTION("""COMPUTED_VALUE"""),"Draft BA DROP")</f>
        <v>Draft BA DROP</v>
      </c>
      <c r="AG2376" s="54"/>
      <c r="AH2376" s="54"/>
      <c r="AI2376" s="55" t="str">
        <f t="shared" si="223"/>
        <v/>
      </c>
      <c r="AW2376" s="234"/>
      <c r="BP2376" s="11"/>
      <c r="BQ2376" s="11"/>
      <c r="BV2376" s="158"/>
      <c r="BY2376" s="158"/>
      <c r="CB2376" s="158"/>
    </row>
    <row r="2377" ht="18.0" hidden="1" customHeight="1">
      <c r="A2377" s="222">
        <f>IFERROR(__xludf.DUMMYFUNCTION("""COMPUTED_VALUE"""),2026.0)</f>
        <v>2026</v>
      </c>
      <c r="B2377" s="221">
        <f>IFERROR(__xludf.DUMMYFUNCTION("""COMPUTED_VALUE"""),1.2778744E7)</f>
        <v>12778744</v>
      </c>
      <c r="C2377" s="222" t="str">
        <f>IFERROR(__xludf.DUMMYFUNCTION("""COMPUTED_VALUE"""),"ODC-DLS-FAH D08 HS 107934")</f>
        <v>ODC-DLS-FAH D08 HS 107934</v>
      </c>
      <c r="D2377" s="222" t="str">
        <f>IFERROR(__xludf.DUMMYFUNCTION("""COMPUTED_VALUE"""),"REGIONAL I")</f>
        <v>REGIONAL I</v>
      </c>
      <c r="E2377" s="222" t="str">
        <f>IFERROR(__xludf.DUMMYFUNCTION("""COMPUTED_VALUE"""),"SUMUT")</f>
        <v>SUMUT</v>
      </c>
      <c r="F2377" s="222" t="str">
        <f>IFERROR(__xludf.DUMMYFUNCTION("""COMPUTED_VALUE"""),"DLS")</f>
        <v>DLS</v>
      </c>
      <c r="G2377" s="222" t="str">
        <f>IFERROR(__xludf.DUMMYFUNCTION("""COMPUTED_VALUE"""),"SUMBAGUT")</f>
        <v>SUMBAGUT</v>
      </c>
      <c r="H2377" s="222" t="str">
        <f>IFERROR(__xludf.DUMMYFUNCTION("""COMPUTED_VALUE"""),"PEMATANG SIANTAR")</f>
        <v>PEMATANG SIANTAR</v>
      </c>
      <c r="I2377" s="222" t="str">
        <f>IFERROR(__xludf.DUMMYFUNCTION("""COMPUTED_VALUE"""),"Batch 3")</f>
        <v>Batch 3</v>
      </c>
      <c r="J2377" s="225">
        <f>IFERROR(__xludf.DUMMYFUNCTION("""COMPUTED_VALUE"""),8.0)</f>
        <v>8</v>
      </c>
      <c r="K2377" s="224">
        <f>IFERROR(__xludf.DUMMYFUNCTION("""COMPUTED_VALUE"""),64.0)</f>
        <v>64</v>
      </c>
      <c r="L2377" s="226">
        <f>IFERROR(__xludf.DUMMYFUNCTION("""COMPUTED_VALUE"""),965093.0)</f>
        <v>965093</v>
      </c>
      <c r="M2377" s="227">
        <f>IFERROR(__xludf.DUMMYFUNCTION("""COMPUTED_VALUE"""),6.1765946E7)</f>
        <v>61765946</v>
      </c>
      <c r="N2377" s="222" t="str">
        <f>IFERROR(__xludf.DUMMYFUNCTION("""COMPUTED_VALUE"""),"PT ARTHA MANDIRI BERSAMA")</f>
        <v>PT ARTHA MANDIRI BERSAMA</v>
      </c>
      <c r="O2377" s="222" t="str">
        <f>IFERROR(__xludf.DUMMYFUNCTION("""COMPUTED_VALUE"""),"7. GOLIVE")</f>
        <v>7. GOLIVE</v>
      </c>
      <c r="P2377" s="222" t="str">
        <f>IFERROR(__xludf.DUMMYFUNCTION("""COMPUTED_VALUE"""),"7.2 Golive Full / OA / DONE OTB")</f>
        <v>7.2 Golive Full / OA / DONE OTB</v>
      </c>
      <c r="Q2377" s="222" t="str">
        <f>IFERROR(__xludf.DUMMYFUNCTION("""COMPUTED_VALUE"""),"24/4 hari kini proses terminasi odp, 22/4 penarikan ku 24 (2310 selesai) penarikan ku 12 (1920 sisa 720), odp 7 blm ada progres, 21/4 penarikan ku 24 (2310 selesai) penarikan ku 12 (1920 blm ada progres), odp 7 blm ada progres, 16/4 plan pengambilan mater"&amp;"ial senin tgl 20 april, 14/4 prepair tim untuk pengambilan material, 13/4 prepair tim untuk pengambilan material, 9/4 prepair tim untuk pengambilan material senin 13 april, 8/4 prepair tim untuk pengambilan material senin 13 april, 6/4 prepair tim untuk p"&amp;"engambilan material senin 13 april,  5/4 prepair team untuk pengambilan material, 1/4 prepair team untuk pengambilan material, 31/3 prepair tim untuk pengambilan material, 30/3 prepair tim untuk pengambilan material, 27/3 prepair tim untuk pengambilan mat"&amp;"erial, 26/3 prepair tim untuk pengambilan material, 22/3 plan progres alista besok 23/3, 18/3 menunggu req matrial mitra, plan progres setelah lebaran selesai, 16/3 proses req kebutuhan matrial, 13/3 team menuju dls cek otdr feder, 11/3 plan besok pengece"&amp;"kan core feeder apakah butuh qe atw tidak, 10/3 proses boq kml survey, 6/3 Proses boq kml survey, 4/3 menunggu boq kml survey, 3/3 menunggu boq kml survey, 2/3 prepair team untuk survey ke lokasi,  27/2 prepair team untuk survey ke lokasi,  25/2 plan beso"&amp;"k survey ke lokasi, 24/2 prepair team untuk survey kelokasi, 23/2 plan survey hari ini 23 feb,  20/2 plan survey 23 feb, 19/1 prepair tim untuk survey, 16/1 prepair tim untuk survey, 13/1 prepair tim untuk survey, 12/1 prepair tim untuk survey,  11/2 prep"&amp;"air team,  10/2 Mandor swakelola, 9/2 Mandor swakelola, 6/2 Mandor swakelola, 5/2 Mandor swakelola, 4/2 Mandor swakelola, 3/2 Mandor swakelola,  2/2 Mandor swakelola, 1/2 Mandor swakelola, 30/1 Mandor swakelola, 28/1 Mandor swakelola,  27/1 Mandor swakelo"&amp;"la, 26/1 Mandor swakelola, 23/1 Mandor swakelola, 22/1 penunjukan mitra, 21/1 penunjukan mitra")</f>
        <v>24/4 hari kini proses terminasi odp, 22/4 penarikan ku 24 (2310 selesai) penarikan ku 12 (1920 sisa 720), odp 7 blm ada progres, 21/4 penarikan ku 24 (2310 selesai) penarikan ku 12 (1920 blm ada progres), odp 7 blm ada progres, 16/4 plan pengambilan material senin tgl 20 april, 14/4 prepair tim untuk pengambilan material, 13/4 prepair tim untuk pengambilan material, 9/4 prepair tim untuk pengambilan material senin 13 april, 8/4 prepair tim untuk pengambilan material senin 13 april, 6/4 prepair tim untuk pengambilan material senin 13 april,  5/4 prepair team untuk pengambilan material, 1/4 prepair team untuk pengambilan material, 31/3 prepair tim untuk pengambilan material, 30/3 prepair tim untuk pengambilan material, 27/3 prepair tim untuk pengambilan material, 26/3 prepair tim untuk pengambilan material, 22/3 plan progres alista besok 23/3, 18/3 menunggu req matrial mitra, plan progres setelah lebaran selesai, 16/3 proses req kebutuhan matrial, 13/3 team menuju dls cek otdr feder, 11/3 plan besok pengecekan core feeder apakah butuh qe atw tidak, 10/3 proses boq kml survey, 6/3 Proses boq kml survey, 4/3 menunggu boq kml survey, 3/3 menunggu boq kml survey, 2/3 prepair team untuk survey ke lokasi,  27/2 prepair team untuk survey ke lokasi,  25/2 plan besok survey ke lokasi, 24/2 prepair team untuk survey kelokasi, 23/2 plan survey hari ini 23 feb,  20/2 plan survey 23 feb, 19/1 prepair tim untuk survey, 16/1 prepair tim untuk survey, 13/1 prepair tim untuk survey, 12/1 prepair tim untuk survey,  11/2 prepair team,  10/2 Mandor swakelola, 9/2 Mandor swakelola, 6/2 Mandor swakelola, 5/2 Mandor swakelola, 4/2 Mandor swakelola, 3/2 Mandor swakelola,  2/2 Mandor swakelola, 1/2 Mandor swakelola, 30/1 Mandor swakelola, 28/1 Mandor swakelola,  27/1 Mandor swakelola, 26/1 Mandor swakelola, 23/1 Mandor swakelola, 22/1 penunjukan mitra, 21/1 penunjukan mitra</v>
      </c>
      <c r="R2377" s="228">
        <f>IFERROR(__xludf.DUMMYFUNCTION("""COMPUTED_VALUE"""),46136.0)</f>
        <v>46136</v>
      </c>
      <c r="S2377" s="11"/>
      <c r="T2377" s="73"/>
      <c r="U2377" s="11" t="str">
        <f>IFERROR(__xludf.DUMMYFUNCTION("""COMPUTED_VALUE"""),"TIF-2072/2026")</f>
        <v>TIF-2072/2026</v>
      </c>
      <c r="V2377" s="229" t="str">
        <f>IFERROR(__xludf.DUMMYFUNCTION("""COMPUTED_VALUE"""),"27/Apr/2026")</f>
        <v>27/Apr/2026</v>
      </c>
      <c r="W2377" s="229"/>
      <c r="X2377" s="229" t="str">
        <f>IFERROR(__xludf.DUMMYFUNCTION("""COMPUTED_VALUE"""),"GOLIVE")</f>
        <v>GOLIVE</v>
      </c>
      <c r="Y2377" s="229" t="str">
        <f>IFERROR(__xludf.DUMMYFUNCTION("""COMPUTED_VALUE"""),"DONE")</f>
        <v>DONE</v>
      </c>
      <c r="Z2377" s="229" t="str">
        <f>IFERROR(__xludf.DUMMYFUNCTION("""COMPUTED_VALUE"""),"#N/A")</f>
        <v>#N/A</v>
      </c>
      <c r="AA2377" s="229">
        <f>IFERROR(__xludf.DUMMYFUNCTION("""COMPUTED_VALUE"""),8.0)</f>
        <v>8</v>
      </c>
      <c r="AB2377" s="229"/>
      <c r="AC2377" s="229" t="str">
        <f>IFERROR(__xludf.DUMMYFUNCTION("""COMPUTED_VALUE"""),"9311548#9311553")</f>
        <v>9311548#9311553</v>
      </c>
      <c r="AD2377" s="232">
        <f>IFERROR(__xludf.DUMMYFUNCTION("""COMPUTED_VALUE"""),64.0)</f>
        <v>64</v>
      </c>
      <c r="AE2377" s="233">
        <f>IFERROR(__xludf.DUMMYFUNCTION("""COMPUTED_VALUE"""),46136.0)</f>
        <v>46136</v>
      </c>
      <c r="AF2377" s="54"/>
      <c r="AG2377" s="54"/>
      <c r="AH2377" s="54">
        <v>46120.0</v>
      </c>
      <c r="AI2377" s="237">
        <f>AH2377-NOW()</f>
        <v>-20.37798995</v>
      </c>
      <c r="AJ2377" s="229" t="str">
        <f>if(AI2377&gt;=0,"in Komitmen","Out komitmen")</f>
        <v>Out komitmen</v>
      </c>
      <c r="AK2377" s="229" t="s">
        <v>199</v>
      </c>
      <c r="AW2377" s="234"/>
      <c r="BP2377" s="11"/>
      <c r="BQ2377" s="11"/>
      <c r="BV2377" s="158"/>
      <c r="BY2377" s="158"/>
      <c r="CB2377" s="158"/>
    </row>
    <row r="2378" ht="18.0" customHeight="1">
      <c r="A2378" s="222">
        <f>IFERROR(__xludf.DUMMYFUNCTION("""COMPUTED_VALUE"""),2026.0)</f>
        <v>2026</v>
      </c>
      <c r="B2378" s="221">
        <f>IFERROR(__xludf.DUMMYFUNCTION("""COMPUTED_VALUE"""),1.2822919E7)</f>
        <v>12822919</v>
      </c>
      <c r="C2378" s="222" t="str">
        <f>IFERROR(__xludf.DUMMYFUNCTION("""COMPUTED_VALUE"""),"RKP TSEL PT3 LBJ-FBW BKG PALAPA MURNI")</f>
        <v>RKP TSEL PT3 LBJ-FBW BKG PALAPA MURNI</v>
      </c>
      <c r="D2378" s="222" t="str">
        <f>IFERROR(__xludf.DUMMYFUNCTION("""COMPUTED_VALUE"""),"REGIONAL I")</f>
        <v>REGIONAL I</v>
      </c>
      <c r="E2378" s="222" t="str">
        <f>IFERROR(__xludf.DUMMYFUNCTION("""COMPUTED_VALUE"""),"RIKEP")</f>
        <v>RIKEP</v>
      </c>
      <c r="F2378" s="222" t="str">
        <f>IFERROR(__xludf.DUMMYFUNCTION("""COMPUTED_VALUE"""),"LBJ")</f>
        <v>LBJ</v>
      </c>
      <c r="G2378" s="222" t="str">
        <f>IFERROR(__xludf.DUMMYFUNCTION("""COMPUTED_VALUE"""),"SUMBAGTENG")</f>
        <v>SUMBAGTENG</v>
      </c>
      <c r="H2378" s="222" t="str">
        <f>IFERROR(__xludf.DUMMYFUNCTION("""COMPUTED_VALUE"""),"BATAM")</f>
        <v>BATAM</v>
      </c>
      <c r="I2378" s="222" t="str">
        <f>IFERROR(__xludf.DUMMYFUNCTION("""COMPUTED_VALUE"""),"Batch 3")</f>
        <v>Batch 3</v>
      </c>
      <c r="J2378" s="225">
        <f>IFERROR(__xludf.DUMMYFUNCTION("""COMPUTED_VALUE"""),1.0)</f>
        <v>1</v>
      </c>
      <c r="K2378" s="224">
        <f>IFERROR(__xludf.DUMMYFUNCTION("""COMPUTED_VALUE"""),8.0)</f>
        <v>8</v>
      </c>
      <c r="L2378" s="226">
        <f>IFERROR(__xludf.DUMMYFUNCTION("""COMPUTED_VALUE"""),963833.0)</f>
        <v>963833</v>
      </c>
      <c r="M2378" s="227">
        <f>IFERROR(__xludf.DUMMYFUNCTION("""COMPUTED_VALUE"""),7710664.0)</f>
        <v>7710664</v>
      </c>
      <c r="N2378" s="222" t="str">
        <f>IFERROR(__xludf.DUMMYFUNCTION("""COMPUTED_VALUE"""),"PT HDUA PUTRA PRAJODA")</f>
        <v>PT HDUA PUTRA PRAJODA</v>
      </c>
      <c r="O2378" s="222" t="str">
        <f>IFERROR(__xludf.DUMMYFUNCTION("""COMPUTED_VALUE"""),"8. UJI TERIMA")</f>
        <v>8. UJI TERIMA</v>
      </c>
      <c r="P2378" s="222" t="str">
        <f>IFERROR(__xludf.DUMMYFUNCTION("""COMPUTED_VALUE"""),"8.3 Penyusunan Foto/ Hasil Ukur menjadi Dokument UT")</f>
        <v>8.3 Penyusunan Foto/ Hasil Ukur menjadi Dokument UT</v>
      </c>
      <c r="Q2378" s="222" t="str">
        <f>IFERROR(__xludf.DUMMYFUNCTION("""COMPUTED_VALUE"""),"07/04 Done submit ABD ke SDI
02/04 Galian dan tanam tiang. 31/03 Plan progres tg 1 apr,  Plan GL 06 Apr 2026. 30/03 Pengecekan core hari ini. 04/03 izin OK proses pengecekan core, tim masih serial . 19/02 Izin OK, proses pengecekan core. 16/02 Plan anwijz"&amp;"ing 18 Feb. 11/02 Peralihan mitra. 28/01 Mitra tripola belum ada PIC untuk anwijzing. 23/01 Plan anwijzing 26 Jan, pic mitra ada pertanggal 25 jan. 21/01 proses penunjukan mitra ")</f>
        <v>07/04 Done submit ABD ke SDI
02/04 Galian dan tanam tiang. 31/03 Plan progres tg 1 apr,  Plan GL 06 Apr 2026. 30/03 Pengecekan core hari ini. 04/03 izin OK proses pengecekan core, tim masih serial . 19/02 Izin OK, proses pengecekan core. 16/02 Plan anwijzing 18 Feb. 11/02 Peralihan mitra. 28/01 Mitra tripola belum ada PIC untuk anwijzing. 23/01 Plan anwijzing 26 Jan, pic mitra ada pertanggal 25 jan. 21/01 proses penunjukan mitra </v>
      </c>
      <c r="R2378" s="228">
        <f>IFERROR(__xludf.DUMMYFUNCTION("""COMPUTED_VALUE"""),46120.0)</f>
        <v>46120</v>
      </c>
      <c r="S2378" s="11" t="str">
        <f>IFERROR(__xludf.DUMMYFUNCTION("""COMPUTED_VALUE"""),"APR")</f>
        <v>APR</v>
      </c>
      <c r="T2378" s="73"/>
      <c r="U2378" s="11" t="str">
        <f>IFERROR(__xludf.DUMMYFUNCTION("""COMPUTED_VALUE"""),"W09-240/2026")</f>
        <v>W09-240/2026</v>
      </c>
      <c r="V2378" s="229" t="str">
        <f>IFERROR(__xludf.DUMMYFUNCTION("""COMPUTED_VALUE"""),"RONALDO LEO INFANTRI")</f>
        <v>RONALDO LEO INFANTRI</v>
      </c>
      <c r="W2378" s="229" t="str">
        <f>IFERROR(__xludf.DUMMYFUNCTION("""COMPUTED_VALUE"""),"LEVITA INDRIYANI")</f>
        <v>LEVITA INDRIYANI</v>
      </c>
      <c r="X2378" s="229" t="str">
        <f>IFERROR(__xludf.DUMMYFUNCTION("""COMPUTED_VALUE"""),"GOLIVE")</f>
        <v>GOLIVE</v>
      </c>
      <c r="Y2378" s="229" t="str">
        <f>IFERROR(__xludf.DUMMYFUNCTION("""COMPUTED_VALUE"""),"DONE")</f>
        <v>DONE</v>
      </c>
      <c r="Z2378" s="229" t="str">
        <f>IFERROR(__xludf.DUMMYFUNCTION("""COMPUTED_VALUE"""),"#N/A")</f>
        <v>#N/A</v>
      </c>
      <c r="AA2378" s="229">
        <f>IFERROR(__xludf.DUMMYFUNCTION("""COMPUTED_VALUE"""),1.0)</f>
        <v>1</v>
      </c>
      <c r="AB2378" s="229"/>
      <c r="AC2378" s="229" t="str">
        <f>IFERROR(__xludf.DUMMYFUNCTION("""COMPUTED_VALUE"""),"9209622#9209627")</f>
        <v>9209622#9209627</v>
      </c>
      <c r="AD2378" s="232">
        <f>IFERROR(__xludf.DUMMYFUNCTION("""COMPUTED_VALUE"""),8.0)</f>
        <v>8</v>
      </c>
      <c r="AE2378" s="233">
        <f>IFERROR(__xludf.DUMMYFUNCTION("""COMPUTED_VALUE"""),46120.0)</f>
        <v>46120</v>
      </c>
      <c r="AF2378" s="54"/>
      <c r="AG2378" s="54"/>
      <c r="AH2378" s="54">
        <v>46120.0</v>
      </c>
      <c r="AI2378" s="55">
        <f>IF(OR(AH2378="",AE2378=""),"",AH2378-AE2378)</f>
        <v>0</v>
      </c>
      <c r="AJ2378" s="229" t="str">
        <f>if(AI2378&gt;=0,"Gl in Komitmen","Gl out komitmen")</f>
        <v>Gl in Komitmen</v>
      </c>
      <c r="AK2378" s="231" t="s">
        <v>199</v>
      </c>
      <c r="AW2378" s="234"/>
      <c r="BP2378" s="11"/>
      <c r="BQ2378" s="11"/>
      <c r="BV2378" s="158"/>
      <c r="BY2378" s="158"/>
      <c r="CB2378" s="158"/>
    </row>
    <row r="2379" ht="18.0" hidden="1" customHeight="1">
      <c r="A2379" s="222">
        <f>IFERROR(__xludf.DUMMYFUNCTION("""COMPUTED_VALUE"""),2026.0)</f>
        <v>2026</v>
      </c>
      <c r="B2379" s="221">
        <f>IFERROR(__xludf.DUMMYFUNCTION("""COMPUTED_VALUE"""),1.1511319E7)</f>
        <v>11511319</v>
      </c>
      <c r="C2379" s="222" t="str">
        <f>IFERROR(__xludf.DUMMYFUNCTION("""COMPUTED_VALUE"""),"ACH PT3 TKN-FT D04 TANSARIL")</f>
        <v>ACH PT3 TKN-FT D04 TANSARIL</v>
      </c>
      <c r="D2379" s="222" t="str">
        <f>IFERROR(__xludf.DUMMYFUNCTION("""COMPUTED_VALUE"""),"REGIONAL I")</f>
        <v>REGIONAL I</v>
      </c>
      <c r="E2379" s="222" t="str">
        <f>IFERROR(__xludf.DUMMYFUNCTION("""COMPUTED_VALUE"""),"ACEH")</f>
        <v>ACEH</v>
      </c>
      <c r="F2379" s="222" t="str">
        <f>IFERROR(__xludf.DUMMYFUNCTION("""COMPUTED_VALUE"""),"TKN")</f>
        <v>TKN</v>
      </c>
      <c r="G2379" s="222" t="str">
        <f>IFERROR(__xludf.DUMMYFUNCTION("""COMPUTED_VALUE"""),"SUMBAGUT")</f>
        <v>SUMBAGUT</v>
      </c>
      <c r="H2379" s="222" t="str">
        <f>IFERROR(__xludf.DUMMYFUNCTION("""COMPUTED_VALUE"""),"BANDA ACEH")</f>
        <v>BANDA ACEH</v>
      </c>
      <c r="I2379" s="222" t="str">
        <f>IFERROR(__xludf.DUMMYFUNCTION("""COMPUTED_VALUE"""),"Batch 3")</f>
        <v>Batch 3</v>
      </c>
      <c r="J2379" s="225">
        <f>IFERROR(__xludf.DUMMYFUNCTION("""COMPUTED_VALUE"""),12.0)</f>
        <v>12</v>
      </c>
      <c r="K2379" s="224">
        <f>IFERROR(__xludf.DUMMYFUNCTION("""COMPUTED_VALUE"""),96.0)</f>
        <v>96</v>
      </c>
      <c r="L2379" s="226">
        <f>IFERROR(__xludf.DUMMYFUNCTION("""COMPUTED_VALUE"""),962956.0)</f>
        <v>962956</v>
      </c>
      <c r="M2379" s="227">
        <f>IFERROR(__xludf.DUMMYFUNCTION("""COMPUTED_VALUE"""),9.2443763E7)</f>
        <v>92443763</v>
      </c>
      <c r="N2379" s="222" t="str">
        <f>IFERROR(__xludf.DUMMYFUNCTION("""COMPUTED_VALUE"""),"PT KANA PRISMA AKSES")</f>
        <v>PT KANA PRISMA AKSES</v>
      </c>
      <c r="O2379" s="222" t="str">
        <f>IFERROR(__xludf.DUMMYFUNCTION("""COMPUTED_VALUE"""),"4. MATDEL")</f>
        <v>4. MATDEL</v>
      </c>
      <c r="P2379" s="222" t="str">
        <f>IFERROR(__xludf.DUMMYFUNCTION("""COMPUTED_VALUE"""),"4.2 Sudah Request Material (Alista)")</f>
        <v>4.2 Sudah Request Material (Alista)</v>
      </c>
      <c r="Q2379" s="222" t="str">
        <f>IFERROR(__xludf.DUMMYFUNCTION("""COMPUTED_VALUE"""),"20/04 Material tiang blm ready, delivery terkendala jembatan temporer, truk blm bisa lewat
(10/03) Menunggu Material Ready (03/03) delmat (29/01) Done Aanwijzing")</f>
        <v>20/04 Material tiang blm ready, delivery terkendala jembatan temporer, truk blm bisa lewat
(10/03) Menunggu Material Ready (03/03) delmat (29/01) Done Aanwijzing</v>
      </c>
      <c r="R2379" s="228"/>
      <c r="S2379" s="11"/>
      <c r="T2379" s="73"/>
      <c r="U2379" s="11"/>
      <c r="V2379" s="229"/>
      <c r="W2379" s="229" t="str">
        <f>IFERROR(__xludf.DUMMYFUNCTION("""COMPUTED_VALUE"""),"#N/A")</f>
        <v>#N/A</v>
      </c>
      <c r="X2379" s="229" t="str">
        <f>IFERROR(__xludf.DUMMYFUNCTION("""COMPUTED_VALUE"""),"BELUM GOLIVE")</f>
        <v>BELUM GOLIVE</v>
      </c>
      <c r="Y2379" s="229"/>
      <c r="Z2379" s="229" t="str">
        <f>IFERROR(__xludf.DUMMYFUNCTION("""COMPUTED_VALUE"""),"#N/A")</f>
        <v>#N/A</v>
      </c>
      <c r="AA2379" s="229"/>
      <c r="AB2379" s="229"/>
      <c r="AC2379" s="229"/>
      <c r="AD2379" s="232"/>
      <c r="AE2379" s="233"/>
      <c r="AF2379" s="54"/>
      <c r="AG2379" s="54"/>
      <c r="AH2379" s="54">
        <v>46126.0</v>
      </c>
      <c r="AI2379" s="55" t="str">
        <f t="shared" ref="AI2379:AI2418" si="224">IF(OR(R2379="",AE2379=""),"",R2379-AE2379)</f>
        <v/>
      </c>
      <c r="AW2379" s="234"/>
      <c r="BP2379" s="11"/>
      <c r="BQ2379" s="11"/>
      <c r="BV2379" s="158"/>
      <c r="BY2379" s="158"/>
      <c r="CB2379" s="158"/>
    </row>
    <row r="2380" ht="18.0" customHeight="1">
      <c r="A2380" s="222">
        <f>IFERROR(__xludf.DUMMYFUNCTION("""COMPUTED_VALUE"""),2026.0)</f>
        <v>2026</v>
      </c>
      <c r="B2380" s="221">
        <f>IFERROR(__xludf.DUMMYFUNCTION("""COMPUTED_VALUE"""),1.2822934E7)</f>
        <v>12822934</v>
      </c>
      <c r="C2380" s="222" t="str">
        <f>IFERROR(__xludf.DUMMYFUNCTION("""COMPUTED_VALUE"""),"RKP TSEL PT3 LBJ-FF TELAGA INDAH")</f>
        <v>RKP TSEL PT3 LBJ-FF TELAGA INDAH</v>
      </c>
      <c r="D2380" s="222" t="str">
        <f>IFERROR(__xludf.DUMMYFUNCTION("""COMPUTED_VALUE"""),"REGIONAL I")</f>
        <v>REGIONAL I</v>
      </c>
      <c r="E2380" s="222" t="str">
        <f>IFERROR(__xludf.DUMMYFUNCTION("""COMPUTED_VALUE"""),"RIKEP")</f>
        <v>RIKEP</v>
      </c>
      <c r="F2380" s="222" t="str">
        <f>IFERROR(__xludf.DUMMYFUNCTION("""COMPUTED_VALUE"""),"LBJ")</f>
        <v>LBJ</v>
      </c>
      <c r="G2380" s="222" t="str">
        <f>IFERROR(__xludf.DUMMYFUNCTION("""COMPUTED_VALUE"""),"SUMBAGTENG")</f>
        <v>SUMBAGTENG</v>
      </c>
      <c r="H2380" s="222" t="str">
        <f>IFERROR(__xludf.DUMMYFUNCTION("""COMPUTED_VALUE"""),"BATAM")</f>
        <v>BATAM</v>
      </c>
      <c r="I2380" s="222" t="str">
        <f>IFERROR(__xludf.DUMMYFUNCTION("""COMPUTED_VALUE"""),"Batch 3")</f>
        <v>Batch 3</v>
      </c>
      <c r="J2380" s="225">
        <f>IFERROR(__xludf.DUMMYFUNCTION("""COMPUTED_VALUE"""),2.0)</f>
        <v>2</v>
      </c>
      <c r="K2380" s="224">
        <f>IFERROR(__xludf.DUMMYFUNCTION("""COMPUTED_VALUE"""),16.0)</f>
        <v>16</v>
      </c>
      <c r="L2380" s="226">
        <f>IFERROR(__xludf.DUMMYFUNCTION("""COMPUTED_VALUE"""),962590.0)</f>
        <v>962590</v>
      </c>
      <c r="M2380" s="227">
        <f>IFERROR(__xludf.DUMMYFUNCTION("""COMPUTED_VALUE"""),1.540144E7)</f>
        <v>15401440</v>
      </c>
      <c r="N2380" s="222" t="str">
        <f>IFERROR(__xludf.DUMMYFUNCTION("""COMPUTED_VALUE"""),"PT HDUA PUTRA PRAJODA")</f>
        <v>PT HDUA PUTRA PRAJODA</v>
      </c>
      <c r="O2380" s="222" t="str">
        <f>IFERROR(__xludf.DUMMYFUNCTION("""COMPUTED_VALUE"""),"0. DROP")</f>
        <v>0. DROP</v>
      </c>
      <c r="P2380" s="222" t="str">
        <f>IFERROR(__xludf.DUMMYFUNCTION("""COMPUTED_VALUE"""),"0.2 Tidak Dapat Izin Warga/Kades/Lurah/Developer")</f>
        <v>0.2 Tidak Dapat Izin Warga/Kades/Lurah/Developer</v>
      </c>
      <c r="Q2380" s="222" t="str">
        <f>IFERROR(__xludf.DUMMYFUNCTION("""COMPUTED_VALUE"""),"04/03 RT meminta uang kas 1 juta dan wifi gratis seumur hidup.  
16/02 Plan anwijzing 19 Feb. 11/02 Peralihan mitra. 28/01 Mitra tripola belum ada PIC untuk anwijzing. 23/01 Plan anwijzing 26 Jan, pic mitra ada pertanggal 25 jan. 21/01 proses penunjukan m"&amp;"itra ")</f>
        <v>04/03 RT meminta uang kas 1 juta dan wifi gratis seumur hidup.  
16/02 Plan anwijzing 19 Feb. 11/02 Peralihan mitra. 28/01 Mitra tripola belum ada PIC untuk anwijzing. 23/01 Plan anwijzing 26 Jan, pic mitra ada pertanggal 25 jan. 21/01 proses penunjukan mitra </v>
      </c>
      <c r="R2380" s="228"/>
      <c r="S2380" s="11" t="str">
        <f>IFERROR(__xludf.DUMMYFUNCTION("""COMPUTED_VALUE"""),"MAR")</f>
        <v>MAR</v>
      </c>
      <c r="T2380" s="11"/>
      <c r="U2380" s="11"/>
      <c r="V2380" s="229" t="str">
        <f>IFERROR(__xludf.DUMMYFUNCTION("""COMPUTED_VALUE"""),"RONALDO LEO INFANTRI")</f>
        <v>RONALDO LEO INFANTRI</v>
      </c>
      <c r="W2380" s="229"/>
      <c r="X2380" s="229"/>
      <c r="Y2380" s="229"/>
      <c r="Z2380" s="229" t="str">
        <f>IFERROR(__xludf.DUMMYFUNCTION("""COMPUTED_VALUE"""),"#N/A")</f>
        <v>#N/A</v>
      </c>
      <c r="AA2380" s="229"/>
      <c r="AB2380" s="229"/>
      <c r="AC2380" s="229"/>
      <c r="AD2380" s="232"/>
      <c r="AE2380" s="233"/>
      <c r="AF2380" s="54"/>
      <c r="AG2380" s="54"/>
      <c r="AH2380" s="54"/>
      <c r="AI2380" s="55" t="str">
        <f t="shared" si="224"/>
        <v/>
      </c>
      <c r="AW2380" s="234"/>
      <c r="BP2380" s="11"/>
      <c r="BQ2380" s="11"/>
      <c r="BV2380" s="158"/>
      <c r="BY2380" s="158"/>
      <c r="CB2380" s="158"/>
    </row>
    <row r="2381" ht="18.0" hidden="1" customHeight="1">
      <c r="A2381" s="222">
        <f>IFERROR(__xludf.DUMMYFUNCTION("""COMPUTED_VALUE"""),2026.0)</f>
        <v>2026</v>
      </c>
      <c r="B2381" s="221">
        <f>IFERROR(__xludf.DUMMYFUNCTION("""COMPUTED_VALUE"""),1.2431367E7)</f>
        <v>12431367</v>
      </c>
      <c r="C2381" s="222" t="str">
        <f>IFERROR(__xludf.DUMMYFUNCTION("""COMPUTED_VALUE"""),"MDN PT3 TJR-FAD LR DWI WARNA DSNVII")</f>
        <v>MDN PT3 TJR-FAD LR DWI WARNA DSNVII</v>
      </c>
      <c r="D2381" s="222" t="str">
        <f>IFERROR(__xludf.DUMMYFUNCTION("""COMPUTED_VALUE"""),"REGIONAL I")</f>
        <v>REGIONAL I</v>
      </c>
      <c r="E2381" s="222" t="str">
        <f>IFERROR(__xludf.DUMMYFUNCTION("""COMPUTED_VALUE"""),"MEDAN")</f>
        <v>MEDAN</v>
      </c>
      <c r="F2381" s="222" t="str">
        <f>IFERROR(__xludf.DUMMYFUNCTION("""COMPUTED_VALUE"""),"TJR")</f>
        <v>TJR</v>
      </c>
      <c r="G2381" s="222" t="str">
        <f>IFERROR(__xludf.DUMMYFUNCTION("""COMPUTED_VALUE"""),"SUMBAGUT")</f>
        <v>SUMBAGUT</v>
      </c>
      <c r="H2381" s="222" t="str">
        <f>IFERROR(__xludf.DUMMYFUNCTION("""COMPUTED_VALUE"""),"MEDAN")</f>
        <v>MEDAN</v>
      </c>
      <c r="I2381" s="222" t="str">
        <f>IFERROR(__xludf.DUMMYFUNCTION("""COMPUTED_VALUE"""),"Batch 3")</f>
        <v>Batch 3</v>
      </c>
      <c r="J2381" s="225">
        <f>IFERROR(__xludf.DUMMYFUNCTION("""COMPUTED_VALUE"""),4.0)</f>
        <v>4</v>
      </c>
      <c r="K2381" s="224">
        <f>IFERROR(__xludf.DUMMYFUNCTION("""COMPUTED_VALUE"""),32.0)</f>
        <v>32</v>
      </c>
      <c r="L2381" s="226">
        <f>IFERROR(__xludf.DUMMYFUNCTION("""COMPUTED_VALUE"""),954021.0)</f>
        <v>954021</v>
      </c>
      <c r="M2381" s="227">
        <f>IFERROR(__xludf.DUMMYFUNCTION("""COMPUTED_VALUE"""),3.0528647E7)</f>
        <v>30528647</v>
      </c>
      <c r="N2381" s="222" t="str">
        <f>IFERROR(__xludf.DUMMYFUNCTION("""COMPUTED_VALUE"""),"PT NIAGA NUSANTARA DIVA")</f>
        <v>PT NIAGA NUSANTARA DIVA</v>
      </c>
      <c r="O2381" s="222" t="str">
        <f>IFERROR(__xludf.DUMMYFUNCTION("""COMPUTED_VALUE"""),"0. DROP")</f>
        <v>0. DROP</v>
      </c>
      <c r="P2381" s="222" t="str">
        <f>IFERROR(__xludf.DUMMYFUNCTION("""COMPUTED_VALUE"""),"0.3 Feeder Full")</f>
        <v>0.3 Feeder Full</v>
      </c>
      <c r="Q2381" s="222" t="str">
        <f>IFERROR(__xludf.DUMMYFUNCTION("""COMPUTED_VALUE"""),"29/01 feeder habis")</f>
        <v>29/01 feeder habis</v>
      </c>
      <c r="R2381" s="228"/>
      <c r="S2381" s="11"/>
      <c r="T2381" s="11"/>
      <c r="U2381" s="11"/>
      <c r="V2381" s="229"/>
      <c r="W2381" s="229"/>
      <c r="X2381" s="229" t="str">
        <f>IFERROR(__xludf.DUMMYFUNCTION("""COMPUTED_VALUE"""),"BELUM GOLIVE")</f>
        <v>BELUM GOLIVE</v>
      </c>
      <c r="Y2381" s="229"/>
      <c r="Z2381" s="229" t="str">
        <f>IFERROR(__xludf.DUMMYFUNCTION("""COMPUTED_VALUE"""),"#N/A")</f>
        <v>#N/A</v>
      </c>
      <c r="AA2381" s="229"/>
      <c r="AB2381" s="229"/>
      <c r="AC2381" s="229"/>
      <c r="AD2381" s="232"/>
      <c r="AE2381" s="233"/>
      <c r="AF2381" s="54"/>
      <c r="AG2381" s="54"/>
      <c r="AH2381" s="54"/>
      <c r="AI2381" s="55" t="str">
        <f t="shared" si="224"/>
        <v/>
      </c>
      <c r="AW2381" s="234"/>
      <c r="BP2381" s="11"/>
      <c r="BQ2381" s="11"/>
      <c r="BV2381" s="158"/>
      <c r="BY2381" s="158"/>
      <c r="CB2381" s="158"/>
    </row>
    <row r="2382" ht="18.0" hidden="1" customHeight="1">
      <c r="A2382" s="222">
        <f>IFERROR(__xludf.DUMMYFUNCTION("""COMPUTED_VALUE"""),2026.0)</f>
        <v>2026</v>
      </c>
      <c r="B2382" s="221">
        <f>IFERROR(__xludf.DUMMYFUNCTION("""COMPUTED_VALUE"""),1.2596902E7)</f>
        <v>12596902</v>
      </c>
      <c r="C2382" s="222" t="str">
        <f>IFERROR(__xludf.DUMMYFUNCTION("""COMPUTED_VALUE"""),"LPG PT3 JPP BANDAR LAMPUNG_65765 KDT")</f>
        <v>LPG PT3 JPP BANDAR LAMPUNG_65765 KDT</v>
      </c>
      <c r="D2382" s="222" t="str">
        <f>IFERROR(__xludf.DUMMYFUNCTION("""COMPUTED_VALUE"""),"REGIONAL I")</f>
        <v>REGIONAL I</v>
      </c>
      <c r="E2382" s="222" t="str">
        <f>IFERROR(__xludf.DUMMYFUNCTION("""COMPUTED_VALUE"""),"LAMPUNG")</f>
        <v>LAMPUNG</v>
      </c>
      <c r="F2382" s="222" t="str">
        <f>IFERROR(__xludf.DUMMYFUNCTION("""COMPUTED_VALUE"""),"KDT")</f>
        <v>KDT</v>
      </c>
      <c r="G2382" s="222" t="str">
        <f>IFERROR(__xludf.DUMMYFUNCTION("""COMPUTED_VALUE"""),"SUMBAGSEL")</f>
        <v>SUMBAGSEL</v>
      </c>
      <c r="H2382" s="222" t="str">
        <f>IFERROR(__xludf.DUMMYFUNCTION("""COMPUTED_VALUE"""),"LAMPUNG")</f>
        <v>LAMPUNG</v>
      </c>
      <c r="I2382" s="222" t="str">
        <f>IFERROR(__xludf.DUMMYFUNCTION("""COMPUTED_VALUE"""),"Batch 3")</f>
        <v>Batch 3</v>
      </c>
      <c r="J2382" s="225">
        <f>IFERROR(__xludf.DUMMYFUNCTION("""COMPUTED_VALUE"""),5.0)</f>
        <v>5</v>
      </c>
      <c r="K2382" s="224">
        <f>IFERROR(__xludf.DUMMYFUNCTION("""COMPUTED_VALUE"""),40.0)</f>
        <v>40</v>
      </c>
      <c r="L2382" s="226">
        <f>IFERROR(__xludf.DUMMYFUNCTION("""COMPUTED_VALUE"""),950718.0)</f>
        <v>950718</v>
      </c>
      <c r="M2382" s="227">
        <f>IFERROR(__xludf.DUMMYFUNCTION("""COMPUTED_VALUE"""),3.8028713E7)</f>
        <v>38028713</v>
      </c>
      <c r="N2382" s="222" t="str">
        <f>IFERROR(__xludf.DUMMYFUNCTION("""COMPUTED_VALUE"""),"PT BANGTELINDO")</f>
        <v>PT BANGTELINDO</v>
      </c>
      <c r="O2382" s="222" t="str">
        <f>IFERROR(__xludf.DUMMYFUNCTION("""COMPUTED_VALUE"""),"0. DROP")</f>
        <v>0. DROP</v>
      </c>
      <c r="P2382" s="222" t="str">
        <f>IFERROR(__xludf.DUMMYFUNCTION("""COMPUTED_VALUE"""),"0.2 Tidak Dapat Izin Warga/Kades/Lurah/Developer")</f>
        <v>0.2 Tidak Dapat Izin Warga/Kades/Lurah/Developer</v>
      </c>
      <c r="Q2382" s="222" t="str">
        <f>IFERROR(__xludf.DUMMYFUNCTION("""COMPUTED_VALUE"""),"28/1  distribusi ready tpi tidak di izinkan tanam tiang 
23/1 plan anwizing tanggal 26/1")</f>
        <v>28/1  distribusi ready tpi tidak di izinkan tanam tiang 
23/1 plan anwizing tanggal 26/1</v>
      </c>
      <c r="R2382" s="228"/>
      <c r="S2382" s="11"/>
      <c r="T2382" s="11"/>
      <c r="U2382" s="11"/>
      <c r="V2382" s="229"/>
      <c r="W2382" s="229"/>
      <c r="X2382" s="229"/>
      <c r="Y2382" s="229"/>
      <c r="Z2382" s="229" t="str">
        <f>IFERROR(__xludf.DUMMYFUNCTION("""COMPUTED_VALUE"""),"#N/A")</f>
        <v>#N/A</v>
      </c>
      <c r="AA2382" s="229"/>
      <c r="AB2382" s="229"/>
      <c r="AC2382" s="229"/>
      <c r="AD2382" s="232"/>
      <c r="AE2382" s="233"/>
      <c r="AF2382" s="54" t="str">
        <f>IFERROR(__xludf.DUMMYFUNCTION("""COMPUTED_VALUE"""),"Draft BA DROP")</f>
        <v>Draft BA DROP</v>
      </c>
      <c r="AG2382" s="54"/>
      <c r="AH2382" s="54"/>
      <c r="AI2382" s="55" t="str">
        <f t="shared" si="224"/>
        <v/>
      </c>
      <c r="AW2382" s="234"/>
      <c r="BP2382" s="11"/>
      <c r="BQ2382" s="11"/>
      <c r="BV2382" s="158"/>
      <c r="BY2382" s="158"/>
      <c r="CB2382" s="158"/>
    </row>
    <row r="2383" ht="18.0" hidden="1" customHeight="1">
      <c r="A2383" s="222">
        <f>IFERROR(__xludf.DUMMYFUNCTION("""COMPUTED_VALUE"""),2026.0)</f>
        <v>2026</v>
      </c>
      <c r="B2383" s="221">
        <f>IFERROR(__xludf.DUMMYFUNCTION("""COMPUTED_VALUE"""),1.1552561E7)</f>
        <v>11552561</v>
      </c>
      <c r="C2383" s="222" t="str">
        <f>IFERROR(__xludf.DUMMYFUNCTION("""COMPUTED_VALUE"""),"ACH PT3 PRL-FN D04 BR LHOK DALAM")</f>
        <v>ACH PT3 PRL-FN D04 BR LHOK DALAM</v>
      </c>
      <c r="D2383" s="222" t="str">
        <f>IFERROR(__xludf.DUMMYFUNCTION("""COMPUTED_VALUE"""),"REGIONAL I")</f>
        <v>REGIONAL I</v>
      </c>
      <c r="E2383" s="222" t="str">
        <f>IFERROR(__xludf.DUMMYFUNCTION("""COMPUTED_VALUE"""),"ACEH")</f>
        <v>ACEH</v>
      </c>
      <c r="F2383" s="222" t="str">
        <f>IFERROR(__xludf.DUMMYFUNCTION("""COMPUTED_VALUE"""),"PRL")</f>
        <v>PRL</v>
      </c>
      <c r="G2383" s="222" t="str">
        <f>IFERROR(__xludf.DUMMYFUNCTION("""COMPUTED_VALUE"""),"SUMBAGUT")</f>
        <v>SUMBAGUT</v>
      </c>
      <c r="H2383" s="222" t="str">
        <f>IFERROR(__xludf.DUMMYFUNCTION("""COMPUTED_VALUE"""),"BINJAI")</f>
        <v>BINJAI</v>
      </c>
      <c r="I2383" s="222" t="str">
        <f>IFERROR(__xludf.DUMMYFUNCTION("""COMPUTED_VALUE"""),"Batch 3")</f>
        <v>Batch 3</v>
      </c>
      <c r="J2383" s="225">
        <f>IFERROR(__xludf.DUMMYFUNCTION("""COMPUTED_VALUE"""),7.0)</f>
        <v>7</v>
      </c>
      <c r="K2383" s="224">
        <f>IFERROR(__xludf.DUMMYFUNCTION("""COMPUTED_VALUE"""),56.0)</f>
        <v>56</v>
      </c>
      <c r="L2383" s="226">
        <f>IFERROR(__xludf.DUMMYFUNCTION("""COMPUTED_VALUE"""),948214.0)</f>
        <v>948214</v>
      </c>
      <c r="M2383" s="227">
        <f>IFERROR(__xludf.DUMMYFUNCTION("""COMPUTED_VALUE"""),5.309998E7)</f>
        <v>53099980</v>
      </c>
      <c r="N2383" s="222" t="str">
        <f>IFERROR(__xludf.DUMMYFUNCTION("""COMPUTED_VALUE"""),"PT ARA PAYA INTAN")</f>
        <v>PT ARA PAYA INTAN</v>
      </c>
      <c r="O2383" s="222" t="str">
        <f>IFERROR(__xludf.DUMMYFUNCTION("""COMPUTED_VALUE"""),"7. GOLIVE")</f>
        <v>7. GOLIVE</v>
      </c>
      <c r="P2383" s="222" t="str">
        <f>IFERROR(__xludf.DUMMYFUNCTION("""COMPUTED_VALUE"""),"7.2 Golive Full / OA / DONE OTB")</f>
        <v>7.2 Golive Full / OA / DONE OTB</v>
      </c>
      <c r="Q2383" s="222" t="str">
        <f>IFERROR(__xludf.DUMMYFUNCTION("""COMPUTED_VALUE"""),"(07/02) Proses Valins (29/01) progres pemasangan odp (22/01) Penarikan Kabel")</f>
        <v>(07/02) Proses Valins (29/01) progres pemasangan odp (22/01) Penarikan Kabel</v>
      </c>
      <c r="R2383" s="228">
        <f>IFERROR(__xludf.DUMMYFUNCTION("""COMPUTED_VALUE"""),46063.0)</f>
        <v>46063</v>
      </c>
      <c r="S2383" s="11"/>
      <c r="T2383" s="11"/>
      <c r="U2383" s="11" t="str">
        <f>IFERROR(__xludf.DUMMYFUNCTION("""COMPUTED_VALUE"""),"W04-954/2025")</f>
        <v>W04-954/2025</v>
      </c>
      <c r="V2383" s="229"/>
      <c r="W2383" s="229"/>
      <c r="X2383" s="229" t="str">
        <f>IFERROR(__xludf.DUMMYFUNCTION("""COMPUTED_VALUE"""),"GOLIVE")</f>
        <v>GOLIVE</v>
      </c>
      <c r="Y2383" s="229" t="str">
        <f>IFERROR(__xludf.DUMMYFUNCTION("""COMPUTED_VALUE"""),"DONE")</f>
        <v>DONE</v>
      </c>
      <c r="Z2383" s="229" t="str">
        <f>IFERROR(__xludf.DUMMYFUNCTION("""COMPUTED_VALUE"""),"#N/A")</f>
        <v>#N/A</v>
      </c>
      <c r="AA2383" s="229">
        <f>IFERROR(__xludf.DUMMYFUNCTION("""COMPUTED_VALUE"""),4.0)</f>
        <v>4</v>
      </c>
      <c r="AB2383" s="229"/>
      <c r="AC2383" s="229" t="str">
        <f>IFERROR(__xludf.DUMMYFUNCTION("""COMPUTED_VALUE"""),"9088609#9088614")</f>
        <v>9088609#9088614</v>
      </c>
      <c r="AD2383" s="232">
        <f>IFERROR(__xludf.DUMMYFUNCTION("""COMPUTED_VALUE"""),32.0)</f>
        <v>32</v>
      </c>
      <c r="AE2383" s="233">
        <f>IFERROR(__xludf.DUMMYFUNCTION("""COMPUTED_VALUE"""),46063.0)</f>
        <v>46063</v>
      </c>
      <c r="AF2383" s="54"/>
      <c r="AG2383" s="54"/>
      <c r="AH2383" s="54">
        <v>46063.0</v>
      </c>
      <c r="AI2383" s="55">
        <f t="shared" si="224"/>
        <v>0</v>
      </c>
      <c r="AW2383" s="234"/>
      <c r="BP2383" s="11"/>
      <c r="BQ2383" s="11"/>
      <c r="BV2383" s="158"/>
      <c r="BY2383" s="158"/>
      <c r="CB2383" s="158"/>
    </row>
    <row r="2384" ht="18.0" hidden="1" customHeight="1">
      <c r="A2384" s="222">
        <f>IFERROR(__xludf.DUMMYFUNCTION("""COMPUTED_VALUE"""),2026.0)</f>
        <v>2026</v>
      </c>
      <c r="B2384" s="221">
        <f>IFERROR(__xludf.DUMMYFUNCTION("""COMPUTED_VALUE"""),1.2082866E7)</f>
        <v>12082866</v>
      </c>
      <c r="C2384" s="222" t="str">
        <f>IFERROR(__xludf.DUMMYFUNCTION("""COMPUTED_VALUE"""),"ACH PT3 LGS-FAK D06 KOMP CEMARA HIJAU")</f>
        <v>ACH PT3 LGS-FAK D06 KOMP CEMARA HIJAU</v>
      </c>
      <c r="D2384" s="222" t="str">
        <f>IFERROR(__xludf.DUMMYFUNCTION("""COMPUTED_VALUE"""),"REGIONAL I")</f>
        <v>REGIONAL I</v>
      </c>
      <c r="E2384" s="222" t="str">
        <f>IFERROR(__xludf.DUMMYFUNCTION("""COMPUTED_VALUE"""),"ACEH")</f>
        <v>ACEH</v>
      </c>
      <c r="F2384" s="222" t="str">
        <f>IFERROR(__xludf.DUMMYFUNCTION("""COMPUTED_VALUE"""),"LGS")</f>
        <v>LGS</v>
      </c>
      <c r="G2384" s="222" t="str">
        <f>IFERROR(__xludf.DUMMYFUNCTION("""COMPUTED_VALUE"""),"SUMBAGUT")</f>
        <v>SUMBAGUT</v>
      </c>
      <c r="H2384" s="222" t="str">
        <f>IFERROR(__xludf.DUMMYFUNCTION("""COMPUTED_VALUE"""),"BINJAI")</f>
        <v>BINJAI</v>
      </c>
      <c r="I2384" s="222" t="str">
        <f>IFERROR(__xludf.DUMMYFUNCTION("""COMPUTED_VALUE"""),"Batch 3")</f>
        <v>Batch 3</v>
      </c>
      <c r="J2384" s="225">
        <f>IFERROR(__xludf.DUMMYFUNCTION("""COMPUTED_VALUE"""),10.0)</f>
        <v>10</v>
      </c>
      <c r="K2384" s="224">
        <f>IFERROR(__xludf.DUMMYFUNCTION("""COMPUTED_VALUE"""),80.0)</f>
        <v>80</v>
      </c>
      <c r="L2384" s="226">
        <f>IFERROR(__xludf.DUMMYFUNCTION("""COMPUTED_VALUE"""),945204.0)</f>
        <v>945204</v>
      </c>
      <c r="M2384" s="227">
        <f>IFERROR(__xludf.DUMMYFUNCTION("""COMPUTED_VALUE"""),7.5616303E7)</f>
        <v>75616303</v>
      </c>
      <c r="N2384" s="222" t="str">
        <f>IFERROR(__xludf.DUMMYFUNCTION("""COMPUTED_VALUE"""),"PT NURISA JAYA PERKASA")</f>
        <v>PT NURISA JAYA PERKASA</v>
      </c>
      <c r="O2384" s="222" t="str">
        <f>IFERROR(__xludf.DUMMYFUNCTION("""COMPUTED_VALUE"""),"7. GOLIVE")</f>
        <v>7. GOLIVE</v>
      </c>
      <c r="P2384" s="222" t="str">
        <f>IFERROR(__xludf.DUMMYFUNCTION("""COMPUTED_VALUE"""),"7.2 Golive Full / OA / DONE OTB")</f>
        <v>7.2 Golive Full / OA / DONE OTB</v>
      </c>
      <c r="Q2384" s="222" t="str">
        <f>IFERROR(__xludf.DUMMYFUNCTION("""COMPUTED_VALUE"""),"(07/02) ABD Mancore (21/01) Waiting Big OLT STO LGS")</f>
        <v>(07/02) ABD Mancore (21/01) Waiting Big OLT STO LGS</v>
      </c>
      <c r="R2384" s="228">
        <f>IFERROR(__xludf.DUMMYFUNCTION("""COMPUTED_VALUE"""),46061.0)</f>
        <v>46061</v>
      </c>
      <c r="S2384" s="11"/>
      <c r="T2384" s="11"/>
      <c r="U2384" s="11"/>
      <c r="V2384" s="229"/>
      <c r="W2384" s="229"/>
      <c r="X2384" s="229" t="str">
        <f>IFERROR(__xludf.DUMMYFUNCTION("""COMPUTED_VALUE"""),"GOLIVE")</f>
        <v>GOLIVE</v>
      </c>
      <c r="Y2384" s="229" t="str">
        <f>IFERROR(__xludf.DUMMYFUNCTION("""COMPUTED_VALUE"""),"DONE")</f>
        <v>DONE</v>
      </c>
      <c r="Z2384" s="229" t="str">
        <f>IFERROR(__xludf.DUMMYFUNCTION("""COMPUTED_VALUE"""),"#N/A")</f>
        <v>#N/A</v>
      </c>
      <c r="AA2384" s="229">
        <f>IFERROR(__xludf.DUMMYFUNCTION("""COMPUTED_VALUE"""),10.0)</f>
        <v>10</v>
      </c>
      <c r="AB2384" s="229"/>
      <c r="AC2384" s="229" t="str">
        <f>IFERROR(__xludf.DUMMYFUNCTION("""COMPUTED_VALUE"""),"9082687#9082692")</f>
        <v>9082687#9082692</v>
      </c>
      <c r="AD2384" s="232">
        <f>IFERROR(__xludf.DUMMYFUNCTION("""COMPUTED_VALUE"""),80.0)</f>
        <v>80</v>
      </c>
      <c r="AE2384" s="233">
        <f>IFERROR(__xludf.DUMMYFUNCTION("""COMPUTED_VALUE"""),46061.0)</f>
        <v>46061</v>
      </c>
      <c r="AF2384" s="54"/>
      <c r="AG2384" s="54"/>
      <c r="AH2384" s="54">
        <v>46061.0</v>
      </c>
      <c r="AI2384" s="55">
        <f t="shared" si="224"/>
        <v>0</v>
      </c>
      <c r="AW2384" s="234"/>
      <c r="BP2384" s="11"/>
      <c r="BQ2384" s="11"/>
      <c r="BV2384" s="158"/>
      <c r="BY2384" s="158"/>
      <c r="CB2384" s="158"/>
    </row>
    <row r="2385" ht="18.0" hidden="1" customHeight="1">
      <c r="A2385" s="222">
        <f>IFERROR(__xludf.DUMMYFUNCTION("""COMPUTED_VALUE"""),2026.0)</f>
        <v>2026</v>
      </c>
      <c r="B2385" s="221">
        <f>IFERROR(__xludf.DUMMYFUNCTION("""COMPUTED_VALUE"""),1.268119E7)</f>
        <v>12681190</v>
      </c>
      <c r="C2385" s="222" t="str">
        <f>IFERROR(__xludf.DUMMYFUNCTION("""COMPUTED_VALUE"""),"LPG PT3 JPP KOTA METRO_92154 MET")</f>
        <v>LPG PT3 JPP KOTA METRO_92154 MET</v>
      </c>
      <c r="D2385" s="222" t="str">
        <f>IFERROR(__xludf.DUMMYFUNCTION("""COMPUTED_VALUE"""),"REGIONAL I")</f>
        <v>REGIONAL I</v>
      </c>
      <c r="E2385" s="222" t="str">
        <f>IFERROR(__xludf.DUMMYFUNCTION("""COMPUTED_VALUE"""),"LAMPUNG")</f>
        <v>LAMPUNG</v>
      </c>
      <c r="F2385" s="222" t="str">
        <f>IFERROR(__xludf.DUMMYFUNCTION("""COMPUTED_VALUE"""),"MET")</f>
        <v>MET</v>
      </c>
      <c r="G2385" s="222" t="str">
        <f>IFERROR(__xludf.DUMMYFUNCTION("""COMPUTED_VALUE"""),"SUMBAGSEL")</f>
        <v>SUMBAGSEL</v>
      </c>
      <c r="H2385" s="222" t="str">
        <f>IFERROR(__xludf.DUMMYFUNCTION("""COMPUTED_VALUE"""),"LAMPUNG")</f>
        <v>LAMPUNG</v>
      </c>
      <c r="I2385" s="222" t="str">
        <f>IFERROR(__xludf.DUMMYFUNCTION("""COMPUTED_VALUE"""),"Batch 3")</f>
        <v>Batch 3</v>
      </c>
      <c r="J2385" s="225">
        <f>IFERROR(__xludf.DUMMYFUNCTION("""COMPUTED_VALUE"""),5.0)</f>
        <v>5</v>
      </c>
      <c r="K2385" s="224">
        <f>IFERROR(__xludf.DUMMYFUNCTION("""COMPUTED_VALUE"""),40.0)</f>
        <v>40</v>
      </c>
      <c r="L2385" s="226">
        <f>IFERROR(__xludf.DUMMYFUNCTION("""COMPUTED_VALUE"""),941236.0)</f>
        <v>941236</v>
      </c>
      <c r="M2385" s="227">
        <f>IFERROR(__xludf.DUMMYFUNCTION("""COMPUTED_VALUE"""),3.7649426E7)</f>
        <v>37649426</v>
      </c>
      <c r="N2385" s="222" t="str">
        <f>IFERROR(__xludf.DUMMYFUNCTION("""COMPUTED_VALUE"""),"PT FAJAR MITRA KRIDA ABADI")</f>
        <v>PT FAJAR MITRA KRIDA ABADI</v>
      </c>
      <c r="O2385" s="222" t="str">
        <f>IFERROR(__xludf.DUMMYFUNCTION("""COMPUTED_VALUE"""),"0. DROP")</f>
        <v>0. DROP</v>
      </c>
      <c r="P2385" s="222" t="str">
        <f>IFERROR(__xludf.DUMMYFUNCTION("""COMPUTED_VALUE"""),"0.2 Tidak Dapat Izin Warga/Kades/Lurah/Developer")</f>
        <v>0.2 Tidak Dapat Izin Warga/Kades/Lurah/Developer</v>
      </c>
      <c r="Q2385" s="222" t="str">
        <f>IFERROR(__xludf.DUMMYFUNCTION("""COMPUTED_VALUE"""),"6/2 Tidak dapat izin dari lurah")</f>
        <v>6/2 Tidak dapat izin dari lurah</v>
      </c>
      <c r="R2385" s="228"/>
      <c r="S2385" s="11"/>
      <c r="T2385" s="11"/>
      <c r="U2385" s="11"/>
      <c r="V2385" s="229"/>
      <c r="W2385" s="229"/>
      <c r="X2385" s="229"/>
      <c r="Y2385" s="229"/>
      <c r="Z2385" s="229" t="str">
        <f>IFERROR(__xludf.DUMMYFUNCTION("""COMPUTED_VALUE"""),"#N/A")</f>
        <v>#N/A</v>
      </c>
      <c r="AA2385" s="229"/>
      <c r="AB2385" s="229"/>
      <c r="AC2385" s="229"/>
      <c r="AD2385" s="232"/>
      <c r="AE2385" s="233"/>
      <c r="AF2385" s="54" t="str">
        <f>IFERROR(__xludf.DUMMYFUNCTION("""COMPUTED_VALUE"""),"Draft BA DROP")</f>
        <v>Draft BA DROP</v>
      </c>
      <c r="AG2385" s="54"/>
      <c r="AH2385" s="54"/>
      <c r="AI2385" s="55" t="str">
        <f t="shared" si="224"/>
        <v/>
      </c>
      <c r="AW2385" s="234"/>
      <c r="BP2385" s="11"/>
      <c r="BQ2385" s="11"/>
      <c r="BV2385" s="158"/>
      <c r="BY2385" s="158"/>
      <c r="CB2385" s="158"/>
    </row>
    <row r="2386" ht="18.0" hidden="1" customHeight="1">
      <c r="A2386" s="222">
        <f>IFERROR(__xludf.DUMMYFUNCTION("""COMPUTED_VALUE"""),2026.0)</f>
        <v>2026</v>
      </c>
      <c r="B2386" s="221">
        <f>IFERROR(__xludf.DUMMYFUNCTION("""COMPUTED_VALUE"""),1.1536168E7)</f>
        <v>11536168</v>
      </c>
      <c r="C2386" s="222" t="str">
        <f>IFERROR(__xludf.DUMMYFUNCTION("""COMPUTED_VALUE"""),"MDN PT3-PDB-FAE TUNTUNGAN SEJAHTERA2")</f>
        <v>MDN PT3-PDB-FAE TUNTUNGAN SEJAHTERA2</v>
      </c>
      <c r="D2386" s="222" t="str">
        <f>IFERROR(__xludf.DUMMYFUNCTION("""COMPUTED_VALUE"""),"REGIONAL I")</f>
        <v>REGIONAL I</v>
      </c>
      <c r="E2386" s="222" t="str">
        <f>IFERROR(__xludf.DUMMYFUNCTION("""COMPUTED_VALUE"""),"MEDAN")</f>
        <v>MEDAN</v>
      </c>
      <c r="F2386" s="222" t="str">
        <f>IFERROR(__xludf.DUMMYFUNCTION("""COMPUTED_VALUE"""),"TTG")</f>
        <v>TTG</v>
      </c>
      <c r="G2386" s="222" t="str">
        <f>IFERROR(__xludf.DUMMYFUNCTION("""COMPUTED_VALUE"""),"SUMBAGUT")</f>
        <v>SUMBAGUT</v>
      </c>
      <c r="H2386" s="222" t="str">
        <f>IFERROR(__xludf.DUMMYFUNCTION("""COMPUTED_VALUE"""),"MEDAN")</f>
        <v>MEDAN</v>
      </c>
      <c r="I2386" s="222" t="str">
        <f>IFERROR(__xludf.DUMMYFUNCTION("""COMPUTED_VALUE"""),"Batch 3")</f>
        <v>Batch 3</v>
      </c>
      <c r="J2386" s="225">
        <f>IFERROR(__xludf.DUMMYFUNCTION("""COMPUTED_VALUE"""),5.0)</f>
        <v>5</v>
      </c>
      <c r="K2386" s="224">
        <f>IFERROR(__xludf.DUMMYFUNCTION("""COMPUTED_VALUE"""),40.0)</f>
        <v>40</v>
      </c>
      <c r="L2386" s="226">
        <f>IFERROR(__xludf.DUMMYFUNCTION("""COMPUTED_VALUE"""),939666.0)</f>
        <v>939666</v>
      </c>
      <c r="M2386" s="227">
        <f>IFERROR(__xludf.DUMMYFUNCTION("""COMPUTED_VALUE"""),3.7586629E7)</f>
        <v>37586629</v>
      </c>
      <c r="N2386" s="222" t="str">
        <f>IFERROR(__xludf.DUMMYFUNCTION("""COMPUTED_VALUE"""),"SWAKELOLA")</f>
        <v>SWAKELOLA</v>
      </c>
      <c r="O2386" s="222" t="str">
        <f>IFERROR(__xludf.DUMMYFUNCTION("""COMPUTED_VALUE"""),"1. AANWIJZING")</f>
        <v>1. AANWIJZING</v>
      </c>
      <c r="P2386" s="222" t="str">
        <f>IFERROR(__xludf.DUMMYFUNCTION("""COMPUTED_VALUE"""),"1.6 Ongoing Aanwidjzing")</f>
        <v>1.6 Ongoing Aanwidjzing</v>
      </c>
      <c r="Q2386" s="222" t="str">
        <f>IFERROR(__xludf.DUMMYFUNCTION("""COMPUTED_VALUE"""),"20/04 pengukuran ulang core di ODC 02/02 Feeder Tidak Tembus")</f>
        <v>20/04 pengukuran ulang core di ODC 02/02 Feeder Tidak Tembus</v>
      </c>
      <c r="R2386" s="228"/>
      <c r="S2386" s="11"/>
      <c r="T2386" s="11"/>
      <c r="U2386" s="11"/>
      <c r="V2386" s="229"/>
      <c r="W2386" s="229"/>
      <c r="X2386" s="229" t="str">
        <f>IFERROR(__xludf.DUMMYFUNCTION("""COMPUTED_VALUE"""),"BELUM GOLIVE")</f>
        <v>BELUM GOLIVE</v>
      </c>
      <c r="Y2386" s="229"/>
      <c r="Z2386" s="229" t="str">
        <f>IFERROR(__xludf.DUMMYFUNCTION("""COMPUTED_VALUE"""),"#N/A")</f>
        <v>#N/A</v>
      </c>
      <c r="AA2386" s="229"/>
      <c r="AB2386" s="229"/>
      <c r="AC2386" s="229"/>
      <c r="AD2386" s="232"/>
      <c r="AE2386" s="233"/>
      <c r="AF2386" s="54"/>
      <c r="AG2386" s="54"/>
      <c r="AH2386" s="54"/>
      <c r="AI2386" s="55" t="str">
        <f t="shared" si="224"/>
        <v/>
      </c>
      <c r="AW2386" s="234"/>
      <c r="BP2386" s="11"/>
      <c r="BQ2386" s="11"/>
      <c r="BV2386" s="158"/>
      <c r="BY2386" s="158"/>
      <c r="CB2386" s="158"/>
    </row>
    <row r="2387" ht="18.0" hidden="1" customHeight="1">
      <c r="A2387" s="222">
        <f>IFERROR(__xludf.DUMMYFUNCTION("""COMPUTED_VALUE"""),2026.0)</f>
        <v>2026</v>
      </c>
      <c r="B2387" s="221">
        <f>IFERROR(__xludf.DUMMYFUNCTION("""COMPUTED_VALUE"""),1.1189232E7)</f>
        <v>11189232</v>
      </c>
      <c r="C2387" s="222" t="str">
        <f>IFERROR(__xludf.DUMMYFUNCTION("""COMPUTED_VALUE"""),"MDN PT3 P7I10 TJR-FB GG.IKHLAS")</f>
        <v>MDN PT3 P7I10 TJR-FB GG.IKHLAS</v>
      </c>
      <c r="D2387" s="222" t="str">
        <f>IFERROR(__xludf.DUMMYFUNCTION("""COMPUTED_VALUE"""),"REGIONAL I")</f>
        <v>REGIONAL I</v>
      </c>
      <c r="E2387" s="222" t="str">
        <f>IFERROR(__xludf.DUMMYFUNCTION("""COMPUTED_VALUE"""),"MEDAN")</f>
        <v>MEDAN</v>
      </c>
      <c r="F2387" s="222" t="str">
        <f>IFERROR(__xludf.DUMMYFUNCTION("""COMPUTED_VALUE"""),"TJR")</f>
        <v>TJR</v>
      </c>
      <c r="G2387" s="222" t="str">
        <f>IFERROR(__xludf.DUMMYFUNCTION("""COMPUTED_VALUE"""),"SUMBAGUT")</f>
        <v>SUMBAGUT</v>
      </c>
      <c r="H2387" s="222" t="str">
        <f>IFERROR(__xludf.DUMMYFUNCTION("""COMPUTED_VALUE"""),"MEDAN")</f>
        <v>MEDAN</v>
      </c>
      <c r="I2387" s="222" t="str">
        <f>IFERROR(__xludf.DUMMYFUNCTION("""COMPUTED_VALUE"""),"Batch 3")</f>
        <v>Batch 3</v>
      </c>
      <c r="J2387" s="225">
        <f>IFERROR(__xludf.DUMMYFUNCTION("""COMPUTED_VALUE"""),2.0)</f>
        <v>2</v>
      </c>
      <c r="K2387" s="224">
        <f>IFERROR(__xludf.DUMMYFUNCTION("""COMPUTED_VALUE"""),16.0)</f>
        <v>16</v>
      </c>
      <c r="L2387" s="226">
        <f>IFERROR(__xludf.DUMMYFUNCTION("""COMPUTED_VALUE"""),876056.0)</f>
        <v>876056</v>
      </c>
      <c r="M2387" s="227">
        <f>IFERROR(__xludf.DUMMYFUNCTION("""COMPUTED_VALUE"""),1.401689E7)</f>
        <v>14016890</v>
      </c>
      <c r="N2387" s="222" t="str">
        <f>IFERROR(__xludf.DUMMYFUNCTION("""COMPUTED_VALUE"""),"PT UPAYA TEKNIK")</f>
        <v>PT UPAYA TEKNIK</v>
      </c>
      <c r="O2387" s="222" t="str">
        <f>IFERROR(__xludf.DUMMYFUNCTION("""COMPUTED_VALUE"""),"8. UJI TERIMA")</f>
        <v>8. UJI TERIMA</v>
      </c>
      <c r="P2387" s="222" t="str">
        <f>IFERROR(__xludf.DUMMYFUNCTION("""COMPUTED_VALUE"""),"8.1 Proses UT")</f>
        <v>8.1 Proses UT</v>
      </c>
      <c r="Q2387" s="222" t="str">
        <f>IFERROR(__xludf.DUMMYFUNCTION("""COMPUTED_VALUE"""),"09/02 golive sdi")</f>
        <v>09/02 golive sdi</v>
      </c>
      <c r="R2387" s="228">
        <f>IFERROR(__xludf.DUMMYFUNCTION("""COMPUTED_VALUE"""),46062.0)</f>
        <v>46062</v>
      </c>
      <c r="S2387" s="11"/>
      <c r="T2387" s="11"/>
      <c r="U2387" s="11" t="str">
        <f>IFERROR(__xludf.DUMMYFUNCTION("""COMPUTED_VALUE"""),"FALSE")</f>
        <v>FALSE</v>
      </c>
      <c r="V2387" s="229"/>
      <c r="W2387" s="229"/>
      <c r="X2387" s="229" t="str">
        <f>IFERROR(__xludf.DUMMYFUNCTION("""COMPUTED_VALUE"""),"GOLIVE")</f>
        <v>GOLIVE</v>
      </c>
      <c r="Y2387" s="229" t="str">
        <f>IFERROR(__xludf.DUMMYFUNCTION("""COMPUTED_VALUE"""),"DONE")</f>
        <v>DONE</v>
      </c>
      <c r="Z2387" s="229" t="str">
        <f>IFERROR(__xludf.DUMMYFUNCTION("""COMPUTED_VALUE"""),"#N/A")</f>
        <v>#N/A</v>
      </c>
      <c r="AA2387" s="229">
        <f>IFERROR(__xludf.DUMMYFUNCTION("""COMPUTED_VALUE"""),2.0)</f>
        <v>2</v>
      </c>
      <c r="AB2387" s="229"/>
      <c r="AC2387" s="229" t="str">
        <f>IFERROR(__xludf.DUMMYFUNCTION("""COMPUTED_VALUE"""),"9084155#9084160")</f>
        <v>9084155#9084160</v>
      </c>
      <c r="AD2387" s="232">
        <f>IFERROR(__xludf.DUMMYFUNCTION("""COMPUTED_VALUE"""),16.0)</f>
        <v>16</v>
      </c>
      <c r="AE2387" s="233">
        <f>IFERROR(__xludf.DUMMYFUNCTION("""COMPUTED_VALUE"""),46062.0)</f>
        <v>46062</v>
      </c>
      <c r="AF2387" s="54"/>
      <c r="AG2387" s="54"/>
      <c r="AH2387" s="54">
        <v>46062.0</v>
      </c>
      <c r="AI2387" s="55">
        <f t="shared" si="224"/>
        <v>0</v>
      </c>
      <c r="AW2387" s="234"/>
      <c r="BP2387" s="11"/>
      <c r="BQ2387" s="11"/>
      <c r="BV2387" s="158"/>
      <c r="BY2387" s="158"/>
      <c r="CB2387" s="158"/>
    </row>
    <row r="2388" ht="18.0" hidden="1" customHeight="1">
      <c r="A2388" s="222">
        <f>IFERROR(__xludf.DUMMYFUNCTION("""COMPUTED_VALUE"""),2026.0)</f>
        <v>2026</v>
      </c>
      <c r="B2388" s="221">
        <f>IFERROR(__xludf.DUMMYFUNCTION("""COMPUTED_VALUE"""),1.2785401E7)</f>
        <v>12785401</v>
      </c>
      <c r="C2388" s="222" t="str">
        <f>IFERROR(__xludf.DUMMYFUNCTION("""COMPUTED_VALUE"""),"MDN PT3 TMU-FAC 250_1617_1692")</f>
        <v>MDN PT3 TMU-FAC 250_1617_1692</v>
      </c>
      <c r="D2388" s="222" t="str">
        <f>IFERROR(__xludf.DUMMYFUNCTION("""COMPUTED_VALUE"""),"REGIONAL I")</f>
        <v>REGIONAL I</v>
      </c>
      <c r="E2388" s="222" t="str">
        <f>IFERROR(__xludf.DUMMYFUNCTION("""COMPUTED_VALUE"""),"MEDAN")</f>
        <v>MEDAN</v>
      </c>
      <c r="F2388" s="222" t="str">
        <f>IFERROR(__xludf.DUMMYFUNCTION("""COMPUTED_VALUE"""),"TMU")</f>
        <v>TMU</v>
      </c>
      <c r="G2388" s="222" t="str">
        <f>IFERROR(__xludf.DUMMYFUNCTION("""COMPUTED_VALUE"""),"SUMBAGUT")</f>
        <v>SUMBAGUT</v>
      </c>
      <c r="H2388" s="222" t="str">
        <f>IFERROR(__xludf.DUMMYFUNCTION("""COMPUTED_VALUE"""),"MEDAN")</f>
        <v>MEDAN</v>
      </c>
      <c r="I2388" s="222" t="str">
        <f>IFERROR(__xludf.DUMMYFUNCTION("""COMPUTED_VALUE"""),"Batch 3")</f>
        <v>Batch 3</v>
      </c>
      <c r="J2388" s="225">
        <f>IFERROR(__xludf.DUMMYFUNCTION("""COMPUTED_VALUE"""),2.0)</f>
        <v>2</v>
      </c>
      <c r="K2388" s="224">
        <f>IFERROR(__xludf.DUMMYFUNCTION("""COMPUTED_VALUE"""),16.0)</f>
        <v>16</v>
      </c>
      <c r="L2388" s="226">
        <f>IFERROR(__xludf.DUMMYFUNCTION("""COMPUTED_VALUE"""),934442.0)</f>
        <v>934442</v>
      </c>
      <c r="M2388" s="227">
        <f>IFERROR(__xludf.DUMMYFUNCTION("""COMPUTED_VALUE"""),1.4951071E7)</f>
        <v>14951071</v>
      </c>
      <c r="N2388" s="222" t="str">
        <f>IFERROR(__xludf.DUMMYFUNCTION("""COMPUTED_VALUE"""),"PT DUL JAYA TAMA")</f>
        <v>PT DUL JAYA TAMA</v>
      </c>
      <c r="O2388" s="222" t="str">
        <f>IFERROR(__xludf.DUMMYFUNCTION("""COMPUTED_VALUE"""),"0. DROP")</f>
        <v>0. DROP</v>
      </c>
      <c r="P2388" s="222" t="str">
        <f>IFERROR(__xludf.DUMMYFUNCTION("""COMPUTED_VALUE"""),"0.3 Feeder Full")</f>
        <v>0.3 Feeder Full</v>
      </c>
      <c r="Q2388" s="222" t="str">
        <f>IFERROR(__xludf.DUMMYFUNCTION("""COMPUTED_VALUE"""),"08/03 Feeder Penuh 29/01 Done Order, lnjut Aanwidzing")</f>
        <v>08/03 Feeder Penuh 29/01 Done Order, lnjut Aanwidzing</v>
      </c>
      <c r="R2388" s="228"/>
      <c r="S2388" s="11"/>
      <c r="T2388" s="11"/>
      <c r="U2388" s="11"/>
      <c r="V2388" s="229"/>
      <c r="W2388" s="229"/>
      <c r="X2388" s="229" t="str">
        <f>IFERROR(__xludf.DUMMYFUNCTION("""COMPUTED_VALUE"""),"BELUM GOLIVE")</f>
        <v>BELUM GOLIVE</v>
      </c>
      <c r="Y2388" s="229"/>
      <c r="Z2388" s="229" t="str">
        <f>IFERROR(__xludf.DUMMYFUNCTION("""COMPUTED_VALUE"""),"#N/A")</f>
        <v>#N/A</v>
      </c>
      <c r="AA2388" s="229"/>
      <c r="AB2388" s="229"/>
      <c r="AC2388" s="229"/>
      <c r="AD2388" s="232"/>
      <c r="AE2388" s="233"/>
      <c r="AF2388" s="54"/>
      <c r="AG2388" s="54"/>
      <c r="AH2388" s="54"/>
      <c r="AI2388" s="55" t="str">
        <f t="shared" si="224"/>
        <v/>
      </c>
      <c r="AW2388" s="234"/>
      <c r="BP2388" s="11"/>
      <c r="BQ2388" s="11"/>
      <c r="BV2388" s="158"/>
      <c r="BY2388" s="158"/>
      <c r="CB2388" s="158"/>
    </row>
    <row r="2389" ht="18.0" hidden="1" customHeight="1">
      <c r="A2389" s="222">
        <f>IFERROR(__xludf.DUMMYFUNCTION("""COMPUTED_VALUE"""),2026.0)</f>
        <v>2026</v>
      </c>
      <c r="B2389" s="221">
        <f>IFERROR(__xludf.DUMMYFUNCTION("""COMPUTED_VALUE"""),1.2671042E7)</f>
        <v>12671042</v>
      </c>
      <c r="C2389" s="222" t="str">
        <f>IFERROR(__xludf.DUMMYFUNCTION("""COMPUTED_VALUE"""),"LPG PT3 JPP PESAWARAN_1292 LKP")</f>
        <v>LPG PT3 JPP PESAWARAN_1292 LKP</v>
      </c>
      <c r="D2389" s="222" t="str">
        <f>IFERROR(__xludf.DUMMYFUNCTION("""COMPUTED_VALUE"""),"REGIONAL I")</f>
        <v>REGIONAL I</v>
      </c>
      <c r="E2389" s="222" t="str">
        <f>IFERROR(__xludf.DUMMYFUNCTION("""COMPUTED_VALUE"""),"LAMPUNG")</f>
        <v>LAMPUNG</v>
      </c>
      <c r="F2389" s="222" t="str">
        <f>IFERROR(__xludf.DUMMYFUNCTION("""COMPUTED_VALUE"""),"LKP")</f>
        <v>LKP</v>
      </c>
      <c r="G2389" s="222" t="str">
        <f>IFERROR(__xludf.DUMMYFUNCTION("""COMPUTED_VALUE"""),"SUMBAGSEL")</f>
        <v>SUMBAGSEL</v>
      </c>
      <c r="H2389" s="222" t="str">
        <f>IFERROR(__xludf.DUMMYFUNCTION("""COMPUTED_VALUE"""),"LAMPUNG")</f>
        <v>LAMPUNG</v>
      </c>
      <c r="I2389" s="222" t="str">
        <f>IFERROR(__xludf.DUMMYFUNCTION("""COMPUTED_VALUE"""),"Batch 3")</f>
        <v>Batch 3</v>
      </c>
      <c r="J2389" s="225">
        <f>IFERROR(__xludf.DUMMYFUNCTION("""COMPUTED_VALUE"""),2.0)</f>
        <v>2</v>
      </c>
      <c r="K2389" s="224">
        <f>IFERROR(__xludf.DUMMYFUNCTION("""COMPUTED_VALUE"""),16.0)</f>
        <v>16</v>
      </c>
      <c r="L2389" s="226">
        <f>IFERROR(__xludf.DUMMYFUNCTION("""COMPUTED_VALUE"""),930935.0)</f>
        <v>930935</v>
      </c>
      <c r="M2389" s="227">
        <f>IFERROR(__xludf.DUMMYFUNCTION("""COMPUTED_VALUE"""),1.4894958E7)</f>
        <v>14894958</v>
      </c>
      <c r="N2389" s="222" t="str">
        <f>IFERROR(__xludf.DUMMYFUNCTION("""COMPUTED_VALUE"""),"PT SARANA MITRA PERSADA")</f>
        <v>PT SARANA MITRA PERSADA</v>
      </c>
      <c r="O2389" s="222" t="str">
        <f>IFERROR(__xludf.DUMMYFUNCTION("""COMPUTED_VALUE"""),"0. DROP")</f>
        <v>0. DROP</v>
      </c>
      <c r="P2389" s="222" t="str">
        <f>IFERROR(__xludf.DUMMYFUNCTION("""COMPUTED_VALUE"""),"0.2 Tidak Dapat Izin Warga/Kades/Lurah/Developer")</f>
        <v>0.2 Tidak Dapat Izin Warga/Kades/Lurah/Developer</v>
      </c>
      <c r="Q2389" s="222" t="str">
        <f>IFERROR(__xludf.DUMMYFUNCTION("""COMPUTED_VALUE"""),"3/2 lurah meninta surat izin perkim,diskominfo dan tata kota")</f>
        <v>3/2 lurah meninta surat izin perkim,diskominfo dan tata kota</v>
      </c>
      <c r="R2389" s="228"/>
      <c r="S2389" s="11"/>
      <c r="T2389" s="11"/>
      <c r="U2389" s="11"/>
      <c r="V2389" s="229"/>
      <c r="W2389" s="229"/>
      <c r="X2389" s="229"/>
      <c r="Y2389" s="229"/>
      <c r="Z2389" s="229" t="str">
        <f>IFERROR(__xludf.DUMMYFUNCTION("""COMPUTED_VALUE"""),"#N/A")</f>
        <v>#N/A</v>
      </c>
      <c r="AA2389" s="229"/>
      <c r="AB2389" s="229"/>
      <c r="AC2389" s="229"/>
      <c r="AD2389" s="232"/>
      <c r="AE2389" s="233"/>
      <c r="AF2389" s="54" t="str">
        <f>IFERROR(__xludf.DUMMYFUNCTION("""COMPUTED_VALUE"""),"Draft BA DROP")</f>
        <v>Draft BA DROP</v>
      </c>
      <c r="AG2389" s="54"/>
      <c r="AH2389" s="54"/>
      <c r="AI2389" s="55" t="str">
        <f t="shared" si="224"/>
        <v/>
      </c>
      <c r="AW2389" s="234"/>
      <c r="BP2389" s="11"/>
      <c r="BQ2389" s="11"/>
      <c r="BV2389" s="158"/>
      <c r="BY2389" s="158"/>
      <c r="CB2389" s="158"/>
    </row>
    <row r="2390" ht="18.0" hidden="1" customHeight="1">
      <c r="A2390" s="222">
        <f>IFERROR(__xludf.DUMMYFUNCTION("""COMPUTED_VALUE"""),2026.0)</f>
        <v>2026</v>
      </c>
      <c r="B2390" s="221">
        <f>IFERROR(__xludf.DUMMYFUNCTION("""COMPUTED_VALUE"""),1.1450008E7)</f>
        <v>11450008</v>
      </c>
      <c r="C2390" s="222" t="str">
        <f>IFERROR(__xludf.DUMMYFUNCTION("""COMPUTED_VALUE"""),"ACH PT3 LGS-FAG D05 KOMP GRIYA AVINA")</f>
        <v>ACH PT3 LGS-FAG D05 KOMP GRIYA AVINA</v>
      </c>
      <c r="D2390" s="222" t="str">
        <f>IFERROR(__xludf.DUMMYFUNCTION("""COMPUTED_VALUE"""),"REGIONAL I")</f>
        <v>REGIONAL I</v>
      </c>
      <c r="E2390" s="222" t="str">
        <f>IFERROR(__xludf.DUMMYFUNCTION("""COMPUTED_VALUE"""),"ACEH")</f>
        <v>ACEH</v>
      </c>
      <c r="F2390" s="222" t="str">
        <f>IFERROR(__xludf.DUMMYFUNCTION("""COMPUTED_VALUE"""),"LGS")</f>
        <v>LGS</v>
      </c>
      <c r="G2390" s="222" t="str">
        <f>IFERROR(__xludf.DUMMYFUNCTION("""COMPUTED_VALUE"""),"SUMBAGUT")</f>
        <v>SUMBAGUT</v>
      </c>
      <c r="H2390" s="222" t="str">
        <f>IFERROR(__xludf.DUMMYFUNCTION("""COMPUTED_VALUE"""),"BINJAI")</f>
        <v>BINJAI</v>
      </c>
      <c r="I2390" s="222" t="str">
        <f>IFERROR(__xludf.DUMMYFUNCTION("""COMPUTED_VALUE"""),"Batch 3")</f>
        <v>Batch 3</v>
      </c>
      <c r="J2390" s="225">
        <f>IFERROR(__xludf.DUMMYFUNCTION("""COMPUTED_VALUE"""),13.0)</f>
        <v>13</v>
      </c>
      <c r="K2390" s="224">
        <f>IFERROR(__xludf.DUMMYFUNCTION("""COMPUTED_VALUE"""),104.0)</f>
        <v>104</v>
      </c>
      <c r="L2390" s="226">
        <f>IFERROR(__xludf.DUMMYFUNCTION("""COMPUTED_VALUE"""),928400.0)</f>
        <v>928400</v>
      </c>
      <c r="M2390" s="227">
        <f>IFERROR(__xludf.DUMMYFUNCTION("""COMPUTED_VALUE"""),9.6553588E7)</f>
        <v>96553588</v>
      </c>
      <c r="N2390" s="222" t="str">
        <f>IFERROR(__xludf.DUMMYFUNCTION("""COMPUTED_VALUE"""),"PT NURISA JAYA PERKASA")</f>
        <v>PT NURISA JAYA PERKASA</v>
      </c>
      <c r="O2390" s="222" t="str">
        <f>IFERROR(__xludf.DUMMYFUNCTION("""COMPUTED_VALUE"""),"7. GOLIVE")</f>
        <v>7. GOLIVE</v>
      </c>
      <c r="P2390" s="222" t="str">
        <f>IFERROR(__xludf.DUMMYFUNCTION("""COMPUTED_VALUE"""),"7.2 Golive Full / OA / DONE OTB")</f>
        <v>7.2 Golive Full / OA / DONE OTB</v>
      </c>
      <c r="Q2390" s="222" t="str">
        <f>IFERROR(__xludf.DUMMYFUNCTION("""COMPUTED_VALUE"""),"(11/02)pgl (10/02) Validasi ABD Mancore (30/01) proses ABD MANCORE (21/01) Penarikan Kabel (18/01) Tanam Tiang (15/01) Persiapan Instalasi")</f>
        <v>(11/02)pgl (10/02) Validasi ABD Mancore (30/01) proses ABD MANCORE (21/01) Penarikan Kabel (18/01) Tanam Tiang (15/01) Persiapan Instalasi</v>
      </c>
      <c r="R2390" s="228">
        <f>IFERROR(__xludf.DUMMYFUNCTION("""COMPUTED_VALUE"""),46064.0)</f>
        <v>46064</v>
      </c>
      <c r="S2390" s="11"/>
      <c r="T2390" s="11"/>
      <c r="U2390" s="11"/>
      <c r="V2390" s="229"/>
      <c r="W2390" s="229"/>
      <c r="X2390" s="229" t="str">
        <f>IFERROR(__xludf.DUMMYFUNCTION("""COMPUTED_VALUE"""),"GOLIVE")</f>
        <v>GOLIVE</v>
      </c>
      <c r="Y2390" s="229" t="str">
        <f>IFERROR(__xludf.DUMMYFUNCTION("""COMPUTED_VALUE"""),"DONE")</f>
        <v>DONE</v>
      </c>
      <c r="Z2390" s="229" t="str">
        <f>IFERROR(__xludf.DUMMYFUNCTION("""COMPUTED_VALUE"""),"#N/A")</f>
        <v>#N/A</v>
      </c>
      <c r="AA2390" s="229">
        <f>IFERROR(__xludf.DUMMYFUNCTION("""COMPUTED_VALUE"""),13.0)</f>
        <v>13</v>
      </c>
      <c r="AB2390" s="229"/>
      <c r="AC2390" s="229" t="str">
        <f>IFERROR(__xludf.DUMMYFUNCTION("""COMPUTED_VALUE"""),"9093119#9093124")</f>
        <v>9093119#9093124</v>
      </c>
      <c r="AD2390" s="232">
        <f>IFERROR(__xludf.DUMMYFUNCTION("""COMPUTED_VALUE"""),104.0)</f>
        <v>104</v>
      </c>
      <c r="AE2390" s="233">
        <f>IFERROR(__xludf.DUMMYFUNCTION("""COMPUTED_VALUE"""),46064.0)</f>
        <v>46064</v>
      </c>
      <c r="AF2390" s="54"/>
      <c r="AG2390" s="54"/>
      <c r="AH2390" s="54">
        <v>46064.0</v>
      </c>
      <c r="AI2390" s="55">
        <f t="shared" si="224"/>
        <v>0</v>
      </c>
      <c r="AW2390" s="234"/>
      <c r="BP2390" s="11"/>
      <c r="BQ2390" s="11"/>
      <c r="BV2390" s="158"/>
      <c r="BY2390" s="158"/>
      <c r="CB2390" s="158"/>
    </row>
    <row r="2391" ht="18.0" hidden="1" customHeight="1">
      <c r="A2391" s="222">
        <f>IFERROR(__xludf.DUMMYFUNCTION("""COMPUTED_VALUE"""),2026.0)</f>
        <v>2026</v>
      </c>
      <c r="B2391" s="221">
        <f>IFERROR(__xludf.DUMMYFUNCTION("""COMPUTED_VALUE"""),1.2686664E7)</f>
        <v>12686664</v>
      </c>
      <c r="C2391" s="222" t="str">
        <f>IFERROR(__xludf.DUMMYFUNCTION("""COMPUTED_VALUE"""),"LPG PT3 JPPP KOTA METRO_126834 MET")</f>
        <v>LPG PT3 JPPP KOTA METRO_126834 MET</v>
      </c>
      <c r="D2391" s="222" t="str">
        <f>IFERROR(__xludf.DUMMYFUNCTION("""COMPUTED_VALUE"""),"REGIONAL I")</f>
        <v>REGIONAL I</v>
      </c>
      <c r="E2391" s="222" t="str">
        <f>IFERROR(__xludf.DUMMYFUNCTION("""COMPUTED_VALUE"""),"LAMPUNG")</f>
        <v>LAMPUNG</v>
      </c>
      <c r="F2391" s="222" t="str">
        <f>IFERROR(__xludf.DUMMYFUNCTION("""COMPUTED_VALUE"""),"MET")</f>
        <v>MET</v>
      </c>
      <c r="G2391" s="222" t="str">
        <f>IFERROR(__xludf.DUMMYFUNCTION("""COMPUTED_VALUE"""),"SUMBAGSEL")</f>
        <v>SUMBAGSEL</v>
      </c>
      <c r="H2391" s="222" t="str">
        <f>IFERROR(__xludf.DUMMYFUNCTION("""COMPUTED_VALUE"""),"LAMPUNG")</f>
        <v>LAMPUNG</v>
      </c>
      <c r="I2391" s="222" t="str">
        <f>IFERROR(__xludf.DUMMYFUNCTION("""COMPUTED_VALUE"""),"Batch 3")</f>
        <v>Batch 3</v>
      </c>
      <c r="J2391" s="225">
        <f>IFERROR(__xludf.DUMMYFUNCTION("""COMPUTED_VALUE"""),18.0)</f>
        <v>18</v>
      </c>
      <c r="K2391" s="224">
        <f>IFERROR(__xludf.DUMMYFUNCTION("""COMPUTED_VALUE"""),144.0)</f>
        <v>144</v>
      </c>
      <c r="L2391" s="226">
        <f>IFERROR(__xludf.DUMMYFUNCTION("""COMPUTED_VALUE"""),926449.0)</f>
        <v>926449</v>
      </c>
      <c r="M2391" s="227">
        <f>IFERROR(__xludf.DUMMYFUNCTION("""COMPUTED_VALUE"""),1.33408597E8)</f>
        <v>133408597</v>
      </c>
      <c r="N2391" s="222" t="str">
        <f>IFERROR(__xludf.DUMMYFUNCTION("""COMPUTED_VALUE"""),"PT FAJAR MITRA KRIDA ABADI")</f>
        <v>PT FAJAR MITRA KRIDA ABADI</v>
      </c>
      <c r="O2391" s="222" t="str">
        <f>IFERROR(__xludf.DUMMYFUNCTION("""COMPUTED_VALUE"""),"0. DROP")</f>
        <v>0. DROP</v>
      </c>
      <c r="P2391" s="222" t="str">
        <f>IFERROR(__xludf.DUMMYFUNCTION("""COMPUTED_VALUE"""),"0.2 Tidak Dapat Izin Warga/Kades/Lurah/Developer")</f>
        <v>0.2 Tidak Dapat Izin Warga/Kades/Lurah/Developer</v>
      </c>
      <c r="Q2391" s="222" t="str">
        <f>IFERROR(__xludf.DUMMYFUNCTION("""COMPUTED_VALUE"""),"6/2 Tidak dapat izin dari lurah")</f>
        <v>6/2 Tidak dapat izin dari lurah</v>
      </c>
      <c r="R2391" s="228"/>
      <c r="S2391" s="11"/>
      <c r="T2391" s="11"/>
      <c r="U2391" s="11"/>
      <c r="V2391" s="229"/>
      <c r="W2391" s="229"/>
      <c r="X2391" s="229"/>
      <c r="Y2391" s="229"/>
      <c r="Z2391" s="229" t="str">
        <f>IFERROR(__xludf.DUMMYFUNCTION("""COMPUTED_VALUE"""),"#N/A")</f>
        <v>#N/A</v>
      </c>
      <c r="AA2391" s="229"/>
      <c r="AB2391" s="229"/>
      <c r="AC2391" s="229"/>
      <c r="AD2391" s="232"/>
      <c r="AE2391" s="233"/>
      <c r="AF2391" s="54" t="str">
        <f>IFERROR(__xludf.DUMMYFUNCTION("""COMPUTED_VALUE"""),"Draft BA DROP")</f>
        <v>Draft BA DROP</v>
      </c>
      <c r="AG2391" s="54"/>
      <c r="AH2391" s="54"/>
      <c r="AI2391" s="55" t="str">
        <f t="shared" si="224"/>
        <v/>
      </c>
      <c r="AW2391" s="234"/>
      <c r="BP2391" s="11"/>
      <c r="BQ2391" s="11"/>
      <c r="BV2391" s="158"/>
      <c r="BY2391" s="158"/>
      <c r="CB2391" s="158"/>
    </row>
    <row r="2392" ht="18.0" customHeight="1">
      <c r="A2392" s="222">
        <f>IFERROR(__xludf.DUMMYFUNCTION("""COMPUTED_VALUE"""),2026.0)</f>
        <v>2026</v>
      </c>
      <c r="B2392" s="221">
        <f>IFERROR(__xludf.DUMMYFUNCTION("""COMPUTED_VALUE"""),1.2696185E7)</f>
        <v>12696185</v>
      </c>
      <c r="C2392" s="222" t="str">
        <f>IFERROR(__xludf.DUMMYFUNCTION("""COMPUTED_VALUE"""),"SMB-PT3-ODC-PDJ-FE-150361-158716-158721")</f>
        <v>SMB-PT3-ODC-PDJ-FE-150361-158716-158721</v>
      </c>
      <c r="D2392" s="222" t="str">
        <f>IFERROR(__xludf.DUMMYFUNCTION("""COMPUTED_VALUE"""),"REGIONAL I")</f>
        <v>REGIONAL I</v>
      </c>
      <c r="E2392" s="222" t="str">
        <f>IFERROR(__xludf.DUMMYFUNCTION("""COMPUTED_VALUE"""),"SUMBAR")</f>
        <v>SUMBAR</v>
      </c>
      <c r="F2392" s="222" t="str">
        <f>IFERROR(__xludf.DUMMYFUNCTION("""COMPUTED_VALUE"""),"PDJ")</f>
        <v>PDJ</v>
      </c>
      <c r="G2392" s="222" t="str">
        <f>IFERROR(__xludf.DUMMYFUNCTION("""COMPUTED_VALUE"""),"SUMBAGTENG")</f>
        <v>SUMBAGTENG</v>
      </c>
      <c r="H2392" s="222" t="str">
        <f>IFERROR(__xludf.DUMMYFUNCTION("""COMPUTED_VALUE"""),"BUKIT TINGGI")</f>
        <v>BUKIT TINGGI</v>
      </c>
      <c r="I2392" s="222" t="str">
        <f>IFERROR(__xludf.DUMMYFUNCTION("""COMPUTED_VALUE"""),"Batch 3")</f>
        <v>Batch 3</v>
      </c>
      <c r="J2392" s="225">
        <f>IFERROR(__xludf.DUMMYFUNCTION("""COMPUTED_VALUE"""),5.0)</f>
        <v>5</v>
      </c>
      <c r="K2392" s="224">
        <f>IFERROR(__xludf.DUMMYFUNCTION("""COMPUTED_VALUE"""),40.0)</f>
        <v>40</v>
      </c>
      <c r="L2392" s="226">
        <f>IFERROR(__xludf.DUMMYFUNCTION("""COMPUTED_VALUE"""),923760.0)</f>
        <v>923760</v>
      </c>
      <c r="M2392" s="227">
        <f>IFERROR(__xludf.DUMMYFUNCTION("""COMPUTED_VALUE"""),3.6950374E7)</f>
        <v>36950374</v>
      </c>
      <c r="N2392" s="222" t="str">
        <f>IFERROR(__xludf.DUMMYFUNCTION("""COMPUTED_VALUE"""),"PT RATRI PRIMA MANDIRI")</f>
        <v>PT RATRI PRIMA MANDIRI</v>
      </c>
      <c r="O2392" s="222" t="str">
        <f>IFERROR(__xludf.DUMMYFUNCTION("""COMPUTED_VALUE"""),"0. DROP")</f>
        <v>0. DROP</v>
      </c>
      <c r="P2392" s="222" t="str">
        <f>IFERROR(__xludf.DUMMYFUNCTION("""COMPUTED_VALUE"""),"0.3 Feeder Full")</f>
        <v>0.3 Feeder Full</v>
      </c>
      <c r="Q2392" s="222" t="str">
        <f>IFERROR(__xludf.DUMMYFUNCTION("""COMPUTED_VALUE"""),"(03/02) feeder PDJ-FE Full, dan butuh UP ODC 144 ke 288 (29/01) Done aanwijziing  , proses eval")</f>
        <v>(03/02) feeder PDJ-FE Full, dan butuh UP ODC 144 ke 288 (29/01) Done aanwijziing  , proses eval</v>
      </c>
      <c r="R2392" s="228"/>
      <c r="S2392" s="11"/>
      <c r="T2392" s="11"/>
      <c r="U2392" s="11"/>
      <c r="V2392" s="229" t="str">
        <f>IFERROR(__xludf.DUMMYFUNCTION("""COMPUTED_VALUE"""),"M. ARIF HAMADI")</f>
        <v>M. ARIF HAMADI</v>
      </c>
      <c r="W2392" s="229" t="str">
        <f>IFERROR(__xludf.DUMMYFUNCTION("""COMPUTED_VALUE"""),"MELKO NARWADI")</f>
        <v>MELKO NARWADI</v>
      </c>
      <c r="X2392" s="229"/>
      <c r="Y2392" s="229"/>
      <c r="Z2392" s="229" t="str">
        <f>IFERROR(__xludf.DUMMYFUNCTION("""COMPUTED_VALUE"""),"#N/A")</f>
        <v>#N/A</v>
      </c>
      <c r="AA2392" s="229"/>
      <c r="AB2392" s="229"/>
      <c r="AC2392" s="229"/>
      <c r="AD2392" s="232"/>
      <c r="AE2392" s="233"/>
      <c r="AF2392" s="54" t="str">
        <f>IFERROR(__xludf.DUMMYFUNCTION("""COMPUTED_VALUE"""),"Draft BA DROP")</f>
        <v>Draft BA DROP</v>
      </c>
      <c r="AG2392" s="54"/>
      <c r="AH2392" s="54"/>
      <c r="AI2392" s="55" t="str">
        <f t="shared" si="224"/>
        <v/>
      </c>
      <c r="AW2392" s="234"/>
      <c r="BP2392" s="11"/>
      <c r="BQ2392" s="11"/>
      <c r="BV2392" s="158"/>
      <c r="BY2392" s="158"/>
      <c r="CB2392" s="158"/>
    </row>
    <row r="2393" ht="18.0" hidden="1" customHeight="1">
      <c r="A2393" s="222">
        <f>IFERROR(__xludf.DUMMYFUNCTION("""COMPUTED_VALUE"""),2026.0)</f>
        <v>2026</v>
      </c>
      <c r="B2393" s="221">
        <f>IFERROR(__xludf.DUMMYFUNCTION("""COMPUTED_VALUE"""),1.2166091E7)</f>
        <v>12166091</v>
      </c>
      <c r="C2393" s="222" t="str">
        <f>IFERROR(__xludf.DUMMYFUNCTION("""COMPUTED_VALUE"""),"LPG PT3 JPP LAMPUNG SELATAN_127169 KLA")</f>
        <v>LPG PT3 JPP LAMPUNG SELATAN_127169 KLA</v>
      </c>
      <c r="D2393" s="222" t="str">
        <f>IFERROR(__xludf.DUMMYFUNCTION("""COMPUTED_VALUE"""),"REGIONAL I")</f>
        <v>REGIONAL I</v>
      </c>
      <c r="E2393" s="222" t="str">
        <f>IFERROR(__xludf.DUMMYFUNCTION("""COMPUTED_VALUE"""),"LAMPUNG")</f>
        <v>LAMPUNG</v>
      </c>
      <c r="F2393" s="222" t="str">
        <f>IFERROR(__xludf.DUMMYFUNCTION("""COMPUTED_VALUE"""),"KLA")</f>
        <v>KLA</v>
      </c>
      <c r="G2393" s="222" t="str">
        <f>IFERROR(__xludf.DUMMYFUNCTION("""COMPUTED_VALUE"""),"SUMBAGSEL")</f>
        <v>SUMBAGSEL</v>
      </c>
      <c r="H2393" s="222" t="str">
        <f>IFERROR(__xludf.DUMMYFUNCTION("""COMPUTED_VALUE"""),"LAMPUNG")</f>
        <v>LAMPUNG</v>
      </c>
      <c r="I2393" s="222" t="str">
        <f>IFERROR(__xludf.DUMMYFUNCTION("""COMPUTED_VALUE"""),"Batch 3")</f>
        <v>Batch 3</v>
      </c>
      <c r="J2393" s="225">
        <f>IFERROR(__xludf.DUMMYFUNCTION("""COMPUTED_VALUE"""),4.0)</f>
        <v>4</v>
      </c>
      <c r="K2393" s="224">
        <f>IFERROR(__xludf.DUMMYFUNCTION("""COMPUTED_VALUE"""),32.0)</f>
        <v>32</v>
      </c>
      <c r="L2393" s="226">
        <f>IFERROR(__xludf.DUMMYFUNCTION("""COMPUTED_VALUE"""),918174.0)</f>
        <v>918174</v>
      </c>
      <c r="M2393" s="227">
        <f>IFERROR(__xludf.DUMMYFUNCTION("""COMPUTED_VALUE"""),2.9381558E7)</f>
        <v>29381558</v>
      </c>
      <c r="N2393" s="222" t="str">
        <f>IFERROR(__xludf.DUMMYFUNCTION("""COMPUTED_VALUE"""),"PT ACERO CETHA METALINDO")</f>
        <v>PT ACERO CETHA METALINDO</v>
      </c>
      <c r="O2393" s="222" t="str">
        <f>IFERROR(__xludf.DUMMYFUNCTION("""COMPUTED_VALUE"""),"8. UJI TERIMA")</f>
        <v>8. UJI TERIMA</v>
      </c>
      <c r="P2393" s="222" t="str">
        <f>IFERROR(__xludf.DUMMYFUNCTION("""COMPUTED_VALUE"""),"8.1 Proses UT")</f>
        <v>8.1 Proses UT</v>
      </c>
      <c r="Q2393" s="222" t="str">
        <f>IFERROR(__xludf.DUMMYFUNCTION("""COMPUTED_VALUE"""),"23/2 proses golive 20/2 progres jumper dan persiapan valin,  plan golive 22/2
18/2 terminasi  11/2 proses penarikan kabel plan fi 14/2 plan abd+valins 15/2 plan golive 16/2, prepare material 10/2, 
6/2 menunggu keputusan lurah ,estimasi jwbn 9/2 
4/2 menu"&amp;"nggu keputusan lurah ,keputusan 10/2
30/1 prizinan lurah 
23/1 plan anwizing 26/1""")</f>
        <v>23/2 proses golive 20/2 progres jumper dan persiapan valin,  plan golive 22/2
18/2 terminasi  11/2 proses penarikan kabel plan fi 14/2 plan abd+valins 15/2 plan golive 16/2, prepare material 10/2, 
6/2 menunggu keputusan lurah ,estimasi jwbn 9/2 
4/2 menunggu keputusan lurah ,keputusan 10/2
30/1 prizinan lurah 
23/1 plan anwizing 26/1"</v>
      </c>
      <c r="R2393" s="228">
        <f>IFERROR(__xludf.DUMMYFUNCTION("""COMPUTED_VALUE"""),46075.0)</f>
        <v>46075</v>
      </c>
      <c r="S2393" s="11"/>
      <c r="T2393" s="11"/>
      <c r="U2393" s="11" t="str">
        <f>IFERROR(__xludf.DUMMYFUNCTION("""COMPUTED_VALUE"""),"TIF-3786/2026")</f>
        <v>TIF-3786/2026</v>
      </c>
      <c r="V2393" s="229"/>
      <c r="W2393" s="229"/>
      <c r="X2393" s="229" t="str">
        <f>IFERROR(__xludf.DUMMYFUNCTION("""COMPUTED_VALUE"""),"GOLIVE")</f>
        <v>GOLIVE</v>
      </c>
      <c r="Y2393" s="229" t="str">
        <f>IFERROR(__xludf.DUMMYFUNCTION("""COMPUTED_VALUE"""),"DONE")</f>
        <v>DONE</v>
      </c>
      <c r="Z2393" s="229" t="str">
        <f>IFERROR(__xludf.DUMMYFUNCTION("""COMPUTED_VALUE"""),"#N/A")</f>
        <v>#N/A</v>
      </c>
      <c r="AA2393" s="229">
        <f>IFERROR(__xludf.DUMMYFUNCTION("""COMPUTED_VALUE"""),4.0)</f>
        <v>4</v>
      </c>
      <c r="AB2393" s="229"/>
      <c r="AC2393" s="229" t="str">
        <f>IFERROR(__xludf.DUMMYFUNCTION("""COMPUTED_VALUE"""),"9094551#9094557")</f>
        <v>9094551#9094557</v>
      </c>
      <c r="AD2393" s="232">
        <f>IFERROR(__xludf.DUMMYFUNCTION("""COMPUTED_VALUE"""),32.0)</f>
        <v>32</v>
      </c>
      <c r="AE2393" s="233">
        <f>IFERROR(__xludf.DUMMYFUNCTION("""COMPUTED_VALUE"""),46076.0)</f>
        <v>46076</v>
      </c>
      <c r="AF2393" s="54"/>
      <c r="AG2393" s="54"/>
      <c r="AH2393" s="54">
        <v>46075.0</v>
      </c>
      <c r="AI2393" s="55">
        <f t="shared" si="224"/>
        <v>-1</v>
      </c>
      <c r="AW2393" s="234"/>
      <c r="BP2393" s="11"/>
      <c r="BQ2393" s="11"/>
      <c r="BV2393" s="158"/>
      <c r="BY2393" s="158"/>
      <c r="CB2393" s="158"/>
    </row>
    <row r="2394" ht="18.0" hidden="1" customHeight="1">
      <c r="A2394" s="222">
        <f>IFERROR(__xludf.DUMMYFUNCTION("""COMPUTED_VALUE"""),2026.0)</f>
        <v>2026</v>
      </c>
      <c r="B2394" s="221">
        <f>IFERROR(__xludf.DUMMYFUNCTION("""COMPUTED_VALUE"""),1.1346344E7)</f>
        <v>11346344</v>
      </c>
      <c r="C2394" s="222" t="str">
        <f>IFERROR(__xludf.DUMMYFUNCTION("""COMPUTED_VALUE"""),"ACH PT3 TKN-FAU D02 BANDAR BM")</f>
        <v>ACH PT3 TKN-FAU D02 BANDAR BM</v>
      </c>
      <c r="D2394" s="222" t="str">
        <f>IFERROR(__xludf.DUMMYFUNCTION("""COMPUTED_VALUE"""),"REGIONAL I")</f>
        <v>REGIONAL I</v>
      </c>
      <c r="E2394" s="222" t="str">
        <f>IFERROR(__xludf.DUMMYFUNCTION("""COMPUTED_VALUE"""),"ACEH")</f>
        <v>ACEH</v>
      </c>
      <c r="F2394" s="222" t="str">
        <f>IFERROR(__xludf.DUMMYFUNCTION("""COMPUTED_VALUE"""),"TKN")</f>
        <v>TKN</v>
      </c>
      <c r="G2394" s="222" t="str">
        <f>IFERROR(__xludf.DUMMYFUNCTION("""COMPUTED_VALUE"""),"SUMBAGUT")</f>
        <v>SUMBAGUT</v>
      </c>
      <c r="H2394" s="222" t="str">
        <f>IFERROR(__xludf.DUMMYFUNCTION("""COMPUTED_VALUE"""),"BANDA ACEH")</f>
        <v>BANDA ACEH</v>
      </c>
      <c r="I2394" s="222" t="str">
        <f>IFERROR(__xludf.DUMMYFUNCTION("""COMPUTED_VALUE"""),"Batch 3")</f>
        <v>Batch 3</v>
      </c>
      <c r="J2394" s="225">
        <f>IFERROR(__xludf.DUMMYFUNCTION("""COMPUTED_VALUE"""),11.0)</f>
        <v>11</v>
      </c>
      <c r="K2394" s="224">
        <f>IFERROR(__xludf.DUMMYFUNCTION("""COMPUTED_VALUE"""),88.0)</f>
        <v>88</v>
      </c>
      <c r="L2394" s="226">
        <f>IFERROR(__xludf.DUMMYFUNCTION("""COMPUTED_VALUE"""),913816.0)</f>
        <v>913816</v>
      </c>
      <c r="M2394" s="227">
        <f>IFERROR(__xludf.DUMMYFUNCTION("""COMPUTED_VALUE"""),8.0415792E7)</f>
        <v>80415792</v>
      </c>
      <c r="N2394" s="222" t="str">
        <f>IFERROR(__xludf.DUMMYFUNCTION("""COMPUTED_VALUE"""),"PT KANA PRISMA AKSES")</f>
        <v>PT KANA PRISMA AKSES</v>
      </c>
      <c r="O2394" s="222" t="str">
        <f>IFERROR(__xludf.DUMMYFUNCTION("""COMPUTED_VALUE"""),"7. GOLIVE")</f>
        <v>7. GOLIVE</v>
      </c>
      <c r="P2394" s="222" t="str">
        <f>IFERROR(__xludf.DUMMYFUNCTION("""COMPUTED_VALUE"""),"7.2 Golive Full / OA / DONE OTB")</f>
        <v>7.2 Golive Full / OA / DONE OTB</v>
      </c>
      <c r="Q2394" s="222" t="str">
        <f>IFERROR(__xludf.DUMMYFUNCTION("""COMPUTED_VALUE"""),"(10/03) Menunggu Material Ready (03/03) po material  Done Aanwijzing (07/01) Persiapan")</f>
        <v>(10/03) Menunggu Material Ready (03/03) po material  Done Aanwijzing (07/01) Persiapan</v>
      </c>
      <c r="R2394" s="228">
        <f>IFERROR(__xludf.DUMMYFUNCTION("""COMPUTED_VALUE"""),46131.0)</f>
        <v>46131</v>
      </c>
      <c r="S2394" s="11"/>
      <c r="T2394" s="73"/>
      <c r="U2394" s="11"/>
      <c r="V2394" s="229"/>
      <c r="W2394" s="229" t="str">
        <f>IFERROR(__xludf.DUMMYFUNCTION("""COMPUTED_VALUE"""),"#N/A")</f>
        <v>#N/A</v>
      </c>
      <c r="X2394" s="229" t="str">
        <f>IFERROR(__xludf.DUMMYFUNCTION("""COMPUTED_VALUE"""),"GOLIVE")</f>
        <v>GOLIVE</v>
      </c>
      <c r="Y2394" s="229" t="str">
        <f>IFERROR(__xludf.DUMMYFUNCTION("""COMPUTED_VALUE"""),"DONE")</f>
        <v>DONE</v>
      </c>
      <c r="Z2394" s="229" t="str">
        <f>IFERROR(__xludf.DUMMYFUNCTION("""COMPUTED_VALUE"""),"#N/A")</f>
        <v>#N/A</v>
      </c>
      <c r="AA2394" s="229">
        <f>IFERROR(__xludf.DUMMYFUNCTION("""COMPUTED_VALUE"""),16.0)</f>
        <v>16</v>
      </c>
      <c r="AB2394" s="229"/>
      <c r="AC2394" s="229" t="str">
        <f>IFERROR(__xludf.DUMMYFUNCTION("""COMPUTED_VALUE"""),"9268387#9268392")</f>
        <v>9268387#9268392</v>
      </c>
      <c r="AD2394" s="232">
        <f>IFERROR(__xludf.DUMMYFUNCTION("""COMPUTED_VALUE"""),128.0)</f>
        <v>128</v>
      </c>
      <c r="AE2394" s="233">
        <f>IFERROR(__xludf.DUMMYFUNCTION("""COMPUTED_VALUE"""),46126.0)</f>
        <v>46126</v>
      </c>
      <c r="AF2394" s="54"/>
      <c r="AG2394" s="54"/>
      <c r="AH2394" s="54">
        <v>46131.0</v>
      </c>
      <c r="AI2394" s="55">
        <f t="shared" si="224"/>
        <v>5</v>
      </c>
      <c r="AW2394" s="234"/>
      <c r="BP2394" s="11"/>
      <c r="BQ2394" s="11"/>
      <c r="BV2394" s="158"/>
      <c r="BY2394" s="158"/>
      <c r="CB2394" s="158"/>
    </row>
    <row r="2395" ht="18.0" customHeight="1">
      <c r="A2395" s="222">
        <f>IFERROR(__xludf.DUMMYFUNCTION("""COMPUTED_VALUE"""),2026.0)</f>
        <v>2026</v>
      </c>
      <c r="B2395" s="221">
        <f>IFERROR(__xludf.DUMMYFUNCTION("""COMPUTED_VALUE"""),1.2815613E7)</f>
        <v>12815613</v>
      </c>
      <c r="C2395" s="222" t="str">
        <f>IFERROR(__xludf.DUMMYFUNCTION("""COMPUTED_VALUE"""),"SMB-PT3-ODC-PUK-FB-PAR-39453 - 4LOP")</f>
        <v>SMB-PT3-ODC-PUK-FB-PAR-39453 - 4LOP</v>
      </c>
      <c r="D2395" s="222" t="str">
        <f>IFERROR(__xludf.DUMMYFUNCTION("""COMPUTED_VALUE"""),"REGIONAL I")</f>
        <v>REGIONAL I</v>
      </c>
      <c r="E2395" s="222" t="str">
        <f>IFERROR(__xludf.DUMMYFUNCTION("""COMPUTED_VALUE"""),"SUMBAR")</f>
        <v>SUMBAR</v>
      </c>
      <c r="F2395" s="222" t="str">
        <f>IFERROR(__xludf.DUMMYFUNCTION("""COMPUTED_VALUE"""),"PUK")</f>
        <v>PUK</v>
      </c>
      <c r="G2395" s="222" t="str">
        <f>IFERROR(__xludf.DUMMYFUNCTION("""COMPUTED_VALUE"""),"SUMBAGTENG")</f>
        <v>SUMBAGTENG</v>
      </c>
      <c r="H2395" s="222" t="str">
        <f>IFERROR(__xludf.DUMMYFUNCTION("""COMPUTED_VALUE"""),"BUKIT TINGGI")</f>
        <v>BUKIT TINGGI</v>
      </c>
      <c r="I2395" s="222" t="str">
        <f>IFERROR(__xludf.DUMMYFUNCTION("""COMPUTED_VALUE"""),"Batch 3")</f>
        <v>Batch 3</v>
      </c>
      <c r="J2395" s="225">
        <f>IFERROR(__xludf.DUMMYFUNCTION("""COMPUTED_VALUE"""),10.0)</f>
        <v>10</v>
      </c>
      <c r="K2395" s="224">
        <f>IFERROR(__xludf.DUMMYFUNCTION("""COMPUTED_VALUE"""),80.0)</f>
        <v>80</v>
      </c>
      <c r="L2395" s="226">
        <f>IFERROR(__xludf.DUMMYFUNCTION("""COMPUTED_VALUE"""),911940.0)</f>
        <v>911940</v>
      </c>
      <c r="M2395" s="227">
        <f>IFERROR(__xludf.DUMMYFUNCTION("""COMPUTED_VALUE"""),7.2955179E7)</f>
        <v>72955179</v>
      </c>
      <c r="N2395" s="222" t="str">
        <f>IFERROR(__xludf.DUMMYFUNCTION("""COMPUTED_VALUE"""),"PT PUTRI JAYA AKSES")</f>
        <v>PT PUTRI JAYA AKSES</v>
      </c>
      <c r="O2395" s="222" t="str">
        <f>IFERROR(__xludf.DUMMYFUNCTION("""COMPUTED_VALUE"""),"8. UJI TERIMA")</f>
        <v>8. UJI TERIMA</v>
      </c>
      <c r="P2395" s="222" t="str">
        <f>IFERROR(__xludf.DUMMYFUNCTION("""COMPUTED_VALUE"""),"8.1 Proses UT")</f>
        <v>8.1 Proses UT</v>
      </c>
      <c r="Q2395" s="222" t="str">
        <f>IFERROR(__xludf.DUMMYFUNCTION("""COMPUTED_VALUE"""),"(18/02) Done submit  ke SDI, UT 18/02 (02/02) Proses Create PID (29/01) Done aanwijziing  , proses eval")</f>
        <v>(18/02) Done submit  ke SDI, UT 18/02 (02/02) Proses Create PID (29/01) Done aanwijziing  , proses eval</v>
      </c>
      <c r="R2395" s="228">
        <f>IFERROR(__xludf.DUMMYFUNCTION("""COMPUTED_VALUE"""),46071.0)</f>
        <v>46071</v>
      </c>
      <c r="S2395" s="11"/>
      <c r="T2395" s="11"/>
      <c r="U2395" s="11" t="str">
        <f>IFERROR(__xludf.DUMMYFUNCTION("""COMPUTED_VALUE"""),"TIF-3063/2026 26KT03R158-0045")</f>
        <v>TIF-3063/2026 26KT03R158-0045</v>
      </c>
      <c r="V2395" s="229" t="str">
        <f>IFERROR(__xludf.DUMMYFUNCTION("""COMPUTED_VALUE"""),"JANUAR RIZAL")</f>
        <v>JANUAR RIZAL</v>
      </c>
      <c r="W2395" s="229" t="str">
        <f>IFERROR(__xludf.DUMMYFUNCTION("""COMPUTED_VALUE"""),"MELKO NARWADI")</f>
        <v>MELKO NARWADI</v>
      </c>
      <c r="X2395" s="229" t="str">
        <f>IFERROR(__xludf.DUMMYFUNCTION("""COMPUTED_VALUE"""),"GOLIVE")</f>
        <v>GOLIVE</v>
      </c>
      <c r="Y2395" s="229" t="str">
        <f>IFERROR(__xludf.DUMMYFUNCTION("""COMPUTED_VALUE"""),"DONE")</f>
        <v>DONE</v>
      </c>
      <c r="Z2395" s="229" t="str">
        <f>IFERROR(__xludf.DUMMYFUNCTION("""COMPUTED_VALUE"""),"#N/A")</f>
        <v>#N/A</v>
      </c>
      <c r="AA2395" s="229">
        <f>IFERROR(__xludf.DUMMYFUNCTION("""COMPUTED_VALUE"""),6.0)</f>
        <v>6</v>
      </c>
      <c r="AB2395" s="229"/>
      <c r="AC2395" s="229" t="str">
        <f>IFERROR(__xludf.DUMMYFUNCTION("""COMPUTED_VALUE"""),"9123442#9123447")</f>
        <v>9123442#9123447</v>
      </c>
      <c r="AD2395" s="232">
        <f>IFERROR(__xludf.DUMMYFUNCTION("""COMPUTED_VALUE"""),48.0)</f>
        <v>48</v>
      </c>
      <c r="AE2395" s="233">
        <f>IFERROR(__xludf.DUMMYFUNCTION("""COMPUTED_VALUE"""),46073.0)</f>
        <v>46073</v>
      </c>
      <c r="AF2395" s="54"/>
      <c r="AG2395" s="54"/>
      <c r="AH2395" s="54">
        <v>46071.0</v>
      </c>
      <c r="AI2395" s="55">
        <f t="shared" si="224"/>
        <v>-2</v>
      </c>
      <c r="AW2395" s="234"/>
      <c r="BP2395" s="11"/>
      <c r="BQ2395" s="11"/>
      <c r="BV2395" s="158"/>
      <c r="BY2395" s="158"/>
      <c r="CB2395" s="158"/>
    </row>
    <row r="2396" ht="18.0" hidden="1" customHeight="1">
      <c r="A2396" s="222">
        <f>IFERROR(__xludf.DUMMYFUNCTION("""COMPUTED_VALUE"""),2026.0)</f>
        <v>2026</v>
      </c>
      <c r="B2396" s="221">
        <f>IFERROR(__xludf.DUMMYFUNCTION("""COMPUTED_VALUE"""),1.2796253E7)</f>
        <v>12796253</v>
      </c>
      <c r="C2396" s="222" t="str">
        <f>IFERROR(__xludf.DUMMYFUNCTION("""COMPUTED_VALUE"""),"MDN PT3 TMU-FE 250_1605_1696")</f>
        <v>MDN PT3 TMU-FE 250_1605_1696</v>
      </c>
      <c r="D2396" s="222" t="str">
        <f>IFERROR(__xludf.DUMMYFUNCTION("""COMPUTED_VALUE"""),"REGIONAL I")</f>
        <v>REGIONAL I</v>
      </c>
      <c r="E2396" s="222" t="str">
        <f>IFERROR(__xludf.DUMMYFUNCTION("""COMPUTED_VALUE"""),"MEDAN")</f>
        <v>MEDAN</v>
      </c>
      <c r="F2396" s="222" t="str">
        <f>IFERROR(__xludf.DUMMYFUNCTION("""COMPUTED_VALUE"""),"TMU")</f>
        <v>TMU</v>
      </c>
      <c r="G2396" s="222" t="str">
        <f>IFERROR(__xludf.DUMMYFUNCTION("""COMPUTED_VALUE"""),"SUMBAGUT")</f>
        <v>SUMBAGUT</v>
      </c>
      <c r="H2396" s="222" t="str">
        <f>IFERROR(__xludf.DUMMYFUNCTION("""COMPUTED_VALUE"""),"MEDAN")</f>
        <v>MEDAN</v>
      </c>
      <c r="I2396" s="222" t="str">
        <f>IFERROR(__xludf.DUMMYFUNCTION("""COMPUTED_VALUE"""),"Batch 3")</f>
        <v>Batch 3</v>
      </c>
      <c r="J2396" s="225">
        <f>IFERROR(__xludf.DUMMYFUNCTION("""COMPUTED_VALUE"""),4.0)</f>
        <v>4</v>
      </c>
      <c r="K2396" s="224">
        <f>IFERROR(__xludf.DUMMYFUNCTION("""COMPUTED_VALUE"""),32.0)</f>
        <v>32</v>
      </c>
      <c r="L2396" s="226">
        <f>IFERROR(__xludf.DUMMYFUNCTION("""COMPUTED_VALUE"""),911462.0)</f>
        <v>911462</v>
      </c>
      <c r="M2396" s="227">
        <f>IFERROR(__xludf.DUMMYFUNCTION("""COMPUTED_VALUE"""),2.9166771E7)</f>
        <v>29166771</v>
      </c>
      <c r="N2396" s="222" t="str">
        <f>IFERROR(__xludf.DUMMYFUNCTION("""COMPUTED_VALUE"""),"SWAKELOLA")</f>
        <v>SWAKELOLA</v>
      </c>
      <c r="O2396" s="222" t="str">
        <f>IFERROR(__xludf.DUMMYFUNCTION("""COMPUTED_VALUE"""),"0. DROP")</f>
        <v>0. DROP</v>
      </c>
      <c r="P2396" s="222" t="str">
        <f>IFERROR(__xludf.DUMMYFUNCTION("""COMPUTED_VALUE"""),"0.3 Feeder Full")</f>
        <v>0.3 Feeder Full</v>
      </c>
      <c r="Q2396" s="222" t="str">
        <f>IFERROR(__xludf.DUMMYFUNCTION("""COMPUTED_VALUE"""),"08/03 Feeder Penuh ")</f>
        <v>08/03 Feeder Penuh </v>
      </c>
      <c r="R2396" s="228"/>
      <c r="S2396" s="11"/>
      <c r="T2396" s="11"/>
      <c r="U2396" s="11"/>
      <c r="V2396" s="229"/>
      <c r="W2396" s="229"/>
      <c r="X2396" s="229" t="str">
        <f>IFERROR(__xludf.DUMMYFUNCTION("""COMPUTED_VALUE"""),"BELUM GOLIVE")</f>
        <v>BELUM GOLIVE</v>
      </c>
      <c r="Y2396" s="229"/>
      <c r="Z2396" s="229" t="str">
        <f>IFERROR(__xludf.DUMMYFUNCTION("""COMPUTED_VALUE"""),"#N/A")</f>
        <v>#N/A</v>
      </c>
      <c r="AA2396" s="229"/>
      <c r="AB2396" s="229"/>
      <c r="AC2396" s="229"/>
      <c r="AD2396" s="232"/>
      <c r="AE2396" s="233"/>
      <c r="AF2396" s="54"/>
      <c r="AG2396" s="54"/>
      <c r="AH2396" s="54"/>
      <c r="AI2396" s="55" t="str">
        <f t="shared" si="224"/>
        <v/>
      </c>
      <c r="AW2396" s="234"/>
      <c r="BP2396" s="11"/>
      <c r="BQ2396" s="11"/>
      <c r="BV2396" s="158"/>
      <c r="BY2396" s="158"/>
      <c r="CB2396" s="158"/>
    </row>
    <row r="2397" ht="18.0" hidden="1" customHeight="1">
      <c r="A2397" s="222">
        <f>IFERROR(__xludf.DUMMYFUNCTION("""COMPUTED_VALUE"""),2026.0)</f>
        <v>2026</v>
      </c>
      <c r="B2397" s="221">
        <f>IFERROR(__xludf.DUMMYFUNCTION("""COMPUTED_VALUE"""),1.1197068E7)</f>
        <v>11197068</v>
      </c>
      <c r="C2397" s="222" t="str">
        <f>IFERROR(__xludf.DUMMYFUNCTION("""COMPUTED_VALUE"""),"MDN PT3 PUB-FCB JL.METEOROLOGI UJUNG")</f>
        <v>MDN PT3 PUB-FCB JL.METEOROLOGI UJUNG</v>
      </c>
      <c r="D2397" s="222" t="str">
        <f>IFERROR(__xludf.DUMMYFUNCTION("""COMPUTED_VALUE"""),"REGIONAL I")</f>
        <v>REGIONAL I</v>
      </c>
      <c r="E2397" s="222" t="str">
        <f>IFERROR(__xludf.DUMMYFUNCTION("""COMPUTED_VALUE"""),"MEDAN")</f>
        <v>MEDAN</v>
      </c>
      <c r="F2397" s="222" t="str">
        <f>IFERROR(__xludf.DUMMYFUNCTION("""COMPUTED_VALUE"""),"PUB")</f>
        <v>PUB</v>
      </c>
      <c r="G2397" s="222" t="str">
        <f>IFERROR(__xludf.DUMMYFUNCTION("""COMPUTED_VALUE"""),"SUMBAGUT")</f>
        <v>SUMBAGUT</v>
      </c>
      <c r="H2397" s="222" t="str">
        <f>IFERROR(__xludf.DUMMYFUNCTION("""COMPUTED_VALUE"""),"MEDAN")</f>
        <v>MEDAN</v>
      </c>
      <c r="I2397" s="222" t="str">
        <f>IFERROR(__xludf.DUMMYFUNCTION("""COMPUTED_VALUE"""),"Batch 3")</f>
        <v>Batch 3</v>
      </c>
      <c r="J2397" s="225">
        <f>IFERROR(__xludf.DUMMYFUNCTION("""COMPUTED_VALUE"""),5.0)</f>
        <v>5</v>
      </c>
      <c r="K2397" s="224">
        <f>IFERROR(__xludf.DUMMYFUNCTION("""COMPUTED_VALUE"""),40.0)</f>
        <v>40</v>
      </c>
      <c r="L2397" s="226">
        <f>IFERROR(__xludf.DUMMYFUNCTION("""COMPUTED_VALUE"""),910277.0)</f>
        <v>910277</v>
      </c>
      <c r="M2397" s="227">
        <f>IFERROR(__xludf.DUMMYFUNCTION("""COMPUTED_VALUE"""),3.6411059E7)</f>
        <v>36411059</v>
      </c>
      <c r="N2397" s="222" t="str">
        <f>IFERROR(__xludf.DUMMYFUNCTION("""COMPUTED_VALUE"""),"PT BENWA  MITRA PRATAMA")</f>
        <v>PT BENWA  MITRA PRATAMA</v>
      </c>
      <c r="O2397" s="222" t="str">
        <f>IFERROR(__xludf.DUMMYFUNCTION("""COMPUTED_VALUE"""),"2. DONE AANWIJZING")</f>
        <v>2. DONE AANWIJZING</v>
      </c>
      <c r="P2397" s="222" t="str">
        <f>IFERROR(__xludf.DUMMYFUNCTION("""COMPUTED_VALUE"""),"2.10 Kendala - Feeder Rusak")</f>
        <v>2.10 Kendala - Feeder Rusak</v>
      </c>
      <c r="Q2397" s="222" t="str">
        <f>IFERROR(__xludf.DUMMYFUNCTION("""COMPUTED_VALUE"""),"13/03 2,4,14,16,17,25,36 tidak tembus sampai STO 10/02 Komitmen Aanwidzing 13/02/2026 08/02 Done Order, lnjut Aanwidzing")</f>
        <v>13/03 2,4,14,16,17,25,36 tidak tembus sampai STO 10/02 Komitmen Aanwidzing 13/02/2026 08/02 Done Order, lnjut Aanwidzing</v>
      </c>
      <c r="R2397" s="228"/>
      <c r="S2397" s="11"/>
      <c r="T2397" s="11"/>
      <c r="U2397" s="11"/>
      <c r="V2397" s="229"/>
      <c r="W2397" s="229"/>
      <c r="X2397" s="229" t="str">
        <f>IFERROR(__xludf.DUMMYFUNCTION("""COMPUTED_VALUE"""),"BELUM GOLIVE")</f>
        <v>BELUM GOLIVE</v>
      </c>
      <c r="Y2397" s="229"/>
      <c r="Z2397" s="229" t="str">
        <f>IFERROR(__xludf.DUMMYFUNCTION("""COMPUTED_VALUE"""),"#N/A")</f>
        <v>#N/A</v>
      </c>
      <c r="AA2397" s="229"/>
      <c r="AB2397" s="229"/>
      <c r="AC2397" s="229"/>
      <c r="AD2397" s="232"/>
      <c r="AE2397" s="233"/>
      <c r="AF2397" s="54"/>
      <c r="AG2397" s="54"/>
      <c r="AH2397" s="54"/>
      <c r="AI2397" s="55" t="str">
        <f t="shared" si="224"/>
        <v/>
      </c>
      <c r="AW2397" s="234"/>
      <c r="BP2397" s="11"/>
      <c r="BQ2397" s="11"/>
      <c r="BV2397" s="158"/>
      <c r="BY2397" s="158"/>
      <c r="CB2397" s="158"/>
    </row>
    <row r="2398" ht="18.0" customHeight="1">
      <c r="A2398" s="222">
        <f>IFERROR(__xludf.DUMMYFUNCTION("""COMPUTED_VALUE"""),2026.0)</f>
        <v>2026</v>
      </c>
      <c r="B2398" s="221">
        <f>IFERROR(__xludf.DUMMYFUNCTION("""COMPUTED_VALUE"""),1.2604308E7)</f>
        <v>12604308</v>
      </c>
      <c r="C2398" s="222" t="str">
        <f>IFERROR(__xludf.DUMMYFUNCTION("""COMPUTED_VALUE"""),"SMB-PT3-ODC-SCC-FA-144199-10LOP")</f>
        <v>SMB-PT3-ODC-SCC-FA-144199-10LOP</v>
      </c>
      <c r="D2398" s="222" t="str">
        <f>IFERROR(__xludf.DUMMYFUNCTION("""COMPUTED_VALUE"""),"REGIONAL I")</f>
        <v>REGIONAL I</v>
      </c>
      <c r="E2398" s="222" t="str">
        <f>IFERROR(__xludf.DUMMYFUNCTION("""COMPUTED_VALUE"""),"SUMBAR")</f>
        <v>SUMBAR</v>
      </c>
      <c r="F2398" s="222" t="str">
        <f>IFERROR(__xludf.DUMMYFUNCTION("""COMPUTED_VALUE"""),"SCC")</f>
        <v>SCC</v>
      </c>
      <c r="G2398" s="222" t="str">
        <f>IFERROR(__xludf.DUMMYFUNCTION("""COMPUTED_VALUE"""),"SUMBAGTENG")</f>
        <v>SUMBAGTENG</v>
      </c>
      <c r="H2398" s="222" t="str">
        <f>IFERROR(__xludf.DUMMYFUNCTION("""COMPUTED_VALUE"""),"BUKIT TINGGI")</f>
        <v>BUKIT TINGGI</v>
      </c>
      <c r="I2398" s="222" t="str">
        <f>IFERROR(__xludf.DUMMYFUNCTION("""COMPUTED_VALUE"""),"Batch 3")</f>
        <v>Batch 3</v>
      </c>
      <c r="J2398" s="225">
        <f>IFERROR(__xludf.DUMMYFUNCTION("""COMPUTED_VALUE"""),21.0)</f>
        <v>21</v>
      </c>
      <c r="K2398" s="224">
        <f>IFERROR(__xludf.DUMMYFUNCTION("""COMPUTED_VALUE"""),168.0)</f>
        <v>168</v>
      </c>
      <c r="L2398" s="226">
        <f>IFERROR(__xludf.DUMMYFUNCTION("""COMPUTED_VALUE"""),906664.0)</f>
        <v>906664</v>
      </c>
      <c r="M2398" s="227">
        <f>IFERROR(__xludf.DUMMYFUNCTION("""COMPUTED_VALUE"""),1.52319437E8)</f>
        <v>152319437</v>
      </c>
      <c r="N2398" s="222" t="str">
        <f>IFERROR(__xludf.DUMMYFUNCTION("""COMPUTED_VALUE"""),"PT TIGA AKSES MANDIRI")</f>
        <v>PT TIGA AKSES MANDIRI</v>
      </c>
      <c r="O2398" s="222" t="str">
        <f>IFERROR(__xludf.DUMMYFUNCTION("""COMPUTED_VALUE"""),"0. DROP")</f>
        <v>0. DROP</v>
      </c>
      <c r="P2398" s="222" t="str">
        <f>IFERROR(__xludf.DUMMYFUNCTION("""COMPUTED_VALUE"""),"0.5 DROP TSEL - Acc ED TIF")</f>
        <v>0.5 DROP TSEL - Acc ED TIF</v>
      </c>
      <c r="Q2398"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2398" s="228"/>
      <c r="S2398" s="11"/>
      <c r="T2398" s="11"/>
      <c r="U2398" s="11"/>
      <c r="V2398" s="229" t="str">
        <f>IFERROR(__xludf.DUMMYFUNCTION("""COMPUTED_VALUE"""),"JANUAR RIZAL")</f>
        <v>JANUAR RIZAL</v>
      </c>
      <c r="W2398" s="229" t="str">
        <f>IFERROR(__xludf.DUMMYFUNCTION("""COMPUTED_VALUE"""),"MELKO NARWADI")</f>
        <v>MELKO NARWADI</v>
      </c>
      <c r="X2398" s="229"/>
      <c r="Y2398" s="229"/>
      <c r="Z2398" s="229" t="str">
        <f>IFERROR(__xludf.DUMMYFUNCTION("""COMPUTED_VALUE"""),"#N/A")</f>
        <v>#N/A</v>
      </c>
      <c r="AA2398" s="229"/>
      <c r="AB2398" s="229"/>
      <c r="AC2398" s="229"/>
      <c r="AD2398" s="232"/>
      <c r="AE2398" s="233"/>
      <c r="AF2398" s="54"/>
      <c r="AG2398" s="54"/>
      <c r="AH2398" s="54"/>
      <c r="AI2398" s="55" t="str">
        <f t="shared" si="224"/>
        <v/>
      </c>
      <c r="AW2398" s="234"/>
      <c r="BP2398" s="11"/>
      <c r="BQ2398" s="11"/>
      <c r="BV2398" s="158"/>
      <c r="BY2398" s="158"/>
      <c r="CB2398" s="158"/>
    </row>
    <row r="2399" ht="18.0" hidden="1" customHeight="1">
      <c r="A2399" s="222">
        <f>IFERROR(__xludf.DUMMYFUNCTION("""COMPUTED_VALUE"""),2026.0)</f>
        <v>2026</v>
      </c>
      <c r="B2399" s="221">
        <f>IFERROR(__xludf.DUMMYFUNCTION("""COMPUTED_VALUE"""),1.2385994E7)</f>
        <v>12385994</v>
      </c>
      <c r="C2399" s="222" t="str">
        <f>IFERROR(__xludf.DUMMYFUNCTION("""COMPUTED_VALUE"""),"ACH PT3 BPD-FA BR.D06 MEUDANG ARA 3")</f>
        <v>ACH PT3 BPD-FA BR.D06 MEUDANG ARA 3</v>
      </c>
      <c r="D2399" s="222" t="str">
        <f>IFERROR(__xludf.DUMMYFUNCTION("""COMPUTED_VALUE"""),"REGIONAL I")</f>
        <v>REGIONAL I</v>
      </c>
      <c r="E2399" s="222" t="str">
        <f>IFERROR(__xludf.DUMMYFUNCTION("""COMPUTED_VALUE"""),"ACEH")</f>
        <v>ACEH</v>
      </c>
      <c r="F2399" s="222" t="str">
        <f>IFERROR(__xludf.DUMMYFUNCTION("""COMPUTED_VALUE"""),"BPD")</f>
        <v>BPD</v>
      </c>
      <c r="G2399" s="222" t="str">
        <f>IFERROR(__xludf.DUMMYFUNCTION("""COMPUTED_VALUE"""),"SUMBAGUT")</f>
        <v>SUMBAGUT</v>
      </c>
      <c r="H2399" s="222" t="str">
        <f>IFERROR(__xludf.DUMMYFUNCTION("""COMPUTED_VALUE"""),"BANDA ACEH")</f>
        <v>BANDA ACEH</v>
      </c>
      <c r="I2399" s="222" t="str">
        <f>IFERROR(__xludf.DUMMYFUNCTION("""COMPUTED_VALUE"""),"Batch 3")</f>
        <v>Batch 3</v>
      </c>
      <c r="J2399" s="225">
        <f>IFERROR(__xludf.DUMMYFUNCTION("""COMPUTED_VALUE"""),2.0)</f>
        <v>2</v>
      </c>
      <c r="K2399" s="224">
        <f>IFERROR(__xludf.DUMMYFUNCTION("""COMPUTED_VALUE"""),16.0)</f>
        <v>16</v>
      </c>
      <c r="L2399" s="226">
        <f>IFERROR(__xludf.DUMMYFUNCTION("""COMPUTED_VALUE"""),906237.0)</f>
        <v>906237</v>
      </c>
      <c r="M2399" s="227">
        <f>IFERROR(__xludf.DUMMYFUNCTION("""COMPUTED_VALUE"""),1.449978E7)</f>
        <v>14499780</v>
      </c>
      <c r="N2399" s="222" t="str">
        <f>IFERROR(__xludf.DUMMYFUNCTION("""COMPUTED_VALUE"""),"PT NIAGA NUSANTARA DIVA")</f>
        <v>PT NIAGA NUSANTARA DIVA</v>
      </c>
      <c r="O2399" s="222" t="str">
        <f>IFERROR(__xludf.DUMMYFUNCTION("""COMPUTED_VALUE"""),"7. GOLIVE")</f>
        <v>7. GOLIVE</v>
      </c>
      <c r="P2399" s="222" t="str">
        <f>IFERROR(__xludf.DUMMYFUNCTION("""COMPUTED_VALUE"""),"7.2 Golive Full / OA / DONE OTB")</f>
        <v>7.2 Golive Full / OA / DONE OTB</v>
      </c>
      <c r="Q2399" s="222" t="str">
        <f>IFERROR(__xludf.DUMMYFUNCTION("""COMPUTED_VALUE"""),"(03/03) Tanam Tiang (09/02) Done Aanwijzing, PO Material")</f>
        <v>(03/03) Tanam Tiang (09/02) Done Aanwijzing, PO Material</v>
      </c>
      <c r="R2399" s="228">
        <f>IFERROR(__xludf.DUMMYFUNCTION("""COMPUTED_VALUE"""),46114.0)</f>
        <v>46114</v>
      </c>
      <c r="S2399" s="11" t="str">
        <f>IFERROR(__xludf.DUMMYFUNCTION("""COMPUTED_VALUE"""),"MAR")</f>
        <v>MAR</v>
      </c>
      <c r="T2399" s="73"/>
      <c r="U2399" s="11"/>
      <c r="V2399" s="229"/>
      <c r="W2399" s="229" t="str">
        <f>IFERROR(__xludf.DUMMYFUNCTION("""COMPUTED_VALUE"""),"#N/A")</f>
        <v>#N/A</v>
      </c>
      <c r="X2399" s="229" t="str">
        <f>IFERROR(__xludf.DUMMYFUNCTION("""COMPUTED_VALUE"""),"GOLIVE")</f>
        <v>GOLIVE</v>
      </c>
      <c r="Y2399" s="229" t="str">
        <f>IFERROR(__xludf.DUMMYFUNCTION("""COMPUTED_VALUE"""),"DONE")</f>
        <v>DONE</v>
      </c>
      <c r="Z2399" s="229" t="str">
        <f>IFERROR(__xludf.DUMMYFUNCTION("""COMPUTED_VALUE"""),"#N/A")</f>
        <v>#N/A</v>
      </c>
      <c r="AA2399" s="229">
        <f>IFERROR(__xludf.DUMMYFUNCTION("""COMPUTED_VALUE"""),2.0)</f>
        <v>2</v>
      </c>
      <c r="AB2399" s="229"/>
      <c r="AC2399" s="229" t="str">
        <f>IFERROR(__xludf.DUMMYFUNCTION("""COMPUTED_VALUE"""),"9233436#9233441")</f>
        <v>9233436#9233441</v>
      </c>
      <c r="AD2399" s="232">
        <f>IFERROR(__xludf.DUMMYFUNCTION("""COMPUTED_VALUE"""),16.0)</f>
        <v>16</v>
      </c>
      <c r="AE2399" s="233">
        <f>IFERROR(__xludf.DUMMYFUNCTION("""COMPUTED_VALUE"""),46114.0)</f>
        <v>46114</v>
      </c>
      <c r="AF2399" s="54"/>
      <c r="AG2399" s="54"/>
      <c r="AH2399" s="54">
        <v>46114.0</v>
      </c>
      <c r="AI2399" s="55">
        <f t="shared" si="224"/>
        <v>0</v>
      </c>
      <c r="AW2399" s="234"/>
      <c r="BP2399" s="11"/>
      <c r="BQ2399" s="11"/>
      <c r="BV2399" s="158"/>
      <c r="BY2399" s="158"/>
      <c r="CB2399" s="158"/>
    </row>
    <row r="2400" ht="18.0" hidden="1" customHeight="1">
      <c r="A2400" s="222">
        <f>IFERROR(__xludf.DUMMYFUNCTION("""COMPUTED_VALUE"""),2026.0)</f>
        <v>2026</v>
      </c>
      <c r="B2400" s="221">
        <f>IFERROR(__xludf.DUMMYFUNCTION("""COMPUTED_VALUE"""),1.282321E7)</f>
        <v>12823210</v>
      </c>
      <c r="C2400" s="222" t="str">
        <f>IFERROR(__xludf.DUMMYFUNCTION("""COMPUTED_VALUE"""),"MDN PT3 TMU-FS 250_1613_1676")</f>
        <v>MDN PT3 TMU-FS 250_1613_1676</v>
      </c>
      <c r="D2400" s="222" t="str">
        <f>IFERROR(__xludf.DUMMYFUNCTION("""COMPUTED_VALUE"""),"REGIONAL I")</f>
        <v>REGIONAL I</v>
      </c>
      <c r="E2400" s="222" t="str">
        <f>IFERROR(__xludf.DUMMYFUNCTION("""COMPUTED_VALUE"""),"MEDAN")</f>
        <v>MEDAN</v>
      </c>
      <c r="F2400" s="222" t="str">
        <f>IFERROR(__xludf.DUMMYFUNCTION("""COMPUTED_VALUE"""),"TMU")</f>
        <v>TMU</v>
      </c>
      <c r="G2400" s="222" t="str">
        <f>IFERROR(__xludf.DUMMYFUNCTION("""COMPUTED_VALUE"""),"SUMBAGUT")</f>
        <v>SUMBAGUT</v>
      </c>
      <c r="H2400" s="222" t="str">
        <f>IFERROR(__xludf.DUMMYFUNCTION("""COMPUTED_VALUE"""),"MEDAN")</f>
        <v>MEDAN</v>
      </c>
      <c r="I2400" s="222" t="str">
        <f>IFERROR(__xludf.DUMMYFUNCTION("""COMPUTED_VALUE"""),"Batch 3")</f>
        <v>Batch 3</v>
      </c>
      <c r="J2400" s="225">
        <f>IFERROR(__xludf.DUMMYFUNCTION("""COMPUTED_VALUE"""),2.0)</f>
        <v>2</v>
      </c>
      <c r="K2400" s="224">
        <f>IFERROR(__xludf.DUMMYFUNCTION("""COMPUTED_VALUE"""),16.0)</f>
        <v>16</v>
      </c>
      <c r="L2400" s="226">
        <f>IFERROR(__xludf.DUMMYFUNCTION("""COMPUTED_VALUE"""),905068.0)</f>
        <v>905068</v>
      </c>
      <c r="M2400" s="227">
        <f>IFERROR(__xludf.DUMMYFUNCTION("""COMPUTED_VALUE"""),1.4481084E7)</f>
        <v>14481084</v>
      </c>
      <c r="N2400" s="222" t="str">
        <f>IFERROR(__xludf.DUMMYFUNCTION("""COMPUTED_VALUE"""),"PT DUL JAYA TAMA")</f>
        <v>PT DUL JAYA TAMA</v>
      </c>
      <c r="O2400" s="222" t="str">
        <f>IFERROR(__xludf.DUMMYFUNCTION("""COMPUTED_VALUE"""),"2. DONE AANWIJZING")</f>
        <v>2. DONE AANWIJZING</v>
      </c>
      <c r="P2400" s="222" t="str">
        <f>IFERROR(__xludf.DUMMYFUNCTION("""COMPUTED_VALUE"""),"2.10 Kendala - Feeder Rusak")</f>
        <v>2.10 Kendala - Feeder Rusak</v>
      </c>
      <c r="Q2400" s="222" t="str">
        <f>IFERROR(__xludf.DUMMYFUNCTION("""COMPUTED_VALUE"""),"21/04 TAKE OVER MITRA DJT")</f>
        <v>21/04 TAKE OVER MITRA DJT</v>
      </c>
      <c r="R2400" s="228"/>
      <c r="S2400" s="11"/>
      <c r="T2400" s="11"/>
      <c r="U2400" s="11"/>
      <c r="V2400" s="229"/>
      <c r="W2400" s="229"/>
      <c r="X2400" s="229" t="str">
        <f>IFERROR(__xludf.DUMMYFUNCTION("""COMPUTED_VALUE"""),"BELUM GOLIVE")</f>
        <v>BELUM GOLIVE</v>
      </c>
      <c r="Y2400" s="229"/>
      <c r="Z2400" s="229" t="str">
        <f>IFERROR(__xludf.DUMMYFUNCTION("""COMPUTED_VALUE"""),"#N/A")</f>
        <v>#N/A</v>
      </c>
      <c r="AA2400" s="229"/>
      <c r="AB2400" s="229"/>
      <c r="AC2400" s="229"/>
      <c r="AD2400" s="232"/>
      <c r="AE2400" s="233"/>
      <c r="AF2400" s="54"/>
      <c r="AG2400" s="54"/>
      <c r="AH2400" s="54"/>
      <c r="AI2400" s="55" t="str">
        <f t="shared" si="224"/>
        <v/>
      </c>
      <c r="AW2400" s="234"/>
      <c r="BP2400" s="11"/>
      <c r="BQ2400" s="11"/>
      <c r="BV2400" s="158"/>
      <c r="BY2400" s="158"/>
      <c r="CB2400" s="158"/>
    </row>
    <row r="2401" ht="18.0" hidden="1" customHeight="1">
      <c r="A2401" s="222">
        <f>IFERROR(__xludf.DUMMYFUNCTION("""COMPUTED_VALUE"""),2026.0)</f>
        <v>2026</v>
      </c>
      <c r="B2401" s="221">
        <f>IFERROR(__xludf.DUMMYFUNCTION("""COMPUTED_VALUE"""),1.2727072E7)</f>
        <v>12727072</v>
      </c>
      <c r="C2401" s="222" t="str">
        <f>IFERROR(__xludf.DUMMYFUNCTION("""COMPUTED_VALUE"""),"LPG PT3 JPP LAMPUNG SELATAN_101063 KDT")</f>
        <v>LPG PT3 JPP LAMPUNG SELATAN_101063 KDT</v>
      </c>
      <c r="D2401" s="222" t="str">
        <f>IFERROR(__xludf.DUMMYFUNCTION("""COMPUTED_VALUE"""),"REGIONAL I")</f>
        <v>REGIONAL I</v>
      </c>
      <c r="E2401" s="222" t="str">
        <f>IFERROR(__xludf.DUMMYFUNCTION("""COMPUTED_VALUE"""),"LAMPUNG")</f>
        <v>LAMPUNG</v>
      </c>
      <c r="F2401" s="222" t="str">
        <f>IFERROR(__xludf.DUMMYFUNCTION("""COMPUTED_VALUE"""),"KDT")</f>
        <v>KDT</v>
      </c>
      <c r="G2401" s="222" t="str">
        <f>IFERROR(__xludf.DUMMYFUNCTION("""COMPUTED_VALUE"""),"SUMBAGSEL")</f>
        <v>SUMBAGSEL</v>
      </c>
      <c r="H2401" s="222" t="str">
        <f>IFERROR(__xludf.DUMMYFUNCTION("""COMPUTED_VALUE"""),"LAMPUNG")</f>
        <v>LAMPUNG</v>
      </c>
      <c r="I2401" s="222" t="str">
        <f>IFERROR(__xludf.DUMMYFUNCTION("""COMPUTED_VALUE"""),"Batch 3")</f>
        <v>Batch 3</v>
      </c>
      <c r="J2401" s="225">
        <f>IFERROR(__xludf.DUMMYFUNCTION("""COMPUTED_VALUE"""),7.0)</f>
        <v>7</v>
      </c>
      <c r="K2401" s="224">
        <f>IFERROR(__xludf.DUMMYFUNCTION("""COMPUTED_VALUE"""),56.0)</f>
        <v>56</v>
      </c>
      <c r="L2401" s="226">
        <f>IFERROR(__xludf.DUMMYFUNCTION("""COMPUTED_VALUE"""),903684.0)</f>
        <v>903684</v>
      </c>
      <c r="M2401" s="227">
        <f>IFERROR(__xludf.DUMMYFUNCTION("""COMPUTED_VALUE"""),5.0606261E7)</f>
        <v>50606261</v>
      </c>
      <c r="N2401" s="222" t="str">
        <f>IFERROR(__xludf.DUMMYFUNCTION("""COMPUTED_VALUE"""),"PT BANGTELINDO")</f>
        <v>PT BANGTELINDO</v>
      </c>
      <c r="O2401" s="222" t="str">
        <f>IFERROR(__xludf.DUMMYFUNCTION("""COMPUTED_VALUE"""),"0. DROP")</f>
        <v>0. DROP</v>
      </c>
      <c r="P2401" s="222" t="str">
        <f>IFERROR(__xludf.DUMMYFUNCTION("""COMPUTED_VALUE"""),"0.2 Tidak Dapat Izin Warga/Kades/Lurah/Developer")</f>
        <v>0.2 Tidak Dapat Izin Warga/Kades/Lurah/Developer</v>
      </c>
      <c r="Q2401" s="222" t="str">
        <f>IFERROR(__xludf.DUMMYFUNCTION("""COMPUTED_VALUE"""),"28/1 distribusi redy tpi tidak di izinkan tanam tiang   plan anwizing tanggal 26/1")</f>
        <v>28/1 distribusi redy tpi tidak di izinkan tanam tiang   plan anwizing tanggal 26/1</v>
      </c>
      <c r="R2401" s="228"/>
      <c r="S2401" s="11"/>
      <c r="T2401" s="11"/>
      <c r="U2401" s="11"/>
      <c r="V2401" s="229"/>
      <c r="W2401" s="229"/>
      <c r="X2401" s="229"/>
      <c r="Y2401" s="229"/>
      <c r="Z2401" s="229" t="str">
        <f>IFERROR(__xludf.DUMMYFUNCTION("""COMPUTED_VALUE"""),"#N/A")</f>
        <v>#N/A</v>
      </c>
      <c r="AA2401" s="229"/>
      <c r="AB2401" s="229"/>
      <c r="AC2401" s="229"/>
      <c r="AD2401" s="232"/>
      <c r="AE2401" s="233"/>
      <c r="AF2401" s="54" t="str">
        <f>IFERROR(__xludf.DUMMYFUNCTION("""COMPUTED_VALUE"""),"Draft BA DROP")</f>
        <v>Draft BA DROP</v>
      </c>
      <c r="AG2401" s="54"/>
      <c r="AH2401" s="54"/>
      <c r="AI2401" s="55" t="str">
        <f t="shared" si="224"/>
        <v/>
      </c>
      <c r="AW2401" s="234"/>
      <c r="BP2401" s="11"/>
      <c r="BQ2401" s="11"/>
      <c r="BV2401" s="158"/>
      <c r="BY2401" s="158"/>
      <c r="CB2401" s="158"/>
    </row>
    <row r="2402" ht="18.0" hidden="1" customHeight="1">
      <c r="A2402" s="222">
        <f>IFERROR(__xludf.DUMMYFUNCTION("""COMPUTED_VALUE"""),2026.0)</f>
        <v>2026</v>
      </c>
      <c r="B2402" s="221">
        <f>IFERROR(__xludf.DUMMYFUNCTION("""COMPUTED_VALUE"""),1.2384123E7)</f>
        <v>12384123</v>
      </c>
      <c r="C2402" s="222" t="str">
        <f>IFERROR(__xludf.DUMMYFUNCTION("""COMPUTED_VALUE"""),"ACH PT3 PRL-FA D04 BR JLN PASIR PUTIH")</f>
        <v>ACH PT3 PRL-FA D04 BR JLN PASIR PUTIH</v>
      </c>
      <c r="D2402" s="222" t="str">
        <f>IFERROR(__xludf.DUMMYFUNCTION("""COMPUTED_VALUE"""),"REGIONAL I")</f>
        <v>REGIONAL I</v>
      </c>
      <c r="E2402" s="222" t="str">
        <f>IFERROR(__xludf.DUMMYFUNCTION("""COMPUTED_VALUE"""),"ACEH")</f>
        <v>ACEH</v>
      </c>
      <c r="F2402" s="222" t="str">
        <f>IFERROR(__xludf.DUMMYFUNCTION("""COMPUTED_VALUE"""),"PRL")</f>
        <v>PRL</v>
      </c>
      <c r="G2402" s="222" t="str">
        <f>IFERROR(__xludf.DUMMYFUNCTION("""COMPUTED_VALUE"""),"SUMBAGUT")</f>
        <v>SUMBAGUT</v>
      </c>
      <c r="H2402" s="222" t="str">
        <f>IFERROR(__xludf.DUMMYFUNCTION("""COMPUTED_VALUE"""),"BINJAI")</f>
        <v>BINJAI</v>
      </c>
      <c r="I2402" s="222" t="str">
        <f>IFERROR(__xludf.DUMMYFUNCTION("""COMPUTED_VALUE"""),"Batch 3")</f>
        <v>Batch 3</v>
      </c>
      <c r="J2402" s="225">
        <f>IFERROR(__xludf.DUMMYFUNCTION("""COMPUTED_VALUE"""),7.0)</f>
        <v>7</v>
      </c>
      <c r="K2402" s="224">
        <f>IFERROR(__xludf.DUMMYFUNCTION("""COMPUTED_VALUE"""),56.0)</f>
        <v>56</v>
      </c>
      <c r="L2402" s="226">
        <f>IFERROR(__xludf.DUMMYFUNCTION("""COMPUTED_VALUE"""),903611.0)</f>
        <v>903611</v>
      </c>
      <c r="M2402" s="227">
        <f>IFERROR(__xludf.DUMMYFUNCTION("""COMPUTED_VALUE"""),5.0602161E7)</f>
        <v>50602161</v>
      </c>
      <c r="N2402" s="222" t="str">
        <f>IFERROR(__xludf.DUMMYFUNCTION("""COMPUTED_VALUE"""),"PT ARA PAYA INTAN")</f>
        <v>PT ARA PAYA INTAN</v>
      </c>
      <c r="O2402" s="222" t="str">
        <f>IFERROR(__xludf.DUMMYFUNCTION("""COMPUTED_VALUE"""),"7. GOLIVE")</f>
        <v>7. GOLIVE</v>
      </c>
      <c r="P2402" s="222" t="str">
        <f>IFERROR(__xludf.DUMMYFUNCTION("""COMPUTED_VALUE"""),"7.2 Golive Full / OA / DONE OTB")</f>
        <v>7.2 Golive Full / OA / DONE OTB</v>
      </c>
      <c r="Q2402" s="222" t="str">
        <f>IFERROR(__xludf.DUMMYFUNCTION("""COMPUTED_VALUE"""),"25/3 golive
(05/03) Penjadwalan CO (14/02) Need Repair Distribusi Existing (07/02) Proses Valins (29/01) pemasangn odp (22/01) Penarikan Kabel (18/01) Tanam Tiang")</f>
        <v>25/3 golive
(05/03) Penjadwalan CO (14/02) Need Repair Distribusi Existing (07/02) Proses Valins (29/01) pemasangn odp (22/01) Penarikan Kabel (18/01) Tanam Tiang</v>
      </c>
      <c r="R2402" s="228">
        <f>IFERROR(__xludf.DUMMYFUNCTION("""COMPUTED_VALUE"""),46112.0)</f>
        <v>46112</v>
      </c>
      <c r="S2402" s="11" t="str">
        <f>IFERROR(__xludf.DUMMYFUNCTION("""COMPUTED_VALUE"""),"MAR")</f>
        <v>MAR</v>
      </c>
      <c r="T2402" s="11"/>
      <c r="U2402" s="11" t="str">
        <f>IFERROR(__xludf.DUMMYFUNCTION("""COMPUTED_VALUE"""),"W04-1131/2025")</f>
        <v>W04-1131/2025</v>
      </c>
      <c r="V2402" s="229"/>
      <c r="W2402" s="229"/>
      <c r="X2402" s="229" t="str">
        <f>IFERROR(__xludf.DUMMYFUNCTION("""COMPUTED_VALUE"""),"GOLIVE")</f>
        <v>GOLIVE</v>
      </c>
      <c r="Y2402" s="229" t="str">
        <f>IFERROR(__xludf.DUMMYFUNCTION("""COMPUTED_VALUE"""),"DONE")</f>
        <v>DONE</v>
      </c>
      <c r="Z2402" s="229" t="str">
        <f>IFERROR(__xludf.DUMMYFUNCTION("""COMPUTED_VALUE"""),"#N/A")</f>
        <v>#N/A</v>
      </c>
      <c r="AA2402" s="229">
        <f>IFERROR(__xludf.DUMMYFUNCTION("""COMPUTED_VALUE"""),7.0)</f>
        <v>7</v>
      </c>
      <c r="AB2402" s="229"/>
      <c r="AC2402" s="229" t="str">
        <f>IFERROR(__xludf.DUMMYFUNCTION("""COMPUTED_VALUE"""),"9200944#9200949")</f>
        <v>9200944#9200949</v>
      </c>
      <c r="AD2402" s="232">
        <f>IFERROR(__xludf.DUMMYFUNCTION("""COMPUTED_VALUE"""),56.0)</f>
        <v>56</v>
      </c>
      <c r="AE2402" s="233">
        <f>IFERROR(__xludf.DUMMYFUNCTION("""COMPUTED_VALUE"""),46106.0)</f>
        <v>46106</v>
      </c>
      <c r="AF2402" s="54"/>
      <c r="AG2402" s="54"/>
      <c r="AH2402" s="54">
        <v>46112.0</v>
      </c>
      <c r="AI2402" s="55">
        <f t="shared" si="224"/>
        <v>6</v>
      </c>
      <c r="AW2402" s="234"/>
      <c r="BP2402" s="11"/>
      <c r="BQ2402" s="11"/>
      <c r="BV2402" s="158"/>
      <c r="BY2402" s="158"/>
      <c r="CB2402" s="158"/>
    </row>
    <row r="2403" ht="18.0" hidden="1" customHeight="1">
      <c r="A2403" s="222">
        <f>IFERROR(__xludf.DUMMYFUNCTION("""COMPUTED_VALUE"""),2026.0)</f>
        <v>2026</v>
      </c>
      <c r="B2403" s="221">
        <f>IFERROR(__xludf.DUMMYFUNCTION("""COMPUTED_VALUE"""),1.243881E7)</f>
        <v>12438810</v>
      </c>
      <c r="C2403" s="222" t="str">
        <f>IFERROR(__xludf.DUMMYFUNCTION("""COMPUTED_VALUE"""),"MDN PT3 TMU-FB KOMP GRIYA SAKINAH_MD25")</f>
        <v>MDN PT3 TMU-FB KOMP GRIYA SAKINAH_MD25</v>
      </c>
      <c r="D2403" s="222" t="str">
        <f>IFERROR(__xludf.DUMMYFUNCTION("""COMPUTED_VALUE"""),"REGIONAL I")</f>
        <v>REGIONAL I</v>
      </c>
      <c r="E2403" s="222" t="str">
        <f>IFERROR(__xludf.DUMMYFUNCTION("""COMPUTED_VALUE"""),"MEDAN")</f>
        <v>MEDAN</v>
      </c>
      <c r="F2403" s="222" t="str">
        <f>IFERROR(__xludf.DUMMYFUNCTION("""COMPUTED_VALUE"""),"TMU")</f>
        <v>TMU</v>
      </c>
      <c r="G2403" s="222" t="str">
        <f>IFERROR(__xludf.DUMMYFUNCTION("""COMPUTED_VALUE"""),"SUMBAGUT")</f>
        <v>SUMBAGUT</v>
      </c>
      <c r="H2403" s="222" t="str">
        <f>IFERROR(__xludf.DUMMYFUNCTION("""COMPUTED_VALUE"""),"MEDAN")</f>
        <v>MEDAN</v>
      </c>
      <c r="I2403" s="222" t="str">
        <f>IFERROR(__xludf.DUMMYFUNCTION("""COMPUTED_VALUE"""),"Batch 3")</f>
        <v>Batch 3</v>
      </c>
      <c r="J2403" s="225">
        <f>IFERROR(__xludf.DUMMYFUNCTION("""COMPUTED_VALUE"""),2.0)</f>
        <v>2</v>
      </c>
      <c r="K2403" s="224">
        <f>IFERROR(__xludf.DUMMYFUNCTION("""COMPUTED_VALUE"""),16.0)</f>
        <v>16</v>
      </c>
      <c r="L2403" s="226">
        <f>IFERROR(__xludf.DUMMYFUNCTION("""COMPUTED_VALUE"""),902463.0)</f>
        <v>902463</v>
      </c>
      <c r="M2403" s="227">
        <f>IFERROR(__xludf.DUMMYFUNCTION("""COMPUTED_VALUE"""),1.4439394E7)</f>
        <v>14439394</v>
      </c>
      <c r="N2403" s="222" t="str">
        <f>IFERROR(__xludf.DUMMYFUNCTION("""COMPUTED_VALUE"""),"PT GLOBAL KARYA WANDA")</f>
        <v>PT GLOBAL KARYA WANDA</v>
      </c>
      <c r="O2403" s="222" t="str">
        <f>IFERROR(__xludf.DUMMYFUNCTION("""COMPUTED_VALUE"""),"0. DROP")</f>
        <v>0. DROP</v>
      </c>
      <c r="P2403" s="222" t="str">
        <f>IFERROR(__xludf.DUMMYFUNCTION("""COMPUTED_VALUE"""),"0.3 Feeder Full")</f>
        <v>0.3 Feeder Full</v>
      </c>
      <c r="Q2403" s="222" t="str">
        <f>IFERROR(__xludf.DUMMYFUNCTION("""COMPUTED_VALUE"""),"09/03 Feeder Penuh 08/03 alih mitra 27/02 done order")</f>
        <v>09/03 Feeder Penuh 08/03 alih mitra 27/02 done order</v>
      </c>
      <c r="R2403" s="228"/>
      <c r="S2403" s="11"/>
      <c r="T2403" s="11"/>
      <c r="U2403" s="11"/>
      <c r="V2403" s="229"/>
      <c r="W2403" s="229"/>
      <c r="X2403" s="229" t="str">
        <f>IFERROR(__xludf.DUMMYFUNCTION("""COMPUTED_VALUE"""),"BELUM GOLIVE")</f>
        <v>BELUM GOLIVE</v>
      </c>
      <c r="Y2403" s="229"/>
      <c r="Z2403" s="229" t="str">
        <f>IFERROR(__xludf.DUMMYFUNCTION("""COMPUTED_VALUE"""),"#N/A")</f>
        <v>#N/A</v>
      </c>
      <c r="AA2403" s="229"/>
      <c r="AB2403" s="229"/>
      <c r="AC2403" s="229"/>
      <c r="AD2403" s="232"/>
      <c r="AE2403" s="233"/>
      <c r="AF2403" s="54"/>
      <c r="AG2403" s="54"/>
      <c r="AH2403" s="54"/>
      <c r="AI2403" s="55" t="str">
        <f t="shared" si="224"/>
        <v/>
      </c>
      <c r="AW2403" s="234"/>
      <c r="BP2403" s="11"/>
      <c r="BQ2403" s="11"/>
      <c r="BV2403" s="158"/>
      <c r="BY2403" s="158"/>
      <c r="CB2403" s="158"/>
    </row>
    <row r="2404" ht="18.0" customHeight="1">
      <c r="A2404" s="222">
        <f>IFERROR(__xludf.DUMMYFUNCTION("""COMPUTED_VALUE"""),2026.0)</f>
        <v>2026</v>
      </c>
      <c r="B2404" s="221">
        <f>IFERROR(__xludf.DUMMYFUNCTION("""COMPUTED_VALUE"""),1.2872357E7)</f>
        <v>12872357</v>
      </c>
      <c r="C2404" s="222" t="str">
        <f>IFERROR(__xludf.DUMMYFUNCTION("""COMPUTED_VALUE"""),"SMB PT3-BGS-FC 250_-475_2428 - 250")</f>
        <v>SMB PT3-BGS-FC 250_-475_2428 - 250</v>
      </c>
      <c r="D2404" s="222" t="str">
        <f>IFERROR(__xludf.DUMMYFUNCTION("""COMPUTED_VALUE"""),"REGIONAL I")</f>
        <v>REGIONAL I</v>
      </c>
      <c r="E2404" s="222" t="str">
        <f>IFERROR(__xludf.DUMMYFUNCTION("""COMPUTED_VALUE"""),"SUMBAR")</f>
        <v>SUMBAR</v>
      </c>
      <c r="F2404" s="222" t="str">
        <f>IFERROR(__xludf.DUMMYFUNCTION("""COMPUTED_VALUE"""),"BGS")</f>
        <v>BGS</v>
      </c>
      <c r="G2404" s="222" t="str">
        <f>IFERROR(__xludf.DUMMYFUNCTION("""COMPUTED_VALUE"""),"SUMBAGTENG")</f>
        <v>SUMBAGTENG</v>
      </c>
      <c r="H2404" s="222" t="str">
        <f>IFERROR(__xludf.DUMMYFUNCTION("""COMPUTED_VALUE"""),"PADANG")</f>
        <v>PADANG</v>
      </c>
      <c r="I2404" s="222" t="str">
        <f>IFERROR(__xludf.DUMMYFUNCTION("""COMPUTED_VALUE"""),"Batch 3")</f>
        <v>Batch 3</v>
      </c>
      <c r="J2404" s="225">
        <f>IFERROR(__xludf.DUMMYFUNCTION("""COMPUTED_VALUE"""),7.0)</f>
        <v>7</v>
      </c>
      <c r="K2404" s="224">
        <f>IFERROR(__xludf.DUMMYFUNCTION("""COMPUTED_VALUE"""),56.0)</f>
        <v>56</v>
      </c>
      <c r="L2404" s="226">
        <f>IFERROR(__xludf.DUMMYFUNCTION("""COMPUTED_VALUE"""),902450.0)</f>
        <v>902450</v>
      </c>
      <c r="M2404" s="227">
        <f>IFERROR(__xludf.DUMMYFUNCTION("""COMPUTED_VALUE"""),5.0537178E7)</f>
        <v>50537178</v>
      </c>
      <c r="N2404" s="222" t="str">
        <f>IFERROR(__xludf.DUMMYFUNCTION("""COMPUTED_VALUE"""),"PT ALAM UTAMA MULIA")</f>
        <v>PT ALAM UTAMA MULIA</v>
      </c>
      <c r="O2404" s="222" t="str">
        <f>IFERROR(__xludf.DUMMYFUNCTION("""COMPUTED_VALUE"""),"8. UJI TERIMA")</f>
        <v>8. UJI TERIMA</v>
      </c>
      <c r="P2404" s="222" t="str">
        <f>IFERROR(__xludf.DUMMYFUNCTION("""COMPUTED_VALUE"""),"8.1 Proses UT")</f>
        <v>8.1 Proses UT</v>
      </c>
      <c r="Q2404" s="222" t="str">
        <f>IFERROR(__xludf.DUMMYFUNCTION("""COMPUTED_VALUE"""),"(18/02) Valins ODP Plan FI 21/02  (04/02) matdel ke site (29/01) Done aanwijziing  , proses eval")</f>
        <v>(18/02) Valins ODP Plan FI 21/02  (04/02) matdel ke site (29/01) Done aanwijziing  , proses eval</v>
      </c>
      <c r="R2404" s="228">
        <f>IFERROR(__xludf.DUMMYFUNCTION("""COMPUTED_VALUE"""),46070.0)</f>
        <v>46070</v>
      </c>
      <c r="S2404" s="11"/>
      <c r="T2404" s="11"/>
      <c r="U2404" s="11" t="str">
        <f>IFERROR(__xludf.DUMMYFUNCTION("""COMPUTED_VALUE"""),"TIF-2623/2026 26KT03R158-0039")</f>
        <v>TIF-2623/2026 26KT03R158-0039</v>
      </c>
      <c r="V2404" s="229" t="str">
        <f>IFERROR(__xludf.DUMMYFUNCTION("""COMPUTED_VALUE"""),"PRAMADIO SEPWILMAN")</f>
        <v>PRAMADIO SEPWILMAN</v>
      </c>
      <c r="W2404" s="229" t="str">
        <f>IFERROR(__xludf.DUMMYFUNCTION("""COMPUTED_VALUE"""),"MELKO NARWADI")</f>
        <v>MELKO NARWADI</v>
      </c>
      <c r="X2404" s="229" t="str">
        <f>IFERROR(__xludf.DUMMYFUNCTION("""COMPUTED_VALUE"""),"GOLIVE")</f>
        <v>GOLIVE</v>
      </c>
      <c r="Y2404" s="229" t="str">
        <f>IFERROR(__xludf.DUMMYFUNCTION("""COMPUTED_VALUE"""),"DONE")</f>
        <v>DONE</v>
      </c>
      <c r="Z2404" s="229" t="str">
        <f>IFERROR(__xludf.DUMMYFUNCTION("""COMPUTED_VALUE"""),"#N/A")</f>
        <v>#N/A</v>
      </c>
      <c r="AA2404" s="229">
        <f>IFERROR(__xludf.DUMMYFUNCTION("""COMPUTED_VALUE"""),8.0)</f>
        <v>8</v>
      </c>
      <c r="AB2404" s="229"/>
      <c r="AC2404" s="229" t="str">
        <f>IFERROR(__xludf.DUMMYFUNCTION("""COMPUTED_VALUE"""),"9131471#9131476")</f>
        <v>9131471#9131476</v>
      </c>
      <c r="AD2404" s="232">
        <f>IFERROR(__xludf.DUMMYFUNCTION("""COMPUTED_VALUE"""),64.0)</f>
        <v>64</v>
      </c>
      <c r="AE2404" s="233">
        <f>IFERROR(__xludf.DUMMYFUNCTION("""COMPUTED_VALUE"""),46077.0)</f>
        <v>46077</v>
      </c>
      <c r="AF2404" s="54"/>
      <c r="AG2404" s="54"/>
      <c r="AH2404" s="54">
        <v>46070.0</v>
      </c>
      <c r="AI2404" s="55">
        <f t="shared" si="224"/>
        <v>-7</v>
      </c>
      <c r="AW2404" s="234"/>
      <c r="BP2404" s="11"/>
      <c r="BQ2404" s="11"/>
      <c r="BV2404" s="158"/>
      <c r="BY2404" s="158"/>
      <c r="CB2404" s="158"/>
    </row>
    <row r="2405" ht="18.0" hidden="1" customHeight="1">
      <c r="A2405" s="222">
        <f>IFERROR(__xludf.DUMMYFUNCTION("""COMPUTED_VALUE"""),2026.0)</f>
        <v>2026</v>
      </c>
      <c r="B2405" s="221">
        <f>IFERROR(__xludf.DUMMYFUNCTION("""COMPUTED_VALUE"""),1.2753192E7)</f>
        <v>12753192</v>
      </c>
      <c r="C2405" s="222" t="str">
        <f>IFERROR(__xludf.DUMMYFUNCTION("""COMPUTED_VALUE"""),"LPG PT3 JPP LAMPUNG TIMUR_109720 MET")</f>
        <v>LPG PT3 JPP LAMPUNG TIMUR_109720 MET</v>
      </c>
      <c r="D2405" s="222" t="str">
        <f>IFERROR(__xludf.DUMMYFUNCTION("""COMPUTED_VALUE"""),"REGIONAL I")</f>
        <v>REGIONAL I</v>
      </c>
      <c r="E2405" s="222" t="str">
        <f>IFERROR(__xludf.DUMMYFUNCTION("""COMPUTED_VALUE"""),"LAMPUNG")</f>
        <v>LAMPUNG</v>
      </c>
      <c r="F2405" s="222" t="str">
        <f>IFERROR(__xludf.DUMMYFUNCTION("""COMPUTED_VALUE"""),"MET")</f>
        <v>MET</v>
      </c>
      <c r="G2405" s="222" t="str">
        <f>IFERROR(__xludf.DUMMYFUNCTION("""COMPUTED_VALUE"""),"SUMBAGSEL")</f>
        <v>SUMBAGSEL</v>
      </c>
      <c r="H2405" s="222" t="str">
        <f>IFERROR(__xludf.DUMMYFUNCTION("""COMPUTED_VALUE"""),"LAMPUNG")</f>
        <v>LAMPUNG</v>
      </c>
      <c r="I2405" s="222" t="str">
        <f>IFERROR(__xludf.DUMMYFUNCTION("""COMPUTED_VALUE"""),"Batch 3")</f>
        <v>Batch 3</v>
      </c>
      <c r="J2405" s="225">
        <f>IFERROR(__xludf.DUMMYFUNCTION("""COMPUTED_VALUE"""),6.0)</f>
        <v>6</v>
      </c>
      <c r="K2405" s="224">
        <f>IFERROR(__xludf.DUMMYFUNCTION("""COMPUTED_VALUE"""),48.0)</f>
        <v>48</v>
      </c>
      <c r="L2405" s="226">
        <f>IFERROR(__xludf.DUMMYFUNCTION("""COMPUTED_VALUE"""),901299.0)</f>
        <v>901299</v>
      </c>
      <c r="M2405" s="227">
        <f>IFERROR(__xludf.DUMMYFUNCTION("""COMPUTED_VALUE"""),4.326234E7)</f>
        <v>43262340</v>
      </c>
      <c r="N2405" s="222" t="str">
        <f>IFERROR(__xludf.DUMMYFUNCTION("""COMPUTED_VALUE"""),"PT FAJAR MITRA KRIDA ABADI")</f>
        <v>PT FAJAR MITRA KRIDA ABADI</v>
      </c>
      <c r="O2405" s="222" t="str">
        <f>IFERROR(__xludf.DUMMYFUNCTION("""COMPUTED_VALUE"""),"0. DROP")</f>
        <v>0. DROP</v>
      </c>
      <c r="P2405" s="222" t="str">
        <f>IFERROR(__xludf.DUMMYFUNCTION("""COMPUTED_VALUE"""),"0.2 Tidak Dapat Izin Warga/Kades/Lurah/Developer")</f>
        <v>0.2 Tidak Dapat Izin Warga/Kades/Lurah/Developer</v>
      </c>
      <c r="Q2405" s="222" t="str">
        <f>IFERROR(__xludf.DUMMYFUNCTION("""COMPUTED_VALUE"""),"6/2 Tidak dapat izin dari lurah")</f>
        <v>6/2 Tidak dapat izin dari lurah</v>
      </c>
      <c r="R2405" s="228"/>
      <c r="S2405" s="11"/>
      <c r="T2405" s="11"/>
      <c r="U2405" s="11"/>
      <c r="V2405" s="229"/>
      <c r="W2405" s="229"/>
      <c r="X2405" s="229"/>
      <c r="Y2405" s="229"/>
      <c r="Z2405" s="229" t="str">
        <f>IFERROR(__xludf.DUMMYFUNCTION("""COMPUTED_VALUE"""),"#N/A")</f>
        <v>#N/A</v>
      </c>
      <c r="AA2405" s="229"/>
      <c r="AB2405" s="229"/>
      <c r="AC2405" s="229"/>
      <c r="AD2405" s="232"/>
      <c r="AE2405" s="233"/>
      <c r="AF2405" s="54" t="str">
        <f>IFERROR(__xludf.DUMMYFUNCTION("""COMPUTED_VALUE"""),"Draft BA DROP")</f>
        <v>Draft BA DROP</v>
      </c>
      <c r="AG2405" s="54"/>
      <c r="AH2405" s="54"/>
      <c r="AI2405" s="55" t="str">
        <f t="shared" si="224"/>
        <v/>
      </c>
      <c r="AW2405" s="234"/>
      <c r="BP2405" s="11"/>
      <c r="BQ2405" s="11"/>
      <c r="BV2405" s="158"/>
      <c r="BY2405" s="158"/>
      <c r="CB2405" s="158"/>
    </row>
    <row r="2406" ht="18.0" hidden="1" customHeight="1">
      <c r="A2406" s="222">
        <f>IFERROR(__xludf.DUMMYFUNCTION("""COMPUTED_VALUE"""),2026.0)</f>
        <v>2026</v>
      </c>
      <c r="B2406" s="221">
        <f>IFERROR(__xludf.DUMMYFUNCTION("""COMPUTED_VALUE"""),1.2680489E7)</f>
        <v>12680489</v>
      </c>
      <c r="C2406" s="222" t="str">
        <f>IFERROR(__xludf.DUMMYFUNCTION("""COMPUTED_VALUE"""),"MDN PT3 BJI-FQ 250_1599_1594")</f>
        <v>MDN PT3 BJI-FQ 250_1599_1594</v>
      </c>
      <c r="D2406" s="222" t="str">
        <f>IFERROR(__xludf.DUMMYFUNCTION("""COMPUTED_VALUE"""),"REGIONAL I")</f>
        <v>REGIONAL I</v>
      </c>
      <c r="E2406" s="222" t="str">
        <f>IFERROR(__xludf.DUMMYFUNCTION("""COMPUTED_VALUE"""),"MEDAN")</f>
        <v>MEDAN</v>
      </c>
      <c r="F2406" s="222" t="str">
        <f>IFERROR(__xludf.DUMMYFUNCTION("""COMPUTED_VALUE"""),"BJI")</f>
        <v>BJI</v>
      </c>
      <c r="G2406" s="222" t="str">
        <f>IFERROR(__xludf.DUMMYFUNCTION("""COMPUTED_VALUE"""),"SUMBAGUT")</f>
        <v>SUMBAGUT</v>
      </c>
      <c r="H2406" s="222" t="str">
        <f>IFERROR(__xludf.DUMMYFUNCTION("""COMPUTED_VALUE"""),"BINJAI")</f>
        <v>BINJAI</v>
      </c>
      <c r="I2406" s="222" t="str">
        <f>IFERROR(__xludf.DUMMYFUNCTION("""COMPUTED_VALUE"""),"Batch 3")</f>
        <v>Batch 3</v>
      </c>
      <c r="J2406" s="225">
        <f>IFERROR(__xludf.DUMMYFUNCTION("""COMPUTED_VALUE"""),1.0)</f>
        <v>1</v>
      </c>
      <c r="K2406" s="224">
        <f>IFERROR(__xludf.DUMMYFUNCTION("""COMPUTED_VALUE"""),8.0)</f>
        <v>8</v>
      </c>
      <c r="L2406" s="226">
        <f>IFERROR(__xludf.DUMMYFUNCTION("""COMPUTED_VALUE"""),901031.0)</f>
        <v>901031</v>
      </c>
      <c r="M2406" s="227">
        <f>IFERROR(__xludf.DUMMYFUNCTION("""COMPUTED_VALUE"""),7208246.0)</f>
        <v>7208246</v>
      </c>
      <c r="N2406" s="222" t="str">
        <f>IFERROR(__xludf.DUMMYFUNCTION("""COMPUTED_VALUE"""),"PT KENCANA RAYA INDONESIA")</f>
        <v>PT KENCANA RAYA INDONESIA</v>
      </c>
      <c r="O2406" s="222" t="str">
        <f>IFERROR(__xludf.DUMMYFUNCTION("""COMPUTED_VALUE"""),"0. DROP")</f>
        <v>0. DROP</v>
      </c>
      <c r="P2406" s="222" t="str">
        <f>IFERROR(__xludf.DUMMYFUNCTION("""COMPUTED_VALUE"""),"0.3 Feeder Full")</f>
        <v>0.3 Feeder Full</v>
      </c>
      <c r="Q2406" s="222" t="str">
        <f>IFERROR(__xludf.DUMMYFUNCTION("""COMPUTED_VALUE"""),"(10/04) Feeder Full
14/02 feeder tidak tembus")</f>
        <v>(10/04) Feeder Full
14/02 feeder tidak tembus</v>
      </c>
      <c r="R2406" s="228"/>
      <c r="S2406" s="11"/>
      <c r="T2406" s="11"/>
      <c r="U2406" s="11"/>
      <c r="V2406" s="229"/>
      <c r="W2406" s="229"/>
      <c r="X2406" s="229" t="str">
        <f>IFERROR(__xludf.DUMMYFUNCTION("""COMPUTED_VALUE"""),"BELUM GOLIVE")</f>
        <v>BELUM GOLIVE</v>
      </c>
      <c r="Y2406" s="229"/>
      <c r="Z2406" s="229" t="str">
        <f>IFERROR(__xludf.DUMMYFUNCTION("""COMPUTED_VALUE"""),"#N/A")</f>
        <v>#N/A</v>
      </c>
      <c r="AA2406" s="229"/>
      <c r="AB2406" s="229"/>
      <c r="AC2406" s="229"/>
      <c r="AD2406" s="232"/>
      <c r="AE2406" s="233"/>
      <c r="AF2406" s="54"/>
      <c r="AG2406" s="54"/>
      <c r="AH2406" s="54"/>
      <c r="AI2406" s="55" t="str">
        <f t="shared" si="224"/>
        <v/>
      </c>
      <c r="AW2406" s="234"/>
      <c r="BP2406" s="11"/>
      <c r="BQ2406" s="11"/>
      <c r="BV2406" s="158"/>
      <c r="BY2406" s="158"/>
      <c r="CB2406" s="158"/>
    </row>
    <row r="2407" ht="18.0" customHeight="1">
      <c r="A2407" s="222">
        <f>IFERROR(__xludf.DUMMYFUNCTION("""COMPUTED_VALUE"""),2026.0)</f>
        <v>2026</v>
      </c>
      <c r="B2407" s="221">
        <f>IFERROR(__xludf.DUMMYFUNCTION("""COMPUTED_VALUE"""),1.282331E7)</f>
        <v>12823310</v>
      </c>
      <c r="C2407" s="222" t="str">
        <f>IFERROR(__xludf.DUMMYFUNCTION("""COMPUTED_VALUE"""),"SMB-PT3-ODC-PYK-FU-PYK-116732 - 4LOP")</f>
        <v>SMB-PT3-ODC-PYK-FU-PYK-116732 - 4LOP</v>
      </c>
      <c r="D2407" s="222" t="str">
        <f>IFERROR(__xludf.DUMMYFUNCTION("""COMPUTED_VALUE"""),"REGIONAL I")</f>
        <v>REGIONAL I</v>
      </c>
      <c r="E2407" s="222" t="str">
        <f>IFERROR(__xludf.DUMMYFUNCTION("""COMPUTED_VALUE"""),"SUMBAR")</f>
        <v>SUMBAR</v>
      </c>
      <c r="F2407" s="222" t="str">
        <f>IFERROR(__xludf.DUMMYFUNCTION("""COMPUTED_VALUE"""),"PYK")</f>
        <v>PYK</v>
      </c>
      <c r="G2407" s="222" t="str">
        <f>IFERROR(__xludf.DUMMYFUNCTION("""COMPUTED_VALUE"""),"SUMBAGTENG")</f>
        <v>SUMBAGTENG</v>
      </c>
      <c r="H2407" s="222" t="str">
        <f>IFERROR(__xludf.DUMMYFUNCTION("""COMPUTED_VALUE"""),"BUKIT TINGGI")</f>
        <v>BUKIT TINGGI</v>
      </c>
      <c r="I2407" s="222" t="str">
        <f>IFERROR(__xludf.DUMMYFUNCTION("""COMPUTED_VALUE"""),"Batch 3")</f>
        <v>Batch 3</v>
      </c>
      <c r="J2407" s="225">
        <f>IFERROR(__xludf.DUMMYFUNCTION("""COMPUTED_VALUE"""),13.0)</f>
        <v>13</v>
      </c>
      <c r="K2407" s="224">
        <f>IFERROR(__xludf.DUMMYFUNCTION("""COMPUTED_VALUE"""),104.0)</f>
        <v>104</v>
      </c>
      <c r="L2407" s="226">
        <f>IFERROR(__xludf.DUMMYFUNCTION("""COMPUTED_VALUE"""),899367.0)</f>
        <v>899367</v>
      </c>
      <c r="M2407" s="227">
        <f>IFERROR(__xludf.DUMMYFUNCTION("""COMPUTED_VALUE"""),9.3534119E7)</f>
        <v>93534119</v>
      </c>
      <c r="N2407" s="222" t="str">
        <f>IFERROR(__xludf.DUMMYFUNCTION("""COMPUTED_VALUE"""),"PT RATRI PRIMA MANDIRI")</f>
        <v>PT RATRI PRIMA MANDIRI</v>
      </c>
      <c r="O2407" s="222" t="str">
        <f>IFERROR(__xludf.DUMMYFUNCTION("""COMPUTED_VALUE"""),"0. DROP")</f>
        <v>0. DROP</v>
      </c>
      <c r="P2407" s="222" t="str">
        <f>IFERROR(__xludf.DUMMYFUNCTION("""COMPUTED_VALUE"""),"0.3 Feeder Full")</f>
        <v>0.3 Feeder Full</v>
      </c>
      <c r="Q2407" s="222" t="str">
        <f>IFERROR(__xludf.DUMMYFUNCTION("""COMPUTED_VALUE"""),"(03/02) feeder PYK-FU Full (29/01) Done aanwijziing  , proses eval")</f>
        <v>(03/02) feeder PYK-FU Full (29/01) Done aanwijziing  , proses eval</v>
      </c>
      <c r="R2407" s="228"/>
      <c r="S2407" s="11"/>
      <c r="T2407" s="11"/>
      <c r="U2407" s="11"/>
      <c r="V2407" s="229" t="str">
        <f>IFERROR(__xludf.DUMMYFUNCTION("""COMPUTED_VALUE"""),"M. ARIF HAMADI")</f>
        <v>M. ARIF HAMADI</v>
      </c>
      <c r="W2407" s="229" t="str">
        <f>IFERROR(__xludf.DUMMYFUNCTION("""COMPUTED_VALUE"""),"MELKO NARWADI")</f>
        <v>MELKO NARWADI</v>
      </c>
      <c r="X2407" s="229"/>
      <c r="Y2407" s="229"/>
      <c r="Z2407" s="229" t="str">
        <f>IFERROR(__xludf.DUMMYFUNCTION("""COMPUTED_VALUE"""),"#N/A")</f>
        <v>#N/A</v>
      </c>
      <c r="AA2407" s="229"/>
      <c r="AB2407" s="229"/>
      <c r="AC2407" s="229"/>
      <c r="AD2407" s="232"/>
      <c r="AE2407" s="233"/>
      <c r="AF2407" s="54" t="str">
        <f>IFERROR(__xludf.DUMMYFUNCTION("""COMPUTED_VALUE"""),"Draft BA DROP")</f>
        <v>Draft BA DROP</v>
      </c>
      <c r="AG2407" s="54"/>
      <c r="AH2407" s="54"/>
      <c r="AI2407" s="55" t="str">
        <f t="shared" si="224"/>
        <v/>
      </c>
      <c r="AW2407" s="234"/>
      <c r="BP2407" s="11"/>
      <c r="BQ2407" s="11"/>
      <c r="BV2407" s="158"/>
      <c r="BY2407" s="158"/>
      <c r="CB2407" s="158"/>
    </row>
    <row r="2408" ht="18.0" hidden="1" customHeight="1">
      <c r="A2408" s="222">
        <f>IFERROR(__xludf.DUMMYFUNCTION("""COMPUTED_VALUE"""),2026.0)</f>
        <v>2026</v>
      </c>
      <c r="B2408" s="221">
        <f>IFERROR(__xludf.DUMMYFUNCTION("""COMPUTED_VALUE"""),1.0991318E7)</f>
        <v>10991318</v>
      </c>
      <c r="C2408" s="222" t="str">
        <f>IFERROR(__xludf.DUMMYFUNCTION("""COMPUTED_VALUE"""),"MDN PT3 P7I2 CTD-FCR PESONA KARYA MENCIRIM")</f>
        <v>MDN PT3 P7I2 CTD-FCR PESONA KARYA MENCIRIM</v>
      </c>
      <c r="D2408" s="222" t="str">
        <f>IFERROR(__xludf.DUMMYFUNCTION("""COMPUTED_VALUE"""),"REGIONAL I")</f>
        <v>REGIONAL I</v>
      </c>
      <c r="E2408" s="222" t="str">
        <f>IFERROR(__xludf.DUMMYFUNCTION("""COMPUTED_VALUE"""),"MEDAN")</f>
        <v>MEDAN</v>
      </c>
      <c r="F2408" s="222" t="str">
        <f>IFERROR(__xludf.DUMMYFUNCTION("""COMPUTED_VALUE"""),"CTD")</f>
        <v>CTD</v>
      </c>
      <c r="G2408" s="222" t="str">
        <f>IFERROR(__xludf.DUMMYFUNCTION("""COMPUTED_VALUE"""),"SUMBAGUT")</f>
        <v>SUMBAGUT</v>
      </c>
      <c r="H2408" s="222" t="str">
        <f>IFERROR(__xludf.DUMMYFUNCTION("""COMPUTED_VALUE"""),"MEDAN")</f>
        <v>MEDAN</v>
      </c>
      <c r="I2408" s="222" t="str">
        <f>IFERROR(__xludf.DUMMYFUNCTION("""COMPUTED_VALUE"""),"Batch 3")</f>
        <v>Batch 3</v>
      </c>
      <c r="J2408" s="225">
        <f>IFERROR(__xludf.DUMMYFUNCTION("""COMPUTED_VALUE"""),2.0)</f>
        <v>2</v>
      </c>
      <c r="K2408" s="224">
        <f>IFERROR(__xludf.DUMMYFUNCTION("""COMPUTED_VALUE"""),16.0)</f>
        <v>16</v>
      </c>
      <c r="L2408" s="226">
        <f>IFERROR(__xludf.DUMMYFUNCTION("""COMPUTED_VALUE"""),898314.0)</f>
        <v>898314</v>
      </c>
      <c r="M2408" s="227">
        <f>IFERROR(__xludf.DUMMYFUNCTION("""COMPUTED_VALUE"""),1.4373019E7)</f>
        <v>14373019</v>
      </c>
      <c r="N2408" s="222" t="str">
        <f>IFERROR(__xludf.DUMMYFUNCTION("""COMPUTED_VALUE"""),"PT M JUSUF AND SONS")</f>
        <v>PT M JUSUF AND SONS</v>
      </c>
      <c r="O2408" s="222" t="str">
        <f>IFERROR(__xludf.DUMMYFUNCTION("""COMPUTED_VALUE"""),"2. DONE AANWIJZING")</f>
        <v>2. DONE AANWIJZING</v>
      </c>
      <c r="P2408" s="222" t="str">
        <f>IFERROR(__xludf.DUMMYFUNCTION("""COMPUTED_VALUE"""),"2.10 Kendala - Feeder Rusak")</f>
        <v>2.10 Kendala - Feeder Rusak</v>
      </c>
      <c r="Q2408" s="222" t="str">
        <f>IFERROR(__xludf.DUMMYFUNCTION("""COMPUTED_VALUE"""),"22/04 pengecekan tipus butuh QE
02/02 Feeder Redaman Tinggi")</f>
        <v>22/04 pengecekan tipus butuh QE
02/02 Feeder Redaman Tinggi</v>
      </c>
      <c r="R2408" s="228"/>
      <c r="S2408" s="11"/>
      <c r="T2408" s="11"/>
      <c r="U2408" s="11"/>
      <c r="V2408" s="229"/>
      <c r="W2408" s="229"/>
      <c r="X2408" s="229" t="str">
        <f>IFERROR(__xludf.DUMMYFUNCTION("""COMPUTED_VALUE"""),"BELUM GOLIVE")</f>
        <v>BELUM GOLIVE</v>
      </c>
      <c r="Y2408" s="229"/>
      <c r="Z2408" s="229" t="str">
        <f>IFERROR(__xludf.DUMMYFUNCTION("""COMPUTED_VALUE"""),"#N/A")</f>
        <v>#N/A</v>
      </c>
      <c r="AA2408" s="229"/>
      <c r="AB2408" s="229"/>
      <c r="AC2408" s="229"/>
      <c r="AD2408" s="232"/>
      <c r="AE2408" s="233"/>
      <c r="AF2408" s="54"/>
      <c r="AG2408" s="54"/>
      <c r="AH2408" s="54"/>
      <c r="AI2408" s="55" t="str">
        <f t="shared" si="224"/>
        <v/>
      </c>
      <c r="AW2408" s="234"/>
      <c r="BP2408" s="11"/>
      <c r="BQ2408" s="11"/>
      <c r="BV2408" s="158"/>
      <c r="BY2408" s="158"/>
      <c r="CB2408" s="158"/>
    </row>
    <row r="2409" ht="18.0" hidden="1" customHeight="1">
      <c r="A2409" s="222">
        <f>IFERROR(__xludf.DUMMYFUNCTION("""COMPUTED_VALUE"""),2026.0)</f>
        <v>2026</v>
      </c>
      <c r="B2409" s="221">
        <f>IFERROR(__xludf.DUMMYFUNCTION("""COMPUTED_VALUE"""),1.1271801E7)</f>
        <v>11271801</v>
      </c>
      <c r="C2409" s="222" t="str">
        <f>IFERROR(__xludf.DUMMYFUNCTION("""COMPUTED_VALUE"""),"MDN PT3 P1I1 SPM-FAS MULTI CIPTA PERMAI")</f>
        <v>MDN PT3 P1I1 SPM-FAS MULTI CIPTA PERMAI</v>
      </c>
      <c r="D2409" s="222" t="str">
        <f>IFERROR(__xludf.DUMMYFUNCTION("""COMPUTED_VALUE"""),"REGIONAL I")</f>
        <v>REGIONAL I</v>
      </c>
      <c r="E2409" s="222" t="str">
        <f>IFERROR(__xludf.DUMMYFUNCTION("""COMPUTED_VALUE"""),"MEDAN")</f>
        <v>MEDAN</v>
      </c>
      <c r="F2409" s="222" t="str">
        <f>IFERROR(__xludf.DUMMYFUNCTION("""COMPUTED_VALUE"""),"SPM")</f>
        <v>SPM</v>
      </c>
      <c r="G2409" s="222" t="str">
        <f>IFERROR(__xludf.DUMMYFUNCTION("""COMPUTED_VALUE"""),"SUMBAGUT")</f>
        <v>SUMBAGUT</v>
      </c>
      <c r="H2409" s="222" t="str">
        <f>IFERROR(__xludf.DUMMYFUNCTION("""COMPUTED_VALUE"""),"MEDAN")</f>
        <v>MEDAN</v>
      </c>
      <c r="I2409" s="222" t="str">
        <f>IFERROR(__xludf.DUMMYFUNCTION("""COMPUTED_VALUE"""),"Batch 3")</f>
        <v>Batch 3</v>
      </c>
      <c r="J2409" s="225">
        <f>IFERROR(__xludf.DUMMYFUNCTION("""COMPUTED_VALUE"""),11.0)</f>
        <v>11</v>
      </c>
      <c r="K2409" s="224">
        <f>IFERROR(__xludf.DUMMYFUNCTION("""COMPUTED_VALUE"""),88.0)</f>
        <v>88</v>
      </c>
      <c r="L2409" s="226">
        <f>IFERROR(__xludf.DUMMYFUNCTION("""COMPUTED_VALUE"""),898251.0)</f>
        <v>898251</v>
      </c>
      <c r="M2409" s="227">
        <f>IFERROR(__xludf.DUMMYFUNCTION("""COMPUTED_VALUE"""),7.904604E7)</f>
        <v>79046040</v>
      </c>
      <c r="N2409" s="222" t="str">
        <f>IFERROR(__xludf.DUMMYFUNCTION("""COMPUTED_VALUE"""),"PT UPENTEL INTERNASIONAL")</f>
        <v>PT UPENTEL INTERNASIONAL</v>
      </c>
      <c r="O2409" s="222" t="str">
        <f>IFERROR(__xludf.DUMMYFUNCTION("""COMPUTED_VALUE"""),"2. DONE AANWIJZING")</f>
        <v>2. DONE AANWIJZING</v>
      </c>
      <c r="P2409" s="222" t="str">
        <f>IFERROR(__xludf.DUMMYFUNCTION("""COMPUTED_VALUE"""),"2.10 Kendala - Feeder Rusak")</f>
        <v>2.10 Kendala - Feeder Rusak</v>
      </c>
      <c r="Q2409" s="222"/>
      <c r="R2409" s="228"/>
      <c r="S2409" s="11"/>
      <c r="T2409" s="11"/>
      <c r="U2409" s="11"/>
      <c r="V2409" s="229"/>
      <c r="W2409" s="229"/>
      <c r="X2409" s="229" t="str">
        <f>IFERROR(__xludf.DUMMYFUNCTION("""COMPUTED_VALUE"""),"BELUM GOLIVE")</f>
        <v>BELUM GOLIVE</v>
      </c>
      <c r="Y2409" s="229"/>
      <c r="Z2409" s="229" t="str">
        <f>IFERROR(__xludf.DUMMYFUNCTION("""COMPUTED_VALUE"""),"#N/A")</f>
        <v>#N/A</v>
      </c>
      <c r="AA2409" s="229"/>
      <c r="AB2409" s="229"/>
      <c r="AC2409" s="229"/>
      <c r="AD2409" s="232"/>
      <c r="AE2409" s="233"/>
      <c r="AF2409" s="54"/>
      <c r="AG2409" s="54"/>
      <c r="AH2409" s="54"/>
      <c r="AI2409" s="55" t="str">
        <f t="shared" si="224"/>
        <v/>
      </c>
      <c r="AW2409" s="234"/>
      <c r="BP2409" s="11"/>
      <c r="BQ2409" s="11"/>
      <c r="BV2409" s="158"/>
      <c r="BY2409" s="158"/>
      <c r="CB2409" s="158"/>
    </row>
    <row r="2410" ht="18.0" hidden="1" customHeight="1">
      <c r="A2410" s="222">
        <f>IFERROR(__xludf.DUMMYFUNCTION("""COMPUTED_VALUE"""),2026.0)</f>
        <v>2026</v>
      </c>
      <c r="B2410" s="221">
        <f>IFERROR(__xludf.DUMMYFUNCTION("""COMPUTED_VALUE"""),1.2160385E7)</f>
        <v>12160385</v>
      </c>
      <c r="C2410" s="222" t="str">
        <f>IFERROR(__xludf.DUMMYFUNCTION("""COMPUTED_VALUE"""),"LPG PT3 JPP LAMPUNG TIMUR_92195 MET")</f>
        <v>LPG PT3 JPP LAMPUNG TIMUR_92195 MET</v>
      </c>
      <c r="D2410" s="222" t="str">
        <f>IFERROR(__xludf.DUMMYFUNCTION("""COMPUTED_VALUE"""),"REGIONAL I")</f>
        <v>REGIONAL I</v>
      </c>
      <c r="E2410" s="222" t="str">
        <f>IFERROR(__xludf.DUMMYFUNCTION("""COMPUTED_VALUE"""),"LAMPUNG")</f>
        <v>LAMPUNG</v>
      </c>
      <c r="F2410" s="222" t="str">
        <f>IFERROR(__xludf.DUMMYFUNCTION("""COMPUTED_VALUE"""),"MET")</f>
        <v>MET</v>
      </c>
      <c r="G2410" s="222" t="str">
        <f>IFERROR(__xludf.DUMMYFUNCTION("""COMPUTED_VALUE"""),"SUMBAGSEL")</f>
        <v>SUMBAGSEL</v>
      </c>
      <c r="H2410" s="222" t="str">
        <f>IFERROR(__xludf.DUMMYFUNCTION("""COMPUTED_VALUE"""),"LAMPUNG")</f>
        <v>LAMPUNG</v>
      </c>
      <c r="I2410" s="222" t="str">
        <f>IFERROR(__xludf.DUMMYFUNCTION("""COMPUTED_VALUE"""),"Batch 3")</f>
        <v>Batch 3</v>
      </c>
      <c r="J2410" s="225">
        <f>IFERROR(__xludf.DUMMYFUNCTION("""COMPUTED_VALUE"""),5.0)</f>
        <v>5</v>
      </c>
      <c r="K2410" s="224">
        <f>IFERROR(__xludf.DUMMYFUNCTION("""COMPUTED_VALUE"""),40.0)</f>
        <v>40</v>
      </c>
      <c r="L2410" s="226">
        <f>IFERROR(__xludf.DUMMYFUNCTION("""COMPUTED_VALUE"""),896562.0)</f>
        <v>896562</v>
      </c>
      <c r="M2410" s="227">
        <f>IFERROR(__xludf.DUMMYFUNCTION("""COMPUTED_VALUE"""),3.5862445E7)</f>
        <v>35862445</v>
      </c>
      <c r="N2410" s="222" t="str">
        <f>IFERROR(__xludf.DUMMYFUNCTION("""COMPUTED_VALUE"""),"PT FAJAR MITRA KRIDA ABADI")</f>
        <v>PT FAJAR MITRA KRIDA ABADI</v>
      </c>
      <c r="O2410" s="222" t="str">
        <f>IFERROR(__xludf.DUMMYFUNCTION("""COMPUTED_VALUE"""),"0. DROP")</f>
        <v>0. DROP</v>
      </c>
      <c r="P2410" s="222" t="str">
        <f>IFERROR(__xludf.DUMMYFUNCTION("""COMPUTED_VALUE"""),"0.2 Tidak Dapat Izin Warga/Kades/Lurah/Developer")</f>
        <v>0.2 Tidak Dapat Izin Warga/Kades/Lurah/Developer</v>
      </c>
      <c r="Q2410" s="222" t="str">
        <f>IFERROR(__xludf.DUMMYFUNCTION("""COMPUTED_VALUE"""),"6/2 Tidak dapat izin dari lurah")</f>
        <v>6/2 Tidak dapat izin dari lurah</v>
      </c>
      <c r="R2410" s="228"/>
      <c r="S2410" s="11"/>
      <c r="T2410" s="11"/>
      <c r="U2410" s="11"/>
      <c r="V2410" s="229"/>
      <c r="W2410" s="229"/>
      <c r="X2410" s="229"/>
      <c r="Y2410" s="229"/>
      <c r="Z2410" s="229" t="str">
        <f>IFERROR(__xludf.DUMMYFUNCTION("""COMPUTED_VALUE"""),"#N/A")</f>
        <v>#N/A</v>
      </c>
      <c r="AA2410" s="229"/>
      <c r="AB2410" s="229"/>
      <c r="AC2410" s="229"/>
      <c r="AD2410" s="232"/>
      <c r="AE2410" s="233"/>
      <c r="AF2410" s="54" t="str">
        <f>IFERROR(__xludf.DUMMYFUNCTION("""COMPUTED_VALUE"""),"Draft BA DROP")</f>
        <v>Draft BA DROP</v>
      </c>
      <c r="AG2410" s="54"/>
      <c r="AH2410" s="54"/>
      <c r="AI2410" s="55" t="str">
        <f t="shared" si="224"/>
        <v/>
      </c>
      <c r="AW2410" s="234"/>
      <c r="BP2410" s="11"/>
      <c r="BQ2410" s="11"/>
      <c r="BV2410" s="158"/>
      <c r="BY2410" s="158"/>
      <c r="CB2410" s="158"/>
    </row>
    <row r="2411" ht="18.0" hidden="1" customHeight="1">
      <c r="A2411" s="222">
        <f>IFERROR(__xludf.DUMMYFUNCTION("""COMPUTED_VALUE"""),2026.0)</f>
        <v>2026</v>
      </c>
      <c r="B2411" s="221">
        <f>IFERROR(__xludf.DUMMYFUNCTION("""COMPUTED_VALUE"""),1.2874572E7)</f>
        <v>12874572</v>
      </c>
      <c r="C2411" s="222" t="str">
        <f>IFERROR(__xludf.DUMMYFUNCTION("""COMPUTED_VALUE"""),"JBI-PT3 BRAN-SPN-FK-LOLA KURNIA AYU")</f>
        <v>JBI-PT3 BRAN-SPN-FK-LOLA KURNIA AYU</v>
      </c>
      <c r="D2411" s="222" t="str">
        <f>IFERROR(__xludf.DUMMYFUNCTION("""COMPUTED_VALUE"""),"REGIONAL I")</f>
        <v>REGIONAL I</v>
      </c>
      <c r="E2411" s="222" t="str">
        <f>IFERROR(__xludf.DUMMYFUNCTION("""COMPUTED_VALUE"""),"JAMBI")</f>
        <v>JAMBI</v>
      </c>
      <c r="F2411" s="222" t="str">
        <f>IFERROR(__xludf.DUMMYFUNCTION("""COMPUTED_VALUE"""),"SPN")</f>
        <v>SPN</v>
      </c>
      <c r="G2411" s="222" t="str">
        <f>IFERROR(__xludf.DUMMYFUNCTION("""COMPUTED_VALUE"""),"SUMBAGSEL")</f>
        <v>SUMBAGSEL</v>
      </c>
      <c r="H2411" s="222" t="str">
        <f>IFERROR(__xludf.DUMMYFUNCTION("""COMPUTED_VALUE"""),"JAMBI")</f>
        <v>JAMBI</v>
      </c>
      <c r="I2411" s="222" t="str">
        <f>IFERROR(__xludf.DUMMYFUNCTION("""COMPUTED_VALUE"""),"Batch 3")</f>
        <v>Batch 3</v>
      </c>
      <c r="J2411" s="225">
        <f>IFERROR(__xludf.DUMMYFUNCTION("""COMPUTED_VALUE"""),1.0)</f>
        <v>1</v>
      </c>
      <c r="K2411" s="224">
        <f>IFERROR(__xludf.DUMMYFUNCTION("""COMPUTED_VALUE"""),8.0)</f>
        <v>8</v>
      </c>
      <c r="L2411" s="226">
        <f>IFERROR(__xludf.DUMMYFUNCTION("""COMPUTED_VALUE"""),891997.0)</f>
        <v>891997</v>
      </c>
      <c r="M2411" s="227">
        <f>IFERROR(__xludf.DUMMYFUNCTION("""COMPUTED_VALUE"""),7135975.0)</f>
        <v>7135975</v>
      </c>
      <c r="N2411" s="222" t="str">
        <f>IFERROR(__xludf.DUMMYFUNCTION("""COMPUTED_VALUE"""),"PT SARANA MITRA PERSADA")</f>
        <v>PT SARANA MITRA PERSADA</v>
      </c>
      <c r="O2411" s="222" t="str">
        <f>IFERROR(__xludf.DUMMYFUNCTION("""COMPUTED_VALUE"""),"7. GOLIVE")</f>
        <v>7. GOLIVE</v>
      </c>
      <c r="P2411" s="222" t="str">
        <f>IFERROR(__xludf.DUMMYFUNCTION("""COMPUTED_VALUE"""),"7.2 Golive Full / OA / DONE OTB")</f>
        <v>7.2 Golive Full / OA / DONE OTB</v>
      </c>
      <c r="Q2411" s="222" t="str">
        <f>IFERROR(__xludf.DUMMYFUNCTION("""COMPUTED_VALUE"""),"(20/02) Golive (16/2) material sudah dilokasi , proses hold karena sebelumnya ada redesign permintaan tsel .(6/2) INput Material -plan besok ambil material (5/2) CREATE PID (29/1) BLM ANWIJZING (22/1) ORDER MASUK ")</f>
        <v>(20/02) Golive (16/2) material sudah dilokasi , proses hold karena sebelumnya ada redesign permintaan tsel .(6/2) INput Material -plan besok ambil material (5/2) CREATE PID (29/1) BLM ANWIJZING (22/1) ORDER MASUK </v>
      </c>
      <c r="R2411" s="228">
        <f>IFERROR(__xludf.DUMMYFUNCTION("""COMPUTED_VALUE"""),46075.0)</f>
        <v>46075</v>
      </c>
      <c r="S2411" s="11"/>
      <c r="T2411" s="11"/>
      <c r="U2411" s="11"/>
      <c r="V2411" s="229"/>
      <c r="W2411" s="229"/>
      <c r="X2411" s="229" t="str">
        <f>IFERROR(__xludf.DUMMYFUNCTION("""COMPUTED_VALUE"""),"GOLIVE")</f>
        <v>GOLIVE</v>
      </c>
      <c r="Y2411" s="229" t="str">
        <f>IFERROR(__xludf.DUMMYFUNCTION("""COMPUTED_VALUE"""),"DONE")</f>
        <v>DONE</v>
      </c>
      <c r="Z2411" s="229" t="str">
        <f>IFERROR(__xludf.DUMMYFUNCTION("""COMPUTED_VALUE"""),"#N/A")</f>
        <v>#N/A</v>
      </c>
      <c r="AA2411" s="229">
        <f>IFERROR(__xludf.DUMMYFUNCTION("""COMPUTED_VALUE"""),1.0)</f>
        <v>1</v>
      </c>
      <c r="AB2411" s="229"/>
      <c r="AC2411" s="229" t="str">
        <f>IFERROR(__xludf.DUMMYFUNCTION("""COMPUTED_VALUE"""),"9125810#9125816")</f>
        <v>9125810#9125816</v>
      </c>
      <c r="AD2411" s="232">
        <f>IFERROR(__xludf.DUMMYFUNCTION("""COMPUTED_VALUE"""),8.0)</f>
        <v>8</v>
      </c>
      <c r="AE2411" s="233">
        <f>IFERROR(__xludf.DUMMYFUNCTION("""COMPUTED_VALUE"""),46073.0)</f>
        <v>46073</v>
      </c>
      <c r="AF2411" s="54"/>
      <c r="AG2411" s="54"/>
      <c r="AH2411" s="54">
        <v>46075.0</v>
      </c>
      <c r="AI2411" s="55">
        <f t="shared" si="224"/>
        <v>2</v>
      </c>
      <c r="AW2411" s="234"/>
      <c r="BP2411" s="11"/>
      <c r="BQ2411" s="11"/>
      <c r="BV2411" s="158"/>
      <c r="BY2411" s="158"/>
      <c r="CB2411" s="158"/>
    </row>
    <row r="2412" ht="18.0" hidden="1" customHeight="1">
      <c r="A2412" s="222">
        <f>IFERROR(__xludf.DUMMYFUNCTION("""COMPUTED_VALUE"""),2026.0)</f>
        <v>2026</v>
      </c>
      <c r="B2412" s="221">
        <f>IFERROR(__xludf.DUMMYFUNCTION("""COMPUTED_VALUE"""),1.1187902E7)</f>
        <v>11187902</v>
      </c>
      <c r="C2412" s="222" t="str">
        <f>IFERROR(__xludf.DUMMYFUNCTION("""COMPUTED_VALUE"""),"MDN PT3 P7I10 TJM-FA GG.LESTARI")</f>
        <v>MDN PT3 P7I10 TJM-FA GG.LESTARI</v>
      </c>
      <c r="D2412" s="222" t="str">
        <f>IFERROR(__xludf.DUMMYFUNCTION("""COMPUTED_VALUE"""),"REGIONAL I")</f>
        <v>REGIONAL I</v>
      </c>
      <c r="E2412" s="222" t="str">
        <f>IFERROR(__xludf.DUMMYFUNCTION("""COMPUTED_VALUE"""),"MEDAN")</f>
        <v>MEDAN</v>
      </c>
      <c r="F2412" s="222" t="str">
        <f>IFERROR(__xludf.DUMMYFUNCTION("""COMPUTED_VALUE"""),"TJM")</f>
        <v>TJM</v>
      </c>
      <c r="G2412" s="222" t="str">
        <f>IFERROR(__xludf.DUMMYFUNCTION("""COMPUTED_VALUE"""),"SUMBAGUT")</f>
        <v>SUMBAGUT</v>
      </c>
      <c r="H2412" s="222" t="str">
        <f>IFERROR(__xludf.DUMMYFUNCTION("""COMPUTED_VALUE"""),"MEDAN")</f>
        <v>MEDAN</v>
      </c>
      <c r="I2412" s="222" t="str">
        <f>IFERROR(__xludf.DUMMYFUNCTION("""COMPUTED_VALUE"""),"Batch 3")</f>
        <v>Batch 3</v>
      </c>
      <c r="J2412" s="225">
        <f>IFERROR(__xludf.DUMMYFUNCTION("""COMPUTED_VALUE"""),2.0)</f>
        <v>2</v>
      </c>
      <c r="K2412" s="224">
        <f>IFERROR(__xludf.DUMMYFUNCTION("""COMPUTED_VALUE"""),16.0)</f>
        <v>16</v>
      </c>
      <c r="L2412" s="226">
        <f>IFERROR(__xludf.DUMMYFUNCTION("""COMPUTED_VALUE"""),1007019.0)</f>
        <v>1007019</v>
      </c>
      <c r="M2412" s="227">
        <f>IFERROR(__xludf.DUMMYFUNCTION("""COMPUTED_VALUE"""),1.6112294E7)</f>
        <v>16112294</v>
      </c>
      <c r="N2412" s="222" t="str">
        <f>IFERROR(__xludf.DUMMYFUNCTION("""COMPUTED_VALUE"""),"PT MITRA AKSES INSANI")</f>
        <v>PT MITRA AKSES INSANI</v>
      </c>
      <c r="O2412" s="222" t="str">
        <f>IFERROR(__xludf.DUMMYFUNCTION("""COMPUTED_VALUE"""),"8. UJI TERIMA")</f>
        <v>8. UJI TERIMA</v>
      </c>
      <c r="P2412" s="222" t="str">
        <f>IFERROR(__xludf.DUMMYFUNCTION("""COMPUTED_VALUE"""),"8.1 Proses UT")</f>
        <v>8.1 Proses UT</v>
      </c>
      <c r="Q2412" s="222"/>
      <c r="R2412" s="228">
        <f>IFERROR(__xludf.DUMMYFUNCTION("""COMPUTED_VALUE"""),46034.0)</f>
        <v>46034</v>
      </c>
      <c r="S2412" s="11"/>
      <c r="T2412" s="11"/>
      <c r="U2412" s="11" t="str">
        <f>IFERROR(__xludf.DUMMYFUNCTION("""COMPUTED_VALUE"""),"FALSE")</f>
        <v>FALSE</v>
      </c>
      <c r="V2412" s="229"/>
      <c r="W2412" s="229"/>
      <c r="X2412" s="229" t="str">
        <f>IFERROR(__xludf.DUMMYFUNCTION("""COMPUTED_VALUE"""),"GOLIVE")</f>
        <v>GOLIVE</v>
      </c>
      <c r="Y2412" s="229" t="str">
        <f>IFERROR(__xludf.DUMMYFUNCTION("""COMPUTED_VALUE"""),"DONE")</f>
        <v>DONE</v>
      </c>
      <c r="Z2412" s="229" t="str">
        <f>IFERROR(__xludf.DUMMYFUNCTION("""COMPUTED_VALUE"""),"#N/A")</f>
        <v>#N/A</v>
      </c>
      <c r="AA2412" s="229">
        <f>IFERROR(__xludf.DUMMYFUNCTION("""COMPUTED_VALUE"""),2.0)</f>
        <v>2</v>
      </c>
      <c r="AB2412" s="229"/>
      <c r="AC2412" s="229" t="str">
        <f>IFERROR(__xludf.DUMMYFUNCTION("""COMPUTED_VALUE"""),"8923951#8923956")</f>
        <v>8923951#8923956</v>
      </c>
      <c r="AD2412" s="232">
        <f>IFERROR(__xludf.DUMMYFUNCTION("""COMPUTED_VALUE"""),16.0)</f>
        <v>16</v>
      </c>
      <c r="AE2412" s="233">
        <f>IFERROR(__xludf.DUMMYFUNCTION("""COMPUTED_VALUE"""),46034.0)</f>
        <v>46034</v>
      </c>
      <c r="AF2412" s="54"/>
      <c r="AG2412" s="54"/>
      <c r="AH2412" s="54">
        <v>46034.0</v>
      </c>
      <c r="AI2412" s="55">
        <f t="shared" si="224"/>
        <v>0</v>
      </c>
      <c r="AW2412" s="234"/>
      <c r="BP2412" s="11"/>
      <c r="BQ2412" s="11"/>
      <c r="BV2412" s="158"/>
      <c r="BY2412" s="158"/>
      <c r="CB2412" s="158"/>
    </row>
    <row r="2413" ht="18.0" hidden="1" customHeight="1">
      <c r="A2413" s="222">
        <f>IFERROR(__xludf.DUMMYFUNCTION("""COMPUTED_VALUE"""),2026.0)</f>
        <v>2026</v>
      </c>
      <c r="B2413" s="221">
        <f>IFERROR(__xludf.DUMMYFUNCTION("""COMPUTED_VALUE"""),1.2589449E7)</f>
        <v>12589449</v>
      </c>
      <c r="C2413" s="222" t="str">
        <f>IFERROR(__xludf.DUMMYFUNCTION("""COMPUTED_VALUE"""),"250_1603_1623")</f>
        <v>250_1603_1623</v>
      </c>
      <c r="D2413" s="222" t="str">
        <f>IFERROR(__xludf.DUMMYFUNCTION("""COMPUTED_VALUE"""),"REGIONAL I")</f>
        <v>REGIONAL I</v>
      </c>
      <c r="E2413" s="222" t="str">
        <f>IFERROR(__xludf.DUMMYFUNCTION("""COMPUTED_VALUE"""),"MEDAN")</f>
        <v>MEDAN</v>
      </c>
      <c r="F2413" s="222" t="str">
        <f>IFERROR(__xludf.DUMMYFUNCTION("""COMPUTED_VALUE"""),"CTD")</f>
        <v>CTD</v>
      </c>
      <c r="G2413" s="222" t="str">
        <f>IFERROR(__xludf.DUMMYFUNCTION("""COMPUTED_VALUE"""),"SUMBAGUT")</f>
        <v>SUMBAGUT</v>
      </c>
      <c r="H2413" s="222" t="str">
        <f>IFERROR(__xludf.DUMMYFUNCTION("""COMPUTED_VALUE"""),"MEDAN")</f>
        <v>MEDAN</v>
      </c>
      <c r="I2413" s="222" t="str">
        <f>IFERROR(__xludf.DUMMYFUNCTION("""COMPUTED_VALUE"""),"Batch 3")</f>
        <v>Batch 3</v>
      </c>
      <c r="J2413" s="225">
        <f>IFERROR(__xludf.DUMMYFUNCTION("""COMPUTED_VALUE"""),2.0)</f>
        <v>2</v>
      </c>
      <c r="K2413" s="224">
        <f>IFERROR(__xludf.DUMMYFUNCTION("""COMPUTED_VALUE"""),16.0)</f>
        <v>16</v>
      </c>
      <c r="L2413" s="226">
        <f>IFERROR(__xludf.DUMMYFUNCTION("""COMPUTED_VALUE"""),884157.0)</f>
        <v>884157</v>
      </c>
      <c r="M2413" s="227">
        <f>IFERROR(__xludf.DUMMYFUNCTION("""COMPUTED_VALUE"""),1.4146506E7)</f>
        <v>14146506</v>
      </c>
      <c r="N2413" s="222" t="str">
        <f>IFERROR(__xludf.DUMMYFUNCTION("""COMPUTED_VALUE"""),"PT MILFHA MUTIARA PRIMA")</f>
        <v>PT MILFHA MUTIARA PRIMA</v>
      </c>
      <c r="O2413" s="222" t="str">
        <f>IFERROR(__xludf.DUMMYFUNCTION("""COMPUTED_VALUE"""),"0. DROP")</f>
        <v>0. DROP</v>
      </c>
      <c r="P2413" s="222" t="str">
        <f>IFERROR(__xludf.DUMMYFUNCTION("""COMPUTED_VALUE"""),"0.3 Feeder Full")</f>
        <v>0.3 Feeder Full</v>
      </c>
      <c r="Q2413" s="222" t="str">
        <f>IFERROR(__xludf.DUMMYFUNCTION("""COMPUTED_VALUE"""),"08/03 Feeder Penuh 21/02 Feeder REDAMAN TINGGI")</f>
        <v>08/03 Feeder Penuh 21/02 Feeder REDAMAN TINGGI</v>
      </c>
      <c r="R2413" s="228"/>
      <c r="S2413" s="11"/>
      <c r="T2413" s="11"/>
      <c r="U2413" s="11"/>
      <c r="V2413" s="229"/>
      <c r="W2413" s="229"/>
      <c r="X2413" s="229" t="str">
        <f>IFERROR(__xludf.DUMMYFUNCTION("""COMPUTED_VALUE"""),"BELUM GOLIVE")</f>
        <v>BELUM GOLIVE</v>
      </c>
      <c r="Y2413" s="229"/>
      <c r="Z2413" s="229" t="str">
        <f>IFERROR(__xludf.DUMMYFUNCTION("""COMPUTED_VALUE"""),"#N/A")</f>
        <v>#N/A</v>
      </c>
      <c r="AA2413" s="229"/>
      <c r="AB2413" s="229"/>
      <c r="AC2413" s="229"/>
      <c r="AD2413" s="232"/>
      <c r="AE2413" s="233"/>
      <c r="AF2413" s="54"/>
      <c r="AG2413" s="54"/>
      <c r="AH2413" s="54"/>
      <c r="AI2413" s="55" t="str">
        <f t="shared" si="224"/>
        <v/>
      </c>
      <c r="AW2413" s="234"/>
      <c r="BP2413" s="11"/>
      <c r="BQ2413" s="11"/>
      <c r="BV2413" s="158"/>
      <c r="BY2413" s="158"/>
      <c r="CB2413" s="158"/>
    </row>
    <row r="2414" ht="18.0" hidden="1" customHeight="1">
      <c r="A2414" s="222">
        <f>IFERROR(__xludf.DUMMYFUNCTION("""COMPUTED_VALUE"""),2026.0)</f>
        <v>2026</v>
      </c>
      <c r="B2414" s="221">
        <f>IFERROR(__xludf.DUMMYFUNCTION("""COMPUTED_VALUE"""),1.2695573E7)</f>
        <v>12695573</v>
      </c>
      <c r="C2414" s="222" t="str">
        <f>IFERROR(__xludf.DUMMYFUNCTION("""COMPUTED_VALUE"""),"MDN PT3 TMU-FV 250_1598_1704")</f>
        <v>MDN PT3 TMU-FV 250_1598_1704</v>
      </c>
      <c r="D2414" s="222" t="str">
        <f>IFERROR(__xludf.DUMMYFUNCTION("""COMPUTED_VALUE"""),"REGIONAL I")</f>
        <v>REGIONAL I</v>
      </c>
      <c r="E2414" s="222" t="str">
        <f>IFERROR(__xludf.DUMMYFUNCTION("""COMPUTED_VALUE"""),"MEDAN")</f>
        <v>MEDAN</v>
      </c>
      <c r="F2414" s="222" t="str">
        <f>IFERROR(__xludf.DUMMYFUNCTION("""COMPUTED_VALUE"""),"TMU")</f>
        <v>TMU</v>
      </c>
      <c r="G2414" s="222" t="str">
        <f>IFERROR(__xludf.DUMMYFUNCTION("""COMPUTED_VALUE"""),"SUMBAGUT")</f>
        <v>SUMBAGUT</v>
      </c>
      <c r="H2414" s="222" t="str">
        <f>IFERROR(__xludf.DUMMYFUNCTION("""COMPUTED_VALUE"""),"MEDAN")</f>
        <v>MEDAN</v>
      </c>
      <c r="I2414" s="222" t="str">
        <f>IFERROR(__xludf.DUMMYFUNCTION("""COMPUTED_VALUE"""),"Batch 3")</f>
        <v>Batch 3</v>
      </c>
      <c r="J2414" s="225">
        <f>IFERROR(__xludf.DUMMYFUNCTION("""COMPUTED_VALUE"""),4.0)</f>
        <v>4</v>
      </c>
      <c r="K2414" s="224">
        <f>IFERROR(__xludf.DUMMYFUNCTION("""COMPUTED_VALUE"""),32.0)</f>
        <v>32</v>
      </c>
      <c r="L2414" s="226">
        <f>IFERROR(__xludf.DUMMYFUNCTION("""COMPUTED_VALUE"""),882134.0)</f>
        <v>882134</v>
      </c>
      <c r="M2414" s="227">
        <f>IFERROR(__xludf.DUMMYFUNCTION("""COMPUTED_VALUE"""),2.8228265E7)</f>
        <v>28228265</v>
      </c>
      <c r="N2414" s="222" t="str">
        <f>IFERROR(__xludf.DUMMYFUNCTION("""COMPUTED_VALUE"""),"PT MITRA AKSES INSANI")</f>
        <v>PT MITRA AKSES INSANI</v>
      </c>
      <c r="O2414" s="222" t="str">
        <f>IFERROR(__xludf.DUMMYFUNCTION("""COMPUTED_VALUE"""),"0. DROP")</f>
        <v>0. DROP</v>
      </c>
      <c r="P2414" s="222" t="str">
        <f>IFERROR(__xludf.DUMMYFUNCTION("""COMPUTED_VALUE"""),"0.3 Feeder Full")</f>
        <v>0.3 Feeder Full</v>
      </c>
      <c r="Q2414" s="222" t="str">
        <f>IFERROR(__xludf.DUMMYFUNCTION("""COMPUTED_VALUE"""),"16/04 feeder penuh
10/03 depedensi lop MDN PT4 TMU-FV ODP PRIORITAS 08/03 alih mitra done order")</f>
        <v>16/04 feeder penuh
10/03 depedensi lop MDN PT4 TMU-FV ODP PRIORITAS 08/03 alih mitra done order</v>
      </c>
      <c r="R2414" s="228"/>
      <c r="S2414" s="11"/>
      <c r="T2414" s="11"/>
      <c r="U2414" s="11"/>
      <c r="V2414" s="229"/>
      <c r="W2414" s="229"/>
      <c r="X2414" s="229" t="str">
        <f>IFERROR(__xludf.DUMMYFUNCTION("""COMPUTED_VALUE"""),"BELUM GOLIVE")</f>
        <v>BELUM GOLIVE</v>
      </c>
      <c r="Y2414" s="229"/>
      <c r="Z2414" s="229" t="str">
        <f>IFERROR(__xludf.DUMMYFUNCTION("""COMPUTED_VALUE"""),"#N/A")</f>
        <v>#N/A</v>
      </c>
      <c r="AA2414" s="229"/>
      <c r="AB2414" s="229"/>
      <c r="AC2414" s="229"/>
      <c r="AD2414" s="232"/>
      <c r="AE2414" s="233"/>
      <c r="AF2414" s="54"/>
      <c r="AG2414" s="54"/>
      <c r="AH2414" s="54"/>
      <c r="AI2414" s="55" t="str">
        <f t="shared" si="224"/>
        <v/>
      </c>
      <c r="AW2414" s="234"/>
      <c r="BP2414" s="11"/>
      <c r="BQ2414" s="11"/>
      <c r="BV2414" s="158"/>
      <c r="BY2414" s="158"/>
      <c r="CB2414" s="158"/>
    </row>
    <row r="2415" ht="18.0" customHeight="1">
      <c r="A2415" s="222">
        <f>IFERROR(__xludf.DUMMYFUNCTION("""COMPUTED_VALUE"""),2026.0)</f>
        <v>2026</v>
      </c>
      <c r="B2415" s="221">
        <f>IFERROR(__xludf.DUMMYFUNCTION("""COMPUTED_VALUE"""),1.2795937E7)</f>
        <v>12795937</v>
      </c>
      <c r="C2415" s="222" t="str">
        <f>IFERROR(__xludf.DUMMYFUNCTION("""COMPUTED_VALUE"""),"RDR JPP PT3 PNP FB")</f>
        <v>RDR JPP PT3 PNP FB</v>
      </c>
      <c r="D2415" s="222" t="str">
        <f>IFERROR(__xludf.DUMMYFUNCTION("""COMPUTED_VALUE"""),"REGIONAL I")</f>
        <v>REGIONAL I</v>
      </c>
      <c r="E2415" s="222" t="str">
        <f>IFERROR(__xludf.DUMMYFUNCTION("""COMPUTED_VALUE"""),"RIDAR")</f>
        <v>RIDAR</v>
      </c>
      <c r="F2415" s="222" t="str">
        <f>IFERROR(__xludf.DUMMYFUNCTION("""COMPUTED_VALUE"""),"PNP")</f>
        <v>PNP</v>
      </c>
      <c r="G2415" s="222" t="str">
        <f>IFERROR(__xludf.DUMMYFUNCTION("""COMPUTED_VALUE"""),"SUMBAGTENG")</f>
        <v>SUMBAGTENG</v>
      </c>
      <c r="H2415" s="222" t="str">
        <f>IFERROR(__xludf.DUMMYFUNCTION("""COMPUTED_VALUE"""),"DUMAI")</f>
        <v>DUMAI</v>
      </c>
      <c r="I2415" s="222" t="str">
        <f>IFERROR(__xludf.DUMMYFUNCTION("""COMPUTED_VALUE"""),"Batch 3")</f>
        <v>Batch 3</v>
      </c>
      <c r="J2415" s="225">
        <f>IFERROR(__xludf.DUMMYFUNCTION("""COMPUTED_VALUE"""),3.0)</f>
        <v>3</v>
      </c>
      <c r="K2415" s="224">
        <f>IFERROR(__xludf.DUMMYFUNCTION("""COMPUTED_VALUE"""),24.0)</f>
        <v>24</v>
      </c>
      <c r="L2415" s="226">
        <f>IFERROR(__xludf.DUMMYFUNCTION("""COMPUTED_VALUE"""),880845.0)</f>
        <v>880845</v>
      </c>
      <c r="M2415" s="227">
        <f>IFERROR(__xludf.DUMMYFUNCTION("""COMPUTED_VALUE"""),2.1140275E7)</f>
        <v>21140275</v>
      </c>
      <c r="N2415" s="222" t="str">
        <f>IFERROR(__xludf.DUMMYFUNCTION("""COMPUTED_VALUE"""),"PT SAMUDERA PUTRA KENCANA")</f>
        <v>PT SAMUDERA PUTRA KENCANA</v>
      </c>
      <c r="O2415" s="222" t="str">
        <f>IFERROR(__xludf.DUMMYFUNCTION("""COMPUTED_VALUE"""),"0. DROP")</f>
        <v>0. DROP</v>
      </c>
      <c r="P2415" s="222" t="str">
        <f>IFERROR(__xludf.DUMMYFUNCTION("""COMPUTED_VALUE"""),"0.1 Double Order")</f>
        <v>0.1 Double Order</v>
      </c>
      <c r="Q2415" s="222" t="str">
        <f>IFERROR(__xludf.DUMMYFUNCTION("""COMPUTED_VALUE"""),"03/03 Double LOP dengan Napal Peranap 09/02 On Going Survey 29/01 Proses survey dan anwidzing 26/01 New Order, target selesai survey 30 Jan")</f>
        <v>03/03 Double LOP dengan Napal Peranap 09/02 On Going Survey 29/01 Proses survey dan anwidzing 26/01 New Order, target selesai survey 30 Jan</v>
      </c>
      <c r="R2415" s="228"/>
      <c r="S2415" s="11"/>
      <c r="T2415" s="11"/>
      <c r="U2415" s="11"/>
      <c r="V2415" s="229" t="str">
        <f>IFERROR(__xludf.DUMMYFUNCTION("""COMPUTED_VALUE"""),"TEGUH IMAM PERDANA")</f>
        <v>TEGUH IMAM PERDANA</v>
      </c>
      <c r="W2415" s="229" t="str">
        <f>IFERROR(__xludf.DUMMYFUNCTION("""COMPUTED_VALUE"""),"DESLITA RAHMADANI")</f>
        <v>DESLITA RAHMADANI</v>
      </c>
      <c r="X2415" s="229"/>
      <c r="Y2415" s="229"/>
      <c r="Z2415" s="229" t="str">
        <f>IFERROR(__xludf.DUMMYFUNCTION("""COMPUTED_VALUE"""),"#N/A")</f>
        <v>#N/A</v>
      </c>
      <c r="AA2415" s="229"/>
      <c r="AB2415" s="229"/>
      <c r="AC2415" s="229"/>
      <c r="AD2415" s="232"/>
      <c r="AE2415" s="233"/>
      <c r="AF2415" s="54" t="str">
        <f>IFERROR(__xludf.DUMMYFUNCTION("""COMPUTED_VALUE"""),"Draft BA DROP")</f>
        <v>Draft BA DROP</v>
      </c>
      <c r="AG2415" s="54"/>
      <c r="AH2415" s="54"/>
      <c r="AI2415" s="55" t="str">
        <f t="shared" si="224"/>
        <v/>
      </c>
      <c r="AW2415" s="234"/>
      <c r="BP2415" s="11"/>
      <c r="BQ2415" s="11"/>
      <c r="BV2415" s="158"/>
      <c r="BY2415" s="158"/>
      <c r="CB2415" s="158"/>
    </row>
    <row r="2416" ht="18.0" hidden="1" customHeight="1">
      <c r="A2416" s="222">
        <f>IFERROR(__xludf.DUMMYFUNCTION("""COMPUTED_VALUE"""),2026.0)</f>
        <v>2026</v>
      </c>
      <c r="B2416" s="221">
        <f>IFERROR(__xludf.DUMMYFUNCTION("""COMPUTED_VALUE"""),1.207673E7)</f>
        <v>12076730</v>
      </c>
      <c r="C2416" s="222" t="str">
        <f>IFERROR(__xludf.DUMMYFUNCTION("""COMPUTED_VALUE"""),"MDN PT3 CTD-FCJ GG.KELUARGA_MD25")</f>
        <v>MDN PT3 CTD-FCJ GG.KELUARGA_MD25</v>
      </c>
      <c r="D2416" s="222" t="str">
        <f>IFERROR(__xludf.DUMMYFUNCTION("""COMPUTED_VALUE"""),"REGIONAL I")</f>
        <v>REGIONAL I</v>
      </c>
      <c r="E2416" s="222" t="str">
        <f>IFERROR(__xludf.DUMMYFUNCTION("""COMPUTED_VALUE"""),"MEDAN")</f>
        <v>MEDAN</v>
      </c>
      <c r="F2416" s="222" t="str">
        <f>IFERROR(__xludf.DUMMYFUNCTION("""COMPUTED_VALUE"""),"CTD")</f>
        <v>CTD</v>
      </c>
      <c r="G2416" s="222" t="str">
        <f>IFERROR(__xludf.DUMMYFUNCTION("""COMPUTED_VALUE"""),"SUMBAGUT")</f>
        <v>SUMBAGUT</v>
      </c>
      <c r="H2416" s="222" t="str">
        <f>IFERROR(__xludf.DUMMYFUNCTION("""COMPUTED_VALUE"""),"MEDAN")</f>
        <v>MEDAN</v>
      </c>
      <c r="I2416" s="222" t="str">
        <f>IFERROR(__xludf.DUMMYFUNCTION("""COMPUTED_VALUE"""),"Batch 3")</f>
        <v>Batch 3</v>
      </c>
      <c r="J2416" s="225">
        <f>IFERROR(__xludf.DUMMYFUNCTION("""COMPUTED_VALUE"""),5.0)</f>
        <v>5</v>
      </c>
      <c r="K2416" s="224">
        <f>IFERROR(__xludf.DUMMYFUNCTION("""COMPUTED_VALUE"""),40.0)</f>
        <v>40</v>
      </c>
      <c r="L2416" s="226">
        <f>IFERROR(__xludf.DUMMYFUNCTION("""COMPUTED_VALUE"""),879548.0)</f>
        <v>879548</v>
      </c>
      <c r="M2416" s="227">
        <f>IFERROR(__xludf.DUMMYFUNCTION("""COMPUTED_VALUE"""),3.518191E7)</f>
        <v>35181910</v>
      </c>
      <c r="N2416" s="222" t="str">
        <f>IFERROR(__xludf.DUMMYFUNCTION("""COMPUTED_VALUE"""),"PT M JUSUF AND SONS")</f>
        <v>PT M JUSUF AND SONS</v>
      </c>
      <c r="O2416" s="222" t="str">
        <f>IFERROR(__xludf.DUMMYFUNCTION("""COMPUTED_VALUE"""),"2. DONE AANWIJZING")</f>
        <v>2. DONE AANWIJZING</v>
      </c>
      <c r="P2416" s="222" t="str">
        <f>IFERROR(__xludf.DUMMYFUNCTION("""COMPUTED_VALUE"""),"2.10 Kendala - Feeder Rusak")</f>
        <v>2.10 Kendala - Feeder Rusak</v>
      </c>
      <c r="Q2416" s="222" t="str">
        <f>IFERROR(__xludf.DUMMYFUNCTION("""COMPUTED_VALUE"""),"22/04 pengecekan tipus butuh QE
22/04 cek tipus untuk QE
02/02 Feeder Tidak Tembus")</f>
        <v>22/04 pengecekan tipus butuh QE
22/04 cek tipus untuk QE
02/02 Feeder Tidak Tembus</v>
      </c>
      <c r="R2416" s="228"/>
      <c r="S2416" s="11"/>
      <c r="T2416" s="11"/>
      <c r="U2416" s="11"/>
      <c r="V2416" s="229"/>
      <c r="W2416" s="229"/>
      <c r="X2416" s="229" t="str">
        <f>IFERROR(__xludf.DUMMYFUNCTION("""COMPUTED_VALUE"""),"BELUM GOLIVE")</f>
        <v>BELUM GOLIVE</v>
      </c>
      <c r="Y2416" s="229"/>
      <c r="Z2416" s="229" t="str">
        <f>IFERROR(__xludf.DUMMYFUNCTION("""COMPUTED_VALUE"""),"#N/A")</f>
        <v>#N/A</v>
      </c>
      <c r="AA2416" s="229"/>
      <c r="AB2416" s="229"/>
      <c r="AC2416" s="229"/>
      <c r="AD2416" s="232"/>
      <c r="AE2416" s="233"/>
      <c r="AF2416" s="54"/>
      <c r="AG2416" s="54"/>
      <c r="AH2416" s="54"/>
      <c r="AI2416" s="55" t="str">
        <f t="shared" si="224"/>
        <v/>
      </c>
      <c r="AW2416" s="234"/>
      <c r="BP2416" s="11"/>
      <c r="BQ2416" s="11"/>
      <c r="BV2416" s="158"/>
      <c r="BY2416" s="158"/>
      <c r="CB2416" s="158"/>
    </row>
    <row r="2417" ht="18.0" hidden="1" customHeight="1">
      <c r="A2417" s="222">
        <f>IFERROR(__xludf.DUMMYFUNCTION("""COMPUTED_VALUE"""),2026.0)</f>
        <v>2026</v>
      </c>
      <c r="B2417" s="221">
        <f>IFERROR(__xludf.DUMMYFUNCTION("""COMPUTED_VALUE"""),1.2671878E7)</f>
        <v>12671878</v>
      </c>
      <c r="C2417" s="222" t="str">
        <f>IFERROR(__xludf.DUMMYFUNCTION("""COMPUTED_VALUE"""),"SMU PT3 SIH-FAD D02 D03 CLUST SOSA")</f>
        <v>SMU PT3 SIH-FAD D02 D03 CLUST SOSA</v>
      </c>
      <c r="D2417" s="222" t="str">
        <f>IFERROR(__xludf.DUMMYFUNCTION("""COMPUTED_VALUE"""),"REGIONAL I")</f>
        <v>REGIONAL I</v>
      </c>
      <c r="E2417" s="222" t="str">
        <f>IFERROR(__xludf.DUMMYFUNCTION("""COMPUTED_VALUE"""),"SUMUT")</f>
        <v>SUMUT</v>
      </c>
      <c r="F2417" s="222" t="str">
        <f>IFERROR(__xludf.DUMMYFUNCTION("""COMPUTED_VALUE"""),"SIH")</f>
        <v>SIH</v>
      </c>
      <c r="G2417" s="222" t="str">
        <f>IFERROR(__xludf.DUMMYFUNCTION("""COMPUTED_VALUE"""),"SUMBAGUT")</f>
        <v>SUMBAGUT</v>
      </c>
      <c r="H2417" s="222" t="str">
        <f>IFERROR(__xludf.DUMMYFUNCTION("""COMPUTED_VALUE"""),"RANTAU PRAPAT")</f>
        <v>RANTAU PRAPAT</v>
      </c>
      <c r="I2417" s="222" t="str">
        <f>IFERROR(__xludf.DUMMYFUNCTION("""COMPUTED_VALUE"""),"Batch 3")</f>
        <v>Batch 3</v>
      </c>
      <c r="J2417" s="225">
        <f>IFERROR(__xludf.DUMMYFUNCTION("""COMPUTED_VALUE"""),9.0)</f>
        <v>9</v>
      </c>
      <c r="K2417" s="224">
        <f>IFERROR(__xludf.DUMMYFUNCTION("""COMPUTED_VALUE"""),72.0)</f>
        <v>72</v>
      </c>
      <c r="L2417" s="226">
        <f>IFERROR(__xludf.DUMMYFUNCTION("""COMPUTED_VALUE"""),877779.0)</f>
        <v>877779</v>
      </c>
      <c r="M2417" s="227">
        <f>IFERROR(__xludf.DUMMYFUNCTION("""COMPUTED_VALUE"""),6.3200019E7)</f>
        <v>63200019</v>
      </c>
      <c r="N2417" s="222" t="str">
        <f>IFERROR(__xludf.DUMMYFUNCTION("""COMPUTED_VALUE"""),"PT MEDCOM SOLUTION")</f>
        <v>PT MEDCOM SOLUTION</v>
      </c>
      <c r="O2417" s="222" t="str">
        <f>IFERROR(__xludf.DUMMYFUNCTION("""COMPUTED_VALUE"""),"2. DONE AANWIJZING")</f>
        <v>2. DONE AANWIJZING</v>
      </c>
      <c r="P2417" s="222" t="str">
        <f>IFERROR(__xludf.DUMMYFUNCTION("""COMPUTED_VALUE"""),"2.7 Tunggu Hasil DRM - Perubahan design")</f>
        <v>2.7 Tunggu Hasil DRM - Perubahan design</v>
      </c>
      <c r="Q2417" s="222" t="str">
        <f>IFERROR(__xludf.DUMMYFUNCTION("""COMPUTED_VALUE"""),"27/4 ada kenaikan nilai diatas 10%, 24/4 ada kenaikan nilai diatas 10%, 23/4 ada kenaikan nilai diatas 10%,  22/4 ada kenaikan nilai diatas 10%, 21/4 ada kenaikan nilai diatas 10%, 20/4 ada kenaikan nilai diatas 10%, 16/4 ada kenaikan nilai diatas 10%, 15"&amp;"/4 mitra blm mengirim revisi boq kebutuhan qe, 14/4 mitra blm mengirim revisi boq kebutuhan qe, 13/4 mitra blm mengirim revisi boq kebutuhan qe, 9/4 plan malam ini mengirim revisi boq kml kebutuhan qe, 8/4 revisi boq kml kebutuhan qe, 6/4 revisi boq kml k"&amp;"ebutuhan qe plan submit hari ini, 5/4 menunggu submit revisi boq survey, 1/4 menunggu submit revisi boq survey, 31/3 menunggu submit revisi boq survey, 30/3 menunggu submit revisi boq survey, 27/3 menunggu submit boq kml survey,plan minggu 29 maret, 26/3 "&amp;"menunggu submit boq kml survey, 22/3 menunggu submit boq kml survey, 18/3 menunggu submit boq kml survey, 16/3 plan submit boq kml survey besok 17 maret, 13/3 ( kendala port mini olt habis) menunggu   boq kml survey incloude kebutuhan qe, sisa feeder 7 po"&amp;"rt  ( 4 c butuh qe) kebutuhan 13 feder,  11/3 ( kendala port mini olt habis) menunggu   boq kml survey incloude kebutuhan qe, sisa feeder 7 port  ( 4 c butuh qe) kebutuhan 13 feder,  10/3 ( kendala port mini olt habis) menunggu   boq kml survey incloude k"&amp;"ebutuhan qe, sisa feeder 7 port  ( 4 c butuh qe) kebutuhan 13 feder, 6/3 ( kendala port mini olt habis) menunggu   boq kml survey incloude kebutuhan qe, sisa feeder 7 port  ( 4 c butuh qe) kebutuhan 13 feder,  5/3 ( kendala port mini olt habis) menunggu  "&amp;" boq kml survey incloude kebutuhan qe, sisa feeder 7 port  ( 4 c butuh qe) kebutuhan 13 feder, 4/3 ( kendala port mini olt habis) menunggu   boq kml survey incloude kebutuhan qe, sisa feeder 7 port  ( 4 c butuh qe) kebutuhan 13 feder, 3/3 ( kendala port m"&amp;"ini olt habis) menunggu   boq kml survey incloude kebutuhan qe, sisa feeder 7 port  ( 4 c butuh qe) kebutuhan 13 feder, 2/3 ( kendala port mini olt habis) menunggu   boq kml survey incloude kebutuhan qe, sisa feeder 7 port  ( 4 c butuh qe) kebutuhan 13 fe"&amp;"der, 27/2 ( kendala port mini olt habis) menunggu   boq kml survey incloude kebutuhan qe, sisa feeder 7 port  ( 4 c butuh qe) kebutuhan 13 feder,  25/2 ( kendala port mini olt habis) plan besok 26 feb submit  boq kml survey incloude kebutuhan qe, sisa fee"&amp;"der 7 port  ( 4 c butuh qe) kebutuhan 13 feder,  24/2 ( kendala port mini olt habis) menunggu boq kml survey incloude kebutuhan qe, sisa feeder 7 port  ( 4 c butuh qe) kebutuhan 13 feder,  23/2 ( kendala port mini olt habis) menunggu boq kml survey inclou"&amp;"de kebutuhan qe, sisa feeder 7 port  ( 4 c butuh qe) kebutuhan 13 feder, 20/2  plan submit boq survey 22 feb, ( kendala port mini olt habis) menunggu boq kml survey incloude kebutuhan qe, sisa feeder 7 port  ( 4 c butuh qe) kebutuhan 13 feder, 19/2  ( ken"&amp;"dala port mini olt habis) menunggu boq kml survey incloude kebutuhan qe, sisa feeder 7 port  ( 4 c butuh qe) kebutuhan 13 feder,  18/2 menunggu boq kml survey incloude kebutuhan qe, sisa feeder 7 port  ( 4 c butuh qe) kebutuhan 13 feder, 16/2 team serial "&amp;"survey di lop GNT FD CLUSTER PALUTA,13/2 prepair team untuk survey est paling lambat 14 feb,  11/2 prepair team untuk survey est paling lambat 14 feb, 10/2 prepair team untuk survey est paling lambat 14 feb, 9/2 prepair team untuk survey est paling lambat"&amp;" 14 feb, 6/2 prepair team untuk survey est paling lambat 14 feb, 5/2 prepair team untuk survey est paling lambat 14 feb, 3/2 plan survey 5/2 (peralihan dari mitra truputra), 2/2 penunjukan mitra ( peralihan dari mitra triputra),  1/2 penunjukan mitra ( pe"&amp;"ralihan dari mitra triputra), 30/1 penunjukan mitra ( peralihan dari mitra triputra), 28/1 penu jukan mitra ( peralihan dari mitra triputra), 27/1 plan survey tgl 28/1, 26/1 plan survey tgl 27/1, 23/1 plan survey tgl 27/1,22/1 prepair team untuk pelaksana"&amp;"an survey dilokasi,  21/1 penunjukan mitra")</f>
        <v>27/4 ada kenaikan nilai diatas 10%, 24/4 ada kenaikan nilai diatas 10%, 23/4 ada kenaikan nilai diatas 10%,  22/4 ada kenaikan nilai diatas 10%, 21/4 ada kenaikan nilai diatas 10%, 20/4 ada kenaikan nilai diatas 10%, 16/4 ada kenaikan nilai diatas 10%, 15/4 mitra blm mengirim revisi boq kebutuhan qe, 14/4 mitra blm mengirim revisi boq kebutuhan qe, 13/4 mitra blm mengirim revisi boq kebutuhan qe, 9/4 plan malam ini mengirim revisi boq kml kebutuhan qe, 8/4 revisi boq kml kebutuhan qe, 6/4 revisi boq kml kebutuhan qe plan submit hari ini, 5/4 menunggu submit revisi boq survey, 1/4 menunggu submit revisi boq survey, 31/3 menunggu submit revisi boq survey, 30/3 menunggu submit revisi boq survey, 27/3 menunggu submit boq kml survey,plan minggu 29 maret, 26/3 menunggu submit boq kml survey, 22/3 menunggu submit boq kml survey, 18/3 menunggu submit boq kml survey, 16/3 plan submit boq kml survey besok 17 maret, 13/3 ( kendala port mini olt habis) menunggu   boq kml survey incloude kebutuhan qe, sisa feeder 7 port  ( 4 c butuh qe) kebutuhan 13 feder,  11/3 ( kendala port mini olt habis) menunggu   boq kml survey incloude kebutuhan qe, sisa feeder 7 port  ( 4 c butuh qe) kebutuhan 13 feder,  10/3 ( kendala port mini olt habis) menunggu   boq kml survey incloude kebutuhan qe, sisa feeder 7 port  ( 4 c butuh qe) kebutuhan 13 feder, 6/3 ( kendala port mini olt habis) menunggu   boq kml survey incloude kebutuhan qe, sisa feeder 7 port  ( 4 c butuh qe) kebutuhan 13 feder,  5/3 ( kendala port mini olt habis) menunggu   boq kml survey incloude kebutuhan qe, sisa feeder 7 port  ( 4 c butuh qe) kebutuhan 13 feder, 4/3 ( kendala port mini olt habis) menunggu   boq kml survey incloude kebutuhan qe, sisa feeder 7 port  ( 4 c butuh qe) kebutuhan 13 feder, 3/3 ( kendala port mini olt habis) menunggu   boq kml survey incloude kebutuhan qe, sisa feeder 7 port  ( 4 c butuh qe) kebutuhan 13 feder, 2/3 ( kendala port mini olt habis) menunggu   boq kml survey incloude kebutuhan qe, sisa feeder 7 port  ( 4 c butuh qe) kebutuhan 13 feder, 27/2 ( kendala port mini olt habis) menunggu   boq kml survey incloude kebutuhan qe, sisa feeder 7 port  ( 4 c butuh qe) kebutuhan 13 feder,  25/2 ( kendala port mini olt habis) plan besok 26 feb submit  boq kml survey incloude kebutuhan qe, sisa feeder 7 port  ( 4 c butuh qe) kebutuhan 13 feder,  24/2 ( kendala port mini olt habis) menunggu boq kml survey incloude kebutuhan qe, sisa feeder 7 port  ( 4 c butuh qe) kebutuhan 13 feder,  23/2 ( kendala port mini olt habis) menunggu boq kml survey incloude kebutuhan qe, sisa feeder 7 port  ( 4 c butuh qe) kebutuhan 13 feder, 20/2  plan submit boq survey 22 feb, ( kendala port mini olt habis) menunggu boq kml survey incloude kebutuhan qe, sisa feeder 7 port  ( 4 c butuh qe) kebutuhan 13 feder, 19/2  ( kendala port mini olt habis) menunggu boq kml survey incloude kebutuhan qe, sisa feeder 7 port  ( 4 c butuh qe) kebutuhan 13 feder,  18/2 menunggu boq kml survey incloude kebutuhan qe, sisa feeder 7 port  ( 4 c butuh qe) kebutuhan 13 feder, 16/2 team serial survey di lop GNT FD CLUSTER PALUTA,13/2 prepair team untuk survey est paling lambat 14 feb,  11/2 prepair team untuk survey est paling lambat 14 feb, 10/2 prepair team untuk survey est paling lambat 14 feb, 9/2 prepair team untuk survey est paling lambat 14 feb, 6/2 prepair team untuk survey est paling lambat 14 feb, 5/2 prepair team untuk survey est paling lambat 14 feb, 3/2 plan survey 5/2 (peralihan dari mitra truputra), 2/2 penunjukan mitra ( peralihan dari mitra triputra),  1/2 penunjukan mitra ( peralihan dari mitra triputra), 30/1 penunjukan mitra ( peralihan dari mitra triputra), 28/1 penu jukan mitra ( peralihan dari mitra triputra), 27/1 plan survey tgl 28/1, 26/1 plan survey tgl 27/1, 23/1 plan survey tgl 27/1,22/1 prepair team untuk pelaksanaan survey dilokasi,  21/1 penunjukan mitra</v>
      </c>
      <c r="R2417" s="228"/>
      <c r="S2417" s="11"/>
      <c r="T2417" s="73" t="str">
        <f>IFERROR(__xludf.DUMMYFUNCTION("""COMPUTED_VALUE"""),"P1")</f>
        <v>P1</v>
      </c>
      <c r="U2417" s="11" t="str">
        <f>IFERROR(__xludf.DUMMYFUNCTION("""COMPUTED_VALUE"""),"TIF-2036/2026")</f>
        <v>TIF-2036/2026</v>
      </c>
      <c r="V2417" s="229" t="str">
        <f>IFERROR(__xludf.DUMMYFUNCTION("""COMPUTED_VALUE"""),"27/Apr/2026")</f>
        <v>27/Apr/2026</v>
      </c>
      <c r="W2417" s="229"/>
      <c r="X2417" s="229" t="str">
        <f>IFERROR(__xludf.DUMMYFUNCTION("""COMPUTED_VALUE"""),"BELUM GOLIVE")</f>
        <v>BELUM GOLIVE</v>
      </c>
      <c r="Y2417" s="229" t="str">
        <f>IFERROR(__xludf.DUMMYFUNCTION("""COMPUTED_VALUE"""),"PORT OLT Penuh")</f>
        <v>PORT OLT Penuh</v>
      </c>
      <c r="Z2417" s="229" t="str">
        <f>IFERROR(__xludf.DUMMYFUNCTION("""COMPUTED_VALUE"""),"#N/A")</f>
        <v>#N/A</v>
      </c>
      <c r="AA2417" s="229"/>
      <c r="AB2417" s="229"/>
      <c r="AC2417" s="229"/>
      <c r="AD2417" s="232"/>
      <c r="AE2417" s="233"/>
      <c r="AF2417" s="54"/>
      <c r="AG2417" s="54"/>
      <c r="AH2417" s="54"/>
      <c r="AI2417" s="55" t="str">
        <f t="shared" si="224"/>
        <v/>
      </c>
      <c r="AW2417" s="234"/>
      <c r="BP2417" s="11"/>
      <c r="BQ2417" s="11"/>
      <c r="BV2417" s="158"/>
      <c r="BY2417" s="158"/>
      <c r="CB2417" s="158"/>
    </row>
    <row r="2418" ht="18.0" hidden="1" customHeight="1">
      <c r="A2418" s="222">
        <f>IFERROR(__xludf.DUMMYFUNCTION("""COMPUTED_VALUE"""),2026.0)</f>
        <v>2026</v>
      </c>
      <c r="B2418" s="221">
        <f>IFERROR(__xludf.DUMMYFUNCTION("""COMPUTED_VALUE"""),1.2688891E7)</f>
        <v>12688891</v>
      </c>
      <c r="C2418" s="222" t="str">
        <f>IFERROR(__xludf.DUMMYFUNCTION("""COMPUTED_VALUE"""),"LPG PT3 PRINGSEWU_101117 H2 2025 GDT")</f>
        <v>LPG PT3 PRINGSEWU_101117 H2 2025 GDT</v>
      </c>
      <c r="D2418" s="222" t="str">
        <f>IFERROR(__xludf.DUMMYFUNCTION("""COMPUTED_VALUE"""),"REGIONAL I")</f>
        <v>REGIONAL I</v>
      </c>
      <c r="E2418" s="222" t="str">
        <f>IFERROR(__xludf.DUMMYFUNCTION("""COMPUTED_VALUE"""),"LAMPUNG")</f>
        <v>LAMPUNG</v>
      </c>
      <c r="F2418" s="222" t="str">
        <f>IFERROR(__xludf.DUMMYFUNCTION("""COMPUTED_VALUE"""),"GDT")</f>
        <v>GDT</v>
      </c>
      <c r="G2418" s="222" t="str">
        <f>IFERROR(__xludf.DUMMYFUNCTION("""COMPUTED_VALUE"""),"SUMBAGSEL")</f>
        <v>SUMBAGSEL</v>
      </c>
      <c r="H2418" s="222" t="str">
        <f>IFERROR(__xludf.DUMMYFUNCTION("""COMPUTED_VALUE"""),"LAMPUNG")</f>
        <v>LAMPUNG</v>
      </c>
      <c r="I2418" s="222" t="str">
        <f>IFERROR(__xludf.DUMMYFUNCTION("""COMPUTED_VALUE"""),"Batch 3")</f>
        <v>Batch 3</v>
      </c>
      <c r="J2418" s="225">
        <f>IFERROR(__xludf.DUMMYFUNCTION("""COMPUTED_VALUE"""),7.0)</f>
        <v>7</v>
      </c>
      <c r="K2418" s="224">
        <f>IFERROR(__xludf.DUMMYFUNCTION("""COMPUTED_VALUE"""),56.0)</f>
        <v>56</v>
      </c>
      <c r="L2418" s="226">
        <f>IFERROR(__xludf.DUMMYFUNCTION("""COMPUTED_VALUE"""),874724.0)</f>
        <v>874724</v>
      </c>
      <c r="M2418" s="227">
        <f>IFERROR(__xludf.DUMMYFUNCTION("""COMPUTED_VALUE"""),4.8984526E7)</f>
        <v>48984526</v>
      </c>
      <c r="N2418" s="222" t="str">
        <f>IFERROR(__xludf.DUMMYFUNCTION("""COMPUTED_VALUE"""),"PT SARANA MITRA PERSADA")</f>
        <v>PT SARANA MITRA PERSADA</v>
      </c>
      <c r="O2418" s="222" t="str">
        <f>IFERROR(__xludf.DUMMYFUNCTION("""COMPUTED_VALUE"""),"7. GOLIVE")</f>
        <v>7. GOLIVE</v>
      </c>
      <c r="P2418" s="222" t="str">
        <f>IFERROR(__xludf.DUMMYFUNCTION("""COMPUTED_VALUE"""),"7.2 Golive Full / OA / DONE OTB")</f>
        <v>7.2 Golive Full / OA / DONE OTB</v>
      </c>
      <c r="Q2418" s="222" t="str">
        <f>IFERROR(__xludf.DUMMYFUNCTION("""COMPUTED_VALUE"""),"13/3  proses tarik kabel g plan FI 13/3 plan abd+valins tanggal 14/3 plan golive 15/3,
2/3  proses tarik kabel g plan FI 5/3 plan abd+valins tanggal 6/3 plan golive 7/3,
27/2 proses penanaman tiang plan FI 5/3 plan abd+valins tanggal 6/3 plan golive 7/3, "&amp;"25/2 PROGRES MATDEL, 23/2 plan matdel 24/2, 18/2 kendala release PO 11/2 KENDALA AMBIL MATERIAL, KARENA PRPO BARU CLEAR PLAN 13 FEB  (9/2)PLAN MATDEL 10 FEB 6/2 plan matdel 9/2 
4/2 menunggu konfirmasi balik dari lurah terkiat perizinan")</f>
        <v>13/3  proses tarik kabel g plan FI 13/3 plan abd+valins tanggal 14/3 plan golive 15/3,
2/3  proses tarik kabel g plan FI 5/3 plan abd+valins tanggal 6/3 plan golive 7/3,
27/2 proses penanaman tiang plan FI 5/3 plan abd+valins tanggal 6/3 plan golive 7/3, 25/2 PROGRES MATDEL, 23/2 plan matdel 24/2, 18/2 kendala release PO 11/2 KENDALA AMBIL MATERIAL, KARENA PRPO BARU CLEAR PLAN 13 FEB  (9/2)PLAN MATDEL 10 FEB 6/2 plan matdel 9/2 
4/2 menunggu konfirmasi balik dari lurah terkiat perizinan</v>
      </c>
      <c r="R2418" s="228">
        <f>IFERROR(__xludf.DUMMYFUNCTION("""COMPUTED_VALUE"""),46098.0)</f>
        <v>46098</v>
      </c>
      <c r="S2418" s="11" t="str">
        <f>IFERROR(__xludf.DUMMYFUNCTION("""COMPUTED_VALUE"""),"MAR")</f>
        <v>MAR</v>
      </c>
      <c r="T2418" s="11" t="str">
        <f>IFERROR(__xludf.DUMMYFUNCTION("""COMPUTED_VALUE"""),"P1")</f>
        <v>P1</v>
      </c>
      <c r="U2418" s="11" t="str">
        <f>IFERROR(__xludf.DUMMYFUNCTION("""COMPUTED_VALUE"""),"TIF-4010/2026")</f>
        <v>TIF-4010/2026</v>
      </c>
      <c r="V2418" s="229"/>
      <c r="W2418" s="229"/>
      <c r="X2418" s="229" t="str">
        <f>IFERROR(__xludf.DUMMYFUNCTION("""COMPUTED_VALUE"""),"GOLIVE")</f>
        <v>GOLIVE</v>
      </c>
      <c r="Y2418" s="229" t="str">
        <f>IFERROR(__xludf.DUMMYFUNCTION("""COMPUTED_VALUE"""),"DONE")</f>
        <v>DONE</v>
      </c>
      <c r="Z2418" s="229" t="str">
        <f>IFERROR(__xludf.DUMMYFUNCTION("""COMPUTED_VALUE"""),"#N/A")</f>
        <v>#N/A</v>
      </c>
      <c r="AA2418" s="229">
        <f>IFERROR(__xludf.DUMMYFUNCTION("""COMPUTED_VALUE"""),7.0)</f>
        <v>7</v>
      </c>
      <c r="AB2418" s="229"/>
      <c r="AC2418" s="229" t="str">
        <f>IFERROR(__xludf.DUMMYFUNCTION("""COMPUTED_VALUE"""),"9072067#9072072")</f>
        <v>9072067#9072072</v>
      </c>
      <c r="AD2418" s="232">
        <f>IFERROR(__xludf.DUMMYFUNCTION("""COMPUTED_VALUE"""),56.0)</f>
        <v>56</v>
      </c>
      <c r="AE2418" s="233">
        <f>IFERROR(__xludf.DUMMYFUNCTION("""COMPUTED_VALUE"""),46098.0)</f>
        <v>46098</v>
      </c>
      <c r="AF2418" s="54"/>
      <c r="AG2418" s="54"/>
      <c r="AH2418" s="54">
        <v>46098.0</v>
      </c>
      <c r="AI2418" s="55">
        <f t="shared" si="224"/>
        <v>0</v>
      </c>
      <c r="AW2418" s="234"/>
      <c r="BP2418" s="11"/>
      <c r="BQ2418" s="11"/>
      <c r="BV2418" s="158"/>
      <c r="BY2418" s="158"/>
      <c r="CB2418" s="158"/>
    </row>
    <row r="2419" ht="18.0" customHeight="1">
      <c r="A2419" s="222">
        <f>IFERROR(__xludf.DUMMYFUNCTION("""COMPUTED_VALUE"""),2026.0)</f>
        <v>2026</v>
      </c>
      <c r="B2419" s="221">
        <f>IFERROR(__xludf.DUMMYFUNCTION("""COMPUTED_VALUE"""),1.2794913E7)</f>
        <v>12794913</v>
      </c>
      <c r="C2419" s="222" t="str">
        <f>IFERROR(__xludf.DUMMYFUNCTION("""COMPUTED_VALUE"""),"SMB-PT3-ODC-PSB-FA-PESISIR SELATAN-45545")</f>
        <v>SMB-PT3-ODC-PSB-FA-PESISIR SELATAN-45545</v>
      </c>
      <c r="D2419" s="222" t="str">
        <f>IFERROR(__xludf.DUMMYFUNCTION("""COMPUTED_VALUE"""),"REGIONAL I")</f>
        <v>REGIONAL I</v>
      </c>
      <c r="E2419" s="222" t="str">
        <f>IFERROR(__xludf.DUMMYFUNCTION("""COMPUTED_VALUE"""),"SUMBAR")</f>
        <v>SUMBAR</v>
      </c>
      <c r="F2419" s="222" t="str">
        <f>IFERROR(__xludf.DUMMYFUNCTION("""COMPUTED_VALUE"""),"PSB")</f>
        <v>PSB</v>
      </c>
      <c r="G2419" s="222" t="str">
        <f>IFERROR(__xludf.DUMMYFUNCTION("""COMPUTED_VALUE"""),"SUMBAGTENG")</f>
        <v>SUMBAGTENG</v>
      </c>
      <c r="H2419" s="222" t="str">
        <f>IFERROR(__xludf.DUMMYFUNCTION("""COMPUTED_VALUE"""),"PADANG")</f>
        <v>PADANG</v>
      </c>
      <c r="I2419" s="222" t="str">
        <f>IFERROR(__xludf.DUMMYFUNCTION("""COMPUTED_VALUE"""),"Batch 3")</f>
        <v>Batch 3</v>
      </c>
      <c r="J2419" s="225">
        <f>IFERROR(__xludf.DUMMYFUNCTION("""COMPUTED_VALUE"""),2.0)</f>
        <v>2</v>
      </c>
      <c r="K2419" s="224">
        <f>IFERROR(__xludf.DUMMYFUNCTION("""COMPUTED_VALUE"""),16.0)</f>
        <v>16</v>
      </c>
      <c r="L2419" s="226">
        <f>IFERROR(__xludf.DUMMYFUNCTION("""COMPUTED_VALUE"""),874658.0)</f>
        <v>874658</v>
      </c>
      <c r="M2419" s="227">
        <f>IFERROR(__xludf.DUMMYFUNCTION("""COMPUTED_VALUE"""),1.3994524E7)</f>
        <v>13994524</v>
      </c>
      <c r="N2419" s="222" t="str">
        <f>IFERROR(__xludf.DUMMYFUNCTION("""COMPUTED_VALUE"""),"PT ALAM UTAMA MULIA")</f>
        <v>PT ALAM UTAMA MULIA</v>
      </c>
      <c r="O2419" s="222" t="str">
        <f>IFERROR(__xludf.DUMMYFUNCTION("""COMPUTED_VALUE"""),"7. GOLIVE")</f>
        <v>7. GOLIVE</v>
      </c>
      <c r="P2419" s="222" t="str">
        <f>IFERROR(__xludf.DUMMYFUNCTION("""COMPUTED_VALUE"""),"7.2 Golive Full / OA / DONE OTB")</f>
        <v>7.2 Golive Full / OA / DONE OTB</v>
      </c>
      <c r="Q2419" s="222" t="str">
        <f>IFERROR(__xludf.DUMMYFUNCTION("""COMPUTED_VALUE"""),"(02/03) ABD done ke sdi  (18/02) Valins ODP Plan FI 20/02  (04/02) matdel ke site (29/01) Done aanwijziing  , proses eval")</f>
        <v>(02/03) ABD done ke sdi  (18/02) Valins ODP Plan FI 20/02  (04/02) matdel ke site (29/01) Done aanwijziing  , proses eval</v>
      </c>
      <c r="R2419" s="228">
        <f>IFERROR(__xludf.DUMMYFUNCTION("""COMPUTED_VALUE"""),46081.0)</f>
        <v>46081</v>
      </c>
      <c r="S2419" s="11"/>
      <c r="T2419" s="11"/>
      <c r="U2419" s="11" t="str">
        <f>IFERROR(__xludf.DUMMYFUNCTION("""COMPUTED_VALUE"""),"TIF-2625/2026 26KT03R158-0037")</f>
        <v>TIF-2625/2026 26KT03R158-0037</v>
      </c>
      <c r="V2419" s="229" t="str">
        <f>IFERROR(__xludf.DUMMYFUNCTION("""COMPUTED_VALUE"""),"PRAMADIO SEPWILMAN")</f>
        <v>PRAMADIO SEPWILMAN</v>
      </c>
      <c r="W2419" s="229" t="str">
        <f>IFERROR(__xludf.DUMMYFUNCTION("""COMPUTED_VALUE"""),"MELKO NARWADI")</f>
        <v>MELKO NARWADI</v>
      </c>
      <c r="X2419" s="229" t="str">
        <f>IFERROR(__xludf.DUMMYFUNCTION("""COMPUTED_VALUE"""),"GOLIVE")</f>
        <v>GOLIVE</v>
      </c>
      <c r="Y2419" s="229" t="str">
        <f>IFERROR(__xludf.DUMMYFUNCTION("""COMPUTED_VALUE"""),"DONE")</f>
        <v>DONE</v>
      </c>
      <c r="Z2419" s="229" t="str">
        <f>IFERROR(__xludf.DUMMYFUNCTION("""COMPUTED_VALUE"""),"#N/A")</f>
        <v>#N/A</v>
      </c>
      <c r="AA2419" s="229">
        <f>IFERROR(__xludf.DUMMYFUNCTION("""COMPUTED_VALUE"""),2.0)</f>
        <v>2</v>
      </c>
      <c r="AB2419" s="229"/>
      <c r="AC2419" s="229" t="str">
        <f>IFERROR(__xludf.DUMMYFUNCTION("""COMPUTED_VALUE"""),"9152452#9152457")</f>
        <v>9152452#9152457</v>
      </c>
      <c r="AD2419" s="232">
        <f>IFERROR(__xludf.DUMMYFUNCTION("""COMPUTED_VALUE"""),16.0)</f>
        <v>16</v>
      </c>
      <c r="AE2419" s="233">
        <f>IFERROR(__xludf.DUMMYFUNCTION("""COMPUTED_VALUE"""),46081.0)</f>
        <v>46081</v>
      </c>
      <c r="AF2419" s="54"/>
      <c r="AG2419" s="54"/>
      <c r="AH2419" s="54">
        <v>46127.0</v>
      </c>
      <c r="AI2419" s="55">
        <f t="shared" ref="AI2419:AI2420" si="225">IF(OR(AH2419="",AE2419=""),"",AH2419-AE2419)</f>
        <v>46</v>
      </c>
      <c r="AJ2419" s="229" t="str">
        <f t="shared" ref="AJ2419:AJ2421" si="226">if(AI2419&gt;=0,"Gl in Komitmen","Gl out komitmen")</f>
        <v>Gl in Komitmen</v>
      </c>
      <c r="AW2419" s="234"/>
      <c r="BP2419" s="11"/>
      <c r="BQ2419" s="11"/>
      <c r="BV2419" s="158"/>
      <c r="BY2419" s="158"/>
      <c r="CB2419" s="158"/>
    </row>
    <row r="2420" ht="18.0" customHeight="1">
      <c r="A2420" s="222">
        <f>IFERROR(__xludf.DUMMYFUNCTION("""COMPUTED_VALUE"""),2026.0)</f>
        <v>2026</v>
      </c>
      <c r="B2420" s="221">
        <f>IFERROR(__xludf.DUMMYFUNCTION("""COMPUTED_VALUE"""),1.147748E7)</f>
        <v>11477480</v>
      </c>
      <c r="C2420" s="222" t="str">
        <f>IFERROR(__xludf.DUMMYFUNCTION("""COMPUTED_VALUE"""),"SMB P3I1 EFIZA ANWARSH-TIFFANY M-ALIMUS")</f>
        <v>SMB P3I1 EFIZA ANWARSH-TIFFANY M-ALIMUS</v>
      </c>
      <c r="D2420" s="222" t="str">
        <f>IFERROR(__xludf.DUMMYFUNCTION("""COMPUTED_VALUE"""),"REGIONAL I")</f>
        <v>REGIONAL I</v>
      </c>
      <c r="E2420" s="222" t="str">
        <f>IFERROR(__xludf.DUMMYFUNCTION("""COMPUTED_VALUE"""),"SUMBAR")</f>
        <v>SUMBAR</v>
      </c>
      <c r="F2420" s="222" t="str">
        <f>IFERROR(__xludf.DUMMYFUNCTION("""COMPUTED_VALUE"""),"PNN")</f>
        <v>PNN</v>
      </c>
      <c r="G2420" s="222" t="str">
        <f>IFERROR(__xludf.DUMMYFUNCTION("""COMPUTED_VALUE"""),"SUMBAGTENG")</f>
        <v>SUMBAGTENG</v>
      </c>
      <c r="H2420" s="222" t="str">
        <f>IFERROR(__xludf.DUMMYFUNCTION("""COMPUTED_VALUE"""),"PADANG")</f>
        <v>PADANG</v>
      </c>
      <c r="I2420" s="222" t="str">
        <f>IFERROR(__xludf.DUMMYFUNCTION("""COMPUTED_VALUE"""),"Batch 3")</f>
        <v>Batch 3</v>
      </c>
      <c r="J2420" s="225">
        <f>IFERROR(__xludf.DUMMYFUNCTION("""COMPUTED_VALUE"""),18.0)</f>
        <v>18</v>
      </c>
      <c r="K2420" s="224">
        <f>IFERROR(__xludf.DUMMYFUNCTION("""COMPUTED_VALUE"""),144.0)</f>
        <v>144</v>
      </c>
      <c r="L2420" s="226">
        <f>IFERROR(__xludf.DUMMYFUNCTION("""COMPUTED_VALUE"""),871519.0)</f>
        <v>871519</v>
      </c>
      <c r="M2420" s="227">
        <f>IFERROR(__xludf.DUMMYFUNCTION("""COMPUTED_VALUE"""),1.25498671E8)</f>
        <v>125498671</v>
      </c>
      <c r="N2420" s="222" t="str">
        <f>IFERROR(__xludf.DUMMYFUNCTION("""COMPUTED_VALUE"""),"PT ALAM UTAMA MULIA")</f>
        <v>PT ALAM UTAMA MULIA</v>
      </c>
      <c r="O2420" s="222" t="str">
        <f>IFERROR(__xludf.DUMMYFUNCTION("""COMPUTED_VALUE"""),"7. GOLIVE")</f>
        <v>7. GOLIVE</v>
      </c>
      <c r="P2420" s="222" t="str">
        <f>IFERROR(__xludf.DUMMYFUNCTION("""COMPUTED_VALUE"""),"7.2 Golive Full / OA / DONE OTB")</f>
        <v>7.2 Golive Full / OA / DONE OTB</v>
      </c>
      <c r="Q2420" s="222" t="str">
        <f>IFERROR(__xludf.DUMMYFUNCTION("""COMPUTED_VALUE"""),"(13/04) plan submit ABD HI ke SDI  (06/04) proses matdel KU48 ke site   (30/03) menunggu PO KU ADSS 48 untuk tambah feeder PNN-FC  (16/03) menunggu PO KU ADSS 48 untuk tambah feeder PNN-FC  (10/03) menunggu PO KU ADSS 48 untuk tambah feeder PNN-FC  (02/03"&amp;") progres penarikan feeder   (18/02) menunggu acc tif dan ED terkait penambahan FEEDER (29/01) kendala core feeder PNN-FC FULL, tunggu acc TIF 21/11 : terminasi OK  (kendala feeder PNN-FC full, core stanby perlu cek ulang ) 13/11 : terminasi OK  (kendala "&amp;"feeder PNN-FC full)  06/11 : terminasi OK  (kendala feeder PNN-FC full)   23/10 : terminasi (kendala feeder PNN-FC full)  16/10 : terminasi (kendala feeder full)  13/10 : terminasi (kendala feeder full)  09/10 : terminasi 25/09 : Progres Tanam Tiang  19/0"&amp;"9 : Matdel onsite, besok proses Instalasi. 15/09 : aanwijziing done,, proses eval")</f>
        <v>(13/04) plan submit ABD HI ke SDI  (06/04) proses matdel KU48 ke site   (30/03) menunggu PO KU ADSS 48 untuk tambah feeder PNN-FC  (16/03) menunggu PO KU ADSS 48 untuk tambah feeder PNN-FC  (10/03) menunggu PO KU ADSS 48 untuk tambah feeder PNN-FC  (02/03) progres penarikan feeder   (18/02) menunggu acc tif dan ED terkait penambahan FEEDER (29/01) kendala core feeder PNN-FC FULL, tunggu acc TIF 21/11 : terminasi OK  (kendala feeder PNN-FC full, core stanby perlu cek ulang ) 13/11 : terminasi OK  (kendala feeder PNN-FC full)  06/11 : terminasi OK  (kendala feeder PNN-FC full)   23/10 : terminasi (kendala feeder PNN-FC full)  16/10 : terminasi (kendala feeder full)  13/10 : terminasi (kendala feeder full)  09/10 : terminasi 25/09 : Progres Tanam Tiang  19/09 : Matdel onsite, besok proses Instalasi. 15/09 : aanwijziing done,, proses eval</v>
      </c>
      <c r="R2420" s="228">
        <f>IFERROR(__xludf.DUMMYFUNCTION("""COMPUTED_VALUE"""),46127.0)</f>
        <v>46127</v>
      </c>
      <c r="S2420" s="11" t="str">
        <f>IFERROR(__xludf.DUMMYFUNCTION("""COMPUTED_VALUE"""),"MAR")</f>
        <v>MAR</v>
      </c>
      <c r="T2420" s="73"/>
      <c r="U2420" s="11"/>
      <c r="V2420" s="229" t="str">
        <f>IFERROR(__xludf.DUMMYFUNCTION("""COMPUTED_VALUE"""),"PRAMADIO SEPWILMAN")</f>
        <v>PRAMADIO SEPWILMAN</v>
      </c>
      <c r="W2420" s="229" t="str">
        <f>IFERROR(__xludf.DUMMYFUNCTION("""COMPUTED_VALUE"""),"MELKO NARWADI")</f>
        <v>MELKO NARWADI</v>
      </c>
      <c r="X2420" s="229" t="str">
        <f>IFERROR(__xludf.DUMMYFUNCTION("""COMPUTED_VALUE"""),"GOLIVE")</f>
        <v>GOLIVE</v>
      </c>
      <c r="Y2420" s="229" t="str">
        <f>IFERROR(__xludf.DUMMYFUNCTION("""COMPUTED_VALUE"""),"DONE")</f>
        <v>DONE</v>
      </c>
      <c r="Z2420" s="229" t="str">
        <f>IFERROR(__xludf.DUMMYFUNCTION("""COMPUTED_VALUE"""),"#N/A")</f>
        <v>#N/A</v>
      </c>
      <c r="AA2420" s="229">
        <f>IFERROR(__xludf.DUMMYFUNCTION("""COMPUTED_VALUE"""),16.0)</f>
        <v>16</v>
      </c>
      <c r="AB2420" s="229"/>
      <c r="AC2420" s="229" t="str">
        <f>IFERROR(__xludf.DUMMYFUNCTION("""COMPUTED_VALUE"""),"9273506#9273511")</f>
        <v>9273506#9273511</v>
      </c>
      <c r="AD2420" s="232">
        <f>IFERROR(__xludf.DUMMYFUNCTION("""COMPUTED_VALUE"""),128.0)</f>
        <v>128</v>
      </c>
      <c r="AE2420" s="233">
        <f>IFERROR(__xludf.DUMMYFUNCTION("""COMPUTED_VALUE"""),46127.0)</f>
        <v>46127</v>
      </c>
      <c r="AF2420" s="54"/>
      <c r="AG2420" s="54"/>
      <c r="AH2420" s="54">
        <v>46141.0</v>
      </c>
      <c r="AI2420" s="55">
        <f t="shared" si="225"/>
        <v>14</v>
      </c>
      <c r="AJ2420" s="229" t="str">
        <f t="shared" si="226"/>
        <v>Gl in Komitmen</v>
      </c>
      <c r="AK2420" s="231" t="s">
        <v>199</v>
      </c>
      <c r="AW2420" s="234"/>
      <c r="BP2420" s="11"/>
      <c r="BQ2420" s="11"/>
      <c r="BV2420" s="158"/>
      <c r="BY2420" s="158"/>
      <c r="CB2420" s="158"/>
    </row>
    <row r="2421" ht="18.0" customHeight="1">
      <c r="A2421" s="222">
        <f>IFERROR(__xludf.DUMMYFUNCTION("""COMPUTED_VALUE"""),2026.0)</f>
        <v>2026</v>
      </c>
      <c r="B2421" s="221">
        <f>IFERROR(__xludf.DUMMYFUNCTION("""COMPUTED_VALUE"""),1.1357733E7)</f>
        <v>11357733</v>
      </c>
      <c r="C2421" s="222" t="str">
        <f>IFERROR(__xludf.DUMMYFUNCTION("""COMPUTED_VALUE"""),"RDR JPP PT3 JL PERTIWI PINANG SEBATANG")</f>
        <v>RDR JPP PT3 JL PERTIWI PINANG SEBATANG</v>
      </c>
      <c r="D2421" s="222" t="str">
        <f>IFERROR(__xludf.DUMMYFUNCTION("""COMPUTED_VALUE"""),"REGIONAL I")</f>
        <v>REGIONAL I</v>
      </c>
      <c r="E2421" s="222" t="str">
        <f>IFERROR(__xludf.DUMMYFUNCTION("""COMPUTED_VALUE"""),"RIDAR")</f>
        <v>RIDAR</v>
      </c>
      <c r="F2421" s="222" t="str">
        <f>IFERROR(__xludf.DUMMYFUNCTION("""COMPUTED_VALUE"""),"PWG")</f>
        <v>PWG</v>
      </c>
      <c r="G2421" s="222" t="str">
        <f>IFERROR(__xludf.DUMMYFUNCTION("""COMPUTED_VALUE"""),"SUMBAGTENG")</f>
        <v>SUMBAGTENG</v>
      </c>
      <c r="H2421" s="222" t="str">
        <f>IFERROR(__xludf.DUMMYFUNCTION("""COMPUTED_VALUE"""),"PEKANBARU")</f>
        <v>PEKANBARU</v>
      </c>
      <c r="I2421" s="222" t="str">
        <f>IFERROR(__xludf.DUMMYFUNCTION("""COMPUTED_VALUE"""),"Batch 3")</f>
        <v>Batch 3</v>
      </c>
      <c r="J2421" s="225">
        <f>IFERROR(__xludf.DUMMYFUNCTION("""COMPUTED_VALUE"""),4.0)</f>
        <v>4</v>
      </c>
      <c r="K2421" s="224">
        <f>IFERROR(__xludf.DUMMYFUNCTION("""COMPUTED_VALUE"""),32.0)</f>
        <v>32</v>
      </c>
      <c r="L2421" s="226">
        <f>IFERROR(__xludf.DUMMYFUNCTION("""COMPUTED_VALUE"""),868337.0)</f>
        <v>868337</v>
      </c>
      <c r="M2421" s="227">
        <f>IFERROR(__xludf.DUMMYFUNCTION("""COMPUTED_VALUE"""),2.7786783E7)</f>
        <v>27786783</v>
      </c>
      <c r="N2421" s="222" t="str">
        <f>IFERROR(__xludf.DUMMYFUNCTION("""COMPUTED_VALUE"""),"PT SANGKURIANG CIPTA JAYA TEKNINDO")</f>
        <v>PT SANGKURIANG CIPTA JAYA TEKNINDO</v>
      </c>
      <c r="O2421" s="222" t="str">
        <f>IFERROR(__xludf.DUMMYFUNCTION("""COMPUTED_VALUE"""),"7. GOLIVE")</f>
        <v>7. GOLIVE</v>
      </c>
      <c r="P2421" s="222" t="str">
        <f>IFERROR(__xludf.DUMMYFUNCTION("""COMPUTED_VALUE"""),"7.2 Golive Full / OA / DONE OTB")</f>
        <v>7.2 Golive Full / OA / DONE OTB</v>
      </c>
      <c r="Q2421" s="222" t="str">
        <f>IFERROR(__xludf.DUMMYFUNCTION("""COMPUTED_VALUE"""),"20/04 Plan eksekusi QE 21 April 06/04 Plan esekusi 09 April 27/03 QE Feeder dilanjut W1 April 16/03 Antrian tim QE, Plan Repair 12 Mar 2026 18/02 Antrian Tim utk pekerjaan repair Feeder 12/02 Pengecekan ulang feeder Eksistiing 29/01 Pengecekan core feeder"&amp;" eksisting ODC PWG FE")</f>
        <v>20/04 Plan eksekusi QE 21 April 06/04 Plan esekusi 09 April 27/03 QE Feeder dilanjut W1 April 16/03 Antrian tim QE, Plan Repair 12 Mar 2026 18/02 Antrian Tim utk pekerjaan repair Feeder 12/02 Pengecekan ulang feeder Eksistiing 29/01 Pengecekan core feeder eksisting ODC PWG FE</v>
      </c>
      <c r="R2421" s="228">
        <f>IFERROR(__xludf.DUMMYFUNCTION("""COMPUTED_VALUE"""),46141.0)</f>
        <v>46141</v>
      </c>
      <c r="S2421" s="11" t="str">
        <f>IFERROR(__xludf.DUMMYFUNCTION("""COMPUTED_VALUE"""),"APR")</f>
        <v>APR</v>
      </c>
      <c r="T2421" s="11"/>
      <c r="U2421" s="11"/>
      <c r="V2421" s="229" t="str">
        <f>IFERROR(__xludf.DUMMYFUNCTION("""COMPUTED_VALUE"""),"ASRIL AMINULLAH")</f>
        <v>ASRIL AMINULLAH</v>
      </c>
      <c r="W2421" s="229" t="str">
        <f>IFERROR(__xludf.DUMMYFUNCTION("""COMPUTED_VALUE"""),"DESLITA RAHMADANI")</f>
        <v>DESLITA RAHMADANI</v>
      </c>
      <c r="X2421" s="229" t="str">
        <f>IFERROR(__xludf.DUMMYFUNCTION("""COMPUTED_VALUE"""),"GOLIVE")</f>
        <v>GOLIVE</v>
      </c>
      <c r="Y2421" s="229" t="str">
        <f>IFERROR(__xludf.DUMMYFUNCTION("""COMPUTED_VALUE"""),"DONE")</f>
        <v>DONE</v>
      </c>
      <c r="Z2421" s="229" t="str">
        <f>IFERROR(__xludf.DUMMYFUNCTION("""COMPUTED_VALUE"""),"#N/A")</f>
        <v>#N/A</v>
      </c>
      <c r="AA2421" s="229">
        <f>IFERROR(__xludf.DUMMYFUNCTION("""COMPUTED_VALUE"""),4.0)</f>
        <v>4</v>
      </c>
      <c r="AB2421" s="229"/>
      <c r="AC2421" s="229" t="str">
        <f>IFERROR(__xludf.DUMMYFUNCTION("""COMPUTED_VALUE"""),"9311948#9311953")</f>
        <v>9311948#9311953</v>
      </c>
      <c r="AD2421" s="232">
        <f>IFERROR(__xludf.DUMMYFUNCTION("""COMPUTED_VALUE"""),32.0)</f>
        <v>32</v>
      </c>
      <c r="AE2421" s="233">
        <f>IFERROR(__xludf.DUMMYFUNCTION("""COMPUTED_VALUE"""),46137.0)</f>
        <v>46137</v>
      </c>
      <c r="AF2421" s="54"/>
      <c r="AG2421" s="54"/>
      <c r="AH2421" s="54">
        <v>46142.0</v>
      </c>
      <c r="AI2421" s="55">
        <f>AH2421-AE2421</f>
        <v>5</v>
      </c>
      <c r="AJ2421" s="229" t="str">
        <f t="shared" si="226"/>
        <v>Gl in Komitmen</v>
      </c>
      <c r="AK2421" s="231" t="s">
        <v>199</v>
      </c>
      <c r="AW2421" s="234"/>
      <c r="BP2421" s="11"/>
      <c r="BQ2421" s="11"/>
      <c r="BV2421" s="158"/>
      <c r="BY2421" s="158"/>
      <c r="CB2421" s="158"/>
    </row>
    <row r="2422" ht="18.0" customHeight="1">
      <c r="A2422" s="222">
        <f>IFERROR(__xludf.DUMMYFUNCTION("""COMPUTED_VALUE"""),2026.0)</f>
        <v>2026</v>
      </c>
      <c r="B2422" s="221">
        <f>IFERROR(__xludf.DUMMYFUNCTION("""COMPUTED_VALUE"""),1.2822804E7)</f>
        <v>12822804</v>
      </c>
      <c r="C2422" s="222" t="str">
        <f>IFERROR(__xludf.DUMMYFUNCTION("""COMPUTED_VALUE"""),"RKP TSEL PT3 BUM-FJ KAVLING PELANGI")</f>
        <v>RKP TSEL PT3 BUM-FJ KAVLING PELANGI</v>
      </c>
      <c r="D2422" s="222" t="str">
        <f>IFERROR(__xludf.DUMMYFUNCTION("""COMPUTED_VALUE"""),"REGIONAL I")</f>
        <v>REGIONAL I</v>
      </c>
      <c r="E2422" s="222" t="str">
        <f>IFERROR(__xludf.DUMMYFUNCTION("""COMPUTED_VALUE"""),"RIKEP")</f>
        <v>RIKEP</v>
      </c>
      <c r="F2422" s="222" t="str">
        <f>IFERROR(__xludf.DUMMYFUNCTION("""COMPUTED_VALUE"""),"BUM")</f>
        <v>BUM</v>
      </c>
      <c r="G2422" s="222" t="str">
        <f>IFERROR(__xludf.DUMMYFUNCTION("""COMPUTED_VALUE"""),"SUMBAGTENG")</f>
        <v>SUMBAGTENG</v>
      </c>
      <c r="H2422" s="222" t="str">
        <f>IFERROR(__xludf.DUMMYFUNCTION("""COMPUTED_VALUE"""),"BATAM")</f>
        <v>BATAM</v>
      </c>
      <c r="I2422" s="222" t="str">
        <f>IFERROR(__xludf.DUMMYFUNCTION("""COMPUTED_VALUE"""),"Batch 3")</f>
        <v>Batch 3</v>
      </c>
      <c r="J2422" s="225">
        <f>IFERROR(__xludf.DUMMYFUNCTION("""COMPUTED_VALUE"""),2.0)</f>
        <v>2</v>
      </c>
      <c r="K2422" s="224">
        <f>IFERROR(__xludf.DUMMYFUNCTION("""COMPUTED_VALUE"""),16.0)</f>
        <v>16</v>
      </c>
      <c r="L2422" s="226">
        <f>IFERROR(__xludf.DUMMYFUNCTION("""COMPUTED_VALUE"""),867675.0)</f>
        <v>867675</v>
      </c>
      <c r="M2422" s="227">
        <f>IFERROR(__xludf.DUMMYFUNCTION("""COMPUTED_VALUE"""),1.3882787E7)</f>
        <v>13882787</v>
      </c>
      <c r="N2422" s="222" t="str">
        <f>IFERROR(__xludf.DUMMYFUNCTION("""COMPUTED_VALUE"""),"PT KOPEGTEL BATAM CEMERLANG")</f>
        <v>PT KOPEGTEL BATAM CEMERLANG</v>
      </c>
      <c r="O2422" s="222" t="str">
        <f>IFERROR(__xludf.DUMMYFUNCTION("""COMPUTED_VALUE"""),"0. DROP")</f>
        <v>0. DROP</v>
      </c>
      <c r="P2422" s="222" t="str">
        <f>IFERROR(__xludf.DUMMYFUNCTION("""COMPUTED_VALUE"""),"0.2 Tidak Dapat Izin Warga/Kades/Lurah/Developer")</f>
        <v>0.2 Tidak Dapat Izin Warga/Kades/Lurah/Developer</v>
      </c>
      <c r="Q2422" s="222" t="str">
        <f>IFERROR(__xludf.DUMMYFUNCTION("""COMPUTED_VALUE"""),"12/02 Dari 3 RW, hanya 1 yang acc di posisi ujung kabel. 09/02 sudah anwijzing, menunggu balasan izin dan pembuatan BOQ dan KML survey .06/02 Anwijzing OK, proses periznan. 23/01 Plan anwijzing 26 Jan, Order Baru. 22/01 Order baru, proses penunjukan mitra")</f>
        <v>12/02 Dari 3 RW, hanya 1 yang acc di posisi ujung kabel. 09/02 sudah anwijzing, menunggu balasan izin dan pembuatan BOQ dan KML survey .06/02 Anwijzing OK, proses periznan. 23/01 Plan anwijzing 26 Jan, Order Baru. 22/01 Order baru, proses penunjukan mitra</v>
      </c>
      <c r="R2422" s="228"/>
      <c r="S2422" s="11"/>
      <c r="T2422" s="11"/>
      <c r="U2422" s="11"/>
      <c r="V2422" s="229" t="str">
        <f>IFERROR(__xludf.DUMMYFUNCTION("""COMPUTED_VALUE"""),"RONALDO LEO INFANTRI")</f>
        <v>RONALDO LEO INFANTRI</v>
      </c>
      <c r="W2422" s="229"/>
      <c r="X2422" s="229"/>
      <c r="Y2422" s="229"/>
      <c r="Z2422" s="229" t="str">
        <f>IFERROR(__xludf.DUMMYFUNCTION("""COMPUTED_VALUE"""),"#N/A")</f>
        <v>#N/A</v>
      </c>
      <c r="AA2422" s="229"/>
      <c r="AB2422" s="229"/>
      <c r="AC2422" s="229"/>
      <c r="AD2422" s="232"/>
      <c r="AE2422" s="233"/>
      <c r="AF2422" s="54" t="str">
        <f>IFERROR(__xludf.DUMMYFUNCTION("""COMPUTED_VALUE"""),"Draft BA DROP")</f>
        <v>Draft BA DROP</v>
      </c>
      <c r="AG2422" s="54"/>
      <c r="AH2422" s="54"/>
      <c r="AI2422" s="55" t="str">
        <f t="shared" ref="AI2422:AI2449" si="227">IF(OR(R2422="",AE2422=""),"",R2422-AE2422)</f>
        <v/>
      </c>
      <c r="AW2422" s="234"/>
      <c r="BP2422" s="11"/>
      <c r="BQ2422" s="11"/>
      <c r="BV2422" s="158"/>
      <c r="BY2422" s="158"/>
      <c r="CB2422" s="158"/>
    </row>
    <row r="2423" ht="18.0" hidden="1" customHeight="1">
      <c r="A2423" s="222">
        <f>IFERROR(__xludf.DUMMYFUNCTION("""COMPUTED_VALUE"""),2026.0)</f>
        <v>2026</v>
      </c>
      <c r="B2423" s="221">
        <f>IFERROR(__xludf.DUMMYFUNCTION("""COMPUTED_VALUE"""),1.2786922E7)</f>
        <v>12786922</v>
      </c>
      <c r="C2423" s="222" t="str">
        <f>IFERROR(__xludf.DUMMYFUNCTION("""COMPUTED_VALUE"""),"LPG PT3 JPP LAMPUNG TENGAH_38211 MET")</f>
        <v>LPG PT3 JPP LAMPUNG TENGAH_38211 MET</v>
      </c>
      <c r="D2423" s="222" t="str">
        <f>IFERROR(__xludf.DUMMYFUNCTION("""COMPUTED_VALUE"""),"REGIONAL I")</f>
        <v>REGIONAL I</v>
      </c>
      <c r="E2423" s="222" t="str">
        <f>IFERROR(__xludf.DUMMYFUNCTION("""COMPUTED_VALUE"""),"LAMPUNG")</f>
        <v>LAMPUNG</v>
      </c>
      <c r="F2423" s="222" t="str">
        <f>IFERROR(__xludf.DUMMYFUNCTION("""COMPUTED_VALUE"""),"MET")</f>
        <v>MET</v>
      </c>
      <c r="G2423" s="222" t="str">
        <f>IFERROR(__xludf.DUMMYFUNCTION("""COMPUTED_VALUE"""),"SUMBAGSEL")</f>
        <v>SUMBAGSEL</v>
      </c>
      <c r="H2423" s="222" t="str">
        <f>IFERROR(__xludf.DUMMYFUNCTION("""COMPUTED_VALUE"""),"LAMPUNG")</f>
        <v>LAMPUNG</v>
      </c>
      <c r="I2423" s="222" t="str">
        <f>IFERROR(__xludf.DUMMYFUNCTION("""COMPUTED_VALUE"""),"Batch 3")</f>
        <v>Batch 3</v>
      </c>
      <c r="J2423" s="225">
        <f>IFERROR(__xludf.DUMMYFUNCTION("""COMPUTED_VALUE"""),4.0)</f>
        <v>4</v>
      </c>
      <c r="K2423" s="224">
        <f>IFERROR(__xludf.DUMMYFUNCTION("""COMPUTED_VALUE"""),32.0)</f>
        <v>32</v>
      </c>
      <c r="L2423" s="226">
        <f>IFERROR(__xludf.DUMMYFUNCTION("""COMPUTED_VALUE"""),865616.0)</f>
        <v>865616</v>
      </c>
      <c r="M2423" s="227">
        <f>IFERROR(__xludf.DUMMYFUNCTION("""COMPUTED_VALUE"""),2.7699709E7)</f>
        <v>27699709</v>
      </c>
      <c r="N2423" s="222" t="str">
        <f>IFERROR(__xludf.DUMMYFUNCTION("""COMPUTED_VALUE"""),"PT GARINDO TECHNO MANDIRI")</f>
        <v>PT GARINDO TECHNO MANDIRI</v>
      </c>
      <c r="O2423" s="222" t="str">
        <f>IFERROR(__xludf.DUMMYFUNCTION("""COMPUTED_VALUE"""),"0. DROP")</f>
        <v>0. DROP</v>
      </c>
      <c r="P2423" s="222" t="str">
        <f>IFERROR(__xludf.DUMMYFUNCTION("""COMPUTED_VALUE"""),"0.4 CPP Tinggi Acc ED TIF")</f>
        <v>0.4 CPP Tinggi Acc ED TIF</v>
      </c>
      <c r="Q2423" s="222" t="str">
        <f>IFERROR(__xludf.DUMMYFUNCTION("""COMPUTED_VALUE"""),"14/4 drop nilai cpp tinggi, drop LOP berubah menjadi CSF karena feeder habis 
4/2 stok material kosong ,estimasi tiba 07/2 
2/2 electrical done,on progres cek electrikal
30/1 plan anwizing 
23/1 plan anwizing tanggal 26/4")</f>
        <v>14/4 drop nilai cpp tinggi, drop LOP berubah menjadi CSF karena feeder habis 
4/2 stok material kosong ,estimasi tiba 07/2 
2/2 electrical done,on progres cek electrikal
30/1 plan anwizing 
23/1 plan anwizing tanggal 26/4</v>
      </c>
      <c r="R2423" s="228"/>
      <c r="S2423" s="11"/>
      <c r="T2423" s="11"/>
      <c r="U2423" s="11"/>
      <c r="V2423" s="229"/>
      <c r="W2423" s="229"/>
      <c r="X2423" s="229"/>
      <c r="Y2423" s="229"/>
      <c r="Z2423" s="229" t="str">
        <f>IFERROR(__xludf.DUMMYFUNCTION("""COMPUTED_VALUE"""),"#N/A")</f>
        <v>#N/A</v>
      </c>
      <c r="AA2423" s="229"/>
      <c r="AB2423" s="229"/>
      <c r="AC2423" s="229"/>
      <c r="AD2423" s="232"/>
      <c r="AE2423" s="233"/>
      <c r="AF2423" s="54" t="str">
        <f>IFERROR(__xludf.DUMMYFUNCTION("""COMPUTED_VALUE"""),"Draft BA DROP")</f>
        <v>Draft BA DROP</v>
      </c>
      <c r="AG2423" s="54"/>
      <c r="AH2423" s="54"/>
      <c r="AI2423" s="55" t="str">
        <f t="shared" si="227"/>
        <v/>
      </c>
      <c r="AW2423" s="234"/>
      <c r="BP2423" s="11"/>
      <c r="BQ2423" s="11"/>
      <c r="BV2423" s="158"/>
      <c r="BY2423" s="158"/>
      <c r="CB2423" s="158"/>
    </row>
    <row r="2424" ht="18.0" hidden="1" customHeight="1">
      <c r="A2424" s="222">
        <f>IFERROR(__xludf.DUMMYFUNCTION("""COMPUTED_VALUE"""),2026.0)</f>
        <v>2026</v>
      </c>
      <c r="B2424" s="221">
        <f>IFERROR(__xludf.DUMMYFUNCTION("""COMPUTED_VALUE"""),1.2742472E7)</f>
        <v>12742472</v>
      </c>
      <c r="C2424" s="222" t="str">
        <f>IFERROR(__xludf.DUMMYFUNCTION("""COMPUTED_VALUE"""),"LPG PT3 JPP LAMPUNG UTARA_160420 KBI")</f>
        <v>LPG PT3 JPP LAMPUNG UTARA_160420 KBI</v>
      </c>
      <c r="D2424" s="222" t="str">
        <f>IFERROR(__xludf.DUMMYFUNCTION("""COMPUTED_VALUE"""),"REGIONAL I")</f>
        <v>REGIONAL I</v>
      </c>
      <c r="E2424" s="222" t="str">
        <f>IFERROR(__xludf.DUMMYFUNCTION("""COMPUTED_VALUE"""),"LAMPUNG")</f>
        <v>LAMPUNG</v>
      </c>
      <c r="F2424" s="222" t="str">
        <f>IFERROR(__xludf.DUMMYFUNCTION("""COMPUTED_VALUE"""),"KBI")</f>
        <v>KBI</v>
      </c>
      <c r="G2424" s="222" t="str">
        <f>IFERROR(__xludf.DUMMYFUNCTION("""COMPUTED_VALUE"""),"SUMBAGSEL")</f>
        <v>SUMBAGSEL</v>
      </c>
      <c r="H2424" s="222" t="str">
        <f>IFERROR(__xludf.DUMMYFUNCTION("""COMPUTED_VALUE"""),"LAMPUNG")</f>
        <v>LAMPUNG</v>
      </c>
      <c r="I2424" s="222" t="str">
        <f>IFERROR(__xludf.DUMMYFUNCTION("""COMPUTED_VALUE"""),"Batch 3")</f>
        <v>Batch 3</v>
      </c>
      <c r="J2424" s="225">
        <f>IFERROR(__xludf.DUMMYFUNCTION("""COMPUTED_VALUE"""),2.0)</f>
        <v>2</v>
      </c>
      <c r="K2424" s="224">
        <f>IFERROR(__xludf.DUMMYFUNCTION("""COMPUTED_VALUE"""),16.0)</f>
        <v>16</v>
      </c>
      <c r="L2424" s="226">
        <f>IFERROR(__xludf.DUMMYFUNCTION("""COMPUTED_VALUE"""),862767.0)</f>
        <v>862767</v>
      </c>
      <c r="M2424" s="227">
        <f>IFERROR(__xludf.DUMMYFUNCTION("""COMPUTED_VALUE"""),1.3804266E7)</f>
        <v>13804266</v>
      </c>
      <c r="N2424" s="222" t="str">
        <f>IFERROR(__xludf.DUMMYFUNCTION("""COMPUTED_VALUE"""),"PT KOPRASI PILAR UTAMA")</f>
        <v>PT KOPRASI PILAR UTAMA</v>
      </c>
      <c r="O2424" s="222" t="str">
        <f>IFERROR(__xludf.DUMMYFUNCTION("""COMPUTED_VALUE"""),"0. DROP")</f>
        <v>0. DROP</v>
      </c>
      <c r="P2424" s="222" t="str">
        <f>IFERROR(__xludf.DUMMYFUNCTION("""COMPUTED_VALUE"""),"0.3 Feeder Full")</f>
        <v>0.3 Feeder Full</v>
      </c>
      <c r="Q2424" s="222" t="str">
        <f>IFERROR(__xludf.DUMMYFUNCTION("""COMPUTED_VALUE"""),"20/4 core feeder habis kalau mau Depedensi dengan LOP top site CSF simpang provau  (cpp tinggi) ,, - slot  port  fedeer penuh,atau bisa di hidupkan  dari lop top site , pt4 simpang provau  csf  08/04 slot  port  fedeer penuh,atau bisa di hidupkan  dari lo"&amp;"p top site , pt4 simpang provau  csf
06/04 Proses PR PO baru selesai aandwizing pergantian mitra AUM 2/4 proses pengajuan PR/PO 
31/3 proses pengajuan PR/PO 
25/3 PRoses peralihan  Mitra Pararel perizinan  5/3 progres pengecekan core,, 18/2 Konfirmasi ke "&amp;"tif  6/2 core feeder habis, 
2/2 core feeder habis, 
30/1 on progres kades belum bisa di temui karna ada acra di kecamtan 
28/1 plan anwizing 
30/1 23/1 plan anwizing 27/1")</f>
        <v>20/4 core feeder habis kalau mau Depedensi dengan LOP top site CSF simpang provau  (cpp tinggi) ,, - slot  port  fedeer penuh,atau bisa di hidupkan  dari lop top site , pt4 simpang provau  csf  08/04 slot  port  fedeer penuh,atau bisa di hidupkan  dari lop top site , pt4 simpang provau  csf
06/04 Proses PR PO baru selesai aandwizing pergantian mitra AUM 2/4 proses pengajuan PR/PO 
31/3 proses pengajuan PR/PO 
25/3 PRoses peralihan  Mitra Pararel perizinan  5/3 progres pengecekan core,, 18/2 Konfirmasi ke tif  6/2 core feeder habis, 
2/2 core feeder habis, 
30/1 on progres kades belum bisa di temui karna ada acra di kecamtan 
28/1 plan anwizing 
30/1 23/1 plan anwizing 27/1</v>
      </c>
      <c r="R2424" s="228"/>
      <c r="S2424" s="11"/>
      <c r="T2424" s="11"/>
      <c r="U2424" s="11"/>
      <c r="V2424" s="229"/>
      <c r="W2424" s="229"/>
      <c r="X2424" s="229"/>
      <c r="Y2424" s="229"/>
      <c r="Z2424" s="229" t="str">
        <f>IFERROR(__xludf.DUMMYFUNCTION("""COMPUTED_VALUE"""),"#N/A")</f>
        <v>#N/A</v>
      </c>
      <c r="AA2424" s="229"/>
      <c r="AB2424" s="229"/>
      <c r="AC2424" s="229"/>
      <c r="AD2424" s="232"/>
      <c r="AE2424" s="233"/>
      <c r="AF2424" s="54"/>
      <c r="AG2424" s="54"/>
      <c r="AH2424" s="54"/>
      <c r="AI2424" s="55" t="str">
        <f t="shared" si="227"/>
        <v/>
      </c>
      <c r="AW2424" s="234"/>
      <c r="BP2424" s="11"/>
      <c r="BQ2424" s="11"/>
      <c r="BV2424" s="158"/>
      <c r="BY2424" s="158"/>
      <c r="CB2424" s="158"/>
    </row>
    <row r="2425" ht="18.0" hidden="1" customHeight="1">
      <c r="A2425" s="222">
        <f>IFERROR(__xludf.DUMMYFUNCTION("""COMPUTED_VALUE"""),2026.0)</f>
        <v>2026</v>
      </c>
      <c r="B2425" s="221">
        <f>IFERROR(__xludf.DUMMYFUNCTION("""COMPUTED_VALUE"""),1.1986573E7)</f>
        <v>11986573</v>
      </c>
      <c r="C2425" s="222" t="str">
        <f>IFERROR(__xludf.DUMMYFUNCTION("""COMPUTED_VALUE"""),"BBL PT3 P3I2  KELEKAK USANG 2025")</f>
        <v>BBL PT3 P3I2  KELEKAK USANG 2025</v>
      </c>
      <c r="D2425" s="222" t="str">
        <f>IFERROR(__xludf.DUMMYFUNCTION("""COMPUTED_VALUE"""),"REGIONAL I")</f>
        <v>REGIONAL I</v>
      </c>
      <c r="E2425" s="222" t="str">
        <f>IFERROR(__xludf.DUMMYFUNCTION("""COMPUTED_VALUE"""),"BABEL")</f>
        <v>BABEL</v>
      </c>
      <c r="F2425" s="222" t="str">
        <f>IFERROR(__xludf.DUMMYFUNCTION("""COMPUTED_VALUE"""),"TJN")</f>
        <v>TJN</v>
      </c>
      <c r="G2425" s="222" t="str">
        <f>IFERROR(__xludf.DUMMYFUNCTION("""COMPUTED_VALUE"""),"SUMBAGSEL")</f>
        <v>SUMBAGSEL</v>
      </c>
      <c r="H2425" s="222" t="str">
        <f>IFERROR(__xludf.DUMMYFUNCTION("""COMPUTED_VALUE"""),"PANGKAL PINANG")</f>
        <v>PANGKAL PINANG</v>
      </c>
      <c r="I2425" s="222" t="str">
        <f>IFERROR(__xludf.DUMMYFUNCTION("""COMPUTED_VALUE"""),"Batch 3")</f>
        <v>Batch 3</v>
      </c>
      <c r="J2425" s="225">
        <f>IFERROR(__xludf.DUMMYFUNCTION("""COMPUTED_VALUE"""),4.0)</f>
        <v>4</v>
      </c>
      <c r="K2425" s="224">
        <f>IFERROR(__xludf.DUMMYFUNCTION("""COMPUTED_VALUE"""),32.0)</f>
        <v>32</v>
      </c>
      <c r="L2425" s="226">
        <f>IFERROR(__xludf.DUMMYFUNCTION("""COMPUTED_VALUE"""),861894.0)</f>
        <v>861894</v>
      </c>
      <c r="M2425" s="227">
        <f>IFERROR(__xludf.DUMMYFUNCTION("""COMPUTED_VALUE"""),2.7580582E7)</f>
        <v>27580582</v>
      </c>
      <c r="N2425" s="222" t="str">
        <f>IFERROR(__xludf.DUMMYFUNCTION("""COMPUTED_VALUE"""),"PT Raharja Prakarsa Nusantara")</f>
        <v>PT Raharja Prakarsa Nusantara</v>
      </c>
      <c r="O2425" s="222" t="str">
        <f>IFERROR(__xludf.DUMMYFUNCTION("""COMPUTED_VALUE"""),"7. GOLIVE")</f>
        <v>7. GOLIVE</v>
      </c>
      <c r="P2425" s="222" t="str">
        <f>IFERROR(__xludf.DUMMYFUNCTION("""COMPUTED_VALUE"""),"7.2 Golive Full / OA / DONE OTB")</f>
        <v>7.2 Golive Full / OA / DONE OTB</v>
      </c>
      <c r="Q2425" s="222" t="str">
        <f>IFERROR(__xludf.DUMMYFUNCTION("""COMPUTED_VALUE"""),"(4/2) sudah golive 31/1 (28/1) sudah submit abd v4 , hold golive 31 jan 2026 sesuai permintaan tsel(06/01) finish instalasi (05/01) progres instalasi ODP (02/01) perapian tiang, pelebelan tiang, pengecoran tiang (16/12) tarik kabel done 28/11 penarikan ka"&amp;"bel 12D 1465 done, tanam 3 tiang (27/11) sudah ambil material (26/11) request material (25/11) sudah bisa request (24/11) proses DRM mitra(11/11) created PID done (07/11) anwizing ke lokasi (05/11) penunjukkan mitra")</f>
        <v>(4/2) sudah golive 31/1 (28/1) sudah submit abd v4 , hold golive 31 jan 2026 sesuai permintaan tsel(06/01) finish instalasi (05/01) progres instalasi ODP (02/01) perapian tiang, pelebelan tiang, pengecoran tiang (16/12) tarik kabel done 28/11 penarikan kabel 12D 1465 done, tanam 3 tiang (27/11) sudah ambil material (26/11) request material (25/11) sudah bisa request (24/11) proses DRM mitra(11/11) created PID done (07/11) anwizing ke lokasi (05/11) penunjukkan mitra</v>
      </c>
      <c r="R2425" s="228"/>
      <c r="S2425" s="11"/>
      <c r="T2425" s="11"/>
      <c r="U2425" s="11"/>
      <c r="V2425" s="229"/>
      <c r="W2425" s="229"/>
      <c r="X2425" s="229" t="str">
        <f>IFERROR(__xludf.DUMMYFUNCTION("""COMPUTED_VALUE"""),"GOLIVE")</f>
        <v>GOLIVE</v>
      </c>
      <c r="Y2425" s="229" t="str">
        <f>IFERROR(__xludf.DUMMYFUNCTION("""COMPUTED_VALUE"""),"DONE")</f>
        <v>DONE</v>
      </c>
      <c r="Z2425" s="229" t="str">
        <f>IFERROR(__xludf.DUMMYFUNCTION("""COMPUTED_VALUE"""),"#N/A")</f>
        <v>#N/A</v>
      </c>
      <c r="AA2425" s="229">
        <f>IFERROR(__xludf.DUMMYFUNCTION("""COMPUTED_VALUE"""),2.0)</f>
        <v>2</v>
      </c>
      <c r="AB2425" s="229">
        <f>IFERROR(__xludf.DUMMYFUNCTION("""COMPUTED_VALUE"""),1.0)</f>
        <v>1</v>
      </c>
      <c r="AC2425" s="229" t="str">
        <f>IFERROR(__xludf.DUMMYFUNCTION("""COMPUTED_VALUE"""),"9005991#9005997")</f>
        <v>9005991#9005997</v>
      </c>
      <c r="AD2425" s="232">
        <f>IFERROR(__xludf.DUMMYFUNCTION("""COMPUTED_VALUE"""),32.0)</f>
        <v>32</v>
      </c>
      <c r="AE2425" s="233">
        <f>IFERROR(__xludf.DUMMYFUNCTION("""COMPUTED_VALUE"""),46053.0)</f>
        <v>46053</v>
      </c>
      <c r="AF2425" s="54" t="str">
        <f>IFERROR(__xludf.DUMMYFUNCTION("""COMPUTED_VALUE"""),"DONE")</f>
        <v>DONE</v>
      </c>
      <c r="AG2425" s="54"/>
      <c r="AH2425" s="54"/>
      <c r="AI2425" s="55" t="str">
        <f t="shared" si="227"/>
        <v/>
      </c>
      <c r="AW2425" s="234"/>
      <c r="BP2425" s="11"/>
      <c r="BQ2425" s="11"/>
      <c r="BV2425" s="158"/>
      <c r="BY2425" s="158"/>
      <c r="CB2425" s="158"/>
    </row>
    <row r="2426" ht="18.0" customHeight="1">
      <c r="A2426" s="222">
        <f>IFERROR(__xludf.DUMMYFUNCTION("""COMPUTED_VALUE"""),2026.0)</f>
        <v>2026</v>
      </c>
      <c r="B2426" s="221">
        <f>IFERROR(__xludf.DUMMYFUNCTION("""COMPUTED_VALUE"""),1.2532683E7)</f>
        <v>12532683</v>
      </c>
      <c r="C2426" s="222" t="str">
        <f>IFERROR(__xludf.DUMMYFUNCTION("""COMPUTED_VALUE"""),"RKP TSEL PT3 BTC-FDT 250_490_4054")</f>
        <v>RKP TSEL PT3 BTC-FDT 250_490_4054</v>
      </c>
      <c r="D2426" s="222" t="str">
        <f>IFERROR(__xludf.DUMMYFUNCTION("""COMPUTED_VALUE"""),"REGIONAL I")</f>
        <v>REGIONAL I</v>
      </c>
      <c r="E2426" s="222" t="str">
        <f>IFERROR(__xludf.DUMMYFUNCTION("""COMPUTED_VALUE"""),"RIKEP")</f>
        <v>RIKEP</v>
      </c>
      <c r="F2426" s="222" t="str">
        <f>IFERROR(__xludf.DUMMYFUNCTION("""COMPUTED_VALUE"""),"BTC")</f>
        <v>BTC</v>
      </c>
      <c r="G2426" s="222" t="str">
        <f>IFERROR(__xludf.DUMMYFUNCTION("""COMPUTED_VALUE"""),"SUMBAGTENG")</f>
        <v>SUMBAGTENG</v>
      </c>
      <c r="H2426" s="222" t="str">
        <f>IFERROR(__xludf.DUMMYFUNCTION("""COMPUTED_VALUE"""),"BATAM")</f>
        <v>BATAM</v>
      </c>
      <c r="I2426" s="222" t="str">
        <f>IFERROR(__xludf.DUMMYFUNCTION("""COMPUTED_VALUE"""),"Batch 3")</f>
        <v>Batch 3</v>
      </c>
      <c r="J2426" s="225">
        <f>IFERROR(__xludf.DUMMYFUNCTION("""COMPUTED_VALUE"""),8.0)</f>
        <v>8</v>
      </c>
      <c r="K2426" s="224">
        <f>IFERROR(__xludf.DUMMYFUNCTION("""COMPUTED_VALUE"""),64.0)</f>
        <v>64</v>
      </c>
      <c r="L2426" s="226">
        <f>IFERROR(__xludf.DUMMYFUNCTION("""COMPUTED_VALUE"""),859449.0)</f>
        <v>859449</v>
      </c>
      <c r="M2426" s="227">
        <f>IFERROR(__xludf.DUMMYFUNCTION("""COMPUTED_VALUE"""),5.5004719E7)</f>
        <v>55004719</v>
      </c>
      <c r="N2426" s="222" t="str">
        <f>IFERROR(__xludf.DUMMYFUNCTION("""COMPUTED_VALUE"""),"PT MITRA SETIA INDONESIA")</f>
        <v>PT MITRA SETIA INDONESIA</v>
      </c>
      <c r="O2426" s="222" t="str">
        <f>IFERROR(__xludf.DUMMYFUNCTION("""COMPUTED_VALUE"""),"0. DROP")</f>
        <v>0. DROP</v>
      </c>
      <c r="P2426" s="222" t="str">
        <f>IFERROR(__xludf.DUMMYFUNCTION("""COMPUTED_VALUE"""),"0.2 Tidak Dapat Izin Warga/Kades/Lurah/Developer")</f>
        <v>0.2 Tidak Dapat Izin Warga/Kades/Lurah/Developer</v>
      </c>
      <c r="Q2426" s="222" t="str">
        <f>IFERROR(__xludf.DUMMYFUNCTION("""COMPUTED_VALUE"""),"04/03 RT meminta kompensasi namun di surat tidak menuliskan jumlah kompensasi, di tanya by wa juga tidak ada kejelasan. 26/02 RT tidak dirumah, WA sudah di simpan. 21/02 Peralihan mitra karena mitra tidak ada MP, dari mitra PT ALTONG ke PT MSI. 09/02 LOP "&amp;"blm di survey PT altong. 28/01 Plan survey HI. 26/01  Mitra PT Altong menolak order alasan MP, peralihan mitra. 21/01 plan fu perizinan tanggal 26 Jan")</f>
        <v>04/03 RT meminta kompensasi namun di surat tidak menuliskan jumlah kompensasi, di tanya by wa juga tidak ada kejelasan. 26/02 RT tidak dirumah, WA sudah di simpan. 21/02 Peralihan mitra karena mitra tidak ada MP, dari mitra PT ALTONG ke PT MSI. 09/02 LOP blm di survey PT altong. 28/01 Plan survey HI. 26/01  Mitra PT Altong menolak order alasan MP, peralihan mitra. 21/01 plan fu perizinan tanggal 26 Jan</v>
      </c>
      <c r="R2426" s="228"/>
      <c r="S2426" s="11"/>
      <c r="T2426" s="11"/>
      <c r="U2426" s="11"/>
      <c r="V2426" s="229" t="str">
        <f>IFERROR(__xludf.DUMMYFUNCTION("""COMPUTED_VALUE"""),"GANI PRASTYO")</f>
        <v>GANI PRASTYO</v>
      </c>
      <c r="W2426" s="229"/>
      <c r="X2426" s="229"/>
      <c r="Y2426" s="229"/>
      <c r="Z2426" s="229" t="str">
        <f>IFERROR(__xludf.DUMMYFUNCTION("""COMPUTED_VALUE"""),"#N/A")</f>
        <v>#N/A</v>
      </c>
      <c r="AA2426" s="229"/>
      <c r="AB2426" s="229"/>
      <c r="AC2426" s="229"/>
      <c r="AD2426" s="232"/>
      <c r="AE2426" s="233"/>
      <c r="AF2426" s="54"/>
      <c r="AG2426" s="54"/>
      <c r="AH2426" s="54"/>
      <c r="AI2426" s="55" t="str">
        <f t="shared" si="227"/>
        <v/>
      </c>
      <c r="AW2426" s="234"/>
      <c r="BP2426" s="11"/>
      <c r="BQ2426" s="11"/>
      <c r="BV2426" s="158"/>
      <c r="BY2426" s="158"/>
      <c r="CB2426" s="158"/>
    </row>
    <row r="2427" ht="18.0" customHeight="1">
      <c r="A2427" s="222">
        <f>IFERROR(__xludf.DUMMYFUNCTION("""COMPUTED_VALUE"""),2026.0)</f>
        <v>2026</v>
      </c>
      <c r="B2427" s="221">
        <f>IFERROR(__xludf.DUMMYFUNCTION("""COMPUTED_VALUE"""),1.2528411E7)</f>
        <v>12528411</v>
      </c>
      <c r="C2427" s="222" t="str">
        <f>IFERROR(__xludf.DUMMYFUNCTION("""COMPUTED_VALUE"""),"RKP TSEL PT3 SLU-FDC 250_457_4010")</f>
        <v>RKP TSEL PT3 SLU-FDC 250_457_4010</v>
      </c>
      <c r="D2427" s="222" t="str">
        <f>IFERROR(__xludf.DUMMYFUNCTION("""COMPUTED_VALUE"""),"REGIONAL I")</f>
        <v>REGIONAL I</v>
      </c>
      <c r="E2427" s="222" t="str">
        <f>IFERROR(__xludf.DUMMYFUNCTION("""COMPUTED_VALUE"""),"RIKEP")</f>
        <v>RIKEP</v>
      </c>
      <c r="F2427" s="222" t="str">
        <f>IFERROR(__xludf.DUMMYFUNCTION("""COMPUTED_VALUE"""),"SLU")</f>
        <v>SLU</v>
      </c>
      <c r="G2427" s="222" t="str">
        <f>IFERROR(__xludf.DUMMYFUNCTION("""COMPUTED_VALUE"""),"SUMBAGTENG")</f>
        <v>SUMBAGTENG</v>
      </c>
      <c r="H2427" s="222" t="str">
        <f>IFERROR(__xludf.DUMMYFUNCTION("""COMPUTED_VALUE"""),"BATAM")</f>
        <v>BATAM</v>
      </c>
      <c r="I2427" s="222" t="str">
        <f>IFERROR(__xludf.DUMMYFUNCTION("""COMPUTED_VALUE"""),"Batch 3")</f>
        <v>Batch 3</v>
      </c>
      <c r="J2427" s="225">
        <f>IFERROR(__xludf.DUMMYFUNCTION("""COMPUTED_VALUE"""),1.0)</f>
        <v>1</v>
      </c>
      <c r="K2427" s="224">
        <f>IFERROR(__xludf.DUMMYFUNCTION("""COMPUTED_VALUE"""),8.0)</f>
        <v>8</v>
      </c>
      <c r="L2427" s="226">
        <f>IFERROR(__xludf.DUMMYFUNCTION("""COMPUTED_VALUE"""),859375.0)</f>
        <v>859375</v>
      </c>
      <c r="M2427" s="227">
        <f>IFERROR(__xludf.DUMMYFUNCTION("""COMPUTED_VALUE"""),6874997.0)</f>
        <v>6874997</v>
      </c>
      <c r="N2427" s="222" t="str">
        <f>IFERROR(__xludf.DUMMYFUNCTION("""COMPUTED_VALUE"""),"PT MITRA HOSINDO SEJAHTERA")</f>
        <v>PT MITRA HOSINDO SEJAHTERA</v>
      </c>
      <c r="O2427" s="222" t="str">
        <f>IFERROR(__xludf.DUMMYFUNCTION("""COMPUTED_VALUE"""),"0. DROP")</f>
        <v>0. DROP</v>
      </c>
      <c r="P2427" s="222" t="str">
        <f>IFERROR(__xludf.DUMMYFUNCTION("""COMPUTED_VALUE"""),"0.2 Tidak Dapat Izin Warga/Kades/Lurah/Developer")</f>
        <v>0.2 Tidak Dapat Izin Warga/Kades/Lurah/Developer</v>
      </c>
      <c r="Q2427" s="222" t="str">
        <f>IFERROR(__xludf.DUMMYFUNCTION("""COMPUTED_VALUE"""),"11/02 tanam tiang baru tidak di acc warga karena space jalan kecil dan sudah full cor. 09/02 sudah anwijzing dan perizinan, plan pembuatan BOQ dan KML survey. 29/01 Plan survey 30 Jan. 23/01 Plan anwijzing 26 Jan, Order Baru. 22/01 Order baru, proses penu"&amp;"njukan mitra")</f>
        <v>11/02 tanam tiang baru tidak di acc warga karena space jalan kecil dan sudah full cor. 09/02 sudah anwijzing dan perizinan, plan pembuatan BOQ dan KML survey. 29/01 Plan survey 30 Jan. 23/01 Plan anwijzing 26 Jan, Order Baru. 22/01 Order baru, proses penunjukan mitra</v>
      </c>
      <c r="R2427" s="228"/>
      <c r="S2427" s="11"/>
      <c r="T2427" s="11"/>
      <c r="U2427" s="11"/>
      <c r="V2427" s="229" t="str">
        <f>IFERROR(__xludf.DUMMYFUNCTION("""COMPUTED_VALUE"""),"MUHAMMAD RIDHO FALFO")</f>
        <v>MUHAMMAD RIDHO FALFO</v>
      </c>
      <c r="W2427" s="229"/>
      <c r="X2427" s="229"/>
      <c r="Y2427" s="229"/>
      <c r="Z2427" s="229" t="str">
        <f>IFERROR(__xludf.DUMMYFUNCTION("""COMPUTED_VALUE"""),"#N/A")</f>
        <v>#N/A</v>
      </c>
      <c r="AA2427" s="229"/>
      <c r="AB2427" s="229"/>
      <c r="AC2427" s="229"/>
      <c r="AD2427" s="232"/>
      <c r="AE2427" s="233"/>
      <c r="AF2427" s="54" t="str">
        <f>IFERROR(__xludf.DUMMYFUNCTION("""COMPUTED_VALUE"""),"Draft BA DROP")</f>
        <v>Draft BA DROP</v>
      </c>
      <c r="AG2427" s="54"/>
      <c r="AH2427" s="54"/>
      <c r="AI2427" s="55" t="str">
        <f t="shared" si="227"/>
        <v/>
      </c>
      <c r="AW2427" s="234"/>
      <c r="BP2427" s="11"/>
      <c r="BQ2427" s="11"/>
      <c r="BV2427" s="158"/>
      <c r="BY2427" s="158"/>
      <c r="CB2427" s="158"/>
    </row>
    <row r="2428" ht="18.0" hidden="1" customHeight="1">
      <c r="A2428" s="222">
        <f>IFERROR(__xludf.DUMMYFUNCTION("""COMPUTED_VALUE"""),2026.0)</f>
        <v>2026</v>
      </c>
      <c r="B2428" s="221">
        <f>IFERROR(__xludf.DUMMYFUNCTION("""COMPUTED_VALUE"""),1.139086E7)</f>
        <v>11390860</v>
      </c>
      <c r="C2428" s="222" t="str">
        <f>IFERROR(__xludf.DUMMYFUNCTION("""COMPUTED_VALUE"""),"ACH PT3 TKN TAKENGON BEBESEN")</f>
        <v>ACH PT3 TKN TAKENGON BEBESEN</v>
      </c>
      <c r="D2428" s="222" t="str">
        <f>IFERROR(__xludf.DUMMYFUNCTION("""COMPUTED_VALUE"""),"REGIONAL I")</f>
        <v>REGIONAL I</v>
      </c>
      <c r="E2428" s="222" t="str">
        <f>IFERROR(__xludf.DUMMYFUNCTION("""COMPUTED_VALUE"""),"ACEH")</f>
        <v>ACEH</v>
      </c>
      <c r="F2428" s="222" t="str">
        <f>IFERROR(__xludf.DUMMYFUNCTION("""COMPUTED_VALUE"""),"TKN")</f>
        <v>TKN</v>
      </c>
      <c r="G2428" s="222" t="str">
        <f>IFERROR(__xludf.DUMMYFUNCTION("""COMPUTED_VALUE"""),"SUMBAGUT")</f>
        <v>SUMBAGUT</v>
      </c>
      <c r="H2428" s="222" t="str">
        <f>IFERROR(__xludf.DUMMYFUNCTION("""COMPUTED_VALUE"""),"BANDA ACEH")</f>
        <v>BANDA ACEH</v>
      </c>
      <c r="I2428" s="222" t="str">
        <f>IFERROR(__xludf.DUMMYFUNCTION("""COMPUTED_VALUE"""),"Batch 3")</f>
        <v>Batch 3</v>
      </c>
      <c r="J2428" s="225">
        <f>IFERROR(__xludf.DUMMYFUNCTION("""COMPUTED_VALUE"""),28.0)</f>
        <v>28</v>
      </c>
      <c r="K2428" s="224">
        <f>IFERROR(__xludf.DUMMYFUNCTION("""COMPUTED_VALUE"""),224.0)</f>
        <v>224</v>
      </c>
      <c r="L2428" s="226">
        <f>IFERROR(__xludf.DUMMYFUNCTION("""COMPUTED_VALUE"""),858771.0)</f>
        <v>858771</v>
      </c>
      <c r="M2428" s="227">
        <f>IFERROR(__xludf.DUMMYFUNCTION("""COMPUTED_VALUE"""),1.923646E8)</f>
        <v>192364600</v>
      </c>
      <c r="N2428" s="222" t="str">
        <f>IFERROR(__xludf.DUMMYFUNCTION("""COMPUTED_VALUE"""),"PT KANA PRISMA AKSES")</f>
        <v>PT KANA PRISMA AKSES</v>
      </c>
      <c r="O2428" s="222" t="str">
        <f>IFERROR(__xludf.DUMMYFUNCTION("""COMPUTED_VALUE"""),"7. GOLIVE")</f>
        <v>7. GOLIVE</v>
      </c>
      <c r="P2428" s="222" t="str">
        <f>IFERROR(__xludf.DUMMYFUNCTION("""COMPUTED_VALUE"""),"7.2 Golive Full / OA / DONE OTB")</f>
        <v>7.2 Golive Full / OA / DONE OTB</v>
      </c>
      <c r="Q2428" s="222"/>
      <c r="R2428" s="228">
        <f>IFERROR(__xludf.DUMMYFUNCTION("""COMPUTED_VALUE"""),46042.0)</f>
        <v>46042</v>
      </c>
      <c r="S2428" s="11"/>
      <c r="T2428" s="11"/>
      <c r="U2428" s="11"/>
      <c r="V2428" s="229"/>
      <c r="W2428" s="229"/>
      <c r="X2428" s="229" t="str">
        <f>IFERROR(__xludf.DUMMYFUNCTION("""COMPUTED_VALUE"""),"GOLIVE")</f>
        <v>GOLIVE</v>
      </c>
      <c r="Y2428" s="229" t="str">
        <f>IFERROR(__xludf.DUMMYFUNCTION("""COMPUTED_VALUE"""),"DONE")</f>
        <v>DONE</v>
      </c>
      <c r="Z2428" s="229" t="str">
        <f>IFERROR(__xludf.DUMMYFUNCTION("""COMPUTED_VALUE"""),"#N/A")</f>
        <v>#N/A</v>
      </c>
      <c r="AA2428" s="229">
        <f>IFERROR(__xludf.DUMMYFUNCTION("""COMPUTED_VALUE"""),37.0)</f>
        <v>37</v>
      </c>
      <c r="AB2428" s="229"/>
      <c r="AC2428" s="229" t="str">
        <f>IFERROR(__xludf.DUMMYFUNCTION("""COMPUTED_VALUE"""),"8986050#8986055")</f>
        <v>8986050#8986055</v>
      </c>
      <c r="AD2428" s="232">
        <f>IFERROR(__xludf.DUMMYFUNCTION("""COMPUTED_VALUE"""),296.0)</f>
        <v>296</v>
      </c>
      <c r="AE2428" s="233">
        <f>IFERROR(__xludf.DUMMYFUNCTION("""COMPUTED_VALUE"""),46042.0)</f>
        <v>46042</v>
      </c>
      <c r="AF2428" s="54"/>
      <c r="AG2428" s="54"/>
      <c r="AH2428" s="54">
        <v>46042.0</v>
      </c>
      <c r="AI2428" s="55">
        <f t="shared" si="227"/>
        <v>0</v>
      </c>
      <c r="AW2428" s="234"/>
      <c r="BP2428" s="11"/>
      <c r="BQ2428" s="11"/>
      <c r="BV2428" s="158"/>
      <c r="BY2428" s="158"/>
      <c r="CB2428" s="158"/>
    </row>
    <row r="2429" ht="18.0" hidden="1" customHeight="1">
      <c r="A2429" s="222">
        <f>IFERROR(__xludf.DUMMYFUNCTION("""COMPUTED_VALUE"""),2026.0)</f>
        <v>2026</v>
      </c>
      <c r="B2429" s="221">
        <f>IFERROR(__xludf.DUMMYFUNCTION("""COMPUTED_VALUE"""),1.2741961E7)</f>
        <v>12741961</v>
      </c>
      <c r="C2429" s="222" t="str">
        <f>IFERROR(__xludf.DUMMYFUNCTION("""COMPUTED_VALUE"""),"LPG PT3 JPP LAMPUNG UTARA_38130 BKM")</f>
        <v>LPG PT3 JPP LAMPUNG UTARA_38130 BKM</v>
      </c>
      <c r="D2429" s="222" t="str">
        <f>IFERROR(__xludf.DUMMYFUNCTION("""COMPUTED_VALUE"""),"REGIONAL I")</f>
        <v>REGIONAL I</v>
      </c>
      <c r="E2429" s="222" t="str">
        <f>IFERROR(__xludf.DUMMYFUNCTION("""COMPUTED_VALUE"""),"LAMPUNG")</f>
        <v>LAMPUNG</v>
      </c>
      <c r="F2429" s="222" t="str">
        <f>IFERROR(__xludf.DUMMYFUNCTION("""COMPUTED_VALUE"""),"BKM")</f>
        <v>BKM</v>
      </c>
      <c r="G2429" s="222" t="str">
        <f>IFERROR(__xludf.DUMMYFUNCTION("""COMPUTED_VALUE"""),"SUMBAGSEL")</f>
        <v>SUMBAGSEL</v>
      </c>
      <c r="H2429" s="222" t="str">
        <f>IFERROR(__xludf.DUMMYFUNCTION("""COMPUTED_VALUE"""),"LAMPUNG")</f>
        <v>LAMPUNG</v>
      </c>
      <c r="I2429" s="222" t="str">
        <f>IFERROR(__xludf.DUMMYFUNCTION("""COMPUTED_VALUE"""),"Batch 3")</f>
        <v>Batch 3</v>
      </c>
      <c r="J2429" s="225">
        <f>IFERROR(__xludf.DUMMYFUNCTION("""COMPUTED_VALUE"""),5.0)</f>
        <v>5</v>
      </c>
      <c r="K2429" s="224">
        <f>IFERROR(__xludf.DUMMYFUNCTION("""COMPUTED_VALUE"""),40.0)</f>
        <v>40</v>
      </c>
      <c r="L2429" s="226">
        <f>IFERROR(__xludf.DUMMYFUNCTION("""COMPUTED_VALUE"""),856703.0)</f>
        <v>856703</v>
      </c>
      <c r="M2429" s="227">
        <f>IFERROR(__xludf.DUMMYFUNCTION("""COMPUTED_VALUE"""),3.4268113E7)</f>
        <v>34268113</v>
      </c>
      <c r="N2429" s="222" t="str">
        <f>IFERROR(__xludf.DUMMYFUNCTION("""COMPUTED_VALUE"""),"PT ALAM UTAMA MULIA")</f>
        <v>PT ALAM UTAMA MULIA</v>
      </c>
      <c r="O2429" s="222" t="str">
        <f>IFERROR(__xludf.DUMMYFUNCTION("""COMPUTED_VALUE"""),"0. DROP")</f>
        <v>0. DROP</v>
      </c>
      <c r="P2429" s="222" t="str">
        <f>IFERROR(__xludf.DUMMYFUNCTION("""COMPUTED_VALUE"""),"0.4 CPP Tinggi Acc ED TIF")</f>
        <v>0.4 CPP Tinggi Acc ED TIF</v>
      </c>
      <c r="Q2429" s="222" t="str">
        <f>IFERROR(__xludf.DUMMYFUNCTION("""COMPUTED_VALUE"""),"3/3 drop - kenaikan BOQ tinggi 6/2 kendala fedeer tidak ada yang tembus 
4/2 proses perizinan dan pengecekan core, estimasi keputusan 11/2 
30/1 menungu hasil musyawarah antara masyarakat dan aparatur desa 
28/1 plan anwizing 30/1 
23/1 plan anwizing 27/1")</f>
        <v>3/3 drop - kenaikan BOQ tinggi 6/2 kendala fedeer tidak ada yang tembus 
4/2 proses perizinan dan pengecekan core, estimasi keputusan 11/2 
30/1 menungu hasil musyawarah antara masyarakat dan aparatur desa 
28/1 plan anwizing 30/1 
23/1 plan anwizing 27/1</v>
      </c>
      <c r="R2429" s="228"/>
      <c r="S2429" s="11"/>
      <c r="T2429" s="11"/>
      <c r="U2429" s="11"/>
      <c r="V2429" s="229"/>
      <c r="W2429" s="229"/>
      <c r="X2429" s="229"/>
      <c r="Y2429" s="229"/>
      <c r="Z2429" s="229" t="str">
        <f>IFERROR(__xludf.DUMMYFUNCTION("""COMPUTED_VALUE"""),"#N/A")</f>
        <v>#N/A</v>
      </c>
      <c r="AA2429" s="229"/>
      <c r="AB2429" s="229"/>
      <c r="AC2429" s="229"/>
      <c r="AD2429" s="232"/>
      <c r="AE2429" s="233"/>
      <c r="AF2429" s="54" t="str">
        <f>IFERROR(__xludf.DUMMYFUNCTION("""COMPUTED_VALUE"""),"Draft BA DROP")</f>
        <v>Draft BA DROP</v>
      </c>
      <c r="AG2429" s="54"/>
      <c r="AH2429" s="54"/>
      <c r="AI2429" s="55" t="str">
        <f t="shared" si="227"/>
        <v/>
      </c>
      <c r="AW2429" s="234"/>
      <c r="BP2429" s="11"/>
      <c r="BQ2429" s="11"/>
      <c r="BV2429" s="158"/>
      <c r="BY2429" s="158"/>
      <c r="CB2429" s="158"/>
    </row>
    <row r="2430" ht="18.0" hidden="1" customHeight="1">
      <c r="A2430" s="222">
        <f>IFERROR(__xludf.DUMMYFUNCTION("""COMPUTED_VALUE"""),2026.0)</f>
        <v>2026</v>
      </c>
      <c r="B2430" s="221">
        <f>IFERROR(__xludf.DUMMYFUNCTION("""COMPUTED_VALUE"""),1.282304E7)</f>
        <v>12823040</v>
      </c>
      <c r="C2430" s="222" t="str">
        <f>IFERROR(__xludf.DUMMYFUNCTION("""COMPUTED_VALUE"""),"MDN PT3 TMU-FAD JL.ANGSANA 250_1608_1692")</f>
        <v>MDN PT3 TMU-FAD JL.ANGSANA 250_1608_1692</v>
      </c>
      <c r="D2430" s="222" t="str">
        <f>IFERROR(__xludf.DUMMYFUNCTION("""COMPUTED_VALUE"""),"REGIONAL I")</f>
        <v>REGIONAL I</v>
      </c>
      <c r="E2430" s="222" t="str">
        <f>IFERROR(__xludf.DUMMYFUNCTION("""COMPUTED_VALUE"""),"MEDAN")</f>
        <v>MEDAN</v>
      </c>
      <c r="F2430" s="222" t="str">
        <f>IFERROR(__xludf.DUMMYFUNCTION("""COMPUTED_VALUE"""),"TMU")</f>
        <v>TMU</v>
      </c>
      <c r="G2430" s="222" t="str">
        <f>IFERROR(__xludf.DUMMYFUNCTION("""COMPUTED_VALUE"""),"SUMBAGUT")</f>
        <v>SUMBAGUT</v>
      </c>
      <c r="H2430" s="222" t="str">
        <f>IFERROR(__xludf.DUMMYFUNCTION("""COMPUTED_VALUE"""),"MEDAN")</f>
        <v>MEDAN</v>
      </c>
      <c r="I2430" s="222" t="str">
        <f>IFERROR(__xludf.DUMMYFUNCTION("""COMPUTED_VALUE"""),"Batch 3")</f>
        <v>Batch 3</v>
      </c>
      <c r="J2430" s="225">
        <f>IFERROR(__xludf.DUMMYFUNCTION("""COMPUTED_VALUE"""),2.0)</f>
        <v>2</v>
      </c>
      <c r="K2430" s="224">
        <f>IFERROR(__xludf.DUMMYFUNCTION("""COMPUTED_VALUE"""),16.0)</f>
        <v>16</v>
      </c>
      <c r="L2430" s="226">
        <f>IFERROR(__xludf.DUMMYFUNCTION("""COMPUTED_VALUE"""),854499.0)</f>
        <v>854499</v>
      </c>
      <c r="M2430" s="227">
        <f>IFERROR(__xludf.DUMMYFUNCTION("""COMPUTED_VALUE"""),1.3671981E7)</f>
        <v>13671981</v>
      </c>
      <c r="N2430" s="222" t="str">
        <f>IFERROR(__xludf.DUMMYFUNCTION("""COMPUTED_VALUE"""),"PT DUL JAYA TAMA")</f>
        <v>PT DUL JAYA TAMA</v>
      </c>
      <c r="O2430" s="222" t="str">
        <f>IFERROR(__xludf.DUMMYFUNCTION("""COMPUTED_VALUE"""),"7. GOLIVE")</f>
        <v>7. GOLIVE</v>
      </c>
      <c r="P2430" s="222" t="str">
        <f>IFERROR(__xludf.DUMMYFUNCTION("""COMPUTED_VALUE"""),"7.2 Golive Full / OA / DONE OTB")</f>
        <v>7.2 Golive Full / OA / DONE OTB</v>
      </c>
      <c r="Q2430" s="222" t="str">
        <f>IFERROR(__xludf.DUMMYFUNCTION("""COMPUTED_VALUE"""),"03/03 proses valins 20/02 Penarikan KU 11/02 Prelim Approved TIF 04/02 Aanwidzing OK, lanjut perizinan")</f>
        <v>03/03 proses valins 20/02 Penarikan KU 11/02 Prelim Approved TIF 04/02 Aanwidzing OK, lanjut perizinan</v>
      </c>
      <c r="R2430" s="228">
        <f>IFERROR(__xludf.DUMMYFUNCTION("""COMPUTED_VALUE"""),46087.0)</f>
        <v>46087</v>
      </c>
      <c r="S2430" s="11" t="str">
        <f>IFERROR(__xludf.DUMMYFUNCTION("""COMPUTED_VALUE"""),"MAR")</f>
        <v>MAR</v>
      </c>
      <c r="T2430" s="11"/>
      <c r="U2430" s="11"/>
      <c r="V2430" s="229"/>
      <c r="W2430" s="229"/>
      <c r="X2430" s="229" t="str">
        <f>IFERROR(__xludf.DUMMYFUNCTION("""COMPUTED_VALUE"""),"GOLIVE")</f>
        <v>GOLIVE</v>
      </c>
      <c r="Y2430" s="229" t="str">
        <f>IFERROR(__xludf.DUMMYFUNCTION("""COMPUTED_VALUE"""),"DONE")</f>
        <v>DONE</v>
      </c>
      <c r="Z2430" s="229" t="str">
        <f>IFERROR(__xludf.DUMMYFUNCTION("""COMPUTED_VALUE"""),"#N/A")</f>
        <v>#N/A</v>
      </c>
      <c r="AA2430" s="229">
        <f>IFERROR(__xludf.DUMMYFUNCTION("""COMPUTED_VALUE"""),2.0)</f>
        <v>2</v>
      </c>
      <c r="AB2430" s="229"/>
      <c r="AC2430" s="229" t="str">
        <f>IFERROR(__xludf.DUMMYFUNCTION("""COMPUTED_VALUE"""),"9185688#9185693")</f>
        <v>9185688#9185693</v>
      </c>
      <c r="AD2430" s="232">
        <f>IFERROR(__xludf.DUMMYFUNCTION("""COMPUTED_VALUE"""),16.0)</f>
        <v>16</v>
      </c>
      <c r="AE2430" s="233">
        <f>IFERROR(__xludf.DUMMYFUNCTION("""COMPUTED_VALUE"""),46088.0)</f>
        <v>46088</v>
      </c>
      <c r="AF2430" s="54"/>
      <c r="AG2430" s="54"/>
      <c r="AH2430" s="54">
        <v>46087.0</v>
      </c>
      <c r="AI2430" s="55">
        <f t="shared" si="227"/>
        <v>-1</v>
      </c>
      <c r="AW2430" s="234"/>
      <c r="BP2430" s="11"/>
      <c r="BQ2430" s="11"/>
      <c r="BV2430" s="158"/>
      <c r="BY2430" s="158"/>
      <c r="CB2430" s="158"/>
    </row>
    <row r="2431" ht="18.0" hidden="1" customHeight="1">
      <c r="A2431" s="222">
        <f>IFERROR(__xludf.DUMMYFUNCTION("""COMPUTED_VALUE"""),2026.0)</f>
        <v>2026</v>
      </c>
      <c r="B2431" s="221">
        <f>IFERROR(__xludf.DUMMYFUNCTION("""COMPUTED_VALUE"""),1.243878E7)</f>
        <v>12438780</v>
      </c>
      <c r="C2431" s="222" t="str">
        <f>IFERROR(__xludf.DUMMYFUNCTION("""COMPUTED_VALUE"""),"MDN PT3 SPM-FCG JL.PANTAI HALIM_MD25")</f>
        <v>MDN PT3 SPM-FCG JL.PANTAI HALIM_MD25</v>
      </c>
      <c r="D2431" s="222" t="str">
        <f>IFERROR(__xludf.DUMMYFUNCTION("""COMPUTED_VALUE"""),"REGIONAL I")</f>
        <v>REGIONAL I</v>
      </c>
      <c r="E2431" s="222" t="str">
        <f>IFERROR(__xludf.DUMMYFUNCTION("""COMPUTED_VALUE"""),"MEDAN")</f>
        <v>MEDAN</v>
      </c>
      <c r="F2431" s="222" t="str">
        <f>IFERROR(__xludf.DUMMYFUNCTION("""COMPUTED_VALUE"""),"SPM")</f>
        <v>SPM</v>
      </c>
      <c r="G2431" s="222" t="str">
        <f>IFERROR(__xludf.DUMMYFUNCTION("""COMPUTED_VALUE"""),"SUMBAGUT")</f>
        <v>SUMBAGUT</v>
      </c>
      <c r="H2431" s="222" t="str">
        <f>IFERROR(__xludf.DUMMYFUNCTION("""COMPUTED_VALUE"""),"MEDAN")</f>
        <v>MEDAN</v>
      </c>
      <c r="I2431" s="222" t="str">
        <f>IFERROR(__xludf.DUMMYFUNCTION("""COMPUTED_VALUE"""),"Batch 3")</f>
        <v>Batch 3</v>
      </c>
      <c r="J2431" s="225">
        <f>IFERROR(__xludf.DUMMYFUNCTION("""COMPUTED_VALUE"""),4.0)</f>
        <v>4</v>
      </c>
      <c r="K2431" s="224">
        <f>IFERROR(__xludf.DUMMYFUNCTION("""COMPUTED_VALUE"""),32.0)</f>
        <v>32</v>
      </c>
      <c r="L2431" s="226">
        <f>IFERROR(__xludf.DUMMYFUNCTION("""COMPUTED_VALUE"""),854109.0)</f>
        <v>854109</v>
      </c>
      <c r="M2431" s="227">
        <f>IFERROR(__xludf.DUMMYFUNCTION("""COMPUTED_VALUE"""),2.7331467E7)</f>
        <v>27331467</v>
      </c>
      <c r="N2431" s="222" t="str">
        <f>IFERROR(__xludf.DUMMYFUNCTION("""COMPUTED_VALUE"""),"PT BENWA  MITRA PRATAMA")</f>
        <v>PT BENWA  MITRA PRATAMA</v>
      </c>
      <c r="O2431" s="222" t="str">
        <f>IFERROR(__xludf.DUMMYFUNCTION("""COMPUTED_VALUE"""),"1. AANWIJZING")</f>
        <v>1. AANWIJZING</v>
      </c>
      <c r="P2431" s="222" t="str">
        <f>IFERROR(__xludf.DUMMYFUNCTION("""COMPUTED_VALUE"""),"1.6 Ongoing Aanwidjzing")</f>
        <v>1.6 Ongoing Aanwidjzing</v>
      </c>
      <c r="Q2431" s="222" t="str">
        <f>IFERROR(__xludf.DUMMYFUNCTION("""COMPUTED_VALUE"""),"21/04 re order mitra benwa (20/04) takeover ke mitra lain
08/04 antrian pekerjaan setelah SPM-FBR KOTA MEDAN 8987 10/03 komitmen FI W2 apr 2026 18/02 Perizinan ke warga")</f>
        <v>21/04 re order mitra benwa (20/04) takeover ke mitra lain
08/04 antrian pekerjaan setelah SPM-FBR KOTA MEDAN 8987 10/03 komitmen FI W2 apr 2026 18/02 Perizinan ke warga</v>
      </c>
      <c r="R2431" s="228"/>
      <c r="S2431" s="11"/>
      <c r="T2431" s="73"/>
      <c r="U2431" s="11"/>
      <c r="V2431" s="229"/>
      <c r="W2431" s="229" t="str">
        <f>IFERROR(__xludf.DUMMYFUNCTION("""COMPUTED_VALUE"""),"#N/A")</f>
        <v>#N/A</v>
      </c>
      <c r="X2431" s="229" t="str">
        <f>IFERROR(__xludf.DUMMYFUNCTION("""COMPUTED_VALUE"""),"BELUM GOLIVE")</f>
        <v>BELUM GOLIVE</v>
      </c>
      <c r="Y2431" s="229"/>
      <c r="Z2431" s="229" t="str">
        <f>IFERROR(__xludf.DUMMYFUNCTION("""COMPUTED_VALUE"""),"#N/A")</f>
        <v>#N/A</v>
      </c>
      <c r="AA2431" s="229"/>
      <c r="AB2431" s="229"/>
      <c r="AC2431" s="229"/>
      <c r="AD2431" s="232"/>
      <c r="AE2431" s="233"/>
      <c r="AF2431" s="54"/>
      <c r="AG2431" s="54"/>
      <c r="AH2431" s="54">
        <v>46132.0</v>
      </c>
      <c r="AI2431" s="55" t="str">
        <f t="shared" si="227"/>
        <v/>
      </c>
      <c r="AW2431" s="234"/>
      <c r="BP2431" s="11"/>
      <c r="BQ2431" s="11"/>
      <c r="BV2431" s="158"/>
      <c r="BY2431" s="158"/>
      <c r="CB2431" s="158"/>
    </row>
    <row r="2432" ht="18.0" hidden="1" customHeight="1">
      <c r="A2432" s="222">
        <f>IFERROR(__xludf.DUMMYFUNCTION("""COMPUTED_VALUE"""),2026.0)</f>
        <v>2026</v>
      </c>
      <c r="B2432" s="221">
        <f>IFERROR(__xludf.DUMMYFUNCTION("""COMPUTED_VALUE"""),1.2681129E7)</f>
        <v>12681129</v>
      </c>
      <c r="C2432" s="222" t="str">
        <f>IFERROR(__xludf.DUMMYFUNCTION("""COMPUTED_VALUE"""),"LPG PT3 JPP KOTA METRO_19784 MET")</f>
        <v>LPG PT3 JPP KOTA METRO_19784 MET</v>
      </c>
      <c r="D2432" s="222" t="str">
        <f>IFERROR(__xludf.DUMMYFUNCTION("""COMPUTED_VALUE"""),"REGIONAL I")</f>
        <v>REGIONAL I</v>
      </c>
      <c r="E2432" s="222" t="str">
        <f>IFERROR(__xludf.DUMMYFUNCTION("""COMPUTED_VALUE"""),"LAMPUNG")</f>
        <v>LAMPUNG</v>
      </c>
      <c r="F2432" s="222" t="str">
        <f>IFERROR(__xludf.DUMMYFUNCTION("""COMPUTED_VALUE"""),"MET")</f>
        <v>MET</v>
      </c>
      <c r="G2432" s="222" t="str">
        <f>IFERROR(__xludf.DUMMYFUNCTION("""COMPUTED_VALUE"""),"SUMBAGSEL")</f>
        <v>SUMBAGSEL</v>
      </c>
      <c r="H2432" s="222" t="str">
        <f>IFERROR(__xludf.DUMMYFUNCTION("""COMPUTED_VALUE"""),"LAMPUNG")</f>
        <v>LAMPUNG</v>
      </c>
      <c r="I2432" s="222" t="str">
        <f>IFERROR(__xludf.DUMMYFUNCTION("""COMPUTED_VALUE"""),"Batch 3")</f>
        <v>Batch 3</v>
      </c>
      <c r="J2432" s="225">
        <f>IFERROR(__xludf.DUMMYFUNCTION("""COMPUTED_VALUE"""),4.0)</f>
        <v>4</v>
      </c>
      <c r="K2432" s="224">
        <f>IFERROR(__xludf.DUMMYFUNCTION("""COMPUTED_VALUE"""),32.0)</f>
        <v>32</v>
      </c>
      <c r="L2432" s="226">
        <f>IFERROR(__xludf.DUMMYFUNCTION("""COMPUTED_VALUE"""),852010.0)</f>
        <v>852010</v>
      </c>
      <c r="M2432" s="227">
        <f>IFERROR(__xludf.DUMMYFUNCTION("""COMPUTED_VALUE"""),2.72643E7)</f>
        <v>27264300</v>
      </c>
      <c r="N2432" s="222" t="str">
        <f>IFERROR(__xludf.DUMMYFUNCTION("""COMPUTED_VALUE"""),"PT FAJAR MITRA KRIDA ABADI")</f>
        <v>PT FAJAR MITRA KRIDA ABADI</v>
      </c>
      <c r="O2432" s="222" t="str">
        <f>IFERROR(__xludf.DUMMYFUNCTION("""COMPUTED_VALUE"""),"0. DROP")</f>
        <v>0. DROP</v>
      </c>
      <c r="P2432" s="222" t="str">
        <f>IFERROR(__xludf.DUMMYFUNCTION("""COMPUTED_VALUE"""),"0.2 Tidak Dapat Izin Warga/Kades/Lurah/Developer")</f>
        <v>0.2 Tidak Dapat Izin Warga/Kades/Lurah/Developer</v>
      </c>
      <c r="Q2432" s="222" t="str">
        <f>IFERROR(__xludf.DUMMYFUNCTION("""COMPUTED_VALUE"""),"6/2 Tidak dapat izin dari lurah")</f>
        <v>6/2 Tidak dapat izin dari lurah</v>
      </c>
      <c r="R2432" s="228"/>
      <c r="S2432" s="11"/>
      <c r="T2432" s="11"/>
      <c r="U2432" s="11"/>
      <c r="V2432" s="229"/>
      <c r="W2432" s="229"/>
      <c r="X2432" s="229"/>
      <c r="Y2432" s="229"/>
      <c r="Z2432" s="229" t="str">
        <f>IFERROR(__xludf.DUMMYFUNCTION("""COMPUTED_VALUE"""),"#N/A")</f>
        <v>#N/A</v>
      </c>
      <c r="AA2432" s="229"/>
      <c r="AB2432" s="229"/>
      <c r="AC2432" s="229"/>
      <c r="AD2432" s="232"/>
      <c r="AE2432" s="233"/>
      <c r="AF2432" s="54" t="str">
        <f>IFERROR(__xludf.DUMMYFUNCTION("""COMPUTED_VALUE"""),"Draft BA DROP")</f>
        <v>Draft BA DROP</v>
      </c>
      <c r="AG2432" s="54"/>
      <c r="AH2432" s="54"/>
      <c r="AI2432" s="55" t="str">
        <f t="shared" si="227"/>
        <v/>
      </c>
      <c r="AW2432" s="234"/>
      <c r="BP2432" s="11"/>
      <c r="BQ2432" s="11"/>
      <c r="BV2432" s="158"/>
      <c r="BY2432" s="158"/>
      <c r="CB2432" s="158"/>
    </row>
    <row r="2433" ht="18.0" customHeight="1">
      <c r="A2433" s="222">
        <f>IFERROR(__xludf.DUMMYFUNCTION("""COMPUTED_VALUE"""),2026.0)</f>
        <v>2026</v>
      </c>
      <c r="B2433" s="221">
        <f>IFERROR(__xludf.DUMMYFUNCTION("""COMPUTED_VALUE"""),1.2596752E7)</f>
        <v>12596752</v>
      </c>
      <c r="C2433" s="222" t="str">
        <f>IFERROR(__xludf.DUMMYFUNCTION("""COMPUTED_VALUE"""),"SMB-PT3-ODC-NRS-FB-259_2300-256_2304")</f>
        <v>SMB-PT3-ODC-NRS-FB-259_2300-256_2304</v>
      </c>
      <c r="D2433" s="222" t="str">
        <f>IFERROR(__xludf.DUMMYFUNCTION("""COMPUTED_VALUE"""),"REGIONAL I")</f>
        <v>REGIONAL I</v>
      </c>
      <c r="E2433" s="222" t="str">
        <f>IFERROR(__xludf.DUMMYFUNCTION("""COMPUTED_VALUE"""),"SUMBAR")</f>
        <v>SUMBAR</v>
      </c>
      <c r="F2433" s="222" t="str">
        <f>IFERROR(__xludf.DUMMYFUNCTION("""COMPUTED_VALUE"""),"NRS")</f>
        <v>NRS</v>
      </c>
      <c r="G2433" s="222" t="str">
        <f>IFERROR(__xludf.DUMMYFUNCTION("""COMPUTED_VALUE"""),"SUMBAGTENG")</f>
        <v>SUMBAGTENG</v>
      </c>
      <c r="H2433" s="222" t="str">
        <f>IFERROR(__xludf.DUMMYFUNCTION("""COMPUTED_VALUE"""),"BUKIT TINGGI")</f>
        <v>BUKIT TINGGI</v>
      </c>
      <c r="I2433" s="222" t="str">
        <f>IFERROR(__xludf.DUMMYFUNCTION("""COMPUTED_VALUE"""),"Batch 3")</f>
        <v>Batch 3</v>
      </c>
      <c r="J2433" s="225">
        <f>IFERROR(__xludf.DUMMYFUNCTION("""COMPUTED_VALUE"""),3.0)</f>
        <v>3</v>
      </c>
      <c r="K2433" s="224">
        <f>IFERROR(__xludf.DUMMYFUNCTION("""COMPUTED_VALUE"""),24.0)</f>
        <v>24</v>
      </c>
      <c r="L2433" s="226">
        <f>IFERROR(__xludf.DUMMYFUNCTION("""COMPUTED_VALUE"""),851714.0)</f>
        <v>851714</v>
      </c>
      <c r="M2433" s="227">
        <f>IFERROR(__xludf.DUMMYFUNCTION("""COMPUTED_VALUE"""),2.0441118E7)</f>
        <v>20441118</v>
      </c>
      <c r="N2433" s="222" t="str">
        <f>IFERROR(__xludf.DUMMYFUNCTION("""COMPUTED_VALUE"""),"PT TIGA AKSES MANDIRI")</f>
        <v>PT TIGA AKSES MANDIRI</v>
      </c>
      <c r="O2433" s="222" t="str">
        <f>IFERROR(__xludf.DUMMYFUNCTION("""COMPUTED_VALUE"""),"0. DROP")</f>
        <v>0. DROP</v>
      </c>
      <c r="P2433" s="222" t="str">
        <f>IFERROR(__xludf.DUMMYFUNCTION("""COMPUTED_VALUE"""),"0.5 DROP TSEL - Acc ED TIF")</f>
        <v>0.5 DROP TSEL - Acc ED TIF</v>
      </c>
      <c r="Q2433"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2433" s="228"/>
      <c r="S2433" s="11"/>
      <c r="T2433" s="11"/>
      <c r="U2433" s="11"/>
      <c r="V2433" s="229" t="str">
        <f>IFERROR(__xludf.DUMMYFUNCTION("""COMPUTED_VALUE"""),"JANUAR RIZAL")</f>
        <v>JANUAR RIZAL</v>
      </c>
      <c r="W2433" s="229" t="str">
        <f>IFERROR(__xludf.DUMMYFUNCTION("""COMPUTED_VALUE"""),"MELKO NARWADI")</f>
        <v>MELKO NARWADI</v>
      </c>
      <c r="X2433" s="229"/>
      <c r="Y2433" s="229"/>
      <c r="Z2433" s="229" t="str">
        <f>IFERROR(__xludf.DUMMYFUNCTION("""COMPUTED_VALUE"""),"#N/A")</f>
        <v>#N/A</v>
      </c>
      <c r="AA2433" s="229"/>
      <c r="AB2433" s="229"/>
      <c r="AC2433" s="229"/>
      <c r="AD2433" s="232"/>
      <c r="AE2433" s="233"/>
      <c r="AF2433" s="54"/>
      <c r="AG2433" s="54"/>
      <c r="AH2433" s="54"/>
      <c r="AI2433" s="55" t="str">
        <f t="shared" si="227"/>
        <v/>
      </c>
      <c r="AW2433" s="234"/>
      <c r="BP2433" s="11"/>
      <c r="BQ2433" s="11"/>
      <c r="BV2433" s="158"/>
      <c r="BY2433" s="158"/>
      <c r="CB2433" s="158"/>
    </row>
    <row r="2434" ht="18.0" customHeight="1">
      <c r="A2434" s="222">
        <f>IFERROR(__xludf.DUMMYFUNCTION("""COMPUTED_VALUE"""),2026.0)</f>
        <v>2026</v>
      </c>
      <c r="B2434" s="221">
        <f>IFERROR(__xludf.DUMMYFUNCTION("""COMPUTED_VALUE"""),1.2596883E7)</f>
        <v>12596883</v>
      </c>
      <c r="C2434" s="222" t="str">
        <f>IFERROR(__xludf.DUMMYFUNCTION("""COMPUTED_VALUE"""),"SMB-PT3-ODC-PNA-FA-LIMA PULUH KOTA_9303")</f>
        <v>SMB-PT3-ODC-PNA-FA-LIMA PULUH KOTA_9303</v>
      </c>
      <c r="D2434" s="222" t="str">
        <f>IFERROR(__xludf.DUMMYFUNCTION("""COMPUTED_VALUE"""),"REGIONAL I")</f>
        <v>REGIONAL I</v>
      </c>
      <c r="E2434" s="222" t="str">
        <f>IFERROR(__xludf.DUMMYFUNCTION("""COMPUTED_VALUE"""),"SUMBAR")</f>
        <v>SUMBAR</v>
      </c>
      <c r="F2434" s="222" t="str">
        <f>IFERROR(__xludf.DUMMYFUNCTION("""COMPUTED_VALUE"""),"PNA")</f>
        <v>PNA</v>
      </c>
      <c r="G2434" s="222" t="str">
        <f>IFERROR(__xludf.DUMMYFUNCTION("""COMPUTED_VALUE"""),"SUMBAGTENG")</f>
        <v>SUMBAGTENG</v>
      </c>
      <c r="H2434" s="222" t="str">
        <f>IFERROR(__xludf.DUMMYFUNCTION("""COMPUTED_VALUE"""),"BUKIT TINGGI")</f>
        <v>BUKIT TINGGI</v>
      </c>
      <c r="I2434" s="222" t="str">
        <f>IFERROR(__xludf.DUMMYFUNCTION("""COMPUTED_VALUE"""),"Batch 3")</f>
        <v>Batch 3</v>
      </c>
      <c r="J2434" s="225">
        <f>IFERROR(__xludf.DUMMYFUNCTION("""COMPUTED_VALUE"""),3.0)</f>
        <v>3</v>
      </c>
      <c r="K2434" s="224">
        <f>IFERROR(__xludf.DUMMYFUNCTION("""COMPUTED_VALUE"""),24.0)</f>
        <v>24</v>
      </c>
      <c r="L2434" s="226">
        <f>IFERROR(__xludf.DUMMYFUNCTION("""COMPUTED_VALUE"""),851714.0)</f>
        <v>851714</v>
      </c>
      <c r="M2434" s="227">
        <f>IFERROR(__xludf.DUMMYFUNCTION("""COMPUTED_VALUE"""),2.0441118E7)</f>
        <v>20441118</v>
      </c>
      <c r="N2434" s="222" t="str">
        <f>IFERROR(__xludf.DUMMYFUNCTION("""COMPUTED_VALUE"""),"PT RATRI PRIMA MANDIRI")</f>
        <v>PT RATRI PRIMA MANDIRI</v>
      </c>
      <c r="O2434" s="222" t="str">
        <f>IFERROR(__xludf.DUMMYFUNCTION("""COMPUTED_VALUE"""),"8. UJI TERIMA")</f>
        <v>8. UJI TERIMA</v>
      </c>
      <c r="P2434" s="222" t="str">
        <f>IFERROR(__xludf.DUMMYFUNCTION("""COMPUTED_VALUE"""),"8.1 Proses UT")</f>
        <v>8.1 Proses UT</v>
      </c>
      <c r="Q2434" s="222" t="str">
        <f>IFERROR(__xludf.DUMMYFUNCTION("""COMPUTED_VALUE"""),"(02/03) ABD OGP submit ke sdi  (18/02) material on site Plan instal 20/02,  PLAN FI 21/02   (03/02) Proses create PID (29/01) Done aanwijziing  , proses eval")</f>
        <v>(02/03) ABD OGP submit ke sdi  (18/02) material on site Plan instal 20/02,  PLAN FI 21/02   (03/02) Proses create PID (29/01) Done aanwijziing  , proses eval</v>
      </c>
      <c r="R2434" s="228">
        <f>IFERROR(__xludf.DUMMYFUNCTION("""COMPUTED_VALUE"""),46091.0)</f>
        <v>46091</v>
      </c>
      <c r="S2434" s="11" t="str">
        <f>IFERROR(__xludf.DUMMYFUNCTION("""COMPUTED_VALUE"""),"MAR")</f>
        <v>MAR</v>
      </c>
      <c r="T2434" s="11"/>
      <c r="U2434" s="11" t="str">
        <f>IFERROR(__xludf.DUMMYFUNCTION("""COMPUTED_VALUE"""),"TIF-3510/2026 26KT03R107-0004")</f>
        <v>TIF-3510/2026 26KT03R107-0004</v>
      </c>
      <c r="V2434" s="229" t="str">
        <f>IFERROR(__xludf.DUMMYFUNCTION("""COMPUTED_VALUE"""),"M. ARIF HAMADI")</f>
        <v>M. ARIF HAMADI</v>
      </c>
      <c r="W2434" s="229" t="str">
        <f>IFERROR(__xludf.DUMMYFUNCTION("""COMPUTED_VALUE"""),"MELKO NARWADI")</f>
        <v>MELKO NARWADI</v>
      </c>
      <c r="X2434" s="229" t="str">
        <f>IFERROR(__xludf.DUMMYFUNCTION("""COMPUTED_VALUE"""),"GOLIVE")</f>
        <v>GOLIVE</v>
      </c>
      <c r="Y2434" s="229" t="str">
        <f>IFERROR(__xludf.DUMMYFUNCTION("""COMPUTED_VALUE"""),"DONE")</f>
        <v>DONE</v>
      </c>
      <c r="Z2434" s="229" t="str">
        <f>IFERROR(__xludf.DUMMYFUNCTION("""COMPUTED_VALUE"""),"#N/A")</f>
        <v>#N/A</v>
      </c>
      <c r="AA2434" s="229">
        <f>IFERROR(__xludf.DUMMYFUNCTION("""COMPUTED_VALUE"""),3.0)</f>
        <v>3</v>
      </c>
      <c r="AB2434" s="229"/>
      <c r="AC2434" s="229" t="str">
        <f>IFERROR(__xludf.DUMMYFUNCTION("""COMPUTED_VALUE"""),"9168647#9168652")</f>
        <v>9168647#9168652</v>
      </c>
      <c r="AD2434" s="232">
        <f>IFERROR(__xludf.DUMMYFUNCTION("""COMPUTED_VALUE"""),24.0)</f>
        <v>24</v>
      </c>
      <c r="AE2434" s="233">
        <f>IFERROR(__xludf.DUMMYFUNCTION("""COMPUTED_VALUE"""),46084.0)</f>
        <v>46084</v>
      </c>
      <c r="AF2434" s="54"/>
      <c r="AG2434" s="54"/>
      <c r="AH2434" s="54">
        <v>46091.0</v>
      </c>
      <c r="AI2434" s="55">
        <f t="shared" si="227"/>
        <v>7</v>
      </c>
      <c r="AW2434" s="234"/>
      <c r="BP2434" s="11"/>
      <c r="BQ2434" s="11"/>
      <c r="BV2434" s="158"/>
      <c r="BY2434" s="158"/>
      <c r="CB2434" s="158"/>
    </row>
    <row r="2435" ht="18.0" hidden="1" customHeight="1">
      <c r="A2435" s="222">
        <f>IFERROR(__xludf.DUMMYFUNCTION("""COMPUTED_VALUE"""),2026.0)</f>
        <v>2026</v>
      </c>
      <c r="B2435" s="221">
        <f>IFERROR(__xludf.DUMMYFUNCTION("""COMPUTED_VALUE"""),1.2703329E7)</f>
        <v>12703329</v>
      </c>
      <c r="C2435" s="222" t="str">
        <f>IFERROR(__xludf.DUMMYFUNCTION("""COMPUTED_VALUE"""),"LPG PT3 JPP LAMPUNG SELATAN_92370 KDT")</f>
        <v>LPG PT3 JPP LAMPUNG SELATAN_92370 KDT</v>
      </c>
      <c r="D2435" s="222" t="str">
        <f>IFERROR(__xludf.DUMMYFUNCTION("""COMPUTED_VALUE"""),"REGIONAL I")</f>
        <v>REGIONAL I</v>
      </c>
      <c r="E2435" s="222" t="str">
        <f>IFERROR(__xludf.DUMMYFUNCTION("""COMPUTED_VALUE"""),"LAMPUNG")</f>
        <v>LAMPUNG</v>
      </c>
      <c r="F2435" s="222" t="str">
        <f>IFERROR(__xludf.DUMMYFUNCTION("""COMPUTED_VALUE"""),"KDT")</f>
        <v>KDT</v>
      </c>
      <c r="G2435" s="222" t="str">
        <f>IFERROR(__xludf.DUMMYFUNCTION("""COMPUTED_VALUE"""),"SUMBAGSEL")</f>
        <v>SUMBAGSEL</v>
      </c>
      <c r="H2435" s="222" t="str">
        <f>IFERROR(__xludf.DUMMYFUNCTION("""COMPUTED_VALUE"""),"LAMPUNG")</f>
        <v>LAMPUNG</v>
      </c>
      <c r="I2435" s="222" t="str">
        <f>IFERROR(__xludf.DUMMYFUNCTION("""COMPUTED_VALUE"""),"Batch 3")</f>
        <v>Batch 3</v>
      </c>
      <c r="J2435" s="225">
        <f>IFERROR(__xludf.DUMMYFUNCTION("""COMPUTED_VALUE"""),3.0)</f>
        <v>3</v>
      </c>
      <c r="K2435" s="224">
        <f>IFERROR(__xludf.DUMMYFUNCTION("""COMPUTED_VALUE"""),24.0)</f>
        <v>24</v>
      </c>
      <c r="L2435" s="226">
        <f>IFERROR(__xludf.DUMMYFUNCTION("""COMPUTED_VALUE"""),851110.0)</f>
        <v>851110</v>
      </c>
      <c r="M2435" s="227">
        <f>IFERROR(__xludf.DUMMYFUNCTION("""COMPUTED_VALUE"""),2.0426617E7)</f>
        <v>20426617</v>
      </c>
      <c r="N2435" s="222" t="str">
        <f>IFERROR(__xludf.DUMMYFUNCTION("""COMPUTED_VALUE"""),"PT BANGTELINDO")</f>
        <v>PT BANGTELINDO</v>
      </c>
      <c r="O2435" s="222" t="str">
        <f>IFERROR(__xludf.DUMMYFUNCTION("""COMPUTED_VALUE"""),"7. GOLIVE")</f>
        <v>7. GOLIVE</v>
      </c>
      <c r="P2435" s="222" t="str">
        <f>IFERROR(__xludf.DUMMYFUNCTION("""COMPUTED_VALUE"""),"7.2 Golive Full / OA / DONE OTB")</f>
        <v>7.2 Golive Full / OA / DONE OTB</v>
      </c>
      <c r="Q2435" s="222" t="str">
        <f>IFERROR(__xludf.DUMMYFUNCTION("""COMPUTED_VALUE"""),"30/3 proses penarikan kabel, 25/3 Proses tanam Tiang  13/3 plan matdel HI,, 9/3 proses amd
4/3 proses pr/po
2/3 proses pr/po
27/2 proses pengecekan core dan perizinan,,  23/2 perizinan ke lurah belum bisa ditemui
20/2 proses pengecekan core dan perizinan,"&amp;" 19/2 Proses PR-PO  11/2 olt habis 6/2 siap matdel tpi ,kendala olt itera hbs 
4/2 stok material kosong ,estimasi tiba 07/2 
28/1 plan matdel 05/2 
23/1 plan anwizing tanggal 26/1")</f>
        <v>30/3 proses penarikan kabel, 25/3 Proses tanam Tiang  13/3 plan matdel HI,, 9/3 proses amd
4/3 proses pr/po
2/3 proses pr/po
27/2 proses pengecekan core dan perizinan,,  23/2 perizinan ke lurah belum bisa ditemui
20/2 proses pengecekan core dan perizinan, 19/2 Proses PR-PO  11/2 olt habis 6/2 siap matdel tpi ,kendala olt itera hbs 
4/2 stok material kosong ,estimasi tiba 07/2 
28/1 plan matdel 05/2 
23/1 plan anwizing tanggal 26/1</v>
      </c>
      <c r="R2435" s="228">
        <f>IFERROR(__xludf.DUMMYFUNCTION("""COMPUTED_VALUE"""),46111.0)</f>
        <v>46111</v>
      </c>
      <c r="S2435" s="11" t="str">
        <f>IFERROR(__xludf.DUMMYFUNCTION("""COMPUTED_VALUE"""),"MAR")</f>
        <v>MAR</v>
      </c>
      <c r="T2435" s="11"/>
      <c r="U2435" s="11" t="str">
        <f>IFERROR(__xludf.DUMMYFUNCTION("""COMPUTED_VALUE"""),"TIF-3424/2026")</f>
        <v>TIF-3424/2026</v>
      </c>
      <c r="V2435" s="229"/>
      <c r="W2435" s="229"/>
      <c r="X2435" s="229" t="str">
        <f>IFERROR(__xludf.DUMMYFUNCTION("""COMPUTED_VALUE"""),"GOLIVE")</f>
        <v>GOLIVE</v>
      </c>
      <c r="Y2435" s="229" t="str">
        <f>IFERROR(__xludf.DUMMYFUNCTION("""COMPUTED_VALUE"""),"DONE")</f>
        <v>DONE</v>
      </c>
      <c r="Z2435" s="229" t="str">
        <f>IFERROR(__xludf.DUMMYFUNCTION("""COMPUTED_VALUE"""),"#N/A")</f>
        <v>#N/A</v>
      </c>
      <c r="AA2435" s="229">
        <f>IFERROR(__xludf.DUMMYFUNCTION("""COMPUTED_VALUE"""),3.0)</f>
        <v>3</v>
      </c>
      <c r="AB2435" s="229"/>
      <c r="AC2435" s="229" t="str">
        <f>IFERROR(__xludf.DUMMYFUNCTION("""COMPUTED_VALUE"""),"9080399#9080404")</f>
        <v>9080399#9080404</v>
      </c>
      <c r="AD2435" s="232">
        <f>IFERROR(__xludf.DUMMYFUNCTION("""COMPUTED_VALUE"""),24.0)</f>
        <v>24</v>
      </c>
      <c r="AE2435" s="233">
        <f>IFERROR(__xludf.DUMMYFUNCTION("""COMPUTED_VALUE"""),46112.0)</f>
        <v>46112</v>
      </c>
      <c r="AF2435" s="54"/>
      <c r="AG2435" s="54"/>
      <c r="AH2435" s="54">
        <v>46111.0</v>
      </c>
      <c r="AI2435" s="55">
        <f t="shared" si="227"/>
        <v>-1</v>
      </c>
      <c r="AW2435" s="234"/>
      <c r="BP2435" s="11"/>
      <c r="BQ2435" s="11"/>
      <c r="BV2435" s="158"/>
      <c r="BY2435" s="158"/>
      <c r="CB2435" s="158"/>
    </row>
    <row r="2436" ht="18.0" hidden="1" customHeight="1">
      <c r="A2436" s="222">
        <f>IFERROR(__xludf.DUMMYFUNCTION("""COMPUTED_VALUE"""),2026.0)</f>
        <v>2026</v>
      </c>
      <c r="B2436" s="221">
        <f>IFERROR(__xludf.DUMMYFUNCTION("""COMPUTED_VALUE"""),1.2780676E7)</f>
        <v>12780676</v>
      </c>
      <c r="C2436" s="222" t="str">
        <f>IFERROR(__xludf.DUMMYFUNCTION("""COMPUTED_VALUE"""),"LPG PT3 JPP LAMPUNG TENGAH_74340 BDA")</f>
        <v>LPG PT3 JPP LAMPUNG TENGAH_74340 BDA</v>
      </c>
      <c r="D2436" s="222" t="str">
        <f>IFERROR(__xludf.DUMMYFUNCTION("""COMPUTED_VALUE"""),"REGIONAL I")</f>
        <v>REGIONAL I</v>
      </c>
      <c r="E2436" s="222" t="str">
        <f>IFERROR(__xludf.DUMMYFUNCTION("""COMPUTED_VALUE"""),"LAMPUNG")</f>
        <v>LAMPUNG</v>
      </c>
      <c r="F2436" s="222" t="str">
        <f>IFERROR(__xludf.DUMMYFUNCTION("""COMPUTED_VALUE"""),"BDA")</f>
        <v>BDA</v>
      </c>
      <c r="G2436" s="222" t="str">
        <f>IFERROR(__xludf.DUMMYFUNCTION("""COMPUTED_VALUE"""),"SUMBAGSEL")</f>
        <v>SUMBAGSEL</v>
      </c>
      <c r="H2436" s="222" t="str">
        <f>IFERROR(__xludf.DUMMYFUNCTION("""COMPUTED_VALUE"""),"LAMPUNG")</f>
        <v>LAMPUNG</v>
      </c>
      <c r="I2436" s="222" t="str">
        <f>IFERROR(__xludf.DUMMYFUNCTION("""COMPUTED_VALUE"""),"Batch 3")</f>
        <v>Batch 3</v>
      </c>
      <c r="J2436" s="225">
        <f>IFERROR(__xludf.DUMMYFUNCTION("""COMPUTED_VALUE"""),3.0)</f>
        <v>3</v>
      </c>
      <c r="K2436" s="224">
        <f>IFERROR(__xludf.DUMMYFUNCTION("""COMPUTED_VALUE"""),24.0)</f>
        <v>24</v>
      </c>
      <c r="L2436" s="226">
        <f>IFERROR(__xludf.DUMMYFUNCTION("""COMPUTED_VALUE"""),849497.0)</f>
        <v>849497</v>
      </c>
      <c r="M2436" s="227">
        <f>IFERROR(__xludf.DUMMYFUNCTION("""COMPUTED_VALUE"""),2.0387911E7)</f>
        <v>20387911</v>
      </c>
      <c r="N2436" s="222" t="str">
        <f>IFERROR(__xludf.DUMMYFUNCTION("""COMPUTED_VALUE"""),"PT GARINDO TECHNO MANDIRI")</f>
        <v>PT GARINDO TECHNO MANDIRI</v>
      </c>
      <c r="O2436" s="222" t="str">
        <f>IFERROR(__xludf.DUMMYFUNCTION("""COMPUTED_VALUE"""),"7. GOLIVE")</f>
        <v>7. GOLIVE</v>
      </c>
      <c r="P2436" s="222" t="str">
        <f>IFERROR(__xludf.DUMMYFUNCTION("""COMPUTED_VALUE"""),"7.2 Golive Full / OA / DONE OTB")</f>
        <v>7.2 Golive Full / OA / DONE OTB</v>
      </c>
      <c r="Q2436" s="222" t="str">
        <f>IFERROR(__xludf.DUMMYFUNCTION("""COMPUTED_VALUE"""),"17/4 proses terminasi odp, plan fi 18/4, plan golive 19/4, 15/4 proses penarikan kabel, plan fi 16/4, plan abd 17/4, plan golive 18/4,  13/04 proses instalasi 11/4 proses instalasi 08/04 Done PR PO , proses matdel 06/04 Proses PR PO  pengajuan id nimon 2/"&amp;"4 proses pengajuan pr/po, 25/3 proses pr/po 13/3 proses pr/po
2/3 MENUNGGU APPROVE DARI KEPALA DESA , estimasi keputusan  dari desa 6/3
27/2 MENUNGGU APPROVE DARI KEPALA DESA ,
25/2 MENUNGGU APPROVE DARI KEPALA DESA 
20/2 proses pengecekan core dan distri"&amp;"busi
11/2 masih menunggu info dari kadus,  6/2 plan anwizing ,9/2 survey eletrical fedeer dan distribusi 
4/2 progres prizinan dan eletrical 
30/1 plan anwizing 
23/1 plan anwizing tanggal 26/1")</f>
        <v>17/4 proses terminasi odp, plan fi 18/4, plan golive 19/4, 15/4 proses penarikan kabel, plan fi 16/4, plan abd 17/4, plan golive 18/4,  13/04 proses instalasi 11/4 proses instalasi 08/04 Done PR PO , proses matdel 06/04 Proses PR PO  pengajuan id nimon 2/4 proses pengajuan pr/po, 25/3 proses pr/po 13/3 proses pr/po
2/3 MENUNGGU APPROVE DARI KEPALA DESA , estimasi keputusan  dari desa 6/3
27/2 MENUNGGU APPROVE DARI KEPALA DESA ,
25/2 MENUNGGU APPROVE DARI KEPALA DESA 
20/2 proses pengecekan core dan distribusi
11/2 masih menunggu info dari kadus,  6/2 plan anwizing ,9/2 survey eletrical fedeer dan distribusi 
4/2 progres prizinan dan eletrical 
30/1 plan anwizing 
23/1 plan anwizing tanggal 26/1</v>
      </c>
      <c r="R2436" s="228">
        <f>IFERROR(__xludf.DUMMYFUNCTION("""COMPUTED_VALUE"""),46130.0)</f>
        <v>46130</v>
      </c>
      <c r="S2436" s="11" t="str">
        <f>IFERROR(__xludf.DUMMYFUNCTION("""COMPUTED_VALUE"""),"APR")</f>
        <v>APR</v>
      </c>
      <c r="T2436" s="73"/>
      <c r="U2436" s="11" t="str">
        <f>IFERROR(__xludf.DUMMYFUNCTION("""COMPUTED_VALUE"""),"TIF-7464/2026")</f>
        <v>TIF-7464/2026</v>
      </c>
      <c r="V2436" s="229"/>
      <c r="W2436" s="229"/>
      <c r="X2436" s="229" t="str">
        <f>IFERROR(__xludf.DUMMYFUNCTION("""COMPUTED_VALUE"""),"GOLIVE")</f>
        <v>GOLIVE</v>
      </c>
      <c r="Y2436" s="229" t="str">
        <f>IFERROR(__xludf.DUMMYFUNCTION("""COMPUTED_VALUE"""),"DONE")</f>
        <v>DONE</v>
      </c>
      <c r="Z2436" s="229" t="str">
        <f>IFERROR(__xludf.DUMMYFUNCTION("""COMPUTED_VALUE"""),"#N/A")</f>
        <v>#N/A</v>
      </c>
      <c r="AA2436" s="229">
        <f>IFERROR(__xludf.DUMMYFUNCTION("""COMPUTED_VALUE"""),3.0)</f>
        <v>3</v>
      </c>
      <c r="AB2436" s="229"/>
      <c r="AC2436" s="229" t="str">
        <f>IFERROR(__xludf.DUMMYFUNCTION("""COMPUTED_VALUE"""),"9258417#9258422")</f>
        <v>9258417#9258422</v>
      </c>
      <c r="AD2436" s="232">
        <f>IFERROR(__xludf.DUMMYFUNCTION("""COMPUTED_VALUE"""),24.0)</f>
        <v>24</v>
      </c>
      <c r="AE2436" s="233">
        <f>IFERROR(__xludf.DUMMYFUNCTION("""COMPUTED_VALUE"""),46130.0)</f>
        <v>46130</v>
      </c>
      <c r="AF2436" s="54"/>
      <c r="AG2436" s="54"/>
      <c r="AH2436" s="54">
        <v>46135.0</v>
      </c>
      <c r="AI2436" s="55">
        <f t="shared" si="227"/>
        <v>0</v>
      </c>
      <c r="AW2436" s="234"/>
      <c r="BP2436" s="11"/>
      <c r="BQ2436" s="11"/>
      <c r="BV2436" s="158"/>
      <c r="BY2436" s="158"/>
      <c r="CB2436" s="158"/>
    </row>
    <row r="2437" ht="18.0" customHeight="1">
      <c r="A2437" s="222">
        <f>IFERROR(__xludf.DUMMYFUNCTION("""COMPUTED_VALUE"""),2026.0)</f>
        <v>2026</v>
      </c>
      <c r="B2437" s="221">
        <f>IFERROR(__xludf.DUMMYFUNCTION("""COMPUTED_VALUE"""),1.2742254E7)</f>
        <v>12742254</v>
      </c>
      <c r="C2437" s="222" t="str">
        <f>IFERROR(__xludf.DUMMYFUNCTION("""COMPUTED_VALUE"""),"SMB-PT3-ODC-SIG-FA-150527-63694-36373")</f>
        <v>SMB-PT3-ODC-SIG-FA-150527-63694-36373</v>
      </c>
      <c r="D2437" s="222" t="str">
        <f>IFERROR(__xludf.DUMMYFUNCTION("""COMPUTED_VALUE"""),"REGIONAL I")</f>
        <v>REGIONAL I</v>
      </c>
      <c r="E2437" s="222" t="str">
        <f>IFERROR(__xludf.DUMMYFUNCTION("""COMPUTED_VALUE"""),"SUMBAR")</f>
        <v>SUMBAR</v>
      </c>
      <c r="F2437" s="222" t="str">
        <f>IFERROR(__xludf.DUMMYFUNCTION("""COMPUTED_VALUE"""),"SIG")</f>
        <v>SIG</v>
      </c>
      <c r="G2437" s="222" t="str">
        <f>IFERROR(__xludf.DUMMYFUNCTION("""COMPUTED_VALUE"""),"SUMBAGTENG")</f>
        <v>SUMBAGTENG</v>
      </c>
      <c r="H2437" s="222" t="str">
        <f>IFERROR(__xludf.DUMMYFUNCTION("""COMPUTED_VALUE"""),"BUKIT TINGGI")</f>
        <v>BUKIT TINGGI</v>
      </c>
      <c r="I2437" s="222" t="str">
        <f>IFERROR(__xludf.DUMMYFUNCTION("""COMPUTED_VALUE"""),"Batch 3")</f>
        <v>Batch 3</v>
      </c>
      <c r="J2437" s="225">
        <f>IFERROR(__xludf.DUMMYFUNCTION("""COMPUTED_VALUE"""),6.0)</f>
        <v>6</v>
      </c>
      <c r="K2437" s="224">
        <f>IFERROR(__xludf.DUMMYFUNCTION("""COMPUTED_VALUE"""),48.0)</f>
        <v>48</v>
      </c>
      <c r="L2437" s="226">
        <f>IFERROR(__xludf.DUMMYFUNCTION("""COMPUTED_VALUE"""),848431.0)</f>
        <v>848431</v>
      </c>
      <c r="M2437" s="227">
        <f>IFERROR(__xludf.DUMMYFUNCTION("""COMPUTED_VALUE"""),4.0724661E7)</f>
        <v>40724661</v>
      </c>
      <c r="N2437" s="222" t="str">
        <f>IFERROR(__xludf.DUMMYFUNCTION("""COMPUTED_VALUE"""),"PT TSUIKA BERKAH RAYA")</f>
        <v>PT TSUIKA BERKAH RAYA</v>
      </c>
      <c r="O2437" s="222" t="str">
        <f>IFERROR(__xludf.DUMMYFUNCTION("""COMPUTED_VALUE"""),"8. UJI TERIMA")</f>
        <v>8. UJI TERIMA</v>
      </c>
      <c r="P2437" s="222" t="str">
        <f>IFERROR(__xludf.DUMMYFUNCTION("""COMPUTED_VALUE"""),"8.1 Proses UT")</f>
        <v>8.1 Proses UT</v>
      </c>
      <c r="Q2437" s="222" t="str">
        <f>IFERROR(__xludf.DUMMYFUNCTION("""COMPUTED_VALUE"""),"(05/03) ABD done submit ke sdi   (02/03) ABD OGP submit ke sdi  (18/02) Tanam tiang plan FI 21/02  (03/02) Proses create PID (29/01) Done aanwijziing  , proses eval")</f>
        <v>(05/03) ABD done submit ke sdi   (02/03) ABD OGP submit ke sdi  (18/02) Tanam tiang plan FI 21/02  (03/02) Proses create PID (29/01) Done aanwijziing  , proses eval</v>
      </c>
      <c r="R2437" s="228">
        <f>IFERROR(__xludf.DUMMYFUNCTION("""COMPUTED_VALUE"""),46089.0)</f>
        <v>46089</v>
      </c>
      <c r="S2437" s="11" t="str">
        <f>IFERROR(__xludf.DUMMYFUNCTION("""COMPUTED_VALUE"""),"MAR")</f>
        <v>MAR</v>
      </c>
      <c r="T2437" s="11"/>
      <c r="U2437" s="11" t="str">
        <f>IFERROR(__xludf.DUMMYFUNCTION("""COMPUTED_VALUE"""),"TIF-3514/2026 26KT03R107-0012")</f>
        <v>TIF-3514/2026 26KT03R107-0012</v>
      </c>
      <c r="V2437" s="229" t="str">
        <f>IFERROR(__xludf.DUMMYFUNCTION("""COMPUTED_VALUE"""),"M. ARIF HAMADI")</f>
        <v>M. ARIF HAMADI</v>
      </c>
      <c r="W2437" s="229" t="str">
        <f>IFERROR(__xludf.DUMMYFUNCTION("""COMPUTED_VALUE"""),"MELKO NARWADI")</f>
        <v>MELKO NARWADI</v>
      </c>
      <c r="X2437" s="229" t="str">
        <f>IFERROR(__xludf.DUMMYFUNCTION("""COMPUTED_VALUE"""),"GOLIVE")</f>
        <v>GOLIVE</v>
      </c>
      <c r="Y2437" s="229" t="str">
        <f>IFERROR(__xludf.DUMMYFUNCTION("""COMPUTED_VALUE"""),"DONE")</f>
        <v>DONE</v>
      </c>
      <c r="Z2437" s="229" t="str">
        <f>IFERROR(__xludf.DUMMYFUNCTION("""COMPUTED_VALUE"""),"#N/A")</f>
        <v>#N/A</v>
      </c>
      <c r="AA2437" s="229">
        <f>IFERROR(__xludf.DUMMYFUNCTION("""COMPUTED_VALUE"""),6.0)</f>
        <v>6</v>
      </c>
      <c r="AB2437" s="229"/>
      <c r="AC2437" s="229" t="str">
        <f>IFERROR(__xludf.DUMMYFUNCTION("""COMPUTED_VALUE"""),"9179117#9179122")</f>
        <v>9179117#9179122</v>
      </c>
      <c r="AD2437" s="232">
        <f>IFERROR(__xludf.DUMMYFUNCTION("""COMPUTED_VALUE"""),48.0)</f>
        <v>48</v>
      </c>
      <c r="AE2437" s="233">
        <f>IFERROR(__xludf.DUMMYFUNCTION("""COMPUTED_VALUE"""),46087.0)</f>
        <v>46087</v>
      </c>
      <c r="AF2437" s="54"/>
      <c r="AG2437" s="54"/>
      <c r="AH2437" s="54">
        <v>46089.0</v>
      </c>
      <c r="AI2437" s="55">
        <f t="shared" si="227"/>
        <v>2</v>
      </c>
      <c r="AW2437" s="234"/>
      <c r="BP2437" s="11"/>
      <c r="BQ2437" s="11"/>
      <c r="BV2437" s="158"/>
      <c r="BY2437" s="158"/>
      <c r="CB2437" s="158"/>
    </row>
    <row r="2438" ht="18.0" hidden="1" customHeight="1">
      <c r="A2438" s="222">
        <f>IFERROR(__xludf.DUMMYFUNCTION("""COMPUTED_VALUE"""),2026.0)</f>
        <v>2026</v>
      </c>
      <c r="B2438" s="221">
        <f>IFERROR(__xludf.DUMMYFUNCTION("""COMPUTED_VALUE"""),1.2744264E7)</f>
        <v>12744264</v>
      </c>
      <c r="C2438" s="222" t="str">
        <f>IFERROR(__xludf.DUMMYFUNCTION("""COMPUTED_VALUE"""),"LPG PT3 JPP LAMPUNG SELATAN_169144 KLA")</f>
        <v>LPG PT3 JPP LAMPUNG SELATAN_169144 KLA</v>
      </c>
      <c r="D2438" s="222" t="str">
        <f>IFERROR(__xludf.DUMMYFUNCTION("""COMPUTED_VALUE"""),"REGIONAL I")</f>
        <v>REGIONAL I</v>
      </c>
      <c r="E2438" s="222" t="str">
        <f>IFERROR(__xludf.DUMMYFUNCTION("""COMPUTED_VALUE"""),"LAMPUNG")</f>
        <v>LAMPUNG</v>
      </c>
      <c r="F2438" s="222" t="str">
        <f>IFERROR(__xludf.DUMMYFUNCTION("""COMPUTED_VALUE"""),"KLA")</f>
        <v>KLA</v>
      </c>
      <c r="G2438" s="222" t="str">
        <f>IFERROR(__xludf.DUMMYFUNCTION("""COMPUTED_VALUE"""),"SUMBAGSEL")</f>
        <v>SUMBAGSEL</v>
      </c>
      <c r="H2438" s="222" t="str">
        <f>IFERROR(__xludf.DUMMYFUNCTION("""COMPUTED_VALUE"""),"LAMPUNG")</f>
        <v>LAMPUNG</v>
      </c>
      <c r="I2438" s="222" t="str">
        <f>IFERROR(__xludf.DUMMYFUNCTION("""COMPUTED_VALUE"""),"Batch 3")</f>
        <v>Batch 3</v>
      </c>
      <c r="J2438" s="225">
        <f>IFERROR(__xludf.DUMMYFUNCTION("""COMPUTED_VALUE"""),3.0)</f>
        <v>3</v>
      </c>
      <c r="K2438" s="224">
        <f>IFERROR(__xludf.DUMMYFUNCTION("""COMPUTED_VALUE"""),24.0)</f>
        <v>24</v>
      </c>
      <c r="L2438" s="226">
        <f>IFERROR(__xludf.DUMMYFUNCTION("""COMPUTED_VALUE"""),846905.0)</f>
        <v>846905</v>
      </c>
      <c r="M2438" s="227">
        <f>IFERROR(__xludf.DUMMYFUNCTION("""COMPUTED_VALUE"""),2.0325697E7)</f>
        <v>20325697</v>
      </c>
      <c r="N2438" s="222" t="str">
        <f>IFERROR(__xludf.DUMMYFUNCTION("""COMPUTED_VALUE"""),"PT ACERO CETHA METALINDO")</f>
        <v>PT ACERO CETHA METALINDO</v>
      </c>
      <c r="O2438" s="222" t="str">
        <f>IFERROR(__xludf.DUMMYFUNCTION("""COMPUTED_VALUE"""),"0. DROP")</f>
        <v>0. DROP</v>
      </c>
      <c r="P2438" s="222" t="str">
        <f>IFERROR(__xludf.DUMMYFUNCTION("""COMPUTED_VALUE"""),"0.1 Double Order")</f>
        <v>0.1 Double Order</v>
      </c>
      <c r="Q2438" s="222" t="str">
        <f>IFERROR(__xludf.DUMMYFUNCTION("""COMPUTED_VALUE"""),"2/3 doble input dengan id -ilhd 12727950
27/2 proses perizinan ,, 6/2  butuh penambahan modul olt kla 
30/1 butuh penambahan modul olt kla 
23/1 plan anwizing 26")</f>
        <v>2/3 doble input dengan id -ilhd 12727950
27/2 proses perizinan ,, 6/2  butuh penambahan modul olt kla 
30/1 butuh penambahan modul olt kla 
23/1 plan anwizing 26</v>
      </c>
      <c r="R2438" s="228"/>
      <c r="S2438" s="11"/>
      <c r="T2438" s="11"/>
      <c r="U2438" s="11"/>
      <c r="V2438" s="229"/>
      <c r="W2438" s="229"/>
      <c r="X2438" s="229" t="str">
        <f>IFERROR(__xludf.DUMMYFUNCTION("""COMPUTED_VALUE"""),"BELUM GOLIVE")</f>
        <v>BELUM GOLIVE</v>
      </c>
      <c r="Y2438" s="229"/>
      <c r="Z2438" s="229" t="str">
        <f>IFERROR(__xludf.DUMMYFUNCTION("""COMPUTED_VALUE"""),"#N/A")</f>
        <v>#N/A</v>
      </c>
      <c r="AA2438" s="229"/>
      <c r="AB2438" s="229"/>
      <c r="AC2438" s="229"/>
      <c r="AD2438" s="232"/>
      <c r="AE2438" s="233"/>
      <c r="AF2438" s="54" t="str">
        <f>IFERROR(__xludf.DUMMYFUNCTION("""COMPUTED_VALUE"""),"Draft BA DROP")</f>
        <v>Draft BA DROP</v>
      </c>
      <c r="AG2438" s="54"/>
      <c r="AH2438" s="54"/>
      <c r="AI2438" s="55" t="str">
        <f t="shared" si="227"/>
        <v/>
      </c>
      <c r="AW2438" s="234"/>
      <c r="BP2438" s="11"/>
      <c r="BQ2438" s="11"/>
      <c r="BV2438" s="158"/>
      <c r="BY2438" s="158"/>
      <c r="CB2438" s="158"/>
    </row>
    <row r="2439" ht="18.0" customHeight="1">
      <c r="A2439" s="222">
        <f>IFERROR(__xludf.DUMMYFUNCTION("""COMPUTED_VALUE"""),2026.0)</f>
        <v>2026</v>
      </c>
      <c r="B2439" s="221">
        <f>IFERROR(__xludf.DUMMYFUNCTION("""COMPUTED_VALUE"""),1.2596536E7)</f>
        <v>12596536</v>
      </c>
      <c r="C2439" s="222" t="str">
        <f>IFERROR(__xludf.DUMMYFUNCTION("""COMPUTED_VALUE"""),"SMB-PT3-ODC-NRS-FA-27155-127128-109822")</f>
        <v>SMB-PT3-ODC-NRS-FA-27155-127128-109822</v>
      </c>
      <c r="D2439" s="222" t="str">
        <f>IFERROR(__xludf.DUMMYFUNCTION("""COMPUTED_VALUE"""),"REGIONAL I")</f>
        <v>REGIONAL I</v>
      </c>
      <c r="E2439" s="222" t="str">
        <f>IFERROR(__xludf.DUMMYFUNCTION("""COMPUTED_VALUE"""),"SUMBAR")</f>
        <v>SUMBAR</v>
      </c>
      <c r="F2439" s="222" t="str">
        <f>IFERROR(__xludf.DUMMYFUNCTION("""COMPUTED_VALUE"""),"NRS")</f>
        <v>NRS</v>
      </c>
      <c r="G2439" s="222" t="str">
        <f>IFERROR(__xludf.DUMMYFUNCTION("""COMPUTED_VALUE"""),"SUMBAGTENG")</f>
        <v>SUMBAGTENG</v>
      </c>
      <c r="H2439" s="222" t="str">
        <f>IFERROR(__xludf.DUMMYFUNCTION("""COMPUTED_VALUE"""),"BUKIT TINGGI")</f>
        <v>BUKIT TINGGI</v>
      </c>
      <c r="I2439" s="222" t="str">
        <f>IFERROR(__xludf.DUMMYFUNCTION("""COMPUTED_VALUE"""),"Batch 3")</f>
        <v>Batch 3</v>
      </c>
      <c r="J2439" s="225">
        <f>IFERROR(__xludf.DUMMYFUNCTION("""COMPUTED_VALUE"""),8.0)</f>
        <v>8</v>
      </c>
      <c r="K2439" s="224">
        <f>IFERROR(__xludf.DUMMYFUNCTION("""COMPUTED_VALUE"""),64.0)</f>
        <v>64</v>
      </c>
      <c r="L2439" s="226">
        <f>IFERROR(__xludf.DUMMYFUNCTION("""COMPUTED_VALUE"""),840918.0)</f>
        <v>840918</v>
      </c>
      <c r="M2439" s="227">
        <f>IFERROR(__xludf.DUMMYFUNCTION("""COMPUTED_VALUE"""),5.3818713E7)</f>
        <v>53818713</v>
      </c>
      <c r="N2439" s="222" t="str">
        <f>IFERROR(__xludf.DUMMYFUNCTION("""COMPUTED_VALUE"""),"PT TIGA AKSES MANDIRI")</f>
        <v>PT TIGA AKSES MANDIRI</v>
      </c>
      <c r="O2439" s="222" t="str">
        <f>IFERROR(__xludf.DUMMYFUNCTION("""COMPUTED_VALUE"""),"0. DROP")</f>
        <v>0. DROP</v>
      </c>
      <c r="P2439" s="222" t="str">
        <f>IFERROR(__xludf.DUMMYFUNCTION("""COMPUTED_VALUE"""),"0.5 DROP TSEL - Acc ED TIF")</f>
        <v>0.5 DROP TSEL - Acc ED TIF</v>
      </c>
      <c r="Q2439"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2439" s="228"/>
      <c r="S2439" s="11"/>
      <c r="T2439" s="11"/>
      <c r="U2439" s="11"/>
      <c r="V2439" s="229" t="str">
        <f>IFERROR(__xludf.DUMMYFUNCTION("""COMPUTED_VALUE"""),"JANUAR RIZAL")</f>
        <v>JANUAR RIZAL</v>
      </c>
      <c r="W2439" s="229" t="str">
        <f>IFERROR(__xludf.DUMMYFUNCTION("""COMPUTED_VALUE"""),"MELKO NARWADI")</f>
        <v>MELKO NARWADI</v>
      </c>
      <c r="X2439" s="229"/>
      <c r="Y2439" s="229"/>
      <c r="Z2439" s="229" t="str">
        <f>IFERROR(__xludf.DUMMYFUNCTION("""COMPUTED_VALUE"""),"#N/A")</f>
        <v>#N/A</v>
      </c>
      <c r="AA2439" s="229"/>
      <c r="AB2439" s="229"/>
      <c r="AC2439" s="229"/>
      <c r="AD2439" s="232"/>
      <c r="AE2439" s="233"/>
      <c r="AF2439" s="54"/>
      <c r="AG2439" s="54"/>
      <c r="AH2439" s="54"/>
      <c r="AI2439" s="55" t="str">
        <f t="shared" si="227"/>
        <v/>
      </c>
      <c r="AW2439" s="234"/>
      <c r="BP2439" s="11"/>
      <c r="BQ2439" s="11"/>
      <c r="BV2439" s="158"/>
      <c r="BY2439" s="158"/>
      <c r="CB2439" s="158"/>
    </row>
    <row r="2440" ht="18.0" hidden="1" customHeight="1">
      <c r="A2440" s="222">
        <f>IFERROR(__xludf.DUMMYFUNCTION("""COMPUTED_VALUE"""),2026.0)</f>
        <v>2026</v>
      </c>
      <c r="B2440" s="221">
        <f>IFERROR(__xludf.DUMMYFUNCTION("""COMPUTED_VALUE"""),1.2726877E7)</f>
        <v>12726877</v>
      </c>
      <c r="C2440" s="222" t="str">
        <f>IFERROR(__xludf.DUMMYFUNCTION("""COMPUTED_VALUE"""),"LPG PT3 JPP LAMPUNG SELATAN_135754 KLA")</f>
        <v>LPG PT3 JPP LAMPUNG SELATAN_135754 KLA</v>
      </c>
      <c r="D2440" s="222" t="str">
        <f>IFERROR(__xludf.DUMMYFUNCTION("""COMPUTED_VALUE"""),"REGIONAL I")</f>
        <v>REGIONAL I</v>
      </c>
      <c r="E2440" s="222" t="str">
        <f>IFERROR(__xludf.DUMMYFUNCTION("""COMPUTED_VALUE"""),"LAMPUNG")</f>
        <v>LAMPUNG</v>
      </c>
      <c r="F2440" s="222" t="str">
        <f>IFERROR(__xludf.DUMMYFUNCTION("""COMPUTED_VALUE"""),"KLA")</f>
        <v>KLA</v>
      </c>
      <c r="G2440" s="222" t="str">
        <f>IFERROR(__xludf.DUMMYFUNCTION("""COMPUTED_VALUE"""),"SUMBAGSEL")</f>
        <v>SUMBAGSEL</v>
      </c>
      <c r="H2440" s="222" t="str">
        <f>IFERROR(__xludf.DUMMYFUNCTION("""COMPUTED_VALUE"""),"LAMPUNG")</f>
        <v>LAMPUNG</v>
      </c>
      <c r="I2440" s="222" t="str">
        <f>IFERROR(__xludf.DUMMYFUNCTION("""COMPUTED_VALUE"""),"Batch 3")</f>
        <v>Batch 3</v>
      </c>
      <c r="J2440" s="225">
        <f>IFERROR(__xludf.DUMMYFUNCTION("""COMPUTED_VALUE"""),3.0)</f>
        <v>3</v>
      </c>
      <c r="K2440" s="224">
        <f>IFERROR(__xludf.DUMMYFUNCTION("""COMPUTED_VALUE"""),24.0)</f>
        <v>24</v>
      </c>
      <c r="L2440" s="226">
        <f>IFERROR(__xludf.DUMMYFUNCTION("""COMPUTED_VALUE"""),836844.0)</f>
        <v>836844</v>
      </c>
      <c r="M2440" s="227">
        <f>IFERROR(__xludf.DUMMYFUNCTION("""COMPUTED_VALUE"""),2.0084246E7)</f>
        <v>20084246</v>
      </c>
      <c r="N2440" s="222" t="str">
        <f>IFERROR(__xludf.DUMMYFUNCTION("""COMPUTED_VALUE"""),"PT ACERO CETHA METALINDO")</f>
        <v>PT ACERO CETHA METALINDO</v>
      </c>
      <c r="O2440" s="222" t="str">
        <f>IFERROR(__xludf.DUMMYFUNCTION("""COMPUTED_VALUE"""),"8. UJI TERIMA")</f>
        <v>8. UJI TERIMA</v>
      </c>
      <c r="P2440" s="222" t="str">
        <f>IFERROR(__xludf.DUMMYFUNCTION("""COMPUTED_VALUE"""),"8.1 Proses UT")</f>
        <v>8.1 Proses UT</v>
      </c>
      <c r="Q2440" s="222" t="str">
        <f>IFERROR(__xludf.DUMMYFUNCTION("""COMPUTED_VALUE"""),"20/2 progres jumper dan persiapan valin,  plan golive 22/2
18/2 penarikan done, menunggu terminasi 11/2 proses penarikan kabel plan fi 15/2 plan abd+valins 16/2 plan golive 17/2, 9/2 prepare material 10/2, 6/2 menunggu keputusan lurah ,estimasi jwbn 9/2 
"&amp;"4/2 menunggu keputusan lurah ,keputusan 10/2
30/1 prizinan lurah, olt habis 
23/1 plan anwizing 26/1""")</f>
        <v>20/2 progres jumper dan persiapan valin,  plan golive 22/2
18/2 penarikan done, menunggu terminasi 11/2 proses penarikan kabel plan fi 15/2 plan abd+valins 16/2 plan golive 17/2, 9/2 prepare material 10/2, 6/2 menunggu keputusan lurah ,estimasi jwbn 9/2 
4/2 menunggu keputusan lurah ,keputusan 10/2
30/1 prizinan lurah, olt habis 
23/1 plan anwizing 26/1"</v>
      </c>
      <c r="R2440" s="228">
        <f>IFERROR(__xludf.DUMMYFUNCTION("""COMPUTED_VALUE"""),46075.0)</f>
        <v>46075</v>
      </c>
      <c r="S2440" s="11"/>
      <c r="T2440" s="11"/>
      <c r="U2440" s="11" t="str">
        <f>IFERROR(__xludf.DUMMYFUNCTION("""COMPUTED_VALUE"""),"TIF-3784/2026")</f>
        <v>TIF-3784/2026</v>
      </c>
      <c r="V2440" s="229"/>
      <c r="W2440" s="229"/>
      <c r="X2440" s="229" t="str">
        <f>IFERROR(__xludf.DUMMYFUNCTION("""COMPUTED_VALUE"""),"GOLIVE")</f>
        <v>GOLIVE</v>
      </c>
      <c r="Y2440" s="229" t="str">
        <f>IFERROR(__xludf.DUMMYFUNCTION("""COMPUTED_VALUE"""),"DONE")</f>
        <v>DONE</v>
      </c>
      <c r="Z2440" s="229" t="str">
        <f>IFERROR(__xludf.DUMMYFUNCTION("""COMPUTED_VALUE"""),"#N/A")</f>
        <v>#N/A</v>
      </c>
      <c r="AA2440" s="229">
        <f>IFERROR(__xludf.DUMMYFUNCTION("""COMPUTED_VALUE"""),3.0)</f>
        <v>3</v>
      </c>
      <c r="AB2440" s="229"/>
      <c r="AC2440" s="229" t="str">
        <f>IFERROR(__xludf.DUMMYFUNCTION("""COMPUTED_VALUE"""),"9094146#9094151")</f>
        <v>9094146#9094151</v>
      </c>
      <c r="AD2440" s="232">
        <f>IFERROR(__xludf.DUMMYFUNCTION("""COMPUTED_VALUE"""),24.0)</f>
        <v>24</v>
      </c>
      <c r="AE2440" s="233">
        <f>IFERROR(__xludf.DUMMYFUNCTION("""COMPUTED_VALUE"""),46075.0)</f>
        <v>46075</v>
      </c>
      <c r="AF2440" s="54"/>
      <c r="AG2440" s="54"/>
      <c r="AH2440" s="54">
        <v>46075.0</v>
      </c>
      <c r="AI2440" s="55">
        <f t="shared" si="227"/>
        <v>0</v>
      </c>
      <c r="AW2440" s="234"/>
      <c r="BP2440" s="11"/>
      <c r="BQ2440" s="11"/>
      <c r="BV2440" s="158"/>
      <c r="BY2440" s="158"/>
      <c r="CB2440" s="158"/>
    </row>
    <row r="2441" ht="18.0" hidden="1" customHeight="1">
      <c r="A2441" s="222">
        <f>IFERROR(__xludf.DUMMYFUNCTION("""COMPUTED_VALUE"""),2026.0)</f>
        <v>2026</v>
      </c>
      <c r="B2441" s="221">
        <f>IFERROR(__xludf.DUMMYFUNCTION("""COMPUTED_VALUE"""),1.2814863E7)</f>
        <v>12814863</v>
      </c>
      <c r="C2441" s="222" t="str">
        <f>IFERROR(__xludf.DUMMYFUNCTION("""COMPUTED_VALUE"""),"LPG PT3 JPP LAMPUNG UTARA_118298 KBI")</f>
        <v>LPG PT3 JPP LAMPUNG UTARA_118298 KBI</v>
      </c>
      <c r="D2441" s="222" t="str">
        <f>IFERROR(__xludf.DUMMYFUNCTION("""COMPUTED_VALUE"""),"REGIONAL I")</f>
        <v>REGIONAL I</v>
      </c>
      <c r="E2441" s="222" t="str">
        <f>IFERROR(__xludf.DUMMYFUNCTION("""COMPUTED_VALUE"""),"LAMPUNG")</f>
        <v>LAMPUNG</v>
      </c>
      <c r="F2441" s="222" t="str">
        <f>IFERROR(__xludf.DUMMYFUNCTION("""COMPUTED_VALUE"""),"KBI")</f>
        <v>KBI</v>
      </c>
      <c r="G2441" s="222" t="str">
        <f>IFERROR(__xludf.DUMMYFUNCTION("""COMPUTED_VALUE"""),"SUMBAGSEL")</f>
        <v>SUMBAGSEL</v>
      </c>
      <c r="H2441" s="222" t="str">
        <f>IFERROR(__xludf.DUMMYFUNCTION("""COMPUTED_VALUE"""),"LAMPUNG")</f>
        <v>LAMPUNG</v>
      </c>
      <c r="I2441" s="222" t="str">
        <f>IFERROR(__xludf.DUMMYFUNCTION("""COMPUTED_VALUE"""),"Batch 3")</f>
        <v>Batch 3</v>
      </c>
      <c r="J2441" s="225">
        <f>IFERROR(__xludf.DUMMYFUNCTION("""COMPUTED_VALUE"""),12.0)</f>
        <v>12</v>
      </c>
      <c r="K2441" s="224">
        <f>IFERROR(__xludf.DUMMYFUNCTION("""COMPUTED_VALUE"""),96.0)</f>
        <v>96</v>
      </c>
      <c r="L2441" s="226">
        <f>IFERROR(__xludf.DUMMYFUNCTION("""COMPUTED_VALUE"""),836206.0)</f>
        <v>836206</v>
      </c>
      <c r="M2441" s="227">
        <f>IFERROR(__xludf.DUMMYFUNCTION("""COMPUTED_VALUE"""),8.0275697E7)</f>
        <v>80275697</v>
      </c>
      <c r="N2441" s="222" t="str">
        <f>IFERROR(__xludf.DUMMYFUNCTION("""COMPUTED_VALUE"""),"PT KOPRASI PILAR UTAMA")</f>
        <v>PT KOPRASI PILAR UTAMA</v>
      </c>
      <c r="O2441" s="222" t="str">
        <f>IFERROR(__xludf.DUMMYFUNCTION("""COMPUTED_VALUE"""),"5. INSTALASI")</f>
        <v>5. INSTALASI</v>
      </c>
      <c r="P2441" s="222" t="str">
        <f>IFERROR(__xludf.DUMMYFUNCTION("""COMPUTED_VALUE"""),"5.4 Proses Penanaman Tiang")</f>
        <v>5.4 Proses Penanaman Tiang</v>
      </c>
      <c r="Q2441" s="222" t="str">
        <f>IFERROR(__xludf.DUMMYFUNCTION("""COMPUTED_VALUE"""),"22/4 Progres Penanam Tiang (BUTUH UPGRADE ODC 576) plan matdel 24/4 , 17/04 proses instalasi (upgrade odc 576), 08/04  Done PR PO , proses matdel 06/04 Proses PR PO baru selesai aandwizing pergantian mitra AUM 2/4 proses pengajuan PR/PO 
31/3 proses penga"&amp;"juan PR/PO 
25/3  Progres perizinan pararel  Proses peralihan MITRA karena Mitra overload  5/3 PROSES PR/PO 
6/2 CPP naik lewat 7 persen ,4/2 pengajuan redisgn masuk ke odc, fedeer oke, 
30/1 menungu hasil musyawarah antara masyarakat dan aparatur desa 
2"&amp;"8/1 plan anwizing 30/1  
23/1 plan anwizing 27/2")</f>
        <v>22/4 Progres Penanam Tiang (BUTUH UPGRADE ODC 576) plan matdel 24/4 , 17/04 proses instalasi (upgrade odc 576), 08/04  Done PR PO , proses matdel 06/04 Proses PR PO baru selesai aandwizing pergantian mitra AUM 2/4 proses pengajuan PR/PO 
31/3 proses pengajuan PR/PO 
25/3  Progres perizinan pararel  Proses peralihan MITRA karena Mitra overload  5/3 PROSES PR/PO 
6/2 CPP naik lewat 7 persen ,4/2 pengajuan redisgn masuk ke odc, fedeer oke, 
30/1 menungu hasil musyawarah antara masyarakat dan aparatur desa 
28/1 plan anwizing 30/1  
23/1 plan anwizing 27/2</v>
      </c>
      <c r="R2441" s="228">
        <f>IFERROR(__xludf.DUMMYFUNCTION("""COMPUTED_VALUE"""),46142.0)</f>
        <v>46142</v>
      </c>
      <c r="S2441" s="11" t="str">
        <f>IFERROR(__xludf.DUMMYFUNCTION("""COMPUTED_VALUE"""),"APR")</f>
        <v>APR</v>
      </c>
      <c r="T2441" s="73"/>
      <c r="U2441" s="11" t="str">
        <f>IFERROR(__xludf.DUMMYFUNCTION("""COMPUTED_VALUE"""),"TIF-6138/2026")</f>
        <v>TIF-6138/2026</v>
      </c>
      <c r="V2441" s="229"/>
      <c r="W2441" s="229"/>
      <c r="X2441" s="229"/>
      <c r="Y2441" s="229"/>
      <c r="Z2441" s="229" t="str">
        <f>IFERROR(__xludf.DUMMYFUNCTION("""COMPUTED_VALUE"""),"#N/A")</f>
        <v>#N/A</v>
      </c>
      <c r="AA2441" s="229"/>
      <c r="AB2441" s="229"/>
      <c r="AC2441" s="229"/>
      <c r="AD2441" s="232"/>
      <c r="AE2441" s="233"/>
      <c r="AF2441" s="54"/>
      <c r="AG2441" s="54"/>
      <c r="AH2441" s="54">
        <v>46142.0</v>
      </c>
      <c r="AI2441" s="55" t="str">
        <f t="shared" si="227"/>
        <v/>
      </c>
      <c r="AW2441" s="234"/>
      <c r="BP2441" s="11"/>
      <c r="BQ2441" s="11"/>
      <c r="BV2441" s="158"/>
      <c r="BY2441" s="158"/>
      <c r="CB2441" s="158"/>
    </row>
    <row r="2442" ht="18.0" hidden="1" customHeight="1">
      <c r="A2442" s="222">
        <f>IFERROR(__xludf.DUMMYFUNCTION("""COMPUTED_VALUE"""),2026.0)</f>
        <v>2026</v>
      </c>
      <c r="B2442" s="221">
        <f>IFERROR(__xludf.DUMMYFUNCTION("""COMPUTED_VALUE"""),1.2671349E7)</f>
        <v>12671349</v>
      </c>
      <c r="C2442" s="222" t="str">
        <f>IFERROR(__xludf.DUMMYFUNCTION("""COMPUTED_VALUE"""),"LPG PT3 JPP PESAWARAN_144050 GDT")</f>
        <v>LPG PT3 JPP PESAWARAN_144050 GDT</v>
      </c>
      <c r="D2442" s="222" t="str">
        <f>IFERROR(__xludf.DUMMYFUNCTION("""COMPUTED_VALUE"""),"REGIONAL I")</f>
        <v>REGIONAL I</v>
      </c>
      <c r="E2442" s="222" t="str">
        <f>IFERROR(__xludf.DUMMYFUNCTION("""COMPUTED_VALUE"""),"LAMPUNG")</f>
        <v>LAMPUNG</v>
      </c>
      <c r="F2442" s="222" t="str">
        <f>IFERROR(__xludf.DUMMYFUNCTION("""COMPUTED_VALUE"""),"GDT")</f>
        <v>GDT</v>
      </c>
      <c r="G2442" s="222" t="str">
        <f>IFERROR(__xludf.DUMMYFUNCTION("""COMPUTED_VALUE"""),"SUMBAGSEL")</f>
        <v>SUMBAGSEL</v>
      </c>
      <c r="H2442" s="222" t="str">
        <f>IFERROR(__xludf.DUMMYFUNCTION("""COMPUTED_VALUE"""),"LAMPUNG")</f>
        <v>LAMPUNG</v>
      </c>
      <c r="I2442" s="222" t="str">
        <f>IFERROR(__xludf.DUMMYFUNCTION("""COMPUTED_VALUE"""),"Batch 3")</f>
        <v>Batch 3</v>
      </c>
      <c r="J2442" s="225">
        <f>IFERROR(__xludf.DUMMYFUNCTION("""COMPUTED_VALUE"""),5.0)</f>
        <v>5</v>
      </c>
      <c r="K2442" s="224">
        <f>IFERROR(__xludf.DUMMYFUNCTION("""COMPUTED_VALUE"""),40.0)</f>
        <v>40</v>
      </c>
      <c r="L2442" s="226">
        <f>IFERROR(__xludf.DUMMYFUNCTION("""COMPUTED_VALUE"""),836135.0)</f>
        <v>836135</v>
      </c>
      <c r="M2442" s="227">
        <f>IFERROR(__xludf.DUMMYFUNCTION("""COMPUTED_VALUE"""),3.3445369E7)</f>
        <v>33445369</v>
      </c>
      <c r="N2442" s="222" t="str">
        <f>IFERROR(__xludf.DUMMYFUNCTION("""COMPUTED_VALUE"""),"PT SARANA MITRA PERSADA")</f>
        <v>PT SARANA MITRA PERSADA</v>
      </c>
      <c r="O2442" s="222" t="str">
        <f>IFERROR(__xludf.DUMMYFUNCTION("""COMPUTED_VALUE"""),"7. GOLIVE")</f>
        <v>7. GOLIVE</v>
      </c>
      <c r="P2442" s="222" t="str">
        <f>IFERROR(__xludf.DUMMYFUNCTION("""COMPUTED_VALUE"""),"7.2 Golive Full / OA / DONE OTB")</f>
        <v>7.2 Golive Full / OA / DONE OTB</v>
      </c>
      <c r="Q2442" s="222" t="str">
        <f>IFERROR(__xludf.DUMMYFUNCTION("""COMPUTED_VALUE"""),"10/3 proses golive,, 9/3 proses valid 5,, 4/3 proses penanaman tiang plan FI 7/3 plan abd+valins tanggal 8/3 plan golive 9/3,
2/3 proses penanaman tiang plan FI 7/3 plan abd+valins tanggal 8/3 plan golive 9/3,
27/2 proses penanaman tiang plan FI 7/3 plan "&amp;"abd+valins tanggal 8/3 plan golive 9/3, 25/2 PROGRES MATDEL, 23/2 plan matdel 24/2,18/2 kendala release PO  11/2 KENDALA AMBIL MATERIAL, KARENA PRPO BARU CLEAR PLAN 13 FEB  (9/2)PLAN MATDEL 10 FEB 6/2 plan matdel 9/2
4/2 menunggu konfirmasi balik dari lur"&amp;"ah terkiat perizinan")</f>
        <v>10/3 proses golive,, 9/3 proses valid 5,, 4/3 proses penanaman tiang plan FI 7/3 plan abd+valins tanggal 8/3 plan golive 9/3,
2/3 proses penanaman tiang plan FI 7/3 plan abd+valins tanggal 8/3 plan golive 9/3,
27/2 proses penanaman tiang plan FI 7/3 plan abd+valins tanggal 8/3 plan golive 9/3, 25/2 PROGRES MATDEL, 23/2 plan matdel 24/2,18/2 kendala release PO  11/2 KENDALA AMBIL MATERIAL, KARENA PRPO BARU CLEAR PLAN 13 FEB  (9/2)PLAN MATDEL 10 FEB 6/2 plan matdel 9/2
4/2 menunggu konfirmasi balik dari lurah terkiat perizinan</v>
      </c>
      <c r="R2442" s="228">
        <f>IFERROR(__xludf.DUMMYFUNCTION("""COMPUTED_VALUE"""),46091.0)</f>
        <v>46091</v>
      </c>
      <c r="S2442" s="11" t="str">
        <f>IFERROR(__xludf.DUMMYFUNCTION("""COMPUTED_VALUE"""),"MAR")</f>
        <v>MAR</v>
      </c>
      <c r="T2442" s="11" t="str">
        <f>IFERROR(__xludf.DUMMYFUNCTION("""COMPUTED_VALUE"""),"P1")</f>
        <v>P1</v>
      </c>
      <c r="U2442" s="11" t="str">
        <f>IFERROR(__xludf.DUMMYFUNCTION("""COMPUTED_VALUE"""),"TIF-4014/2026")</f>
        <v>TIF-4014/2026</v>
      </c>
      <c r="V2442" s="229"/>
      <c r="W2442" s="229"/>
      <c r="X2442" s="229" t="str">
        <f>IFERROR(__xludf.DUMMYFUNCTION("""COMPUTED_VALUE"""),"GOLIVE")</f>
        <v>GOLIVE</v>
      </c>
      <c r="Y2442" s="229" t="str">
        <f>IFERROR(__xludf.DUMMYFUNCTION("""COMPUTED_VALUE"""),"DONE")</f>
        <v>DONE</v>
      </c>
      <c r="Z2442" s="229" t="str">
        <f>IFERROR(__xludf.DUMMYFUNCTION("""COMPUTED_VALUE"""),"#N/A")</f>
        <v>#N/A</v>
      </c>
      <c r="AA2442" s="229">
        <f>IFERROR(__xludf.DUMMYFUNCTION("""COMPUTED_VALUE"""),4.0)</f>
        <v>4</v>
      </c>
      <c r="AB2442" s="229"/>
      <c r="AC2442" s="229" t="str">
        <f>IFERROR(__xludf.DUMMYFUNCTION("""COMPUTED_VALUE"""),"9071887#9071892")</f>
        <v>9071887#9071892</v>
      </c>
      <c r="AD2442" s="232">
        <f>IFERROR(__xludf.DUMMYFUNCTION("""COMPUTED_VALUE"""),32.0)</f>
        <v>32</v>
      </c>
      <c r="AE2442" s="233">
        <f>IFERROR(__xludf.DUMMYFUNCTION("""COMPUTED_VALUE"""),46091.0)</f>
        <v>46091</v>
      </c>
      <c r="AF2442" s="54"/>
      <c r="AG2442" s="54"/>
      <c r="AH2442" s="54">
        <v>46091.0</v>
      </c>
      <c r="AI2442" s="55">
        <f t="shared" si="227"/>
        <v>0</v>
      </c>
      <c r="AW2442" s="234"/>
      <c r="BP2442" s="11"/>
      <c r="BQ2442" s="11"/>
      <c r="BV2442" s="158"/>
      <c r="BY2442" s="158"/>
      <c r="CB2442" s="158"/>
    </row>
    <row r="2443" ht="18.0" hidden="1" customHeight="1">
      <c r="A2443" s="222">
        <f>IFERROR(__xludf.DUMMYFUNCTION("""COMPUTED_VALUE"""),2026.0)</f>
        <v>2026</v>
      </c>
      <c r="B2443" s="221">
        <f>IFERROR(__xludf.DUMMYFUNCTION("""COMPUTED_VALUE"""),1.272814E7)</f>
        <v>12728140</v>
      </c>
      <c r="C2443" s="222" t="str">
        <f>IFERROR(__xludf.DUMMYFUNCTION("""COMPUTED_VALUE"""),"LPG PT3 JPP LAMPUNG SELATAN_110005 LAM")</f>
        <v>LPG PT3 JPP LAMPUNG SELATAN_110005 LAM</v>
      </c>
      <c r="D2443" s="222" t="str">
        <f>IFERROR(__xludf.DUMMYFUNCTION("""COMPUTED_VALUE"""),"REGIONAL I")</f>
        <v>REGIONAL I</v>
      </c>
      <c r="E2443" s="222" t="str">
        <f>IFERROR(__xludf.DUMMYFUNCTION("""COMPUTED_VALUE"""),"LAMPUNG")</f>
        <v>LAMPUNG</v>
      </c>
      <c r="F2443" s="222" t="str">
        <f>IFERROR(__xludf.DUMMYFUNCTION("""COMPUTED_VALUE"""),"LAM")</f>
        <v>LAM</v>
      </c>
      <c r="G2443" s="222" t="str">
        <f>IFERROR(__xludf.DUMMYFUNCTION("""COMPUTED_VALUE"""),"SUMBAGSEL")</f>
        <v>SUMBAGSEL</v>
      </c>
      <c r="H2443" s="222" t="str">
        <f>IFERROR(__xludf.DUMMYFUNCTION("""COMPUTED_VALUE"""),"LAMPUNG")</f>
        <v>LAMPUNG</v>
      </c>
      <c r="I2443" s="222" t="str">
        <f>IFERROR(__xludf.DUMMYFUNCTION("""COMPUTED_VALUE"""),"Batch 3")</f>
        <v>Batch 3</v>
      </c>
      <c r="J2443" s="225">
        <f>IFERROR(__xludf.DUMMYFUNCTION("""COMPUTED_VALUE"""),11.0)</f>
        <v>11</v>
      </c>
      <c r="K2443" s="224">
        <f>IFERROR(__xludf.DUMMYFUNCTION("""COMPUTED_VALUE"""),88.0)</f>
        <v>88</v>
      </c>
      <c r="L2443" s="226">
        <f>IFERROR(__xludf.DUMMYFUNCTION("""COMPUTED_VALUE"""),835371.0)</f>
        <v>835371</v>
      </c>
      <c r="M2443" s="227">
        <f>IFERROR(__xludf.DUMMYFUNCTION("""COMPUTED_VALUE"""),7.351258E7)</f>
        <v>73512580</v>
      </c>
      <c r="N2443" s="222" t="str">
        <f>IFERROR(__xludf.DUMMYFUNCTION("""COMPUTED_VALUE"""),"PT GARINDO TECHNO MANDIRI")</f>
        <v>PT GARINDO TECHNO MANDIRI</v>
      </c>
      <c r="O2443" s="222" t="str">
        <f>IFERROR(__xludf.DUMMYFUNCTION("""COMPUTED_VALUE"""),"0. DROP")</f>
        <v>0. DROP</v>
      </c>
      <c r="P2443" s="222" t="str">
        <f>IFERROR(__xludf.DUMMYFUNCTION("""COMPUTED_VALUE"""),"0.2 Tidak Dapat Izin Warga/Kades/Lurah/Developer")</f>
        <v>0.2 Tidak Dapat Izin Warga/Kades/Lurah/Developer</v>
      </c>
      <c r="Q2443" s="222" t="str">
        <f>IFERROR(__xludf.DUMMYFUNCTION("""COMPUTED_VALUE"""),"27/2 tidak dapat izin dari lurah karna masih ada case exsisting belum selesai,   6/2 plan anwizing ,9/2 survey eletrical fedeer dan distribusi 
4/2 progres prizinan dan eletrical 
30/1 plan anwizing 
23/1 plan anwizing tanggal 26/1")</f>
        <v>27/2 tidak dapat izin dari lurah karna masih ada case exsisting belum selesai,   6/2 plan anwizing ,9/2 survey eletrical fedeer dan distribusi 
4/2 progres prizinan dan eletrical 
30/1 plan anwizing 
23/1 plan anwizing tanggal 26/1</v>
      </c>
      <c r="R2443" s="228"/>
      <c r="S2443" s="11"/>
      <c r="T2443" s="11"/>
      <c r="U2443" s="11"/>
      <c r="V2443" s="229"/>
      <c r="W2443" s="229"/>
      <c r="X2443" s="229"/>
      <c r="Y2443" s="229"/>
      <c r="Z2443" s="229" t="str">
        <f>IFERROR(__xludf.DUMMYFUNCTION("""COMPUTED_VALUE"""),"#N/A")</f>
        <v>#N/A</v>
      </c>
      <c r="AA2443" s="229"/>
      <c r="AB2443" s="229"/>
      <c r="AC2443" s="229"/>
      <c r="AD2443" s="232"/>
      <c r="AE2443" s="233"/>
      <c r="AF2443" s="54" t="str">
        <f>IFERROR(__xludf.DUMMYFUNCTION("""COMPUTED_VALUE"""),"Draft BA DROP")</f>
        <v>Draft BA DROP</v>
      </c>
      <c r="AG2443" s="54"/>
      <c r="AH2443" s="54"/>
      <c r="AI2443" s="55" t="str">
        <f t="shared" si="227"/>
        <v/>
      </c>
      <c r="AW2443" s="234"/>
      <c r="BP2443" s="11"/>
      <c r="BQ2443" s="11"/>
      <c r="BV2443" s="158"/>
      <c r="BY2443" s="158"/>
      <c r="CB2443" s="158"/>
    </row>
    <row r="2444" ht="18.0" customHeight="1">
      <c r="A2444" s="222">
        <f>IFERROR(__xludf.DUMMYFUNCTION("""COMPUTED_VALUE"""),2026.0)</f>
        <v>2026</v>
      </c>
      <c r="B2444" s="221">
        <f>IFERROR(__xludf.DUMMYFUNCTION("""COMPUTED_VALUE"""),1.2823505E7)</f>
        <v>12823505</v>
      </c>
      <c r="C2444" s="222" t="str">
        <f>IFERROR(__xludf.DUMMYFUNCTION("""COMPUTED_VALUE"""),"SMB-PT3-ODC-PYK-FW-KOTA PYK-45710")</f>
        <v>SMB-PT3-ODC-PYK-FW-KOTA PYK-45710</v>
      </c>
      <c r="D2444" s="222" t="str">
        <f>IFERROR(__xludf.DUMMYFUNCTION("""COMPUTED_VALUE"""),"REGIONAL I")</f>
        <v>REGIONAL I</v>
      </c>
      <c r="E2444" s="222" t="str">
        <f>IFERROR(__xludf.DUMMYFUNCTION("""COMPUTED_VALUE"""),"SUMBAR")</f>
        <v>SUMBAR</v>
      </c>
      <c r="F2444" s="222" t="str">
        <f>IFERROR(__xludf.DUMMYFUNCTION("""COMPUTED_VALUE"""),"PYK")</f>
        <v>PYK</v>
      </c>
      <c r="G2444" s="222" t="str">
        <f>IFERROR(__xludf.DUMMYFUNCTION("""COMPUTED_VALUE"""),"SUMBAGTENG")</f>
        <v>SUMBAGTENG</v>
      </c>
      <c r="H2444" s="222" t="str">
        <f>IFERROR(__xludf.DUMMYFUNCTION("""COMPUTED_VALUE"""),"BUKIT TINGGI")</f>
        <v>BUKIT TINGGI</v>
      </c>
      <c r="I2444" s="222" t="str">
        <f>IFERROR(__xludf.DUMMYFUNCTION("""COMPUTED_VALUE"""),"Batch 3")</f>
        <v>Batch 3</v>
      </c>
      <c r="J2444" s="225">
        <f>IFERROR(__xludf.DUMMYFUNCTION("""COMPUTED_VALUE"""),3.0)</f>
        <v>3</v>
      </c>
      <c r="K2444" s="224">
        <f>IFERROR(__xludf.DUMMYFUNCTION("""COMPUTED_VALUE"""),24.0)</f>
        <v>24</v>
      </c>
      <c r="L2444" s="226">
        <f>IFERROR(__xludf.DUMMYFUNCTION("""COMPUTED_VALUE"""),834485.0)</f>
        <v>834485</v>
      </c>
      <c r="M2444" s="227">
        <f>IFERROR(__xludf.DUMMYFUNCTION("""COMPUTED_VALUE"""),2.0027623E7)</f>
        <v>20027623</v>
      </c>
      <c r="N2444" s="222" t="str">
        <f>IFERROR(__xludf.DUMMYFUNCTION("""COMPUTED_VALUE"""),"PT TSUIKA BERKAH RAYA")</f>
        <v>PT TSUIKA BERKAH RAYA</v>
      </c>
      <c r="O2444" s="222" t="str">
        <f>IFERROR(__xludf.DUMMYFUNCTION("""COMPUTED_VALUE"""),"8. UJI TERIMA")</f>
        <v>8. UJI TERIMA</v>
      </c>
      <c r="P2444" s="222" t="str">
        <f>IFERROR(__xludf.DUMMYFUNCTION("""COMPUTED_VALUE"""),"8.1 Proses UT")</f>
        <v>8.1 Proses UT</v>
      </c>
      <c r="Q2444" s="222" t="str">
        <f>IFERROR(__xludf.DUMMYFUNCTION("""COMPUTED_VALUE"""),"(18/02) material on site PLAN 22/02 (03/02) Proses create PID (29/01) Done aanwijziing  , proses eval")</f>
        <v>(18/02) material on site PLAN 22/02 (03/02) Proses create PID (29/01) Done aanwijziing  , proses eval</v>
      </c>
      <c r="R2444" s="228">
        <f>IFERROR(__xludf.DUMMYFUNCTION("""COMPUTED_VALUE"""),46069.0)</f>
        <v>46069</v>
      </c>
      <c r="S2444" s="11"/>
      <c r="T2444" s="11"/>
      <c r="U2444" s="11" t="str">
        <f>IFERROR(__xludf.DUMMYFUNCTION("""COMPUTED_VALUE"""),"TIF-3515/2026 26KT03R107-0011")</f>
        <v>TIF-3515/2026 26KT03R107-0011</v>
      </c>
      <c r="V2444" s="229" t="str">
        <f>IFERROR(__xludf.DUMMYFUNCTION("""COMPUTED_VALUE"""),"M. ARIF HAMADI")</f>
        <v>M. ARIF HAMADI</v>
      </c>
      <c r="W2444" s="229" t="str">
        <f>IFERROR(__xludf.DUMMYFUNCTION("""COMPUTED_VALUE"""),"MELKO NARWADI")</f>
        <v>MELKO NARWADI</v>
      </c>
      <c r="X2444" s="229" t="str">
        <f>IFERROR(__xludf.DUMMYFUNCTION("""COMPUTED_VALUE"""),"GOLIVE")</f>
        <v>GOLIVE</v>
      </c>
      <c r="Y2444" s="229" t="str">
        <f>IFERROR(__xludf.DUMMYFUNCTION("""COMPUTED_VALUE"""),"DONE")</f>
        <v>DONE</v>
      </c>
      <c r="Z2444" s="229" t="str">
        <f>IFERROR(__xludf.DUMMYFUNCTION("""COMPUTED_VALUE"""),"#N/A")</f>
        <v>#N/A</v>
      </c>
      <c r="AA2444" s="229">
        <f>IFERROR(__xludf.DUMMYFUNCTION("""COMPUTED_VALUE"""),3.0)</f>
        <v>3</v>
      </c>
      <c r="AB2444" s="229"/>
      <c r="AC2444" s="229" t="str">
        <f>IFERROR(__xludf.DUMMYFUNCTION("""COMPUTED_VALUE"""),"9157591#9157596")</f>
        <v>9157591#9157596</v>
      </c>
      <c r="AD2444" s="232">
        <f>IFERROR(__xludf.DUMMYFUNCTION("""COMPUTED_VALUE"""),24.0)</f>
        <v>24</v>
      </c>
      <c r="AE2444" s="233">
        <f>IFERROR(__xludf.DUMMYFUNCTION("""COMPUTED_VALUE"""),46080.0)</f>
        <v>46080</v>
      </c>
      <c r="AF2444" s="54"/>
      <c r="AG2444" s="54"/>
      <c r="AH2444" s="54">
        <v>46069.0</v>
      </c>
      <c r="AI2444" s="55">
        <f t="shared" si="227"/>
        <v>-11</v>
      </c>
      <c r="AW2444" s="234"/>
      <c r="BP2444" s="11"/>
      <c r="BQ2444" s="11"/>
      <c r="BV2444" s="158"/>
      <c r="BY2444" s="158"/>
      <c r="CB2444" s="158"/>
    </row>
    <row r="2445" ht="18.0" hidden="1" customHeight="1">
      <c r="A2445" s="222">
        <f>IFERROR(__xludf.DUMMYFUNCTION("""COMPUTED_VALUE"""),2026.0)</f>
        <v>2026</v>
      </c>
      <c r="B2445" s="221">
        <f>IFERROR(__xludf.DUMMYFUNCTION("""COMPUTED_VALUE"""),1.108125E7)</f>
        <v>11081250</v>
      </c>
      <c r="C2445" s="222" t="str">
        <f>IFERROR(__xludf.DUMMYFUNCTION("""COMPUTED_VALUE"""),"ACH PT3 TKN-FP D06 BR LUT KUCAK_MD")</f>
        <v>ACH PT3 TKN-FP D06 BR LUT KUCAK_MD</v>
      </c>
      <c r="D2445" s="222" t="str">
        <f>IFERROR(__xludf.DUMMYFUNCTION("""COMPUTED_VALUE"""),"REGIONAL I")</f>
        <v>REGIONAL I</v>
      </c>
      <c r="E2445" s="222" t="str">
        <f>IFERROR(__xludf.DUMMYFUNCTION("""COMPUTED_VALUE"""),"ACEH")</f>
        <v>ACEH</v>
      </c>
      <c r="F2445" s="222" t="str">
        <f>IFERROR(__xludf.DUMMYFUNCTION("""COMPUTED_VALUE"""),"TKN")</f>
        <v>TKN</v>
      </c>
      <c r="G2445" s="222" t="str">
        <f>IFERROR(__xludf.DUMMYFUNCTION("""COMPUTED_VALUE"""),"SUMBAGUT")</f>
        <v>SUMBAGUT</v>
      </c>
      <c r="H2445" s="222" t="str">
        <f>IFERROR(__xludf.DUMMYFUNCTION("""COMPUTED_VALUE"""),"BANDA ACEH")</f>
        <v>BANDA ACEH</v>
      </c>
      <c r="I2445" s="222" t="str">
        <f>IFERROR(__xludf.DUMMYFUNCTION("""COMPUTED_VALUE"""),"Batch 3")</f>
        <v>Batch 3</v>
      </c>
      <c r="J2445" s="225">
        <f>IFERROR(__xludf.DUMMYFUNCTION("""COMPUTED_VALUE"""),1.0)</f>
        <v>1</v>
      </c>
      <c r="K2445" s="224">
        <f>IFERROR(__xludf.DUMMYFUNCTION("""COMPUTED_VALUE"""),8.0)</f>
        <v>8</v>
      </c>
      <c r="L2445" s="226">
        <f>IFERROR(__xludf.DUMMYFUNCTION("""COMPUTED_VALUE"""),833546.0)</f>
        <v>833546</v>
      </c>
      <c r="M2445" s="227">
        <f>IFERROR(__xludf.DUMMYFUNCTION("""COMPUTED_VALUE"""),6668366.0)</f>
        <v>6668366</v>
      </c>
      <c r="N2445" s="222" t="str">
        <f>IFERROR(__xludf.DUMMYFUNCTION("""COMPUTED_VALUE"""),"PT KANA PRISMA AKSES")</f>
        <v>PT KANA PRISMA AKSES</v>
      </c>
      <c r="O2445" s="222" t="str">
        <f>IFERROR(__xludf.DUMMYFUNCTION("""COMPUTED_VALUE"""),"7. GOLIVE")</f>
        <v>7. GOLIVE</v>
      </c>
      <c r="P2445" s="222" t="str">
        <f>IFERROR(__xludf.DUMMYFUNCTION("""COMPUTED_VALUE"""),"7.2 Golive Full / OA / DONE OTB")</f>
        <v>7.2 Golive Full / OA / DONE OTB</v>
      </c>
      <c r="Q2445" s="222" t="str">
        <f>IFERROR(__xludf.DUMMYFUNCTION("""COMPUTED_VALUE"""),"(02/02) GoLive (22/01) Plan CO Port OLT Existing ke New Mini OLT")</f>
        <v>(02/02) GoLive (22/01) Plan CO Port OLT Existing ke New Mini OLT</v>
      </c>
      <c r="R2445" s="228">
        <f>IFERROR(__xludf.DUMMYFUNCTION("""COMPUTED_VALUE"""),46057.0)</f>
        <v>46057</v>
      </c>
      <c r="S2445" s="11"/>
      <c r="T2445" s="11"/>
      <c r="U2445" s="11"/>
      <c r="V2445" s="229"/>
      <c r="W2445" s="229"/>
      <c r="X2445" s="229" t="str">
        <f>IFERROR(__xludf.DUMMYFUNCTION("""COMPUTED_VALUE"""),"GOLIVE")</f>
        <v>GOLIVE</v>
      </c>
      <c r="Y2445" s="229" t="str">
        <f>IFERROR(__xludf.DUMMYFUNCTION("""COMPUTED_VALUE"""),"DONE")</f>
        <v>DONE</v>
      </c>
      <c r="Z2445" s="229" t="str">
        <f>IFERROR(__xludf.DUMMYFUNCTION("""COMPUTED_VALUE"""),"#N/A")</f>
        <v>#N/A</v>
      </c>
      <c r="AA2445" s="229">
        <f>IFERROR(__xludf.DUMMYFUNCTION("""COMPUTED_VALUE"""),1.0)</f>
        <v>1</v>
      </c>
      <c r="AB2445" s="229"/>
      <c r="AC2445" s="229" t="str">
        <f>IFERROR(__xludf.DUMMYFUNCTION("""COMPUTED_VALUE"""),"9056901#9056906")</f>
        <v>9056901#9056906</v>
      </c>
      <c r="AD2445" s="232">
        <f>IFERROR(__xludf.DUMMYFUNCTION("""COMPUTED_VALUE"""),8.0)</f>
        <v>8</v>
      </c>
      <c r="AE2445" s="233">
        <f>IFERROR(__xludf.DUMMYFUNCTION("""COMPUTED_VALUE"""),46057.0)</f>
        <v>46057</v>
      </c>
      <c r="AF2445" s="54"/>
      <c r="AG2445" s="54"/>
      <c r="AH2445" s="54">
        <v>46057.0</v>
      </c>
      <c r="AI2445" s="55">
        <f t="shared" si="227"/>
        <v>0</v>
      </c>
      <c r="AW2445" s="234"/>
      <c r="BP2445" s="11"/>
      <c r="BQ2445" s="11"/>
      <c r="BV2445" s="158"/>
      <c r="BY2445" s="158"/>
      <c r="CB2445" s="158"/>
    </row>
    <row r="2446" ht="18.0" customHeight="1">
      <c r="A2446" s="222">
        <f>IFERROR(__xludf.DUMMYFUNCTION("""COMPUTED_VALUE"""),2026.0)</f>
        <v>2026</v>
      </c>
      <c r="B2446" s="221">
        <f>IFERROR(__xludf.DUMMYFUNCTION("""COMPUTED_VALUE"""),1.2678991E7)</f>
        <v>12678991</v>
      </c>
      <c r="C2446" s="222" t="str">
        <f>IFERROR(__xludf.DUMMYFUNCTION("""COMPUTED_VALUE"""),"SMB PT3-SWL-FA KOTA SAWAHLUNTO_120262")</f>
        <v>SMB PT3-SWL-FA KOTA SAWAHLUNTO_120262</v>
      </c>
      <c r="D2446" s="222" t="str">
        <f>IFERROR(__xludf.DUMMYFUNCTION("""COMPUTED_VALUE"""),"REGIONAL I")</f>
        <v>REGIONAL I</v>
      </c>
      <c r="E2446" s="222" t="str">
        <f>IFERROR(__xludf.DUMMYFUNCTION("""COMPUTED_VALUE"""),"SUMBAR")</f>
        <v>SUMBAR</v>
      </c>
      <c r="F2446" s="222" t="str">
        <f>IFERROR(__xludf.DUMMYFUNCTION("""COMPUTED_VALUE"""),"SWL")</f>
        <v>SWL</v>
      </c>
      <c r="G2446" s="222" t="str">
        <f>IFERROR(__xludf.DUMMYFUNCTION("""COMPUTED_VALUE"""),"SUMBAGTENG")</f>
        <v>SUMBAGTENG</v>
      </c>
      <c r="H2446" s="222" t="str">
        <f>IFERROR(__xludf.DUMMYFUNCTION("""COMPUTED_VALUE"""),"PADANG")</f>
        <v>PADANG</v>
      </c>
      <c r="I2446" s="222" t="str">
        <f>IFERROR(__xludf.DUMMYFUNCTION("""COMPUTED_VALUE"""),"Batch 3")</f>
        <v>Batch 3</v>
      </c>
      <c r="J2446" s="225">
        <f>IFERROR(__xludf.DUMMYFUNCTION("""COMPUTED_VALUE"""),5.0)</f>
        <v>5</v>
      </c>
      <c r="K2446" s="224">
        <f>IFERROR(__xludf.DUMMYFUNCTION("""COMPUTED_VALUE"""),40.0)</f>
        <v>40</v>
      </c>
      <c r="L2446" s="226">
        <f>IFERROR(__xludf.DUMMYFUNCTION("""COMPUTED_VALUE"""),833079.0)</f>
        <v>833079</v>
      </c>
      <c r="M2446" s="227">
        <f>IFERROR(__xludf.DUMMYFUNCTION("""COMPUTED_VALUE"""),3.3323137E7)</f>
        <v>33323137</v>
      </c>
      <c r="N2446" s="222" t="str">
        <f>IFERROR(__xludf.DUMMYFUNCTION("""COMPUTED_VALUE"""),"PT TANJUNG PUTRA PRIMA")</f>
        <v>PT TANJUNG PUTRA PRIMA</v>
      </c>
      <c r="O2446" s="222" t="str">
        <f>IFERROR(__xludf.DUMMYFUNCTION("""COMPUTED_VALUE"""),"0. DROP")</f>
        <v>0. DROP</v>
      </c>
      <c r="P2446" s="222" t="str">
        <f>IFERROR(__xludf.DUMMYFUNCTION("""COMPUTED_VALUE"""),"0.3 Feeder Full")</f>
        <v>0.3 Feeder Full</v>
      </c>
      <c r="Q2446" s="222" t="str">
        <f>IFERROR(__xludf.DUMMYFUNCTION("""COMPUTED_VALUE"""),"26/01 : kendala feeder SWL-FA FULL")</f>
        <v>26/01 : kendala feeder SWL-FA FULL</v>
      </c>
      <c r="R2446" s="228"/>
      <c r="S2446" s="11"/>
      <c r="T2446" s="11"/>
      <c r="U2446" s="11"/>
      <c r="V2446" s="229" t="str">
        <f>IFERROR(__xludf.DUMMYFUNCTION("""COMPUTED_VALUE"""),"YULIO NOVIKO")</f>
        <v>YULIO NOVIKO</v>
      </c>
      <c r="W2446" s="229" t="str">
        <f>IFERROR(__xludf.DUMMYFUNCTION("""COMPUTED_VALUE"""),"MELKO NARWADI")</f>
        <v>MELKO NARWADI</v>
      </c>
      <c r="X2446" s="229"/>
      <c r="Y2446" s="229"/>
      <c r="Z2446" s="229" t="str">
        <f>IFERROR(__xludf.DUMMYFUNCTION("""COMPUTED_VALUE"""),"#N/A")</f>
        <v>#N/A</v>
      </c>
      <c r="AA2446" s="229"/>
      <c r="AB2446" s="229"/>
      <c r="AC2446" s="229"/>
      <c r="AD2446" s="232"/>
      <c r="AE2446" s="233"/>
      <c r="AF2446" s="54" t="str">
        <f>IFERROR(__xludf.DUMMYFUNCTION("""COMPUTED_VALUE"""),"Draft BA DROP")</f>
        <v>Draft BA DROP</v>
      </c>
      <c r="AG2446" s="54"/>
      <c r="AH2446" s="54"/>
      <c r="AI2446" s="55" t="str">
        <f t="shared" si="227"/>
        <v/>
      </c>
      <c r="AW2446" s="234"/>
      <c r="BP2446" s="11"/>
      <c r="BQ2446" s="11"/>
      <c r="BV2446" s="158"/>
      <c r="BY2446" s="158"/>
      <c r="CB2446" s="158"/>
    </row>
    <row r="2447" ht="18.0" hidden="1" customHeight="1">
      <c r="A2447" s="222">
        <f>IFERROR(__xludf.DUMMYFUNCTION("""COMPUTED_VALUE"""),2026.0)</f>
        <v>2026</v>
      </c>
      <c r="B2447" s="221">
        <f>IFERROR(__xludf.DUMMYFUNCTION("""COMPUTED_VALUE"""),1.26802E7)</f>
        <v>12680200</v>
      </c>
      <c r="C2447" s="222" t="str">
        <f>IFERROR(__xludf.DUMMYFUNCTION("""COMPUTED_VALUE"""),"LPG PT3 JPP BANDAR LAMPUNG_144034 KDT")</f>
        <v>LPG PT3 JPP BANDAR LAMPUNG_144034 KDT</v>
      </c>
      <c r="D2447" s="222" t="str">
        <f>IFERROR(__xludf.DUMMYFUNCTION("""COMPUTED_VALUE"""),"REGIONAL I")</f>
        <v>REGIONAL I</v>
      </c>
      <c r="E2447" s="222" t="str">
        <f>IFERROR(__xludf.DUMMYFUNCTION("""COMPUTED_VALUE"""),"LAMPUNG")</f>
        <v>LAMPUNG</v>
      </c>
      <c r="F2447" s="222" t="str">
        <f>IFERROR(__xludf.DUMMYFUNCTION("""COMPUTED_VALUE"""),"KDT")</f>
        <v>KDT</v>
      </c>
      <c r="G2447" s="222" t="str">
        <f>IFERROR(__xludf.DUMMYFUNCTION("""COMPUTED_VALUE"""),"SUMBAGSEL")</f>
        <v>SUMBAGSEL</v>
      </c>
      <c r="H2447" s="222" t="str">
        <f>IFERROR(__xludf.DUMMYFUNCTION("""COMPUTED_VALUE"""),"LAMPUNG")</f>
        <v>LAMPUNG</v>
      </c>
      <c r="I2447" s="222" t="str">
        <f>IFERROR(__xludf.DUMMYFUNCTION("""COMPUTED_VALUE"""),"Batch 3")</f>
        <v>Batch 3</v>
      </c>
      <c r="J2447" s="225">
        <f>IFERROR(__xludf.DUMMYFUNCTION("""COMPUTED_VALUE"""),4.0)</f>
        <v>4</v>
      </c>
      <c r="K2447" s="224">
        <f>IFERROR(__xludf.DUMMYFUNCTION("""COMPUTED_VALUE"""),32.0)</f>
        <v>32</v>
      </c>
      <c r="L2447" s="226">
        <f>IFERROR(__xludf.DUMMYFUNCTION("""COMPUTED_VALUE"""),830751.0)</f>
        <v>830751</v>
      </c>
      <c r="M2447" s="227">
        <f>IFERROR(__xludf.DUMMYFUNCTION("""COMPUTED_VALUE"""),2.658401E7)</f>
        <v>26584010</v>
      </c>
      <c r="N2447" s="222" t="str">
        <f>IFERROR(__xludf.DUMMYFUNCTION("""COMPUTED_VALUE"""),"PT BANGTELINDO")</f>
        <v>PT BANGTELINDO</v>
      </c>
      <c r="O2447" s="222" t="str">
        <f>IFERROR(__xludf.DUMMYFUNCTION("""COMPUTED_VALUE"""),"0. DROP")</f>
        <v>0. DROP</v>
      </c>
      <c r="P2447" s="222" t="str">
        <f>IFERROR(__xludf.DUMMYFUNCTION("""COMPUTED_VALUE"""),"0.2 Tidak Dapat Izin Warga/Kades/Lurah/Developer")</f>
        <v>0.2 Tidak Dapat Izin Warga/Kades/Lurah/Developer</v>
      </c>
      <c r="Q2447" s="222" t="str">
        <f>IFERROR(__xludf.DUMMYFUNCTION("""COMPUTED_VALUE"""),"4/2 tidak dapat izin  karna melewati kebun warga 
28/1 redesain jalur karna lewat kebun warga 05/2 
23/1 plan anwizing tanggal 26/2")</f>
        <v>4/2 tidak dapat izin  karna melewati kebun warga 
28/1 redesain jalur karna lewat kebun warga 05/2 
23/1 plan anwizing tanggal 26/2</v>
      </c>
      <c r="R2447" s="228"/>
      <c r="S2447" s="11"/>
      <c r="T2447" s="11"/>
      <c r="U2447" s="11"/>
      <c r="V2447" s="229"/>
      <c r="W2447" s="229"/>
      <c r="X2447" s="229"/>
      <c r="Y2447" s="229"/>
      <c r="Z2447" s="229" t="str">
        <f>IFERROR(__xludf.DUMMYFUNCTION("""COMPUTED_VALUE"""),"#N/A")</f>
        <v>#N/A</v>
      </c>
      <c r="AA2447" s="229"/>
      <c r="AB2447" s="229"/>
      <c r="AC2447" s="229"/>
      <c r="AD2447" s="232"/>
      <c r="AE2447" s="233"/>
      <c r="AF2447" s="54" t="str">
        <f>IFERROR(__xludf.DUMMYFUNCTION("""COMPUTED_VALUE"""),"Draft BA DROP")</f>
        <v>Draft BA DROP</v>
      </c>
      <c r="AG2447" s="54"/>
      <c r="AH2447" s="54"/>
      <c r="AI2447" s="55" t="str">
        <f t="shared" si="227"/>
        <v/>
      </c>
      <c r="AW2447" s="234"/>
      <c r="BP2447" s="11"/>
      <c r="BQ2447" s="11"/>
      <c r="BV2447" s="158"/>
      <c r="BY2447" s="158"/>
      <c r="CB2447" s="158"/>
    </row>
    <row r="2448" ht="18.0" hidden="1" customHeight="1">
      <c r="A2448" s="222">
        <f>IFERROR(__xludf.DUMMYFUNCTION("""COMPUTED_VALUE"""),2026.0)</f>
        <v>2026</v>
      </c>
      <c r="B2448" s="221">
        <f>IFERROR(__xludf.DUMMYFUNCTION("""COMPUTED_VALUE"""),1.2578977E7)</f>
        <v>12578977</v>
      </c>
      <c r="C2448" s="222" t="str">
        <f>IFERROR(__xludf.DUMMYFUNCTION("""COMPUTED_VALUE"""),"MDN PT3 TJR-FN 250_1596_1713_")</f>
        <v>MDN PT3 TJR-FN 250_1596_1713_</v>
      </c>
      <c r="D2448" s="222" t="str">
        <f>IFERROR(__xludf.DUMMYFUNCTION("""COMPUTED_VALUE"""),"REGIONAL I")</f>
        <v>REGIONAL I</v>
      </c>
      <c r="E2448" s="222" t="str">
        <f>IFERROR(__xludf.DUMMYFUNCTION("""COMPUTED_VALUE"""),"MEDAN")</f>
        <v>MEDAN</v>
      </c>
      <c r="F2448" s="222" t="str">
        <f>IFERROR(__xludf.DUMMYFUNCTION("""COMPUTED_VALUE"""),"TJR")</f>
        <v>TJR</v>
      </c>
      <c r="G2448" s="222" t="str">
        <f>IFERROR(__xludf.DUMMYFUNCTION("""COMPUTED_VALUE"""),"SUMBAGUT")</f>
        <v>SUMBAGUT</v>
      </c>
      <c r="H2448" s="222" t="str">
        <f>IFERROR(__xludf.DUMMYFUNCTION("""COMPUTED_VALUE"""),"MEDAN")</f>
        <v>MEDAN</v>
      </c>
      <c r="I2448" s="222" t="str">
        <f>IFERROR(__xludf.DUMMYFUNCTION("""COMPUTED_VALUE"""),"Batch 3")</f>
        <v>Batch 3</v>
      </c>
      <c r="J2448" s="225">
        <f>IFERROR(__xludf.DUMMYFUNCTION("""COMPUTED_VALUE"""),1.0)</f>
        <v>1</v>
      </c>
      <c r="K2448" s="224">
        <f>IFERROR(__xludf.DUMMYFUNCTION("""COMPUTED_VALUE"""),8.0)</f>
        <v>8</v>
      </c>
      <c r="L2448" s="226">
        <f>IFERROR(__xludf.DUMMYFUNCTION("""COMPUTED_VALUE"""),828467.0)</f>
        <v>828467</v>
      </c>
      <c r="M2448" s="227">
        <f>IFERROR(__xludf.DUMMYFUNCTION("""COMPUTED_VALUE"""),6627733.0)</f>
        <v>6627733</v>
      </c>
      <c r="N2448" s="222" t="str">
        <f>IFERROR(__xludf.DUMMYFUNCTION("""COMPUTED_VALUE"""),"PT MEDCOM SOLUTION")</f>
        <v>PT MEDCOM SOLUTION</v>
      </c>
      <c r="O2448" s="222" t="str">
        <f>IFERROR(__xludf.DUMMYFUNCTION("""COMPUTED_VALUE"""),"0. DROP")</f>
        <v>0. DROP</v>
      </c>
      <c r="P2448" s="222" t="str">
        <f>IFERROR(__xludf.DUMMYFUNCTION("""COMPUTED_VALUE"""),"0.2 Tidak Dapat Izin Warga/Kades/Lurah/Developer")</f>
        <v>0.2 Tidak Dapat Izin Warga/Kades/Lurah/Developer</v>
      </c>
      <c r="Q2448" s="222" t="str">
        <f>IFERROR(__xludf.DUMMYFUNCTION("""COMPUTED_VALUE"""),"08/04 tanam tiang tdk dapat izin
31/03 pengajuan prelim 1jt, lanjut aanwidzing 15/01 order mitra")</f>
        <v>08/04 tanam tiang tdk dapat izin
31/03 pengajuan prelim 1jt, lanjut aanwidzing 15/01 order mitra</v>
      </c>
      <c r="R2448" s="228"/>
      <c r="S2448" s="11"/>
      <c r="T2448" s="73"/>
      <c r="U2448" s="11"/>
      <c r="V2448" s="229" t="str">
        <f>IFERROR(__xludf.DUMMYFUNCTION("""COMPUTED_VALUE"""),"27/Apr/2026")</f>
        <v>27/Apr/2026</v>
      </c>
      <c r="W2448" s="229"/>
      <c r="X2448" s="229" t="str">
        <f>IFERROR(__xludf.DUMMYFUNCTION("""COMPUTED_VALUE"""),"BELUM GOLIVE")</f>
        <v>BELUM GOLIVE</v>
      </c>
      <c r="Y2448" s="229"/>
      <c r="Z2448" s="229" t="str">
        <f>IFERROR(__xludf.DUMMYFUNCTION("""COMPUTED_VALUE"""),"#N/A")</f>
        <v>#N/A</v>
      </c>
      <c r="AA2448" s="229"/>
      <c r="AB2448" s="229"/>
      <c r="AC2448" s="229"/>
      <c r="AD2448" s="232"/>
      <c r="AE2448" s="233"/>
      <c r="AF2448" s="54"/>
      <c r="AG2448" s="54"/>
      <c r="AH2448" s="54"/>
      <c r="AI2448" s="55" t="str">
        <f t="shared" si="227"/>
        <v/>
      </c>
      <c r="AW2448" s="234"/>
      <c r="BP2448" s="11"/>
      <c r="BQ2448" s="11"/>
      <c r="BV2448" s="158"/>
      <c r="BY2448" s="158"/>
      <c r="CB2448" s="158"/>
    </row>
    <row r="2449" ht="18.0" customHeight="1">
      <c r="A2449" s="222">
        <f>IFERROR(__xludf.DUMMYFUNCTION("""COMPUTED_VALUE"""),2026.0)</f>
        <v>2026</v>
      </c>
      <c r="B2449" s="221">
        <f>IFERROR(__xludf.DUMMYFUNCTION("""COMPUTED_VALUE"""),1.2874033E7)</f>
        <v>12874033</v>
      </c>
      <c r="C2449" s="222" t="str">
        <f>IFERROR(__xludf.DUMMYFUNCTION("""COMPUTED_VALUE"""),"SMB PT3-LBS-FD SMB STTF KP. MELAYU")</f>
        <v>SMB PT3-LBS-FD SMB STTF KP. MELAYU</v>
      </c>
      <c r="D2449" s="222" t="str">
        <f>IFERROR(__xludf.DUMMYFUNCTION("""COMPUTED_VALUE"""),"REGIONAL I")</f>
        <v>REGIONAL I</v>
      </c>
      <c r="E2449" s="222" t="str">
        <f>IFERROR(__xludf.DUMMYFUNCTION("""COMPUTED_VALUE"""),"SUMBAR")</f>
        <v>SUMBAR</v>
      </c>
      <c r="F2449" s="222" t="str">
        <f>IFERROR(__xludf.DUMMYFUNCTION("""COMPUTED_VALUE"""),"LBS")</f>
        <v>LBS</v>
      </c>
      <c r="G2449" s="222" t="str">
        <f>IFERROR(__xludf.DUMMYFUNCTION("""COMPUTED_VALUE"""),"SUMBAGTENG")</f>
        <v>SUMBAGTENG</v>
      </c>
      <c r="H2449" s="222" t="str">
        <f>IFERROR(__xludf.DUMMYFUNCTION("""COMPUTED_VALUE"""),"BUKIT TINGGI")</f>
        <v>BUKIT TINGGI</v>
      </c>
      <c r="I2449" s="222" t="str">
        <f>IFERROR(__xludf.DUMMYFUNCTION("""COMPUTED_VALUE"""),"Batch 3")</f>
        <v>Batch 3</v>
      </c>
      <c r="J2449" s="225">
        <f>IFERROR(__xludf.DUMMYFUNCTION("""COMPUTED_VALUE"""),3.0)</f>
        <v>3</v>
      </c>
      <c r="K2449" s="224">
        <f>IFERROR(__xludf.DUMMYFUNCTION("""COMPUTED_VALUE"""),24.0)</f>
        <v>24</v>
      </c>
      <c r="L2449" s="226">
        <f>IFERROR(__xludf.DUMMYFUNCTION("""COMPUTED_VALUE"""),828384.0)</f>
        <v>828384</v>
      </c>
      <c r="M2449" s="227">
        <f>IFERROR(__xludf.DUMMYFUNCTION("""COMPUTED_VALUE"""),1.9881209E7)</f>
        <v>19881209</v>
      </c>
      <c r="N2449" s="222" t="str">
        <f>IFERROR(__xludf.DUMMYFUNCTION("""COMPUTED_VALUE"""),"PT GARINDO TECHNO MANDIRI")</f>
        <v>PT GARINDO TECHNO MANDIRI</v>
      </c>
      <c r="O2449" s="222" t="str">
        <f>IFERROR(__xludf.DUMMYFUNCTION("""COMPUTED_VALUE"""),"8. UJI TERIMA")</f>
        <v>8. UJI TERIMA</v>
      </c>
      <c r="P2449" s="222" t="str">
        <f>IFERROR(__xludf.DUMMYFUNCTION("""COMPUTED_VALUE"""),"8.1 Proses UT")</f>
        <v>8.1 Proses UT</v>
      </c>
      <c r="Q2449" s="222" t="str">
        <f>IFERROR(__xludf.DUMMYFUNCTION("""COMPUTED_VALUE"""),"(05/03) terminasi ODP, menunggu dana comcase (02/03) penyerahan dana comcase HI, dan lanjut instalasi (18/02) tanam tiang PLan FI 20/02 (05/02) proses tanam tiang (29/01) proses create PID (21/01) proses aanwijziing (07/01) Persiapan")</f>
        <v>(05/03) terminasi ODP, menunggu dana comcase (02/03) penyerahan dana comcase HI, dan lanjut instalasi (18/02) tanam tiang PLan FI 20/02 (05/02) proses tanam tiang (29/01) proses create PID (21/01) proses aanwijziing (07/01) Persiapan</v>
      </c>
      <c r="R2449" s="228">
        <f>IFERROR(__xludf.DUMMYFUNCTION("""COMPUTED_VALUE"""),46092.0)</f>
        <v>46092</v>
      </c>
      <c r="S2449" s="11" t="str">
        <f>IFERROR(__xludf.DUMMYFUNCTION("""COMPUTED_VALUE"""),"MAR")</f>
        <v>MAR</v>
      </c>
      <c r="T2449" s="11"/>
      <c r="U2449" s="11" t="str">
        <f>IFERROR(__xludf.DUMMYFUNCTION("""COMPUTED_VALUE"""),"TIF-2362/2026 26KT03R158-0027")</f>
        <v>TIF-2362/2026 26KT03R158-0027</v>
      </c>
      <c r="V2449" s="229" t="str">
        <f>IFERROR(__xludf.DUMMYFUNCTION("""COMPUTED_VALUE"""),"DELPA YANDA")</f>
        <v>DELPA YANDA</v>
      </c>
      <c r="W2449" s="229" t="str">
        <f>IFERROR(__xludf.DUMMYFUNCTION("""COMPUTED_VALUE"""),"MELKO NARWADI")</f>
        <v>MELKO NARWADI</v>
      </c>
      <c r="X2449" s="229" t="str">
        <f>IFERROR(__xludf.DUMMYFUNCTION("""COMPUTED_VALUE"""),"GOLIVE")</f>
        <v>GOLIVE</v>
      </c>
      <c r="Y2449" s="229" t="str">
        <f>IFERROR(__xludf.DUMMYFUNCTION("""COMPUTED_VALUE"""),"DONE")</f>
        <v>DONE</v>
      </c>
      <c r="Z2449" s="229" t="str">
        <f>IFERROR(__xludf.DUMMYFUNCTION("""COMPUTED_VALUE"""),"#N/A")</f>
        <v>#N/A</v>
      </c>
      <c r="AA2449" s="229">
        <f>IFERROR(__xludf.DUMMYFUNCTION("""COMPUTED_VALUE"""),4.0)</f>
        <v>4</v>
      </c>
      <c r="AB2449" s="229"/>
      <c r="AC2449" s="229" t="str">
        <f>IFERROR(__xludf.DUMMYFUNCTION("""COMPUTED_VALUE"""),"9209585#9209590")</f>
        <v>9209585#9209590</v>
      </c>
      <c r="AD2449" s="232">
        <f>IFERROR(__xludf.DUMMYFUNCTION("""COMPUTED_VALUE"""),32.0)</f>
        <v>32</v>
      </c>
      <c r="AE2449" s="233">
        <f>IFERROR(__xludf.DUMMYFUNCTION("""COMPUTED_VALUE"""),46097.0)</f>
        <v>46097</v>
      </c>
      <c r="AF2449" s="54"/>
      <c r="AG2449" s="54"/>
      <c r="AH2449" s="54">
        <v>46092.0</v>
      </c>
      <c r="AI2449" s="55">
        <f t="shared" si="227"/>
        <v>-5</v>
      </c>
      <c r="AW2449" s="234"/>
      <c r="BP2449" s="11"/>
      <c r="BQ2449" s="11"/>
      <c r="BV2449" s="158"/>
      <c r="BY2449" s="158"/>
      <c r="CB2449" s="158"/>
    </row>
    <row r="2450" ht="18.0" hidden="1" customHeight="1">
      <c r="A2450" s="222">
        <f>IFERROR(__xludf.DUMMYFUNCTION("""COMPUTED_VALUE"""),2026.0)</f>
        <v>2026</v>
      </c>
      <c r="B2450" s="221">
        <f>IFERROR(__xludf.DUMMYFUNCTION("""COMPUTED_VALUE"""),1.1867687E7)</f>
        <v>11867687</v>
      </c>
      <c r="C2450" s="222" t="str">
        <f>IFERROR(__xludf.DUMMYFUNCTION("""COMPUTED_VALUE"""),"MDN PT3 TMU-FH JL.PERTIWI_MD25")</f>
        <v>MDN PT3 TMU-FH JL.PERTIWI_MD25</v>
      </c>
      <c r="D2450" s="222" t="str">
        <f>IFERROR(__xludf.DUMMYFUNCTION("""COMPUTED_VALUE"""),"REGIONAL I")</f>
        <v>REGIONAL I</v>
      </c>
      <c r="E2450" s="222" t="str">
        <f>IFERROR(__xludf.DUMMYFUNCTION("""COMPUTED_VALUE"""),"MEDAN")</f>
        <v>MEDAN</v>
      </c>
      <c r="F2450" s="222" t="str">
        <f>IFERROR(__xludf.DUMMYFUNCTION("""COMPUTED_VALUE"""),"TMU")</f>
        <v>TMU</v>
      </c>
      <c r="G2450" s="222" t="str">
        <f>IFERROR(__xludf.DUMMYFUNCTION("""COMPUTED_VALUE"""),"SUMBAGUT")</f>
        <v>SUMBAGUT</v>
      </c>
      <c r="H2450" s="222" t="str">
        <f>IFERROR(__xludf.DUMMYFUNCTION("""COMPUTED_VALUE"""),"MEDAN")</f>
        <v>MEDAN</v>
      </c>
      <c r="I2450" s="222" t="str">
        <f>IFERROR(__xludf.DUMMYFUNCTION("""COMPUTED_VALUE"""),"Batch 3")</f>
        <v>Batch 3</v>
      </c>
      <c r="J2450" s="225">
        <f>IFERROR(__xludf.DUMMYFUNCTION("""COMPUTED_VALUE"""),3.0)</f>
        <v>3</v>
      </c>
      <c r="K2450" s="224">
        <f>IFERROR(__xludf.DUMMYFUNCTION("""COMPUTED_VALUE"""),24.0)</f>
        <v>24</v>
      </c>
      <c r="L2450" s="226">
        <f>IFERROR(__xludf.DUMMYFUNCTION("""COMPUTED_VALUE"""),820785.0)</f>
        <v>820785</v>
      </c>
      <c r="M2450" s="227">
        <f>IFERROR(__xludf.DUMMYFUNCTION("""COMPUTED_VALUE"""),1.969883E7)</f>
        <v>19698830</v>
      </c>
      <c r="N2450" s="222" t="str">
        <f>IFERROR(__xludf.DUMMYFUNCTION("""COMPUTED_VALUE"""),"PT GLOBAL KARYA WANDA")</f>
        <v>PT GLOBAL KARYA WANDA</v>
      </c>
      <c r="O2450" s="222" t="str">
        <f>IFERROR(__xludf.DUMMYFUNCTION("""COMPUTED_VALUE"""),"2. DONE AANWIJZING")</f>
        <v>2. DONE AANWIJZING</v>
      </c>
      <c r="P2450" s="222" t="str">
        <f>IFERROR(__xludf.DUMMYFUNCTION("""COMPUTED_VALUE"""),"2.10 Kendala - Feeder Rusak")</f>
        <v>2.10 Kendala - Feeder Rusak</v>
      </c>
      <c r="Q2450" s="222" t="str">
        <f>IFERROR(__xludf.DUMMYFUNCTION("""COMPUTED_VALUE"""),"21/04 pengecekan tipus / butuh qe
11/03 FE Redti 08/03 alih mitra 27/02 done order")</f>
        <v>21/04 pengecekan tipus / butuh qe
11/03 FE Redti 08/03 alih mitra 27/02 done order</v>
      </c>
      <c r="R2450" s="228"/>
      <c r="S2450" s="11"/>
      <c r="T2450" s="11"/>
      <c r="U2450" s="11"/>
      <c r="V2450" s="229"/>
      <c r="W2450" s="229"/>
      <c r="X2450" s="229" t="str">
        <f>IFERROR(__xludf.DUMMYFUNCTION("""COMPUTED_VALUE"""),"BELUM GOLIVE")</f>
        <v>BELUM GOLIVE</v>
      </c>
      <c r="Y2450" s="229"/>
      <c r="Z2450" s="229" t="str">
        <f>IFERROR(__xludf.DUMMYFUNCTION("""COMPUTED_VALUE"""),"#N/A")</f>
        <v>#N/A</v>
      </c>
      <c r="AA2450" s="229"/>
      <c r="AB2450" s="229"/>
      <c r="AC2450" s="229"/>
      <c r="AD2450" s="232"/>
      <c r="AE2450" s="233"/>
      <c r="AF2450" s="54"/>
      <c r="AG2450" s="54"/>
      <c r="AH2450" s="54">
        <v>46133.0</v>
      </c>
      <c r="AI2450" s="237">
        <f>AH2450-NOW()</f>
        <v>-7.377989954</v>
      </c>
      <c r="AJ2450" s="229" t="str">
        <f t="shared" ref="AJ2450:AJ2451" si="228">if(AI2450&gt;=0,"In Komitmen","Out Komitmen")</f>
        <v>Out Komitmen</v>
      </c>
      <c r="AK2450" s="229" t="s">
        <v>199</v>
      </c>
      <c r="AW2450" s="234"/>
      <c r="BP2450" s="11"/>
      <c r="BQ2450" s="11"/>
      <c r="BV2450" s="158"/>
      <c r="BY2450" s="158"/>
      <c r="CB2450" s="158"/>
    </row>
    <row r="2451" ht="18.0" customHeight="1">
      <c r="A2451" s="222">
        <f>IFERROR(__xludf.DUMMYFUNCTION("""COMPUTED_VALUE"""),2026.0)</f>
        <v>2026</v>
      </c>
      <c r="B2451" s="221">
        <f>IFERROR(__xludf.DUMMYFUNCTION("""COMPUTED_VALUE"""),1.1987466E7)</f>
        <v>11987466</v>
      </c>
      <c r="C2451" s="222" t="str">
        <f>IFERROR(__xludf.DUMMYFUNCTION("""COMPUTED_VALUE"""),"KAMPAR_9174_H2_2025")</f>
        <v>KAMPAR_9174_H2_2025</v>
      </c>
      <c r="D2451" s="222" t="str">
        <f>IFERROR(__xludf.DUMMYFUNCTION("""COMPUTED_VALUE"""),"REGIONAL I")</f>
        <v>REGIONAL I</v>
      </c>
      <c r="E2451" s="222" t="str">
        <f>IFERROR(__xludf.DUMMYFUNCTION("""COMPUTED_VALUE"""),"RIDAR")</f>
        <v>RIDAR</v>
      </c>
      <c r="F2451" s="222" t="str">
        <f>IFERROR(__xludf.DUMMYFUNCTION("""COMPUTED_VALUE"""),"ARK")</f>
        <v>ARK</v>
      </c>
      <c r="G2451" s="222" t="str">
        <f>IFERROR(__xludf.DUMMYFUNCTION("""COMPUTED_VALUE"""),"SUMBAGTENG")</f>
        <v>SUMBAGTENG</v>
      </c>
      <c r="H2451" s="222" t="str">
        <f>IFERROR(__xludf.DUMMYFUNCTION("""COMPUTED_VALUE"""),"PEKANBARU")</f>
        <v>PEKANBARU</v>
      </c>
      <c r="I2451" s="222" t="str">
        <f>IFERROR(__xludf.DUMMYFUNCTION("""COMPUTED_VALUE"""),"Batch 3")</f>
        <v>Batch 3</v>
      </c>
      <c r="J2451" s="225">
        <f>IFERROR(__xludf.DUMMYFUNCTION("""COMPUTED_VALUE"""),12.0)</f>
        <v>12</v>
      </c>
      <c r="K2451" s="224">
        <f>IFERROR(__xludf.DUMMYFUNCTION("""COMPUTED_VALUE"""),96.0)</f>
        <v>96</v>
      </c>
      <c r="L2451" s="226">
        <f>IFERROR(__xludf.DUMMYFUNCTION("""COMPUTED_VALUE"""),820139.0)</f>
        <v>820139</v>
      </c>
      <c r="M2451" s="227">
        <f>IFERROR(__xludf.DUMMYFUNCTION("""COMPUTED_VALUE"""),7.8733324E7)</f>
        <v>78733324</v>
      </c>
      <c r="N2451" s="222" t="str">
        <f>IFERROR(__xludf.DUMMYFUNCTION("""COMPUTED_VALUE"""),"PT UPAYA TEKNIK")</f>
        <v>PT UPAYA TEKNIK</v>
      </c>
      <c r="O2451" s="222" t="str">
        <f>IFERROR(__xludf.DUMMYFUNCTION("""COMPUTED_VALUE"""),"5. INSTALASI")</f>
        <v>5. INSTALASI</v>
      </c>
      <c r="P2451" s="222" t="str">
        <f>IFERROR(__xludf.DUMMYFUNCTION("""COMPUTED_VALUE"""),"5.6 Proses Penarikan Kabel")</f>
        <v>5.6 Proses Penarikan Kabel</v>
      </c>
      <c r="Q2451" s="222" t="str">
        <f>IFERROR(__xludf.DUMMYFUNCTION("""COMPUTED_VALUE"""),"20/04 Penarikan Kabel 13/04 Penanaman Tiang 06/04 Pengiriman mateiral ke Lokasi 27/03 Pekerjaan mulai progres senin 30 Mar 16/03 Pekerjaan dilanjut setelah RAFI 05/03 Menunggu PO Kabel ADSS sampai di WH Pekanbaru 11/02 Sudah review, go deploy 09/02 Antria"&amp;"n Review 29/01 Antrian review hasil anwidzing ")</f>
        <v>20/04 Penarikan Kabel 13/04 Penanaman Tiang 06/04 Pengiriman mateiral ke Lokasi 27/03 Pekerjaan mulai progres senin 30 Mar 16/03 Pekerjaan dilanjut setelah RAFI 05/03 Menunggu PO Kabel ADSS sampai di WH Pekanbaru 11/02 Sudah review, go deploy 09/02 Antrian Review 29/01 Antrian review hasil anwidzing </v>
      </c>
      <c r="R2451" s="228">
        <f>IFERROR(__xludf.DUMMYFUNCTION("""COMPUTED_VALUE"""),46139.0)</f>
        <v>46139</v>
      </c>
      <c r="S2451" s="11" t="str">
        <f>IFERROR(__xludf.DUMMYFUNCTION("""COMPUTED_VALUE"""),"APR")</f>
        <v>APR</v>
      </c>
      <c r="T2451" s="73"/>
      <c r="U2451" s="11" t="str">
        <f>IFERROR(__xludf.DUMMYFUNCTION("""COMPUTED_VALUE"""),"TIF-2688/2026")</f>
        <v>TIF-2688/2026</v>
      </c>
      <c r="V2451" s="229" t="str">
        <f>IFERROR(__xludf.DUMMYFUNCTION("""COMPUTED_VALUE"""),"GUSKAR DIYONAL")</f>
        <v>GUSKAR DIYONAL</v>
      </c>
      <c r="W2451" s="229" t="str">
        <f>IFERROR(__xludf.DUMMYFUNCTION("""COMPUTED_VALUE"""),"ANZALA SAKINAH")</f>
        <v>ANZALA SAKINAH</v>
      </c>
      <c r="X2451" s="229"/>
      <c r="Y2451" s="229"/>
      <c r="Z2451" s="229" t="str">
        <f>IFERROR(__xludf.DUMMYFUNCTION("""COMPUTED_VALUE"""),"#N/A")</f>
        <v>#N/A</v>
      </c>
      <c r="AA2451" s="229"/>
      <c r="AB2451" s="229"/>
      <c r="AC2451" s="229"/>
      <c r="AD2451" s="232"/>
      <c r="AE2451" s="233"/>
      <c r="AF2451" s="54"/>
      <c r="AG2451" s="54"/>
      <c r="AH2451" s="54">
        <v>46133.0</v>
      </c>
      <c r="AI2451" s="55">
        <f>AH2451-TODAY()</f>
        <v>-7</v>
      </c>
      <c r="AJ2451" s="229" t="str">
        <f t="shared" si="228"/>
        <v>Out Komitmen</v>
      </c>
      <c r="AK2451" s="231" t="s">
        <v>199</v>
      </c>
      <c r="AW2451" s="234"/>
      <c r="BP2451" s="11"/>
      <c r="BQ2451" s="11"/>
      <c r="BV2451" s="158"/>
      <c r="BY2451" s="158"/>
      <c r="CB2451" s="158"/>
    </row>
    <row r="2452" ht="18.0" hidden="1" customHeight="1">
      <c r="A2452" s="222">
        <f>IFERROR(__xludf.DUMMYFUNCTION("""COMPUTED_VALUE"""),2026.0)</f>
        <v>2026</v>
      </c>
      <c r="B2452" s="221">
        <f>IFERROR(__xludf.DUMMYFUNCTION("""COMPUTED_VALUE"""),1.2695772E7)</f>
        <v>12695772</v>
      </c>
      <c r="C2452" s="222" t="str">
        <f>IFERROR(__xludf.DUMMYFUNCTION("""COMPUTED_VALUE"""),"MDN PT3 BJI-FNB 250_1645_1574")</f>
        <v>MDN PT3 BJI-FNB 250_1645_1574</v>
      </c>
      <c r="D2452" s="222" t="str">
        <f>IFERROR(__xludf.DUMMYFUNCTION("""COMPUTED_VALUE"""),"REGIONAL I")</f>
        <v>REGIONAL I</v>
      </c>
      <c r="E2452" s="222" t="str">
        <f>IFERROR(__xludf.DUMMYFUNCTION("""COMPUTED_VALUE"""),"MEDAN")</f>
        <v>MEDAN</v>
      </c>
      <c r="F2452" s="222" t="str">
        <f>IFERROR(__xludf.DUMMYFUNCTION("""COMPUTED_VALUE"""),"BJI")</f>
        <v>BJI</v>
      </c>
      <c r="G2452" s="222" t="str">
        <f>IFERROR(__xludf.DUMMYFUNCTION("""COMPUTED_VALUE"""),"SUMBAGUT")</f>
        <v>SUMBAGUT</v>
      </c>
      <c r="H2452" s="222" t="str">
        <f>IFERROR(__xludf.DUMMYFUNCTION("""COMPUTED_VALUE"""),"BINJAI")</f>
        <v>BINJAI</v>
      </c>
      <c r="I2452" s="222" t="str">
        <f>IFERROR(__xludf.DUMMYFUNCTION("""COMPUTED_VALUE"""),"Batch 3")</f>
        <v>Batch 3</v>
      </c>
      <c r="J2452" s="225">
        <f>IFERROR(__xludf.DUMMYFUNCTION("""COMPUTED_VALUE"""),15.0)</f>
        <v>15</v>
      </c>
      <c r="K2452" s="224">
        <f>IFERROR(__xludf.DUMMYFUNCTION("""COMPUTED_VALUE"""),120.0)</f>
        <v>120</v>
      </c>
      <c r="L2452" s="226">
        <f>IFERROR(__xludf.DUMMYFUNCTION("""COMPUTED_VALUE"""),819776.0)</f>
        <v>819776</v>
      </c>
      <c r="M2452" s="227">
        <f>IFERROR(__xludf.DUMMYFUNCTION("""COMPUTED_VALUE"""),9.8373062E7)</f>
        <v>98373062</v>
      </c>
      <c r="N2452" s="222" t="str">
        <f>IFERROR(__xludf.DUMMYFUNCTION("""COMPUTED_VALUE"""),"PT KENCANA RAYA INDONESIA")</f>
        <v>PT KENCANA RAYA INDONESIA</v>
      </c>
      <c r="O2452" s="222" t="str">
        <f>IFERROR(__xludf.DUMMYFUNCTION("""COMPUTED_VALUE"""),"7. GOLIVE")</f>
        <v>7. GOLIVE</v>
      </c>
      <c r="P2452" s="222" t="str">
        <f>IFERROR(__xludf.DUMMYFUNCTION("""COMPUTED_VALUE"""),"7.2 Golive Full / OA / DONE OTB")</f>
        <v>7.2 Golive Full / OA / DONE OTB</v>
      </c>
      <c r="Q2452" s="222" t="str">
        <f>IFERROR(__xludf.DUMMYFUNCTION("""COMPUTED_VALUE"""),"07/03 proses penarikan kabel
30/03 pengambilan material
16/02 feeder ready")</f>
        <v>07/03 proses penarikan kabel
30/03 pengambilan material
16/02 feeder ready</v>
      </c>
      <c r="R2452" s="228">
        <f>IFERROR(__xludf.DUMMYFUNCTION("""COMPUTED_VALUE"""),46127.0)</f>
        <v>46127</v>
      </c>
      <c r="S2452" s="11"/>
      <c r="T2452" s="73"/>
      <c r="U2452" s="11"/>
      <c r="V2452" s="229" t="str">
        <f>IFERROR(__xludf.DUMMYFUNCTION("""COMPUTED_VALUE"""),"21/Apr/2026")</f>
        <v>21/Apr/2026</v>
      </c>
      <c r="W2452" s="229"/>
      <c r="X2452" s="229" t="str">
        <f>IFERROR(__xludf.DUMMYFUNCTION("""COMPUTED_VALUE"""),"GOLIVE")</f>
        <v>GOLIVE</v>
      </c>
      <c r="Y2452" s="229" t="str">
        <f>IFERROR(__xludf.DUMMYFUNCTION("""COMPUTED_VALUE"""),"DONE")</f>
        <v>DONE</v>
      </c>
      <c r="Z2452" s="229" t="str">
        <f>IFERROR(__xludf.DUMMYFUNCTION("""COMPUTED_VALUE"""),"#N/A")</f>
        <v>#N/A</v>
      </c>
      <c r="AA2452" s="229">
        <f>IFERROR(__xludf.DUMMYFUNCTION("""COMPUTED_VALUE"""),15.0)</f>
        <v>15</v>
      </c>
      <c r="AB2452" s="229"/>
      <c r="AC2452" s="229" t="str">
        <f>IFERROR(__xludf.DUMMYFUNCTION("""COMPUTED_VALUE"""),"9271376#9271381")</f>
        <v>9271376#9271381</v>
      </c>
      <c r="AD2452" s="232">
        <f>IFERROR(__xludf.DUMMYFUNCTION("""COMPUTED_VALUE"""),120.0)</f>
        <v>120</v>
      </c>
      <c r="AE2452" s="233">
        <f>IFERROR(__xludf.DUMMYFUNCTION("""COMPUTED_VALUE"""),46127.0)</f>
        <v>46127</v>
      </c>
      <c r="AF2452" s="54"/>
      <c r="AG2452" s="54"/>
      <c r="AH2452" s="54"/>
      <c r="AI2452" s="55">
        <f t="shared" ref="AI2452:AI2456" si="229">IF(OR(R2452="",AE2452=""),"",R2452-AE2452)</f>
        <v>0</v>
      </c>
      <c r="AW2452" s="234"/>
      <c r="BP2452" s="11"/>
      <c r="BQ2452" s="11"/>
      <c r="BV2452" s="158"/>
      <c r="BY2452" s="158"/>
      <c r="CB2452" s="158"/>
    </row>
    <row r="2453" ht="18.0" hidden="1" customHeight="1">
      <c r="A2453" s="222">
        <f>IFERROR(__xludf.DUMMYFUNCTION("""COMPUTED_VALUE"""),2026.0)</f>
        <v>2026</v>
      </c>
      <c r="B2453" s="221">
        <f>IFERROR(__xludf.DUMMYFUNCTION("""COMPUTED_VALUE"""),1.2305733E7)</f>
        <v>12305733</v>
      </c>
      <c r="C2453" s="222" t="str">
        <f>IFERROR(__xludf.DUMMYFUNCTION("""COMPUTED_VALUE"""),"SMU PND-FAD D06 SIBULUAN TERPADU")</f>
        <v>SMU PND-FAD D06 SIBULUAN TERPADU</v>
      </c>
      <c r="D2453" s="222" t="str">
        <f>IFERROR(__xludf.DUMMYFUNCTION("""COMPUTED_VALUE"""),"REGIONAL I")</f>
        <v>REGIONAL I</v>
      </c>
      <c r="E2453" s="222" t="str">
        <f>IFERROR(__xludf.DUMMYFUNCTION("""COMPUTED_VALUE"""),"SUMUT")</f>
        <v>SUMUT</v>
      </c>
      <c r="F2453" s="222" t="str">
        <f>IFERROR(__xludf.DUMMYFUNCTION("""COMPUTED_VALUE"""),"PND")</f>
        <v>PND</v>
      </c>
      <c r="G2453" s="222" t="str">
        <f>IFERROR(__xludf.DUMMYFUNCTION("""COMPUTED_VALUE"""),"SUMBAGUT")</f>
        <v>SUMBAGUT</v>
      </c>
      <c r="H2453" s="222" t="str">
        <f>IFERROR(__xludf.DUMMYFUNCTION("""COMPUTED_VALUE"""),"PADANG SIDEMPUAN")</f>
        <v>PADANG SIDEMPUAN</v>
      </c>
      <c r="I2453" s="222" t="str">
        <f>IFERROR(__xludf.DUMMYFUNCTION("""COMPUTED_VALUE"""),"Batch 3")</f>
        <v>Batch 3</v>
      </c>
      <c r="J2453" s="225">
        <f>IFERROR(__xludf.DUMMYFUNCTION("""COMPUTED_VALUE"""),7.0)</f>
        <v>7</v>
      </c>
      <c r="K2453" s="224">
        <f>IFERROR(__xludf.DUMMYFUNCTION("""COMPUTED_VALUE"""),56.0)</f>
        <v>56</v>
      </c>
      <c r="L2453" s="226">
        <f>IFERROR(__xludf.DUMMYFUNCTION("""COMPUTED_VALUE"""),2357509.0)</f>
        <v>2357509</v>
      </c>
      <c r="M2453" s="227">
        <f>IFERROR(__xludf.DUMMYFUNCTION("""COMPUTED_VALUE"""),1.3202049E8)</f>
        <v>132020490</v>
      </c>
      <c r="N2453" s="222" t="str">
        <f>IFERROR(__xludf.DUMMYFUNCTION("""COMPUTED_VALUE"""),"PT ARTHA MANDIRI BERSAMA")</f>
        <v>PT ARTHA MANDIRI BERSAMA</v>
      </c>
      <c r="O2453" s="222" t="str">
        <f>IFERROR(__xludf.DUMMYFUNCTION("""COMPUTED_VALUE"""),"3. PERIZINAN")</f>
        <v>3. PERIZINAN</v>
      </c>
      <c r="P2453" s="222" t="str">
        <f>IFERROR(__xludf.DUMMYFUNCTION("""COMPUTED_VALUE"""),"3.9 Izin Kades / Lurah / RTRW")</f>
        <v>3.9 Izin Kades / Lurah / RTRW</v>
      </c>
      <c r="Q2453" s="222" t="str">
        <f>IFERROR(__xludf.DUMMYFUNCTION("""COMPUTED_VALUE"""),"27/4 proses redesign dari sdi,  24/4 proses redesign dari sdi, 23/4 proses redesign dari sdi, 22/4 menunggu boq kml hasil redesain plan upgrade odc pararel perizinan desa, 21/4 menunggu boq kml hasil redesain plan upgrade odc pararel perizinan desa, 16/4 "&amp;"menunggu boq kml hasil redesain plan upgrade odc pararel perizinan desa, 15/4 menunggu boq kml hasil redesain plan upgrade odc pararel perizinan desa, 14/4 menunggu boq kml hasil redesain plan upgrade odc pararel perizinan desa, 13/4 menunggu boq kml hasi"&amp;"l redesain plan upgrade odc pararel perizinan desa,  9/4 menunggu boq kml hasil redesain plan upgrade odc pararel perizinan desa, 8/4 menunggu boq kml hasil redesain plan upgrade odc pararel perizinan desa, 6/4 menunggu boq kml hasil redesain plan upgrade"&amp;" odc pararel perizinan desa, 5/4 menunggu boq kml hasil redesain plan upgrade odc pararel perizinan desa, 1/4 menunggu boq kml hasil redesain plan upgrade odc pararel perizinan desa, 31/3 menunggu boq kml hasil redesain plan upgrade odc pararel perizinan "&amp;"desa plan selasa 31 maret, 30/3 menunggu boq kml hasil redesain plan upgrade odc pararel perizinan desa plan selasa 31 maret, 27/3 menunggu boq kml hasil redesain plan upgrade odc pararel perizinan desa plan senin 30 maret, 26/3 FU kembali terkait izin de"&amp;"sa setelah lebaran selesai, 22/3 FU kembali terkait izin desa setelah lebaran selesai,   18/3 FU kembali terkait izin desa setelah lebaran selesai,   16/3 proses pengajuan pengantar izin desa, 13/3 kendala kenaikan cpp 1,3 dari hasil redesign (plan upg od"&amp;"c),  12/3 kendala kenaikan cpp 1,3 dari hasil redesign (plan upg odc), 11/3 plan cpp 1,3 plan redesign oleh sdi, 10/3 plan besok 7 maret submit boq kml redesain upgrade plan odc, 6/3 plan besok 7 maret submit boq kml redesain upgrade plan odc, 4/3 plan be"&amp;"sok 5 maret submit boq kml redesain upgrade plan odc,  3/3 menunggu boq kml redesain upgrade plan odc, 2/3 hari ini waspang bersama tsel turun kelokasi untuk survey ulang akses kelokasi paralel pengurusan izin ke desa dan warga , 27/2 plan 2 maret team da"&amp;"ri psp turun kelokasi untuk memastikan apakah pekerjaan sudah bisa dilanjut atw belum, 25/2 waspang belum bisa kelokasi kendala akses jalan TRT-SBG terputus imbas longsor susulan, (survey ulang terkait kendala feeder sisa 1 butuh qe, solusi upg odc ),   2"&amp;"4/2 waspang belum bisa kelokasi kendala akses jalan TRT-SBG terputus imbas longsor susulan, (survey ulang terkait kendala feeder sisa 1 butuh qe, solusi upg odc ),  23/2 waspang belum bisa kelokasi kendala akses jalan TRT-SBG terputus imbas longsor susula"&amp;"n, (survey ulang terkait kendala feeder sisa 1 butuh qe, solusi upg odc ),  20/2 waspang belum bisa kelokasi kendala akses jalan TRT-SBG terputus imbas longsor susulan, (survey ulang terkait kendala feeder sisa 1 butuh qe, solusi upg odc ), 19/2 waspang b"&amp;"elum bisa kelokasi kendala akses jalan TRT-SBG terputus imbas longsor susulan, (survey ulang terkait kendala feeder sisa 1 butuh qe, solusi upg odc ), 16/2 pekerjaan belum bisa di progres dikarenakan akses belum bisa dilalui (imbas banjir susulan TRT-SBG)"&amp;" dan adanya alat berat di lokasi ,13/2 butuh survey ulang terkait plan upg odc dikrnakan sisa feeder tinggal 1 dan butuh qe, 12/2 butuh survey ulang terkait plan upg odc dikrnakan sisa feeder tinggal 1 dan butuh qe, 11/2 butuh survey ulang terkait plan up"&amp;"g odc dikrnakan sisa feeder tinggal 1 dan butuh qe, 10/2 menunggu report dan boq kml survey, 9/2 menunggu report dan boq kml survey, 6/2 menunggu report dan boq kml survey,  5/2 menunggu report dan boq kml survey, 4/2 menunggu report dan boq kml survey,3/"&amp;"2 menunggu report dan boq kml survey, 2/2 menunggu report dan boq kml survey, 1/2 menunggu report dan boq kml survey, 30/1 menunggu report dan boq kml survey, 28/1 plan survey 29/1 oleh waspang  ta, 27/1 plan survey 29/1 oleh waspang  ta, 26/1 plan survey"&amp;" tgl 27/1, 23/1 plan survey tgl 27/1, 22/1 penunjukan mitra, 21/1 penunjukan mitra")</f>
        <v>27/4 proses redesign dari sdi,  24/4 proses redesign dari sdi, 23/4 proses redesign dari sdi, 22/4 menunggu boq kml hasil redesain plan upgrade odc pararel perizinan desa, 21/4 menunggu boq kml hasil redesain plan upgrade odc pararel perizinan desa, 16/4 menunggu boq kml hasil redesain plan upgrade odc pararel perizinan desa, 15/4 menunggu boq kml hasil redesain plan upgrade odc pararel perizinan desa, 14/4 menunggu boq kml hasil redesain plan upgrade odc pararel perizinan desa, 13/4 menunggu boq kml hasil redesain plan upgrade odc pararel perizinan desa,  9/4 menunggu boq kml hasil redesain plan upgrade odc pararel perizinan desa, 8/4 menunggu boq kml hasil redesain plan upgrade odc pararel perizinan desa, 6/4 menunggu boq kml hasil redesain plan upgrade odc pararel perizinan desa, 5/4 menunggu boq kml hasil redesain plan upgrade odc pararel perizinan desa, 1/4 menunggu boq kml hasil redesain plan upgrade odc pararel perizinan desa, 31/3 menunggu boq kml hasil redesain plan upgrade odc pararel perizinan desa plan selasa 31 maret, 30/3 menunggu boq kml hasil redesain plan upgrade odc pararel perizinan desa plan selasa 31 maret, 27/3 menunggu boq kml hasil redesain plan upgrade odc pararel perizinan desa plan senin 30 maret, 26/3 FU kembali terkait izin desa setelah lebaran selesai, 22/3 FU kembali terkait izin desa setelah lebaran selesai,   18/3 FU kembali terkait izin desa setelah lebaran selesai,   16/3 proses pengajuan pengantar izin desa, 13/3 kendala kenaikan cpp 1,3 dari hasil redesign (plan upg odc),  12/3 kendala kenaikan cpp 1,3 dari hasil redesign (plan upg odc), 11/3 plan cpp 1,3 plan redesign oleh sdi, 10/3 plan besok 7 maret submit boq kml redesain upgrade plan odc, 6/3 plan besok 7 maret submit boq kml redesain upgrade plan odc, 4/3 plan besok 5 maret submit boq kml redesain upgrade plan odc,  3/3 menunggu boq kml redesain upgrade plan odc, 2/3 hari ini waspang bersama tsel turun kelokasi untuk survey ulang akses kelokasi paralel pengurusan izin ke desa dan warga , 27/2 plan 2 maret team dari psp turun kelokasi untuk memastikan apakah pekerjaan sudah bisa dilanjut atw belum, 25/2 waspang belum bisa kelokasi kendala akses jalan TRT-SBG terputus imbas longsor susulan, (survey ulang terkait kendala feeder sisa 1 butuh qe, solusi upg odc ),   24/2 waspang belum bisa kelokasi kendala akses jalan TRT-SBG terputus imbas longsor susulan, (survey ulang terkait kendala feeder sisa 1 butuh qe, solusi upg odc ),  23/2 waspang belum bisa kelokasi kendala akses jalan TRT-SBG terputus imbas longsor susulan, (survey ulang terkait kendala feeder sisa 1 butuh qe, solusi upg odc ),  20/2 waspang belum bisa kelokasi kendala akses jalan TRT-SBG terputus imbas longsor susulan, (survey ulang terkait kendala feeder sisa 1 butuh qe, solusi upg odc ), 19/2 waspang belum bisa kelokasi kendala akses jalan TRT-SBG terputus imbas longsor susulan, (survey ulang terkait kendala feeder sisa 1 butuh qe, solusi upg odc ), 16/2 pekerjaan belum bisa di progres dikarenakan akses belum bisa dilalui (imbas banjir susulan TRT-SBG) dan adanya alat berat di lokasi ,13/2 butuh survey ulang terkait plan upg odc dikrnakan sisa feeder tinggal 1 dan butuh qe, 12/2 butuh survey ulang terkait plan upg odc dikrnakan sisa feeder tinggal 1 dan butuh qe, 11/2 butuh survey ulang terkait plan upg odc dikrnakan sisa feeder tinggal 1 dan butuh qe, 10/2 menunggu report dan boq kml survey, 9/2 menunggu report dan boq kml survey, 6/2 menunggu report dan boq kml survey,  5/2 menunggu report dan boq kml survey, 4/2 menunggu report dan boq kml survey,3/2 menunggu report dan boq kml survey, 2/2 menunggu report dan boq kml survey, 1/2 menunggu report dan boq kml survey, 30/1 menunggu report dan boq kml survey, 28/1 plan survey 29/1 oleh waspang  ta, 27/1 plan survey 29/1 oleh waspang  ta, 26/1 plan survey tgl 27/1, 23/1 plan survey tgl 27/1, 22/1 penunjukan mitra, 21/1 penunjukan mitra</v>
      </c>
      <c r="R2453" s="228"/>
      <c r="S2453" s="11"/>
      <c r="T2453" s="11"/>
      <c r="U2453" s="11" t="str">
        <f>IFERROR(__xludf.DUMMYFUNCTION("""COMPUTED_VALUE"""),"TIF-2043/2026")</f>
        <v>TIF-2043/2026</v>
      </c>
      <c r="V2453" s="229"/>
      <c r="W2453" s="229"/>
      <c r="X2453" s="229" t="str">
        <f>IFERROR(__xludf.DUMMYFUNCTION("""COMPUTED_VALUE"""),"BELUM GOLIVE")</f>
        <v>BELUM GOLIVE</v>
      </c>
      <c r="Y2453" s="229"/>
      <c r="Z2453" s="229" t="str">
        <f>IFERROR(__xludf.DUMMYFUNCTION("""COMPUTED_VALUE"""),"#N/A")</f>
        <v>#N/A</v>
      </c>
      <c r="AA2453" s="229"/>
      <c r="AB2453" s="229"/>
      <c r="AC2453" s="229"/>
      <c r="AD2453" s="232"/>
      <c r="AE2453" s="233"/>
      <c r="AF2453" s="54"/>
      <c r="AG2453" s="54"/>
      <c r="AH2453" s="54"/>
      <c r="AI2453" s="55" t="str">
        <f t="shared" si="229"/>
        <v/>
      </c>
      <c r="AW2453" s="234"/>
      <c r="BP2453" s="11"/>
      <c r="BQ2453" s="11"/>
      <c r="BV2453" s="158"/>
      <c r="BY2453" s="158"/>
      <c r="CB2453" s="158"/>
    </row>
    <row r="2454" ht="18.0" hidden="1" customHeight="1">
      <c r="A2454" s="222">
        <f>IFERROR(__xludf.DUMMYFUNCTION("""COMPUTED_VALUE"""),2026.0)</f>
        <v>2026</v>
      </c>
      <c r="B2454" s="221">
        <f>IFERROR(__xludf.DUMMYFUNCTION("""COMPUTED_VALUE"""),1.2645431E7)</f>
        <v>12645431</v>
      </c>
      <c r="C2454" s="222" t="str">
        <f>IFERROR(__xludf.DUMMYFUNCTION("""COMPUTED_VALUE"""),"JBI-PT3-MAB-FF-LRG H AISYAH")</f>
        <v>JBI-PT3-MAB-FF-LRG H AISYAH</v>
      </c>
      <c r="D2454" s="222" t="str">
        <f>IFERROR(__xludf.DUMMYFUNCTION("""COMPUTED_VALUE"""),"REGIONAL I")</f>
        <v>REGIONAL I</v>
      </c>
      <c r="E2454" s="222" t="str">
        <f>IFERROR(__xludf.DUMMYFUNCTION("""COMPUTED_VALUE"""),"JAMBI")</f>
        <v>JAMBI</v>
      </c>
      <c r="F2454" s="222" t="str">
        <f>IFERROR(__xludf.DUMMYFUNCTION("""COMPUTED_VALUE"""),"MAB")</f>
        <v>MAB</v>
      </c>
      <c r="G2454" s="222" t="str">
        <f>IFERROR(__xludf.DUMMYFUNCTION("""COMPUTED_VALUE"""),"SUMBAGSEL")</f>
        <v>SUMBAGSEL</v>
      </c>
      <c r="H2454" s="222" t="str">
        <f>IFERROR(__xludf.DUMMYFUNCTION("""COMPUTED_VALUE"""),"JAMBI")</f>
        <v>JAMBI</v>
      </c>
      <c r="I2454" s="222" t="str">
        <f>IFERROR(__xludf.DUMMYFUNCTION("""COMPUTED_VALUE"""),"Batch 3")</f>
        <v>Batch 3</v>
      </c>
      <c r="J2454" s="225">
        <f>IFERROR(__xludf.DUMMYFUNCTION("""COMPUTED_VALUE"""),7.0)</f>
        <v>7</v>
      </c>
      <c r="K2454" s="224">
        <f>IFERROR(__xludf.DUMMYFUNCTION("""COMPUTED_VALUE"""),56.0)</f>
        <v>56</v>
      </c>
      <c r="L2454" s="226">
        <f>IFERROR(__xludf.DUMMYFUNCTION("""COMPUTED_VALUE"""),815397.0)</f>
        <v>815397</v>
      </c>
      <c r="M2454" s="227">
        <f>IFERROR(__xludf.DUMMYFUNCTION("""COMPUTED_VALUE"""),4.566223E7)</f>
        <v>45662230</v>
      </c>
      <c r="N2454" s="222" t="str">
        <f>IFERROR(__xludf.DUMMYFUNCTION("""COMPUTED_VALUE"""),"PT SARANA MITRA PERSADA")</f>
        <v>PT SARANA MITRA PERSADA</v>
      </c>
      <c r="O2454" s="222" t="str">
        <f>IFERROR(__xludf.DUMMYFUNCTION("""COMPUTED_VALUE"""),"7. GOLIVE")</f>
        <v>7. GOLIVE</v>
      </c>
      <c r="P2454" s="222" t="str">
        <f>IFERROR(__xludf.DUMMYFUNCTION("""COMPUTED_VALUE"""),"7.2 Golive Full / OA / DONE OTB")</f>
        <v>7.2 Golive Full / OA / DONE OTB</v>
      </c>
      <c r="Q2454" s="222" t="str">
        <f>IFERROR(__xludf.DUMMYFUNCTION("""COMPUTED_VALUE"""),"(24/02) Golive 22/2 INSTALASI ODP (16/2)metrial onsite , tim mulai progress 18 feb  (6/2) INput Material -plan besok ambil material (5/2) CREATE PID (29/1) BLM ANWIJZING22/1 ORDER MASUK ")</f>
        <v>(24/02) Golive 22/2 INSTALASI ODP (16/2)metrial onsite , tim mulai progress 18 feb  (6/2) INput Material -plan besok ambil material (5/2) CREATE PID (29/1) BLM ANWIJZING22/1 ORDER MASUK </v>
      </c>
      <c r="R2454" s="228">
        <f>IFERROR(__xludf.DUMMYFUNCTION("""COMPUTED_VALUE"""),46077.0)</f>
        <v>46077</v>
      </c>
      <c r="S2454" s="11"/>
      <c r="T2454" s="11"/>
      <c r="U2454" s="11"/>
      <c r="V2454" s="229"/>
      <c r="W2454" s="229"/>
      <c r="X2454" s="229" t="str">
        <f>IFERROR(__xludf.DUMMYFUNCTION("""COMPUTED_VALUE"""),"GOLIVE")</f>
        <v>GOLIVE</v>
      </c>
      <c r="Y2454" s="229" t="str">
        <f>IFERROR(__xludf.DUMMYFUNCTION("""COMPUTED_VALUE"""),"DONE")</f>
        <v>DONE</v>
      </c>
      <c r="Z2454" s="229" t="str">
        <f>IFERROR(__xludf.DUMMYFUNCTION("""COMPUTED_VALUE"""),"#N/A")</f>
        <v>#N/A</v>
      </c>
      <c r="AA2454" s="229">
        <f>IFERROR(__xludf.DUMMYFUNCTION("""COMPUTED_VALUE"""),7.0)</f>
        <v>7</v>
      </c>
      <c r="AB2454" s="229"/>
      <c r="AC2454" s="229" t="str">
        <f>IFERROR(__xludf.DUMMYFUNCTION("""COMPUTED_VALUE"""),"9046809#9046814")</f>
        <v>9046809#9046814</v>
      </c>
      <c r="AD2454" s="232">
        <f>IFERROR(__xludf.DUMMYFUNCTION("""COMPUTED_VALUE"""),56.0)</f>
        <v>56</v>
      </c>
      <c r="AE2454" s="233">
        <f>IFERROR(__xludf.DUMMYFUNCTION("""COMPUTED_VALUE"""),46077.0)</f>
        <v>46077</v>
      </c>
      <c r="AF2454" s="54"/>
      <c r="AG2454" s="54"/>
      <c r="AH2454" s="54">
        <v>46077.0</v>
      </c>
      <c r="AI2454" s="55">
        <f t="shared" si="229"/>
        <v>0</v>
      </c>
      <c r="AW2454" s="234"/>
      <c r="BP2454" s="11"/>
      <c r="BQ2454" s="11"/>
      <c r="BV2454" s="158"/>
      <c r="BY2454" s="158"/>
      <c r="CB2454" s="158"/>
    </row>
    <row r="2455" ht="18.0" hidden="1" customHeight="1">
      <c r="A2455" s="222">
        <f>IFERROR(__xludf.DUMMYFUNCTION("""COMPUTED_VALUE"""),2026.0)</f>
        <v>2026</v>
      </c>
      <c r="B2455" s="221">
        <f>IFERROR(__xludf.DUMMYFUNCTION("""COMPUTED_VALUE"""),1.2603873E7)</f>
        <v>12603873</v>
      </c>
      <c r="C2455" s="222" t="str">
        <f>IFERROR(__xludf.DUMMYFUNCTION("""COMPUTED_VALUE"""),"MDN PT3 PGL-FSC 250_1826_1455")</f>
        <v>MDN PT3 PGL-FSC 250_1826_1455</v>
      </c>
      <c r="D2455" s="222" t="str">
        <f>IFERROR(__xludf.DUMMYFUNCTION("""COMPUTED_VALUE"""),"REGIONAL I")</f>
        <v>REGIONAL I</v>
      </c>
      <c r="E2455" s="222" t="str">
        <f>IFERROR(__xludf.DUMMYFUNCTION("""COMPUTED_VALUE"""),"MEDAN")</f>
        <v>MEDAN</v>
      </c>
      <c r="F2455" s="222" t="str">
        <f>IFERROR(__xludf.DUMMYFUNCTION("""COMPUTED_VALUE"""),"PGL")</f>
        <v>PGL</v>
      </c>
      <c r="G2455" s="222" t="str">
        <f>IFERROR(__xludf.DUMMYFUNCTION("""COMPUTED_VALUE"""),"SUMBAGUT")</f>
        <v>SUMBAGUT</v>
      </c>
      <c r="H2455" s="222" t="str">
        <f>IFERROR(__xludf.DUMMYFUNCTION("""COMPUTED_VALUE"""),"BINJAI")</f>
        <v>BINJAI</v>
      </c>
      <c r="I2455" s="222" t="str">
        <f>IFERROR(__xludf.DUMMYFUNCTION("""COMPUTED_VALUE"""),"Batch 3")</f>
        <v>Batch 3</v>
      </c>
      <c r="J2455" s="225">
        <f>IFERROR(__xludf.DUMMYFUNCTION("""COMPUTED_VALUE"""),10.0)</f>
        <v>10</v>
      </c>
      <c r="K2455" s="224">
        <f>IFERROR(__xludf.DUMMYFUNCTION("""COMPUTED_VALUE"""),80.0)</f>
        <v>80</v>
      </c>
      <c r="L2455" s="226">
        <f>IFERROR(__xludf.DUMMYFUNCTION("""COMPUTED_VALUE"""),810140.0)</f>
        <v>810140</v>
      </c>
      <c r="M2455" s="227">
        <f>IFERROR(__xludf.DUMMYFUNCTION("""COMPUTED_VALUE"""),6.481119E7)</f>
        <v>64811190</v>
      </c>
      <c r="N2455" s="222" t="str">
        <f>IFERROR(__xludf.DUMMYFUNCTION("""COMPUTED_VALUE"""),"PT KENCANA RAYA INDONESIA")</f>
        <v>PT KENCANA RAYA INDONESIA</v>
      </c>
      <c r="O2455" s="222" t="str">
        <f>IFERROR(__xludf.DUMMYFUNCTION("""COMPUTED_VALUE"""),"7. GOLIVE")</f>
        <v>7. GOLIVE</v>
      </c>
      <c r="P2455" s="222" t="str">
        <f>IFERROR(__xludf.DUMMYFUNCTION("""COMPUTED_VALUE"""),"7.2 Golive Full / OA / DONE OTB")</f>
        <v>7.2 Golive Full / OA / DONE OTB</v>
      </c>
      <c r="Q2455" s="222" t="str">
        <f>IFERROR(__xludf.DUMMYFUNCTION("""COMPUTED_VALUE"""),"25/04 golive sdi
07/03 proses penarikan kabel
30/03 pengambilan material
27/03 feeder ready dist new")</f>
        <v>25/04 golive sdi
07/03 proses penarikan kabel
30/03 pengambilan material
27/03 feeder ready dist new</v>
      </c>
      <c r="R2455" s="228">
        <f>IFERROR(__xludf.DUMMYFUNCTION("""COMPUTED_VALUE"""),46137.0)</f>
        <v>46137</v>
      </c>
      <c r="S2455" s="11" t="str">
        <f>IFERROR(__xludf.DUMMYFUNCTION("""COMPUTED_VALUE"""),"APR")</f>
        <v>APR</v>
      </c>
      <c r="T2455" s="73"/>
      <c r="U2455" s="11"/>
      <c r="V2455" s="229" t="str">
        <f>IFERROR(__xludf.DUMMYFUNCTION("""COMPUTED_VALUE"""),"17/Apr/2026")</f>
        <v>17/Apr/2026</v>
      </c>
      <c r="W2455" s="229"/>
      <c r="X2455" s="229" t="str">
        <f>IFERROR(__xludf.DUMMYFUNCTION("""COMPUTED_VALUE"""),"GOLIVE")</f>
        <v>GOLIVE</v>
      </c>
      <c r="Y2455" s="229" t="str">
        <f>IFERROR(__xludf.DUMMYFUNCTION("""COMPUTED_VALUE"""),"DONE")</f>
        <v>DONE</v>
      </c>
      <c r="Z2455" s="229" t="str">
        <f>IFERROR(__xludf.DUMMYFUNCTION("""COMPUTED_VALUE"""),"#N/A")</f>
        <v>#N/A</v>
      </c>
      <c r="AA2455" s="229">
        <f>IFERROR(__xludf.DUMMYFUNCTION("""COMPUTED_VALUE"""),10.0)</f>
        <v>10</v>
      </c>
      <c r="AB2455" s="229"/>
      <c r="AC2455" s="229" t="str">
        <f>IFERROR(__xludf.DUMMYFUNCTION("""COMPUTED_VALUE"""),"9312284#9312289")</f>
        <v>9312284#9312289</v>
      </c>
      <c r="AD2455" s="232">
        <f>IFERROR(__xludf.DUMMYFUNCTION("""COMPUTED_VALUE"""),80.0)</f>
        <v>80</v>
      </c>
      <c r="AE2455" s="233">
        <f>IFERROR(__xludf.DUMMYFUNCTION("""COMPUTED_VALUE"""),46138.0)</f>
        <v>46138</v>
      </c>
      <c r="AF2455" s="54"/>
      <c r="AG2455" s="54"/>
      <c r="AH2455" s="54"/>
      <c r="AI2455" s="55">
        <f t="shared" si="229"/>
        <v>-1</v>
      </c>
      <c r="AW2455" s="234"/>
      <c r="BP2455" s="11"/>
      <c r="BQ2455" s="11"/>
      <c r="BV2455" s="158"/>
      <c r="BY2455" s="158"/>
      <c r="CB2455" s="158"/>
    </row>
    <row r="2456" ht="18.0" customHeight="1">
      <c r="A2456" s="222">
        <f>IFERROR(__xludf.DUMMYFUNCTION("""COMPUTED_VALUE"""),2026.0)</f>
        <v>2026</v>
      </c>
      <c r="B2456" s="221">
        <f>IFERROR(__xludf.DUMMYFUNCTION("""COMPUTED_VALUE"""),1.2858882E7)</f>
        <v>12858882</v>
      </c>
      <c r="C2456" s="222" t="str">
        <f>IFERROR(__xludf.DUMMYFUNCTION("""COMPUTED_VALUE"""),"SMB-PT3-ODC-KOU-FA-250_179_2425-5 LOP")</f>
        <v>SMB-PT3-ODC-KOU-FA-250_179_2425-5 LOP</v>
      </c>
      <c r="D2456" s="222" t="str">
        <f>IFERROR(__xludf.DUMMYFUNCTION("""COMPUTED_VALUE"""),"REGIONAL I")</f>
        <v>REGIONAL I</v>
      </c>
      <c r="E2456" s="222" t="str">
        <f>IFERROR(__xludf.DUMMYFUNCTION("""COMPUTED_VALUE"""),"SUMBAR")</f>
        <v>SUMBAR</v>
      </c>
      <c r="F2456" s="222" t="str">
        <f>IFERROR(__xludf.DUMMYFUNCTION("""COMPUTED_VALUE"""),"KOU")</f>
        <v>KOU</v>
      </c>
      <c r="G2456" s="222" t="str">
        <f>IFERROR(__xludf.DUMMYFUNCTION("""COMPUTED_VALUE"""),"SUMBAGTENG")</f>
        <v>SUMBAGTENG</v>
      </c>
      <c r="H2456" s="222" t="str">
        <f>IFERROR(__xludf.DUMMYFUNCTION("""COMPUTED_VALUE"""),"BUKIT TINGGI")</f>
        <v>BUKIT TINGGI</v>
      </c>
      <c r="I2456" s="222" t="str">
        <f>IFERROR(__xludf.DUMMYFUNCTION("""COMPUTED_VALUE"""),"Batch 3")</f>
        <v>Batch 3</v>
      </c>
      <c r="J2456" s="225">
        <f>IFERROR(__xludf.DUMMYFUNCTION("""COMPUTED_VALUE"""),9.0)</f>
        <v>9</v>
      </c>
      <c r="K2456" s="224">
        <f>IFERROR(__xludf.DUMMYFUNCTION("""COMPUTED_VALUE"""),72.0)</f>
        <v>72</v>
      </c>
      <c r="L2456" s="226">
        <f>IFERROR(__xludf.DUMMYFUNCTION("""COMPUTED_VALUE"""),804411.0)</f>
        <v>804411</v>
      </c>
      <c r="M2456" s="227">
        <f>IFERROR(__xludf.DUMMYFUNCTION("""COMPUTED_VALUE"""),5.7917564E7)</f>
        <v>57917564</v>
      </c>
      <c r="N2456" s="222" t="str">
        <f>IFERROR(__xludf.DUMMYFUNCTION("""COMPUTED_VALUE"""),"PT GARINDO TECHNO MANDIRI")</f>
        <v>PT GARINDO TECHNO MANDIRI</v>
      </c>
      <c r="O2456" s="222" t="str">
        <f>IFERROR(__xludf.DUMMYFUNCTION("""COMPUTED_VALUE"""),"8. UJI TERIMA")</f>
        <v>8. UJI TERIMA</v>
      </c>
      <c r="P2456" s="222" t="str">
        <f>IFERROR(__xludf.DUMMYFUNCTION("""COMPUTED_VALUE"""),"8.1 Proses UT")</f>
        <v>8.1 Proses UT</v>
      </c>
      <c r="Q2456" s="222" t="str">
        <f>IFERROR(__xludf.DUMMYFUNCTION("""COMPUTED_VALUE"""),"(18/02) abd sudah di SDI, menunggu plan UT 19/02 (05/02) proses tanam tiang (29/01) proses create PID (21/01) proses aanwijziing (07/01) Persiapan")</f>
        <v>(18/02) abd sudah di SDI, menunggu plan UT 19/02 (05/02) proses tanam tiang (29/01) proses create PID (21/01) proses aanwijziing (07/01) Persiapan</v>
      </c>
      <c r="R2456" s="228">
        <f>IFERROR(__xludf.DUMMYFUNCTION("""COMPUTED_VALUE"""),46071.0)</f>
        <v>46071</v>
      </c>
      <c r="S2456" s="11"/>
      <c r="T2456" s="11"/>
      <c r="U2456" s="11" t="str">
        <f>IFERROR(__xludf.DUMMYFUNCTION("""COMPUTED_VALUE"""),"TIF-2378/2026 26KT03R158-0025")</f>
        <v>TIF-2378/2026 26KT03R158-0025</v>
      </c>
      <c r="V2456" s="229" t="str">
        <f>IFERROR(__xludf.DUMMYFUNCTION("""COMPUTED_VALUE"""),"DELPA YANDA")</f>
        <v>DELPA YANDA</v>
      </c>
      <c r="W2456" s="229" t="str">
        <f>IFERROR(__xludf.DUMMYFUNCTION("""COMPUTED_VALUE"""),"MELKO NARWADI")</f>
        <v>MELKO NARWADI</v>
      </c>
      <c r="X2456" s="229" t="str">
        <f>IFERROR(__xludf.DUMMYFUNCTION("""COMPUTED_VALUE"""),"GOLIVE")</f>
        <v>GOLIVE</v>
      </c>
      <c r="Y2456" s="229" t="str">
        <f>IFERROR(__xludf.DUMMYFUNCTION("""COMPUTED_VALUE"""),"DONE")</f>
        <v>DONE</v>
      </c>
      <c r="Z2456" s="229" t="str">
        <f>IFERROR(__xludf.DUMMYFUNCTION("""COMPUTED_VALUE"""),"#N/A")</f>
        <v>#N/A</v>
      </c>
      <c r="AA2456" s="229">
        <f>IFERROR(__xludf.DUMMYFUNCTION("""COMPUTED_VALUE"""),6.0)</f>
        <v>6</v>
      </c>
      <c r="AB2456" s="229"/>
      <c r="AC2456" s="229" t="str">
        <f>IFERROR(__xludf.DUMMYFUNCTION("""COMPUTED_VALUE"""),"9112684#9112689")</f>
        <v>9112684#9112689</v>
      </c>
      <c r="AD2456" s="232">
        <f>IFERROR(__xludf.DUMMYFUNCTION("""COMPUTED_VALUE"""),48.0)</f>
        <v>48</v>
      </c>
      <c r="AE2456" s="233">
        <f>IFERROR(__xludf.DUMMYFUNCTION("""COMPUTED_VALUE"""),46074.0)</f>
        <v>46074</v>
      </c>
      <c r="AF2456" s="54"/>
      <c r="AG2456" s="54"/>
      <c r="AH2456" s="54">
        <v>46071.0</v>
      </c>
      <c r="AI2456" s="55">
        <f t="shared" si="229"/>
        <v>-3</v>
      </c>
      <c r="AW2456" s="234"/>
      <c r="BP2456" s="11"/>
      <c r="BQ2456" s="11"/>
      <c r="BV2456" s="158"/>
      <c r="BY2456" s="158"/>
      <c r="CB2456" s="158"/>
    </row>
    <row r="2457" ht="18.0" hidden="1" customHeight="1">
      <c r="A2457" s="222">
        <f>IFERROR(__xludf.DUMMYFUNCTION("""COMPUTED_VALUE"""),2026.0)</f>
        <v>2026</v>
      </c>
      <c r="B2457" s="221">
        <f>IFERROR(__xludf.DUMMYFUNCTION("""COMPUTED_VALUE"""),1.1470345E7)</f>
        <v>11470345</v>
      </c>
      <c r="C2457" s="222" t="str">
        <f>IFERROR(__xludf.DUMMYFUNCTION("""COMPUTED_VALUE"""),"JBI-PT3 BRANCHING-SPN-FAA-NASRULLAH")</f>
        <v>JBI-PT3 BRANCHING-SPN-FAA-NASRULLAH</v>
      </c>
      <c r="D2457" s="222" t="str">
        <f>IFERROR(__xludf.DUMMYFUNCTION("""COMPUTED_VALUE"""),"REGIONAL I")</f>
        <v>REGIONAL I</v>
      </c>
      <c r="E2457" s="222" t="str">
        <f>IFERROR(__xludf.DUMMYFUNCTION("""COMPUTED_VALUE"""),"JAMBI")</f>
        <v>JAMBI</v>
      </c>
      <c r="F2457" s="222" t="str">
        <f>IFERROR(__xludf.DUMMYFUNCTION("""COMPUTED_VALUE"""),"SPN")</f>
        <v>SPN</v>
      </c>
      <c r="G2457" s="222" t="str">
        <f>IFERROR(__xludf.DUMMYFUNCTION("""COMPUTED_VALUE"""),"SUMBAGSEL")</f>
        <v>SUMBAGSEL</v>
      </c>
      <c r="H2457" s="222" t="str">
        <f>IFERROR(__xludf.DUMMYFUNCTION("""COMPUTED_VALUE"""),"JAMBI")</f>
        <v>JAMBI</v>
      </c>
      <c r="I2457" s="222" t="str">
        <f>IFERROR(__xludf.DUMMYFUNCTION("""COMPUTED_VALUE"""),"Batch 3")</f>
        <v>Batch 3</v>
      </c>
      <c r="J2457" s="225">
        <f>IFERROR(__xludf.DUMMYFUNCTION("""COMPUTED_VALUE"""),1.0)</f>
        <v>1</v>
      </c>
      <c r="K2457" s="224">
        <f>IFERROR(__xludf.DUMMYFUNCTION("""COMPUTED_VALUE"""),8.0)</f>
        <v>8</v>
      </c>
      <c r="L2457" s="226">
        <f>IFERROR(__xludf.DUMMYFUNCTION("""COMPUTED_VALUE"""),804229.0)</f>
        <v>804229</v>
      </c>
      <c r="M2457" s="227">
        <f>IFERROR(__xludf.DUMMYFUNCTION("""COMPUTED_VALUE"""),6433825.0)</f>
        <v>6433825</v>
      </c>
      <c r="N2457" s="222" t="str">
        <f>IFERROR(__xludf.DUMMYFUNCTION("""COMPUTED_VALUE"""),"PT SARANA MITRA PERSADA")</f>
        <v>PT SARANA MITRA PERSADA</v>
      </c>
      <c r="O2457" s="222" t="str">
        <f>IFERROR(__xludf.DUMMYFUNCTION("""COMPUTED_VALUE"""),"0. DROP")</f>
        <v>0. DROP</v>
      </c>
      <c r="P2457" s="222" t="str">
        <f>IFERROR(__xludf.DUMMYFUNCTION("""COMPUTED_VALUE"""),"0.1 Double Order")</f>
        <v>0.1 Double Order</v>
      </c>
      <c r="Q2457" s="222" t="str">
        <f>IFERROR(__xludf.DUMMYFUNCTION("""COMPUTED_VALUE"""),"(6/2) drop Tercover PT 2-info SDI  (5/2) CREATE PID(29/1) BLM ANWIJZING22/1 ORDER MASUK ")</f>
        <v>(6/2) drop Tercover PT 2-info SDI  (5/2) CREATE PID(29/1) BLM ANWIJZING22/1 ORDER MASUK </v>
      </c>
      <c r="R2457" s="228"/>
      <c r="S2457" s="11"/>
      <c r="T2457" s="11"/>
      <c r="U2457" s="11"/>
      <c r="V2457" s="229"/>
      <c r="W2457" s="229"/>
      <c r="X2457" s="229"/>
      <c r="Y2457" s="229"/>
      <c r="Z2457" s="229" t="str">
        <f>IFERROR(__xludf.DUMMYFUNCTION("""COMPUTED_VALUE"""),"#N/A")</f>
        <v>#N/A</v>
      </c>
      <c r="AA2457" s="229"/>
      <c r="AB2457" s="229"/>
      <c r="AC2457" s="229"/>
      <c r="AD2457" s="232"/>
      <c r="AE2457" s="233"/>
      <c r="AF2457" s="54" t="str">
        <f>IFERROR(__xludf.DUMMYFUNCTION("""COMPUTED_VALUE"""),"Draft BA DROP")</f>
        <v>Draft BA DROP</v>
      </c>
      <c r="AG2457" s="54"/>
      <c r="AH2457" s="54">
        <v>46123.0</v>
      </c>
      <c r="AI2457" s="237">
        <f>AH2457-NOW()</f>
        <v>-17.37798995</v>
      </c>
      <c r="AJ2457" s="229" t="str">
        <f>if(AI2457&gt;=0,"In Komitmen","Out Komitmen")</f>
        <v>Out Komitmen</v>
      </c>
      <c r="AK2457" s="229" t="e">
        <v>#N/A</v>
      </c>
      <c r="AW2457" s="234"/>
      <c r="BP2457" s="11"/>
      <c r="BQ2457" s="11"/>
      <c r="BV2457" s="158"/>
      <c r="BY2457" s="158"/>
      <c r="CB2457" s="158"/>
    </row>
    <row r="2458" ht="18.0" customHeight="1">
      <c r="A2458" s="222">
        <f>IFERROR(__xludf.DUMMYFUNCTION("""COMPUTED_VALUE"""),2026.0)</f>
        <v>2026</v>
      </c>
      <c r="B2458" s="221">
        <f>IFERROR(__xludf.DUMMYFUNCTION("""COMPUTED_VALUE"""),1.2791048E7)</f>
        <v>12791048</v>
      </c>
      <c r="C2458" s="222" t="str">
        <f>IFERROR(__xludf.DUMMYFUNCTION("""COMPUTED_VALUE"""),"RDR JPP PT3 JL. MULYO SARI BUKIT TIMAH")</f>
        <v>RDR JPP PT3 JL. MULYO SARI BUKIT TIMAH</v>
      </c>
      <c r="D2458" s="222" t="str">
        <f>IFERROR(__xludf.DUMMYFUNCTION("""COMPUTED_VALUE"""),"REGIONAL I")</f>
        <v>REGIONAL I</v>
      </c>
      <c r="E2458" s="222" t="str">
        <f>IFERROR(__xludf.DUMMYFUNCTION("""COMPUTED_VALUE"""),"RIDAR")</f>
        <v>RIDAR</v>
      </c>
      <c r="F2458" s="222" t="str">
        <f>IFERROR(__xludf.DUMMYFUNCTION("""COMPUTED_VALUE"""),"DUM")</f>
        <v>DUM</v>
      </c>
      <c r="G2458" s="222" t="str">
        <f>IFERROR(__xludf.DUMMYFUNCTION("""COMPUTED_VALUE"""),"SUMBAGTENG")</f>
        <v>SUMBAGTENG</v>
      </c>
      <c r="H2458" s="222" t="str">
        <f>IFERROR(__xludf.DUMMYFUNCTION("""COMPUTED_VALUE"""),"DUMAI")</f>
        <v>DUMAI</v>
      </c>
      <c r="I2458" s="222" t="str">
        <f>IFERROR(__xludf.DUMMYFUNCTION("""COMPUTED_VALUE"""),"Batch 3")</f>
        <v>Batch 3</v>
      </c>
      <c r="J2458" s="225">
        <f>IFERROR(__xludf.DUMMYFUNCTION("""COMPUTED_VALUE"""),3.0)</f>
        <v>3</v>
      </c>
      <c r="K2458" s="224">
        <f>IFERROR(__xludf.DUMMYFUNCTION("""COMPUTED_VALUE"""),24.0)</f>
        <v>24</v>
      </c>
      <c r="L2458" s="226">
        <f>IFERROR(__xludf.DUMMYFUNCTION("""COMPUTED_VALUE"""),801161.0)</f>
        <v>801161</v>
      </c>
      <c r="M2458" s="227">
        <f>IFERROR(__xludf.DUMMYFUNCTION("""COMPUTED_VALUE"""),1.9227851E7)</f>
        <v>19227851</v>
      </c>
      <c r="N2458" s="222" t="str">
        <f>IFERROR(__xludf.DUMMYFUNCTION("""COMPUTED_VALUE"""),"PT TRIPOLA PANATA")</f>
        <v>PT TRIPOLA PANATA</v>
      </c>
      <c r="O2458" s="222" t="str">
        <f>IFERROR(__xludf.DUMMYFUNCTION("""COMPUTED_VALUE"""),"7. GOLIVE")</f>
        <v>7. GOLIVE</v>
      </c>
      <c r="P2458" s="222" t="str">
        <f>IFERROR(__xludf.DUMMYFUNCTION("""COMPUTED_VALUE"""),"7.2 Golive Full / OA / DONE OTB")</f>
        <v>7.2 Golive Full / OA / DONE OTB</v>
      </c>
      <c r="Q2458" s="222" t="str">
        <f>IFERROR(__xludf.DUMMYFUNCTION("""COMPUTED_VALUE"""),"20/04 Penanaman tiang 13/04 Penanaman tiang  08/04 Menunggu jadwal review 06/04 Menunggu jadwal survey 30/03 Survey ulang 03 april 2025 27/03 Antrian review 16/03 Antrian review dengan TIF 05/03 Menunggu hasil survey lapangan 21/02 menunggu eval 09/02 On "&amp;"Going Survey 26/01 New Order, target selesai survey 30 Jan")</f>
        <v>20/04 Penanaman tiang 13/04 Penanaman tiang  08/04 Menunggu jadwal review 06/04 Menunggu jadwal survey 30/03 Survey ulang 03 april 2025 27/03 Antrian review 16/03 Antrian review dengan TIF 05/03 Menunggu hasil survey lapangan 21/02 menunggu eval 09/02 On Going Survey 26/01 New Order, target selesai survey 30 Jan</v>
      </c>
      <c r="R2458" s="228">
        <f>IFERROR(__xludf.DUMMYFUNCTION("""COMPUTED_VALUE"""),46139.0)</f>
        <v>46139</v>
      </c>
      <c r="S2458" s="11" t="str">
        <f>IFERROR(__xludf.DUMMYFUNCTION("""COMPUTED_VALUE"""),"APR")</f>
        <v>APR</v>
      </c>
      <c r="T2458" s="11" t="str">
        <f>IFERROR(__xludf.DUMMYFUNCTION("""COMPUTED_VALUE"""),"P1")</f>
        <v>P1</v>
      </c>
      <c r="U2458" s="11"/>
      <c r="V2458" s="229" t="str">
        <f>IFERROR(__xludf.DUMMYFUNCTION("""COMPUTED_VALUE"""),"SYAFRIAL")</f>
        <v>SYAFRIAL</v>
      </c>
      <c r="W2458" s="229" t="str">
        <f>IFERROR(__xludf.DUMMYFUNCTION("""COMPUTED_VALUE"""),"DESLITA RAHMADANI")</f>
        <v>DESLITA RAHMADANI</v>
      </c>
      <c r="X2458" s="229" t="str">
        <f>IFERROR(__xludf.DUMMYFUNCTION("""COMPUTED_VALUE"""),"GOLIVE")</f>
        <v>GOLIVE</v>
      </c>
      <c r="Y2458" s="229" t="str">
        <f>IFERROR(__xludf.DUMMYFUNCTION("""COMPUTED_VALUE"""),"DONE")</f>
        <v>DONE</v>
      </c>
      <c r="Z2458" s="229" t="str">
        <f>IFERROR(__xludf.DUMMYFUNCTION("""COMPUTED_VALUE"""),"#N/A")</f>
        <v>#N/A</v>
      </c>
      <c r="AA2458" s="229">
        <f>IFERROR(__xludf.DUMMYFUNCTION("""COMPUTED_VALUE"""),3.0)</f>
        <v>3</v>
      </c>
      <c r="AB2458" s="229"/>
      <c r="AC2458" s="229" t="str">
        <f>IFERROR(__xludf.DUMMYFUNCTION("""COMPUTED_VALUE"""),"9313211#9313216")</f>
        <v>9313211#9313216</v>
      </c>
      <c r="AD2458" s="232">
        <f>IFERROR(__xludf.DUMMYFUNCTION("""COMPUTED_VALUE"""),24.0)</f>
        <v>24</v>
      </c>
      <c r="AE2458" s="233">
        <f>IFERROR(__xludf.DUMMYFUNCTION("""COMPUTED_VALUE"""),46139.0)</f>
        <v>46139</v>
      </c>
      <c r="AF2458" s="54"/>
      <c r="AG2458" s="54"/>
      <c r="AH2458" s="54">
        <v>46153.0</v>
      </c>
      <c r="AI2458" s="55">
        <f t="shared" ref="AI2458:AI2460" si="230">IF(OR(R2458="",AE2458=""),"",R2458-AE2458)</f>
        <v>0</v>
      </c>
      <c r="AW2458" s="234"/>
      <c r="BP2458" s="11"/>
      <c r="BQ2458" s="11"/>
      <c r="BV2458" s="158"/>
      <c r="BY2458" s="158"/>
      <c r="CB2458" s="158"/>
    </row>
    <row r="2459" ht="18.0" hidden="1" customHeight="1">
      <c r="A2459" s="222">
        <f>IFERROR(__xludf.DUMMYFUNCTION("""COMPUTED_VALUE"""),2026.0)</f>
        <v>2026</v>
      </c>
      <c r="B2459" s="221">
        <f>IFERROR(__xludf.DUMMYFUNCTION("""COMPUTED_VALUE"""),1.2703618E7)</f>
        <v>12703618</v>
      </c>
      <c r="C2459" s="222" t="str">
        <f>IFERROR(__xludf.DUMMYFUNCTION("""COMPUTED_VALUE"""),"LPG PT3 JPP LAMPUNG SELATAN_29413 KLA")</f>
        <v>LPG PT3 JPP LAMPUNG SELATAN_29413 KLA</v>
      </c>
      <c r="D2459" s="222" t="str">
        <f>IFERROR(__xludf.DUMMYFUNCTION("""COMPUTED_VALUE"""),"REGIONAL I")</f>
        <v>REGIONAL I</v>
      </c>
      <c r="E2459" s="222" t="str">
        <f>IFERROR(__xludf.DUMMYFUNCTION("""COMPUTED_VALUE"""),"LAMPUNG")</f>
        <v>LAMPUNG</v>
      </c>
      <c r="F2459" s="222" t="str">
        <f>IFERROR(__xludf.DUMMYFUNCTION("""COMPUTED_VALUE"""),"KLA")</f>
        <v>KLA</v>
      </c>
      <c r="G2459" s="222" t="str">
        <f>IFERROR(__xludf.DUMMYFUNCTION("""COMPUTED_VALUE"""),"SUMBAGSEL")</f>
        <v>SUMBAGSEL</v>
      </c>
      <c r="H2459" s="222" t="str">
        <f>IFERROR(__xludf.DUMMYFUNCTION("""COMPUTED_VALUE"""),"LAMPUNG")</f>
        <v>LAMPUNG</v>
      </c>
      <c r="I2459" s="222" t="str">
        <f>IFERROR(__xludf.DUMMYFUNCTION("""COMPUTED_VALUE"""),"Batch 3")</f>
        <v>Batch 3</v>
      </c>
      <c r="J2459" s="225">
        <f>IFERROR(__xludf.DUMMYFUNCTION("""COMPUTED_VALUE"""),9.0)</f>
        <v>9</v>
      </c>
      <c r="K2459" s="224">
        <f>IFERROR(__xludf.DUMMYFUNCTION("""COMPUTED_VALUE"""),72.0)</f>
        <v>72</v>
      </c>
      <c r="L2459" s="226">
        <f>IFERROR(__xludf.DUMMYFUNCTION("""COMPUTED_VALUE"""),800989.0)</f>
        <v>800989</v>
      </c>
      <c r="M2459" s="227">
        <f>IFERROR(__xludf.DUMMYFUNCTION("""COMPUTED_VALUE"""),5.7671139E7)</f>
        <v>57671139</v>
      </c>
      <c r="N2459" s="222" t="str">
        <f>IFERROR(__xludf.DUMMYFUNCTION("""COMPUTED_VALUE"""),"PT ACERO CETHA METALINDO")</f>
        <v>PT ACERO CETHA METALINDO</v>
      </c>
      <c r="O2459" s="222" t="str">
        <f>IFERROR(__xludf.DUMMYFUNCTION("""COMPUTED_VALUE"""),"0. DROP")</f>
        <v>0. DROP</v>
      </c>
      <c r="P2459" s="222" t="str">
        <f>IFERROR(__xludf.DUMMYFUNCTION("""COMPUTED_VALUE"""),"0.4 CPP Tinggi Acc ED TIF")</f>
        <v>0.4 CPP Tinggi Acc ED TIF</v>
      </c>
      <c r="Q2459" s="222" t="str">
        <f>IFERROR(__xludf.DUMMYFUNCTION("""COMPUTED_VALUE"""),"3/3 drop - kenaikan BOQ tinggi  6/2 redesain tarik distribusi / qe /repair 
30/1 proses perhitungan kebutuhan repair distribusi
28/1 kabel distirbusi cacat idle 12 core cacat ,kabel cacat 890 m 
23/1 plan anwizing 26/1")</f>
        <v>3/3 drop - kenaikan BOQ tinggi  6/2 redesain tarik distribusi / qe /repair 
30/1 proses perhitungan kebutuhan repair distribusi
28/1 kabel distirbusi cacat idle 12 core cacat ,kabel cacat 890 m 
23/1 plan anwizing 26/1</v>
      </c>
      <c r="R2459" s="228"/>
      <c r="S2459" s="11"/>
      <c r="T2459" s="11"/>
      <c r="U2459" s="11"/>
      <c r="V2459" s="229"/>
      <c r="W2459" s="229"/>
      <c r="X2459" s="229"/>
      <c r="Y2459" s="229"/>
      <c r="Z2459" s="229" t="str">
        <f>IFERROR(__xludf.DUMMYFUNCTION("""COMPUTED_VALUE"""),"#N/A")</f>
        <v>#N/A</v>
      </c>
      <c r="AA2459" s="229"/>
      <c r="AB2459" s="229"/>
      <c r="AC2459" s="229"/>
      <c r="AD2459" s="232"/>
      <c r="AE2459" s="233"/>
      <c r="AF2459" s="54" t="str">
        <f>IFERROR(__xludf.DUMMYFUNCTION("""COMPUTED_VALUE"""),"Draft BA DROP")</f>
        <v>Draft BA DROP</v>
      </c>
      <c r="AG2459" s="54"/>
      <c r="AH2459" s="54"/>
      <c r="AI2459" s="55" t="str">
        <f t="shared" si="230"/>
        <v/>
      </c>
      <c r="AW2459" s="234"/>
      <c r="BP2459" s="11"/>
      <c r="BQ2459" s="11"/>
      <c r="BV2459" s="158"/>
      <c r="BY2459" s="158"/>
      <c r="CB2459" s="158"/>
    </row>
    <row r="2460" ht="18.0" hidden="1" customHeight="1">
      <c r="A2460" s="222">
        <f>IFERROR(__xludf.DUMMYFUNCTION("""COMPUTED_VALUE"""),2026.0)</f>
        <v>2026</v>
      </c>
      <c r="B2460" s="221">
        <f>IFERROR(__xludf.DUMMYFUNCTION("""COMPUTED_VALUE"""),1.2797548E7)</f>
        <v>12797548</v>
      </c>
      <c r="C2460" s="222" t="str">
        <f>IFERROR(__xludf.DUMMYFUNCTION("""COMPUTED_VALUE"""),"LPG PT3 JPP LAMPUNG SELATAN_92324 KDT")</f>
        <v>LPG PT3 JPP LAMPUNG SELATAN_92324 KDT</v>
      </c>
      <c r="D2460" s="222" t="str">
        <f>IFERROR(__xludf.DUMMYFUNCTION("""COMPUTED_VALUE"""),"REGIONAL I")</f>
        <v>REGIONAL I</v>
      </c>
      <c r="E2460" s="222" t="str">
        <f>IFERROR(__xludf.DUMMYFUNCTION("""COMPUTED_VALUE"""),"LAMPUNG")</f>
        <v>LAMPUNG</v>
      </c>
      <c r="F2460" s="222" t="str">
        <f>IFERROR(__xludf.DUMMYFUNCTION("""COMPUTED_VALUE"""),"KDT")</f>
        <v>KDT</v>
      </c>
      <c r="G2460" s="222" t="str">
        <f>IFERROR(__xludf.DUMMYFUNCTION("""COMPUTED_VALUE"""),"SUMBAGSEL")</f>
        <v>SUMBAGSEL</v>
      </c>
      <c r="H2460" s="222" t="str">
        <f>IFERROR(__xludf.DUMMYFUNCTION("""COMPUTED_VALUE"""),"LAMPUNG")</f>
        <v>LAMPUNG</v>
      </c>
      <c r="I2460" s="222" t="str">
        <f>IFERROR(__xludf.DUMMYFUNCTION("""COMPUTED_VALUE"""),"Batch 3")</f>
        <v>Batch 3</v>
      </c>
      <c r="J2460" s="225">
        <f>IFERROR(__xludf.DUMMYFUNCTION("""COMPUTED_VALUE"""),5.0)</f>
        <v>5</v>
      </c>
      <c r="K2460" s="224">
        <f>IFERROR(__xludf.DUMMYFUNCTION("""COMPUTED_VALUE"""),40.0)</f>
        <v>40</v>
      </c>
      <c r="L2460" s="226">
        <f>IFERROR(__xludf.DUMMYFUNCTION("""COMPUTED_VALUE"""),794800.0)</f>
        <v>794800</v>
      </c>
      <c r="M2460" s="227">
        <f>IFERROR(__xludf.DUMMYFUNCTION("""COMPUTED_VALUE"""),3.1791979E7)</f>
        <v>31791979</v>
      </c>
      <c r="N2460" s="222" t="str">
        <f>IFERROR(__xludf.DUMMYFUNCTION("""COMPUTED_VALUE"""),"PT BANGTELINDO")</f>
        <v>PT BANGTELINDO</v>
      </c>
      <c r="O2460" s="222" t="str">
        <f>IFERROR(__xludf.DUMMYFUNCTION("""COMPUTED_VALUE"""),"0. DROP")</f>
        <v>0. DROP</v>
      </c>
      <c r="P2460" s="222" t="str">
        <f>IFERROR(__xludf.DUMMYFUNCTION("""COMPUTED_VALUE"""),"0.2 Tidak Dapat Izin Warga/Kades/Lurah/Developer")</f>
        <v>0.2 Tidak Dapat Izin Warga/Kades/Lurah/Developer</v>
      </c>
      <c r="Q2460" s="222" t="str">
        <f>IFERROR(__xludf.DUMMYFUNCTION("""COMPUTED_VALUE"""),"28/1 distribusi ready tpi tidak di izinkan tanam tiang 05/2 
23/1 plan anwizing tanggal 26/3")</f>
        <v>28/1 distribusi ready tpi tidak di izinkan tanam tiang 05/2 
23/1 plan anwizing tanggal 26/3</v>
      </c>
      <c r="R2460" s="228"/>
      <c r="S2460" s="11"/>
      <c r="T2460" s="11"/>
      <c r="U2460" s="11"/>
      <c r="V2460" s="229"/>
      <c r="W2460" s="229"/>
      <c r="X2460" s="229"/>
      <c r="Y2460" s="229"/>
      <c r="Z2460" s="229" t="str">
        <f>IFERROR(__xludf.DUMMYFUNCTION("""COMPUTED_VALUE"""),"#N/A")</f>
        <v>#N/A</v>
      </c>
      <c r="AA2460" s="229"/>
      <c r="AB2460" s="229"/>
      <c r="AC2460" s="229"/>
      <c r="AD2460" s="232"/>
      <c r="AE2460" s="233"/>
      <c r="AF2460" s="54" t="str">
        <f>IFERROR(__xludf.DUMMYFUNCTION("""COMPUTED_VALUE"""),"Draft BA DROP")</f>
        <v>Draft BA DROP</v>
      </c>
      <c r="AG2460" s="54"/>
      <c r="AH2460" s="54"/>
      <c r="AI2460" s="55" t="str">
        <f t="shared" si="230"/>
        <v/>
      </c>
      <c r="AW2460" s="234"/>
      <c r="BP2460" s="11"/>
      <c r="BQ2460" s="11"/>
      <c r="BV2460" s="158"/>
      <c r="BY2460" s="158"/>
      <c r="CB2460" s="158"/>
    </row>
    <row r="2461" ht="18.0" customHeight="1">
      <c r="A2461" s="222">
        <f>IFERROR(__xludf.DUMMYFUNCTION("""COMPUTED_VALUE"""),2026.0)</f>
        <v>2026</v>
      </c>
      <c r="B2461" s="221">
        <f>IFERROR(__xludf.DUMMYFUNCTION("""COMPUTED_VALUE"""),1.2553828E7)</f>
        <v>12553828</v>
      </c>
      <c r="C2461" s="222" t="str">
        <f>IFERROR(__xludf.DUMMYFUNCTION("""COMPUTED_VALUE"""),"RKP TSEL PT3 KIJ-FN 250_381_4287")</f>
        <v>RKP TSEL PT3 KIJ-FN 250_381_4287</v>
      </c>
      <c r="D2461" s="222" t="str">
        <f>IFERROR(__xludf.DUMMYFUNCTION("""COMPUTED_VALUE"""),"REGIONAL I")</f>
        <v>REGIONAL I</v>
      </c>
      <c r="E2461" s="222" t="str">
        <f>IFERROR(__xludf.DUMMYFUNCTION("""COMPUTED_VALUE"""),"RIKEP")</f>
        <v>RIKEP</v>
      </c>
      <c r="F2461" s="222" t="str">
        <f>IFERROR(__xludf.DUMMYFUNCTION("""COMPUTED_VALUE"""),"KIJ")</f>
        <v>KIJ</v>
      </c>
      <c r="G2461" s="222" t="str">
        <f>IFERROR(__xludf.DUMMYFUNCTION("""COMPUTED_VALUE"""),"SUMBAGTENG")</f>
        <v>SUMBAGTENG</v>
      </c>
      <c r="H2461" s="222" t="str">
        <f>IFERROR(__xludf.DUMMYFUNCTION("""COMPUTED_VALUE"""),"BATAM")</f>
        <v>BATAM</v>
      </c>
      <c r="I2461" s="222" t="str">
        <f>IFERROR(__xludf.DUMMYFUNCTION("""COMPUTED_VALUE"""),"Batch 3")</f>
        <v>Batch 3</v>
      </c>
      <c r="J2461" s="225">
        <f>IFERROR(__xludf.DUMMYFUNCTION("""COMPUTED_VALUE"""),1.0)</f>
        <v>1</v>
      </c>
      <c r="K2461" s="224">
        <f>IFERROR(__xludf.DUMMYFUNCTION("""COMPUTED_VALUE"""),8.0)</f>
        <v>8</v>
      </c>
      <c r="L2461" s="226">
        <f>IFERROR(__xludf.DUMMYFUNCTION("""COMPUTED_VALUE"""),794364.0)</f>
        <v>794364</v>
      </c>
      <c r="M2461" s="227">
        <f>IFERROR(__xludf.DUMMYFUNCTION("""COMPUTED_VALUE"""),6354908.0)</f>
        <v>6354908</v>
      </c>
      <c r="N2461" s="222" t="str">
        <f>IFERROR(__xludf.DUMMYFUNCTION("""COMPUTED_VALUE"""),"PT SALTTEK DUMPANG JAYA")</f>
        <v>PT SALTTEK DUMPANG JAYA</v>
      </c>
      <c r="O2461" s="222" t="str">
        <f>IFERROR(__xludf.DUMMYFUNCTION("""COMPUTED_VALUE"""),"7. GOLIVE")</f>
        <v>7. GOLIVE</v>
      </c>
      <c r="P2461" s="222" t="str">
        <f>IFERROR(__xludf.DUMMYFUNCTION("""COMPUTED_VALUE"""),"7.2 Golive Full / OA / DONE OTB")</f>
        <v>7.2 Golive Full / OA / DONE OTB</v>
      </c>
      <c r="Q2461" s="222" t="str">
        <f>IFERROR(__xludf.DUMMYFUNCTION("""COMPUTED_VALUE"""),"27/02 install KU. 12/02 MP Terbatas di pulau tanjung pinang, tidak bisa komit sampai bulan maret. 09/02 plan anwijzing minggu ini, PIC mitra paralel progres installasi. 04/02 Plan anwijzing di minggu depan. 23/01 Plan anwijzing 26 Jan, Order Baru. 22/01 O"&amp;"rder baru, proses penunjukan mitra")</f>
        <v>27/02 install KU. 12/02 MP Terbatas di pulau tanjung pinang, tidak bisa komit sampai bulan maret. 09/02 plan anwijzing minggu ini, PIC mitra paralel progres installasi. 04/02 Plan anwijzing di minggu depan. 23/01 Plan anwijzing 26 Jan, Order Baru. 22/01 Order baru, proses penunjukan mitra</v>
      </c>
      <c r="R2461" s="228">
        <f>IFERROR(__xludf.DUMMYFUNCTION("""COMPUTED_VALUE"""),46078.0)</f>
        <v>46078</v>
      </c>
      <c r="S2461" s="11"/>
      <c r="T2461" s="11"/>
      <c r="U2461" s="11" t="str">
        <f>IFERROR(__xludf.DUMMYFUNCTION("""COMPUTED_VALUE"""),"W09-219/2026")</f>
        <v>W09-219/2026</v>
      </c>
      <c r="V2461" s="229" t="str">
        <f>IFERROR(__xludf.DUMMYFUNCTION("""COMPUTED_VALUE"""),"DEDY IRAWAN")</f>
        <v>DEDY IRAWAN</v>
      </c>
      <c r="W2461" s="229" t="str">
        <f>IFERROR(__xludf.DUMMYFUNCTION("""COMPUTED_VALUE"""),"LEVITA INDRIYANI")</f>
        <v>LEVITA INDRIYANI</v>
      </c>
      <c r="X2461" s="229" t="str">
        <f>IFERROR(__xludf.DUMMYFUNCTION("""COMPUTED_VALUE"""),"GOLIVE")</f>
        <v>GOLIVE</v>
      </c>
      <c r="Y2461" s="229" t="str">
        <f>IFERROR(__xludf.DUMMYFUNCTION("""COMPUTED_VALUE"""),"DONE")</f>
        <v>DONE</v>
      </c>
      <c r="Z2461" s="229" t="str">
        <f>IFERROR(__xludf.DUMMYFUNCTION("""COMPUTED_VALUE"""),"#N/A")</f>
        <v>#N/A</v>
      </c>
      <c r="AA2461" s="229">
        <f>IFERROR(__xludf.DUMMYFUNCTION("""COMPUTED_VALUE"""),1.0)</f>
        <v>1</v>
      </c>
      <c r="AB2461" s="229"/>
      <c r="AC2461" s="229" t="str">
        <f>IFERROR(__xludf.DUMMYFUNCTION("""COMPUTED_VALUE"""),"9158059#9158064")</f>
        <v>9158059#9158064</v>
      </c>
      <c r="AD2461" s="232">
        <f>IFERROR(__xludf.DUMMYFUNCTION("""COMPUTED_VALUE"""),8.0)</f>
        <v>8</v>
      </c>
      <c r="AE2461" s="233">
        <f>IFERROR(__xludf.DUMMYFUNCTION("""COMPUTED_VALUE"""),46080.0)</f>
        <v>46080</v>
      </c>
      <c r="AF2461" s="54"/>
      <c r="AG2461" s="54"/>
      <c r="AH2461" s="54">
        <v>46078.0</v>
      </c>
      <c r="AI2461" s="55">
        <f>IF(OR(AH2461="",AE2461=""),"",AH2461-AE2461)</f>
        <v>-2</v>
      </c>
      <c r="AW2461" s="234"/>
      <c r="BP2461" s="11"/>
      <c r="BQ2461" s="11"/>
      <c r="BV2461" s="158"/>
      <c r="BY2461" s="158"/>
      <c r="CB2461" s="158"/>
    </row>
    <row r="2462" ht="18.0" hidden="1" customHeight="1">
      <c r="A2462" s="222">
        <f>IFERROR(__xludf.DUMMYFUNCTION("""COMPUTED_VALUE"""),2026.0)</f>
        <v>2026</v>
      </c>
      <c r="B2462" s="221">
        <f>IFERROR(__xludf.DUMMYFUNCTION("""COMPUTED_VALUE"""),1.2383946E7)</f>
        <v>12383946</v>
      </c>
      <c r="C2462" s="222" t="str">
        <f>IFERROR(__xludf.DUMMYFUNCTION("""COMPUTED_VALUE"""),"BNK-PT3-REJANG LEBONG_19033_H2_2025")</f>
        <v>BNK-PT3-REJANG LEBONG_19033_H2_2025</v>
      </c>
      <c r="D2462" s="222" t="str">
        <f>IFERROR(__xludf.DUMMYFUNCTION("""COMPUTED_VALUE"""),"REGIONAL I")</f>
        <v>REGIONAL I</v>
      </c>
      <c r="E2462" s="222" t="str">
        <f>IFERROR(__xludf.DUMMYFUNCTION("""COMPUTED_VALUE"""),"BENGKULU")</f>
        <v>BENGKULU</v>
      </c>
      <c r="F2462" s="222" t="str">
        <f>IFERROR(__xludf.DUMMYFUNCTION("""COMPUTED_VALUE"""),"CRP")</f>
        <v>CRP</v>
      </c>
      <c r="G2462" s="222" t="str">
        <f>IFERROR(__xludf.DUMMYFUNCTION("""COMPUTED_VALUE"""),"SUMBAGSEL")</f>
        <v>SUMBAGSEL</v>
      </c>
      <c r="H2462" s="222" t="str">
        <f>IFERROR(__xludf.DUMMYFUNCTION("""COMPUTED_VALUE"""),"BENGKULU")</f>
        <v>BENGKULU</v>
      </c>
      <c r="I2462" s="222" t="str">
        <f>IFERROR(__xludf.DUMMYFUNCTION("""COMPUTED_VALUE"""),"Batch 3")</f>
        <v>Batch 3</v>
      </c>
      <c r="J2462" s="225">
        <f>IFERROR(__xludf.DUMMYFUNCTION("""COMPUTED_VALUE"""),8.0)</f>
        <v>8</v>
      </c>
      <c r="K2462" s="224">
        <f>IFERROR(__xludf.DUMMYFUNCTION("""COMPUTED_VALUE"""),64.0)</f>
        <v>64</v>
      </c>
      <c r="L2462" s="226">
        <f>IFERROR(__xludf.DUMMYFUNCTION("""COMPUTED_VALUE"""),782193.0)</f>
        <v>782193</v>
      </c>
      <c r="M2462" s="227">
        <f>IFERROR(__xludf.DUMMYFUNCTION("""COMPUTED_VALUE"""),5.0060299E7)</f>
        <v>50060299</v>
      </c>
      <c r="N2462" s="222" t="str">
        <f>IFERROR(__xludf.DUMMYFUNCTION("""COMPUTED_VALUE"""),"PT JAGO MULTI DIMENSI")</f>
        <v>PT JAGO MULTI DIMENSI</v>
      </c>
      <c r="O2462" s="222" t="str">
        <f>IFERROR(__xludf.DUMMYFUNCTION("""COMPUTED_VALUE"""),"7. GOLIVE")</f>
        <v>7. GOLIVE</v>
      </c>
      <c r="P2462" s="222" t="str">
        <f>IFERROR(__xludf.DUMMYFUNCTION("""COMPUTED_VALUE"""),"7.2 Golive Full / OA / DONE OTB")</f>
        <v>7.2 Golive Full / OA / DONE OTB</v>
      </c>
      <c r="Q2462" s="222" t="str">
        <f>IFERROR(__xludf.DUMMYFUNCTION("""COMPUTED_VALUE"""),"09/02: terminasi di ODC // 08/02://07/02://06/02: Terminasi ODP // 05/02: penarikan kabel // 05/02: Cor tiang // 04/02: penarikan kabel // 03/02: Proses penanaman tiang // 02/02: Pengambilan material ke gudang dan delivery ke lokasi // 30/01 : pembuatan h"&amp;"asil anwidjzing // 22/01 : Persiapan // 22/01 : Feeder ODC-CRP-FAF habis dan tidak bisa di upgred")</f>
        <v>09/02: terminasi di ODC // 08/02://07/02://06/02: Terminasi ODP // 05/02: penarikan kabel // 05/02: Cor tiang // 04/02: penarikan kabel // 03/02: Proses penanaman tiang // 02/02: Pengambilan material ke gudang dan delivery ke lokasi // 30/01 : pembuatan hasil anwidjzing // 22/01 : Persiapan // 22/01 : Feeder ODC-CRP-FAF habis dan tidak bisa di upgred</v>
      </c>
      <c r="R2462" s="228">
        <f>IFERROR(__xludf.DUMMYFUNCTION("""COMPUTED_VALUE"""),46065.0)</f>
        <v>46065</v>
      </c>
      <c r="S2462" s="11"/>
      <c r="T2462" s="11"/>
      <c r="U2462" s="11" t="str">
        <f>IFERROR(__xludf.DUMMYFUNCTION("""COMPUTED_VALUE"""),"TIF-2297/2026")</f>
        <v>TIF-2297/2026</v>
      </c>
      <c r="V2462" s="229" t="str">
        <f>IFERROR(__xludf.DUMMYFUNCTION("""COMPUTED_VALUE"""),"17/feb/2026 plan GOlive")</f>
        <v>17/feb/2026 plan GOlive</v>
      </c>
      <c r="W2462" s="229"/>
      <c r="X2462" s="229" t="str">
        <f>IFERROR(__xludf.DUMMYFUNCTION("""COMPUTED_VALUE"""),"GOLIVE")</f>
        <v>GOLIVE</v>
      </c>
      <c r="Y2462" s="229" t="str">
        <f>IFERROR(__xludf.DUMMYFUNCTION("""COMPUTED_VALUE"""),"DONE")</f>
        <v>DONE</v>
      </c>
      <c r="Z2462" s="229" t="str">
        <f>IFERROR(__xludf.DUMMYFUNCTION("""COMPUTED_VALUE"""),"#N/A")</f>
        <v>#N/A</v>
      </c>
      <c r="AA2462" s="229">
        <f>IFERROR(__xludf.DUMMYFUNCTION("""COMPUTED_VALUE"""),8.0)</f>
        <v>8</v>
      </c>
      <c r="AB2462" s="229"/>
      <c r="AC2462" s="229" t="str">
        <f>IFERROR(__xludf.DUMMYFUNCTION("""COMPUTED_VALUE"""),"9090544#9090549")</f>
        <v>9090544#9090549</v>
      </c>
      <c r="AD2462" s="232">
        <f>IFERROR(__xludf.DUMMYFUNCTION("""COMPUTED_VALUE"""),64.0)</f>
        <v>64</v>
      </c>
      <c r="AE2462" s="233">
        <f>IFERROR(__xludf.DUMMYFUNCTION("""COMPUTED_VALUE"""),46063.0)</f>
        <v>46063</v>
      </c>
      <c r="AF2462" s="54"/>
      <c r="AG2462" s="54"/>
      <c r="AH2462" s="54">
        <v>46065.0</v>
      </c>
      <c r="AI2462" s="55">
        <f t="shared" ref="AI2462:AI2467" si="231">IF(OR(R2462="",AE2462=""),"",R2462-AE2462)</f>
        <v>2</v>
      </c>
      <c r="AW2462" s="234"/>
      <c r="BP2462" s="11"/>
      <c r="BQ2462" s="11"/>
      <c r="BV2462" s="158"/>
      <c r="BY2462" s="158"/>
      <c r="CB2462" s="158"/>
    </row>
    <row r="2463" ht="18.0" hidden="1" customHeight="1">
      <c r="A2463" s="222">
        <f>IFERROR(__xludf.DUMMYFUNCTION("""COMPUTED_VALUE"""),2026.0)</f>
        <v>2026</v>
      </c>
      <c r="B2463" s="221">
        <f>IFERROR(__xludf.DUMMYFUNCTION("""COMPUTED_VALUE"""),1.2858379E7)</f>
        <v>12858379</v>
      </c>
      <c r="C2463" s="222" t="str">
        <f>IFERROR(__xludf.DUMMYFUNCTION("""COMPUTED_VALUE"""),"LPG PT3 SRIBASUKI KBI")</f>
        <v>LPG PT3 SRIBASUKI KBI</v>
      </c>
      <c r="D2463" s="222" t="str">
        <f>IFERROR(__xludf.DUMMYFUNCTION("""COMPUTED_VALUE"""),"REGIONAL I")</f>
        <v>REGIONAL I</v>
      </c>
      <c r="E2463" s="222" t="str">
        <f>IFERROR(__xludf.DUMMYFUNCTION("""COMPUTED_VALUE"""),"LAMPUNG")</f>
        <v>LAMPUNG</v>
      </c>
      <c r="F2463" s="222" t="str">
        <f>IFERROR(__xludf.DUMMYFUNCTION("""COMPUTED_VALUE"""),"KBI")</f>
        <v>KBI</v>
      </c>
      <c r="G2463" s="222" t="str">
        <f>IFERROR(__xludf.DUMMYFUNCTION("""COMPUTED_VALUE"""),"SUMBAGSEL")</f>
        <v>SUMBAGSEL</v>
      </c>
      <c r="H2463" s="222" t="str">
        <f>IFERROR(__xludf.DUMMYFUNCTION("""COMPUTED_VALUE"""),"LAMPUNG")</f>
        <v>LAMPUNG</v>
      </c>
      <c r="I2463" s="222" t="str">
        <f>IFERROR(__xludf.DUMMYFUNCTION("""COMPUTED_VALUE"""),"Batch 3")</f>
        <v>Batch 3</v>
      </c>
      <c r="J2463" s="225">
        <f>IFERROR(__xludf.DUMMYFUNCTION("""COMPUTED_VALUE"""),5.0)</f>
        <v>5</v>
      </c>
      <c r="K2463" s="224">
        <f>IFERROR(__xludf.DUMMYFUNCTION("""COMPUTED_VALUE"""),40.0)</f>
        <v>40</v>
      </c>
      <c r="L2463" s="226">
        <f>IFERROR(__xludf.DUMMYFUNCTION("""COMPUTED_VALUE"""),793269.0)</f>
        <v>793269</v>
      </c>
      <c r="M2463" s="227">
        <f>IFERROR(__xludf.DUMMYFUNCTION("""COMPUTED_VALUE"""),3.1730745E7)</f>
        <v>31730745</v>
      </c>
      <c r="N2463" s="222" t="str">
        <f>IFERROR(__xludf.DUMMYFUNCTION("""COMPUTED_VALUE"""),"PT ALAM UTAMA MULIA")</f>
        <v>PT ALAM UTAMA MULIA</v>
      </c>
      <c r="O2463" s="222" t="str">
        <f>IFERROR(__xludf.DUMMYFUNCTION("""COMPUTED_VALUE"""),"7. GOLIVE")</f>
        <v>7. GOLIVE</v>
      </c>
      <c r="P2463" s="222" t="str">
        <f>IFERROR(__xludf.DUMMYFUNCTION("""COMPUTED_VALUE"""),"7.2 Golive Full / OA / DONE OTB")</f>
        <v>7.2 Golive Full / OA / DONE OTB</v>
      </c>
      <c r="Q2463" s="222" t="str">
        <f>IFERROR(__xludf.DUMMYFUNCTION("""COMPUTED_VALUE"""),"23/2 proses golive 18/2  proses valins - Mitra belum  kirim mitra 11/2 cor tiang dan perapihan/ tanam tiang sudah- plan 15 sudah selesai odp dan VALINS  19/2 MATDEL  6/2 plan matdel ,ambil material 9/2 plan fi 24/2
4/2 stok material kosong ,estimasi tiba "&amp;"07/2 
30/1 on progres kades belum bisa di temui karna ada acra di kecamtan  
28/1 plan anwizing 30/1 
23/1 plan anwizing 27/1")</f>
        <v>23/2 proses golive 18/2  proses valins - Mitra belum  kirim mitra 11/2 cor tiang dan perapihan/ tanam tiang sudah- plan 15 sudah selesai odp dan VALINS  19/2 MATDEL  6/2 plan matdel ,ambil material 9/2 plan fi 24/2
4/2 stok material kosong ,estimasi tiba 07/2 
30/1 on progres kades belum bisa di temui karna ada acra di kecamtan  
28/1 plan anwizing 30/1 
23/1 plan anwizing 27/1</v>
      </c>
      <c r="R2463" s="228">
        <f>IFERROR(__xludf.DUMMYFUNCTION("""COMPUTED_VALUE"""),46076.0)</f>
        <v>46076</v>
      </c>
      <c r="S2463" s="11"/>
      <c r="T2463" s="11"/>
      <c r="U2463" s="11" t="str">
        <f>IFERROR(__xludf.DUMMYFUNCTION("""COMPUTED_VALUE"""),"TIF-3783/2026")</f>
        <v>TIF-3783/2026</v>
      </c>
      <c r="V2463" s="229"/>
      <c r="W2463" s="229"/>
      <c r="X2463" s="229" t="str">
        <f>IFERROR(__xludf.DUMMYFUNCTION("""COMPUTED_VALUE"""),"GOLIVE")</f>
        <v>GOLIVE</v>
      </c>
      <c r="Y2463" s="229" t="str">
        <f>IFERROR(__xludf.DUMMYFUNCTION("""COMPUTED_VALUE"""),"DONE")</f>
        <v>DONE</v>
      </c>
      <c r="Z2463" s="229" t="str">
        <f>IFERROR(__xludf.DUMMYFUNCTION("""COMPUTED_VALUE"""),"#N/A")</f>
        <v>#N/A</v>
      </c>
      <c r="AA2463" s="229">
        <f>IFERROR(__xludf.DUMMYFUNCTION("""COMPUTED_VALUE"""),5.0)</f>
        <v>5</v>
      </c>
      <c r="AB2463" s="229"/>
      <c r="AC2463" s="229" t="str">
        <f>IFERROR(__xludf.DUMMYFUNCTION("""COMPUTED_VALUE"""),"9094914#9094919")</f>
        <v>9094914#9094919</v>
      </c>
      <c r="AD2463" s="232">
        <f>IFERROR(__xludf.DUMMYFUNCTION("""COMPUTED_VALUE"""),40.0)</f>
        <v>40</v>
      </c>
      <c r="AE2463" s="233">
        <f>IFERROR(__xludf.DUMMYFUNCTION("""COMPUTED_VALUE"""),46076.0)</f>
        <v>46076</v>
      </c>
      <c r="AF2463" s="54"/>
      <c r="AG2463" s="54"/>
      <c r="AH2463" s="54">
        <v>46076.0</v>
      </c>
      <c r="AI2463" s="55">
        <f t="shared" si="231"/>
        <v>0</v>
      </c>
      <c r="AW2463" s="234"/>
      <c r="BP2463" s="11"/>
      <c r="BQ2463" s="11"/>
      <c r="BV2463" s="158"/>
      <c r="BY2463" s="158"/>
      <c r="CB2463" s="158"/>
    </row>
    <row r="2464" ht="18.0" customHeight="1">
      <c r="A2464" s="222">
        <f>IFERROR(__xludf.DUMMYFUNCTION("""COMPUTED_VALUE"""),2026.0)</f>
        <v>2026</v>
      </c>
      <c r="B2464" s="221">
        <f>IFERROR(__xludf.DUMMYFUNCTION("""COMPUTED_VALUE"""),1.2532011E7)</f>
        <v>12532011</v>
      </c>
      <c r="C2464" s="222" t="str">
        <f>IFERROR(__xludf.DUMMYFUNCTION("""COMPUTED_VALUE"""),"RKP TSEL PT3 BDS-FAA 250_495_4018")</f>
        <v>RKP TSEL PT3 BDS-FAA 250_495_4018</v>
      </c>
      <c r="D2464" s="222" t="str">
        <f>IFERROR(__xludf.DUMMYFUNCTION("""COMPUTED_VALUE"""),"REGIONAL I")</f>
        <v>REGIONAL I</v>
      </c>
      <c r="E2464" s="222" t="str">
        <f>IFERROR(__xludf.DUMMYFUNCTION("""COMPUTED_VALUE"""),"RIKEP")</f>
        <v>RIKEP</v>
      </c>
      <c r="F2464" s="222" t="str">
        <f>IFERROR(__xludf.DUMMYFUNCTION("""COMPUTED_VALUE"""),"BDS")</f>
        <v>BDS</v>
      </c>
      <c r="G2464" s="222" t="str">
        <f>IFERROR(__xludf.DUMMYFUNCTION("""COMPUTED_VALUE"""),"SUMBAGTENG")</f>
        <v>SUMBAGTENG</v>
      </c>
      <c r="H2464" s="222" t="str">
        <f>IFERROR(__xludf.DUMMYFUNCTION("""COMPUTED_VALUE"""),"BATAM")</f>
        <v>BATAM</v>
      </c>
      <c r="I2464" s="222" t="str">
        <f>IFERROR(__xludf.DUMMYFUNCTION("""COMPUTED_VALUE"""),"Batch 3")</f>
        <v>Batch 3</v>
      </c>
      <c r="J2464" s="225">
        <f>IFERROR(__xludf.DUMMYFUNCTION("""COMPUTED_VALUE"""),3.0)</f>
        <v>3</v>
      </c>
      <c r="K2464" s="224">
        <f>IFERROR(__xludf.DUMMYFUNCTION("""COMPUTED_VALUE"""),24.0)</f>
        <v>24</v>
      </c>
      <c r="L2464" s="226">
        <f>IFERROR(__xludf.DUMMYFUNCTION("""COMPUTED_VALUE"""),789707.0)</f>
        <v>789707</v>
      </c>
      <c r="M2464" s="227">
        <f>IFERROR(__xludf.DUMMYFUNCTION("""COMPUTED_VALUE"""),1.8952963E7)</f>
        <v>18952963</v>
      </c>
      <c r="N2464" s="222" t="str">
        <f>IFERROR(__xludf.DUMMYFUNCTION("""COMPUTED_VALUE"""),"PT MITRA SETIA INDONESIA")</f>
        <v>PT MITRA SETIA INDONESIA</v>
      </c>
      <c r="O2464" s="222" t="str">
        <f>IFERROR(__xludf.DUMMYFUNCTION("""COMPUTED_VALUE"""),"0. DROP")</f>
        <v>0. DROP</v>
      </c>
      <c r="P2464" s="222" t="str">
        <f>IFERROR(__xludf.DUMMYFUNCTION("""COMPUTED_VALUE"""),"0.2 Tidak Dapat Izin Warga/Kades/Lurah/Developer")</f>
        <v>0.2 Tidak Dapat Izin Warga/Kades/Lurah/Developer</v>
      </c>
      <c r="Q2464" s="222" t="str">
        <f>IFERROR(__xludf.DUMMYFUNCTION("""COMPUTED_VALUE"""),"12/02 Sudah ada provider lain. 09/02 Core feeder dan dist OK, proses perizinan. 23/01 Plan anwijzing 29 Jan, Order Baru. 22/01 Order baru, proses penunjukan mitra")</f>
        <v>12/02 Sudah ada provider lain. 09/02 Core feeder dan dist OK, proses perizinan. 23/01 Plan anwijzing 29 Jan, Order Baru. 22/01 Order baru, proses penunjukan mitra</v>
      </c>
      <c r="R2464" s="228"/>
      <c r="S2464" s="11"/>
      <c r="T2464" s="11"/>
      <c r="U2464" s="11"/>
      <c r="V2464" s="229" t="str">
        <f>IFERROR(__xludf.DUMMYFUNCTION("""COMPUTED_VALUE"""),"MUHAMMAD RIDHO FALFO")</f>
        <v>MUHAMMAD RIDHO FALFO</v>
      </c>
      <c r="W2464" s="229"/>
      <c r="X2464" s="229"/>
      <c r="Y2464" s="229"/>
      <c r="Z2464" s="229" t="str">
        <f>IFERROR(__xludf.DUMMYFUNCTION("""COMPUTED_VALUE"""),"#N/A")</f>
        <v>#N/A</v>
      </c>
      <c r="AA2464" s="229"/>
      <c r="AB2464" s="229"/>
      <c r="AC2464" s="229"/>
      <c r="AD2464" s="232"/>
      <c r="AE2464" s="233"/>
      <c r="AF2464" s="54" t="str">
        <f>IFERROR(__xludf.DUMMYFUNCTION("""COMPUTED_VALUE"""),"Draft BA DROP")</f>
        <v>Draft BA DROP</v>
      </c>
      <c r="AG2464" s="54"/>
      <c r="AH2464" s="54"/>
      <c r="AI2464" s="55" t="str">
        <f t="shared" si="231"/>
        <v/>
      </c>
      <c r="AW2464" s="234"/>
      <c r="BP2464" s="11"/>
      <c r="BQ2464" s="11"/>
      <c r="BV2464" s="158"/>
      <c r="BY2464" s="158"/>
      <c r="CB2464" s="158"/>
    </row>
    <row r="2465" ht="18.0" hidden="1" customHeight="1">
      <c r="A2465" s="222">
        <f>IFERROR(__xludf.DUMMYFUNCTION("""COMPUTED_VALUE"""),2026.0)</f>
        <v>2026</v>
      </c>
      <c r="B2465" s="221">
        <f>IFERROR(__xludf.DUMMYFUNCTION("""COMPUTED_VALUE"""),1.2160864E7)</f>
        <v>12160864</v>
      </c>
      <c r="C2465" s="222" t="str">
        <f>IFERROR(__xludf.DUMMYFUNCTION("""COMPUTED_VALUE"""),"LPG PT3 JPP LAMPUNG SELATAN_56732 NTR")</f>
        <v>LPG PT3 JPP LAMPUNG SELATAN_56732 NTR</v>
      </c>
      <c r="D2465" s="222" t="str">
        <f>IFERROR(__xludf.DUMMYFUNCTION("""COMPUTED_VALUE"""),"REGIONAL I")</f>
        <v>REGIONAL I</v>
      </c>
      <c r="E2465" s="222" t="str">
        <f>IFERROR(__xludf.DUMMYFUNCTION("""COMPUTED_VALUE"""),"LAMPUNG")</f>
        <v>LAMPUNG</v>
      </c>
      <c r="F2465" s="222" t="str">
        <f>IFERROR(__xludf.DUMMYFUNCTION("""COMPUTED_VALUE"""),"NTR")</f>
        <v>NTR</v>
      </c>
      <c r="G2465" s="222" t="str">
        <f>IFERROR(__xludf.DUMMYFUNCTION("""COMPUTED_VALUE"""),"SUMBAGSEL")</f>
        <v>SUMBAGSEL</v>
      </c>
      <c r="H2465" s="222" t="str">
        <f>IFERROR(__xludf.DUMMYFUNCTION("""COMPUTED_VALUE"""),"LAMPUNG")</f>
        <v>LAMPUNG</v>
      </c>
      <c r="I2465" s="222" t="str">
        <f>IFERROR(__xludf.DUMMYFUNCTION("""COMPUTED_VALUE"""),"Batch 3")</f>
        <v>Batch 3</v>
      </c>
      <c r="J2465" s="225">
        <f>IFERROR(__xludf.DUMMYFUNCTION("""COMPUTED_VALUE"""),2.0)</f>
        <v>2</v>
      </c>
      <c r="K2465" s="224">
        <f>IFERROR(__xludf.DUMMYFUNCTION("""COMPUTED_VALUE"""),16.0)</f>
        <v>16</v>
      </c>
      <c r="L2465" s="226">
        <f>IFERROR(__xludf.DUMMYFUNCTION("""COMPUTED_VALUE"""),788924.0)</f>
        <v>788924</v>
      </c>
      <c r="M2465" s="227">
        <f>IFERROR(__xludf.DUMMYFUNCTION("""COMPUTED_VALUE"""),1.2622781E7)</f>
        <v>12622781</v>
      </c>
      <c r="N2465" s="222" t="str">
        <f>IFERROR(__xludf.DUMMYFUNCTION("""COMPUTED_VALUE"""),"PT BANGTELINDO")</f>
        <v>PT BANGTELINDO</v>
      </c>
      <c r="O2465" s="222" t="str">
        <f>IFERROR(__xludf.DUMMYFUNCTION("""COMPUTED_VALUE"""),"0. DROP")</f>
        <v>0. DROP</v>
      </c>
      <c r="P2465" s="222" t="str">
        <f>IFERROR(__xludf.DUMMYFUNCTION("""COMPUTED_VALUE"""),"0.2 Tidak Dapat Izin Warga/Kades/Lurah/Developer")</f>
        <v>0.2 Tidak Dapat Izin Warga/Kades/Lurah/Developer</v>
      </c>
      <c r="Q2465" s="222" t="str">
        <f>IFERROR(__xludf.DUMMYFUNCTION("""COMPUTED_VALUE"""),"12/3 Tidak dapat izin dari warga, karna sudah ada internet desa
9/3 QE distribusi putus di 1,1 Km 18/2 Butuh QE  distribusi 6/2  lurah tidaka bisa putuskan ,folow uf 09/2 ,estimasi 12/2
4/2  on progres prizinan 
28/1 on progres prizinan  05/2 
23/1 plan a"&amp;"nwizing tanggal 26/4")</f>
        <v>12/3 Tidak dapat izin dari warga, karna sudah ada internet desa
9/3 QE distribusi putus di 1,1 Km 18/2 Butuh QE  distribusi 6/2  lurah tidaka bisa putuskan ,folow uf 09/2 ,estimasi 12/2
4/2  on progres prizinan 
28/1 on progres prizinan  05/2 
23/1 plan anwizing tanggal 26/4</v>
      </c>
      <c r="R2465" s="228"/>
      <c r="S2465" s="11"/>
      <c r="T2465" s="11"/>
      <c r="U2465" s="11"/>
      <c r="V2465" s="229"/>
      <c r="W2465" s="229"/>
      <c r="X2465" s="229"/>
      <c r="Y2465" s="229"/>
      <c r="Z2465" s="229" t="str">
        <f>IFERROR(__xludf.DUMMYFUNCTION("""COMPUTED_VALUE"""),"#N/A")</f>
        <v>#N/A</v>
      </c>
      <c r="AA2465" s="229"/>
      <c r="AB2465" s="229"/>
      <c r="AC2465" s="229"/>
      <c r="AD2465" s="232"/>
      <c r="AE2465" s="233"/>
      <c r="AF2465" s="54"/>
      <c r="AG2465" s="54"/>
      <c r="AH2465" s="54"/>
      <c r="AI2465" s="55" t="str">
        <f t="shared" si="231"/>
        <v/>
      </c>
      <c r="AW2465" s="234"/>
      <c r="BP2465" s="11"/>
      <c r="BQ2465" s="11"/>
      <c r="BV2465" s="158"/>
      <c r="BY2465" s="158"/>
      <c r="CB2465" s="158"/>
    </row>
    <row r="2466" ht="18.0" hidden="1" customHeight="1">
      <c r="A2466" s="222">
        <f>IFERROR(__xludf.DUMMYFUNCTION("""COMPUTED_VALUE"""),2026.0)</f>
        <v>2026</v>
      </c>
      <c r="B2466" s="221">
        <f>IFERROR(__xludf.DUMMYFUNCTION("""COMPUTED_VALUE"""),1.2437832E7)</f>
        <v>12437832</v>
      </c>
      <c r="C2466" s="222" t="str">
        <f>IFERROR(__xludf.DUMMYFUNCTION("""COMPUTED_VALUE"""),"MDN PT3 PUB-FW GG.PERWIRA_MD25")</f>
        <v>MDN PT3 PUB-FW GG.PERWIRA_MD25</v>
      </c>
      <c r="D2466" s="222" t="str">
        <f>IFERROR(__xludf.DUMMYFUNCTION("""COMPUTED_VALUE"""),"REGIONAL I")</f>
        <v>REGIONAL I</v>
      </c>
      <c r="E2466" s="222" t="str">
        <f>IFERROR(__xludf.DUMMYFUNCTION("""COMPUTED_VALUE"""),"MEDAN")</f>
        <v>MEDAN</v>
      </c>
      <c r="F2466" s="222" t="str">
        <f>IFERROR(__xludf.DUMMYFUNCTION("""COMPUTED_VALUE"""),"PUB")</f>
        <v>PUB</v>
      </c>
      <c r="G2466" s="222" t="str">
        <f>IFERROR(__xludf.DUMMYFUNCTION("""COMPUTED_VALUE"""),"SUMBAGUT")</f>
        <v>SUMBAGUT</v>
      </c>
      <c r="H2466" s="222" t="str">
        <f>IFERROR(__xludf.DUMMYFUNCTION("""COMPUTED_VALUE"""),"MEDAN")</f>
        <v>MEDAN</v>
      </c>
      <c r="I2466" s="222" t="str">
        <f>IFERROR(__xludf.DUMMYFUNCTION("""COMPUTED_VALUE"""),"Batch 3")</f>
        <v>Batch 3</v>
      </c>
      <c r="J2466" s="225">
        <f>IFERROR(__xludf.DUMMYFUNCTION("""COMPUTED_VALUE"""),2.0)</f>
        <v>2</v>
      </c>
      <c r="K2466" s="224">
        <f>IFERROR(__xludf.DUMMYFUNCTION("""COMPUTED_VALUE"""),16.0)</f>
        <v>16</v>
      </c>
      <c r="L2466" s="226">
        <f>IFERROR(__xludf.DUMMYFUNCTION("""COMPUTED_VALUE"""),786421.0)</f>
        <v>786421</v>
      </c>
      <c r="M2466" s="227">
        <f>IFERROR(__xludf.DUMMYFUNCTION("""COMPUTED_VALUE"""),1.2582729E7)</f>
        <v>12582729</v>
      </c>
      <c r="N2466" s="222" t="str">
        <f>IFERROR(__xludf.DUMMYFUNCTION("""COMPUTED_VALUE"""),"PT GLOBAL KARYA WANDA")</f>
        <v>PT GLOBAL KARYA WANDA</v>
      </c>
      <c r="O2466" s="222" t="str">
        <f>IFERROR(__xludf.DUMMYFUNCTION("""COMPUTED_VALUE"""),"2. DONE AANWIJZING")</f>
        <v>2. DONE AANWIJZING</v>
      </c>
      <c r="P2466" s="222" t="str">
        <f>IFERROR(__xludf.DUMMYFUNCTION("""COMPUTED_VALUE"""),"2.9 Kendala - Distribusi Penuh / Rusak")</f>
        <v>2.9 Kendala - Distribusi Penuh / Rusak</v>
      </c>
      <c r="Q2466" s="222" t="str">
        <f>IFERROR(__xludf.DUMMYFUNCTION("""COMPUTED_VALUE"""),"03/03 DS Rusak, butuh repair 02/03 done order")</f>
        <v>03/03 DS Rusak, butuh repair 02/03 done order</v>
      </c>
      <c r="R2466" s="228"/>
      <c r="S2466" s="11"/>
      <c r="T2466" s="11"/>
      <c r="U2466" s="11"/>
      <c r="V2466" s="229"/>
      <c r="W2466" s="229"/>
      <c r="X2466" s="229" t="str">
        <f>IFERROR(__xludf.DUMMYFUNCTION("""COMPUTED_VALUE"""),"BELUM GOLIVE")</f>
        <v>BELUM GOLIVE</v>
      </c>
      <c r="Y2466" s="229"/>
      <c r="Z2466" s="229" t="str">
        <f>IFERROR(__xludf.DUMMYFUNCTION("""COMPUTED_VALUE"""),"#N/A")</f>
        <v>#N/A</v>
      </c>
      <c r="AA2466" s="229"/>
      <c r="AB2466" s="229"/>
      <c r="AC2466" s="229"/>
      <c r="AD2466" s="232"/>
      <c r="AE2466" s="233"/>
      <c r="AF2466" s="54"/>
      <c r="AG2466" s="54"/>
      <c r="AH2466" s="54"/>
      <c r="AI2466" s="55" t="str">
        <f t="shared" si="231"/>
        <v/>
      </c>
      <c r="AW2466" s="234"/>
      <c r="BP2466" s="11"/>
      <c r="BQ2466" s="11"/>
      <c r="BV2466" s="158"/>
      <c r="BY2466" s="158"/>
      <c r="CB2466" s="158"/>
    </row>
    <row r="2467" ht="18.0" hidden="1" customHeight="1">
      <c r="A2467" s="222">
        <f>IFERROR(__xludf.DUMMYFUNCTION("""COMPUTED_VALUE"""),2026.0)</f>
        <v>2026</v>
      </c>
      <c r="B2467" s="221">
        <f>IFERROR(__xludf.DUMMYFUNCTION("""COMPUTED_VALUE"""),1.2431313E7)</f>
        <v>12431313</v>
      </c>
      <c r="C2467" s="222" t="str">
        <f>IFERROR(__xludf.DUMMYFUNCTION("""COMPUTED_VALUE"""),"MDN PT3 LBP-FP PENARA KEBUN")</f>
        <v>MDN PT3 LBP-FP PENARA KEBUN</v>
      </c>
      <c r="D2467" s="222" t="str">
        <f>IFERROR(__xludf.DUMMYFUNCTION("""COMPUTED_VALUE"""),"REGIONAL I")</f>
        <v>REGIONAL I</v>
      </c>
      <c r="E2467" s="222" t="str">
        <f>IFERROR(__xludf.DUMMYFUNCTION("""COMPUTED_VALUE"""),"MEDAN")</f>
        <v>MEDAN</v>
      </c>
      <c r="F2467" s="222" t="str">
        <f>IFERROR(__xludf.DUMMYFUNCTION("""COMPUTED_VALUE"""),"LBP")</f>
        <v>LBP</v>
      </c>
      <c r="G2467" s="222" t="str">
        <f>IFERROR(__xludf.DUMMYFUNCTION("""COMPUTED_VALUE"""),"SUMBAGUT")</f>
        <v>SUMBAGUT</v>
      </c>
      <c r="H2467" s="222" t="str">
        <f>IFERROR(__xludf.DUMMYFUNCTION("""COMPUTED_VALUE"""),"MEDAN")</f>
        <v>MEDAN</v>
      </c>
      <c r="I2467" s="222" t="str">
        <f>IFERROR(__xludf.DUMMYFUNCTION("""COMPUTED_VALUE"""),"Batch 3")</f>
        <v>Batch 3</v>
      </c>
      <c r="J2467" s="225">
        <f>IFERROR(__xludf.DUMMYFUNCTION("""COMPUTED_VALUE"""),2.0)</f>
        <v>2</v>
      </c>
      <c r="K2467" s="224">
        <f>IFERROR(__xludf.DUMMYFUNCTION("""COMPUTED_VALUE"""),16.0)</f>
        <v>16</v>
      </c>
      <c r="L2467" s="226">
        <f>IFERROR(__xludf.DUMMYFUNCTION("""COMPUTED_VALUE"""),785169.0)</f>
        <v>785169</v>
      </c>
      <c r="M2467" s="227">
        <f>IFERROR(__xludf.DUMMYFUNCTION("""COMPUTED_VALUE"""),1.2562691E7)</f>
        <v>12562691</v>
      </c>
      <c r="N2467" s="222" t="str">
        <f>IFERROR(__xludf.DUMMYFUNCTION("""COMPUTED_VALUE"""),"PT MEDCOM SOLUTION")</f>
        <v>PT MEDCOM SOLUTION</v>
      </c>
      <c r="O2467" s="222" t="str">
        <f>IFERROR(__xludf.DUMMYFUNCTION("""COMPUTED_VALUE"""),"2. DONE AANWIJZING")</f>
        <v>2. DONE AANWIJZING</v>
      </c>
      <c r="P2467" s="222" t="str">
        <f>IFERROR(__xludf.DUMMYFUNCTION("""COMPUTED_VALUE"""),"2.10 Kendala - Feeder Rusak")</f>
        <v>2.10 Kendala - Feeder Rusak</v>
      </c>
      <c r="Q2467" s="222" t="str">
        <f>IFERROR(__xludf.DUMMYFUNCTION("""COMPUTED_VALUE"""),"20/04 pengecekan titik putus / butuh qe
04/04 proses perizinan
15/02 order mitra")</f>
        <v>20/04 pengecekan titik putus / butuh qe
04/04 proses perizinan
15/02 order mitra</v>
      </c>
      <c r="R2467" s="228"/>
      <c r="S2467" s="11"/>
      <c r="T2467" s="73"/>
      <c r="U2467" s="11"/>
      <c r="V2467" s="229" t="str">
        <f>IFERROR(__xludf.DUMMYFUNCTION("""COMPUTED_VALUE"""),"28/Apr/2026")</f>
        <v>28/Apr/2026</v>
      </c>
      <c r="W2467" s="229"/>
      <c r="X2467" s="229" t="str">
        <f>IFERROR(__xludf.DUMMYFUNCTION("""COMPUTED_VALUE"""),"BELUM GOLIVE")</f>
        <v>BELUM GOLIVE</v>
      </c>
      <c r="Y2467" s="229"/>
      <c r="Z2467" s="229" t="str">
        <f>IFERROR(__xludf.DUMMYFUNCTION("""COMPUTED_VALUE"""),"#N/A")</f>
        <v>#N/A</v>
      </c>
      <c r="AA2467" s="229"/>
      <c r="AB2467" s="229"/>
      <c r="AC2467" s="229"/>
      <c r="AD2467" s="232"/>
      <c r="AE2467" s="233"/>
      <c r="AF2467" s="54"/>
      <c r="AG2467" s="54"/>
      <c r="AH2467" s="54"/>
      <c r="AI2467" s="55" t="str">
        <f t="shared" si="231"/>
        <v/>
      </c>
      <c r="AW2467" s="234"/>
      <c r="BP2467" s="11"/>
      <c r="BQ2467" s="11"/>
      <c r="BV2467" s="158"/>
      <c r="BY2467" s="158"/>
      <c r="CB2467" s="158"/>
    </row>
    <row r="2468" ht="18.0" hidden="1" customHeight="1">
      <c r="A2468" s="222">
        <f>IFERROR(__xludf.DUMMYFUNCTION("""COMPUTED_VALUE"""),2026.0)</f>
        <v>2026</v>
      </c>
      <c r="B2468" s="221">
        <f>IFERROR(__xludf.DUMMYFUNCTION("""COMPUTED_VALUE"""),1.0956061E7)</f>
        <v>10956061</v>
      </c>
      <c r="C2468" s="222" t="str">
        <f>IFERROR(__xludf.DUMMYFUNCTION("""COMPUTED_VALUE"""),"BNK-PT3 BRC-AGR-FM-JPPTSEL-BENGKULU_210")</f>
        <v>BNK-PT3 BRC-AGR-FM-JPPTSEL-BENGKULU_210</v>
      </c>
      <c r="D2468" s="222" t="str">
        <f>IFERROR(__xludf.DUMMYFUNCTION("""COMPUTED_VALUE"""),"REGIONAL I")</f>
        <v>REGIONAL I</v>
      </c>
      <c r="E2468" s="222" t="str">
        <f>IFERROR(__xludf.DUMMYFUNCTION("""COMPUTED_VALUE"""),"BENGKULU")</f>
        <v>BENGKULU</v>
      </c>
      <c r="F2468" s="222" t="str">
        <f>IFERROR(__xludf.DUMMYFUNCTION("""COMPUTED_VALUE"""),"AGR")</f>
        <v>AGR</v>
      </c>
      <c r="G2468" s="222" t="str">
        <f>IFERROR(__xludf.DUMMYFUNCTION("""COMPUTED_VALUE"""),"SUMBAGSEL")</f>
        <v>SUMBAGSEL</v>
      </c>
      <c r="H2468" s="222" t="str">
        <f>IFERROR(__xludf.DUMMYFUNCTION("""COMPUTED_VALUE"""),"BENGKULU")</f>
        <v>BENGKULU</v>
      </c>
      <c r="I2468" s="222" t="str">
        <f>IFERROR(__xludf.DUMMYFUNCTION("""COMPUTED_VALUE"""),"Batch 3")</f>
        <v>Batch 3</v>
      </c>
      <c r="J2468" s="225">
        <f>IFERROR(__xludf.DUMMYFUNCTION("""COMPUTED_VALUE"""),4.0)</f>
        <v>4</v>
      </c>
      <c r="K2468" s="224">
        <f>IFERROR(__xludf.DUMMYFUNCTION("""COMPUTED_VALUE"""),32.0)</f>
        <v>32</v>
      </c>
      <c r="L2468" s="226">
        <f>IFERROR(__xludf.DUMMYFUNCTION("""COMPUTED_VALUE"""),938694.0)</f>
        <v>938694</v>
      </c>
      <c r="M2468" s="227">
        <f>IFERROR(__xludf.DUMMYFUNCTION("""COMPUTED_VALUE"""),3.0038186E7)</f>
        <v>30038186</v>
      </c>
      <c r="N2468" s="222" t="str">
        <f>IFERROR(__xludf.DUMMYFUNCTION("""COMPUTED_VALUE"""),"PT DJALIL KOMUNIKASI GROUP")</f>
        <v>PT DJALIL KOMUNIKASI GROUP</v>
      </c>
      <c r="O2468" s="222" t="str">
        <f>IFERROR(__xludf.DUMMYFUNCTION("""COMPUTED_VALUE"""),"7. GOLIVE")</f>
        <v>7. GOLIVE</v>
      </c>
      <c r="P2468" s="222" t="str">
        <f>IFERROR(__xludf.DUMMYFUNCTION("""COMPUTED_VALUE"""),"7.2 Golive Full / OA / DONE OTB")</f>
        <v>7.2 Golive Full / OA / DONE OTB</v>
      </c>
      <c r="Q2468" s="222" t="str">
        <f>IFERROR(__xludf.DUMMYFUNCTION("""COMPUTED_VALUE"""),"11/2 matdel - plan 12 feb progres pekerjaan - perlu QE   09/02://08/02://07/02://06/02 :// 05/02: Proses PR/PO // 03/02 : Masih menunggu konfirmasi AOM // 02/02: sudah setor aanwidjzing // 30/01 : pembuatan hasil anwizing // 26/01 :  Izin sudah di dapat c"&amp;"ore fider ready kabel distribusi ada yg putus 1 gawang harus di ganti // 22/01 : penunjukan mitra, plan anwizing")</f>
        <v>11/2 matdel - plan 12 feb progres pekerjaan - perlu QE   09/02://08/02://07/02://06/02 :// 05/02: Proses PR/PO // 03/02 : Masih menunggu konfirmasi AOM // 02/02: sudah setor aanwidjzing // 30/01 : pembuatan hasil anwizing // 26/01 :  Izin sudah di dapat core fider ready kabel distribusi ada yg putus 1 gawang harus di ganti // 22/01 : penunjukan mitra, plan anwizing</v>
      </c>
      <c r="R2468" s="228">
        <f>IFERROR(__xludf.DUMMYFUNCTION("""COMPUTED_VALUE"""),46071.0)</f>
        <v>46071</v>
      </c>
      <c r="S2468" s="11"/>
      <c r="T2468" s="11"/>
      <c r="U2468" s="11" t="str">
        <f>IFERROR(__xludf.DUMMYFUNCTION("""COMPUTED_VALUE"""),"TIF-3326/2026")</f>
        <v>TIF-3326/2026</v>
      </c>
      <c r="V2468" s="229" t="str">
        <f>IFERROR(__xludf.DUMMYFUNCTION("""COMPUTED_VALUE"""),"Bobbi Jalu")</f>
        <v>Bobbi Jalu</v>
      </c>
      <c r="W2468" s="229"/>
      <c r="X2468" s="229" t="str">
        <f>IFERROR(__xludf.DUMMYFUNCTION("""COMPUTED_VALUE"""),"GOLIVE")</f>
        <v>GOLIVE</v>
      </c>
      <c r="Y2468" s="229" t="str">
        <f>IFERROR(__xludf.DUMMYFUNCTION("""COMPUTED_VALUE"""),"DONE")</f>
        <v>DONE</v>
      </c>
      <c r="Z2468" s="229" t="str">
        <f>IFERROR(__xludf.DUMMYFUNCTION("""COMPUTED_VALUE"""),"#N/A")</f>
        <v>#N/A</v>
      </c>
      <c r="AA2468" s="229">
        <f>IFERROR(__xludf.DUMMYFUNCTION("""COMPUTED_VALUE"""),4.0)</f>
        <v>4</v>
      </c>
      <c r="AB2468" s="229"/>
      <c r="AC2468" s="229" t="str">
        <f>IFERROR(__xludf.DUMMYFUNCTION("""COMPUTED_VALUE"""),"9116285#9116290")</f>
        <v>9116285#9116290</v>
      </c>
      <c r="AD2468" s="232">
        <f>IFERROR(__xludf.DUMMYFUNCTION("""COMPUTED_VALUE"""),32.0)</f>
        <v>32</v>
      </c>
      <c r="AE2468" s="233">
        <f>IFERROR(__xludf.DUMMYFUNCTION("""COMPUTED_VALUE"""),46071.0)</f>
        <v>46071</v>
      </c>
      <c r="AF2468" s="54"/>
      <c r="AG2468" s="54"/>
      <c r="AH2468" s="54">
        <v>46138.0</v>
      </c>
      <c r="AI2468" s="237">
        <f>AH2468-now()</f>
        <v>-2.377989954</v>
      </c>
      <c r="AJ2468" s="229" t="str">
        <f>if(AI2468&gt;=0,"Gl in Komitmen","Gl out Komitmen")</f>
        <v>Gl out Komitmen</v>
      </c>
      <c r="AK2468" s="231" t="s">
        <v>199</v>
      </c>
      <c r="AW2468" s="234"/>
      <c r="BP2468" s="11"/>
      <c r="BQ2468" s="11"/>
      <c r="BV2468" s="158"/>
      <c r="BY2468" s="158"/>
      <c r="CB2468" s="158"/>
    </row>
    <row r="2469" ht="18.0" customHeight="1">
      <c r="A2469" s="222">
        <f>IFERROR(__xludf.DUMMYFUNCTION("""COMPUTED_VALUE"""),2026.0)</f>
        <v>2026</v>
      </c>
      <c r="B2469" s="221">
        <f>IFERROR(__xludf.DUMMYFUNCTION("""COMPUTED_VALUE"""),1.2787356E7)</f>
        <v>12787356</v>
      </c>
      <c r="C2469" s="222" t="str">
        <f>IFERROR(__xludf.DUMMYFUNCTION("""COMPUTED_VALUE"""),"RKP TSEL PT3 PNI-FAH PURI AGUNG 4")</f>
        <v>RKP TSEL PT3 PNI-FAH PURI AGUNG 4</v>
      </c>
      <c r="D2469" s="222" t="str">
        <f>IFERROR(__xludf.DUMMYFUNCTION("""COMPUTED_VALUE"""),"REGIONAL I")</f>
        <v>REGIONAL I</v>
      </c>
      <c r="E2469" s="222" t="str">
        <f>IFERROR(__xludf.DUMMYFUNCTION("""COMPUTED_VALUE"""),"RIKEP")</f>
        <v>RIKEP</v>
      </c>
      <c r="F2469" s="222" t="str">
        <f>IFERROR(__xludf.DUMMYFUNCTION("""COMPUTED_VALUE"""),"PNI")</f>
        <v>PNI</v>
      </c>
      <c r="G2469" s="222" t="str">
        <f>IFERROR(__xludf.DUMMYFUNCTION("""COMPUTED_VALUE"""),"SUMBAGTENG")</f>
        <v>SUMBAGTENG</v>
      </c>
      <c r="H2469" s="222" t="str">
        <f>IFERROR(__xludf.DUMMYFUNCTION("""COMPUTED_VALUE"""),"BATAM")</f>
        <v>BATAM</v>
      </c>
      <c r="I2469" s="222" t="str">
        <f>IFERROR(__xludf.DUMMYFUNCTION("""COMPUTED_VALUE"""),"Batch 3")</f>
        <v>Batch 3</v>
      </c>
      <c r="J2469" s="225">
        <f>IFERROR(__xludf.DUMMYFUNCTION("""COMPUTED_VALUE"""),7.0)</f>
        <v>7</v>
      </c>
      <c r="K2469" s="224">
        <f>IFERROR(__xludf.DUMMYFUNCTION("""COMPUTED_VALUE"""),56.0)</f>
        <v>56</v>
      </c>
      <c r="L2469" s="226">
        <f>IFERROR(__xludf.DUMMYFUNCTION("""COMPUTED_VALUE"""),783094.0)</f>
        <v>783094</v>
      </c>
      <c r="M2469" s="227">
        <f>IFERROR(__xludf.DUMMYFUNCTION("""COMPUTED_VALUE"""),4.3853241E7)</f>
        <v>43853241</v>
      </c>
      <c r="N2469" s="222" t="str">
        <f>IFERROR(__xludf.DUMMYFUNCTION("""COMPUTED_VALUE"""),"SWAKELOLA")</f>
        <v>SWAKELOLA</v>
      </c>
      <c r="O2469" s="222" t="str">
        <f>IFERROR(__xludf.DUMMYFUNCTION("""COMPUTED_VALUE"""),"0. DROP")</f>
        <v>0. DROP</v>
      </c>
      <c r="P2469" s="222" t="str">
        <f>IFERROR(__xludf.DUMMYFUNCTION("""COMPUTED_VALUE"""),"0.2 Tidak Dapat Izin Warga/Kades/Lurah/Developer")</f>
        <v>0.2 Tidak Dapat Izin Warga/Kades/Lurah/Developer</v>
      </c>
      <c r="Q2469" s="222" t="str">
        <f>IFERROR(__xludf.DUMMYFUNCTION("""COMPUTED_VALUE"""),"17/04 izin di tolak RT karena sudah terlalu banyak provider yang masuk di perumahan tersebut.
17/04 belum ada balasan dari developer perumahan. 
28/03 belum ada balasan izin dari perangkat.  04/03 Peralihan mitra karena MP PT Global visindo sudah fokus ke"&amp;" tematik lain. 27/02 Peralihan mitra. 09/02 Belum survey. 28/01 plan survey 29 Jan.   21/01 Plan survey tanggal 23 Jan 2026")</f>
        <v>17/04 izin di tolak RT karena sudah terlalu banyak provider yang masuk di perumahan tersebut.
17/04 belum ada balasan dari developer perumahan. 
28/03 belum ada balasan izin dari perangkat.  04/03 Peralihan mitra karena MP PT Global visindo sudah fokus ke tematik lain. 27/02 Peralihan mitra. 09/02 Belum survey. 28/01 plan survey 29 Jan.   21/01 Plan survey tanggal 23 Jan 2026</v>
      </c>
      <c r="R2469" s="228"/>
      <c r="S2469" s="11"/>
      <c r="T2469" s="11"/>
      <c r="U2469" s="11" t="str">
        <f>IFERROR(__xludf.DUMMYFUNCTION("""COMPUTED_VALUE"""),"W09-293/2026")</f>
        <v>W09-293/2026</v>
      </c>
      <c r="V2469" s="229" t="str">
        <f>IFERROR(__xludf.DUMMYFUNCTION("""COMPUTED_VALUE"""),"GANI PRASTYO")</f>
        <v>GANI PRASTYO</v>
      </c>
      <c r="W2469" s="229"/>
      <c r="X2469" s="229"/>
      <c r="Y2469" s="229"/>
      <c r="Z2469" s="229" t="str">
        <f>IFERROR(__xludf.DUMMYFUNCTION("""COMPUTED_VALUE"""),"#N/A")</f>
        <v>#N/A</v>
      </c>
      <c r="AA2469" s="229"/>
      <c r="AB2469" s="229"/>
      <c r="AC2469" s="229"/>
      <c r="AD2469" s="232"/>
      <c r="AE2469" s="233"/>
      <c r="AF2469" s="54"/>
      <c r="AG2469" s="54"/>
      <c r="AH2469" s="54">
        <v>46142.0</v>
      </c>
      <c r="AI2469" s="55">
        <f>AH2469-TODAY()</f>
        <v>2</v>
      </c>
      <c r="AJ2469" s="229" t="str">
        <f>if(AI2469&gt;=0,"In Komitmen","Out Komitmen")</f>
        <v>In Komitmen</v>
      </c>
      <c r="AK2469" s="231" t="s">
        <v>199</v>
      </c>
      <c r="AW2469" s="234"/>
      <c r="BP2469" s="11"/>
      <c r="BQ2469" s="11"/>
      <c r="BV2469" s="158"/>
      <c r="BY2469" s="158"/>
      <c r="CB2469" s="158"/>
    </row>
    <row r="2470" ht="18.0" hidden="1" customHeight="1">
      <c r="A2470" s="222">
        <f>IFERROR(__xludf.DUMMYFUNCTION("""COMPUTED_VALUE"""),2026.0)</f>
        <v>2026</v>
      </c>
      <c r="B2470" s="221">
        <f>IFERROR(__xludf.DUMMYFUNCTION("""COMPUTED_VALUE"""),1.2431328E7)</f>
        <v>12431328</v>
      </c>
      <c r="C2470" s="222" t="str">
        <f>IFERROR(__xludf.DUMMYFUNCTION("""COMPUTED_VALUE"""),"MDN PT3 TJR-FQ GG.SENYUM_MD25")</f>
        <v>MDN PT3 TJR-FQ GG.SENYUM_MD25</v>
      </c>
      <c r="D2470" s="222" t="str">
        <f>IFERROR(__xludf.DUMMYFUNCTION("""COMPUTED_VALUE"""),"REGIONAL I")</f>
        <v>REGIONAL I</v>
      </c>
      <c r="E2470" s="222" t="str">
        <f>IFERROR(__xludf.DUMMYFUNCTION("""COMPUTED_VALUE"""),"MEDAN")</f>
        <v>MEDAN</v>
      </c>
      <c r="F2470" s="222" t="str">
        <f>IFERROR(__xludf.DUMMYFUNCTION("""COMPUTED_VALUE"""),"TJR")</f>
        <v>TJR</v>
      </c>
      <c r="G2470" s="222" t="str">
        <f>IFERROR(__xludf.DUMMYFUNCTION("""COMPUTED_VALUE"""),"SUMBAGUT")</f>
        <v>SUMBAGUT</v>
      </c>
      <c r="H2470" s="222" t="str">
        <f>IFERROR(__xludf.DUMMYFUNCTION("""COMPUTED_VALUE"""),"MEDAN")</f>
        <v>MEDAN</v>
      </c>
      <c r="I2470" s="222" t="str">
        <f>IFERROR(__xludf.DUMMYFUNCTION("""COMPUTED_VALUE"""),"Batch 3")</f>
        <v>Batch 3</v>
      </c>
      <c r="J2470" s="225">
        <f>IFERROR(__xludf.DUMMYFUNCTION("""COMPUTED_VALUE"""),2.0)</f>
        <v>2</v>
      </c>
      <c r="K2470" s="224">
        <f>IFERROR(__xludf.DUMMYFUNCTION("""COMPUTED_VALUE"""),16.0)</f>
        <v>16</v>
      </c>
      <c r="L2470" s="226">
        <f>IFERROR(__xludf.DUMMYFUNCTION("""COMPUTED_VALUE"""),782638.0)</f>
        <v>782638</v>
      </c>
      <c r="M2470" s="227">
        <f>IFERROR(__xludf.DUMMYFUNCTION("""COMPUTED_VALUE"""),1.2522204E7)</f>
        <v>12522204</v>
      </c>
      <c r="N2470" s="222" t="str">
        <f>IFERROR(__xludf.DUMMYFUNCTION("""COMPUTED_VALUE"""),"PT NIAGA NUSANTARA DIVA")</f>
        <v>PT NIAGA NUSANTARA DIVA</v>
      </c>
      <c r="O2470" s="222" t="str">
        <f>IFERROR(__xludf.DUMMYFUNCTION("""COMPUTED_VALUE"""),"0. DROP")</f>
        <v>0. DROP</v>
      </c>
      <c r="P2470" s="222" t="str">
        <f>IFERROR(__xludf.DUMMYFUNCTION("""COMPUTED_VALUE"""),"0.2 Tidak Dapat Izin Warga/Kades/Lurah/Developer")</f>
        <v>0.2 Tidak Dapat Izin Warga/Kades/Lurah/Developer</v>
      </c>
      <c r="Q2470" s="222" t="str">
        <f>IFERROR(__xludf.DUMMYFUNCTION("""COMPUTED_VALUE"""),"25/02 tidak dapat izin warga tanam tiang space tanam tiang di lahan warga
09/02 proses perizinan
29/01 feeder ok, dist ok")</f>
        <v>25/02 tidak dapat izin warga tanam tiang space tanam tiang di lahan warga
09/02 proses perizinan
29/01 feeder ok, dist ok</v>
      </c>
      <c r="R2470" s="228"/>
      <c r="S2470" s="11"/>
      <c r="T2470" s="11"/>
      <c r="U2470" s="11"/>
      <c r="V2470" s="229"/>
      <c r="W2470" s="229"/>
      <c r="X2470" s="229" t="str">
        <f>IFERROR(__xludf.DUMMYFUNCTION("""COMPUTED_VALUE"""),"BELUM GOLIVE")</f>
        <v>BELUM GOLIVE</v>
      </c>
      <c r="Y2470" s="229"/>
      <c r="Z2470" s="229" t="str">
        <f>IFERROR(__xludf.DUMMYFUNCTION("""COMPUTED_VALUE"""),"#N/A")</f>
        <v>#N/A</v>
      </c>
      <c r="AA2470" s="229"/>
      <c r="AB2470" s="229"/>
      <c r="AC2470" s="229"/>
      <c r="AD2470" s="232"/>
      <c r="AE2470" s="233"/>
      <c r="AF2470" s="54" t="str">
        <f>IFERROR(__xludf.DUMMYFUNCTION("""COMPUTED_VALUE"""),"Draft BA DROP")</f>
        <v>Draft BA DROP</v>
      </c>
      <c r="AG2470" s="54"/>
      <c r="AH2470" s="54"/>
      <c r="AI2470" s="55" t="str">
        <f t="shared" ref="AI2470:AI2473" si="232">IF(OR(R2470="",AE2470=""),"",R2470-AE2470)</f>
        <v/>
      </c>
      <c r="AW2470" s="234"/>
      <c r="BP2470" s="11"/>
      <c r="BQ2470" s="11"/>
      <c r="BV2470" s="158"/>
      <c r="BY2470" s="158"/>
      <c r="CB2470" s="158"/>
    </row>
    <row r="2471" ht="18.0" customHeight="1">
      <c r="A2471" s="222">
        <f>IFERROR(__xludf.DUMMYFUNCTION("""COMPUTED_VALUE"""),2026.0)</f>
        <v>2026</v>
      </c>
      <c r="B2471" s="221">
        <f>IFERROR(__xludf.DUMMYFUNCTION("""COMPUTED_VALUE"""),1.2671549E7)</f>
        <v>12671549</v>
      </c>
      <c r="C2471" s="222" t="str">
        <f>IFERROR(__xludf.DUMMYFUNCTION("""COMPUTED_VALUE"""),"SMB-PT3-ODC-SUM-FA-103652-103652-94588")</f>
        <v>SMB-PT3-ODC-SUM-FA-103652-103652-94588</v>
      </c>
      <c r="D2471" s="222" t="str">
        <f>IFERROR(__xludf.DUMMYFUNCTION("""COMPUTED_VALUE"""),"REGIONAL I")</f>
        <v>REGIONAL I</v>
      </c>
      <c r="E2471" s="222" t="str">
        <f>IFERROR(__xludf.DUMMYFUNCTION("""COMPUTED_VALUE"""),"SUMBAR")</f>
        <v>SUMBAR</v>
      </c>
      <c r="F2471" s="222" t="str">
        <f>IFERROR(__xludf.DUMMYFUNCTION("""COMPUTED_VALUE"""),"SUM")</f>
        <v>SUM</v>
      </c>
      <c r="G2471" s="222" t="str">
        <f>IFERROR(__xludf.DUMMYFUNCTION("""COMPUTED_VALUE"""),"SUMBAGTENG")</f>
        <v>SUMBAGTENG</v>
      </c>
      <c r="H2471" s="222" t="str">
        <f>IFERROR(__xludf.DUMMYFUNCTION("""COMPUTED_VALUE"""),"PADANG")</f>
        <v>PADANG</v>
      </c>
      <c r="I2471" s="222" t="str">
        <f>IFERROR(__xludf.DUMMYFUNCTION("""COMPUTED_VALUE"""),"Batch 3")</f>
        <v>Batch 3</v>
      </c>
      <c r="J2471" s="225">
        <f>IFERROR(__xludf.DUMMYFUNCTION("""COMPUTED_VALUE"""),6.0)</f>
        <v>6</v>
      </c>
      <c r="K2471" s="224">
        <f>IFERROR(__xludf.DUMMYFUNCTION("""COMPUTED_VALUE"""),48.0)</f>
        <v>48</v>
      </c>
      <c r="L2471" s="226">
        <f>IFERROR(__xludf.DUMMYFUNCTION("""COMPUTED_VALUE"""),780875.0)</f>
        <v>780875</v>
      </c>
      <c r="M2471" s="227">
        <f>IFERROR(__xludf.DUMMYFUNCTION("""COMPUTED_VALUE"""),3.7481961E7)</f>
        <v>37481961</v>
      </c>
      <c r="N2471" s="222" t="str">
        <f>IFERROR(__xludf.DUMMYFUNCTION("""COMPUTED_VALUE"""),"PT TRI PENAMAS")</f>
        <v>PT TRI PENAMAS</v>
      </c>
      <c r="O2471" s="222" t="str">
        <f>IFERROR(__xludf.DUMMYFUNCTION("""COMPUTED_VALUE"""),"8. UJI TERIMA")</f>
        <v>8. UJI TERIMA</v>
      </c>
      <c r="P2471" s="222" t="str">
        <f>IFERROR(__xludf.DUMMYFUNCTION("""COMPUTED_VALUE"""),"8.1 Proses UT")</f>
        <v>8.1 Proses UT</v>
      </c>
      <c r="Q2471" s="222" t="str">
        <f>IFERROR(__xludf.DUMMYFUNCTION("""COMPUTED_VALUE"""),"(18/02) ABD done ke SDI, Proses UT 18/02 (29/01) proses Tanam tiang  (21/01) proses CReate PID (07/01) Persiapan")</f>
        <v>(18/02) ABD done ke SDI, Proses UT 18/02 (29/01) proses Tanam tiang  (21/01) proses CReate PID (07/01) Persiapan</v>
      </c>
      <c r="R2471" s="228">
        <f>IFERROR(__xludf.DUMMYFUNCTION("""COMPUTED_VALUE"""),46064.0)</f>
        <v>46064</v>
      </c>
      <c r="S2471" s="11"/>
      <c r="T2471" s="11"/>
      <c r="U2471" s="11" t="str">
        <f>IFERROR(__xludf.DUMMYFUNCTION("""COMPUTED_VALUE"""),"TIF-2303/2026 26KT03R158-0022")</f>
        <v>TIF-2303/2026 26KT03R158-0022</v>
      </c>
      <c r="V2471" s="229" t="str">
        <f>IFERROR(__xludf.DUMMYFUNCTION("""COMPUTED_VALUE"""),"FABIO RAHMAN")</f>
        <v>FABIO RAHMAN</v>
      </c>
      <c r="W2471" s="229" t="str">
        <f>IFERROR(__xludf.DUMMYFUNCTION("""COMPUTED_VALUE"""),"MELKO NARWADI")</f>
        <v>MELKO NARWADI</v>
      </c>
      <c r="X2471" s="229" t="str">
        <f>IFERROR(__xludf.DUMMYFUNCTION("""COMPUTED_VALUE"""),"GOLIVE")</f>
        <v>GOLIVE</v>
      </c>
      <c r="Y2471" s="229" t="str">
        <f>IFERROR(__xludf.DUMMYFUNCTION("""COMPUTED_VALUE"""),"DONE")</f>
        <v>DONE</v>
      </c>
      <c r="Z2471" s="229" t="str">
        <f>IFERROR(__xludf.DUMMYFUNCTION("""COMPUTED_VALUE"""),"#N/A")</f>
        <v>#N/A</v>
      </c>
      <c r="AA2471" s="229">
        <f>IFERROR(__xludf.DUMMYFUNCTION("""COMPUTED_VALUE"""),8.0)</f>
        <v>8</v>
      </c>
      <c r="AB2471" s="229"/>
      <c r="AC2471" s="229" t="str">
        <f>IFERROR(__xludf.DUMMYFUNCTION("""COMPUTED_VALUE"""),"9116052#9116057")</f>
        <v>9116052#9116057</v>
      </c>
      <c r="AD2471" s="232">
        <f>IFERROR(__xludf.DUMMYFUNCTION("""COMPUTED_VALUE"""),64.0)</f>
        <v>64</v>
      </c>
      <c r="AE2471" s="233">
        <f>IFERROR(__xludf.DUMMYFUNCTION("""COMPUTED_VALUE"""),46071.0)</f>
        <v>46071</v>
      </c>
      <c r="AF2471" s="54"/>
      <c r="AG2471" s="54"/>
      <c r="AH2471" s="54">
        <v>46064.0</v>
      </c>
      <c r="AI2471" s="55">
        <f t="shared" si="232"/>
        <v>-7</v>
      </c>
      <c r="AW2471" s="234"/>
      <c r="BP2471" s="11"/>
      <c r="BQ2471" s="11"/>
      <c r="BV2471" s="158"/>
      <c r="BY2471" s="158"/>
      <c r="CB2471" s="158"/>
    </row>
    <row r="2472" ht="18.0" hidden="1" customHeight="1">
      <c r="A2472" s="222">
        <f>IFERROR(__xludf.DUMMYFUNCTION("""COMPUTED_VALUE"""),2026.0)</f>
        <v>2026</v>
      </c>
      <c r="B2472" s="221">
        <f>IFERROR(__xludf.DUMMYFUNCTION("""COMPUTED_VALUE"""),1.1843199E7)</f>
        <v>11843199</v>
      </c>
      <c r="C2472" s="222" t="str">
        <f>IFERROR(__xludf.DUMMYFUNCTION("""COMPUTED_VALUE"""),"MDN PT3 CTD-FBP GG.RIDHO_MD25")</f>
        <v>MDN PT3 CTD-FBP GG.RIDHO_MD25</v>
      </c>
      <c r="D2472" s="222" t="str">
        <f>IFERROR(__xludf.DUMMYFUNCTION("""COMPUTED_VALUE"""),"REGIONAL I")</f>
        <v>REGIONAL I</v>
      </c>
      <c r="E2472" s="222" t="str">
        <f>IFERROR(__xludf.DUMMYFUNCTION("""COMPUTED_VALUE"""),"MEDAN")</f>
        <v>MEDAN</v>
      </c>
      <c r="F2472" s="222" t="str">
        <f>IFERROR(__xludf.DUMMYFUNCTION("""COMPUTED_VALUE"""),"CTD")</f>
        <v>CTD</v>
      </c>
      <c r="G2472" s="222" t="str">
        <f>IFERROR(__xludf.DUMMYFUNCTION("""COMPUTED_VALUE"""),"SUMBAGUT")</f>
        <v>SUMBAGUT</v>
      </c>
      <c r="H2472" s="222" t="str">
        <f>IFERROR(__xludf.DUMMYFUNCTION("""COMPUTED_VALUE"""),"MEDAN")</f>
        <v>MEDAN</v>
      </c>
      <c r="I2472" s="222" t="str">
        <f>IFERROR(__xludf.DUMMYFUNCTION("""COMPUTED_VALUE"""),"Batch 3")</f>
        <v>Batch 3</v>
      </c>
      <c r="J2472" s="225">
        <f>IFERROR(__xludf.DUMMYFUNCTION("""COMPUTED_VALUE"""),3.0)</f>
        <v>3</v>
      </c>
      <c r="K2472" s="224">
        <f>IFERROR(__xludf.DUMMYFUNCTION("""COMPUTED_VALUE"""),24.0)</f>
        <v>24</v>
      </c>
      <c r="L2472" s="226">
        <f>IFERROR(__xludf.DUMMYFUNCTION("""COMPUTED_VALUE"""),778473.0)</f>
        <v>778473</v>
      </c>
      <c r="M2472" s="227">
        <f>IFERROR(__xludf.DUMMYFUNCTION("""COMPUTED_VALUE"""),1.8683343E7)</f>
        <v>18683343</v>
      </c>
      <c r="N2472" s="222" t="str">
        <f>IFERROR(__xludf.DUMMYFUNCTION("""COMPUTED_VALUE"""),"SWAKELOLA")</f>
        <v>SWAKELOLA</v>
      </c>
      <c r="O2472" s="222" t="str">
        <f>IFERROR(__xludf.DUMMYFUNCTION("""COMPUTED_VALUE"""),"2. DONE AANWIJZING")</f>
        <v>2. DONE AANWIJZING</v>
      </c>
      <c r="P2472" s="222" t="str">
        <f>IFERROR(__xludf.DUMMYFUNCTION("""COMPUTED_VALUE"""),"2.10 Kendala - Feeder Rusak")</f>
        <v>2.10 Kendala - Feeder Rusak</v>
      </c>
      <c r="Q2472" s="222" t="str">
        <f>IFERROR(__xludf.DUMMYFUNCTION("""COMPUTED_VALUE"""),"22/04 pengecekan tipus butuh QE
04/02 Feeder Redti")</f>
        <v>22/04 pengecekan tipus butuh QE
04/02 Feeder Redti</v>
      </c>
      <c r="R2472" s="228"/>
      <c r="S2472" s="11"/>
      <c r="T2472" s="11"/>
      <c r="U2472" s="11"/>
      <c r="V2472" s="229"/>
      <c r="W2472" s="229"/>
      <c r="X2472" s="229" t="str">
        <f>IFERROR(__xludf.DUMMYFUNCTION("""COMPUTED_VALUE"""),"BELUM GOLIVE")</f>
        <v>BELUM GOLIVE</v>
      </c>
      <c r="Y2472" s="229"/>
      <c r="Z2472" s="229" t="str">
        <f>IFERROR(__xludf.DUMMYFUNCTION("""COMPUTED_VALUE"""),"#N/A")</f>
        <v>#N/A</v>
      </c>
      <c r="AA2472" s="229"/>
      <c r="AB2472" s="229"/>
      <c r="AC2472" s="229"/>
      <c r="AD2472" s="232"/>
      <c r="AE2472" s="233"/>
      <c r="AF2472" s="54"/>
      <c r="AG2472" s="54"/>
      <c r="AH2472" s="54"/>
      <c r="AI2472" s="55" t="str">
        <f t="shared" si="232"/>
        <v/>
      </c>
      <c r="AW2472" s="234"/>
      <c r="BP2472" s="11"/>
      <c r="BQ2472" s="11"/>
      <c r="BV2472" s="158"/>
      <c r="BY2472" s="158"/>
      <c r="CB2472" s="158"/>
    </row>
    <row r="2473" ht="18.0" hidden="1" customHeight="1">
      <c r="A2473" s="222">
        <f>IFERROR(__xludf.DUMMYFUNCTION("""COMPUTED_VALUE"""),2026.0)</f>
        <v>2026</v>
      </c>
      <c r="B2473" s="221">
        <f>IFERROR(__xludf.DUMMYFUNCTION("""COMPUTED_VALUE"""),1.2383954E7)</f>
        <v>12383954</v>
      </c>
      <c r="C2473" s="222" t="str">
        <f>IFERROR(__xludf.DUMMYFUNCTION("""COMPUTED_VALUE"""),"ACH PT3 LGS-FZ D06 MATANG SETUI 2")</f>
        <v>ACH PT3 LGS-FZ D06 MATANG SETUI 2</v>
      </c>
      <c r="D2473" s="222" t="str">
        <f>IFERROR(__xludf.DUMMYFUNCTION("""COMPUTED_VALUE"""),"REGIONAL I")</f>
        <v>REGIONAL I</v>
      </c>
      <c r="E2473" s="222" t="str">
        <f>IFERROR(__xludf.DUMMYFUNCTION("""COMPUTED_VALUE"""),"ACEH")</f>
        <v>ACEH</v>
      </c>
      <c r="F2473" s="222" t="str">
        <f>IFERROR(__xludf.DUMMYFUNCTION("""COMPUTED_VALUE"""),"LGS")</f>
        <v>LGS</v>
      </c>
      <c r="G2473" s="222" t="str">
        <f>IFERROR(__xludf.DUMMYFUNCTION("""COMPUTED_VALUE"""),"SUMBAGUT")</f>
        <v>SUMBAGUT</v>
      </c>
      <c r="H2473" s="222" t="str">
        <f>IFERROR(__xludf.DUMMYFUNCTION("""COMPUTED_VALUE"""),"BINJAI")</f>
        <v>BINJAI</v>
      </c>
      <c r="I2473" s="222" t="str">
        <f>IFERROR(__xludf.DUMMYFUNCTION("""COMPUTED_VALUE"""),"Batch 3")</f>
        <v>Batch 3</v>
      </c>
      <c r="J2473" s="225">
        <f>IFERROR(__xludf.DUMMYFUNCTION("""COMPUTED_VALUE"""),8.0)</f>
        <v>8</v>
      </c>
      <c r="K2473" s="224">
        <f>IFERROR(__xludf.DUMMYFUNCTION("""COMPUTED_VALUE"""),64.0)</f>
        <v>64</v>
      </c>
      <c r="L2473" s="226">
        <f>IFERROR(__xludf.DUMMYFUNCTION("""COMPUTED_VALUE"""),777318.0)</f>
        <v>777318</v>
      </c>
      <c r="M2473" s="227">
        <f>IFERROR(__xludf.DUMMYFUNCTION("""COMPUTED_VALUE"""),4.9748327E7)</f>
        <v>49748327</v>
      </c>
      <c r="N2473" s="222" t="str">
        <f>IFERROR(__xludf.DUMMYFUNCTION("""COMPUTED_VALUE"""),"PT NURISA JAYA PERKASA")</f>
        <v>PT NURISA JAYA PERKASA</v>
      </c>
      <c r="O2473" s="222" t="str">
        <f>IFERROR(__xludf.DUMMYFUNCTION("""COMPUTED_VALUE"""),"7. GOLIVE")</f>
        <v>7. GOLIVE</v>
      </c>
      <c r="P2473" s="222" t="str">
        <f>IFERROR(__xludf.DUMMYFUNCTION("""COMPUTED_VALUE"""),"7.2 Golive Full / OA / DONE OTB")</f>
        <v>7.2 Golive Full / OA / DONE OTB</v>
      </c>
      <c r="Q2473" s="222" t="str">
        <f>IFERROR(__xludf.DUMMYFUNCTION("""COMPUTED_VALUE"""),"(11/02)pgl (10/02) Validasi ABD Mancore (30/01) proses ABD MANCORE  (21/01) Tanam Tiang (18/01) Persiapan ")</f>
        <v>(11/02)pgl (10/02) Validasi ABD Mancore (30/01) proses ABD MANCORE  (21/01) Tanam Tiang (18/01) Persiapan </v>
      </c>
      <c r="R2473" s="228">
        <f>IFERROR(__xludf.DUMMYFUNCTION("""COMPUTED_VALUE"""),46066.0)</f>
        <v>46066</v>
      </c>
      <c r="S2473" s="11"/>
      <c r="T2473" s="11"/>
      <c r="U2473" s="11"/>
      <c r="V2473" s="229"/>
      <c r="W2473" s="229"/>
      <c r="X2473" s="229" t="str">
        <f>IFERROR(__xludf.DUMMYFUNCTION("""COMPUTED_VALUE"""),"GOLIVE")</f>
        <v>GOLIVE</v>
      </c>
      <c r="Y2473" s="229" t="str">
        <f>IFERROR(__xludf.DUMMYFUNCTION("""COMPUTED_VALUE"""),"DONE")</f>
        <v>DONE</v>
      </c>
      <c r="Z2473" s="229" t="str">
        <f>IFERROR(__xludf.DUMMYFUNCTION("""COMPUTED_VALUE"""),"#N/A")</f>
        <v>#N/A</v>
      </c>
      <c r="AA2473" s="229">
        <f>IFERROR(__xludf.DUMMYFUNCTION("""COMPUTED_VALUE"""),8.0)</f>
        <v>8</v>
      </c>
      <c r="AB2473" s="229"/>
      <c r="AC2473" s="229" t="str">
        <f>IFERROR(__xludf.DUMMYFUNCTION("""COMPUTED_VALUE"""),"9105292#9105297")</f>
        <v>9105292#9105297</v>
      </c>
      <c r="AD2473" s="232">
        <f>IFERROR(__xludf.DUMMYFUNCTION("""COMPUTED_VALUE"""),64.0)</f>
        <v>64</v>
      </c>
      <c r="AE2473" s="233">
        <f>IFERROR(__xludf.DUMMYFUNCTION("""COMPUTED_VALUE"""),46066.0)</f>
        <v>46066</v>
      </c>
      <c r="AF2473" s="54"/>
      <c r="AG2473" s="54"/>
      <c r="AH2473" s="54">
        <v>46066.0</v>
      </c>
      <c r="AI2473" s="55">
        <f t="shared" si="232"/>
        <v>0</v>
      </c>
      <c r="AW2473" s="234"/>
      <c r="BP2473" s="11"/>
      <c r="BQ2473" s="11"/>
      <c r="BV2473" s="158"/>
      <c r="BY2473" s="158"/>
      <c r="CB2473" s="158"/>
    </row>
    <row r="2474" ht="18.0" hidden="1" customHeight="1">
      <c r="A2474" s="222">
        <f>IFERROR(__xludf.DUMMYFUNCTION("""COMPUTED_VALUE"""),2026.0)</f>
        <v>2026</v>
      </c>
      <c r="B2474" s="221">
        <f>IFERROR(__xludf.DUMMYFUNCTION("""COMPUTED_VALUE"""),1.1483796E7)</f>
        <v>11483796</v>
      </c>
      <c r="C2474" s="222" t="str">
        <f>IFERROR(__xludf.DUMMYFUNCTION("""COMPUTED_VALUE"""),"ACH PT3 LGS-FT PAYA BUJUK TUNONG")</f>
        <v>ACH PT3 LGS-FT PAYA BUJUK TUNONG</v>
      </c>
      <c r="D2474" s="222" t="str">
        <f>IFERROR(__xludf.DUMMYFUNCTION("""COMPUTED_VALUE"""),"REGIONAL I")</f>
        <v>REGIONAL I</v>
      </c>
      <c r="E2474" s="222" t="str">
        <f>IFERROR(__xludf.DUMMYFUNCTION("""COMPUTED_VALUE"""),"ACEH")</f>
        <v>ACEH</v>
      </c>
      <c r="F2474" s="222" t="str">
        <f>IFERROR(__xludf.DUMMYFUNCTION("""COMPUTED_VALUE"""),"LGS")</f>
        <v>LGS</v>
      </c>
      <c r="G2474" s="222" t="str">
        <f>IFERROR(__xludf.DUMMYFUNCTION("""COMPUTED_VALUE"""),"SUMBAGUT")</f>
        <v>SUMBAGUT</v>
      </c>
      <c r="H2474" s="222" t="str">
        <f>IFERROR(__xludf.DUMMYFUNCTION("""COMPUTED_VALUE"""),"BINJAI")</f>
        <v>BINJAI</v>
      </c>
      <c r="I2474" s="222" t="str">
        <f>IFERROR(__xludf.DUMMYFUNCTION("""COMPUTED_VALUE"""),"Batch 3")</f>
        <v>Batch 3</v>
      </c>
      <c r="J2474" s="225">
        <f>IFERROR(__xludf.DUMMYFUNCTION("""COMPUTED_VALUE"""),10.0)</f>
        <v>10</v>
      </c>
      <c r="K2474" s="224">
        <f>IFERROR(__xludf.DUMMYFUNCTION("""COMPUTED_VALUE"""),80.0)</f>
        <v>80</v>
      </c>
      <c r="L2474" s="226">
        <f>IFERROR(__xludf.DUMMYFUNCTION("""COMPUTED_VALUE"""),956015.0)</f>
        <v>956015</v>
      </c>
      <c r="M2474" s="227">
        <f>IFERROR(__xludf.DUMMYFUNCTION("""COMPUTED_VALUE"""),7.6481137E7)</f>
        <v>76481137</v>
      </c>
      <c r="N2474" s="222" t="str">
        <f>IFERROR(__xludf.DUMMYFUNCTION("""COMPUTED_VALUE"""),"PT NURISA JAYA PERKASA")</f>
        <v>PT NURISA JAYA PERKASA</v>
      </c>
      <c r="O2474" s="222" t="str">
        <f>IFERROR(__xludf.DUMMYFUNCTION("""COMPUTED_VALUE"""),"7. GOLIVE")</f>
        <v>7. GOLIVE</v>
      </c>
      <c r="P2474" s="222" t="str">
        <f>IFERROR(__xludf.DUMMYFUNCTION("""COMPUTED_VALUE"""),"7.2 Golive Full / OA / DONE OTB")</f>
        <v>7.2 Golive Full / OA / DONE OTB</v>
      </c>
      <c r="Q2474" s="222" t="str">
        <f>IFERROR(__xludf.DUMMYFUNCTION("""COMPUTED_VALUE"""),"(11/02)pgl (09/02) ABD Mancore (22/01) Selesai Fisiki, waiting Big OLT STO LGS")</f>
        <v>(11/02)pgl (09/02) ABD Mancore (22/01) Selesai Fisiki, waiting Big OLT STO LGS</v>
      </c>
      <c r="R2474" s="228">
        <f>IFERROR(__xludf.DUMMYFUNCTION("""COMPUTED_VALUE"""),46065.0)</f>
        <v>46065</v>
      </c>
      <c r="S2474" s="11"/>
      <c r="T2474" s="11"/>
      <c r="U2474" s="11"/>
      <c r="V2474" s="229"/>
      <c r="W2474" s="229"/>
      <c r="X2474" s="229" t="str">
        <f>IFERROR(__xludf.DUMMYFUNCTION("""COMPUTED_VALUE"""),"GOLIVE")</f>
        <v>GOLIVE</v>
      </c>
      <c r="Y2474" s="229" t="str">
        <f>IFERROR(__xludf.DUMMYFUNCTION("""COMPUTED_VALUE"""),"DONE")</f>
        <v>DONE</v>
      </c>
      <c r="Z2474" s="229" t="str">
        <f>IFERROR(__xludf.DUMMYFUNCTION("""COMPUTED_VALUE"""),"#N/A")</f>
        <v>#N/A</v>
      </c>
      <c r="AA2474" s="229">
        <f>IFERROR(__xludf.DUMMYFUNCTION("""COMPUTED_VALUE"""),10.0)</f>
        <v>10</v>
      </c>
      <c r="AB2474" s="229"/>
      <c r="AC2474" s="229" t="str">
        <f>IFERROR(__xludf.DUMMYFUNCTION("""COMPUTED_VALUE"""),"9097538#9097543")</f>
        <v>9097538#9097543</v>
      </c>
      <c r="AD2474" s="232">
        <f>IFERROR(__xludf.DUMMYFUNCTION("""COMPUTED_VALUE"""),80.0)</f>
        <v>80</v>
      </c>
      <c r="AE2474" s="233">
        <f>IFERROR(__xludf.DUMMYFUNCTION("""COMPUTED_VALUE"""),46065.0)</f>
        <v>46065</v>
      </c>
      <c r="AF2474" s="54"/>
      <c r="AG2474" s="54"/>
      <c r="AH2474" s="54">
        <v>46136.0</v>
      </c>
      <c r="AI2474" s="237">
        <f t="shared" ref="AI2474:AI2476" si="233">AH2474-NOW()</f>
        <v>-4.377989954</v>
      </c>
      <c r="AJ2474" s="229" t="str">
        <f t="shared" ref="AJ2474:AJ2476" si="234">if(AI2474&gt;=0,"In Komitmen","Out Komitmen")</f>
        <v>Out Komitmen</v>
      </c>
      <c r="AK2474" s="229" t="e">
        <v>#N/A</v>
      </c>
      <c r="AW2474" s="234"/>
      <c r="BP2474" s="11"/>
      <c r="BQ2474" s="11"/>
      <c r="BV2474" s="158"/>
      <c r="BY2474" s="158"/>
      <c r="CB2474" s="158"/>
    </row>
    <row r="2475" ht="18.0" customHeight="1">
      <c r="A2475" s="222">
        <f>IFERROR(__xludf.DUMMYFUNCTION("""COMPUTED_VALUE"""),2026.0)</f>
        <v>2026</v>
      </c>
      <c r="B2475" s="221">
        <f>IFERROR(__xludf.DUMMYFUNCTION("""COMPUTED_VALUE"""),1.2036733E7)</f>
        <v>12036733</v>
      </c>
      <c r="C2475" s="222" t="str">
        <f>IFERROR(__xludf.DUMMYFUNCTION("""COMPUTED_VALUE"""),"RDR JPP PT3 KAMPAR_64178")</f>
        <v>RDR JPP PT3 KAMPAR_64178</v>
      </c>
      <c r="D2475" s="222" t="str">
        <f>IFERROR(__xludf.DUMMYFUNCTION("""COMPUTED_VALUE"""),"REGIONAL I")</f>
        <v>REGIONAL I</v>
      </c>
      <c r="E2475" s="222" t="str">
        <f>IFERROR(__xludf.DUMMYFUNCTION("""COMPUTED_VALUE"""),"RIDAR")</f>
        <v>RIDAR</v>
      </c>
      <c r="F2475" s="222" t="str">
        <f>IFERROR(__xludf.DUMMYFUNCTION("""COMPUTED_VALUE"""),"ARK")</f>
        <v>ARK</v>
      </c>
      <c r="G2475" s="222" t="str">
        <f>IFERROR(__xludf.DUMMYFUNCTION("""COMPUTED_VALUE"""),"SUMBAGTENG")</f>
        <v>SUMBAGTENG</v>
      </c>
      <c r="H2475" s="222" t="str">
        <f>IFERROR(__xludf.DUMMYFUNCTION("""COMPUTED_VALUE"""),"PEKANBARU")</f>
        <v>PEKANBARU</v>
      </c>
      <c r="I2475" s="222" t="str">
        <f>IFERROR(__xludf.DUMMYFUNCTION("""COMPUTED_VALUE"""),"Batch 3")</f>
        <v>Batch 3</v>
      </c>
      <c r="J2475" s="225">
        <f>IFERROR(__xludf.DUMMYFUNCTION("""COMPUTED_VALUE"""),20.0)</f>
        <v>20</v>
      </c>
      <c r="K2475" s="224">
        <f>IFERROR(__xludf.DUMMYFUNCTION("""COMPUTED_VALUE"""),160.0)</f>
        <v>160</v>
      </c>
      <c r="L2475" s="226">
        <f>IFERROR(__xludf.DUMMYFUNCTION("""COMPUTED_VALUE"""),764832.0)</f>
        <v>764832</v>
      </c>
      <c r="M2475" s="227">
        <f>IFERROR(__xludf.DUMMYFUNCTION("""COMPUTED_VALUE"""),1.22372993E8)</f>
        <v>122372993</v>
      </c>
      <c r="N2475" s="222" t="str">
        <f>IFERROR(__xludf.DUMMYFUNCTION("""COMPUTED_VALUE"""),"PT UPAYA TEKNIK")</f>
        <v>PT UPAYA TEKNIK</v>
      </c>
      <c r="O2475" s="222" t="str">
        <f>IFERROR(__xludf.DUMMYFUNCTION("""COMPUTED_VALUE"""),"5. INSTALASI")</f>
        <v>5. INSTALASI</v>
      </c>
      <c r="P2475" s="222" t="str">
        <f>IFERROR(__xludf.DUMMYFUNCTION("""COMPUTED_VALUE"""),"5.5 Proses Penanaman Tiang - Paralel Comcase/Perjinan PU")</f>
        <v>5.5 Proses Penanaman Tiang - Paralel Comcase/Perjinan PU</v>
      </c>
      <c r="Q2475" s="222" t="str">
        <f>IFERROR(__xludf.DUMMYFUNCTION("""COMPUTED_VALUE"""),"20/04 Proses negosiasi perihal comcase dengan RT dan Warga 27/03 Penanaman tiang terhenti karena comcase dari Warga dan ketua lingkungan setempat ( Meminta lampu jalan 15pcs dan semen utk pembuatan gorong2 ) 16/03 Proses negosiasi comcase dengan warga dan"&amp;" RT/RW 09/03 Pekerjaan di stop oleh warga, warga meminta pengadaan lampu jalan utk 3 perumahan 05/03 Penarikan kabel 23/02 Penanaman tiang 09/02 Antrian Review 29/01 Antrian review hasil anwidzing ")</f>
        <v>20/04 Proses negosiasi perihal comcase dengan RT dan Warga 27/03 Penanaman tiang terhenti karena comcase dari Warga dan ketua lingkungan setempat ( Meminta lampu jalan 15pcs dan semen utk pembuatan gorong2 ) 16/03 Proses negosiasi comcase dengan warga dan RT/RW 09/03 Pekerjaan di stop oleh warga, warga meminta pengadaan lampu jalan utk 3 perumahan 05/03 Penarikan kabel 23/02 Penanaman tiang 09/02 Antrian Review 29/01 Antrian review hasil anwidzing </v>
      </c>
      <c r="R2475" s="228"/>
      <c r="S2475" s="11"/>
      <c r="T2475" s="11"/>
      <c r="U2475" s="11" t="str">
        <f>IFERROR(__xludf.DUMMYFUNCTION("""COMPUTED_VALUE"""),"TIF-2691/2026")</f>
        <v>TIF-2691/2026</v>
      </c>
      <c r="V2475" s="229" t="str">
        <f>IFERROR(__xludf.DUMMYFUNCTION("""COMPUTED_VALUE"""),"GUSKAR DIYONAL")</f>
        <v>GUSKAR DIYONAL</v>
      </c>
      <c r="W2475" s="229" t="str">
        <f>IFERROR(__xludf.DUMMYFUNCTION("""COMPUTED_VALUE"""),"ANZALA SAKINAH")</f>
        <v>ANZALA SAKINAH</v>
      </c>
      <c r="X2475" s="229"/>
      <c r="Y2475" s="229"/>
      <c r="Z2475" s="229" t="str">
        <f>IFERROR(__xludf.DUMMYFUNCTION("""COMPUTED_VALUE"""),"#N/A")</f>
        <v>#N/A</v>
      </c>
      <c r="AA2475" s="229"/>
      <c r="AB2475" s="229"/>
      <c r="AC2475" s="229"/>
      <c r="AD2475" s="232"/>
      <c r="AE2475" s="233"/>
      <c r="AF2475" s="54"/>
      <c r="AG2475" s="54"/>
      <c r="AH2475" s="54">
        <v>46137.0</v>
      </c>
      <c r="AI2475" s="237">
        <f t="shared" si="233"/>
        <v>-3.377989954</v>
      </c>
      <c r="AJ2475" s="229" t="str">
        <f t="shared" si="234"/>
        <v>Out Komitmen</v>
      </c>
      <c r="AW2475" s="234"/>
      <c r="BP2475" s="11"/>
      <c r="BQ2475" s="11"/>
      <c r="BV2475" s="158"/>
      <c r="BY2475" s="158"/>
      <c r="CB2475" s="158"/>
    </row>
    <row r="2476" ht="18.0" customHeight="1">
      <c r="A2476" s="222">
        <f>IFERROR(__xludf.DUMMYFUNCTION("""COMPUTED_VALUE"""),2026.0)</f>
        <v>2026</v>
      </c>
      <c r="B2476" s="221">
        <f>IFERROR(__xludf.DUMMYFUNCTION("""COMPUTED_VALUE"""),1.2557818E7)</f>
        <v>12557818</v>
      </c>
      <c r="C2476" s="222" t="str">
        <f>IFERROR(__xludf.DUMMYFUNCTION("""COMPUTED_VALUE"""),"RKP TSEL PT3 TUB-FC 250_476_4123")</f>
        <v>RKP TSEL PT3 TUB-FC 250_476_4123</v>
      </c>
      <c r="D2476" s="222" t="str">
        <f>IFERROR(__xludf.DUMMYFUNCTION("""COMPUTED_VALUE"""),"REGIONAL I")</f>
        <v>REGIONAL I</v>
      </c>
      <c r="E2476" s="222" t="str">
        <f>IFERROR(__xludf.DUMMYFUNCTION("""COMPUTED_VALUE"""),"RIKEP")</f>
        <v>RIKEP</v>
      </c>
      <c r="F2476" s="222" t="str">
        <f>IFERROR(__xludf.DUMMYFUNCTION("""COMPUTED_VALUE"""),"TUB")</f>
        <v>TUB</v>
      </c>
      <c r="G2476" s="222" t="str">
        <f>IFERROR(__xludf.DUMMYFUNCTION("""COMPUTED_VALUE"""),"SUMBAGTENG")</f>
        <v>SUMBAGTENG</v>
      </c>
      <c r="H2476" s="222" t="str">
        <f>IFERROR(__xludf.DUMMYFUNCTION("""COMPUTED_VALUE"""),"BATAM")</f>
        <v>BATAM</v>
      </c>
      <c r="I2476" s="222" t="str">
        <f>IFERROR(__xludf.DUMMYFUNCTION("""COMPUTED_VALUE"""),"Batch 3")</f>
        <v>Batch 3</v>
      </c>
      <c r="J2476" s="225">
        <f>IFERROR(__xludf.DUMMYFUNCTION("""COMPUTED_VALUE"""),6.0)</f>
        <v>6</v>
      </c>
      <c r="K2476" s="224">
        <f>IFERROR(__xludf.DUMMYFUNCTION("""COMPUTED_VALUE"""),48.0)</f>
        <v>48</v>
      </c>
      <c r="L2476" s="226">
        <f>IFERROR(__xludf.DUMMYFUNCTION("""COMPUTED_VALUE"""),759202.0)</f>
        <v>759202</v>
      </c>
      <c r="M2476" s="227">
        <f>IFERROR(__xludf.DUMMYFUNCTION("""COMPUTED_VALUE"""),3.6441688E7)</f>
        <v>36441688</v>
      </c>
      <c r="N2476" s="222" t="str">
        <f>IFERROR(__xludf.DUMMYFUNCTION("""COMPUTED_VALUE"""),"PT SALTTEK DUMPANG JAYA")</f>
        <v>PT SALTTEK DUMPANG JAYA</v>
      </c>
      <c r="O2476" s="222" t="str">
        <f>IFERROR(__xludf.DUMMYFUNCTION("""COMPUTED_VALUE"""),"5. INSTALASI")</f>
        <v>5. INSTALASI</v>
      </c>
      <c r="P2476" s="222" t="str">
        <f>IFERROR(__xludf.DUMMYFUNCTION("""COMPUTED_VALUE"""),"5.6 Proses Penarikan Kabel")</f>
        <v>5.6 Proses Penarikan Kabel</v>
      </c>
      <c r="Q2476" s="222" t="str">
        <f>IFERROR(__xludf.DUMMYFUNCTION("""COMPUTED_VALUE"""),"24/04 Penarikan KU, plan FI tanggal 27 apr, GL 28 April.
 21/04 Material kabel PO belum sampai di WH.
20/04 Tim serial, masih progres di LOP tanjung pinang, plan naik ke uban dalam minggu ini. 
17/04  LOP Serial di pulau tanjung uban. Plan installasi tgl "&amp;"16 Mei, Plan GL 23 Mei.04/03 OGP REQ MATERIAL
12/02 MP Terbatas di pulau tanjung pinang, tidak bisa komit sampai bulan maret. 09/02 plan anwijzing minggu ini, PIC mitra paralel progres installasi.04/02 Plan survey minggu depan. 23/01 Plan anwijzing 26 Jan"&amp;", Order Baru. 22/01 Order baru, proses penunjukan mitra
05/03 MP Terbatas di pulau tanjung pinang,  plan anwijzing tgl 06/03 ")</f>
        <v>24/04 Penarikan KU, plan FI tanggal 27 apr, GL 28 April.
 21/04 Material kabel PO belum sampai di WH.
20/04 Tim serial, masih progres di LOP tanjung pinang, plan naik ke uban dalam minggu ini. 
17/04  LOP Serial di pulau tanjung uban. Plan installasi tgl 16 Mei, Plan GL 23 Mei.04/03 OGP REQ MATERIAL
12/02 MP Terbatas di pulau tanjung pinang, tidak bisa komit sampai bulan maret. 09/02 plan anwijzing minggu ini, PIC mitra paralel progres installasi.04/02 Plan survey minggu depan. 23/01 Plan anwijzing 26 Jan, Order Baru. 22/01 Order baru, proses penunjukan mitra
05/03 MP Terbatas di pulau tanjung pinang,  plan anwijzing tgl 06/03 </v>
      </c>
      <c r="R2476" s="228"/>
      <c r="S2476" s="11"/>
      <c r="T2476" s="73"/>
      <c r="U2476" s="11" t="str">
        <f>IFERROR(__xludf.DUMMYFUNCTION("""COMPUTED_VALUE"""),"W09-220/2026")</f>
        <v>W09-220/2026</v>
      </c>
      <c r="V2476" s="229" t="str">
        <f>IFERROR(__xludf.DUMMYFUNCTION("""COMPUTED_VALUE"""),"DEDY IRAWAN")</f>
        <v>DEDY IRAWAN</v>
      </c>
      <c r="W2476" s="229" t="str">
        <f>IFERROR(__xludf.DUMMYFUNCTION("""COMPUTED_VALUE"""),"LEVITA INDRIYANI")</f>
        <v>LEVITA INDRIYANI</v>
      </c>
      <c r="X2476" s="229"/>
      <c r="Y2476" s="229"/>
      <c r="Z2476" s="229" t="str">
        <f>IFERROR(__xludf.DUMMYFUNCTION("""COMPUTED_VALUE"""),"#N/A")</f>
        <v>#N/A</v>
      </c>
      <c r="AA2476" s="229"/>
      <c r="AB2476" s="229"/>
      <c r="AC2476" s="229"/>
      <c r="AD2476" s="232"/>
      <c r="AE2476" s="233"/>
      <c r="AF2476" s="54"/>
      <c r="AG2476" s="54"/>
      <c r="AH2476" s="54">
        <v>46133.0</v>
      </c>
      <c r="AI2476" s="237">
        <f t="shared" si="233"/>
        <v>-7.377989954</v>
      </c>
      <c r="AJ2476" s="229" t="str">
        <f t="shared" si="234"/>
        <v>Out Komitmen</v>
      </c>
      <c r="AK2476" s="231" t="s">
        <v>199</v>
      </c>
      <c r="AW2476" s="234"/>
      <c r="BP2476" s="11"/>
      <c r="BQ2476" s="11"/>
      <c r="BV2476" s="158"/>
      <c r="BY2476" s="158"/>
      <c r="CB2476" s="158"/>
    </row>
    <row r="2477" ht="18.0" customHeight="1">
      <c r="A2477" s="222">
        <f>IFERROR(__xludf.DUMMYFUNCTION("""COMPUTED_VALUE"""),2026.0)</f>
        <v>2026</v>
      </c>
      <c r="B2477" s="221">
        <f>IFERROR(__xludf.DUMMYFUNCTION("""COMPUTED_VALUE"""),1.255046E7)</f>
        <v>12550460</v>
      </c>
      <c r="C2477" s="222" t="str">
        <f>IFERROR(__xludf.DUMMYFUNCTION("""COMPUTED_VALUE"""),"RKP TSEL PT3 KMS-FU 250_429_4261")</f>
        <v>RKP TSEL PT3 KMS-FU 250_429_4261</v>
      </c>
      <c r="D2477" s="222" t="str">
        <f>IFERROR(__xludf.DUMMYFUNCTION("""COMPUTED_VALUE"""),"REGIONAL I")</f>
        <v>REGIONAL I</v>
      </c>
      <c r="E2477" s="222" t="str">
        <f>IFERROR(__xludf.DUMMYFUNCTION("""COMPUTED_VALUE"""),"RIKEP")</f>
        <v>RIKEP</v>
      </c>
      <c r="F2477" s="222" t="str">
        <f>IFERROR(__xludf.DUMMYFUNCTION("""COMPUTED_VALUE"""),"KMS")</f>
        <v>KMS</v>
      </c>
      <c r="G2477" s="222" t="str">
        <f>IFERROR(__xludf.DUMMYFUNCTION("""COMPUTED_VALUE"""),"SUMBAGTENG")</f>
        <v>SUMBAGTENG</v>
      </c>
      <c r="H2477" s="222" t="str">
        <f>IFERROR(__xludf.DUMMYFUNCTION("""COMPUTED_VALUE"""),"BATAM")</f>
        <v>BATAM</v>
      </c>
      <c r="I2477" s="222" t="str">
        <f>IFERROR(__xludf.DUMMYFUNCTION("""COMPUTED_VALUE"""),"Batch 3")</f>
        <v>Batch 3</v>
      </c>
      <c r="J2477" s="225">
        <f>IFERROR(__xludf.DUMMYFUNCTION("""COMPUTED_VALUE"""),2.0)</f>
        <v>2</v>
      </c>
      <c r="K2477" s="224">
        <f>IFERROR(__xludf.DUMMYFUNCTION("""COMPUTED_VALUE"""),16.0)</f>
        <v>16</v>
      </c>
      <c r="L2477" s="226">
        <f>IFERROR(__xludf.DUMMYFUNCTION("""COMPUTED_VALUE"""),757644.0)</f>
        <v>757644</v>
      </c>
      <c r="M2477" s="227">
        <f>IFERROR(__xludf.DUMMYFUNCTION("""COMPUTED_VALUE"""),1.2122301E7)</f>
        <v>12122301</v>
      </c>
      <c r="N2477" s="222" t="str">
        <f>IFERROR(__xludf.DUMMYFUNCTION("""COMPUTED_VALUE"""),"PT SALTTEK DUMPANG JAYA")</f>
        <v>PT SALTTEK DUMPANG JAYA</v>
      </c>
      <c r="O2477" s="222" t="str">
        <f>IFERROR(__xludf.DUMMYFUNCTION("""COMPUTED_VALUE"""),"7. GOLIVE")</f>
        <v>7. GOLIVE</v>
      </c>
      <c r="P2477" s="222" t="str">
        <f>IFERROR(__xludf.DUMMYFUNCTION("""COMPUTED_VALUE"""),"7.2 Golive Full / OA / DONE OTB")</f>
        <v>7.2 Golive Full / OA / DONE OTB</v>
      </c>
      <c r="Q2477" s="222" t="str">
        <f>IFERROR(__xludf.DUMMYFUNCTION("""COMPUTED_VALUE"""),"20/04 ABD Mancore mitra blm submit.
17/04 Terminasi ODP. 15/04 Penarikan KU. 13/04 Plan installasi tgl 17 apr, Plan GL 23 Apr.09/03 Izin OK core OK, MP serial masih mengerjakan LOP lain. 
05/03 MP Terbatas di pulau tanjung pinang,  plan anwijzing tgl 06/0"&amp;"3 
12/02 MP Terbatas di pulau tanjung pinang, tidak bisa komit sampai bulan maret. 09/02 plan anwijzing minggu ini, PIC mitra paralel progres installasi.04/02 Plan survey batch 3 minggu depan. 23/01 Plan anwijzing 26 Jan, Order Baru. 22/01 Order baru, pro"&amp;"ses penunjukan mitra
")</f>
        <v>20/04 ABD Mancore mitra blm submit.
17/04 Terminasi ODP. 15/04 Penarikan KU. 13/04 Plan installasi tgl 17 apr, Plan GL 23 Apr.09/03 Izin OK core OK, MP serial masih mengerjakan LOP lain. 
05/03 MP Terbatas di pulau tanjung pinang,  plan anwijzing tgl 06/03 
12/02 MP Terbatas di pulau tanjung pinang, tidak bisa komit sampai bulan maret. 09/02 plan anwijzing minggu ini, PIC mitra paralel progres installasi.04/02 Plan survey batch 3 minggu depan. 23/01 Plan anwijzing 26 Jan, Order Baru. 22/01 Order baru, proses penunjukan mitra
</v>
      </c>
      <c r="R2477" s="228">
        <f>IFERROR(__xludf.DUMMYFUNCTION("""COMPUTED_VALUE"""),46134.0)</f>
        <v>46134</v>
      </c>
      <c r="S2477" s="11" t="str">
        <f>IFERROR(__xludf.DUMMYFUNCTION("""COMPUTED_VALUE"""),"APR")</f>
        <v>APR</v>
      </c>
      <c r="T2477" s="73"/>
      <c r="U2477" s="11" t="str">
        <f>IFERROR(__xludf.DUMMYFUNCTION("""COMPUTED_VALUE"""),"W09-274/2026")</f>
        <v>W09-274/2026</v>
      </c>
      <c r="V2477" s="229" t="str">
        <f>IFERROR(__xludf.DUMMYFUNCTION("""COMPUTED_VALUE"""),"DEDY IRAWAN")</f>
        <v>DEDY IRAWAN</v>
      </c>
      <c r="W2477" s="229"/>
      <c r="X2477" s="229" t="str">
        <f>IFERROR(__xludf.DUMMYFUNCTION("""COMPUTED_VALUE"""),"GOLIVE")</f>
        <v>GOLIVE</v>
      </c>
      <c r="Y2477" s="229" t="str">
        <f>IFERROR(__xludf.DUMMYFUNCTION("""COMPUTED_VALUE"""),"DONE")</f>
        <v>DONE</v>
      </c>
      <c r="Z2477" s="229" t="str">
        <f>IFERROR(__xludf.DUMMYFUNCTION("""COMPUTED_VALUE"""),"#N/A")</f>
        <v>#N/A</v>
      </c>
      <c r="AA2477" s="229">
        <f>IFERROR(__xludf.DUMMYFUNCTION("""COMPUTED_VALUE"""),2.0)</f>
        <v>2</v>
      </c>
      <c r="AB2477" s="229"/>
      <c r="AC2477" s="229" t="str">
        <f>IFERROR(__xludf.DUMMYFUNCTION("""COMPUTED_VALUE"""),"9202433#9202438")</f>
        <v>9202433#9202438</v>
      </c>
      <c r="AD2477" s="232">
        <f>IFERROR(__xludf.DUMMYFUNCTION("""COMPUTED_VALUE"""),16.0)</f>
        <v>16</v>
      </c>
      <c r="AE2477" s="233">
        <f>IFERROR(__xludf.DUMMYFUNCTION("""COMPUTED_VALUE"""),46134.0)</f>
        <v>46134</v>
      </c>
      <c r="AF2477" s="54"/>
      <c r="AG2477" s="54"/>
      <c r="AH2477" s="54">
        <v>46137.0</v>
      </c>
      <c r="AI2477" s="55">
        <f>IF(OR(AH2477="",AE2477=""),"",AH2477-AE2477)</f>
        <v>3</v>
      </c>
      <c r="AJ2477" s="229" t="str">
        <f>if(AI2477&gt;=0,"Gl in Komitmen","Gl out komitmen")</f>
        <v>Gl in Komitmen</v>
      </c>
      <c r="AK2477" s="231" t="s">
        <v>199</v>
      </c>
      <c r="AW2477" s="234"/>
      <c r="BP2477" s="11"/>
      <c r="BQ2477" s="11"/>
      <c r="BV2477" s="158"/>
      <c r="BY2477" s="158"/>
      <c r="CB2477" s="158"/>
    </row>
    <row r="2478" ht="18.0" hidden="1" customHeight="1">
      <c r="A2478" s="222">
        <f>IFERROR(__xludf.DUMMYFUNCTION("""COMPUTED_VALUE"""),2026.0)</f>
        <v>2026</v>
      </c>
      <c r="B2478" s="221">
        <f>IFERROR(__xludf.DUMMYFUNCTION("""COMPUTED_VALUE"""),1.2159917E7)</f>
        <v>12159917</v>
      </c>
      <c r="C2478" s="222" t="str">
        <f>IFERROR(__xludf.DUMMYFUNCTION("""COMPUTED_VALUE"""),"LPG PT3 JPP KOTA METRO_1115 MET")</f>
        <v>LPG PT3 JPP KOTA METRO_1115 MET</v>
      </c>
      <c r="D2478" s="222" t="str">
        <f>IFERROR(__xludf.DUMMYFUNCTION("""COMPUTED_VALUE"""),"REGIONAL I")</f>
        <v>REGIONAL I</v>
      </c>
      <c r="E2478" s="222" t="str">
        <f>IFERROR(__xludf.DUMMYFUNCTION("""COMPUTED_VALUE"""),"LAMPUNG")</f>
        <v>LAMPUNG</v>
      </c>
      <c r="F2478" s="222" t="str">
        <f>IFERROR(__xludf.DUMMYFUNCTION("""COMPUTED_VALUE"""),"MET")</f>
        <v>MET</v>
      </c>
      <c r="G2478" s="222" t="str">
        <f>IFERROR(__xludf.DUMMYFUNCTION("""COMPUTED_VALUE"""),"SUMBAGSEL")</f>
        <v>SUMBAGSEL</v>
      </c>
      <c r="H2478" s="222" t="str">
        <f>IFERROR(__xludf.DUMMYFUNCTION("""COMPUTED_VALUE"""),"LAMPUNG")</f>
        <v>LAMPUNG</v>
      </c>
      <c r="I2478" s="222" t="str">
        <f>IFERROR(__xludf.DUMMYFUNCTION("""COMPUTED_VALUE"""),"Batch 3")</f>
        <v>Batch 3</v>
      </c>
      <c r="J2478" s="225">
        <f>IFERROR(__xludf.DUMMYFUNCTION("""COMPUTED_VALUE"""),7.0)</f>
        <v>7</v>
      </c>
      <c r="K2478" s="224">
        <f>IFERROR(__xludf.DUMMYFUNCTION("""COMPUTED_VALUE"""),56.0)</f>
        <v>56</v>
      </c>
      <c r="L2478" s="226">
        <f>IFERROR(__xludf.DUMMYFUNCTION("""COMPUTED_VALUE"""),757154.0)</f>
        <v>757154</v>
      </c>
      <c r="M2478" s="227">
        <f>IFERROR(__xludf.DUMMYFUNCTION("""COMPUTED_VALUE"""),4.2400618E7)</f>
        <v>42400618</v>
      </c>
      <c r="N2478" s="222" t="str">
        <f>IFERROR(__xludf.DUMMYFUNCTION("""COMPUTED_VALUE"""),"PT FAJAR MITRA KRIDA ABADI")</f>
        <v>PT FAJAR MITRA KRIDA ABADI</v>
      </c>
      <c r="O2478" s="222" t="str">
        <f>IFERROR(__xludf.DUMMYFUNCTION("""COMPUTED_VALUE"""),"0. DROP")</f>
        <v>0. DROP</v>
      </c>
      <c r="P2478" s="222" t="str">
        <f>IFERROR(__xludf.DUMMYFUNCTION("""COMPUTED_VALUE"""),"0.2 Tidak Dapat Izin Warga/Kades/Lurah/Developer")</f>
        <v>0.2 Tidak Dapat Izin Warga/Kades/Lurah/Developer</v>
      </c>
      <c r="Q2478" s="222" t="str">
        <f>IFERROR(__xludf.DUMMYFUNCTION("""COMPUTED_VALUE"""),"6/2 Tidak dapat izin dari lurah")</f>
        <v>6/2 Tidak dapat izin dari lurah</v>
      </c>
      <c r="R2478" s="228"/>
      <c r="S2478" s="11"/>
      <c r="T2478" s="11"/>
      <c r="U2478" s="11"/>
      <c r="V2478" s="229"/>
      <c r="W2478" s="229"/>
      <c r="X2478" s="229"/>
      <c r="Y2478" s="229"/>
      <c r="Z2478" s="229" t="str">
        <f>IFERROR(__xludf.DUMMYFUNCTION("""COMPUTED_VALUE"""),"#N/A")</f>
        <v>#N/A</v>
      </c>
      <c r="AA2478" s="229"/>
      <c r="AB2478" s="229"/>
      <c r="AC2478" s="229"/>
      <c r="AD2478" s="232"/>
      <c r="AE2478" s="233"/>
      <c r="AF2478" s="54" t="str">
        <f>IFERROR(__xludf.DUMMYFUNCTION("""COMPUTED_VALUE"""),"Draft BA DROP")</f>
        <v>Draft BA DROP</v>
      </c>
      <c r="AG2478" s="54"/>
      <c r="AH2478" s="54"/>
      <c r="AI2478" s="55" t="str">
        <f t="shared" ref="AI2478:AI2508" si="235">IF(OR(R2478="",AE2478=""),"",R2478-AE2478)</f>
        <v/>
      </c>
      <c r="AW2478" s="234"/>
      <c r="BP2478" s="11"/>
      <c r="BQ2478" s="11"/>
      <c r="BV2478" s="158"/>
      <c r="BY2478" s="158"/>
      <c r="CB2478" s="158"/>
    </row>
    <row r="2479" ht="18.0" hidden="1" customHeight="1">
      <c r="A2479" s="222">
        <f>IFERROR(__xludf.DUMMYFUNCTION("""COMPUTED_VALUE"""),2026.0)</f>
        <v>2026</v>
      </c>
      <c r="B2479" s="221">
        <f>IFERROR(__xludf.DUMMYFUNCTION("""COMPUTED_VALUE"""),1.243141E7)</f>
        <v>12431410</v>
      </c>
      <c r="C2479" s="222" t="str">
        <f>IFERROR(__xludf.DUMMYFUNCTION("""COMPUTED_VALUE"""),"MDN PT3 LBP-FJ JL.SUNDA SIMPANG")</f>
        <v>MDN PT3 LBP-FJ JL.SUNDA SIMPANG</v>
      </c>
      <c r="D2479" s="222" t="str">
        <f>IFERROR(__xludf.DUMMYFUNCTION("""COMPUTED_VALUE"""),"REGIONAL I")</f>
        <v>REGIONAL I</v>
      </c>
      <c r="E2479" s="222" t="str">
        <f>IFERROR(__xludf.DUMMYFUNCTION("""COMPUTED_VALUE"""),"MEDAN")</f>
        <v>MEDAN</v>
      </c>
      <c r="F2479" s="222" t="str">
        <f>IFERROR(__xludf.DUMMYFUNCTION("""COMPUTED_VALUE"""),"LBP")</f>
        <v>LBP</v>
      </c>
      <c r="G2479" s="222" t="str">
        <f>IFERROR(__xludf.DUMMYFUNCTION("""COMPUTED_VALUE"""),"SUMBAGUT")</f>
        <v>SUMBAGUT</v>
      </c>
      <c r="H2479" s="222" t="str">
        <f>IFERROR(__xludf.DUMMYFUNCTION("""COMPUTED_VALUE"""),"MEDAN")</f>
        <v>MEDAN</v>
      </c>
      <c r="I2479" s="222" t="str">
        <f>IFERROR(__xludf.DUMMYFUNCTION("""COMPUTED_VALUE"""),"Batch 3")</f>
        <v>Batch 3</v>
      </c>
      <c r="J2479" s="225">
        <f>IFERROR(__xludf.DUMMYFUNCTION("""COMPUTED_VALUE"""),2.0)</f>
        <v>2</v>
      </c>
      <c r="K2479" s="224">
        <f>IFERROR(__xludf.DUMMYFUNCTION("""COMPUTED_VALUE"""),16.0)</f>
        <v>16</v>
      </c>
      <c r="L2479" s="226">
        <f>IFERROR(__xludf.DUMMYFUNCTION("""COMPUTED_VALUE"""),756834.0)</f>
        <v>756834</v>
      </c>
      <c r="M2479" s="227">
        <f>IFERROR(__xludf.DUMMYFUNCTION("""COMPUTED_VALUE"""),1.2109341E7)</f>
        <v>12109341</v>
      </c>
      <c r="N2479" s="222" t="str">
        <f>IFERROR(__xludf.DUMMYFUNCTION("""COMPUTED_VALUE"""),"PT NIAGA NUSANTARA DIVA")</f>
        <v>PT NIAGA NUSANTARA DIVA</v>
      </c>
      <c r="O2479" s="222" t="str">
        <f>IFERROR(__xludf.DUMMYFUNCTION("""COMPUTED_VALUE"""),"7. GOLIVE")</f>
        <v>7. GOLIVE</v>
      </c>
      <c r="P2479" s="222" t="str">
        <f>IFERROR(__xludf.DUMMYFUNCTION("""COMPUTED_VALUE"""),"7.2 Golive Full / OA / DONE OTB")</f>
        <v>7.2 Golive Full / OA / DONE OTB</v>
      </c>
      <c r="Q2479" s="222" t="str">
        <f>IFERROR(__xludf.DUMMYFUNCTION("""COMPUTED_VALUE"""),"04/03 golive sdi
04/03 pengecekan abd mancore
02/03 finish instalasi
23/02 instalasi
17/02 proses matrial
06/02 feeder/dist ok")</f>
        <v>04/03 golive sdi
04/03 pengecekan abd mancore
02/03 finish instalasi
23/02 instalasi
17/02 proses matrial
06/02 feeder/dist ok</v>
      </c>
      <c r="R2479" s="228">
        <f>IFERROR(__xludf.DUMMYFUNCTION("""COMPUTED_VALUE"""),46086.0)</f>
        <v>46086</v>
      </c>
      <c r="S2479" s="11" t="str">
        <f>IFERROR(__xludf.DUMMYFUNCTION("""COMPUTED_VALUE"""),"MAR")</f>
        <v>MAR</v>
      </c>
      <c r="T2479" s="11"/>
      <c r="U2479" s="11"/>
      <c r="V2479" s="229"/>
      <c r="W2479" s="229"/>
      <c r="X2479" s="229" t="str">
        <f>IFERROR(__xludf.DUMMYFUNCTION("""COMPUTED_VALUE"""),"GOLIVE")</f>
        <v>GOLIVE</v>
      </c>
      <c r="Y2479" s="229" t="str">
        <f>IFERROR(__xludf.DUMMYFUNCTION("""COMPUTED_VALUE"""),"DONE")</f>
        <v>DONE</v>
      </c>
      <c r="Z2479" s="229" t="str">
        <f>IFERROR(__xludf.DUMMYFUNCTION("""COMPUTED_VALUE"""),"#N/A")</f>
        <v>#N/A</v>
      </c>
      <c r="AA2479" s="229">
        <f>IFERROR(__xludf.DUMMYFUNCTION("""COMPUTED_VALUE"""),2.0)</f>
        <v>2</v>
      </c>
      <c r="AB2479" s="229"/>
      <c r="AC2479" s="229" t="str">
        <f>IFERROR(__xludf.DUMMYFUNCTION("""COMPUTED_VALUE"""),"9173494#9173499")</f>
        <v>9173494#9173499</v>
      </c>
      <c r="AD2479" s="232">
        <f>IFERROR(__xludf.DUMMYFUNCTION("""COMPUTED_VALUE"""),16.0)</f>
        <v>16</v>
      </c>
      <c r="AE2479" s="233">
        <f>IFERROR(__xludf.DUMMYFUNCTION("""COMPUTED_VALUE"""),46085.0)</f>
        <v>46085</v>
      </c>
      <c r="AF2479" s="54"/>
      <c r="AG2479" s="54"/>
      <c r="AH2479" s="54">
        <v>46086.0</v>
      </c>
      <c r="AI2479" s="55">
        <f t="shared" si="235"/>
        <v>1</v>
      </c>
      <c r="AW2479" s="234"/>
      <c r="BP2479" s="11"/>
      <c r="BQ2479" s="11"/>
      <c r="BV2479" s="158"/>
      <c r="BY2479" s="158"/>
      <c r="CB2479" s="158"/>
    </row>
    <row r="2480" ht="18.0" hidden="1" customHeight="1">
      <c r="A2480" s="222">
        <f>IFERROR(__xludf.DUMMYFUNCTION("""COMPUTED_VALUE"""),2026.0)</f>
        <v>2026</v>
      </c>
      <c r="B2480" s="221">
        <f>IFERROR(__xludf.DUMMYFUNCTION("""COMPUTED_VALUE"""),1.2161156E7)</f>
        <v>12161156</v>
      </c>
      <c r="C2480" s="222" t="str">
        <f>IFERROR(__xludf.DUMMYFUNCTION("""COMPUTED_VALUE"""),"TANGGAMUS_10852_H2_2025")</f>
        <v>TANGGAMUS_10852_H2_2025</v>
      </c>
      <c r="D2480" s="222" t="str">
        <f>IFERROR(__xludf.DUMMYFUNCTION("""COMPUTED_VALUE"""),"REGIONAL I")</f>
        <v>REGIONAL I</v>
      </c>
      <c r="E2480" s="222" t="str">
        <f>IFERROR(__xludf.DUMMYFUNCTION("""COMPUTED_VALUE"""),"LAMPUNG")</f>
        <v>LAMPUNG</v>
      </c>
      <c r="F2480" s="222" t="str">
        <f>IFERROR(__xludf.DUMMYFUNCTION("""COMPUTED_VALUE"""),"TGP")</f>
        <v>TGP</v>
      </c>
      <c r="G2480" s="222" t="str">
        <f>IFERROR(__xludf.DUMMYFUNCTION("""COMPUTED_VALUE"""),"SUMBAGSEL")</f>
        <v>SUMBAGSEL</v>
      </c>
      <c r="H2480" s="222" t="str">
        <f>IFERROR(__xludf.DUMMYFUNCTION("""COMPUTED_VALUE"""),"LAMPUNG")</f>
        <v>LAMPUNG</v>
      </c>
      <c r="I2480" s="222" t="str">
        <f>IFERROR(__xludf.DUMMYFUNCTION("""COMPUTED_VALUE"""),"Batch 3")</f>
        <v>Batch 3</v>
      </c>
      <c r="J2480" s="225">
        <f>IFERROR(__xludf.DUMMYFUNCTION("""COMPUTED_VALUE"""),3.0)</f>
        <v>3</v>
      </c>
      <c r="K2480" s="224">
        <f>IFERROR(__xludf.DUMMYFUNCTION("""COMPUTED_VALUE"""),24.0)</f>
        <v>24</v>
      </c>
      <c r="L2480" s="226">
        <f>IFERROR(__xludf.DUMMYFUNCTION("""COMPUTED_VALUE"""),754092.0)</f>
        <v>754092</v>
      </c>
      <c r="M2480" s="227">
        <f>IFERROR(__xludf.DUMMYFUNCTION("""COMPUTED_VALUE"""),1.8098198E7)</f>
        <v>18098198</v>
      </c>
      <c r="N2480" s="222" t="str">
        <f>IFERROR(__xludf.DUMMYFUNCTION("""COMPUTED_VALUE"""),"PT GARINDO TECHNO MANDIRI")</f>
        <v>PT GARINDO TECHNO MANDIRI</v>
      </c>
      <c r="O2480" s="222" t="str">
        <f>IFERROR(__xludf.DUMMYFUNCTION("""COMPUTED_VALUE"""),"0. DROP")</f>
        <v>0. DROP</v>
      </c>
      <c r="P2480" s="222" t="str">
        <f>IFERROR(__xludf.DUMMYFUNCTION("""COMPUTED_VALUE"""),"0.4 CPP Tinggi Acc ED TIF")</f>
        <v>0.4 CPP Tinggi Acc ED TIF</v>
      </c>
      <c r="Q2480" s="222" t="str">
        <f>IFERROR(__xludf.DUMMYFUNCTION("""COMPUTED_VALUE"""),"14/4 drop cpp tinggi 3/3 drop butuh disgn baru untuk menjadi LOP PT4 ,, Butuh Upgrade ODC  20/2 core feeder sisa 1core dari 48 fedeer  
18/2 Aanwijzing jadwall ulang - plan 19 FEB  11/2 plan anwizing , 14 FEB  6/2 plan anwizing ,9/2 survey eletrical fedee"&amp;"r dan distribusi 
4/2 progres prizinan dan eletrical 
30/1 plan anwizing 
23/1 plan anwizing tanggal 26/1")</f>
        <v>14/4 drop cpp tinggi 3/3 drop butuh disgn baru untuk menjadi LOP PT4 ,, Butuh Upgrade ODC  20/2 core feeder sisa 1core dari 48 fedeer  
18/2 Aanwijzing jadwall ulang - plan 19 FEB  11/2 plan anwizing , 14 FEB  6/2 plan anwizing ,9/2 survey eletrical fedeer dan distribusi 
4/2 progres prizinan dan eletrical 
30/1 plan anwizing 
23/1 plan anwizing tanggal 26/1</v>
      </c>
      <c r="R2480" s="228"/>
      <c r="S2480" s="11"/>
      <c r="T2480" s="11"/>
      <c r="U2480" s="11"/>
      <c r="V2480" s="229"/>
      <c r="W2480" s="229"/>
      <c r="X2480" s="229"/>
      <c r="Y2480" s="229"/>
      <c r="Z2480" s="229" t="str">
        <f>IFERROR(__xludf.DUMMYFUNCTION("""COMPUTED_VALUE"""),"#N/A")</f>
        <v>#N/A</v>
      </c>
      <c r="AA2480" s="229"/>
      <c r="AB2480" s="229"/>
      <c r="AC2480" s="229"/>
      <c r="AD2480" s="232"/>
      <c r="AE2480" s="233"/>
      <c r="AF2480" s="54" t="str">
        <f>IFERROR(__xludf.DUMMYFUNCTION("""COMPUTED_VALUE"""),"Draft BA DROP")</f>
        <v>Draft BA DROP</v>
      </c>
      <c r="AG2480" s="54"/>
      <c r="AH2480" s="54"/>
      <c r="AI2480" s="55" t="str">
        <f t="shared" si="235"/>
        <v/>
      </c>
      <c r="AW2480" s="234"/>
      <c r="BP2480" s="11"/>
      <c r="BQ2480" s="11"/>
      <c r="BV2480" s="158"/>
      <c r="BY2480" s="158"/>
      <c r="CB2480" s="158"/>
    </row>
    <row r="2481" ht="18.0" hidden="1" customHeight="1">
      <c r="A2481" s="222">
        <f>IFERROR(__xludf.DUMMYFUNCTION("""COMPUTED_VALUE"""),2026.0)</f>
        <v>2026</v>
      </c>
      <c r="B2481" s="221">
        <f>IFERROR(__xludf.DUMMYFUNCTION("""COMPUTED_VALUE"""),1.1533317E7)</f>
        <v>11533317</v>
      </c>
      <c r="C2481" s="222" t="str">
        <f>IFERROR(__xludf.DUMMYFUNCTION("""COMPUTED_VALUE"""),"MDN PT3 LBP-FAC PS MELINTANG 2")</f>
        <v>MDN PT3 LBP-FAC PS MELINTANG 2</v>
      </c>
      <c r="D2481" s="222" t="str">
        <f>IFERROR(__xludf.DUMMYFUNCTION("""COMPUTED_VALUE"""),"REGIONAL I")</f>
        <v>REGIONAL I</v>
      </c>
      <c r="E2481" s="222" t="str">
        <f>IFERROR(__xludf.DUMMYFUNCTION("""COMPUTED_VALUE"""),"MEDAN")</f>
        <v>MEDAN</v>
      </c>
      <c r="F2481" s="222" t="str">
        <f>IFERROR(__xludf.DUMMYFUNCTION("""COMPUTED_VALUE"""),"LBP")</f>
        <v>LBP</v>
      </c>
      <c r="G2481" s="222" t="str">
        <f>IFERROR(__xludf.DUMMYFUNCTION("""COMPUTED_VALUE"""),"SUMBAGUT")</f>
        <v>SUMBAGUT</v>
      </c>
      <c r="H2481" s="222" t="str">
        <f>IFERROR(__xludf.DUMMYFUNCTION("""COMPUTED_VALUE"""),"MEDAN")</f>
        <v>MEDAN</v>
      </c>
      <c r="I2481" s="222" t="str">
        <f>IFERROR(__xludf.DUMMYFUNCTION("""COMPUTED_VALUE"""),"Batch 3")</f>
        <v>Batch 3</v>
      </c>
      <c r="J2481" s="225">
        <f>IFERROR(__xludf.DUMMYFUNCTION("""COMPUTED_VALUE"""),5.0)</f>
        <v>5</v>
      </c>
      <c r="K2481" s="224">
        <f>IFERROR(__xludf.DUMMYFUNCTION("""COMPUTED_VALUE"""),40.0)</f>
        <v>40</v>
      </c>
      <c r="L2481" s="226">
        <f>IFERROR(__xludf.DUMMYFUNCTION("""COMPUTED_VALUE"""),752441.0)</f>
        <v>752441</v>
      </c>
      <c r="M2481" s="227">
        <f>IFERROR(__xludf.DUMMYFUNCTION("""COMPUTED_VALUE"""),3.0097634E7)</f>
        <v>30097634</v>
      </c>
      <c r="N2481" s="222" t="str">
        <f>IFERROR(__xludf.DUMMYFUNCTION("""COMPUTED_VALUE"""),"PT MEDCOM SOLUTION")</f>
        <v>PT MEDCOM SOLUTION</v>
      </c>
      <c r="O2481" s="222" t="str">
        <f>IFERROR(__xludf.DUMMYFUNCTION("""COMPUTED_VALUE"""),"2. DONE AANWIJZING")</f>
        <v>2. DONE AANWIJZING</v>
      </c>
      <c r="P2481" s="222" t="str">
        <f>IFERROR(__xludf.DUMMYFUNCTION("""COMPUTED_VALUE"""),"2.9 Kendala - Distribusi Penuh / Rusak")</f>
        <v>2.9 Kendala - Distribusi Penuh / Rusak</v>
      </c>
      <c r="Q2481" s="222" t="str">
        <f>IFERROR(__xludf.DUMMYFUNCTION("""COMPUTED_VALUE"""),"20/04 redisgn dist
08/04 distribusi tdk tembus/loss
15/01 order mitra")</f>
        <v>20/04 redisgn dist
08/04 distribusi tdk tembus/loss
15/01 order mitra</v>
      </c>
      <c r="R2481" s="228"/>
      <c r="S2481" s="11"/>
      <c r="T2481" s="73"/>
      <c r="U2481" s="11"/>
      <c r="V2481" s="229" t="str">
        <f>IFERROR(__xludf.DUMMYFUNCTION("""COMPUTED_VALUE"""),"29/Apr/2026")</f>
        <v>29/Apr/2026</v>
      </c>
      <c r="W2481" s="229"/>
      <c r="X2481" s="229" t="str">
        <f>IFERROR(__xludf.DUMMYFUNCTION("""COMPUTED_VALUE"""),"BELUM GOLIVE")</f>
        <v>BELUM GOLIVE</v>
      </c>
      <c r="Y2481" s="229"/>
      <c r="Z2481" s="229" t="str">
        <f>IFERROR(__xludf.DUMMYFUNCTION("""COMPUTED_VALUE"""),"#N/A")</f>
        <v>#N/A</v>
      </c>
      <c r="AA2481" s="229"/>
      <c r="AB2481" s="229"/>
      <c r="AC2481" s="229"/>
      <c r="AD2481" s="232"/>
      <c r="AE2481" s="233"/>
      <c r="AF2481" s="54"/>
      <c r="AG2481" s="54"/>
      <c r="AH2481" s="54"/>
      <c r="AI2481" s="55" t="str">
        <f t="shared" si="235"/>
        <v/>
      </c>
      <c r="AW2481" s="234"/>
      <c r="BP2481" s="11"/>
      <c r="BQ2481" s="11"/>
      <c r="BV2481" s="158"/>
      <c r="BY2481" s="158"/>
      <c r="CB2481" s="158"/>
    </row>
    <row r="2482" ht="18.0" hidden="1" customHeight="1">
      <c r="A2482" s="222">
        <f>IFERROR(__xludf.DUMMYFUNCTION("""COMPUTED_VALUE"""),2026.0)</f>
        <v>2026</v>
      </c>
      <c r="B2482" s="221">
        <f>IFERROR(__xludf.DUMMYFUNCTION("""COMPUTED_VALUE"""),1.2786965E7)</f>
        <v>12786965</v>
      </c>
      <c r="C2482" s="222" t="str">
        <f>IFERROR(__xludf.DUMMYFUNCTION("""COMPUTED_VALUE"""),"LPG PT3 JPP LAMPUNG TENGAH_152186 MET")</f>
        <v>LPG PT3 JPP LAMPUNG TENGAH_152186 MET</v>
      </c>
      <c r="D2482" s="222" t="str">
        <f>IFERROR(__xludf.DUMMYFUNCTION("""COMPUTED_VALUE"""),"REGIONAL I")</f>
        <v>REGIONAL I</v>
      </c>
      <c r="E2482" s="222" t="str">
        <f>IFERROR(__xludf.DUMMYFUNCTION("""COMPUTED_VALUE"""),"LAMPUNG")</f>
        <v>LAMPUNG</v>
      </c>
      <c r="F2482" s="222" t="str">
        <f>IFERROR(__xludf.DUMMYFUNCTION("""COMPUTED_VALUE"""),"MET")</f>
        <v>MET</v>
      </c>
      <c r="G2482" s="222" t="str">
        <f>IFERROR(__xludf.DUMMYFUNCTION("""COMPUTED_VALUE"""),"SUMBAGSEL")</f>
        <v>SUMBAGSEL</v>
      </c>
      <c r="H2482" s="222" t="str">
        <f>IFERROR(__xludf.DUMMYFUNCTION("""COMPUTED_VALUE"""),"LAMPUNG")</f>
        <v>LAMPUNG</v>
      </c>
      <c r="I2482" s="222" t="str">
        <f>IFERROR(__xludf.DUMMYFUNCTION("""COMPUTED_VALUE"""),"Batch 3")</f>
        <v>Batch 3</v>
      </c>
      <c r="J2482" s="225">
        <f>IFERROR(__xludf.DUMMYFUNCTION("""COMPUTED_VALUE"""),12.0)</f>
        <v>12</v>
      </c>
      <c r="K2482" s="224">
        <f>IFERROR(__xludf.DUMMYFUNCTION("""COMPUTED_VALUE"""),96.0)</f>
        <v>96</v>
      </c>
      <c r="L2482" s="226">
        <f>IFERROR(__xludf.DUMMYFUNCTION("""COMPUTED_VALUE"""),751384.0)</f>
        <v>751384</v>
      </c>
      <c r="M2482" s="227">
        <f>IFERROR(__xludf.DUMMYFUNCTION("""COMPUTED_VALUE"""),7.2132787E7)</f>
        <v>72132787</v>
      </c>
      <c r="N2482" s="222" t="str">
        <f>IFERROR(__xludf.DUMMYFUNCTION("""COMPUTED_VALUE"""),"PT FAJAR MITRA KRIDA ABADI")</f>
        <v>PT FAJAR MITRA KRIDA ABADI</v>
      </c>
      <c r="O2482" s="222" t="str">
        <f>IFERROR(__xludf.DUMMYFUNCTION("""COMPUTED_VALUE"""),"0. DROP")</f>
        <v>0. DROP</v>
      </c>
      <c r="P2482" s="222" t="str">
        <f>IFERROR(__xludf.DUMMYFUNCTION("""COMPUTED_VALUE"""),"0.2 Tidak Dapat Izin Warga/Kades/Lurah/Developer")</f>
        <v>0.2 Tidak Dapat Izin Warga/Kades/Lurah/Developer</v>
      </c>
      <c r="Q2482" s="222" t="str">
        <f>IFERROR(__xludf.DUMMYFUNCTION("""COMPUTED_VALUE"""),"6/2 Tidak dapat izin dari lurah")</f>
        <v>6/2 Tidak dapat izin dari lurah</v>
      </c>
      <c r="R2482" s="228"/>
      <c r="S2482" s="11"/>
      <c r="T2482" s="11"/>
      <c r="U2482" s="11"/>
      <c r="V2482" s="229"/>
      <c r="W2482" s="229"/>
      <c r="X2482" s="229"/>
      <c r="Y2482" s="229"/>
      <c r="Z2482" s="229" t="str">
        <f>IFERROR(__xludf.DUMMYFUNCTION("""COMPUTED_VALUE"""),"#N/A")</f>
        <v>#N/A</v>
      </c>
      <c r="AA2482" s="229"/>
      <c r="AB2482" s="229"/>
      <c r="AC2482" s="229"/>
      <c r="AD2482" s="232"/>
      <c r="AE2482" s="233"/>
      <c r="AF2482" s="54" t="str">
        <f>IFERROR(__xludf.DUMMYFUNCTION("""COMPUTED_VALUE"""),"Draft BA DROP")</f>
        <v>Draft BA DROP</v>
      </c>
      <c r="AG2482" s="54"/>
      <c r="AH2482" s="54"/>
      <c r="AI2482" s="55" t="str">
        <f t="shared" si="235"/>
        <v/>
      </c>
      <c r="AW2482" s="234"/>
      <c r="BP2482" s="11"/>
      <c r="BQ2482" s="11"/>
      <c r="BV2482" s="158"/>
      <c r="BY2482" s="158"/>
      <c r="CB2482" s="158"/>
    </row>
    <row r="2483" ht="18.0" hidden="1" customHeight="1">
      <c r="A2483" s="222">
        <f>IFERROR(__xludf.DUMMYFUNCTION("""COMPUTED_VALUE"""),2026.0)</f>
        <v>2026</v>
      </c>
      <c r="B2483" s="221">
        <f>IFERROR(__xludf.DUMMYFUNCTION("""COMPUTED_VALUE"""),1.2734148E7)</f>
        <v>12734148</v>
      </c>
      <c r="C2483" s="222" t="str">
        <f>IFERROR(__xludf.DUMMYFUNCTION("""COMPUTED_VALUE"""),"MDN PT3 CTD-FCE 250_1607_1608")</f>
        <v>MDN PT3 CTD-FCE 250_1607_1608</v>
      </c>
      <c r="D2483" s="222" t="str">
        <f>IFERROR(__xludf.DUMMYFUNCTION("""COMPUTED_VALUE"""),"REGIONAL I")</f>
        <v>REGIONAL I</v>
      </c>
      <c r="E2483" s="222" t="str">
        <f>IFERROR(__xludf.DUMMYFUNCTION("""COMPUTED_VALUE"""),"MEDAN")</f>
        <v>MEDAN</v>
      </c>
      <c r="F2483" s="222" t="str">
        <f>IFERROR(__xludf.DUMMYFUNCTION("""COMPUTED_VALUE"""),"CTD")</f>
        <v>CTD</v>
      </c>
      <c r="G2483" s="222" t="str">
        <f>IFERROR(__xludf.DUMMYFUNCTION("""COMPUTED_VALUE"""),"SUMBAGUT")</f>
        <v>SUMBAGUT</v>
      </c>
      <c r="H2483" s="222" t="str">
        <f>IFERROR(__xludf.DUMMYFUNCTION("""COMPUTED_VALUE"""),"MEDAN")</f>
        <v>MEDAN</v>
      </c>
      <c r="I2483" s="222" t="str">
        <f>IFERROR(__xludf.DUMMYFUNCTION("""COMPUTED_VALUE"""),"Batch 3")</f>
        <v>Batch 3</v>
      </c>
      <c r="J2483" s="225">
        <f>IFERROR(__xludf.DUMMYFUNCTION("""COMPUTED_VALUE"""),4.0)</f>
        <v>4</v>
      </c>
      <c r="K2483" s="224">
        <f>IFERROR(__xludf.DUMMYFUNCTION("""COMPUTED_VALUE"""),32.0)</f>
        <v>32</v>
      </c>
      <c r="L2483" s="226">
        <f>IFERROR(__xludf.DUMMYFUNCTION("""COMPUTED_VALUE"""),751102.0)</f>
        <v>751102</v>
      </c>
      <c r="M2483" s="227">
        <f>IFERROR(__xludf.DUMMYFUNCTION("""COMPUTED_VALUE"""),2.4035254E7)</f>
        <v>24035254</v>
      </c>
      <c r="N2483" s="222" t="str">
        <f>IFERROR(__xludf.DUMMYFUNCTION("""COMPUTED_VALUE"""),"PT MILFHA MUTIARA PRIMA")</f>
        <v>PT MILFHA MUTIARA PRIMA</v>
      </c>
      <c r="O2483" s="222" t="str">
        <f>IFERROR(__xludf.DUMMYFUNCTION("""COMPUTED_VALUE"""),"7. GOLIVE")</f>
        <v>7. GOLIVE</v>
      </c>
      <c r="P2483" s="222" t="str">
        <f>IFERROR(__xludf.DUMMYFUNCTION("""COMPUTED_VALUE"""),"7.2 Golive Full / OA / DONE OTB")</f>
        <v>7.2 Golive Full / OA / DONE OTB</v>
      </c>
      <c r="Q2483" s="222" t="str">
        <f>IFERROR(__xludf.DUMMYFUNCTION("""COMPUTED_VALUE"""),"19/03 revisi abd 17/03 valins 15/03 install ODP dan CL 13/03 penarikan KU dan tanam tiang 11/03 matdel 03/02 create PID 21/02 Aanwidzing ok, lanjut perizinan kepling")</f>
        <v>19/03 revisi abd 17/03 valins 15/03 install ODP dan CL 13/03 penarikan KU dan tanam tiang 11/03 matdel 03/02 create PID 21/02 Aanwidzing ok, lanjut perizinan kepling</v>
      </c>
      <c r="R2483" s="228">
        <f>IFERROR(__xludf.DUMMYFUNCTION("""COMPUTED_VALUE"""),46098.0)</f>
        <v>46098</v>
      </c>
      <c r="S2483" s="11" t="str">
        <f>IFERROR(__xludf.DUMMYFUNCTION("""COMPUTED_VALUE"""),"MAR")</f>
        <v>MAR</v>
      </c>
      <c r="T2483" s="11"/>
      <c r="U2483" s="11"/>
      <c r="V2483" s="229"/>
      <c r="W2483" s="229"/>
      <c r="X2483" s="229" t="str">
        <f>IFERROR(__xludf.DUMMYFUNCTION("""COMPUTED_VALUE"""),"GOLIVE")</f>
        <v>GOLIVE</v>
      </c>
      <c r="Y2483" s="229" t="str">
        <f>IFERROR(__xludf.DUMMYFUNCTION("""COMPUTED_VALUE"""),"DONE")</f>
        <v>DONE</v>
      </c>
      <c r="Z2483" s="229" t="str">
        <f>IFERROR(__xludf.DUMMYFUNCTION("""COMPUTED_VALUE"""),"#N/A")</f>
        <v>#N/A</v>
      </c>
      <c r="AA2483" s="229">
        <f>IFERROR(__xludf.DUMMYFUNCTION("""COMPUTED_VALUE"""),4.0)</f>
        <v>4</v>
      </c>
      <c r="AB2483" s="229"/>
      <c r="AC2483" s="229" t="str">
        <f>IFERROR(__xludf.DUMMYFUNCTION("""COMPUTED_VALUE"""),"9218621#9218626")</f>
        <v>9218621#9218626</v>
      </c>
      <c r="AD2483" s="232">
        <f>IFERROR(__xludf.DUMMYFUNCTION("""COMPUTED_VALUE"""),32.0)</f>
        <v>32</v>
      </c>
      <c r="AE2483" s="233">
        <f>IFERROR(__xludf.DUMMYFUNCTION("""COMPUTED_VALUE"""),46109.0)</f>
        <v>46109</v>
      </c>
      <c r="AF2483" s="54"/>
      <c r="AG2483" s="54"/>
      <c r="AH2483" s="54">
        <v>46098.0</v>
      </c>
      <c r="AI2483" s="55">
        <f t="shared" si="235"/>
        <v>-11</v>
      </c>
      <c r="AW2483" s="234"/>
      <c r="BP2483" s="11"/>
      <c r="BQ2483" s="11"/>
      <c r="BV2483" s="158"/>
      <c r="BY2483" s="158"/>
      <c r="CB2483" s="158"/>
    </row>
    <row r="2484" ht="18.0" customHeight="1">
      <c r="A2484" s="222">
        <f>IFERROR(__xludf.DUMMYFUNCTION("""COMPUTED_VALUE"""),2026.0)</f>
        <v>2026</v>
      </c>
      <c r="B2484" s="221">
        <f>IFERROR(__xludf.DUMMYFUNCTION("""COMPUTED_VALUE"""),1.2653591E7)</f>
        <v>12653591</v>
      </c>
      <c r="C2484" s="222" t="str">
        <f>IFERROR(__xludf.DUMMYFUNCTION("""COMPUTED_VALUE"""),"SMB-PT3-ODC-TPN-FB-PESISIR S_158877")</f>
        <v>SMB-PT3-ODC-TPN-FB-PESISIR S_158877</v>
      </c>
      <c r="D2484" s="222" t="str">
        <f>IFERROR(__xludf.DUMMYFUNCTION("""COMPUTED_VALUE"""),"REGIONAL I")</f>
        <v>REGIONAL I</v>
      </c>
      <c r="E2484" s="222" t="str">
        <f>IFERROR(__xludf.DUMMYFUNCTION("""COMPUTED_VALUE"""),"SUMBAR")</f>
        <v>SUMBAR</v>
      </c>
      <c r="F2484" s="222" t="str">
        <f>IFERROR(__xludf.DUMMYFUNCTION("""COMPUTED_VALUE"""),"TPN")</f>
        <v>TPN</v>
      </c>
      <c r="G2484" s="222" t="str">
        <f>IFERROR(__xludf.DUMMYFUNCTION("""COMPUTED_VALUE"""),"SUMBAGTENG")</f>
        <v>SUMBAGTENG</v>
      </c>
      <c r="H2484" s="222" t="str">
        <f>IFERROR(__xludf.DUMMYFUNCTION("""COMPUTED_VALUE"""),"PADANG")</f>
        <v>PADANG</v>
      </c>
      <c r="I2484" s="222" t="str">
        <f>IFERROR(__xludf.DUMMYFUNCTION("""COMPUTED_VALUE"""),"Batch 3")</f>
        <v>Batch 3</v>
      </c>
      <c r="J2484" s="225">
        <f>IFERROR(__xludf.DUMMYFUNCTION("""COMPUTED_VALUE"""),3.0)</f>
        <v>3</v>
      </c>
      <c r="K2484" s="224">
        <f>IFERROR(__xludf.DUMMYFUNCTION("""COMPUTED_VALUE"""),24.0)</f>
        <v>24</v>
      </c>
      <c r="L2484" s="226">
        <f>IFERROR(__xludf.DUMMYFUNCTION("""COMPUTED_VALUE"""),746991.0)</f>
        <v>746991</v>
      </c>
      <c r="M2484" s="227">
        <f>IFERROR(__xludf.DUMMYFUNCTION("""COMPUTED_VALUE"""),1.7927767E7)</f>
        <v>17927767</v>
      </c>
      <c r="N2484" s="222" t="str">
        <f>IFERROR(__xludf.DUMMYFUNCTION("""COMPUTED_VALUE"""),"PT ALAM UTAMA MULIA")</f>
        <v>PT ALAM UTAMA MULIA</v>
      </c>
      <c r="O2484" s="222" t="str">
        <f>IFERROR(__xludf.DUMMYFUNCTION("""COMPUTED_VALUE"""),"8. UJI TERIMA")</f>
        <v>8. UJI TERIMA</v>
      </c>
      <c r="P2484" s="222" t="str">
        <f>IFERROR(__xludf.DUMMYFUNCTION("""COMPUTED_VALUE"""),"8.1 Proses UT")</f>
        <v>8.1 Proses UT</v>
      </c>
      <c r="Q2484" s="222" t="str">
        <f>IFERROR(__xludf.DUMMYFUNCTION("""COMPUTED_VALUE"""),"(19/02) kABD done ke SDI (18/02) Terminasi odp PLan FI 18/02 (04/02) matdel ke site (29/01) Done aanwijziing  , proses eval")</f>
        <v>(19/02) kABD done ke SDI (18/02) Terminasi odp PLan FI 18/02 (04/02) matdel ke site (29/01) Done aanwijziing  , proses eval</v>
      </c>
      <c r="R2484" s="228">
        <f>IFERROR(__xludf.DUMMYFUNCTION("""COMPUTED_VALUE"""),46068.0)</f>
        <v>46068</v>
      </c>
      <c r="S2484" s="11"/>
      <c r="T2484" s="11"/>
      <c r="U2484" s="11" t="str">
        <f>IFERROR(__xludf.DUMMYFUNCTION("""COMPUTED_VALUE"""),"TIF-2629/2026 26KT03R158-0038")</f>
        <v>TIF-2629/2026 26KT03R158-0038</v>
      </c>
      <c r="V2484" s="229" t="str">
        <f>IFERROR(__xludf.DUMMYFUNCTION("""COMPUTED_VALUE"""),"PRAMADIO SEPWILMAN")</f>
        <v>PRAMADIO SEPWILMAN</v>
      </c>
      <c r="W2484" s="229" t="str">
        <f>IFERROR(__xludf.DUMMYFUNCTION("""COMPUTED_VALUE"""),"MELKO NARWADI")</f>
        <v>MELKO NARWADI</v>
      </c>
      <c r="X2484" s="229" t="str">
        <f>IFERROR(__xludf.DUMMYFUNCTION("""COMPUTED_VALUE"""),"GOLIVE")</f>
        <v>GOLIVE</v>
      </c>
      <c r="Y2484" s="229" t="str">
        <f>IFERROR(__xludf.DUMMYFUNCTION("""COMPUTED_VALUE"""),"DONE")</f>
        <v>DONE</v>
      </c>
      <c r="Z2484" s="229" t="str">
        <f>IFERROR(__xludf.DUMMYFUNCTION("""COMPUTED_VALUE"""),"#N/A")</f>
        <v>#N/A</v>
      </c>
      <c r="AA2484" s="229">
        <f>IFERROR(__xludf.DUMMYFUNCTION("""COMPUTED_VALUE"""),3.0)</f>
        <v>3</v>
      </c>
      <c r="AB2484" s="229"/>
      <c r="AC2484" s="229" t="str">
        <f>IFERROR(__xludf.DUMMYFUNCTION("""COMPUTED_VALUE"""),"9147325#9147330")</f>
        <v>9147325#9147330</v>
      </c>
      <c r="AD2484" s="232">
        <f>IFERROR(__xludf.DUMMYFUNCTION("""COMPUTED_VALUE"""),24.0)</f>
        <v>24</v>
      </c>
      <c r="AE2484" s="233">
        <f>IFERROR(__xludf.DUMMYFUNCTION("""COMPUTED_VALUE"""),46079.0)</f>
        <v>46079</v>
      </c>
      <c r="AF2484" s="54"/>
      <c r="AG2484" s="54"/>
      <c r="AH2484" s="54">
        <v>46068.0</v>
      </c>
      <c r="AI2484" s="55">
        <f t="shared" si="235"/>
        <v>-11</v>
      </c>
      <c r="AW2484" s="234"/>
      <c r="BP2484" s="11"/>
      <c r="BQ2484" s="11"/>
      <c r="BV2484" s="158"/>
      <c r="BY2484" s="158"/>
      <c r="CB2484" s="158"/>
    </row>
    <row r="2485" ht="18.0" customHeight="1">
      <c r="A2485" s="222">
        <f>IFERROR(__xludf.DUMMYFUNCTION("""COMPUTED_VALUE"""),2026.0)</f>
        <v>2026</v>
      </c>
      <c r="B2485" s="221">
        <f>IFERROR(__xludf.DUMMYFUNCTION("""COMPUTED_VALUE"""),1.1970149E7)</f>
        <v>11970149</v>
      </c>
      <c r="C2485" s="222" t="str">
        <f>IFERROR(__xludf.DUMMYFUNCTION("""COMPUTED_VALUE"""),"STTF Perumahan Al Amin - Darmawan")</f>
        <v>STTF Perumahan Al Amin - Darmawan</v>
      </c>
      <c r="D2485" s="222" t="str">
        <f>IFERROR(__xludf.DUMMYFUNCTION("""COMPUTED_VALUE"""),"REGIONAL I")</f>
        <v>REGIONAL I</v>
      </c>
      <c r="E2485" s="222" t="str">
        <f>IFERROR(__xludf.DUMMYFUNCTION("""COMPUTED_VALUE"""),"SUMBAR")</f>
        <v>SUMBAR</v>
      </c>
      <c r="F2485" s="222" t="str">
        <f>IFERROR(__xludf.DUMMYFUNCTION("""COMPUTED_VALUE"""),"PAM")</f>
        <v>PAM</v>
      </c>
      <c r="G2485" s="222" t="str">
        <f>IFERROR(__xludf.DUMMYFUNCTION("""COMPUTED_VALUE"""),"SUMBAGTENG")</f>
        <v>SUMBAGTENG</v>
      </c>
      <c r="H2485" s="222" t="str">
        <f>IFERROR(__xludf.DUMMYFUNCTION("""COMPUTED_VALUE"""),"BUKIT TINGGI")</f>
        <v>BUKIT TINGGI</v>
      </c>
      <c r="I2485" s="222" t="str">
        <f>IFERROR(__xludf.DUMMYFUNCTION("""COMPUTED_VALUE"""),"Batch 3")</f>
        <v>Batch 3</v>
      </c>
      <c r="J2485" s="225">
        <f>IFERROR(__xludf.DUMMYFUNCTION("""COMPUTED_VALUE"""),5.0)</f>
        <v>5</v>
      </c>
      <c r="K2485" s="224">
        <f>IFERROR(__xludf.DUMMYFUNCTION("""COMPUTED_VALUE"""),40.0)</f>
        <v>40</v>
      </c>
      <c r="L2485" s="226">
        <f>IFERROR(__xludf.DUMMYFUNCTION("""COMPUTED_VALUE"""),745930.0)</f>
        <v>745930</v>
      </c>
      <c r="M2485" s="227">
        <f>IFERROR(__xludf.DUMMYFUNCTION("""COMPUTED_VALUE"""),2.9837197E7)</f>
        <v>29837197</v>
      </c>
      <c r="N2485" s="222" t="str">
        <f>IFERROR(__xludf.DUMMYFUNCTION("""COMPUTED_VALUE"""),"PT GARINDO TECHNO MANDIRI")</f>
        <v>PT GARINDO TECHNO MANDIRI</v>
      </c>
      <c r="O2485" s="222" t="str">
        <f>IFERROR(__xludf.DUMMYFUNCTION("""COMPUTED_VALUE"""),"8. UJI TERIMA")</f>
        <v>8. UJI TERIMA</v>
      </c>
      <c r="P2485" s="222" t="str">
        <f>IFERROR(__xludf.DUMMYFUNCTION("""COMPUTED_VALUE"""),"8.1 Proses UT")</f>
        <v>8.1 Proses UT</v>
      </c>
      <c r="Q2485" s="222" t="str">
        <f>IFERROR(__xludf.DUMMYFUNCTION("""COMPUTED_VALUE"""),"(18/02) terminasi ODP PLAN FI 19/02 (05/02) proses tanam tiang (29/01) proses create PID (21/01) proses aanwijziing (07/01) Persiapan")</f>
        <v>(18/02) terminasi ODP PLAN FI 19/02 (05/02) proses tanam tiang (29/01) proses create PID (21/01) proses aanwijziing (07/01) Persiapan</v>
      </c>
      <c r="R2485" s="228">
        <f>IFERROR(__xludf.DUMMYFUNCTION("""COMPUTED_VALUE"""),46074.0)</f>
        <v>46074</v>
      </c>
      <c r="S2485" s="11"/>
      <c r="T2485" s="11"/>
      <c r="U2485" s="11" t="str">
        <f>IFERROR(__xludf.DUMMYFUNCTION("""COMPUTED_VALUE"""),"TIF-2633/2026 26KT03R158-0033")</f>
        <v>TIF-2633/2026 26KT03R158-0033</v>
      </c>
      <c r="V2485" s="229" t="str">
        <f>IFERROR(__xludf.DUMMYFUNCTION("""COMPUTED_VALUE"""),"DELPA YANDA")</f>
        <v>DELPA YANDA</v>
      </c>
      <c r="W2485" s="229" t="str">
        <f>IFERROR(__xludf.DUMMYFUNCTION("""COMPUTED_VALUE"""),"MELKO NARWADI")</f>
        <v>MELKO NARWADI</v>
      </c>
      <c r="X2485" s="229" t="str">
        <f>IFERROR(__xludf.DUMMYFUNCTION("""COMPUTED_VALUE"""),"GOLIVE")</f>
        <v>GOLIVE</v>
      </c>
      <c r="Y2485" s="229" t="str">
        <f>IFERROR(__xludf.DUMMYFUNCTION("""COMPUTED_VALUE"""),"DONE")</f>
        <v>DONE</v>
      </c>
      <c r="Z2485" s="229" t="str">
        <f>IFERROR(__xludf.DUMMYFUNCTION("""COMPUTED_VALUE"""),"#N/A")</f>
        <v>#N/A</v>
      </c>
      <c r="AA2485" s="229">
        <f>IFERROR(__xludf.DUMMYFUNCTION("""COMPUTED_VALUE"""),5.0)</f>
        <v>5</v>
      </c>
      <c r="AB2485" s="229"/>
      <c r="AC2485" s="229" t="str">
        <f>IFERROR(__xludf.DUMMYFUNCTION("""COMPUTED_VALUE"""),"9145689#9145694")</f>
        <v>9145689#9145694</v>
      </c>
      <c r="AD2485" s="232">
        <f>IFERROR(__xludf.DUMMYFUNCTION("""COMPUTED_VALUE"""),40.0)</f>
        <v>40</v>
      </c>
      <c r="AE2485" s="233">
        <f>IFERROR(__xludf.DUMMYFUNCTION("""COMPUTED_VALUE"""),46078.0)</f>
        <v>46078</v>
      </c>
      <c r="AF2485" s="54"/>
      <c r="AG2485" s="54"/>
      <c r="AH2485" s="54">
        <v>46074.0</v>
      </c>
      <c r="AI2485" s="55">
        <f t="shared" si="235"/>
        <v>-4</v>
      </c>
      <c r="AW2485" s="234"/>
      <c r="BP2485" s="11"/>
      <c r="BQ2485" s="11"/>
      <c r="BV2485" s="158"/>
      <c r="BY2485" s="158"/>
      <c r="CB2485" s="158"/>
    </row>
    <row r="2486" ht="18.0" hidden="1" customHeight="1">
      <c r="A2486" s="222">
        <f>IFERROR(__xludf.DUMMYFUNCTION("""COMPUTED_VALUE"""),2026.0)</f>
        <v>2026</v>
      </c>
      <c r="B2486" s="221">
        <f>IFERROR(__xludf.DUMMYFUNCTION("""COMPUTED_VALUE"""),1.2815073E7)</f>
        <v>12815073</v>
      </c>
      <c r="C2486" s="222" t="str">
        <f>IFERROR(__xludf.DUMMYFUNCTION("""COMPUTED_VALUE"""),"LPG PT3 JPP PRINGSEWU_135629 PRW")</f>
        <v>LPG PT3 JPP PRINGSEWU_135629 PRW</v>
      </c>
      <c r="D2486" s="222" t="str">
        <f>IFERROR(__xludf.DUMMYFUNCTION("""COMPUTED_VALUE"""),"REGIONAL I")</f>
        <v>REGIONAL I</v>
      </c>
      <c r="E2486" s="222" t="str">
        <f>IFERROR(__xludf.DUMMYFUNCTION("""COMPUTED_VALUE"""),"LAMPUNG")</f>
        <v>LAMPUNG</v>
      </c>
      <c r="F2486" s="222" t="str">
        <f>IFERROR(__xludf.DUMMYFUNCTION("""COMPUTED_VALUE"""),"PRW")</f>
        <v>PRW</v>
      </c>
      <c r="G2486" s="222" t="str">
        <f>IFERROR(__xludf.DUMMYFUNCTION("""COMPUTED_VALUE"""),"SUMBAGSEL")</f>
        <v>SUMBAGSEL</v>
      </c>
      <c r="H2486" s="222" t="str">
        <f>IFERROR(__xludf.DUMMYFUNCTION("""COMPUTED_VALUE"""),"LAMPUNG")</f>
        <v>LAMPUNG</v>
      </c>
      <c r="I2486" s="222" t="str">
        <f>IFERROR(__xludf.DUMMYFUNCTION("""COMPUTED_VALUE"""),"Batch 3")</f>
        <v>Batch 3</v>
      </c>
      <c r="J2486" s="225">
        <f>IFERROR(__xludf.DUMMYFUNCTION("""COMPUTED_VALUE"""),5.0)</f>
        <v>5</v>
      </c>
      <c r="K2486" s="224">
        <f>IFERROR(__xludf.DUMMYFUNCTION("""COMPUTED_VALUE"""),40.0)</f>
        <v>40</v>
      </c>
      <c r="L2486" s="226">
        <f>IFERROR(__xludf.DUMMYFUNCTION("""COMPUTED_VALUE"""),745614.0)</f>
        <v>745614</v>
      </c>
      <c r="M2486" s="227">
        <f>IFERROR(__xludf.DUMMYFUNCTION("""COMPUTED_VALUE"""),2.9824539E7)</f>
        <v>29824539</v>
      </c>
      <c r="N2486" s="222" t="str">
        <f>IFERROR(__xludf.DUMMYFUNCTION("""COMPUTED_VALUE"""),"PT SARANA MITRA PERSADA")</f>
        <v>PT SARANA MITRA PERSADA</v>
      </c>
      <c r="O2486" s="222" t="str">
        <f>IFERROR(__xludf.DUMMYFUNCTION("""COMPUTED_VALUE"""),"0. DROP")</f>
        <v>0. DROP</v>
      </c>
      <c r="P2486" s="222" t="str">
        <f>IFERROR(__xludf.DUMMYFUNCTION("""COMPUTED_VALUE"""),"0.2 Tidak Dapat Izin Warga/Kades/Lurah/Developer")</f>
        <v>0.2 Tidak Dapat Izin Warga/Kades/Lurah/Developer</v>
      </c>
      <c r="Q2486" s="222" t="str">
        <f>IFERROR(__xludf.DUMMYFUNCTION("""COMPUTED_VALUE"""),"(18/2) ditolak warga, dan lurah terkait penanaman tiang  (11/2) Perizinan ke lurah, belum ada feed back 6/2 proses permit , plan matdel 11/2
4/2 menunggu konfirmasi balik dari lurah terkiat perizinan")</f>
        <v>(18/2) ditolak warga, dan lurah terkait penanaman tiang  (11/2) Perizinan ke lurah, belum ada feed back 6/2 proses permit , plan matdel 11/2
4/2 menunggu konfirmasi balik dari lurah terkiat perizinan</v>
      </c>
      <c r="R2486" s="228"/>
      <c r="S2486" s="11"/>
      <c r="T2486" s="11"/>
      <c r="U2486" s="11"/>
      <c r="V2486" s="229"/>
      <c r="W2486" s="229"/>
      <c r="X2486" s="229"/>
      <c r="Y2486" s="229"/>
      <c r="Z2486" s="229" t="str">
        <f>IFERROR(__xludf.DUMMYFUNCTION("""COMPUTED_VALUE"""),"#N/A")</f>
        <v>#N/A</v>
      </c>
      <c r="AA2486" s="229"/>
      <c r="AB2486" s="229"/>
      <c r="AC2486" s="229"/>
      <c r="AD2486" s="232"/>
      <c r="AE2486" s="233"/>
      <c r="AF2486" s="54" t="str">
        <f>IFERROR(__xludf.DUMMYFUNCTION("""COMPUTED_VALUE"""),"Draft BA DROP")</f>
        <v>Draft BA DROP</v>
      </c>
      <c r="AG2486" s="54"/>
      <c r="AH2486" s="54"/>
      <c r="AI2486" s="55" t="str">
        <f t="shared" si="235"/>
        <v/>
      </c>
      <c r="AW2486" s="234"/>
      <c r="BP2486" s="11"/>
      <c r="BQ2486" s="11"/>
      <c r="BV2486" s="158"/>
      <c r="BY2486" s="158"/>
      <c r="CB2486" s="158"/>
    </row>
    <row r="2487" ht="18.0" hidden="1" customHeight="1">
      <c r="A2487" s="222">
        <f>IFERROR(__xludf.DUMMYFUNCTION("""COMPUTED_VALUE"""),2026.0)</f>
        <v>2026</v>
      </c>
      <c r="B2487" s="221">
        <f>IFERROR(__xludf.DUMMYFUNCTION("""COMPUTED_VALUE"""),1.1533288E7)</f>
        <v>11533288</v>
      </c>
      <c r="C2487" s="222" t="str">
        <f>IFERROR(__xludf.DUMMYFUNCTION("""COMPUTED_VALUE"""),"MDN PT3 LBP-FA JL.LINTAS L.PAKAM")</f>
        <v>MDN PT3 LBP-FA JL.LINTAS L.PAKAM</v>
      </c>
      <c r="D2487" s="222" t="str">
        <f>IFERROR(__xludf.DUMMYFUNCTION("""COMPUTED_VALUE"""),"REGIONAL I")</f>
        <v>REGIONAL I</v>
      </c>
      <c r="E2487" s="222" t="str">
        <f>IFERROR(__xludf.DUMMYFUNCTION("""COMPUTED_VALUE"""),"MEDAN")</f>
        <v>MEDAN</v>
      </c>
      <c r="F2487" s="222" t="str">
        <f>IFERROR(__xludf.DUMMYFUNCTION("""COMPUTED_VALUE"""),"LBP")</f>
        <v>LBP</v>
      </c>
      <c r="G2487" s="222" t="str">
        <f>IFERROR(__xludf.DUMMYFUNCTION("""COMPUTED_VALUE"""),"SUMBAGUT")</f>
        <v>SUMBAGUT</v>
      </c>
      <c r="H2487" s="222" t="str">
        <f>IFERROR(__xludf.DUMMYFUNCTION("""COMPUTED_VALUE"""),"MEDAN")</f>
        <v>MEDAN</v>
      </c>
      <c r="I2487" s="222" t="str">
        <f>IFERROR(__xludf.DUMMYFUNCTION("""COMPUTED_VALUE"""),"Batch 3")</f>
        <v>Batch 3</v>
      </c>
      <c r="J2487" s="225">
        <f>IFERROR(__xludf.DUMMYFUNCTION("""COMPUTED_VALUE"""),6.0)</f>
        <v>6</v>
      </c>
      <c r="K2487" s="224">
        <f>IFERROR(__xludf.DUMMYFUNCTION("""COMPUTED_VALUE"""),48.0)</f>
        <v>48</v>
      </c>
      <c r="L2487" s="226">
        <f>IFERROR(__xludf.DUMMYFUNCTION("""COMPUTED_VALUE"""),743850.0)</f>
        <v>743850</v>
      </c>
      <c r="M2487" s="227">
        <f>IFERROR(__xludf.DUMMYFUNCTION("""COMPUTED_VALUE"""),3.570479E7)</f>
        <v>35704790</v>
      </c>
      <c r="N2487" s="222" t="str">
        <f>IFERROR(__xludf.DUMMYFUNCTION("""COMPUTED_VALUE"""),"PT MEDCOM SOLUTION")</f>
        <v>PT MEDCOM SOLUTION</v>
      </c>
      <c r="O2487" s="222" t="str">
        <f>IFERROR(__xludf.DUMMYFUNCTION("""COMPUTED_VALUE"""),"4. MATDEL")</f>
        <v>4. MATDEL</v>
      </c>
      <c r="P2487" s="222" t="str">
        <f>IFERROR(__xludf.DUMMYFUNCTION("""COMPUTED_VALUE"""),"4.1 Belum Request Material (Alista)")</f>
        <v>4.1 Belum Request Material (Alista)</v>
      </c>
      <c r="Q2487" s="222" t="str">
        <f>IFERROR(__xludf.DUMMYFUNCTION("""COMPUTED_VALUE"""),"20/04 OGP input matrial
04/04 proses perizinan
15/01 order mitra")</f>
        <v>20/04 OGP input matrial
04/04 proses perizinan
15/01 order mitra</v>
      </c>
      <c r="R2487" s="228"/>
      <c r="S2487" s="11"/>
      <c r="T2487" s="73"/>
      <c r="U2487" s="11"/>
      <c r="V2487" s="229" t="str">
        <f>IFERROR(__xludf.DUMMYFUNCTION("""COMPUTED_VALUE"""),"28/Apr/2026")</f>
        <v>28/Apr/2026</v>
      </c>
      <c r="W2487" s="229"/>
      <c r="X2487" s="229" t="str">
        <f>IFERROR(__xludf.DUMMYFUNCTION("""COMPUTED_VALUE"""),"BELUM GOLIVE")</f>
        <v>BELUM GOLIVE</v>
      </c>
      <c r="Y2487" s="229"/>
      <c r="Z2487" s="229" t="str">
        <f>IFERROR(__xludf.DUMMYFUNCTION("""COMPUTED_VALUE"""),"#N/A")</f>
        <v>#N/A</v>
      </c>
      <c r="AA2487" s="229"/>
      <c r="AB2487" s="229"/>
      <c r="AC2487" s="229"/>
      <c r="AD2487" s="232"/>
      <c r="AE2487" s="233"/>
      <c r="AF2487" s="54"/>
      <c r="AG2487" s="54"/>
      <c r="AH2487" s="54"/>
      <c r="AI2487" s="55" t="str">
        <f t="shared" si="235"/>
        <v/>
      </c>
      <c r="AW2487" s="234"/>
      <c r="BP2487" s="11"/>
      <c r="BQ2487" s="11"/>
      <c r="BV2487" s="158"/>
      <c r="BY2487" s="158"/>
      <c r="CB2487" s="158"/>
    </row>
    <row r="2488" ht="18.0" hidden="1" customHeight="1">
      <c r="A2488" s="222">
        <f>IFERROR(__xludf.DUMMYFUNCTION("""COMPUTED_VALUE"""),2026.0)</f>
        <v>2026</v>
      </c>
      <c r="B2488" s="221">
        <f>IFERROR(__xludf.DUMMYFUNCTION("""COMPUTED_VALUE"""),1.2091491E7)</f>
        <v>12091491</v>
      </c>
      <c r="C2488" s="222" t="str">
        <f>IFERROR(__xludf.DUMMYFUNCTION("""COMPUTED_VALUE"""),"ACH PT3 LGS-FP D02 BR GAMPONG BAYEUN")</f>
        <v>ACH PT3 LGS-FP D02 BR GAMPONG BAYEUN</v>
      </c>
      <c r="D2488" s="222" t="str">
        <f>IFERROR(__xludf.DUMMYFUNCTION("""COMPUTED_VALUE"""),"REGIONAL I")</f>
        <v>REGIONAL I</v>
      </c>
      <c r="E2488" s="222" t="str">
        <f>IFERROR(__xludf.DUMMYFUNCTION("""COMPUTED_VALUE"""),"ACEH")</f>
        <v>ACEH</v>
      </c>
      <c r="F2488" s="222" t="str">
        <f>IFERROR(__xludf.DUMMYFUNCTION("""COMPUTED_VALUE"""),"LGS")</f>
        <v>LGS</v>
      </c>
      <c r="G2488" s="222" t="str">
        <f>IFERROR(__xludf.DUMMYFUNCTION("""COMPUTED_VALUE"""),"SUMBAGUT")</f>
        <v>SUMBAGUT</v>
      </c>
      <c r="H2488" s="222" t="str">
        <f>IFERROR(__xludf.DUMMYFUNCTION("""COMPUTED_VALUE"""),"BINJAI")</f>
        <v>BINJAI</v>
      </c>
      <c r="I2488" s="222" t="str">
        <f>IFERROR(__xludf.DUMMYFUNCTION("""COMPUTED_VALUE"""),"Batch 3")</f>
        <v>Batch 3</v>
      </c>
      <c r="J2488" s="225">
        <f>IFERROR(__xludf.DUMMYFUNCTION("""COMPUTED_VALUE"""),3.0)</f>
        <v>3</v>
      </c>
      <c r="K2488" s="224">
        <f>IFERROR(__xludf.DUMMYFUNCTION("""COMPUTED_VALUE"""),24.0)</f>
        <v>24</v>
      </c>
      <c r="L2488" s="226">
        <f>IFERROR(__xludf.DUMMYFUNCTION("""COMPUTED_VALUE"""),741516.0)</f>
        <v>741516</v>
      </c>
      <c r="M2488" s="227">
        <f>IFERROR(__xludf.DUMMYFUNCTION("""COMPUTED_VALUE"""),1.7796373E7)</f>
        <v>17796373</v>
      </c>
      <c r="N2488" s="222" t="str">
        <f>IFERROR(__xludf.DUMMYFUNCTION("""COMPUTED_VALUE"""),"PT NURISA JAYA PERKASA")</f>
        <v>PT NURISA JAYA PERKASA</v>
      </c>
      <c r="O2488" s="222" t="str">
        <f>IFERROR(__xludf.DUMMYFUNCTION("""COMPUTED_VALUE"""),"7. GOLIVE")</f>
        <v>7. GOLIVE</v>
      </c>
      <c r="P2488" s="222" t="str">
        <f>IFERROR(__xludf.DUMMYFUNCTION("""COMPUTED_VALUE"""),"7.2 Golive Full / OA / DONE OTB")</f>
        <v>7.2 Golive Full / OA / DONE OTB</v>
      </c>
      <c r="Q2488" s="222" t="str">
        <f>IFERROR(__xludf.DUMMYFUNCTION("""COMPUTED_VALUE"""),"(18/01) Persiapan (21/01) Tanam Tiang")</f>
        <v>(18/01) Persiapan (21/01) Tanam Tiang</v>
      </c>
      <c r="R2488" s="228">
        <f>IFERROR(__xludf.DUMMYFUNCTION("""COMPUTED_VALUE"""),46045.0)</f>
        <v>46045</v>
      </c>
      <c r="S2488" s="11"/>
      <c r="T2488" s="11"/>
      <c r="U2488" s="11"/>
      <c r="V2488" s="229"/>
      <c r="W2488" s="229"/>
      <c r="X2488" s="229" t="str">
        <f>IFERROR(__xludf.DUMMYFUNCTION("""COMPUTED_VALUE"""),"GOLIVE")</f>
        <v>GOLIVE</v>
      </c>
      <c r="Y2488" s="229" t="str">
        <f>IFERROR(__xludf.DUMMYFUNCTION("""COMPUTED_VALUE"""),"DONE")</f>
        <v>DONE</v>
      </c>
      <c r="Z2488" s="229" t="str">
        <f>IFERROR(__xludf.DUMMYFUNCTION("""COMPUTED_VALUE"""),"#N/A")</f>
        <v>#N/A</v>
      </c>
      <c r="AA2488" s="229">
        <f>IFERROR(__xludf.DUMMYFUNCTION("""COMPUTED_VALUE"""),3.0)</f>
        <v>3</v>
      </c>
      <c r="AB2488" s="229"/>
      <c r="AC2488" s="229" t="str">
        <f>IFERROR(__xludf.DUMMYFUNCTION("""COMPUTED_VALUE"""),"9007539#9007544")</f>
        <v>9007539#9007544</v>
      </c>
      <c r="AD2488" s="232">
        <f>IFERROR(__xludf.DUMMYFUNCTION("""COMPUTED_VALUE"""),24.0)</f>
        <v>24</v>
      </c>
      <c r="AE2488" s="233">
        <f>IFERROR(__xludf.DUMMYFUNCTION("""COMPUTED_VALUE"""),46045.0)</f>
        <v>46045</v>
      </c>
      <c r="AF2488" s="54"/>
      <c r="AG2488" s="54"/>
      <c r="AH2488" s="54">
        <v>46045.0</v>
      </c>
      <c r="AI2488" s="55">
        <f t="shared" si="235"/>
        <v>0</v>
      </c>
      <c r="AW2488" s="234"/>
      <c r="BP2488" s="11"/>
      <c r="BQ2488" s="11"/>
      <c r="BV2488" s="158"/>
      <c r="BY2488" s="158"/>
      <c r="CB2488" s="158"/>
    </row>
    <row r="2489" ht="18.0" hidden="1" customHeight="1">
      <c r="A2489" s="222">
        <f>IFERROR(__xludf.DUMMYFUNCTION("""COMPUTED_VALUE"""),2026.0)</f>
        <v>2026</v>
      </c>
      <c r="B2489" s="221">
        <f>IFERROR(__xludf.DUMMYFUNCTION("""COMPUTED_VALUE"""),1.2160467E7)</f>
        <v>12160467</v>
      </c>
      <c r="C2489" s="222" t="str">
        <f>IFERROR(__xludf.DUMMYFUNCTION("""COMPUTED_VALUE"""),"LPG PT3 JPP LAMPUNG TENGAH_56638 MET")</f>
        <v>LPG PT3 JPP LAMPUNG TENGAH_56638 MET</v>
      </c>
      <c r="D2489" s="222" t="str">
        <f>IFERROR(__xludf.DUMMYFUNCTION("""COMPUTED_VALUE"""),"REGIONAL I")</f>
        <v>REGIONAL I</v>
      </c>
      <c r="E2489" s="222" t="str">
        <f>IFERROR(__xludf.DUMMYFUNCTION("""COMPUTED_VALUE"""),"LAMPUNG")</f>
        <v>LAMPUNG</v>
      </c>
      <c r="F2489" s="222" t="str">
        <f>IFERROR(__xludf.DUMMYFUNCTION("""COMPUTED_VALUE"""),"MET")</f>
        <v>MET</v>
      </c>
      <c r="G2489" s="222" t="str">
        <f>IFERROR(__xludf.DUMMYFUNCTION("""COMPUTED_VALUE"""),"SUMBAGSEL")</f>
        <v>SUMBAGSEL</v>
      </c>
      <c r="H2489" s="222" t="str">
        <f>IFERROR(__xludf.DUMMYFUNCTION("""COMPUTED_VALUE"""),"LAMPUNG")</f>
        <v>LAMPUNG</v>
      </c>
      <c r="I2489" s="222" t="str">
        <f>IFERROR(__xludf.DUMMYFUNCTION("""COMPUTED_VALUE"""),"Batch 3")</f>
        <v>Batch 3</v>
      </c>
      <c r="J2489" s="225">
        <f>IFERROR(__xludf.DUMMYFUNCTION("""COMPUTED_VALUE"""),15.0)</f>
        <v>15</v>
      </c>
      <c r="K2489" s="224">
        <f>IFERROR(__xludf.DUMMYFUNCTION("""COMPUTED_VALUE"""),120.0)</f>
        <v>120</v>
      </c>
      <c r="L2489" s="226">
        <f>IFERROR(__xludf.DUMMYFUNCTION("""COMPUTED_VALUE"""),736880.0)</f>
        <v>736880</v>
      </c>
      <c r="M2489" s="227">
        <f>IFERROR(__xludf.DUMMYFUNCTION("""COMPUTED_VALUE"""),8.8425488E7)</f>
        <v>88425488</v>
      </c>
      <c r="N2489" s="222" t="str">
        <f>IFERROR(__xludf.DUMMYFUNCTION("""COMPUTED_VALUE"""),"PT FAJAR MITRA KRIDA ABADI")</f>
        <v>PT FAJAR MITRA KRIDA ABADI</v>
      </c>
      <c r="O2489" s="222" t="str">
        <f>IFERROR(__xludf.DUMMYFUNCTION("""COMPUTED_VALUE"""),"0. DROP")</f>
        <v>0. DROP</v>
      </c>
      <c r="P2489" s="222" t="str">
        <f>IFERROR(__xludf.DUMMYFUNCTION("""COMPUTED_VALUE"""),"0.2 Tidak Dapat Izin Warga/Kades/Lurah/Developer")</f>
        <v>0.2 Tidak Dapat Izin Warga/Kades/Lurah/Developer</v>
      </c>
      <c r="Q2489" s="222" t="str">
        <f>IFERROR(__xludf.DUMMYFUNCTION("""COMPUTED_VALUE"""),"6/2 Tidak dapat izin dari lurah")</f>
        <v>6/2 Tidak dapat izin dari lurah</v>
      </c>
      <c r="R2489" s="228"/>
      <c r="S2489" s="11"/>
      <c r="T2489" s="11"/>
      <c r="U2489" s="11"/>
      <c r="V2489" s="229"/>
      <c r="W2489" s="229"/>
      <c r="X2489" s="229"/>
      <c r="Y2489" s="229"/>
      <c r="Z2489" s="229" t="str">
        <f>IFERROR(__xludf.DUMMYFUNCTION("""COMPUTED_VALUE"""),"#N/A")</f>
        <v>#N/A</v>
      </c>
      <c r="AA2489" s="229"/>
      <c r="AB2489" s="229"/>
      <c r="AC2489" s="229"/>
      <c r="AD2489" s="232"/>
      <c r="AE2489" s="233"/>
      <c r="AF2489" s="54" t="str">
        <f>IFERROR(__xludf.DUMMYFUNCTION("""COMPUTED_VALUE"""),"Draft BA DROP")</f>
        <v>Draft BA DROP</v>
      </c>
      <c r="AG2489" s="54"/>
      <c r="AH2489" s="54"/>
      <c r="AI2489" s="55" t="str">
        <f t="shared" si="235"/>
        <v/>
      </c>
      <c r="AW2489" s="234"/>
      <c r="BP2489" s="11"/>
      <c r="BQ2489" s="11"/>
      <c r="BV2489" s="158"/>
      <c r="BY2489" s="158"/>
      <c r="CB2489" s="158"/>
    </row>
    <row r="2490" ht="18.0" customHeight="1">
      <c r="A2490" s="222">
        <f>IFERROR(__xludf.DUMMYFUNCTION("""COMPUTED_VALUE"""),2026.0)</f>
        <v>2026</v>
      </c>
      <c r="B2490" s="221">
        <f>IFERROR(__xludf.DUMMYFUNCTION("""COMPUTED_VALUE"""),1.1645542E7)</f>
        <v>11645542</v>
      </c>
      <c r="C2490" s="222" t="str">
        <f>IFERROR(__xludf.DUMMYFUNCTION("""COMPUTED_VALUE"""),"SMB PAM PT3 PERM ABIYYU - RAWANG")</f>
        <v>SMB PAM PT3 PERM ABIYYU - RAWANG</v>
      </c>
      <c r="D2490" s="222" t="str">
        <f>IFERROR(__xludf.DUMMYFUNCTION("""COMPUTED_VALUE"""),"REGIONAL I")</f>
        <v>REGIONAL I</v>
      </c>
      <c r="E2490" s="222" t="str">
        <f>IFERROR(__xludf.DUMMYFUNCTION("""COMPUTED_VALUE"""),"SUMBAR")</f>
        <v>SUMBAR</v>
      </c>
      <c r="F2490" s="222" t="str">
        <f>IFERROR(__xludf.DUMMYFUNCTION("""COMPUTED_VALUE"""),"PAM")</f>
        <v>PAM</v>
      </c>
      <c r="G2490" s="222" t="str">
        <f>IFERROR(__xludf.DUMMYFUNCTION("""COMPUTED_VALUE"""),"SUMBAGTENG")</f>
        <v>SUMBAGTENG</v>
      </c>
      <c r="H2490" s="222" t="str">
        <f>IFERROR(__xludf.DUMMYFUNCTION("""COMPUTED_VALUE"""),"BUKIT TINGGI")</f>
        <v>BUKIT TINGGI</v>
      </c>
      <c r="I2490" s="222" t="str">
        <f>IFERROR(__xludf.DUMMYFUNCTION("""COMPUTED_VALUE"""),"Batch 3")</f>
        <v>Batch 3</v>
      </c>
      <c r="J2490" s="225">
        <f>IFERROR(__xludf.DUMMYFUNCTION("""COMPUTED_VALUE"""),7.0)</f>
        <v>7</v>
      </c>
      <c r="K2490" s="224">
        <f>IFERROR(__xludf.DUMMYFUNCTION("""COMPUTED_VALUE"""),56.0)</f>
        <v>56</v>
      </c>
      <c r="L2490" s="226">
        <f>IFERROR(__xludf.DUMMYFUNCTION("""COMPUTED_VALUE"""),730181.0)</f>
        <v>730181</v>
      </c>
      <c r="M2490" s="227">
        <f>IFERROR(__xludf.DUMMYFUNCTION("""COMPUTED_VALUE"""),4.0890093E7)</f>
        <v>40890093</v>
      </c>
      <c r="N2490" s="222" t="str">
        <f>IFERROR(__xludf.DUMMYFUNCTION("""COMPUTED_VALUE"""),"PT SANGKURIANG CIPTA JAYA TEKNINDO")</f>
        <v>PT SANGKURIANG CIPTA JAYA TEKNINDO</v>
      </c>
      <c r="O2490" s="222" t="str">
        <f>IFERROR(__xludf.DUMMYFUNCTION("""COMPUTED_VALUE"""),"8. UJI TERIMA")</f>
        <v>8. UJI TERIMA</v>
      </c>
      <c r="P2490" s="222" t="str">
        <f>IFERROR(__xludf.DUMMYFUNCTION("""COMPUTED_VALUE"""),"8.1 Proses UT")</f>
        <v>8.1 Proses UT</v>
      </c>
      <c r="Q2490" s="222" t="str">
        <f>IFERROR(__xludf.DUMMYFUNCTION("""COMPUTED_VALUE"""),"(29/01) Proses valins 21/11 :  Info bani, modul sudah dipasang, lanjut valins rekans 13/11 : modul OLT PAM Full  06/11 : terminasi 23/10 : Terminasi 16/10 : terminasi  16/10 : tanam tiang  13/10 : tanam tiang   09 /10 : tanam tiang 02/10 : tanam tiang 25/"&amp;"09 progress tanam tiang. 22/09 : HI pengambilan Material, tgl 23/09 Progres Tanam tiang  19/09 : matdel onsite, besok proses instalasi. 15/09 : proses eval")</f>
        <v>(29/01) Proses valins 21/11 :  Info bani, modul sudah dipasang, lanjut valins rekans 13/11 : modul OLT PAM Full  06/11 : terminasi 23/10 : Terminasi 16/10 : terminasi  16/10 : tanam tiang  13/10 : tanam tiang   09 /10 : tanam tiang 02/10 : tanam tiang 25/09 progress tanam tiang. 22/09 : HI pengambilan Material, tgl 23/09 Progres Tanam tiang  19/09 : matdel onsite, besok proses instalasi. 15/09 : proses eval</v>
      </c>
      <c r="R2490" s="228"/>
      <c r="S2490" s="11"/>
      <c r="T2490" s="11"/>
      <c r="U2490" s="11"/>
      <c r="V2490" s="229" t="str">
        <f>IFERROR(__xludf.DUMMYFUNCTION("""COMPUTED_VALUE"""),"PRAMADIO SEPWILMAN")</f>
        <v>PRAMADIO SEPWILMAN</v>
      </c>
      <c r="W2490" s="229" t="str">
        <f>IFERROR(__xludf.DUMMYFUNCTION("""COMPUTED_VALUE"""),"MELKO NARWADI")</f>
        <v>MELKO NARWADI</v>
      </c>
      <c r="X2490" s="229" t="str">
        <f>IFERROR(__xludf.DUMMYFUNCTION("""COMPUTED_VALUE"""),"GOLIVE")</f>
        <v>GOLIVE</v>
      </c>
      <c r="Y2490" s="229" t="str">
        <f>IFERROR(__xludf.DUMMYFUNCTION("""COMPUTED_VALUE"""),"DONE")</f>
        <v>DONE</v>
      </c>
      <c r="Z2490" s="229" t="str">
        <f>IFERROR(__xludf.DUMMYFUNCTION("""COMPUTED_VALUE"""),"#N/A")</f>
        <v>#N/A</v>
      </c>
      <c r="AA2490" s="229">
        <f>IFERROR(__xludf.DUMMYFUNCTION("""COMPUTED_VALUE"""),6.0)</f>
        <v>6</v>
      </c>
      <c r="AB2490" s="229"/>
      <c r="AC2490" s="229" t="str">
        <f>IFERROR(__xludf.DUMMYFUNCTION("""COMPUTED_VALUE"""),"9001121#9001126")</f>
        <v>9001121#9001126</v>
      </c>
      <c r="AD2490" s="232">
        <f>IFERROR(__xludf.DUMMYFUNCTION("""COMPUTED_VALUE"""),48.0)</f>
        <v>48</v>
      </c>
      <c r="AE2490" s="233">
        <f>IFERROR(__xludf.DUMMYFUNCTION("""COMPUTED_VALUE"""),46053.0)</f>
        <v>46053</v>
      </c>
      <c r="AF2490" s="54"/>
      <c r="AG2490" s="54"/>
      <c r="AH2490" s="54"/>
      <c r="AI2490" s="55" t="str">
        <f t="shared" si="235"/>
        <v/>
      </c>
      <c r="AW2490" s="234"/>
      <c r="BP2490" s="11"/>
      <c r="BQ2490" s="11"/>
      <c r="BV2490" s="158"/>
      <c r="BY2490" s="158"/>
      <c r="CB2490" s="158"/>
    </row>
    <row r="2491" ht="18.0" customHeight="1">
      <c r="A2491" s="222">
        <f>IFERROR(__xludf.DUMMYFUNCTION("""COMPUTED_VALUE"""),2026.0)</f>
        <v>2026</v>
      </c>
      <c r="B2491" s="221">
        <f>IFERROR(__xludf.DUMMYFUNCTION("""COMPUTED_VALUE"""),1.1380449E7)</f>
        <v>11380449</v>
      </c>
      <c r="C2491" s="222" t="str">
        <f>IFERROR(__xludf.DUMMYFUNCTION("""COMPUTED_VALUE"""),"SMB P2I2 MD KOTA PADANG_10243-15346")</f>
        <v>SMB P2I2 MD KOTA PADANG_10243-15346</v>
      </c>
      <c r="D2491" s="222" t="str">
        <f>IFERROR(__xludf.DUMMYFUNCTION("""COMPUTED_VALUE"""),"REGIONAL I")</f>
        <v>REGIONAL I</v>
      </c>
      <c r="E2491" s="222" t="str">
        <f>IFERROR(__xludf.DUMMYFUNCTION("""COMPUTED_VALUE"""),"SUMBAR")</f>
        <v>SUMBAR</v>
      </c>
      <c r="F2491" s="222" t="str">
        <f>IFERROR(__xludf.DUMMYFUNCTION("""COMPUTED_VALUE"""),"BGS")</f>
        <v>BGS</v>
      </c>
      <c r="G2491" s="222" t="str">
        <f>IFERROR(__xludf.DUMMYFUNCTION("""COMPUTED_VALUE"""),"SUMBAGTENG")</f>
        <v>SUMBAGTENG</v>
      </c>
      <c r="H2491" s="222" t="str">
        <f>IFERROR(__xludf.DUMMYFUNCTION("""COMPUTED_VALUE"""),"PADANG")</f>
        <v>PADANG</v>
      </c>
      <c r="I2491" s="222" t="str">
        <f>IFERROR(__xludf.DUMMYFUNCTION("""COMPUTED_VALUE"""),"Batch 3")</f>
        <v>Batch 3</v>
      </c>
      <c r="J2491" s="225">
        <f>IFERROR(__xludf.DUMMYFUNCTION("""COMPUTED_VALUE"""),7.0)</f>
        <v>7</v>
      </c>
      <c r="K2491" s="224">
        <f>IFERROR(__xludf.DUMMYFUNCTION("""COMPUTED_VALUE"""),56.0)</f>
        <v>56</v>
      </c>
      <c r="L2491" s="226">
        <f>IFERROR(__xludf.DUMMYFUNCTION("""COMPUTED_VALUE"""),724677.0)</f>
        <v>724677</v>
      </c>
      <c r="M2491" s="227">
        <f>IFERROR(__xludf.DUMMYFUNCTION("""COMPUTED_VALUE"""),4.0581863E7)</f>
        <v>40581863</v>
      </c>
      <c r="N2491" s="222" t="str">
        <f>IFERROR(__xludf.DUMMYFUNCTION("""COMPUTED_VALUE"""),"PT ACERO CETHA METALINDO")</f>
        <v>PT ACERO CETHA METALINDO</v>
      </c>
      <c r="O2491" s="222" t="str">
        <f>IFERROR(__xludf.DUMMYFUNCTION("""COMPUTED_VALUE"""),"8. UJI TERIMA")</f>
        <v>8. UJI TERIMA</v>
      </c>
      <c r="P2491" s="222" t="str">
        <f>IFERROR(__xludf.DUMMYFUNCTION("""COMPUTED_VALUE"""),"8.1 Proses UT")</f>
        <v>8.1 Proses UT</v>
      </c>
      <c r="Q2491" s="222" t="str">
        <f>IFERROR(__xludf.DUMMYFUNCTION("""COMPUTED_VALUE"""),"21/11 : proses valins   13/11 : proses valins 06/11 : proses valins  23/10 : valins 16/10 : Terminasi  13/10 : Terminasi  09/10 : terminasi odp  02/10 : terminasi odp 25/09 : Commcase Done, lanjut tanam tiang. comcase warga , minta kompenasasi 5 btg tiang"&amp;" 1 jta, tahap nego  19/09 : Commcase Done, lanjut tanam tiang. comcase warga , minta kompenasasi 5 btg tiang 1 jta, tahap nego  17/09 : comcase warga , minta kompenasasi 5 btg tiang 1 jta, tahap nego 15/09 : Tanam tiang")</f>
        <v>21/11 : proses valins   13/11 : proses valins 06/11 : proses valins  23/10 : valins 16/10 : Terminasi  13/10 : Terminasi  09/10 : terminasi odp  02/10 : terminasi odp 25/09 : Commcase Done, lanjut tanam tiang. comcase warga , minta kompenasasi 5 btg tiang 1 jta, tahap nego  19/09 : Commcase Done, lanjut tanam tiang. comcase warga , minta kompenasasi 5 btg tiang 1 jta, tahap nego  17/09 : comcase warga , minta kompenasasi 5 btg tiang 1 jta, tahap nego 15/09 : Tanam tiang</v>
      </c>
      <c r="R2491" s="228"/>
      <c r="S2491" s="11"/>
      <c r="T2491" s="11"/>
      <c r="U2491" s="11"/>
      <c r="V2491" s="229" t="str">
        <f>IFERROR(__xludf.DUMMYFUNCTION("""COMPUTED_VALUE"""),"ALDI EFENDI")</f>
        <v>ALDI EFENDI</v>
      </c>
      <c r="W2491" s="229" t="str">
        <f>IFERROR(__xludf.DUMMYFUNCTION("""COMPUTED_VALUE"""),"MELKO NARWADI")</f>
        <v>MELKO NARWADI</v>
      </c>
      <c r="X2491" s="229" t="str">
        <f>IFERROR(__xludf.DUMMYFUNCTION("""COMPUTED_VALUE"""),"GOLIVE")</f>
        <v>GOLIVE</v>
      </c>
      <c r="Y2491" s="229" t="str">
        <f>IFERROR(__xludf.DUMMYFUNCTION("""COMPUTED_VALUE"""),"DONE")</f>
        <v>DONE</v>
      </c>
      <c r="Z2491" s="229" t="str">
        <f>IFERROR(__xludf.DUMMYFUNCTION("""COMPUTED_VALUE"""),"#N/A")</f>
        <v>#N/A</v>
      </c>
      <c r="AA2491" s="229">
        <f>IFERROR(__xludf.DUMMYFUNCTION("""COMPUTED_VALUE"""),7.0)</f>
        <v>7</v>
      </c>
      <c r="AB2491" s="229"/>
      <c r="AC2491" s="229" t="str">
        <f>IFERROR(__xludf.DUMMYFUNCTION("""COMPUTED_VALUE"""),"9023109#9023114")</f>
        <v>9023109#9023114</v>
      </c>
      <c r="AD2491" s="232">
        <f>IFERROR(__xludf.DUMMYFUNCTION("""COMPUTED_VALUE"""),56.0)</f>
        <v>56</v>
      </c>
      <c r="AE2491" s="233">
        <f>IFERROR(__xludf.DUMMYFUNCTION("""COMPUTED_VALUE"""),46049.0)</f>
        <v>46049</v>
      </c>
      <c r="AF2491" s="54"/>
      <c r="AG2491" s="54"/>
      <c r="AH2491" s="54"/>
      <c r="AI2491" s="55" t="str">
        <f t="shared" si="235"/>
        <v/>
      </c>
      <c r="AW2491" s="234"/>
      <c r="BP2491" s="11"/>
      <c r="BQ2491" s="11"/>
      <c r="BV2491" s="158"/>
      <c r="BY2491" s="158"/>
      <c r="CB2491" s="158"/>
    </row>
    <row r="2492" ht="18.0" hidden="1" customHeight="1">
      <c r="A2492" s="222">
        <f>IFERROR(__xludf.DUMMYFUNCTION("""COMPUTED_VALUE"""),2026.0)</f>
        <v>2026</v>
      </c>
      <c r="B2492" s="221">
        <f>IFERROR(__xludf.DUMMYFUNCTION("""COMPUTED_VALUE"""),1.1266162E7)</f>
        <v>11266162</v>
      </c>
      <c r="C2492" s="222" t="str">
        <f>IFERROR(__xludf.DUMMYFUNCTION("""COMPUTED_VALUE"""),"ACH PT3 PRL-FA D05 BR PAJAK PRL")</f>
        <v>ACH PT3 PRL-FA D05 BR PAJAK PRL</v>
      </c>
      <c r="D2492" s="222" t="str">
        <f>IFERROR(__xludf.DUMMYFUNCTION("""COMPUTED_VALUE"""),"REGIONAL I")</f>
        <v>REGIONAL I</v>
      </c>
      <c r="E2492" s="222" t="str">
        <f>IFERROR(__xludf.DUMMYFUNCTION("""COMPUTED_VALUE"""),"ACEH")</f>
        <v>ACEH</v>
      </c>
      <c r="F2492" s="222" t="str">
        <f>IFERROR(__xludf.DUMMYFUNCTION("""COMPUTED_VALUE"""),"PRL")</f>
        <v>PRL</v>
      </c>
      <c r="G2492" s="222" t="str">
        <f>IFERROR(__xludf.DUMMYFUNCTION("""COMPUTED_VALUE"""),"SUMBAGUT")</f>
        <v>SUMBAGUT</v>
      </c>
      <c r="H2492" s="222" t="str">
        <f>IFERROR(__xludf.DUMMYFUNCTION("""COMPUTED_VALUE"""),"BINJAI")</f>
        <v>BINJAI</v>
      </c>
      <c r="I2492" s="222" t="str">
        <f>IFERROR(__xludf.DUMMYFUNCTION("""COMPUTED_VALUE"""),"Batch 3")</f>
        <v>Batch 3</v>
      </c>
      <c r="J2492" s="225">
        <f>IFERROR(__xludf.DUMMYFUNCTION("""COMPUTED_VALUE"""),6.0)</f>
        <v>6</v>
      </c>
      <c r="K2492" s="224">
        <f>IFERROR(__xludf.DUMMYFUNCTION("""COMPUTED_VALUE"""),48.0)</f>
        <v>48</v>
      </c>
      <c r="L2492" s="226">
        <f>IFERROR(__xludf.DUMMYFUNCTION("""COMPUTED_VALUE"""),724352.0)</f>
        <v>724352</v>
      </c>
      <c r="M2492" s="227">
        <f>IFERROR(__xludf.DUMMYFUNCTION("""COMPUTED_VALUE"""),3.4768853E7)</f>
        <v>34768853</v>
      </c>
      <c r="N2492" s="222" t="str">
        <f>IFERROR(__xludf.DUMMYFUNCTION("""COMPUTED_VALUE"""),"PT ARA PAYA INTAN")</f>
        <v>PT ARA PAYA INTAN</v>
      </c>
      <c r="O2492" s="222" t="str">
        <f>IFERROR(__xludf.DUMMYFUNCTION("""COMPUTED_VALUE"""),"7. GOLIVE")</f>
        <v>7. GOLIVE</v>
      </c>
      <c r="P2492" s="222" t="str">
        <f>IFERROR(__xludf.DUMMYFUNCTION("""COMPUTED_VALUE"""),"7.2 Golive Full / OA / DONE OTB")</f>
        <v>7.2 Golive Full / OA / DONE OTB</v>
      </c>
      <c r="Q2492" s="222" t="str">
        <f>IFERROR(__xludf.DUMMYFUNCTION("""COMPUTED_VALUE"""),"(13/02) Antrian Drawing (11/02)pgl (09/02) Validasi ABD (07/02) Proses Valins (29/01) progres pemasangan odp (22/01) Penarikan Kabel (15/01) Tanam Tiang ")</f>
        <v>(13/02) Antrian Drawing (11/02)pgl (09/02) Validasi ABD (07/02) Proses Valins (29/01) progres pemasangan odp (22/01) Penarikan Kabel (15/01) Tanam Tiang </v>
      </c>
      <c r="R2492" s="228">
        <f>IFERROR(__xludf.DUMMYFUNCTION("""COMPUTED_VALUE"""),46066.0)</f>
        <v>46066</v>
      </c>
      <c r="S2492" s="11"/>
      <c r="T2492" s="11"/>
      <c r="U2492" s="11" t="str">
        <f>IFERROR(__xludf.DUMMYFUNCTION("""COMPUTED_VALUE"""),"W04-953/2025")</f>
        <v>W04-953/2025</v>
      </c>
      <c r="V2492" s="229"/>
      <c r="W2492" s="229"/>
      <c r="X2492" s="229" t="str">
        <f>IFERROR(__xludf.DUMMYFUNCTION("""COMPUTED_VALUE"""),"GOLIVE")</f>
        <v>GOLIVE</v>
      </c>
      <c r="Y2492" s="229" t="str">
        <f>IFERROR(__xludf.DUMMYFUNCTION("""COMPUTED_VALUE"""),"DONE")</f>
        <v>DONE</v>
      </c>
      <c r="Z2492" s="229" t="str">
        <f>IFERROR(__xludf.DUMMYFUNCTION("""COMPUTED_VALUE"""),"#N/A")</f>
        <v>#N/A</v>
      </c>
      <c r="AA2492" s="229">
        <f>IFERROR(__xludf.DUMMYFUNCTION("""COMPUTED_VALUE"""),6.0)</f>
        <v>6</v>
      </c>
      <c r="AB2492" s="229"/>
      <c r="AC2492" s="229" t="str">
        <f>IFERROR(__xludf.DUMMYFUNCTION("""COMPUTED_VALUE"""),"9095512#9095517")</f>
        <v>9095512#9095517</v>
      </c>
      <c r="AD2492" s="232">
        <f>IFERROR(__xludf.DUMMYFUNCTION("""COMPUTED_VALUE"""),48.0)</f>
        <v>48</v>
      </c>
      <c r="AE2492" s="233">
        <f>IFERROR(__xludf.DUMMYFUNCTION("""COMPUTED_VALUE"""),46066.0)</f>
        <v>46066</v>
      </c>
      <c r="AF2492" s="54"/>
      <c r="AG2492" s="54"/>
      <c r="AH2492" s="54">
        <v>46066.0</v>
      </c>
      <c r="AI2492" s="55">
        <f t="shared" si="235"/>
        <v>0</v>
      </c>
      <c r="AW2492" s="234"/>
      <c r="BP2492" s="11"/>
      <c r="BQ2492" s="11"/>
      <c r="BV2492" s="158"/>
      <c r="BY2492" s="158"/>
      <c r="CB2492" s="158"/>
    </row>
    <row r="2493" ht="18.0" hidden="1" customHeight="1">
      <c r="A2493" s="222">
        <f>IFERROR(__xludf.DUMMYFUNCTION("""COMPUTED_VALUE"""),2026.0)</f>
        <v>2026</v>
      </c>
      <c r="B2493" s="221">
        <f>IFERROR(__xludf.DUMMYFUNCTION("""COMPUTED_VALUE"""),1.274488E7)</f>
        <v>12744880</v>
      </c>
      <c r="C2493" s="222" t="str">
        <f>IFERROR(__xludf.DUMMYFUNCTION("""COMPUTED_VALUE"""),"LPG PT3 JPP LAMPUNG TIMUR_152095 MET")</f>
        <v>LPG PT3 JPP LAMPUNG TIMUR_152095 MET</v>
      </c>
      <c r="D2493" s="222" t="str">
        <f>IFERROR(__xludf.DUMMYFUNCTION("""COMPUTED_VALUE"""),"REGIONAL I")</f>
        <v>REGIONAL I</v>
      </c>
      <c r="E2493" s="222" t="str">
        <f>IFERROR(__xludf.DUMMYFUNCTION("""COMPUTED_VALUE"""),"LAMPUNG")</f>
        <v>LAMPUNG</v>
      </c>
      <c r="F2493" s="222" t="str">
        <f>IFERROR(__xludf.DUMMYFUNCTION("""COMPUTED_VALUE"""),"MET")</f>
        <v>MET</v>
      </c>
      <c r="G2493" s="222" t="str">
        <f>IFERROR(__xludf.DUMMYFUNCTION("""COMPUTED_VALUE"""),"SUMBAGSEL")</f>
        <v>SUMBAGSEL</v>
      </c>
      <c r="H2493" s="222" t="str">
        <f>IFERROR(__xludf.DUMMYFUNCTION("""COMPUTED_VALUE"""),"LAMPUNG")</f>
        <v>LAMPUNG</v>
      </c>
      <c r="I2493" s="222" t="str">
        <f>IFERROR(__xludf.DUMMYFUNCTION("""COMPUTED_VALUE"""),"Batch 3")</f>
        <v>Batch 3</v>
      </c>
      <c r="J2493" s="225">
        <f>IFERROR(__xludf.DUMMYFUNCTION("""COMPUTED_VALUE"""),3.0)</f>
        <v>3</v>
      </c>
      <c r="K2493" s="224">
        <f>IFERROR(__xludf.DUMMYFUNCTION("""COMPUTED_VALUE"""),24.0)</f>
        <v>24</v>
      </c>
      <c r="L2493" s="226">
        <f>IFERROR(__xludf.DUMMYFUNCTION("""COMPUTED_VALUE"""),724255.0)</f>
        <v>724255</v>
      </c>
      <c r="M2493" s="227">
        <f>IFERROR(__xludf.DUMMYFUNCTION("""COMPUTED_VALUE"""),1.7382112E7)</f>
        <v>17382112</v>
      </c>
      <c r="N2493" s="222" t="str">
        <f>IFERROR(__xludf.DUMMYFUNCTION("""COMPUTED_VALUE"""),"PT GARINDO TECHNO MANDIRI")</f>
        <v>PT GARINDO TECHNO MANDIRI</v>
      </c>
      <c r="O2493" s="222" t="str">
        <f>IFERROR(__xludf.DUMMYFUNCTION("""COMPUTED_VALUE"""),"7. GOLIVE")</f>
        <v>7. GOLIVE</v>
      </c>
      <c r="P2493" s="222" t="str">
        <f>IFERROR(__xludf.DUMMYFUNCTION("""COMPUTED_VALUE"""),"7.2 Golive Full / OA / DONE OTB")</f>
        <v>7.2 Golive Full / OA / DONE OTB</v>
      </c>
      <c r="Q2493" s="222" t="str">
        <f>IFERROR(__xludf.DUMMYFUNCTION("""COMPUTED_VALUE"""),"17/4 proses valins 17/4, 15/4 proses penarikan kabel, plan fi 16/4, plan abd 17/4, plan golive 18/4, 13/04 proses instal instal 11./4 proses instalasi 08/04 Done PR PO , proses matdel 06/04 Proses PR PO2/4 proses pengajuan pr/po,25/3 proses pengajuan PR/P"&amp;"O 13/3 proses pengajuan PR/PO,, 5/3  DONE ANWIZING TANGGAL  7/3
2/3 MENUNGGU APPROVE DARI KEPALA DESA , estimasi keputusan  dari desa 7/3
27/2 MENUNGGU APPROVE DARI KEPALA DESA 
25/2 PROSES PERIZINAN KE LURAH 
20/2 proses pengecekan core dan distribusi
18"&amp;"/2 sudah aanwijzing, belum bakp karena lurah belum dilokasi 11/2 plan anwizing , 14 FEB   6/2 plan anwizing ,9/2 survey eletrical fedeer dan distribusi 
4/2 progres prizinan dan eletrical 
30/1 plan anwizing 
23/1 plan anwizing tanggal 26/1")</f>
        <v>17/4 proses valins 17/4, 15/4 proses penarikan kabel, plan fi 16/4, plan abd 17/4, plan golive 18/4, 13/04 proses instal instal 11./4 proses instalasi 08/04 Done PR PO , proses matdel 06/04 Proses PR PO2/4 proses pengajuan pr/po,25/3 proses pengajuan PR/PO 13/3 proses pengajuan PR/PO,, 5/3  DONE ANWIZING TANGGAL  7/3
2/3 MENUNGGU APPROVE DARI KEPALA DESA , estimasi keputusan  dari desa 7/3
27/2 MENUNGGU APPROVE DARI KEPALA DESA 
25/2 PROSES PERIZINAN KE LURAH 
20/2 proses pengecekan core dan distribusi
18/2 sudah aanwijzing, belum bakp karena lurah belum dilokasi 11/2 plan anwizing , 14 FEB   6/2 plan anwizing ,9/2 survey eletrical fedeer dan distribusi 
4/2 progres prizinan dan eletrical 
30/1 plan anwizing 
23/1 plan anwizing tanggal 26/1</v>
      </c>
      <c r="R2493" s="228">
        <f>IFERROR(__xludf.DUMMYFUNCTION("""COMPUTED_VALUE"""),46129.0)</f>
        <v>46129</v>
      </c>
      <c r="S2493" s="11" t="str">
        <f>IFERROR(__xludf.DUMMYFUNCTION("""COMPUTED_VALUE"""),"APR")</f>
        <v>APR</v>
      </c>
      <c r="T2493" s="73"/>
      <c r="U2493" s="11" t="str">
        <f>IFERROR(__xludf.DUMMYFUNCTION("""COMPUTED_VALUE"""),"TIF-6110/2026")</f>
        <v>TIF-6110/2026</v>
      </c>
      <c r="V2493" s="229"/>
      <c r="W2493" s="229"/>
      <c r="X2493" s="229" t="str">
        <f>IFERROR(__xludf.DUMMYFUNCTION("""COMPUTED_VALUE"""),"GOLIVE")</f>
        <v>GOLIVE</v>
      </c>
      <c r="Y2493" s="229" t="str">
        <f>IFERROR(__xludf.DUMMYFUNCTION("""COMPUTED_VALUE"""),"DONE")</f>
        <v>DONE</v>
      </c>
      <c r="Z2493" s="229" t="str">
        <f>IFERROR(__xludf.DUMMYFUNCTION("""COMPUTED_VALUE"""),"#N/A")</f>
        <v>#N/A</v>
      </c>
      <c r="AA2493" s="229">
        <f>IFERROR(__xludf.DUMMYFUNCTION("""COMPUTED_VALUE"""),3.0)</f>
        <v>3</v>
      </c>
      <c r="AB2493" s="229"/>
      <c r="AC2493" s="229" t="str">
        <f>IFERROR(__xludf.DUMMYFUNCTION("""COMPUTED_VALUE"""),"9201961#9201966")</f>
        <v>9201961#9201966</v>
      </c>
      <c r="AD2493" s="232">
        <f>IFERROR(__xludf.DUMMYFUNCTION("""COMPUTED_VALUE"""),24.0)</f>
        <v>24</v>
      </c>
      <c r="AE2493" s="233">
        <f>IFERROR(__xludf.DUMMYFUNCTION("""COMPUTED_VALUE"""),46129.0)</f>
        <v>46129</v>
      </c>
      <c r="AF2493" s="54"/>
      <c r="AG2493" s="54"/>
      <c r="AH2493" s="54">
        <v>46138.0</v>
      </c>
      <c r="AI2493" s="55">
        <f t="shared" si="235"/>
        <v>0</v>
      </c>
      <c r="AW2493" s="234"/>
      <c r="BP2493" s="11"/>
      <c r="BQ2493" s="11"/>
      <c r="BV2493" s="158"/>
      <c r="BY2493" s="158"/>
      <c r="CB2493" s="158"/>
    </row>
    <row r="2494" ht="18.0" customHeight="1">
      <c r="A2494" s="222">
        <f>IFERROR(__xludf.DUMMYFUNCTION("""COMPUTED_VALUE"""),2026.0)</f>
        <v>2026</v>
      </c>
      <c r="B2494" s="221">
        <f>IFERROR(__xludf.DUMMYFUNCTION("""COMPUTED_VALUE"""),1.2695166E7)</f>
        <v>12695166</v>
      </c>
      <c r="C2494" s="222" t="str">
        <f>IFERROR(__xludf.DUMMYFUNCTION("""COMPUTED_VALUE"""),"RDR JPP PT3 SERESAM")</f>
        <v>RDR JPP PT3 SERESAM</v>
      </c>
      <c r="D2494" s="222" t="str">
        <f>IFERROR(__xludf.DUMMYFUNCTION("""COMPUTED_VALUE"""),"REGIONAL I")</f>
        <v>REGIONAL I</v>
      </c>
      <c r="E2494" s="222" t="str">
        <f>IFERROR(__xludf.DUMMYFUNCTION("""COMPUTED_VALUE"""),"RIDAR")</f>
        <v>RIDAR</v>
      </c>
      <c r="F2494" s="222" t="str">
        <f>IFERROR(__xludf.DUMMYFUNCTION("""COMPUTED_VALUE"""),"TAK")</f>
        <v>TAK</v>
      </c>
      <c r="G2494" s="222" t="str">
        <f>IFERROR(__xludf.DUMMYFUNCTION("""COMPUTED_VALUE"""),"SUMBAGTENG")</f>
        <v>SUMBAGTENG</v>
      </c>
      <c r="H2494" s="222" t="str">
        <f>IFERROR(__xludf.DUMMYFUNCTION("""COMPUTED_VALUE"""),"PEKANBARU")</f>
        <v>PEKANBARU</v>
      </c>
      <c r="I2494" s="222" t="str">
        <f>IFERROR(__xludf.DUMMYFUNCTION("""COMPUTED_VALUE"""),"Batch 3")</f>
        <v>Batch 3</v>
      </c>
      <c r="J2494" s="225">
        <f>IFERROR(__xludf.DUMMYFUNCTION("""COMPUTED_VALUE"""),13.0)</f>
        <v>13</v>
      </c>
      <c r="K2494" s="224">
        <f>IFERROR(__xludf.DUMMYFUNCTION("""COMPUTED_VALUE"""),104.0)</f>
        <v>104</v>
      </c>
      <c r="L2494" s="226">
        <f>IFERROR(__xludf.DUMMYFUNCTION("""COMPUTED_VALUE"""),724184.0)</f>
        <v>724184</v>
      </c>
      <c r="M2494" s="227">
        <f>IFERROR(__xludf.DUMMYFUNCTION("""COMPUTED_VALUE"""),7.5315072E7)</f>
        <v>75315072</v>
      </c>
      <c r="N2494" s="222" t="str">
        <f>IFERROR(__xludf.DUMMYFUNCTION("""COMPUTED_VALUE"""),"PT TRIPOLA PANATA")</f>
        <v>PT TRIPOLA PANATA</v>
      </c>
      <c r="O2494" s="222" t="str">
        <f>IFERROR(__xludf.DUMMYFUNCTION("""COMPUTED_VALUE"""),"2. DONE AANWIJZING")</f>
        <v>2. DONE AANWIJZING</v>
      </c>
      <c r="P2494" s="222" t="str">
        <f>IFERROR(__xludf.DUMMYFUNCTION("""COMPUTED_VALUE"""),"2.3 Sudah Aanwidjzing - Tunggu hasil Eval")</f>
        <v>2.3 Sudah Aanwidjzing - Tunggu hasil Eval</v>
      </c>
      <c r="Q2494" s="222" t="str">
        <f>IFERROR(__xludf.DUMMYFUNCTION("""COMPUTED_VALUE"""),"20/04 Survey ulang karena ada perubahan design 13/04 Menunggu review 11/03 Butuh repair Feeder ODC RGT FQ 05/03 Antrian Review dengan TIF 20/02 Sudah review, harus review ulang krn eviden tidak lengkap 09/02 Antrian Review 29/01 Proses Anwidzing 26/01 New"&amp;" Order, target selesai survey 30 Jan")</f>
        <v>20/04 Survey ulang karena ada perubahan design 13/04 Menunggu review 11/03 Butuh repair Feeder ODC RGT FQ 05/03 Antrian Review dengan TIF 20/02 Sudah review, harus review ulang krn eviden tidak lengkap 09/02 Antrian Review 29/01 Proses Anwidzing 26/01 New Order, target selesai survey 30 Jan</v>
      </c>
      <c r="R2494" s="228"/>
      <c r="S2494" s="11"/>
      <c r="T2494" s="11" t="str">
        <f>IFERROR(__xludf.DUMMYFUNCTION("""COMPUTED_VALUE"""),"P1")</f>
        <v>P1</v>
      </c>
      <c r="U2494" s="11"/>
      <c r="V2494" s="229" t="str">
        <f>IFERROR(__xludf.DUMMYFUNCTION("""COMPUTED_VALUE"""),"SYAFRIAL")</f>
        <v>SYAFRIAL</v>
      </c>
      <c r="W2494" s="229" t="str">
        <f>IFERROR(__xludf.DUMMYFUNCTION("""COMPUTED_VALUE"""),"DESLITA RAHMADANI")</f>
        <v>DESLITA RAHMADANI</v>
      </c>
      <c r="X2494" s="229"/>
      <c r="Y2494" s="229"/>
      <c r="Z2494" s="229" t="str">
        <f>IFERROR(__xludf.DUMMYFUNCTION("""COMPUTED_VALUE"""),"#N/A")</f>
        <v>#N/A</v>
      </c>
      <c r="AA2494" s="229"/>
      <c r="AB2494" s="229"/>
      <c r="AC2494" s="229"/>
      <c r="AD2494" s="232"/>
      <c r="AE2494" s="233"/>
      <c r="AF2494" s="54"/>
      <c r="AG2494" s="54"/>
      <c r="AH2494" s="54"/>
      <c r="AI2494" s="55" t="str">
        <f t="shared" si="235"/>
        <v/>
      </c>
      <c r="AW2494" s="234"/>
      <c r="BP2494" s="11"/>
      <c r="BQ2494" s="11"/>
      <c r="BV2494" s="158"/>
      <c r="BY2494" s="158"/>
      <c r="CB2494" s="158"/>
    </row>
    <row r="2495" ht="18.0" hidden="1" customHeight="1">
      <c r="A2495" s="222">
        <f>IFERROR(__xludf.DUMMYFUNCTION("""COMPUTED_VALUE"""),2026.0)</f>
        <v>2026</v>
      </c>
      <c r="B2495" s="221">
        <f>IFERROR(__xludf.DUMMYFUNCTION("""COMPUTED_VALUE"""),1.2589352E7)</f>
        <v>12589352</v>
      </c>
      <c r="C2495" s="222" t="str">
        <f>IFERROR(__xludf.DUMMYFUNCTION("""COMPUTED_VALUE"""),"LPG PT3 JPP LAMPUNG TENGAH_152047 BDA")</f>
        <v>LPG PT3 JPP LAMPUNG TENGAH_152047 BDA</v>
      </c>
      <c r="D2495" s="222" t="str">
        <f>IFERROR(__xludf.DUMMYFUNCTION("""COMPUTED_VALUE"""),"REGIONAL I")</f>
        <v>REGIONAL I</v>
      </c>
      <c r="E2495" s="222" t="str">
        <f>IFERROR(__xludf.DUMMYFUNCTION("""COMPUTED_VALUE"""),"LAMPUNG")</f>
        <v>LAMPUNG</v>
      </c>
      <c r="F2495" s="222" t="str">
        <f>IFERROR(__xludf.DUMMYFUNCTION("""COMPUTED_VALUE"""),"BDA")</f>
        <v>BDA</v>
      </c>
      <c r="G2495" s="222" t="str">
        <f>IFERROR(__xludf.DUMMYFUNCTION("""COMPUTED_VALUE"""),"SUMBAGSEL")</f>
        <v>SUMBAGSEL</v>
      </c>
      <c r="H2495" s="222" t="str">
        <f>IFERROR(__xludf.DUMMYFUNCTION("""COMPUTED_VALUE"""),"LAMPUNG")</f>
        <v>LAMPUNG</v>
      </c>
      <c r="I2495" s="222" t="str">
        <f>IFERROR(__xludf.DUMMYFUNCTION("""COMPUTED_VALUE"""),"Batch 3")</f>
        <v>Batch 3</v>
      </c>
      <c r="J2495" s="225">
        <f>IFERROR(__xludf.DUMMYFUNCTION("""COMPUTED_VALUE"""),6.0)</f>
        <v>6</v>
      </c>
      <c r="K2495" s="224">
        <f>IFERROR(__xludf.DUMMYFUNCTION("""COMPUTED_VALUE"""),48.0)</f>
        <v>48</v>
      </c>
      <c r="L2495" s="226">
        <f>IFERROR(__xludf.DUMMYFUNCTION("""COMPUTED_VALUE"""),722855.0)</f>
        <v>722855</v>
      </c>
      <c r="M2495" s="227">
        <f>IFERROR(__xludf.DUMMYFUNCTION("""COMPUTED_VALUE"""),3.4697011E7)</f>
        <v>34697011</v>
      </c>
      <c r="N2495" s="222" t="str">
        <f>IFERROR(__xludf.DUMMYFUNCTION("""COMPUTED_VALUE"""),"PT GARINDO TECHNO MANDIRI")</f>
        <v>PT GARINDO TECHNO MANDIRI</v>
      </c>
      <c r="O2495" s="222" t="str">
        <f>IFERROR(__xludf.DUMMYFUNCTION("""COMPUTED_VALUE"""),"0. DROP")</f>
        <v>0. DROP</v>
      </c>
      <c r="P2495" s="222" t="str">
        <f>IFERROR(__xludf.DUMMYFUNCTION("""COMPUTED_VALUE"""),"0.2 Tidak Dapat Izin Warga/Kades/Lurah/Developer")</f>
        <v>0.2 Tidak Dapat Izin Warga/Kades/Lurah/Developer</v>
      </c>
      <c r="Q2495" s="222" t="str">
        <f>IFERROR(__xludf.DUMMYFUNCTION("""COMPUTED_VALUE"""),"9/2 tidak dapat izin dari PT. Gunung Madu City, 14 FEB   6/2 plan anwizing ,9/2 survey eletrical fedeer dan distribusi 
4/2 progres prizinan dan eletrical 
30/1 plan anwizing 
23/1 plan anwizing tanggal 26/1")</f>
        <v>9/2 tidak dapat izin dari PT. Gunung Madu City, 14 FEB   6/2 plan anwizing ,9/2 survey eletrical fedeer dan distribusi 
4/2 progres prizinan dan eletrical 
30/1 plan anwizing 
23/1 plan anwizing tanggal 26/1</v>
      </c>
      <c r="R2495" s="228"/>
      <c r="S2495" s="11"/>
      <c r="T2495" s="11"/>
      <c r="U2495" s="11"/>
      <c r="V2495" s="229"/>
      <c r="W2495" s="229"/>
      <c r="X2495" s="229"/>
      <c r="Y2495" s="229"/>
      <c r="Z2495" s="229" t="str">
        <f>IFERROR(__xludf.DUMMYFUNCTION("""COMPUTED_VALUE"""),"#N/A")</f>
        <v>#N/A</v>
      </c>
      <c r="AA2495" s="229"/>
      <c r="AB2495" s="229"/>
      <c r="AC2495" s="229"/>
      <c r="AD2495" s="232"/>
      <c r="AE2495" s="233"/>
      <c r="AF2495" s="54" t="str">
        <f>IFERROR(__xludf.DUMMYFUNCTION("""COMPUTED_VALUE"""),"Draft BA DROP")</f>
        <v>Draft BA DROP</v>
      </c>
      <c r="AG2495" s="54"/>
      <c r="AH2495" s="54"/>
      <c r="AI2495" s="55" t="str">
        <f t="shared" si="235"/>
        <v/>
      </c>
      <c r="AW2495" s="234"/>
      <c r="BP2495" s="11"/>
      <c r="BQ2495" s="11"/>
      <c r="BV2495" s="158"/>
      <c r="BY2495" s="158"/>
      <c r="CB2495" s="158"/>
    </row>
    <row r="2496" ht="18.0" hidden="1" customHeight="1">
      <c r="A2496" s="222">
        <f>IFERROR(__xludf.DUMMYFUNCTION("""COMPUTED_VALUE"""),2026.0)</f>
        <v>2026</v>
      </c>
      <c r="B2496" s="221">
        <f>IFERROR(__xludf.DUMMYFUNCTION("""COMPUTED_VALUE"""),1.2438711E7)</f>
        <v>12438711</v>
      </c>
      <c r="C2496" s="222" t="str">
        <f>IFERROR(__xludf.DUMMYFUNCTION("""COMPUTED_VALUE"""),"MDN PT3 TJR-FJ JL.PENDIDIKAN-TAMORA_MD25")</f>
        <v>MDN PT3 TJR-FJ JL.PENDIDIKAN-TAMORA_MD25</v>
      </c>
      <c r="D2496" s="222" t="str">
        <f>IFERROR(__xludf.DUMMYFUNCTION("""COMPUTED_VALUE"""),"REGIONAL I")</f>
        <v>REGIONAL I</v>
      </c>
      <c r="E2496" s="222" t="str">
        <f>IFERROR(__xludf.DUMMYFUNCTION("""COMPUTED_VALUE"""),"MEDAN")</f>
        <v>MEDAN</v>
      </c>
      <c r="F2496" s="222" t="str">
        <f>IFERROR(__xludf.DUMMYFUNCTION("""COMPUTED_VALUE"""),"TJR")</f>
        <v>TJR</v>
      </c>
      <c r="G2496" s="222" t="str">
        <f>IFERROR(__xludf.DUMMYFUNCTION("""COMPUTED_VALUE"""),"SUMBAGUT")</f>
        <v>SUMBAGUT</v>
      </c>
      <c r="H2496" s="222" t="str">
        <f>IFERROR(__xludf.DUMMYFUNCTION("""COMPUTED_VALUE"""),"MEDAN")</f>
        <v>MEDAN</v>
      </c>
      <c r="I2496" s="222" t="str">
        <f>IFERROR(__xludf.DUMMYFUNCTION("""COMPUTED_VALUE"""),"Batch 3")</f>
        <v>Batch 3</v>
      </c>
      <c r="J2496" s="225">
        <f>IFERROR(__xludf.DUMMYFUNCTION("""COMPUTED_VALUE"""),6.0)</f>
        <v>6</v>
      </c>
      <c r="K2496" s="224">
        <f>IFERROR(__xludf.DUMMYFUNCTION("""COMPUTED_VALUE"""),48.0)</f>
        <v>48</v>
      </c>
      <c r="L2496" s="226">
        <f>IFERROR(__xludf.DUMMYFUNCTION("""COMPUTED_VALUE"""),720164.0)</f>
        <v>720164</v>
      </c>
      <c r="M2496" s="227">
        <f>IFERROR(__xludf.DUMMYFUNCTION("""COMPUTED_VALUE"""),3.4567856E7)</f>
        <v>34567856</v>
      </c>
      <c r="N2496" s="222" t="str">
        <f>IFERROR(__xludf.DUMMYFUNCTION("""COMPUTED_VALUE"""),"PT NIAGA NUSANTARA DIVA")</f>
        <v>PT NIAGA NUSANTARA DIVA</v>
      </c>
      <c r="O2496" s="222" t="str">
        <f>IFERROR(__xludf.DUMMYFUNCTION("""COMPUTED_VALUE"""),"0. DROP")</f>
        <v>0. DROP</v>
      </c>
      <c r="P2496" s="222" t="str">
        <f>IFERROR(__xludf.DUMMYFUNCTION("""COMPUTED_VALUE"""),"0.2 Tidak Dapat Izin Warga/Kades/Lurah/Developer")</f>
        <v>0.2 Tidak Dapat Izin Warga/Kades/Lurah/Developer</v>
      </c>
      <c r="Q2496" s="222" t="str">
        <f>IFERROR(__xludf.DUMMYFUNCTION("""COMPUTED_VALUE"""),"21/04 tdk dapat izin kades perihal provider lain belum clear
31/03 done redesign, lanjut perizinan (01/04) 12/02 redisgn dist
29/01 D05 sisa 5 port / plan 6 ODP")</f>
        <v>21/04 tdk dapat izin kades perihal provider lain belum clear
31/03 done redesign, lanjut perizinan (01/04) 12/02 redisgn dist
29/01 D05 sisa 5 port / plan 6 ODP</v>
      </c>
      <c r="R2496" s="228"/>
      <c r="S2496" s="11"/>
      <c r="T2496" s="73"/>
      <c r="U2496" s="11"/>
      <c r="V2496" s="229" t="str">
        <f>IFERROR(__xludf.DUMMYFUNCTION("""COMPUTED_VALUE"""),"28/Apr/2026")</f>
        <v>28/Apr/2026</v>
      </c>
      <c r="W2496" s="229"/>
      <c r="X2496" s="229" t="str">
        <f>IFERROR(__xludf.DUMMYFUNCTION("""COMPUTED_VALUE"""),"BELUM GOLIVE")</f>
        <v>BELUM GOLIVE</v>
      </c>
      <c r="Y2496" s="229"/>
      <c r="Z2496" s="229" t="str">
        <f>IFERROR(__xludf.DUMMYFUNCTION("""COMPUTED_VALUE"""),"#N/A")</f>
        <v>#N/A</v>
      </c>
      <c r="AA2496" s="229"/>
      <c r="AB2496" s="229"/>
      <c r="AC2496" s="229"/>
      <c r="AD2496" s="232"/>
      <c r="AE2496" s="233"/>
      <c r="AF2496" s="54"/>
      <c r="AG2496" s="54"/>
      <c r="AH2496" s="54"/>
      <c r="AI2496" s="55" t="str">
        <f t="shared" si="235"/>
        <v/>
      </c>
      <c r="AW2496" s="234"/>
      <c r="BP2496" s="11"/>
      <c r="BQ2496" s="11"/>
      <c r="BV2496" s="158"/>
      <c r="BY2496" s="158"/>
      <c r="CB2496" s="158"/>
    </row>
    <row r="2497" ht="18.0" hidden="1" customHeight="1">
      <c r="A2497" s="222">
        <f>IFERROR(__xludf.DUMMYFUNCTION("""COMPUTED_VALUE"""),2026.0)</f>
        <v>2026</v>
      </c>
      <c r="B2497" s="221">
        <f>IFERROR(__xludf.DUMMYFUNCTION("""COMPUTED_VALUE"""),1.1377939E7)</f>
        <v>11377939</v>
      </c>
      <c r="C2497" s="222" t="str">
        <f>IFERROR(__xludf.DUMMYFUNCTION("""COMPUTED_VALUE"""),"MDN PT3 TJR-FK DELI SERDANG_12841")</f>
        <v>MDN PT3 TJR-FK DELI SERDANG_12841</v>
      </c>
      <c r="D2497" s="222" t="str">
        <f>IFERROR(__xludf.DUMMYFUNCTION("""COMPUTED_VALUE"""),"REGIONAL I")</f>
        <v>REGIONAL I</v>
      </c>
      <c r="E2497" s="222" t="str">
        <f>IFERROR(__xludf.DUMMYFUNCTION("""COMPUTED_VALUE"""),"MEDAN")</f>
        <v>MEDAN</v>
      </c>
      <c r="F2497" s="222" t="str">
        <f>IFERROR(__xludf.DUMMYFUNCTION("""COMPUTED_VALUE"""),"TJR")</f>
        <v>TJR</v>
      </c>
      <c r="G2497" s="222" t="str">
        <f>IFERROR(__xludf.DUMMYFUNCTION("""COMPUTED_VALUE"""),"SUMBAGUT")</f>
        <v>SUMBAGUT</v>
      </c>
      <c r="H2497" s="222" t="str">
        <f>IFERROR(__xludf.DUMMYFUNCTION("""COMPUTED_VALUE"""),"MEDAN")</f>
        <v>MEDAN</v>
      </c>
      <c r="I2497" s="222" t="str">
        <f>IFERROR(__xludf.DUMMYFUNCTION("""COMPUTED_VALUE"""),"Batch 3")</f>
        <v>Batch 3</v>
      </c>
      <c r="J2497" s="225">
        <f>IFERROR(__xludf.DUMMYFUNCTION("""COMPUTED_VALUE"""),2.0)</f>
        <v>2</v>
      </c>
      <c r="K2497" s="224">
        <f>IFERROR(__xludf.DUMMYFUNCTION("""COMPUTED_VALUE"""),16.0)</f>
        <v>16</v>
      </c>
      <c r="L2497" s="226">
        <f>IFERROR(__xludf.DUMMYFUNCTION("""COMPUTED_VALUE"""),717930.0)</f>
        <v>717930</v>
      </c>
      <c r="M2497" s="227">
        <f>IFERROR(__xludf.DUMMYFUNCTION("""COMPUTED_VALUE"""),1.1486873E7)</f>
        <v>11486873</v>
      </c>
      <c r="N2497" s="222" t="str">
        <f>IFERROR(__xludf.DUMMYFUNCTION("""COMPUTED_VALUE"""),"PT MEDCOM SOLUTION")</f>
        <v>PT MEDCOM SOLUTION</v>
      </c>
      <c r="O2497" s="222" t="str">
        <f>IFERROR(__xludf.DUMMYFUNCTION("""COMPUTED_VALUE"""),"7. GOLIVE")</f>
        <v>7. GOLIVE</v>
      </c>
      <c r="P2497" s="222" t="str">
        <f>IFERROR(__xludf.DUMMYFUNCTION("""COMPUTED_VALUE"""),"7.2 Golive Full / OA / DONE OTB")</f>
        <v>7.2 Golive Full / OA / DONE OTB</v>
      </c>
      <c r="Q2497" s="222" t="str">
        <f>IFERROR(__xludf.DUMMYFUNCTION("""COMPUTED_VALUE"""),"09/04 penarikan kabel
18/02 perlu QE dist loss indikasi after pengerjaan gamas
")</f>
        <v>09/04 penarikan kabel
18/02 perlu QE dist loss indikasi after pengerjaan gamas
</v>
      </c>
      <c r="R2497" s="228">
        <f>IFERROR(__xludf.DUMMYFUNCTION("""COMPUTED_VALUE"""),46137.0)</f>
        <v>46137</v>
      </c>
      <c r="S2497" s="11" t="str">
        <f>IFERROR(__xludf.DUMMYFUNCTION("""COMPUTED_VALUE"""),"APR")</f>
        <v>APR</v>
      </c>
      <c r="T2497" s="11"/>
      <c r="U2497" s="11"/>
      <c r="V2497" s="229"/>
      <c r="W2497" s="229"/>
      <c r="X2497" s="229" t="str">
        <f>IFERROR(__xludf.DUMMYFUNCTION("""COMPUTED_VALUE"""),"GOLIVE")</f>
        <v>GOLIVE</v>
      </c>
      <c r="Y2497" s="229" t="str">
        <f>IFERROR(__xludf.DUMMYFUNCTION("""COMPUTED_VALUE"""),"DONE")</f>
        <v>DONE</v>
      </c>
      <c r="Z2497" s="229" t="str">
        <f>IFERROR(__xludf.DUMMYFUNCTION("""COMPUTED_VALUE"""),"#N/A")</f>
        <v>#N/A</v>
      </c>
      <c r="AA2497" s="229">
        <f>IFERROR(__xludf.DUMMYFUNCTION("""COMPUTED_VALUE"""),2.0)</f>
        <v>2</v>
      </c>
      <c r="AB2497" s="229"/>
      <c r="AC2497" s="229" t="str">
        <f>IFERROR(__xludf.DUMMYFUNCTION("""COMPUTED_VALUE"""),"9317439#9317444")</f>
        <v>9317439#9317444</v>
      </c>
      <c r="AD2497" s="232">
        <f>IFERROR(__xludf.DUMMYFUNCTION("""COMPUTED_VALUE"""),16.0)</f>
        <v>16</v>
      </c>
      <c r="AE2497" s="233">
        <f>IFERROR(__xludf.DUMMYFUNCTION("""COMPUTED_VALUE"""),46139.0)</f>
        <v>46139</v>
      </c>
      <c r="AF2497" s="54"/>
      <c r="AG2497" s="54"/>
      <c r="AH2497" s="54"/>
      <c r="AI2497" s="55">
        <f t="shared" si="235"/>
        <v>-2</v>
      </c>
      <c r="AW2497" s="234"/>
      <c r="BP2497" s="11"/>
      <c r="BQ2497" s="11"/>
      <c r="BV2497" s="158"/>
      <c r="BY2497" s="158"/>
      <c r="CB2497" s="158"/>
    </row>
    <row r="2498" ht="18.0" hidden="1" customHeight="1">
      <c r="A2498" s="222">
        <f>IFERROR(__xludf.DUMMYFUNCTION("""COMPUTED_VALUE"""),2026.0)</f>
        <v>2026</v>
      </c>
      <c r="B2498" s="221">
        <f>IFERROR(__xludf.DUMMYFUNCTION("""COMPUTED_VALUE"""),1.2438518E7)</f>
        <v>12438518</v>
      </c>
      <c r="C2498" s="222" t="str">
        <f>IFERROR(__xludf.DUMMYFUNCTION("""COMPUTED_VALUE"""),"MDN PT3 PDB-FT JL.NGUMBAN SURBAKTI_MD25")</f>
        <v>MDN PT3 PDB-FT JL.NGUMBAN SURBAKTI_MD25</v>
      </c>
      <c r="D2498" s="222" t="str">
        <f>IFERROR(__xludf.DUMMYFUNCTION("""COMPUTED_VALUE"""),"REGIONAL I")</f>
        <v>REGIONAL I</v>
      </c>
      <c r="E2498" s="222" t="str">
        <f>IFERROR(__xludf.DUMMYFUNCTION("""COMPUTED_VALUE"""),"MEDAN")</f>
        <v>MEDAN</v>
      </c>
      <c r="F2498" s="222" t="str">
        <f>IFERROR(__xludf.DUMMYFUNCTION("""COMPUTED_VALUE"""),"PDB")</f>
        <v>PDB</v>
      </c>
      <c r="G2498" s="222" t="str">
        <f>IFERROR(__xludf.DUMMYFUNCTION("""COMPUTED_VALUE"""),"SUMBAGUT")</f>
        <v>SUMBAGUT</v>
      </c>
      <c r="H2498" s="222" t="str">
        <f>IFERROR(__xludf.DUMMYFUNCTION("""COMPUTED_VALUE"""),"MEDAN")</f>
        <v>MEDAN</v>
      </c>
      <c r="I2498" s="222" t="str">
        <f>IFERROR(__xludf.DUMMYFUNCTION("""COMPUTED_VALUE"""),"Batch 3")</f>
        <v>Batch 3</v>
      </c>
      <c r="J2498" s="225">
        <f>IFERROR(__xludf.DUMMYFUNCTION("""COMPUTED_VALUE"""),4.0)</f>
        <v>4</v>
      </c>
      <c r="K2498" s="224">
        <f>IFERROR(__xludf.DUMMYFUNCTION("""COMPUTED_VALUE"""),32.0)</f>
        <v>32</v>
      </c>
      <c r="L2498" s="226">
        <f>IFERROR(__xludf.DUMMYFUNCTION("""COMPUTED_VALUE"""),715747.0)</f>
        <v>715747</v>
      </c>
      <c r="M2498" s="227">
        <f>IFERROR(__xludf.DUMMYFUNCTION("""COMPUTED_VALUE"""),2.2903892E7)</f>
        <v>22903892</v>
      </c>
      <c r="N2498" s="222" t="str">
        <f>IFERROR(__xludf.DUMMYFUNCTION("""COMPUTED_VALUE"""),"SWAKELOLA")</f>
        <v>SWAKELOLA</v>
      </c>
      <c r="O2498" s="222" t="str">
        <f>IFERROR(__xludf.DUMMYFUNCTION("""COMPUTED_VALUE"""),"0. DROP")</f>
        <v>0. DROP</v>
      </c>
      <c r="P2498" s="222" t="str">
        <f>IFERROR(__xludf.DUMMYFUNCTION("""COMPUTED_VALUE"""),"0.3 Feeder Full")</f>
        <v>0.3 Feeder Full</v>
      </c>
      <c r="Q2498" s="222" t="str">
        <f>IFERROR(__xludf.DUMMYFUNCTION("""COMPUTED_VALUE"""),"02/02 Feeder Tidak Tembus")</f>
        <v>02/02 Feeder Tidak Tembus</v>
      </c>
      <c r="R2498" s="228"/>
      <c r="S2498" s="11"/>
      <c r="T2498" s="11"/>
      <c r="U2498" s="11"/>
      <c r="V2498" s="229"/>
      <c r="W2498" s="229"/>
      <c r="X2498" s="229" t="str">
        <f>IFERROR(__xludf.DUMMYFUNCTION("""COMPUTED_VALUE"""),"BELUM GOLIVE")</f>
        <v>BELUM GOLIVE</v>
      </c>
      <c r="Y2498" s="229"/>
      <c r="Z2498" s="229" t="str">
        <f>IFERROR(__xludf.DUMMYFUNCTION("""COMPUTED_VALUE"""),"#N/A")</f>
        <v>#N/A</v>
      </c>
      <c r="AA2498" s="229"/>
      <c r="AB2498" s="229"/>
      <c r="AC2498" s="229"/>
      <c r="AD2498" s="232"/>
      <c r="AE2498" s="233"/>
      <c r="AF2498" s="54"/>
      <c r="AG2498" s="54"/>
      <c r="AH2498" s="54"/>
      <c r="AI2498" s="55" t="str">
        <f t="shared" si="235"/>
        <v/>
      </c>
      <c r="AW2498" s="234"/>
      <c r="BP2498" s="11"/>
      <c r="BQ2498" s="11"/>
      <c r="BV2498" s="158"/>
      <c r="BY2498" s="158"/>
      <c r="CB2498" s="158"/>
    </row>
    <row r="2499" ht="18.0" hidden="1" customHeight="1">
      <c r="A2499" s="222">
        <f>IFERROR(__xludf.DUMMYFUNCTION("""COMPUTED_VALUE"""),2026.0)</f>
        <v>2026</v>
      </c>
      <c r="B2499" s="221">
        <f>IFERROR(__xludf.DUMMYFUNCTION("""COMPUTED_VALUE"""),1.1535726E7)</f>
        <v>11535726</v>
      </c>
      <c r="C2499" s="222" t="str">
        <f>IFERROR(__xludf.DUMMYFUNCTION("""COMPUTED_VALUE"""),"MDN PT3 SPM-FDA JL.SWAKARYA")</f>
        <v>MDN PT3 SPM-FDA JL.SWAKARYA</v>
      </c>
      <c r="D2499" s="222" t="str">
        <f>IFERROR(__xludf.DUMMYFUNCTION("""COMPUTED_VALUE"""),"REGIONAL I")</f>
        <v>REGIONAL I</v>
      </c>
      <c r="E2499" s="222" t="str">
        <f>IFERROR(__xludf.DUMMYFUNCTION("""COMPUTED_VALUE"""),"MEDAN")</f>
        <v>MEDAN</v>
      </c>
      <c r="F2499" s="222" t="str">
        <f>IFERROR(__xludf.DUMMYFUNCTION("""COMPUTED_VALUE"""),"SPM")</f>
        <v>SPM</v>
      </c>
      <c r="G2499" s="222" t="str">
        <f>IFERROR(__xludf.DUMMYFUNCTION("""COMPUTED_VALUE"""),"SUMBAGUT")</f>
        <v>SUMBAGUT</v>
      </c>
      <c r="H2499" s="222" t="str">
        <f>IFERROR(__xludf.DUMMYFUNCTION("""COMPUTED_VALUE"""),"MEDAN")</f>
        <v>MEDAN</v>
      </c>
      <c r="I2499" s="222" t="str">
        <f>IFERROR(__xludf.DUMMYFUNCTION("""COMPUTED_VALUE"""),"Batch 3")</f>
        <v>Batch 3</v>
      </c>
      <c r="J2499" s="225">
        <f>IFERROR(__xludf.DUMMYFUNCTION("""COMPUTED_VALUE"""),3.0)</f>
        <v>3</v>
      </c>
      <c r="K2499" s="224">
        <f>IFERROR(__xludf.DUMMYFUNCTION("""COMPUTED_VALUE"""),24.0)</f>
        <v>24</v>
      </c>
      <c r="L2499" s="226">
        <f>IFERROR(__xludf.DUMMYFUNCTION("""COMPUTED_VALUE"""),712039.0)</f>
        <v>712039</v>
      </c>
      <c r="M2499" s="227">
        <f>IFERROR(__xludf.DUMMYFUNCTION("""COMPUTED_VALUE"""),1.7088933E7)</f>
        <v>17088933</v>
      </c>
      <c r="N2499" s="222" t="str">
        <f>IFERROR(__xludf.DUMMYFUNCTION("""COMPUTED_VALUE"""),"PT WALET SOLUSINDO")</f>
        <v>PT WALET SOLUSINDO</v>
      </c>
      <c r="O2499" s="222" t="str">
        <f>IFERROR(__xludf.DUMMYFUNCTION("""COMPUTED_VALUE"""),"2. DONE AANWIJZING")</f>
        <v>2. DONE AANWIJZING</v>
      </c>
      <c r="P2499" s="222" t="str">
        <f>IFERROR(__xludf.DUMMYFUNCTION("""COMPUTED_VALUE"""),"2.10 Kendala - Feeder Rusak")</f>
        <v>2.10 Kendala - Feeder Rusak</v>
      </c>
      <c r="Q2499" s="222" t="str">
        <f>IFERROR(__xludf.DUMMYFUNCTION("""COMPUTED_VALUE"""),"08/03 Feeder Redti 07/02 Feeder Habis, Core eksis 2")</f>
        <v>08/03 Feeder Redti 07/02 Feeder Habis, Core eksis 2</v>
      </c>
      <c r="R2499" s="228"/>
      <c r="S2499" s="11"/>
      <c r="T2499" s="11"/>
      <c r="U2499" s="11"/>
      <c r="V2499" s="229"/>
      <c r="W2499" s="229"/>
      <c r="X2499" s="229" t="str">
        <f>IFERROR(__xludf.DUMMYFUNCTION("""COMPUTED_VALUE"""),"BELUM GOLIVE")</f>
        <v>BELUM GOLIVE</v>
      </c>
      <c r="Y2499" s="229"/>
      <c r="Z2499" s="229" t="str">
        <f>IFERROR(__xludf.DUMMYFUNCTION("""COMPUTED_VALUE"""),"#N/A")</f>
        <v>#N/A</v>
      </c>
      <c r="AA2499" s="229"/>
      <c r="AB2499" s="229"/>
      <c r="AC2499" s="229"/>
      <c r="AD2499" s="232"/>
      <c r="AE2499" s="233"/>
      <c r="AF2499" s="54"/>
      <c r="AG2499" s="54"/>
      <c r="AH2499" s="54"/>
      <c r="AI2499" s="55" t="str">
        <f t="shared" si="235"/>
        <v/>
      </c>
      <c r="AW2499" s="234"/>
      <c r="BP2499" s="11"/>
      <c r="BQ2499" s="11"/>
      <c r="BV2499" s="158"/>
      <c r="BY2499" s="158"/>
      <c r="CB2499" s="158"/>
    </row>
    <row r="2500" ht="18.0" customHeight="1">
      <c r="A2500" s="222">
        <f>IFERROR(__xludf.DUMMYFUNCTION("""COMPUTED_VALUE"""),2026.0)</f>
        <v>2026</v>
      </c>
      <c r="B2500" s="221">
        <f>IFERROR(__xludf.DUMMYFUNCTION("""COMPUTED_VALUE"""),1.2822771E7)</f>
        <v>12822771</v>
      </c>
      <c r="C2500" s="222" t="str">
        <f>IFERROR(__xludf.DUMMYFUNCTION("""COMPUTED_VALUE"""),"RKP TSEL PT3 BTC-FDB TAMAN BALOI")</f>
        <v>RKP TSEL PT3 BTC-FDB TAMAN BALOI</v>
      </c>
      <c r="D2500" s="222" t="str">
        <f>IFERROR(__xludf.DUMMYFUNCTION("""COMPUTED_VALUE"""),"REGIONAL I")</f>
        <v>REGIONAL I</v>
      </c>
      <c r="E2500" s="222" t="str">
        <f>IFERROR(__xludf.DUMMYFUNCTION("""COMPUTED_VALUE"""),"RIKEP")</f>
        <v>RIKEP</v>
      </c>
      <c r="F2500" s="222" t="str">
        <f>IFERROR(__xludf.DUMMYFUNCTION("""COMPUTED_VALUE"""),"BTC")</f>
        <v>BTC</v>
      </c>
      <c r="G2500" s="222" t="str">
        <f>IFERROR(__xludf.DUMMYFUNCTION("""COMPUTED_VALUE"""),"SUMBAGTENG")</f>
        <v>SUMBAGTENG</v>
      </c>
      <c r="H2500" s="222" t="str">
        <f>IFERROR(__xludf.DUMMYFUNCTION("""COMPUTED_VALUE"""),"BATAM")</f>
        <v>BATAM</v>
      </c>
      <c r="I2500" s="222" t="str">
        <f>IFERROR(__xludf.DUMMYFUNCTION("""COMPUTED_VALUE"""),"Batch 3")</f>
        <v>Batch 3</v>
      </c>
      <c r="J2500" s="225">
        <f>IFERROR(__xludf.DUMMYFUNCTION("""COMPUTED_VALUE"""),1.0)</f>
        <v>1</v>
      </c>
      <c r="K2500" s="224">
        <f>IFERROR(__xludf.DUMMYFUNCTION("""COMPUTED_VALUE"""),8.0)</f>
        <v>8</v>
      </c>
      <c r="L2500" s="226">
        <f>IFERROR(__xludf.DUMMYFUNCTION("""COMPUTED_VALUE"""),710645.0)</f>
        <v>710645</v>
      </c>
      <c r="M2500" s="227">
        <f>IFERROR(__xludf.DUMMYFUNCTION("""COMPUTED_VALUE"""),5685156.0)</f>
        <v>5685156</v>
      </c>
      <c r="N2500" s="222" t="str">
        <f>IFERROR(__xludf.DUMMYFUNCTION("""COMPUTED_VALUE"""),"PT MITRA SETIA INDONESIA")</f>
        <v>PT MITRA SETIA INDONESIA</v>
      </c>
      <c r="O2500" s="222" t="str">
        <f>IFERROR(__xludf.DUMMYFUNCTION("""COMPUTED_VALUE"""),"0. DROP")</f>
        <v>0. DROP</v>
      </c>
      <c r="P2500" s="222" t="str">
        <f>IFERROR(__xludf.DUMMYFUNCTION("""COMPUTED_VALUE"""),"0.2 Tidak Dapat Izin Warga/Kades/Lurah/Developer")</f>
        <v>0.2 Tidak Dapat Izin Warga/Kades/Lurah/Developer</v>
      </c>
      <c r="Q2500" s="222" t="str">
        <f>IFERROR(__xludf.DUMMYFUNCTION("""COMPUTED_VALUE"""),"26/02 Izin tidak di acc RT. 21/02 Peralihan mitra karena mitra tidak ada MP, dari mitra PT ALTONG ke PT MSI. 09/02 LOP blm di survey PT altong. 28/01 Plan survey HI. 26/01  Mitra PT Altong menolak order alasan MP, peralihan mitra. 21/01 plan fu perizinan "&amp;"tanggal 26 Jan")</f>
        <v>26/02 Izin tidak di acc RT. 21/02 Peralihan mitra karena mitra tidak ada MP, dari mitra PT ALTONG ke PT MSI. 09/02 LOP blm di survey PT altong. 28/01 Plan survey HI. 26/01  Mitra PT Altong menolak order alasan MP, peralihan mitra. 21/01 plan fu perizinan tanggal 26 Jan</v>
      </c>
      <c r="R2500" s="228"/>
      <c r="S2500" s="11"/>
      <c r="T2500" s="11"/>
      <c r="U2500" s="11"/>
      <c r="V2500" s="229" t="str">
        <f>IFERROR(__xludf.DUMMYFUNCTION("""COMPUTED_VALUE"""),"GANI PRASTYO")</f>
        <v>GANI PRASTYO</v>
      </c>
      <c r="W2500" s="229"/>
      <c r="X2500" s="229"/>
      <c r="Y2500" s="229"/>
      <c r="Z2500" s="229" t="str">
        <f>IFERROR(__xludf.DUMMYFUNCTION("""COMPUTED_VALUE"""),"#N/A")</f>
        <v>#N/A</v>
      </c>
      <c r="AA2500" s="229"/>
      <c r="AB2500" s="229"/>
      <c r="AC2500" s="229"/>
      <c r="AD2500" s="232"/>
      <c r="AE2500" s="233"/>
      <c r="AF2500" s="54" t="str">
        <f>IFERROR(__xludf.DUMMYFUNCTION("""COMPUTED_VALUE"""),"Draft BA DROP")</f>
        <v>Draft BA DROP</v>
      </c>
      <c r="AG2500" s="54"/>
      <c r="AH2500" s="54"/>
      <c r="AI2500" s="55" t="str">
        <f t="shared" si="235"/>
        <v/>
      </c>
      <c r="AW2500" s="234"/>
      <c r="BP2500" s="11"/>
      <c r="BQ2500" s="11"/>
      <c r="BV2500" s="158"/>
      <c r="BY2500" s="158"/>
      <c r="CB2500" s="158"/>
    </row>
    <row r="2501" ht="18.0" customHeight="1">
      <c r="A2501" s="222">
        <f>IFERROR(__xludf.DUMMYFUNCTION("""COMPUTED_VALUE"""),2026.0)</f>
        <v>2026</v>
      </c>
      <c r="B2501" s="221">
        <f>IFERROR(__xludf.DUMMYFUNCTION("""COMPUTED_VALUE"""),1.282338E7)</f>
        <v>12823380</v>
      </c>
      <c r="C2501" s="222" t="str">
        <f>IFERROR(__xludf.DUMMYFUNCTION("""COMPUTED_VALUE"""),"SMB-PT3-ODC-PYK-FU-KOTA PYK-99139")</f>
        <v>SMB-PT3-ODC-PYK-FU-KOTA PYK-99139</v>
      </c>
      <c r="D2501" s="222" t="str">
        <f>IFERROR(__xludf.DUMMYFUNCTION("""COMPUTED_VALUE"""),"REGIONAL I")</f>
        <v>REGIONAL I</v>
      </c>
      <c r="E2501" s="222" t="str">
        <f>IFERROR(__xludf.DUMMYFUNCTION("""COMPUTED_VALUE"""),"SUMBAR")</f>
        <v>SUMBAR</v>
      </c>
      <c r="F2501" s="222" t="str">
        <f>IFERROR(__xludf.DUMMYFUNCTION("""COMPUTED_VALUE"""),"PYK")</f>
        <v>PYK</v>
      </c>
      <c r="G2501" s="222" t="str">
        <f>IFERROR(__xludf.DUMMYFUNCTION("""COMPUTED_VALUE"""),"SUMBAGTENG")</f>
        <v>SUMBAGTENG</v>
      </c>
      <c r="H2501" s="222" t="str">
        <f>IFERROR(__xludf.DUMMYFUNCTION("""COMPUTED_VALUE"""),"BUKIT TINGGI")</f>
        <v>BUKIT TINGGI</v>
      </c>
      <c r="I2501" s="222" t="str">
        <f>IFERROR(__xludf.DUMMYFUNCTION("""COMPUTED_VALUE"""),"Batch 3")</f>
        <v>Batch 3</v>
      </c>
      <c r="J2501" s="225">
        <f>IFERROR(__xludf.DUMMYFUNCTION("""COMPUTED_VALUE"""),1.0)</f>
        <v>1</v>
      </c>
      <c r="K2501" s="224">
        <f>IFERROR(__xludf.DUMMYFUNCTION("""COMPUTED_VALUE"""),8.0)</f>
        <v>8</v>
      </c>
      <c r="L2501" s="226">
        <f>IFERROR(__xludf.DUMMYFUNCTION("""COMPUTED_VALUE"""),709485.0)</f>
        <v>709485</v>
      </c>
      <c r="M2501" s="227">
        <f>IFERROR(__xludf.DUMMYFUNCTION("""COMPUTED_VALUE"""),5675879.0)</f>
        <v>5675879</v>
      </c>
      <c r="N2501" s="222" t="str">
        <f>IFERROR(__xludf.DUMMYFUNCTION("""COMPUTED_VALUE"""),"PT RATRI PRIMA MANDIRI")</f>
        <v>PT RATRI PRIMA MANDIRI</v>
      </c>
      <c r="O2501" s="222" t="str">
        <f>IFERROR(__xludf.DUMMYFUNCTION("""COMPUTED_VALUE"""),"0. DROP")</f>
        <v>0. DROP</v>
      </c>
      <c r="P2501" s="222" t="str">
        <f>IFERROR(__xludf.DUMMYFUNCTION("""COMPUTED_VALUE"""),"0.3 Feeder Full")</f>
        <v>0.3 Feeder Full</v>
      </c>
      <c r="Q2501" s="222" t="str">
        <f>IFERROR(__xludf.DUMMYFUNCTION("""COMPUTED_VALUE"""),"(03/02) feeder PYK-FU Full Kendala distribusi 8 PYK-FU full, kenaikan lebih dari 10% (29/01) Done aanwijziing  , proses eval")</f>
        <v>(03/02) feeder PYK-FU Full Kendala distribusi 8 PYK-FU full, kenaikan lebih dari 10% (29/01) Done aanwijziing  , proses eval</v>
      </c>
      <c r="R2501" s="228"/>
      <c r="S2501" s="11"/>
      <c r="T2501" s="11"/>
      <c r="U2501" s="11"/>
      <c r="V2501" s="229" t="str">
        <f>IFERROR(__xludf.DUMMYFUNCTION("""COMPUTED_VALUE"""),"M. ARIF HAMADI")</f>
        <v>M. ARIF HAMADI</v>
      </c>
      <c r="W2501" s="229" t="str">
        <f>IFERROR(__xludf.DUMMYFUNCTION("""COMPUTED_VALUE"""),"MELKO NARWADI")</f>
        <v>MELKO NARWADI</v>
      </c>
      <c r="X2501" s="229"/>
      <c r="Y2501" s="229"/>
      <c r="Z2501" s="229" t="str">
        <f>IFERROR(__xludf.DUMMYFUNCTION("""COMPUTED_VALUE"""),"#N/A")</f>
        <v>#N/A</v>
      </c>
      <c r="AA2501" s="229"/>
      <c r="AB2501" s="229"/>
      <c r="AC2501" s="229"/>
      <c r="AD2501" s="232"/>
      <c r="AE2501" s="233"/>
      <c r="AF2501" s="54" t="str">
        <f>IFERROR(__xludf.DUMMYFUNCTION("""COMPUTED_VALUE"""),"Draft BA DROP")</f>
        <v>Draft BA DROP</v>
      </c>
      <c r="AG2501" s="54"/>
      <c r="AH2501" s="54"/>
      <c r="AI2501" s="55" t="str">
        <f t="shared" si="235"/>
        <v/>
      </c>
      <c r="AW2501" s="234"/>
      <c r="BP2501" s="11"/>
      <c r="BQ2501" s="11"/>
      <c r="BV2501" s="158"/>
      <c r="BY2501" s="158"/>
      <c r="CB2501" s="158"/>
    </row>
    <row r="2502" ht="18.0" customHeight="1">
      <c r="A2502" s="222">
        <f>IFERROR(__xludf.DUMMYFUNCTION("""COMPUTED_VALUE"""),2026.0)</f>
        <v>2026</v>
      </c>
      <c r="B2502" s="221">
        <f>IFERROR(__xludf.DUMMYFUNCTION("""COMPUTED_VALUE"""),1.2785482E7)</f>
        <v>12785482</v>
      </c>
      <c r="C2502" s="222" t="str">
        <f>IFERROR(__xludf.DUMMYFUNCTION("""COMPUTED_VALUE"""),"SMB PT3-BDT-FF KOTA PADANG_141861")</f>
        <v>SMB PT3-BDT-FF KOTA PADANG_141861</v>
      </c>
      <c r="D2502" s="222" t="str">
        <f>IFERROR(__xludf.DUMMYFUNCTION("""COMPUTED_VALUE"""),"REGIONAL I")</f>
        <v>REGIONAL I</v>
      </c>
      <c r="E2502" s="222" t="str">
        <f>IFERROR(__xludf.DUMMYFUNCTION("""COMPUTED_VALUE"""),"SUMBAR")</f>
        <v>SUMBAR</v>
      </c>
      <c r="F2502" s="222" t="str">
        <f>IFERROR(__xludf.DUMMYFUNCTION("""COMPUTED_VALUE"""),"BDT")</f>
        <v>BDT</v>
      </c>
      <c r="G2502" s="222" t="str">
        <f>IFERROR(__xludf.DUMMYFUNCTION("""COMPUTED_VALUE"""),"SUMBAGTENG")</f>
        <v>SUMBAGTENG</v>
      </c>
      <c r="H2502" s="222" t="str">
        <f>IFERROR(__xludf.DUMMYFUNCTION("""COMPUTED_VALUE"""),"PADANG")</f>
        <v>PADANG</v>
      </c>
      <c r="I2502" s="222" t="str">
        <f>IFERROR(__xludf.DUMMYFUNCTION("""COMPUTED_VALUE"""),"Batch 3")</f>
        <v>Batch 3</v>
      </c>
      <c r="J2502" s="225">
        <f>IFERROR(__xludf.DUMMYFUNCTION("""COMPUTED_VALUE"""),2.0)</f>
        <v>2</v>
      </c>
      <c r="K2502" s="224">
        <f>IFERROR(__xludf.DUMMYFUNCTION("""COMPUTED_VALUE"""),16.0)</f>
        <v>16</v>
      </c>
      <c r="L2502" s="226">
        <f>IFERROR(__xludf.DUMMYFUNCTION("""COMPUTED_VALUE"""),708563.0)</f>
        <v>708563</v>
      </c>
      <c r="M2502" s="227">
        <f>IFERROR(__xludf.DUMMYFUNCTION("""COMPUTED_VALUE"""),1.1336994E7)</f>
        <v>11336994</v>
      </c>
      <c r="N2502" s="222" t="str">
        <f>IFERROR(__xludf.DUMMYFUNCTION("""COMPUTED_VALUE"""),"PT TRI PENAMAS")</f>
        <v>PT TRI PENAMAS</v>
      </c>
      <c r="O2502" s="222" t="str">
        <f>IFERROR(__xludf.DUMMYFUNCTION("""COMPUTED_VALUE"""),"8. UJI TERIMA")</f>
        <v>8. UJI TERIMA</v>
      </c>
      <c r="P2502" s="222" t="str">
        <f>IFERROR(__xludf.DUMMYFUNCTION("""COMPUTED_VALUE"""),"8.1 Proses UT")</f>
        <v>8.1 Proses UT</v>
      </c>
      <c r="Q2502" s="222" t="str">
        <f>IFERROR(__xludf.DUMMYFUNCTION("""COMPUTED_VALUE"""),"(18/02) ABD DONE masuk HI ke SDI  (29/01) Proses create PID (29/01) proses aanwijziing  ")</f>
        <v>(18/02) ABD DONE masuk HI ke SDI  (29/01) Proses create PID (29/01) proses aanwijziing  </v>
      </c>
      <c r="R2502" s="228">
        <f>IFERROR(__xludf.DUMMYFUNCTION("""COMPUTED_VALUE"""),46080.0)</f>
        <v>46080</v>
      </c>
      <c r="S2502" s="11"/>
      <c r="T2502" s="11"/>
      <c r="U2502" s="11" t="str">
        <f>IFERROR(__xludf.DUMMYFUNCTION("""COMPUTED_VALUE"""),"TIF-3047/2026 26KT03R158-0053")</f>
        <v>TIF-3047/2026 26KT03R158-0053</v>
      </c>
      <c r="V2502" s="229" t="str">
        <f>IFERROR(__xludf.DUMMYFUNCTION("""COMPUTED_VALUE"""),"FABIO RAHMAN")</f>
        <v>FABIO RAHMAN</v>
      </c>
      <c r="W2502" s="229" t="str">
        <f>IFERROR(__xludf.DUMMYFUNCTION("""COMPUTED_VALUE"""),"MELKO NARWADI")</f>
        <v>MELKO NARWADI</v>
      </c>
      <c r="X2502" s="229" t="str">
        <f>IFERROR(__xludf.DUMMYFUNCTION("""COMPUTED_VALUE"""),"GOLIVE")</f>
        <v>GOLIVE</v>
      </c>
      <c r="Y2502" s="229" t="str">
        <f>IFERROR(__xludf.DUMMYFUNCTION("""COMPUTED_VALUE"""),"DONE")</f>
        <v>DONE</v>
      </c>
      <c r="Z2502" s="229" t="str">
        <f>IFERROR(__xludf.DUMMYFUNCTION("""COMPUTED_VALUE"""),"#N/A")</f>
        <v>#N/A</v>
      </c>
      <c r="AA2502" s="229">
        <f>IFERROR(__xludf.DUMMYFUNCTION("""COMPUTED_VALUE"""),2.0)</f>
        <v>2</v>
      </c>
      <c r="AB2502" s="229"/>
      <c r="AC2502" s="229" t="str">
        <f>IFERROR(__xludf.DUMMYFUNCTION("""COMPUTED_VALUE"""),"9128198#9128203")</f>
        <v>9128198#9128203</v>
      </c>
      <c r="AD2502" s="232">
        <f>IFERROR(__xludf.DUMMYFUNCTION("""COMPUTED_VALUE"""),16.0)</f>
        <v>16</v>
      </c>
      <c r="AE2502" s="233">
        <f>IFERROR(__xludf.DUMMYFUNCTION("""COMPUTED_VALUE"""),46074.0)</f>
        <v>46074</v>
      </c>
      <c r="AF2502" s="54"/>
      <c r="AG2502" s="54"/>
      <c r="AH2502" s="54">
        <v>46080.0</v>
      </c>
      <c r="AI2502" s="55">
        <f t="shared" si="235"/>
        <v>6</v>
      </c>
      <c r="AW2502" s="234"/>
      <c r="BP2502" s="11"/>
      <c r="BQ2502" s="11"/>
      <c r="BV2502" s="158"/>
      <c r="BY2502" s="158"/>
      <c r="CB2502" s="158"/>
    </row>
    <row r="2503" ht="18.0" customHeight="1">
      <c r="A2503" s="222">
        <f>IFERROR(__xludf.DUMMYFUNCTION("""COMPUTED_VALUE"""),2026.0)</f>
        <v>2026</v>
      </c>
      <c r="B2503" s="221">
        <f>IFERROR(__xludf.DUMMYFUNCTION("""COMPUTED_VALUE"""),1.258797E7)</f>
        <v>12587970</v>
      </c>
      <c r="C2503" s="222" t="str">
        <f>IFERROR(__xludf.DUMMYFUNCTION("""COMPUTED_VALUE"""),"SMB PT3-LBY-FN KOTA PADANG_115881")</f>
        <v>SMB PT3-LBY-FN KOTA PADANG_115881</v>
      </c>
      <c r="D2503" s="222" t="str">
        <f>IFERROR(__xludf.DUMMYFUNCTION("""COMPUTED_VALUE"""),"REGIONAL I")</f>
        <v>REGIONAL I</v>
      </c>
      <c r="E2503" s="222" t="str">
        <f>IFERROR(__xludf.DUMMYFUNCTION("""COMPUTED_VALUE"""),"SUMBAR")</f>
        <v>SUMBAR</v>
      </c>
      <c r="F2503" s="222" t="str">
        <f>IFERROR(__xludf.DUMMYFUNCTION("""COMPUTED_VALUE"""),"LBY")</f>
        <v>LBY</v>
      </c>
      <c r="G2503" s="222" t="str">
        <f>IFERROR(__xludf.DUMMYFUNCTION("""COMPUTED_VALUE"""),"SUMBAGTENG")</f>
        <v>SUMBAGTENG</v>
      </c>
      <c r="H2503" s="222" t="str">
        <f>IFERROR(__xludf.DUMMYFUNCTION("""COMPUTED_VALUE"""),"PADANG")</f>
        <v>PADANG</v>
      </c>
      <c r="I2503" s="222" t="str">
        <f>IFERROR(__xludf.DUMMYFUNCTION("""COMPUTED_VALUE"""),"Batch 3")</f>
        <v>Batch 3</v>
      </c>
      <c r="J2503" s="225">
        <f>IFERROR(__xludf.DUMMYFUNCTION("""COMPUTED_VALUE"""),3.0)</f>
        <v>3</v>
      </c>
      <c r="K2503" s="224">
        <f>IFERROR(__xludf.DUMMYFUNCTION("""COMPUTED_VALUE"""),24.0)</f>
        <v>24</v>
      </c>
      <c r="L2503" s="226">
        <f>IFERROR(__xludf.DUMMYFUNCTION("""COMPUTED_VALUE"""),708471.0)</f>
        <v>708471</v>
      </c>
      <c r="M2503" s="227">
        <f>IFERROR(__xludf.DUMMYFUNCTION("""COMPUTED_VALUE"""),1.7003295E7)</f>
        <v>17003295</v>
      </c>
      <c r="N2503" s="222" t="str">
        <f>IFERROR(__xludf.DUMMYFUNCTION("""COMPUTED_VALUE"""),"PT TRI PENAMAS")</f>
        <v>PT TRI PENAMAS</v>
      </c>
      <c r="O2503" s="222" t="str">
        <f>IFERROR(__xludf.DUMMYFUNCTION("""COMPUTED_VALUE"""),"8. UJI TERIMA")</f>
        <v>8. UJI TERIMA</v>
      </c>
      <c r="P2503" s="222" t="str">
        <f>IFERROR(__xludf.DUMMYFUNCTION("""COMPUTED_VALUE"""),"8.1 Proses UT")</f>
        <v>8.1 Proses UT</v>
      </c>
      <c r="Q2503" s="222" t="str">
        <f>IFERROR(__xludf.DUMMYFUNCTION("""COMPUTED_VALUE"""),"(18/02) Terminasi ODP (29/01) Proses create PID (29/01) proses aanwijziing  ")</f>
        <v>(18/02) Terminasi ODP (29/01) Proses create PID (29/01) proses aanwijziing  </v>
      </c>
      <c r="R2503" s="228">
        <f>IFERROR(__xludf.DUMMYFUNCTION("""COMPUTED_VALUE"""),46070.0)</f>
        <v>46070</v>
      </c>
      <c r="S2503" s="11"/>
      <c r="T2503" s="11"/>
      <c r="U2503" s="11" t="str">
        <f>IFERROR(__xludf.DUMMYFUNCTION("""COMPUTED_VALUE"""),"TIF-3049/2026 26KT03R158-0052")</f>
        <v>TIF-3049/2026 26KT03R158-0052</v>
      </c>
      <c r="V2503" s="229" t="str">
        <f>IFERROR(__xludf.DUMMYFUNCTION("""COMPUTED_VALUE"""),"FABIO RAHMAN")</f>
        <v>FABIO RAHMAN</v>
      </c>
      <c r="W2503" s="229" t="str">
        <f>IFERROR(__xludf.DUMMYFUNCTION("""COMPUTED_VALUE"""),"MELKO NARWADI")</f>
        <v>MELKO NARWADI</v>
      </c>
      <c r="X2503" s="229" t="str">
        <f>IFERROR(__xludf.DUMMYFUNCTION("""COMPUTED_VALUE"""),"GOLIVE")</f>
        <v>GOLIVE</v>
      </c>
      <c r="Y2503" s="229" t="str">
        <f>IFERROR(__xludf.DUMMYFUNCTION("""COMPUTED_VALUE"""),"DONE")</f>
        <v>DONE</v>
      </c>
      <c r="Z2503" s="229" t="str">
        <f>IFERROR(__xludf.DUMMYFUNCTION("""COMPUTED_VALUE"""),"#N/A")</f>
        <v>#N/A</v>
      </c>
      <c r="AA2503" s="229">
        <f>IFERROR(__xludf.DUMMYFUNCTION("""COMPUTED_VALUE"""),3.0)</f>
        <v>3</v>
      </c>
      <c r="AB2503" s="229"/>
      <c r="AC2503" s="229" t="str">
        <f>IFERROR(__xludf.DUMMYFUNCTION("""COMPUTED_VALUE"""),"9143269#9143274")</f>
        <v>9143269#9143274</v>
      </c>
      <c r="AD2503" s="232">
        <f>IFERROR(__xludf.DUMMYFUNCTION("""COMPUTED_VALUE"""),24.0)</f>
        <v>24</v>
      </c>
      <c r="AE2503" s="233">
        <f>IFERROR(__xludf.DUMMYFUNCTION("""COMPUTED_VALUE"""),46078.0)</f>
        <v>46078</v>
      </c>
      <c r="AF2503" s="54"/>
      <c r="AG2503" s="54"/>
      <c r="AH2503" s="54">
        <v>46070.0</v>
      </c>
      <c r="AI2503" s="55">
        <f t="shared" si="235"/>
        <v>-8</v>
      </c>
      <c r="AW2503" s="234"/>
      <c r="BP2503" s="11"/>
      <c r="BQ2503" s="11"/>
      <c r="BV2503" s="158"/>
      <c r="BY2503" s="158"/>
      <c r="CB2503" s="158"/>
    </row>
    <row r="2504" ht="18.0" hidden="1" customHeight="1">
      <c r="A2504" s="222">
        <f>IFERROR(__xludf.DUMMYFUNCTION("""COMPUTED_VALUE"""),2026.0)</f>
        <v>2026</v>
      </c>
      <c r="B2504" s="221">
        <f>IFERROR(__xludf.DUMMYFUNCTION("""COMPUTED_VALUE"""),1.238409E7)</f>
        <v>12384090</v>
      </c>
      <c r="C2504" s="222" t="str">
        <f>IFERROR(__xludf.DUMMYFUNCTION("""COMPUTED_VALUE"""),"ACH PT3 PRL-FC D06 BEUSA MERANO")</f>
        <v>ACH PT3 PRL-FC D06 BEUSA MERANO</v>
      </c>
      <c r="D2504" s="222" t="str">
        <f>IFERROR(__xludf.DUMMYFUNCTION("""COMPUTED_VALUE"""),"REGIONAL I")</f>
        <v>REGIONAL I</v>
      </c>
      <c r="E2504" s="222" t="str">
        <f>IFERROR(__xludf.DUMMYFUNCTION("""COMPUTED_VALUE"""),"ACEH")</f>
        <v>ACEH</v>
      </c>
      <c r="F2504" s="222" t="str">
        <f>IFERROR(__xludf.DUMMYFUNCTION("""COMPUTED_VALUE"""),"PRL")</f>
        <v>PRL</v>
      </c>
      <c r="G2504" s="222" t="str">
        <f>IFERROR(__xludf.DUMMYFUNCTION("""COMPUTED_VALUE"""),"SUMBAGUT")</f>
        <v>SUMBAGUT</v>
      </c>
      <c r="H2504" s="222" t="str">
        <f>IFERROR(__xludf.DUMMYFUNCTION("""COMPUTED_VALUE"""),"BINJAI")</f>
        <v>BINJAI</v>
      </c>
      <c r="I2504" s="222" t="str">
        <f>IFERROR(__xludf.DUMMYFUNCTION("""COMPUTED_VALUE"""),"Batch 3")</f>
        <v>Batch 3</v>
      </c>
      <c r="J2504" s="225">
        <f>IFERROR(__xludf.DUMMYFUNCTION("""COMPUTED_VALUE"""),12.0)</f>
        <v>12</v>
      </c>
      <c r="K2504" s="224">
        <f>IFERROR(__xludf.DUMMYFUNCTION("""COMPUTED_VALUE"""),96.0)</f>
        <v>96</v>
      </c>
      <c r="L2504" s="226">
        <f>IFERROR(__xludf.DUMMYFUNCTION("""COMPUTED_VALUE"""),706999.0)</f>
        <v>706999</v>
      </c>
      <c r="M2504" s="227">
        <f>IFERROR(__xludf.DUMMYFUNCTION("""COMPUTED_VALUE"""),6.7871866E7)</f>
        <v>67871866</v>
      </c>
      <c r="N2504" s="222" t="str">
        <f>IFERROR(__xludf.DUMMYFUNCTION("""COMPUTED_VALUE"""),"PT ARA PAYA INTAN")</f>
        <v>PT ARA PAYA INTAN</v>
      </c>
      <c r="O2504" s="222" t="str">
        <f>IFERROR(__xludf.DUMMYFUNCTION("""COMPUTED_VALUE"""),"7. GOLIVE")</f>
        <v>7. GOLIVE</v>
      </c>
      <c r="P2504" s="222" t="str">
        <f>IFERROR(__xludf.DUMMYFUNCTION("""COMPUTED_VALUE"""),"7.2 Golive Full / OA / DONE OTB")</f>
        <v>7.2 Golive Full / OA / DONE OTB</v>
      </c>
      <c r="Q2504" s="222" t="str">
        <f>IFERROR(__xludf.DUMMYFUNCTION("""COMPUTED_VALUE"""),"(18/02) ABD Mancore (09/02) Penarikan Kabel dan Terminasi (07/02) Penarikan Kabel (04/02) Tanam Tiang (02/02) DelMat (29/01) progres pengambilan material")</f>
        <v>(18/02) ABD Mancore (09/02) Penarikan Kabel dan Terminasi (07/02) Penarikan Kabel (04/02) Tanam Tiang (02/02) DelMat (29/01) progres pengambilan material</v>
      </c>
      <c r="R2504" s="228">
        <f>IFERROR(__xludf.DUMMYFUNCTION("""COMPUTED_VALUE"""),46072.0)</f>
        <v>46072</v>
      </c>
      <c r="S2504" s="11"/>
      <c r="T2504" s="11"/>
      <c r="U2504" s="11" t="str">
        <f>IFERROR(__xludf.DUMMYFUNCTION("""COMPUTED_VALUE"""),"W04-1130/2025")</f>
        <v>W04-1130/2025</v>
      </c>
      <c r="V2504" s="229"/>
      <c r="W2504" s="229"/>
      <c r="X2504" s="229" t="str">
        <f>IFERROR(__xludf.DUMMYFUNCTION("""COMPUTED_VALUE"""),"GOLIVE")</f>
        <v>GOLIVE</v>
      </c>
      <c r="Y2504" s="229" t="str">
        <f>IFERROR(__xludf.DUMMYFUNCTION("""COMPUTED_VALUE"""),"DONE")</f>
        <v>DONE</v>
      </c>
      <c r="Z2504" s="229" t="str">
        <f>IFERROR(__xludf.DUMMYFUNCTION("""COMPUTED_VALUE"""),"#N/A")</f>
        <v>#N/A</v>
      </c>
      <c r="AA2504" s="229">
        <f>IFERROR(__xludf.DUMMYFUNCTION("""COMPUTED_VALUE"""),12.0)</f>
        <v>12</v>
      </c>
      <c r="AB2504" s="229"/>
      <c r="AC2504" s="229" t="str">
        <f>IFERROR(__xludf.DUMMYFUNCTION("""COMPUTED_VALUE"""),"9119224#9119229")</f>
        <v>9119224#9119229</v>
      </c>
      <c r="AD2504" s="232">
        <f>IFERROR(__xludf.DUMMYFUNCTION("""COMPUTED_VALUE"""),96.0)</f>
        <v>96</v>
      </c>
      <c r="AE2504" s="233">
        <f>IFERROR(__xludf.DUMMYFUNCTION("""COMPUTED_VALUE"""),46072.0)</f>
        <v>46072</v>
      </c>
      <c r="AF2504" s="54"/>
      <c r="AG2504" s="54"/>
      <c r="AH2504" s="54">
        <v>46072.0</v>
      </c>
      <c r="AI2504" s="55">
        <f t="shared" si="235"/>
        <v>0</v>
      </c>
      <c r="AW2504" s="234"/>
      <c r="BP2504" s="11"/>
      <c r="BQ2504" s="11"/>
      <c r="BV2504" s="158"/>
      <c r="BY2504" s="158"/>
      <c r="CB2504" s="158"/>
    </row>
    <row r="2505" ht="18.0" customHeight="1">
      <c r="A2505" s="222">
        <f>IFERROR(__xludf.DUMMYFUNCTION("""COMPUTED_VALUE"""),2026.0)</f>
        <v>2026</v>
      </c>
      <c r="B2505" s="221">
        <f>IFERROR(__xludf.DUMMYFUNCTION("""COMPUTED_VALUE"""),1.2588138E7)</f>
        <v>12588138</v>
      </c>
      <c r="C2505" s="222" t="str">
        <f>IFERROR(__xludf.DUMMYFUNCTION("""COMPUTED_VALUE"""),"SMB PT3-LBY-FL KOTA PADANG_132708")</f>
        <v>SMB PT3-LBY-FL KOTA PADANG_132708</v>
      </c>
      <c r="D2505" s="222" t="str">
        <f>IFERROR(__xludf.DUMMYFUNCTION("""COMPUTED_VALUE"""),"REGIONAL I")</f>
        <v>REGIONAL I</v>
      </c>
      <c r="E2505" s="222" t="str">
        <f>IFERROR(__xludf.DUMMYFUNCTION("""COMPUTED_VALUE"""),"SUMBAR")</f>
        <v>SUMBAR</v>
      </c>
      <c r="F2505" s="222" t="str">
        <f>IFERROR(__xludf.DUMMYFUNCTION("""COMPUTED_VALUE"""),"LBY")</f>
        <v>LBY</v>
      </c>
      <c r="G2505" s="222" t="str">
        <f>IFERROR(__xludf.DUMMYFUNCTION("""COMPUTED_VALUE"""),"SUMBAGTENG")</f>
        <v>SUMBAGTENG</v>
      </c>
      <c r="H2505" s="222" t="str">
        <f>IFERROR(__xludf.DUMMYFUNCTION("""COMPUTED_VALUE"""),"PADANG")</f>
        <v>PADANG</v>
      </c>
      <c r="I2505" s="222" t="str">
        <f>IFERROR(__xludf.DUMMYFUNCTION("""COMPUTED_VALUE"""),"Batch 3")</f>
        <v>Batch 3</v>
      </c>
      <c r="J2505" s="225">
        <f>IFERROR(__xludf.DUMMYFUNCTION("""COMPUTED_VALUE"""),5.0)</f>
        <v>5</v>
      </c>
      <c r="K2505" s="224">
        <f>IFERROR(__xludf.DUMMYFUNCTION("""COMPUTED_VALUE"""),40.0)</f>
        <v>40</v>
      </c>
      <c r="L2505" s="226">
        <f>IFERROR(__xludf.DUMMYFUNCTION("""COMPUTED_VALUE"""),706521.0)</f>
        <v>706521</v>
      </c>
      <c r="M2505" s="227">
        <f>IFERROR(__xludf.DUMMYFUNCTION("""COMPUTED_VALUE"""),2.8260801E7)</f>
        <v>28260801</v>
      </c>
      <c r="N2505" s="222" t="str">
        <f>IFERROR(__xludf.DUMMYFUNCTION("""COMPUTED_VALUE"""),"PT TRI PENAMAS")</f>
        <v>PT TRI PENAMAS</v>
      </c>
      <c r="O2505" s="222" t="str">
        <f>IFERROR(__xludf.DUMMYFUNCTION("""COMPUTED_VALUE"""),"0. DROP")</f>
        <v>0. DROP</v>
      </c>
      <c r="P2505" s="222" t="str">
        <f>IFERROR(__xludf.DUMMYFUNCTION("""COMPUTED_VALUE"""),"0.3 Feeder Full")</f>
        <v>0.3 Feeder Full</v>
      </c>
      <c r="Q2505" s="222" t="str">
        <f>IFERROR(__xludf.DUMMYFUNCTION("""COMPUTED_VALUE"""),"(30/01) Kendala feeder LBY-FL FULL")</f>
        <v>(30/01) Kendala feeder LBY-FL FULL</v>
      </c>
      <c r="R2505" s="228"/>
      <c r="S2505" s="11"/>
      <c r="T2505" s="11"/>
      <c r="U2505" s="11"/>
      <c r="V2505" s="229" t="str">
        <f>IFERROR(__xludf.DUMMYFUNCTION("""COMPUTED_VALUE"""),"FABIO RAHMAN")</f>
        <v>FABIO RAHMAN</v>
      </c>
      <c r="W2505" s="229" t="str">
        <f>IFERROR(__xludf.DUMMYFUNCTION("""COMPUTED_VALUE"""),"MELKO NARWADI")</f>
        <v>MELKO NARWADI</v>
      </c>
      <c r="X2505" s="229"/>
      <c r="Y2505" s="229"/>
      <c r="Z2505" s="229" t="str">
        <f>IFERROR(__xludf.DUMMYFUNCTION("""COMPUTED_VALUE"""),"#N/A")</f>
        <v>#N/A</v>
      </c>
      <c r="AA2505" s="229"/>
      <c r="AB2505" s="229"/>
      <c r="AC2505" s="229"/>
      <c r="AD2505" s="232"/>
      <c r="AE2505" s="233"/>
      <c r="AF2505" s="54" t="str">
        <f>IFERROR(__xludf.DUMMYFUNCTION("""COMPUTED_VALUE"""),"Draft BA DROP")</f>
        <v>Draft BA DROP</v>
      </c>
      <c r="AG2505" s="54"/>
      <c r="AH2505" s="54"/>
      <c r="AI2505" s="55" t="str">
        <f t="shared" si="235"/>
        <v/>
      </c>
      <c r="AW2505" s="234"/>
      <c r="BP2505" s="11"/>
      <c r="BQ2505" s="11"/>
      <c r="BV2505" s="158"/>
      <c r="BY2505" s="158"/>
      <c r="CB2505" s="158"/>
    </row>
    <row r="2506" ht="18.0" hidden="1" customHeight="1">
      <c r="A2506" s="222">
        <f>IFERROR(__xludf.DUMMYFUNCTION("""COMPUTED_VALUE"""),2026.0)</f>
        <v>2026</v>
      </c>
      <c r="B2506" s="221">
        <f>IFERROR(__xludf.DUMMYFUNCTION("""COMPUTED_VALUE"""),1.2438681E7)</f>
        <v>12438681</v>
      </c>
      <c r="C2506" s="222" t="str">
        <f>IFERROR(__xludf.DUMMYFUNCTION("""COMPUTED_VALUE"""),"MDN PT3 TJM-FB GG.IKHLAS_MD25")</f>
        <v>MDN PT3 TJM-FB GG.IKHLAS_MD25</v>
      </c>
      <c r="D2506" s="222" t="str">
        <f>IFERROR(__xludf.DUMMYFUNCTION("""COMPUTED_VALUE"""),"REGIONAL I")</f>
        <v>REGIONAL I</v>
      </c>
      <c r="E2506" s="222" t="str">
        <f>IFERROR(__xludf.DUMMYFUNCTION("""COMPUTED_VALUE"""),"MEDAN")</f>
        <v>MEDAN</v>
      </c>
      <c r="F2506" s="222" t="str">
        <f>IFERROR(__xludf.DUMMYFUNCTION("""COMPUTED_VALUE"""),"TJM")</f>
        <v>TJM</v>
      </c>
      <c r="G2506" s="222" t="str">
        <f>IFERROR(__xludf.DUMMYFUNCTION("""COMPUTED_VALUE"""),"SUMBAGUT")</f>
        <v>SUMBAGUT</v>
      </c>
      <c r="H2506" s="222" t="str">
        <f>IFERROR(__xludf.DUMMYFUNCTION("""COMPUTED_VALUE"""),"MEDAN")</f>
        <v>MEDAN</v>
      </c>
      <c r="I2506" s="222" t="str">
        <f>IFERROR(__xludf.DUMMYFUNCTION("""COMPUTED_VALUE"""),"Batch 3")</f>
        <v>Batch 3</v>
      </c>
      <c r="J2506" s="225">
        <f>IFERROR(__xludf.DUMMYFUNCTION("""COMPUTED_VALUE"""),2.0)</f>
        <v>2</v>
      </c>
      <c r="K2506" s="224">
        <f>IFERROR(__xludf.DUMMYFUNCTION("""COMPUTED_VALUE"""),16.0)</f>
        <v>16</v>
      </c>
      <c r="L2506" s="226">
        <f>IFERROR(__xludf.DUMMYFUNCTION("""COMPUTED_VALUE"""),702558.0)</f>
        <v>702558</v>
      </c>
      <c r="M2506" s="227">
        <f>IFERROR(__xludf.DUMMYFUNCTION("""COMPUTED_VALUE"""),1.1240918E7)</f>
        <v>11240918</v>
      </c>
      <c r="N2506" s="222" t="str">
        <f>IFERROR(__xludf.DUMMYFUNCTION("""COMPUTED_VALUE"""),"PT GLOBAL KARYA WANDA")</f>
        <v>PT GLOBAL KARYA WANDA</v>
      </c>
      <c r="O2506" s="222" t="str">
        <f>IFERROR(__xludf.DUMMYFUNCTION("""COMPUTED_VALUE"""),"2. DONE AANWIJZING")</f>
        <v>2. DONE AANWIJZING</v>
      </c>
      <c r="P2506" s="222" t="str">
        <f>IFERROR(__xludf.DUMMYFUNCTION("""COMPUTED_VALUE"""),"2.10 Kendala - Feeder Rusak")</f>
        <v>2.10 Kendala - Feeder Rusak</v>
      </c>
      <c r="Q2506" s="222" t="str">
        <f>IFERROR(__xludf.DUMMYFUNCTION("""COMPUTED_VALUE"""),"26/02 feeder redti 24/02 done order")</f>
        <v>26/02 feeder redti 24/02 done order</v>
      </c>
      <c r="R2506" s="228"/>
      <c r="S2506" s="11"/>
      <c r="T2506" s="11"/>
      <c r="U2506" s="11"/>
      <c r="V2506" s="229"/>
      <c r="W2506" s="229"/>
      <c r="X2506" s="229" t="str">
        <f>IFERROR(__xludf.DUMMYFUNCTION("""COMPUTED_VALUE"""),"BELUM GOLIVE")</f>
        <v>BELUM GOLIVE</v>
      </c>
      <c r="Y2506" s="229"/>
      <c r="Z2506" s="229" t="str">
        <f>IFERROR(__xludf.DUMMYFUNCTION("""COMPUTED_VALUE"""),"#N/A")</f>
        <v>#N/A</v>
      </c>
      <c r="AA2506" s="229"/>
      <c r="AB2506" s="229"/>
      <c r="AC2506" s="229"/>
      <c r="AD2506" s="232"/>
      <c r="AE2506" s="233"/>
      <c r="AF2506" s="54"/>
      <c r="AG2506" s="54"/>
      <c r="AH2506" s="54"/>
      <c r="AI2506" s="55" t="str">
        <f t="shared" si="235"/>
        <v/>
      </c>
      <c r="AW2506" s="234"/>
      <c r="BP2506" s="11"/>
      <c r="BQ2506" s="11"/>
      <c r="BV2506" s="158"/>
      <c r="BY2506" s="158"/>
      <c r="CB2506" s="158"/>
    </row>
    <row r="2507" ht="18.0" hidden="1" customHeight="1">
      <c r="A2507" s="222">
        <f>IFERROR(__xludf.DUMMYFUNCTION("""COMPUTED_VALUE"""),2026.0)</f>
        <v>2026</v>
      </c>
      <c r="B2507" s="221">
        <f>IFERROR(__xludf.DUMMYFUNCTION("""COMPUTED_VALUE"""),1.2542022E7)</f>
        <v>12542022</v>
      </c>
      <c r="C2507" s="222" t="str">
        <f>IFERROR(__xludf.DUMMYFUNCTION("""COMPUTED_VALUE"""),"250_1575_1600")</f>
        <v>250_1575_1600</v>
      </c>
      <c r="D2507" s="222" t="str">
        <f>IFERROR(__xludf.DUMMYFUNCTION("""COMPUTED_VALUE"""),"REGIONAL I")</f>
        <v>REGIONAL I</v>
      </c>
      <c r="E2507" s="222" t="str">
        <f>IFERROR(__xludf.DUMMYFUNCTION("""COMPUTED_VALUE"""),"MEDAN")</f>
        <v>MEDAN</v>
      </c>
      <c r="F2507" s="222" t="str">
        <f>IFERROR(__xludf.DUMMYFUNCTION("""COMPUTED_VALUE"""),"CTD")</f>
        <v>CTD</v>
      </c>
      <c r="G2507" s="222" t="str">
        <f>IFERROR(__xludf.DUMMYFUNCTION("""COMPUTED_VALUE"""),"SUMBAGUT")</f>
        <v>SUMBAGUT</v>
      </c>
      <c r="H2507" s="222" t="str">
        <f>IFERROR(__xludf.DUMMYFUNCTION("""COMPUTED_VALUE"""),"MEDAN")</f>
        <v>MEDAN</v>
      </c>
      <c r="I2507" s="222" t="str">
        <f>IFERROR(__xludf.DUMMYFUNCTION("""COMPUTED_VALUE"""),"Batch 3")</f>
        <v>Batch 3</v>
      </c>
      <c r="J2507" s="225">
        <f>IFERROR(__xludf.DUMMYFUNCTION("""COMPUTED_VALUE"""),2.0)</f>
        <v>2</v>
      </c>
      <c r="K2507" s="224">
        <f>IFERROR(__xludf.DUMMYFUNCTION("""COMPUTED_VALUE"""),16.0)</f>
        <v>16</v>
      </c>
      <c r="L2507" s="226">
        <f>IFERROR(__xludf.DUMMYFUNCTION("""COMPUTED_VALUE"""),701120.0)</f>
        <v>701120</v>
      </c>
      <c r="M2507" s="227">
        <f>IFERROR(__xludf.DUMMYFUNCTION("""COMPUTED_VALUE"""),1.121792E7)</f>
        <v>11217920</v>
      </c>
      <c r="N2507" s="222" t="str">
        <f>IFERROR(__xludf.DUMMYFUNCTION("""COMPUTED_VALUE"""),"SWAKELOLA")</f>
        <v>SWAKELOLA</v>
      </c>
      <c r="O2507" s="222" t="str">
        <f>IFERROR(__xludf.DUMMYFUNCTION("""COMPUTED_VALUE"""),"2. DONE AANWIJZING")</f>
        <v>2. DONE AANWIJZING</v>
      </c>
      <c r="P2507" s="222" t="str">
        <f>IFERROR(__xludf.DUMMYFUNCTION("""COMPUTED_VALUE"""),"2.10 Kendala - Feeder Rusak")</f>
        <v>2.10 Kendala - Feeder Rusak</v>
      </c>
      <c r="Q2507" s="222" t="str">
        <f>IFERROR(__xludf.DUMMYFUNCTION("""COMPUTED_VALUE"""),"22/04 pengecekan tipus butuh QE
11/02 Feeder Redti")</f>
        <v>22/04 pengecekan tipus butuh QE
11/02 Feeder Redti</v>
      </c>
      <c r="R2507" s="228"/>
      <c r="S2507" s="11"/>
      <c r="T2507" s="11"/>
      <c r="U2507" s="11"/>
      <c r="V2507" s="229"/>
      <c r="W2507" s="229"/>
      <c r="X2507" s="229" t="str">
        <f>IFERROR(__xludf.DUMMYFUNCTION("""COMPUTED_VALUE"""),"BELUM GOLIVE")</f>
        <v>BELUM GOLIVE</v>
      </c>
      <c r="Y2507" s="229"/>
      <c r="Z2507" s="229" t="str">
        <f>IFERROR(__xludf.DUMMYFUNCTION("""COMPUTED_VALUE"""),"#N/A")</f>
        <v>#N/A</v>
      </c>
      <c r="AA2507" s="229"/>
      <c r="AB2507" s="229"/>
      <c r="AC2507" s="229"/>
      <c r="AD2507" s="232"/>
      <c r="AE2507" s="233"/>
      <c r="AF2507" s="54"/>
      <c r="AG2507" s="54"/>
      <c r="AH2507" s="54"/>
      <c r="AI2507" s="55" t="str">
        <f t="shared" si="235"/>
        <v/>
      </c>
      <c r="AW2507" s="234"/>
      <c r="BP2507" s="11"/>
      <c r="BQ2507" s="11"/>
      <c r="BV2507" s="158"/>
      <c r="BY2507" s="158"/>
      <c r="CB2507" s="158"/>
    </row>
    <row r="2508" ht="18.0" customHeight="1">
      <c r="A2508" s="222">
        <f>IFERROR(__xludf.DUMMYFUNCTION("""COMPUTED_VALUE"""),2026.0)</f>
        <v>2026</v>
      </c>
      <c r="B2508" s="221">
        <f>IFERROR(__xludf.DUMMYFUNCTION("""COMPUTED_VALUE"""),1.27425E7)</f>
        <v>12742500</v>
      </c>
      <c r="C2508" s="222" t="str">
        <f>IFERROR(__xludf.DUMMYFUNCTION("""COMPUTED_VALUE"""),"SMB-PT3-ODC-SIG-FA-72652-142006-116631")</f>
        <v>SMB-PT3-ODC-SIG-FA-72652-142006-116631</v>
      </c>
      <c r="D2508" s="222" t="str">
        <f>IFERROR(__xludf.DUMMYFUNCTION("""COMPUTED_VALUE"""),"REGIONAL I")</f>
        <v>REGIONAL I</v>
      </c>
      <c r="E2508" s="222" t="str">
        <f>IFERROR(__xludf.DUMMYFUNCTION("""COMPUTED_VALUE"""),"SUMBAR")</f>
        <v>SUMBAR</v>
      </c>
      <c r="F2508" s="222" t="str">
        <f>IFERROR(__xludf.DUMMYFUNCTION("""COMPUTED_VALUE"""),"SIG")</f>
        <v>SIG</v>
      </c>
      <c r="G2508" s="222" t="str">
        <f>IFERROR(__xludf.DUMMYFUNCTION("""COMPUTED_VALUE"""),"SUMBAGTENG")</f>
        <v>SUMBAGTENG</v>
      </c>
      <c r="H2508" s="222" t="str">
        <f>IFERROR(__xludf.DUMMYFUNCTION("""COMPUTED_VALUE"""),"BUKIT TINGGI")</f>
        <v>BUKIT TINGGI</v>
      </c>
      <c r="I2508" s="222" t="str">
        <f>IFERROR(__xludf.DUMMYFUNCTION("""COMPUTED_VALUE"""),"Batch 3")</f>
        <v>Batch 3</v>
      </c>
      <c r="J2508" s="225">
        <f>IFERROR(__xludf.DUMMYFUNCTION("""COMPUTED_VALUE"""),6.0)</f>
        <v>6</v>
      </c>
      <c r="K2508" s="224">
        <f>IFERROR(__xludf.DUMMYFUNCTION("""COMPUTED_VALUE"""),48.0)</f>
        <v>48</v>
      </c>
      <c r="L2508" s="226">
        <f>IFERROR(__xludf.DUMMYFUNCTION("""COMPUTED_VALUE"""),700899.0)</f>
        <v>700899</v>
      </c>
      <c r="M2508" s="227">
        <f>IFERROR(__xludf.DUMMYFUNCTION("""COMPUTED_VALUE"""),3.3643146E7)</f>
        <v>33643146</v>
      </c>
      <c r="N2508" s="222" t="str">
        <f>IFERROR(__xludf.DUMMYFUNCTION("""COMPUTED_VALUE"""),"PT RATRI PRIMA MANDIRI")</f>
        <v>PT RATRI PRIMA MANDIRI</v>
      </c>
      <c r="O2508" s="222" t="str">
        <f>IFERROR(__xludf.DUMMYFUNCTION("""COMPUTED_VALUE"""),"8. UJI TERIMA")</f>
        <v>8. UJI TERIMA</v>
      </c>
      <c r="P2508" s="222" t="str">
        <f>IFERROR(__xludf.DUMMYFUNCTION("""COMPUTED_VALUE"""),"8.1 Proses UT")</f>
        <v>8.1 Proses UT</v>
      </c>
      <c r="Q2508" s="222" t="str">
        <f>IFERROR(__xludf.DUMMYFUNCTION("""COMPUTED_VALUE"""),"(02/03) ABD done ke sdi (18/02) Penanaman tiang  PLAN FI 20/02  (03/02) Proses create PID (29/01) Done aanwijziing  , proses eval")</f>
        <v>(02/03) ABD done ke sdi (18/02) Penanaman tiang  PLAN FI 20/02  (03/02) Proses create PID (29/01) Done aanwijziing  , proses eval</v>
      </c>
      <c r="R2508" s="228">
        <f>IFERROR(__xludf.DUMMYFUNCTION("""COMPUTED_VALUE"""),46083.0)</f>
        <v>46083</v>
      </c>
      <c r="S2508" s="11" t="str">
        <f>IFERROR(__xludf.DUMMYFUNCTION("""COMPUTED_VALUE"""),"MAR")</f>
        <v>MAR</v>
      </c>
      <c r="T2508" s="11"/>
      <c r="U2508" s="11" t="str">
        <f>IFERROR(__xludf.DUMMYFUNCTION("""COMPUTED_VALUE"""),"TIF-3511/2026 26KT03R107-0005")</f>
        <v>TIF-3511/2026 26KT03R107-0005</v>
      </c>
      <c r="V2508" s="229" t="str">
        <f>IFERROR(__xludf.DUMMYFUNCTION("""COMPUTED_VALUE"""),"M. ARIF HAMADI")</f>
        <v>M. ARIF HAMADI</v>
      </c>
      <c r="W2508" s="229" t="str">
        <f>IFERROR(__xludf.DUMMYFUNCTION("""COMPUTED_VALUE"""),"MELKO NARWADI")</f>
        <v>MELKO NARWADI</v>
      </c>
      <c r="X2508" s="229" t="str">
        <f>IFERROR(__xludf.DUMMYFUNCTION("""COMPUTED_VALUE"""),"GOLIVE")</f>
        <v>GOLIVE</v>
      </c>
      <c r="Y2508" s="229" t="str">
        <f>IFERROR(__xludf.DUMMYFUNCTION("""COMPUTED_VALUE"""),"DONE")</f>
        <v>DONE</v>
      </c>
      <c r="Z2508" s="229" t="str">
        <f>IFERROR(__xludf.DUMMYFUNCTION("""COMPUTED_VALUE"""),"#N/A")</f>
        <v>#N/A</v>
      </c>
      <c r="AA2508" s="229">
        <f>IFERROR(__xludf.DUMMYFUNCTION("""COMPUTED_VALUE"""),5.0)</f>
        <v>5</v>
      </c>
      <c r="AB2508" s="229"/>
      <c r="AC2508" s="229" t="str">
        <f>IFERROR(__xludf.DUMMYFUNCTION("""COMPUTED_VALUE"""),"9164225#9164230")</f>
        <v>9164225#9164230</v>
      </c>
      <c r="AD2508" s="232">
        <f>IFERROR(__xludf.DUMMYFUNCTION("""COMPUTED_VALUE"""),40.0)</f>
        <v>40</v>
      </c>
      <c r="AE2508" s="233">
        <f>IFERROR(__xludf.DUMMYFUNCTION("""COMPUTED_VALUE"""),46083.0)</f>
        <v>46083</v>
      </c>
      <c r="AF2508" s="54"/>
      <c r="AG2508" s="54"/>
      <c r="AH2508" s="54">
        <v>46083.0</v>
      </c>
      <c r="AI2508" s="55">
        <f t="shared" si="235"/>
        <v>0</v>
      </c>
      <c r="AW2508" s="234"/>
      <c r="BP2508" s="11"/>
      <c r="BQ2508" s="11"/>
      <c r="BV2508" s="158"/>
      <c r="BY2508" s="158"/>
      <c r="CB2508" s="158"/>
    </row>
    <row r="2509" ht="18.0" customHeight="1">
      <c r="A2509" s="222">
        <f>IFERROR(__xludf.DUMMYFUNCTION("""COMPUTED_VALUE"""),2026.0)</f>
        <v>2026</v>
      </c>
      <c r="B2509" s="221">
        <f>IFERROR(__xludf.DUMMYFUNCTION("""COMPUTED_VALUE"""),1.2687799E7)</f>
        <v>12687799</v>
      </c>
      <c r="C2509" s="222" t="str">
        <f>IFERROR(__xludf.DUMMYFUNCTION("""COMPUTED_VALUE"""),"RDR JPP PT3 250_200_2865")</f>
        <v>RDR JPP PT3 250_200_2865</v>
      </c>
      <c r="D2509" s="222" t="str">
        <f>IFERROR(__xludf.DUMMYFUNCTION("""COMPUTED_VALUE"""),"REGIONAL I")</f>
        <v>REGIONAL I</v>
      </c>
      <c r="E2509" s="222" t="str">
        <f>IFERROR(__xludf.DUMMYFUNCTION("""COMPUTED_VALUE"""),"RIDAR")</f>
        <v>RIDAR</v>
      </c>
      <c r="F2509" s="222" t="str">
        <f>IFERROR(__xludf.DUMMYFUNCTION("""COMPUTED_VALUE"""),"ARK")</f>
        <v>ARK</v>
      </c>
      <c r="G2509" s="222" t="str">
        <f>IFERROR(__xludf.DUMMYFUNCTION("""COMPUTED_VALUE"""),"SUMBAGTENG")</f>
        <v>SUMBAGTENG</v>
      </c>
      <c r="H2509" s="222" t="str">
        <f>IFERROR(__xludf.DUMMYFUNCTION("""COMPUTED_VALUE"""),"PEKANBARU")</f>
        <v>PEKANBARU</v>
      </c>
      <c r="I2509" s="222" t="str">
        <f>IFERROR(__xludf.DUMMYFUNCTION("""COMPUTED_VALUE"""),"Batch 3")</f>
        <v>Batch 3</v>
      </c>
      <c r="J2509" s="225">
        <f>IFERROR(__xludf.DUMMYFUNCTION("""COMPUTED_VALUE"""),5.0)</f>
        <v>5</v>
      </c>
      <c r="K2509" s="224">
        <f>IFERROR(__xludf.DUMMYFUNCTION("""COMPUTED_VALUE"""),40.0)</f>
        <v>40</v>
      </c>
      <c r="L2509" s="226">
        <f>IFERROR(__xludf.DUMMYFUNCTION("""COMPUTED_VALUE"""),697369.0)</f>
        <v>697369</v>
      </c>
      <c r="M2509" s="227">
        <f>IFERROR(__xludf.DUMMYFUNCTION("""COMPUTED_VALUE"""),2.789473E7)</f>
        <v>27894730</v>
      </c>
      <c r="N2509" s="222" t="str">
        <f>IFERROR(__xludf.DUMMYFUNCTION("""COMPUTED_VALUE"""),"PT UPAYA TEKNIK")</f>
        <v>PT UPAYA TEKNIK</v>
      </c>
      <c r="O2509" s="222" t="str">
        <f>IFERROR(__xludf.DUMMYFUNCTION("""COMPUTED_VALUE"""),"7. GOLIVE")</f>
        <v>7. GOLIVE</v>
      </c>
      <c r="P2509" s="222" t="str">
        <f>IFERROR(__xludf.DUMMYFUNCTION("""COMPUTED_VALUE"""),"7.2 Golive Full / OA / DONE OTB")</f>
        <v>7.2 Golive Full / OA / DONE OTB</v>
      </c>
      <c r="Q2509" s="222" t="str">
        <f>IFERROR(__xludf.DUMMYFUNCTION("""COMPUTED_VALUE"""),"05/03 Pemasangan ODP")</f>
        <v>05/03 Pemasangan ODP</v>
      </c>
      <c r="R2509" s="228">
        <f>IFERROR(__xludf.DUMMYFUNCTION("""COMPUTED_VALUE"""),46088.0)</f>
        <v>46088</v>
      </c>
      <c r="S2509" s="11" t="str">
        <f>IFERROR(__xludf.DUMMYFUNCTION("""COMPUTED_VALUE"""),"MAR")</f>
        <v>MAR</v>
      </c>
      <c r="T2509" s="11"/>
      <c r="U2509" s="11"/>
      <c r="V2509" s="229" t="str">
        <f>IFERROR(__xludf.DUMMYFUNCTION("""COMPUTED_VALUE"""),"GUSKAR DIYONAL")</f>
        <v>GUSKAR DIYONAL</v>
      </c>
      <c r="W2509" s="229" t="str">
        <f>IFERROR(__xludf.DUMMYFUNCTION("""COMPUTED_VALUE"""),"ANZALA SAKINAH")</f>
        <v>ANZALA SAKINAH</v>
      </c>
      <c r="X2509" s="229" t="str">
        <f>IFERROR(__xludf.DUMMYFUNCTION("""COMPUTED_VALUE"""),"GOLIVE")</f>
        <v>GOLIVE</v>
      </c>
      <c r="Y2509" s="229" t="str">
        <f>IFERROR(__xludf.DUMMYFUNCTION("""COMPUTED_VALUE"""),"DONE")</f>
        <v>DONE</v>
      </c>
      <c r="Z2509" s="229" t="str">
        <f>IFERROR(__xludf.DUMMYFUNCTION("""COMPUTED_VALUE"""),"#N/A")</f>
        <v>#N/A</v>
      </c>
      <c r="AA2509" s="229">
        <f>IFERROR(__xludf.DUMMYFUNCTION("""COMPUTED_VALUE"""),5.0)</f>
        <v>5</v>
      </c>
      <c r="AB2509" s="229"/>
      <c r="AC2509" s="229" t="str">
        <f>IFERROR(__xludf.DUMMYFUNCTION("""COMPUTED_VALUE"""),"9034470#9034475")</f>
        <v>9034470#9034475</v>
      </c>
      <c r="AD2509" s="232">
        <f>IFERROR(__xludf.DUMMYFUNCTION("""COMPUTED_VALUE"""),40.0)</f>
        <v>40</v>
      </c>
      <c r="AE2509" s="233">
        <f>IFERROR(__xludf.DUMMYFUNCTION("""COMPUTED_VALUE"""),46089.0)</f>
        <v>46089</v>
      </c>
      <c r="AF2509" s="54"/>
      <c r="AG2509" s="54"/>
      <c r="AH2509" s="54">
        <v>46088.0</v>
      </c>
      <c r="AI2509" s="55">
        <f>IF(OR(AH2509="",AE2509=""),"",AH2509-AE2509)</f>
        <v>-1</v>
      </c>
      <c r="AW2509" s="234"/>
      <c r="BP2509" s="11"/>
      <c r="BQ2509" s="11"/>
      <c r="BV2509" s="158"/>
      <c r="BY2509" s="158"/>
      <c r="CB2509" s="158"/>
    </row>
    <row r="2510" ht="18.0" customHeight="1">
      <c r="A2510" s="222">
        <f>IFERROR(__xludf.DUMMYFUNCTION("""COMPUTED_VALUE"""),2026.0)</f>
        <v>2026</v>
      </c>
      <c r="B2510" s="221">
        <f>IFERROR(__xludf.DUMMYFUNCTION("""COMPUTED_VALUE"""),1.2860432E7)</f>
        <v>12860432</v>
      </c>
      <c r="C2510" s="222" t="str">
        <f>IFERROR(__xludf.DUMMYFUNCTION("""COMPUTED_VALUE"""),"SMB-PT3-ODC-LIN-FB-250_192_2575")</f>
        <v>SMB-PT3-ODC-LIN-FB-250_192_2575</v>
      </c>
      <c r="D2510" s="222" t="str">
        <f>IFERROR(__xludf.DUMMYFUNCTION("""COMPUTED_VALUE"""),"REGIONAL I")</f>
        <v>REGIONAL I</v>
      </c>
      <c r="E2510" s="222" t="str">
        <f>IFERROR(__xludf.DUMMYFUNCTION("""COMPUTED_VALUE"""),"SUMBAR")</f>
        <v>SUMBAR</v>
      </c>
      <c r="F2510" s="222" t="str">
        <f>IFERROR(__xludf.DUMMYFUNCTION("""COMPUTED_VALUE"""),"LIN")</f>
        <v>LIN</v>
      </c>
      <c r="G2510" s="222" t="str">
        <f>IFERROR(__xludf.DUMMYFUNCTION("""COMPUTED_VALUE"""),"SUMBAGTENG")</f>
        <v>SUMBAGTENG</v>
      </c>
      <c r="H2510" s="222" t="str">
        <f>IFERROR(__xludf.DUMMYFUNCTION("""COMPUTED_VALUE"""),"BUKIT TINGGI")</f>
        <v>BUKIT TINGGI</v>
      </c>
      <c r="I2510" s="222" t="str">
        <f>IFERROR(__xludf.DUMMYFUNCTION("""COMPUTED_VALUE"""),"Batch 3")</f>
        <v>Batch 3</v>
      </c>
      <c r="J2510" s="225">
        <f>IFERROR(__xludf.DUMMYFUNCTION("""COMPUTED_VALUE"""),2.0)</f>
        <v>2</v>
      </c>
      <c r="K2510" s="224">
        <f>IFERROR(__xludf.DUMMYFUNCTION("""COMPUTED_VALUE"""),16.0)</f>
        <v>16</v>
      </c>
      <c r="L2510" s="226">
        <f>IFERROR(__xludf.DUMMYFUNCTION("""COMPUTED_VALUE"""),695245.0)</f>
        <v>695245</v>
      </c>
      <c r="M2510" s="227">
        <f>IFERROR(__xludf.DUMMYFUNCTION("""COMPUTED_VALUE"""),1.1123905E7)</f>
        <v>11123905</v>
      </c>
      <c r="N2510" s="222" t="str">
        <f>IFERROR(__xludf.DUMMYFUNCTION("""COMPUTED_VALUE"""),"PT RATRI PRIMA MANDIRI")</f>
        <v>PT RATRI PRIMA MANDIRI</v>
      </c>
      <c r="O2510" s="222" t="str">
        <f>IFERROR(__xludf.DUMMYFUNCTION("""COMPUTED_VALUE"""),"8. UJI TERIMA")</f>
        <v>8. UJI TERIMA</v>
      </c>
      <c r="P2510" s="222" t="str">
        <f>IFERROR(__xludf.DUMMYFUNCTION("""COMPUTED_VALUE"""),"8.1 Proses UT")</f>
        <v>8.1 Proses UT</v>
      </c>
      <c r="Q2510" s="222" t="str">
        <f>IFERROR(__xludf.DUMMYFUNCTION("""COMPUTED_VALUE"""),"(02/03) ABD done ke sdi  (18/02) material on site PLAN Instal 22/02, PLAN FI 23/02  (03/02) Proses create PID (29/01) Done aanwijziing  , proses eval")</f>
        <v>(02/03) ABD done ke sdi  (18/02) material on site PLAN Instal 22/02, PLAN FI 23/02  (03/02) Proses create PID (29/01) Done aanwijziing  , proses eval</v>
      </c>
      <c r="R2510" s="228">
        <f>IFERROR(__xludf.DUMMYFUNCTION("""COMPUTED_VALUE"""),46097.0)</f>
        <v>46097</v>
      </c>
      <c r="S2510" s="11" t="str">
        <f>IFERROR(__xludf.DUMMYFUNCTION("""COMPUTED_VALUE"""),"MAR")</f>
        <v>MAR</v>
      </c>
      <c r="T2510" s="11"/>
      <c r="U2510" s="11" t="str">
        <f>IFERROR(__xludf.DUMMYFUNCTION("""COMPUTED_VALUE"""),"TIF-3512/2026 26KT03R107-0006")</f>
        <v>TIF-3512/2026 26KT03R107-0006</v>
      </c>
      <c r="V2510" s="229" t="str">
        <f>IFERROR(__xludf.DUMMYFUNCTION("""COMPUTED_VALUE"""),"M. ARIF HAMADI")</f>
        <v>M. ARIF HAMADI</v>
      </c>
      <c r="W2510" s="229" t="str">
        <f>IFERROR(__xludf.DUMMYFUNCTION("""COMPUTED_VALUE"""),"MELKO NARWADI")</f>
        <v>MELKO NARWADI</v>
      </c>
      <c r="X2510" s="229" t="str">
        <f>IFERROR(__xludf.DUMMYFUNCTION("""COMPUTED_VALUE"""),"GOLIVE")</f>
        <v>GOLIVE</v>
      </c>
      <c r="Y2510" s="229" t="str">
        <f>IFERROR(__xludf.DUMMYFUNCTION("""COMPUTED_VALUE"""),"DONE")</f>
        <v>DONE</v>
      </c>
      <c r="Z2510" s="229" t="str">
        <f>IFERROR(__xludf.DUMMYFUNCTION("""COMPUTED_VALUE"""),"#N/A")</f>
        <v>#N/A</v>
      </c>
      <c r="AA2510" s="229">
        <f>IFERROR(__xludf.DUMMYFUNCTION("""COMPUTED_VALUE"""),2.0)</f>
        <v>2</v>
      </c>
      <c r="AB2510" s="229"/>
      <c r="AC2510" s="229" t="str">
        <f>IFERROR(__xludf.DUMMYFUNCTION("""COMPUTED_VALUE"""),"9160745#9160750")</f>
        <v>9160745#9160750</v>
      </c>
      <c r="AD2510" s="232">
        <f>IFERROR(__xludf.DUMMYFUNCTION("""COMPUTED_VALUE"""),16.0)</f>
        <v>16</v>
      </c>
      <c r="AE2510" s="233">
        <f>IFERROR(__xludf.DUMMYFUNCTION("""COMPUTED_VALUE"""),46084.0)</f>
        <v>46084</v>
      </c>
      <c r="AF2510" s="54"/>
      <c r="AG2510" s="54"/>
      <c r="AH2510" s="54">
        <v>46097.0</v>
      </c>
      <c r="AI2510" s="55">
        <f t="shared" ref="AI2510:AI2583" si="236">IF(OR(R2510="",AE2510=""),"",R2510-AE2510)</f>
        <v>13</v>
      </c>
      <c r="AW2510" s="234"/>
      <c r="BP2510" s="11"/>
      <c r="BQ2510" s="11"/>
      <c r="BV2510" s="158"/>
      <c r="BY2510" s="158"/>
      <c r="CB2510" s="158"/>
    </row>
    <row r="2511" ht="18.0" hidden="1" customHeight="1">
      <c r="A2511" s="222">
        <f>IFERROR(__xludf.DUMMYFUNCTION("""COMPUTED_VALUE"""),2026.0)</f>
        <v>2026</v>
      </c>
      <c r="B2511" s="221">
        <f>IFERROR(__xludf.DUMMYFUNCTION("""COMPUTED_VALUE"""),1.2865421E7)</f>
        <v>12865421</v>
      </c>
      <c r="C2511" s="222" t="str">
        <f>IFERROR(__xludf.DUMMYFUNCTION("""COMPUTED_VALUE"""),"MDN PT3 LBP-FD 250_1611_1759")</f>
        <v>MDN PT3 LBP-FD 250_1611_1759</v>
      </c>
      <c r="D2511" s="222" t="str">
        <f>IFERROR(__xludf.DUMMYFUNCTION("""COMPUTED_VALUE"""),"REGIONAL I")</f>
        <v>REGIONAL I</v>
      </c>
      <c r="E2511" s="222" t="str">
        <f>IFERROR(__xludf.DUMMYFUNCTION("""COMPUTED_VALUE"""),"MEDAN")</f>
        <v>MEDAN</v>
      </c>
      <c r="F2511" s="222" t="str">
        <f>IFERROR(__xludf.DUMMYFUNCTION("""COMPUTED_VALUE"""),"LBP")</f>
        <v>LBP</v>
      </c>
      <c r="G2511" s="222" t="str">
        <f>IFERROR(__xludf.DUMMYFUNCTION("""COMPUTED_VALUE"""),"SUMBAGUT")</f>
        <v>SUMBAGUT</v>
      </c>
      <c r="H2511" s="222" t="str">
        <f>IFERROR(__xludf.DUMMYFUNCTION("""COMPUTED_VALUE"""),"MEDAN")</f>
        <v>MEDAN</v>
      </c>
      <c r="I2511" s="222" t="str">
        <f>IFERROR(__xludf.DUMMYFUNCTION("""COMPUTED_VALUE"""),"Batch 3")</f>
        <v>Batch 3</v>
      </c>
      <c r="J2511" s="225">
        <f>IFERROR(__xludf.DUMMYFUNCTION("""COMPUTED_VALUE"""),4.0)</f>
        <v>4</v>
      </c>
      <c r="K2511" s="224">
        <f>IFERROR(__xludf.DUMMYFUNCTION("""COMPUTED_VALUE"""),32.0)</f>
        <v>32</v>
      </c>
      <c r="L2511" s="226">
        <f>IFERROR(__xludf.DUMMYFUNCTION("""COMPUTED_VALUE"""),693401.0)</f>
        <v>693401</v>
      </c>
      <c r="M2511" s="227">
        <f>IFERROR(__xludf.DUMMYFUNCTION("""COMPUTED_VALUE"""),2.2188818E7)</f>
        <v>22188818</v>
      </c>
      <c r="N2511" s="222" t="str">
        <f>IFERROR(__xludf.DUMMYFUNCTION("""COMPUTED_VALUE"""),"PT UPAYA TEKNIK")</f>
        <v>PT UPAYA TEKNIK</v>
      </c>
      <c r="O2511" s="222" t="str">
        <f>IFERROR(__xludf.DUMMYFUNCTION("""COMPUTED_VALUE"""),"5. INSTALASI")</f>
        <v>5. INSTALASI</v>
      </c>
      <c r="P2511" s="222" t="str">
        <f>IFERROR(__xludf.DUMMYFUNCTION("""COMPUTED_VALUE"""),"5.6 Proses Penarikan Kabel")</f>
        <v>5.6 Proses Penarikan Kabel</v>
      </c>
      <c r="Q2511" s="222" t="str">
        <f>IFERROR(__xludf.DUMMYFUNCTION("""COMPUTED_VALUE"""),"20/04 penarikan kabel
09/04 proses input matrial
31/03 menunggu perizinan (02/04) 12/02 proses perizinan
09/02 feeder ok")</f>
        <v>20/04 penarikan kabel
09/04 proses input matrial
31/03 menunggu perizinan (02/04) 12/02 proses perizinan
09/02 feeder ok</v>
      </c>
      <c r="R2511" s="228">
        <f>IFERROR(__xludf.DUMMYFUNCTION("""COMPUTED_VALUE"""),46139.0)</f>
        <v>46139</v>
      </c>
      <c r="S2511" s="11" t="str">
        <f>IFERROR(__xludf.DUMMYFUNCTION("""COMPUTED_VALUE"""),"APR")</f>
        <v>APR</v>
      </c>
      <c r="T2511" s="73"/>
      <c r="U2511" s="11"/>
      <c r="V2511" s="229" t="str">
        <f>IFERROR(__xludf.DUMMYFUNCTION("""COMPUTED_VALUE"""),"28/Apr/2026")</f>
        <v>28/Apr/2026</v>
      </c>
      <c r="W2511" s="229"/>
      <c r="X2511" s="229" t="str">
        <f>IFERROR(__xludf.DUMMYFUNCTION("""COMPUTED_VALUE"""),"BELUM GOLIVE")</f>
        <v>BELUM GOLIVE</v>
      </c>
      <c r="Y2511" s="229"/>
      <c r="Z2511" s="229" t="str">
        <f>IFERROR(__xludf.DUMMYFUNCTION("""COMPUTED_VALUE"""),"#N/A")</f>
        <v>#N/A</v>
      </c>
      <c r="AA2511" s="229"/>
      <c r="AB2511" s="229"/>
      <c r="AC2511" s="229"/>
      <c r="AD2511" s="232"/>
      <c r="AE2511" s="233"/>
      <c r="AF2511" s="54"/>
      <c r="AG2511" s="54"/>
      <c r="AH2511" s="54">
        <v>46139.0</v>
      </c>
      <c r="AI2511" s="55" t="str">
        <f t="shared" si="236"/>
        <v/>
      </c>
      <c r="AW2511" s="234"/>
      <c r="BP2511" s="11"/>
      <c r="BQ2511" s="11"/>
      <c r="BV2511" s="158"/>
      <c r="BY2511" s="158"/>
      <c r="CB2511" s="158"/>
    </row>
    <row r="2512" ht="18.0" hidden="1" customHeight="1">
      <c r="A2512" s="222">
        <f>IFERROR(__xludf.DUMMYFUNCTION("""COMPUTED_VALUE"""),2026.0)</f>
        <v>2026</v>
      </c>
      <c r="B2512" s="221">
        <f>IFERROR(__xludf.DUMMYFUNCTION("""COMPUTED_VALUE"""),1.1272385E7)</f>
        <v>11272385</v>
      </c>
      <c r="C2512" s="222" t="str">
        <f>IFERROR(__xludf.DUMMYFUNCTION("""COMPUTED_VALUE"""),"MDN PT3 P1I1 TJR-FV GG.RASMI II")</f>
        <v>MDN PT3 P1I1 TJR-FV GG.RASMI II</v>
      </c>
      <c r="D2512" s="222" t="str">
        <f>IFERROR(__xludf.DUMMYFUNCTION("""COMPUTED_VALUE"""),"REGIONAL I")</f>
        <v>REGIONAL I</v>
      </c>
      <c r="E2512" s="222" t="str">
        <f>IFERROR(__xludf.DUMMYFUNCTION("""COMPUTED_VALUE"""),"MEDAN")</f>
        <v>MEDAN</v>
      </c>
      <c r="F2512" s="222" t="str">
        <f>IFERROR(__xludf.DUMMYFUNCTION("""COMPUTED_VALUE"""),"TJR")</f>
        <v>TJR</v>
      </c>
      <c r="G2512" s="222" t="str">
        <f>IFERROR(__xludf.DUMMYFUNCTION("""COMPUTED_VALUE"""),"SUMBAGUT")</f>
        <v>SUMBAGUT</v>
      </c>
      <c r="H2512" s="222" t="str">
        <f>IFERROR(__xludf.DUMMYFUNCTION("""COMPUTED_VALUE"""),"MEDAN")</f>
        <v>MEDAN</v>
      </c>
      <c r="I2512" s="222" t="str">
        <f>IFERROR(__xludf.DUMMYFUNCTION("""COMPUTED_VALUE"""),"Batch 3")</f>
        <v>Batch 3</v>
      </c>
      <c r="J2512" s="225">
        <f>IFERROR(__xludf.DUMMYFUNCTION("""COMPUTED_VALUE"""),2.0)</f>
        <v>2</v>
      </c>
      <c r="K2512" s="224">
        <f>IFERROR(__xludf.DUMMYFUNCTION("""COMPUTED_VALUE"""),16.0)</f>
        <v>16</v>
      </c>
      <c r="L2512" s="226">
        <f>IFERROR(__xludf.DUMMYFUNCTION("""COMPUTED_VALUE"""),1177393.0)</f>
        <v>1177393</v>
      </c>
      <c r="M2512" s="227">
        <f>IFERROR(__xludf.DUMMYFUNCTION("""COMPUTED_VALUE"""),1.8838275E7)</f>
        <v>18838275</v>
      </c>
      <c r="N2512" s="222" t="str">
        <f>IFERROR(__xludf.DUMMYFUNCTION("""COMPUTED_VALUE"""),"PT UPAYA TEKNIK")</f>
        <v>PT UPAYA TEKNIK</v>
      </c>
      <c r="O2512" s="222" t="str">
        <f>IFERROR(__xludf.DUMMYFUNCTION("""COMPUTED_VALUE"""),"8. UJI TERIMA")</f>
        <v>8. UJI TERIMA</v>
      </c>
      <c r="P2512" s="222" t="str">
        <f>IFERROR(__xludf.DUMMYFUNCTION("""COMPUTED_VALUE"""),"8.1 Proses UT")</f>
        <v>8.1 Proses UT</v>
      </c>
      <c r="Q2512" s="222" t="str">
        <f>IFERROR(__xludf.DUMMYFUNCTION("""COMPUTED_VALUE"""),"07/02 pengecekan abd , golive sdi")</f>
        <v>07/02 pengecekan abd , golive sdi</v>
      </c>
      <c r="R2512" s="228">
        <f>IFERROR(__xludf.DUMMYFUNCTION("""COMPUTED_VALUE"""),46060.0)</f>
        <v>46060</v>
      </c>
      <c r="S2512" s="11"/>
      <c r="T2512" s="11"/>
      <c r="U2512" s="11" t="str">
        <f>IFERROR(__xludf.DUMMYFUNCTION("""COMPUTED_VALUE"""),"FALSE")</f>
        <v>FALSE</v>
      </c>
      <c r="V2512" s="229"/>
      <c r="W2512" s="229"/>
      <c r="X2512" s="229" t="str">
        <f>IFERROR(__xludf.DUMMYFUNCTION("""COMPUTED_VALUE"""),"GOLIVE")</f>
        <v>GOLIVE</v>
      </c>
      <c r="Y2512" s="229" t="str">
        <f>IFERROR(__xludf.DUMMYFUNCTION("""COMPUTED_VALUE"""),"DONE")</f>
        <v>DONE</v>
      </c>
      <c r="Z2512" s="229" t="str">
        <f>IFERROR(__xludf.DUMMYFUNCTION("""COMPUTED_VALUE"""),"#N/A")</f>
        <v>#N/A</v>
      </c>
      <c r="AA2512" s="229">
        <f>IFERROR(__xludf.DUMMYFUNCTION("""COMPUTED_VALUE"""),2.0)</f>
        <v>2</v>
      </c>
      <c r="AB2512" s="229"/>
      <c r="AC2512" s="229" t="str">
        <f>IFERROR(__xludf.DUMMYFUNCTION("""COMPUTED_VALUE"""),"9082729#9082734")</f>
        <v>9082729#9082734</v>
      </c>
      <c r="AD2512" s="232">
        <f>IFERROR(__xludf.DUMMYFUNCTION("""COMPUTED_VALUE"""),16.0)</f>
        <v>16</v>
      </c>
      <c r="AE2512" s="233">
        <f>IFERROR(__xludf.DUMMYFUNCTION("""COMPUTED_VALUE"""),46060.0)</f>
        <v>46060</v>
      </c>
      <c r="AF2512" s="54"/>
      <c r="AG2512" s="54"/>
      <c r="AH2512" s="54">
        <v>46060.0</v>
      </c>
      <c r="AI2512" s="55">
        <f t="shared" si="236"/>
        <v>0</v>
      </c>
      <c r="AW2512" s="234"/>
      <c r="BP2512" s="11"/>
      <c r="BQ2512" s="11"/>
      <c r="BV2512" s="158"/>
      <c r="BY2512" s="158"/>
      <c r="CB2512" s="158"/>
    </row>
    <row r="2513" ht="18.0" hidden="1" customHeight="1">
      <c r="A2513" s="222">
        <f>IFERROR(__xludf.DUMMYFUNCTION("""COMPUTED_VALUE"""),2026.0)</f>
        <v>2026</v>
      </c>
      <c r="B2513" s="221">
        <f>IFERROR(__xludf.DUMMYFUNCTION("""COMPUTED_VALUE"""),1.2792335E7)</f>
        <v>12792335</v>
      </c>
      <c r="C2513" s="222" t="str">
        <f>IFERROR(__xludf.DUMMYFUNCTION("""COMPUTED_VALUE"""),"ACH PT3 MBO-FAA PERUM RAN SHAQUEENA 2")</f>
        <v>ACH PT3 MBO-FAA PERUM RAN SHAQUEENA 2</v>
      </c>
      <c r="D2513" s="222" t="str">
        <f>IFERROR(__xludf.DUMMYFUNCTION("""COMPUTED_VALUE"""),"REGIONAL I")</f>
        <v>REGIONAL I</v>
      </c>
      <c r="E2513" s="222" t="str">
        <f>IFERROR(__xludf.DUMMYFUNCTION("""COMPUTED_VALUE"""),"ACEH")</f>
        <v>ACEH</v>
      </c>
      <c r="F2513" s="222" t="str">
        <f>IFERROR(__xludf.DUMMYFUNCTION("""COMPUTED_VALUE"""),"MBO")</f>
        <v>MBO</v>
      </c>
      <c r="G2513" s="222" t="str">
        <f>IFERROR(__xludf.DUMMYFUNCTION("""COMPUTED_VALUE"""),"SUMBAGUT")</f>
        <v>SUMBAGUT</v>
      </c>
      <c r="H2513" s="222" t="str">
        <f>IFERROR(__xludf.DUMMYFUNCTION("""COMPUTED_VALUE"""),"BANDA ACEH")</f>
        <v>BANDA ACEH</v>
      </c>
      <c r="I2513" s="222" t="str">
        <f>IFERROR(__xludf.DUMMYFUNCTION("""COMPUTED_VALUE"""),"Batch 3")</f>
        <v>Batch 3</v>
      </c>
      <c r="J2513" s="225">
        <f>IFERROR(__xludf.DUMMYFUNCTION("""COMPUTED_VALUE"""),4.0)</f>
        <v>4</v>
      </c>
      <c r="K2513" s="224">
        <f>IFERROR(__xludf.DUMMYFUNCTION("""COMPUTED_VALUE"""),32.0)</f>
        <v>32</v>
      </c>
      <c r="L2513" s="226">
        <f>IFERROR(__xludf.DUMMYFUNCTION("""COMPUTED_VALUE"""),684664.0)</f>
        <v>684664</v>
      </c>
      <c r="M2513" s="227">
        <f>IFERROR(__xludf.DUMMYFUNCTION("""COMPUTED_VALUE"""),2.1909217E7)</f>
        <v>21909217</v>
      </c>
      <c r="N2513" s="222" t="str">
        <f>IFERROR(__xludf.DUMMYFUNCTION("""COMPUTED_VALUE"""),"PT NURISA JAYA PERKASA")</f>
        <v>PT NURISA JAYA PERKASA</v>
      </c>
      <c r="O2513" s="222" t="str">
        <f>IFERROR(__xludf.DUMMYFUNCTION("""COMPUTED_VALUE"""),"2. DONE AANWIJZING")</f>
        <v>2. DONE AANWIJZING</v>
      </c>
      <c r="P2513" s="222" t="str">
        <f>IFERROR(__xludf.DUMMYFUNCTION("""COMPUTED_VALUE"""),"2.10 Kendala - Feeder Rusak")</f>
        <v>2.10 Kendala - Feeder Rusak</v>
      </c>
      <c r="Q2513" s="222" t="str">
        <f>IFERROR(__xludf.DUMMYFUNCTION("""COMPUTED_VALUE"""),"(10/04) Proses Redesign untuk kendala Feeder dan optimalisasi OLT Existing kritis (14/02) Proses negosiasi dan Validasi Core Existing (07/02) Done Aanwijzing, comcase geser tiang existing (02/02) Penjadwalan Aanwijzing")</f>
        <v>(10/04) Proses Redesign untuk kendala Feeder dan optimalisasi OLT Existing kritis (14/02) Proses negosiasi dan Validasi Core Existing (07/02) Done Aanwijzing, comcase geser tiang existing (02/02) Penjadwalan Aanwijzing</v>
      </c>
      <c r="R2513" s="228"/>
      <c r="S2513" s="11"/>
      <c r="T2513" s="73"/>
      <c r="U2513" s="11"/>
      <c r="V2513" s="229" t="str">
        <f>IFERROR(__xludf.DUMMYFUNCTION("""COMPUTED_VALUE"""),"27/Apr/2026")</f>
        <v>27/Apr/2026</v>
      </c>
      <c r="W2513" s="229"/>
      <c r="X2513" s="229" t="str">
        <f>IFERROR(__xludf.DUMMYFUNCTION("""COMPUTED_VALUE"""),"BELUM GOLIVE")</f>
        <v>BELUM GOLIVE</v>
      </c>
      <c r="Y2513" s="229"/>
      <c r="Z2513" s="229" t="str">
        <f>IFERROR(__xludf.DUMMYFUNCTION("""COMPUTED_VALUE"""),"#N/A")</f>
        <v>#N/A</v>
      </c>
      <c r="AA2513" s="229"/>
      <c r="AB2513" s="229"/>
      <c r="AC2513" s="229"/>
      <c r="AD2513" s="232"/>
      <c r="AE2513" s="233"/>
      <c r="AF2513" s="54"/>
      <c r="AG2513" s="54"/>
      <c r="AH2513" s="54"/>
      <c r="AI2513" s="55" t="str">
        <f t="shared" si="236"/>
        <v/>
      </c>
      <c r="AW2513" s="234"/>
      <c r="BP2513" s="11"/>
      <c r="BQ2513" s="11"/>
      <c r="BV2513" s="158"/>
      <c r="BY2513" s="158"/>
      <c r="CB2513" s="158"/>
    </row>
    <row r="2514" ht="18.0" customHeight="1">
      <c r="A2514" s="222">
        <f>IFERROR(__xludf.DUMMYFUNCTION("""COMPUTED_VALUE"""),2026.0)</f>
        <v>2026</v>
      </c>
      <c r="B2514" s="221">
        <f>IFERROR(__xludf.DUMMYFUNCTION("""COMPUTED_VALUE"""),1.2678801E7)</f>
        <v>12678801</v>
      </c>
      <c r="C2514" s="222" t="str">
        <f>IFERROR(__xludf.DUMMYFUNCTION("""COMPUTED_VALUE"""),"SMB-PT3-SWL-FC AOi425020103093452565dde0")</f>
        <v>SMB-PT3-SWL-FC AOi425020103093452565dde0</v>
      </c>
      <c r="D2514" s="222" t="str">
        <f>IFERROR(__xludf.DUMMYFUNCTION("""COMPUTED_VALUE"""),"REGIONAL I")</f>
        <v>REGIONAL I</v>
      </c>
      <c r="E2514" s="222" t="str">
        <f>IFERROR(__xludf.DUMMYFUNCTION("""COMPUTED_VALUE"""),"SUMBAR")</f>
        <v>SUMBAR</v>
      </c>
      <c r="F2514" s="222" t="str">
        <f>IFERROR(__xludf.DUMMYFUNCTION("""COMPUTED_VALUE"""),"SWL")</f>
        <v>SWL</v>
      </c>
      <c r="G2514" s="222" t="str">
        <f>IFERROR(__xludf.DUMMYFUNCTION("""COMPUTED_VALUE"""),"SUMBAGTENG")</f>
        <v>SUMBAGTENG</v>
      </c>
      <c r="H2514" s="222" t="str">
        <f>IFERROR(__xludf.DUMMYFUNCTION("""COMPUTED_VALUE"""),"PADANG")</f>
        <v>PADANG</v>
      </c>
      <c r="I2514" s="222" t="str">
        <f>IFERROR(__xludf.DUMMYFUNCTION("""COMPUTED_VALUE"""),"Batch 3")</f>
        <v>Batch 3</v>
      </c>
      <c r="J2514" s="225">
        <f>IFERROR(__xludf.DUMMYFUNCTION("""COMPUTED_VALUE"""),7.0)</f>
        <v>7</v>
      </c>
      <c r="K2514" s="224">
        <f>IFERROR(__xludf.DUMMYFUNCTION("""COMPUTED_VALUE"""),56.0)</f>
        <v>56</v>
      </c>
      <c r="L2514" s="226">
        <f>IFERROR(__xludf.DUMMYFUNCTION("""COMPUTED_VALUE"""),683285.0)</f>
        <v>683285</v>
      </c>
      <c r="M2514" s="227">
        <f>IFERROR(__xludf.DUMMYFUNCTION("""COMPUTED_VALUE"""),3.8263934E7)</f>
        <v>38263934</v>
      </c>
      <c r="N2514" s="222" t="str">
        <f>IFERROR(__xludf.DUMMYFUNCTION("""COMPUTED_VALUE"""),"PT TANJUNG PUTRA PRIMA")</f>
        <v>PT TANJUNG PUTRA PRIMA</v>
      </c>
      <c r="O2514" s="222" t="str">
        <f>IFERROR(__xludf.DUMMYFUNCTION("""COMPUTED_VALUE"""),"8. UJI TERIMA")</f>
        <v>8. UJI TERIMA</v>
      </c>
      <c r="P2514" s="222" t="str">
        <f>IFERROR(__xludf.DUMMYFUNCTION("""COMPUTED_VALUE"""),"8.1 Proses UT")</f>
        <v>8.1 Proses UT</v>
      </c>
      <c r="Q2514" s="222" t="str">
        <f>IFERROR(__xludf.DUMMYFUNCTION("""COMPUTED_VALUE"""),"(05/03) ABD done submit ke sdi  (02/03) ABD OGP submit ke sdi  (18/02) penarikan kabel PLAN FI 22/02 (29/01) proses delivery material  (21/01) proses CReate PID (07/01) Persiapan")</f>
        <v>(05/03) ABD done submit ke sdi  (02/03) ABD OGP submit ke sdi  (18/02) penarikan kabel PLAN FI 22/02 (29/01) proses delivery material  (21/01) proses CReate PID (07/01) Persiapan</v>
      </c>
      <c r="R2514" s="228">
        <f>IFERROR(__xludf.DUMMYFUNCTION("""COMPUTED_VALUE"""),46093.0)</f>
        <v>46093</v>
      </c>
      <c r="S2514" s="11" t="str">
        <f>IFERROR(__xludf.DUMMYFUNCTION("""COMPUTED_VALUE"""),"MAR")</f>
        <v>MAR</v>
      </c>
      <c r="T2514" s="11"/>
      <c r="U2514" s="11" t="str">
        <f>IFERROR(__xludf.DUMMYFUNCTION("""COMPUTED_VALUE"""),"TIF-2439/2026 26KT03R158-0032")</f>
        <v>TIF-2439/2026 26KT03R158-0032</v>
      </c>
      <c r="V2514" s="229" t="str">
        <f>IFERROR(__xludf.DUMMYFUNCTION("""COMPUTED_VALUE"""),"YULIO NOVIKO")</f>
        <v>YULIO NOVIKO</v>
      </c>
      <c r="W2514" s="229" t="str">
        <f>IFERROR(__xludf.DUMMYFUNCTION("""COMPUTED_VALUE"""),"MELKO NARWADI")</f>
        <v>MELKO NARWADI</v>
      </c>
      <c r="X2514" s="229" t="str">
        <f>IFERROR(__xludf.DUMMYFUNCTION("""COMPUTED_VALUE"""),"GOLIVE")</f>
        <v>GOLIVE</v>
      </c>
      <c r="Y2514" s="229" t="str">
        <f>IFERROR(__xludf.DUMMYFUNCTION("""COMPUTED_VALUE"""),"DONE")</f>
        <v>DONE</v>
      </c>
      <c r="Z2514" s="229" t="str">
        <f>IFERROR(__xludf.DUMMYFUNCTION("""COMPUTED_VALUE"""),"#N/A")</f>
        <v>#N/A</v>
      </c>
      <c r="AA2514" s="229">
        <f>IFERROR(__xludf.DUMMYFUNCTION("""COMPUTED_VALUE"""),7.0)</f>
        <v>7</v>
      </c>
      <c r="AB2514" s="229"/>
      <c r="AC2514" s="229" t="str">
        <f>IFERROR(__xludf.DUMMYFUNCTION("""COMPUTED_VALUE"""),"9174563#9174568  ")</f>
        <v>9174563#9174568  </v>
      </c>
      <c r="AD2514" s="232">
        <f>IFERROR(__xludf.DUMMYFUNCTION("""COMPUTED_VALUE"""),56.0)</f>
        <v>56</v>
      </c>
      <c r="AE2514" s="233">
        <f>IFERROR(__xludf.DUMMYFUNCTION("""COMPUTED_VALUE"""),46086.0)</f>
        <v>46086</v>
      </c>
      <c r="AF2514" s="54"/>
      <c r="AG2514" s="54"/>
      <c r="AH2514" s="54">
        <v>46093.0</v>
      </c>
      <c r="AI2514" s="55">
        <f t="shared" si="236"/>
        <v>7</v>
      </c>
      <c r="AW2514" s="234"/>
      <c r="BP2514" s="11"/>
      <c r="BQ2514" s="11"/>
      <c r="BV2514" s="158"/>
      <c r="BY2514" s="158"/>
      <c r="CB2514" s="158"/>
    </row>
    <row r="2515" ht="18.0" hidden="1" customHeight="1">
      <c r="A2515" s="222">
        <f>IFERROR(__xludf.DUMMYFUNCTION("""COMPUTED_VALUE"""),2026.0)</f>
        <v>2026</v>
      </c>
      <c r="B2515" s="221">
        <f>IFERROR(__xludf.DUMMYFUNCTION("""COMPUTED_VALUE"""),1.2744941E7)</f>
        <v>12744941</v>
      </c>
      <c r="C2515" s="222" t="str">
        <f>IFERROR(__xludf.DUMMYFUNCTION("""COMPUTED_VALUE"""),"LPG PT3 JPP LAMPUNG TIMUR_19639 MET")</f>
        <v>LPG PT3 JPP LAMPUNG TIMUR_19639 MET</v>
      </c>
      <c r="D2515" s="222" t="str">
        <f>IFERROR(__xludf.DUMMYFUNCTION("""COMPUTED_VALUE"""),"REGIONAL I")</f>
        <v>REGIONAL I</v>
      </c>
      <c r="E2515" s="222" t="str">
        <f>IFERROR(__xludf.DUMMYFUNCTION("""COMPUTED_VALUE"""),"LAMPUNG")</f>
        <v>LAMPUNG</v>
      </c>
      <c r="F2515" s="222" t="str">
        <f>IFERROR(__xludf.DUMMYFUNCTION("""COMPUTED_VALUE"""),"MET")</f>
        <v>MET</v>
      </c>
      <c r="G2515" s="222" t="str">
        <f>IFERROR(__xludf.DUMMYFUNCTION("""COMPUTED_VALUE"""),"SUMBAGSEL")</f>
        <v>SUMBAGSEL</v>
      </c>
      <c r="H2515" s="222" t="str">
        <f>IFERROR(__xludf.DUMMYFUNCTION("""COMPUTED_VALUE"""),"LAMPUNG")</f>
        <v>LAMPUNG</v>
      </c>
      <c r="I2515" s="222" t="str">
        <f>IFERROR(__xludf.DUMMYFUNCTION("""COMPUTED_VALUE"""),"Batch 3")</f>
        <v>Batch 3</v>
      </c>
      <c r="J2515" s="225">
        <f>IFERROR(__xludf.DUMMYFUNCTION("""COMPUTED_VALUE"""),10.0)</f>
        <v>10</v>
      </c>
      <c r="K2515" s="224">
        <f>IFERROR(__xludf.DUMMYFUNCTION("""COMPUTED_VALUE"""),80.0)</f>
        <v>80</v>
      </c>
      <c r="L2515" s="226">
        <f>IFERROR(__xludf.DUMMYFUNCTION("""COMPUTED_VALUE"""),682836.0)</f>
        <v>682836</v>
      </c>
      <c r="M2515" s="227">
        <f>IFERROR(__xludf.DUMMYFUNCTION("""COMPUTED_VALUE"""),5.4626869E7)</f>
        <v>54626869</v>
      </c>
      <c r="N2515" s="222" t="str">
        <f>IFERROR(__xludf.DUMMYFUNCTION("""COMPUTED_VALUE"""),"PT GARINDO TECHNO MANDIRI")</f>
        <v>PT GARINDO TECHNO MANDIRI</v>
      </c>
      <c r="O2515" s="222" t="str">
        <f>IFERROR(__xludf.DUMMYFUNCTION("""COMPUTED_VALUE"""),"7. GOLIVE")</f>
        <v>7. GOLIVE</v>
      </c>
      <c r="P2515" s="222" t="str">
        <f>IFERROR(__xludf.DUMMYFUNCTION("""COMPUTED_VALUE"""),"7.2 Golive Full / OA / DONE OTB")</f>
        <v>7.2 Golive Full / OA / DONE OTB</v>
      </c>
      <c r="Q2515" s="222" t="str">
        <f>IFERROR(__xludf.DUMMYFUNCTION("""COMPUTED_VALUE"""),"4/3  plan fi 5/2 , abd/valin  6/3,   plan golive 7/3
2/3 prosses penarikan kabel ,plan fi 5/2 , abd/valin  6/3,   plan golive 7/3
27/2 prosses penarikan kabel ,plan fi 5/2 , abd/valin  6/3,   plan golive 7/3
26/2 tarik kabel 25/2 PROGRES GALI TANAM TIANG "&amp;"1/3, PLAN GOLIVE 7/3 
24/2 material baru keluar dari wh menuju lokasi ,plan gali tanam tiang 25/2
20/2 proses pengajuan PID dan PR/PO 
 11/2 plan matdel ,15/2 estimasi angkut material dari wh - 16 FEB EMPLOY  (9/2)PLAN MATDEL 10 FEB 6/2 plan matdel ,16/2 "&amp;"estimasi angkut material dari wh
4/2 progres prizinan dan eletrical 
30/1 plan anwizing 
23/1 plan anwizing tanggal 26/1")</f>
        <v>4/3  plan fi 5/2 , abd/valin  6/3,   plan golive 7/3
2/3 prosses penarikan kabel ,plan fi 5/2 , abd/valin  6/3,   plan golive 7/3
27/2 prosses penarikan kabel ,plan fi 5/2 , abd/valin  6/3,   plan golive 7/3
26/2 tarik kabel 25/2 PROGRES GALI TANAM TIANG 1/3, PLAN GOLIVE 7/3 
24/2 material baru keluar dari wh menuju lokasi ,plan gali tanam tiang 25/2
20/2 proses pengajuan PID dan PR/PO 
 11/2 plan matdel ,15/2 estimasi angkut material dari wh - 16 FEB EMPLOY  (9/2)PLAN MATDEL 10 FEB 6/2 plan matdel ,16/2 estimasi angkut material dari wh
4/2 progres prizinan dan eletrical 
30/1 plan anwizing 
23/1 plan anwizing tanggal 26/1</v>
      </c>
      <c r="R2515" s="228">
        <f>IFERROR(__xludf.DUMMYFUNCTION("""COMPUTED_VALUE"""),46089.0)</f>
        <v>46089</v>
      </c>
      <c r="S2515" s="11" t="str">
        <f>IFERROR(__xludf.DUMMYFUNCTION("""COMPUTED_VALUE"""),"MAR")</f>
        <v>MAR</v>
      </c>
      <c r="T2515" s="11"/>
      <c r="U2515" s="11" t="str">
        <f>IFERROR(__xludf.DUMMYFUNCTION("""COMPUTED_VALUE"""),"TIF-4006/2026")</f>
        <v>TIF-4006/2026</v>
      </c>
      <c r="V2515" s="229"/>
      <c r="W2515" s="229"/>
      <c r="X2515" s="229" t="str">
        <f>IFERROR(__xludf.DUMMYFUNCTION("""COMPUTED_VALUE"""),"GOLIVE")</f>
        <v>GOLIVE</v>
      </c>
      <c r="Y2515" s="229" t="str">
        <f>IFERROR(__xludf.DUMMYFUNCTION("""COMPUTED_VALUE"""),"DONE")</f>
        <v>DONE</v>
      </c>
      <c r="Z2515" s="229" t="str">
        <f>IFERROR(__xludf.DUMMYFUNCTION("""COMPUTED_VALUE"""),"#N/A")</f>
        <v>#N/A</v>
      </c>
      <c r="AA2515" s="229">
        <f>IFERROR(__xludf.DUMMYFUNCTION("""COMPUTED_VALUE"""),5.0)</f>
        <v>5</v>
      </c>
      <c r="AB2515" s="229"/>
      <c r="AC2515" s="229" t="str">
        <f>IFERROR(__xludf.DUMMYFUNCTION("""COMPUTED_VALUE"""),"9106130#9106135")</f>
        <v>9106130#9106135</v>
      </c>
      <c r="AD2515" s="232">
        <f>IFERROR(__xludf.DUMMYFUNCTION("""COMPUTED_VALUE"""),40.0)</f>
        <v>40</v>
      </c>
      <c r="AE2515" s="233">
        <f>IFERROR(__xludf.DUMMYFUNCTION("""COMPUTED_VALUE"""),46088.0)</f>
        <v>46088</v>
      </c>
      <c r="AF2515" s="54"/>
      <c r="AG2515" s="54"/>
      <c r="AH2515" s="54">
        <v>46089.0</v>
      </c>
      <c r="AI2515" s="55">
        <f t="shared" si="236"/>
        <v>1</v>
      </c>
      <c r="AW2515" s="234"/>
      <c r="BP2515" s="11"/>
      <c r="BQ2515" s="11"/>
      <c r="BV2515" s="158"/>
      <c r="BY2515" s="158"/>
      <c r="CB2515" s="158"/>
    </row>
    <row r="2516" ht="18.0" hidden="1" customHeight="1">
      <c r="A2516" s="222">
        <f>IFERROR(__xludf.DUMMYFUNCTION("""COMPUTED_VALUE"""),2026.0)</f>
        <v>2026</v>
      </c>
      <c r="B2516" s="221">
        <f>IFERROR(__xludf.DUMMYFUNCTION("""COMPUTED_VALUE"""),1.2859E7)</f>
        <v>12859000</v>
      </c>
      <c r="C2516" s="222" t="str">
        <f>IFERROR(__xludf.DUMMYFUNCTION("""COMPUTED_VALUE"""),"LPG PT3 JPP LAMPUNG SELATAN_118602 NTR")</f>
        <v>LPG PT3 JPP LAMPUNG SELATAN_118602 NTR</v>
      </c>
      <c r="D2516" s="222" t="str">
        <f>IFERROR(__xludf.DUMMYFUNCTION("""COMPUTED_VALUE"""),"REGIONAL I")</f>
        <v>REGIONAL I</v>
      </c>
      <c r="E2516" s="222" t="str">
        <f>IFERROR(__xludf.DUMMYFUNCTION("""COMPUTED_VALUE"""),"LAMPUNG")</f>
        <v>LAMPUNG</v>
      </c>
      <c r="F2516" s="222" t="str">
        <f>IFERROR(__xludf.DUMMYFUNCTION("""COMPUTED_VALUE"""),"NTR")</f>
        <v>NTR</v>
      </c>
      <c r="G2516" s="222" t="str">
        <f>IFERROR(__xludf.DUMMYFUNCTION("""COMPUTED_VALUE"""),"SUMBAGSEL")</f>
        <v>SUMBAGSEL</v>
      </c>
      <c r="H2516" s="222" t="str">
        <f>IFERROR(__xludf.DUMMYFUNCTION("""COMPUTED_VALUE"""),"LAMPUNG")</f>
        <v>LAMPUNG</v>
      </c>
      <c r="I2516" s="222" t="str">
        <f>IFERROR(__xludf.DUMMYFUNCTION("""COMPUTED_VALUE"""),"Batch 3")</f>
        <v>Batch 3</v>
      </c>
      <c r="J2516" s="225">
        <f>IFERROR(__xludf.DUMMYFUNCTION("""COMPUTED_VALUE"""),15.0)</f>
        <v>15</v>
      </c>
      <c r="K2516" s="224">
        <f>IFERROR(__xludf.DUMMYFUNCTION("""COMPUTED_VALUE"""),120.0)</f>
        <v>120</v>
      </c>
      <c r="L2516" s="226">
        <f>IFERROR(__xludf.DUMMYFUNCTION("""COMPUTED_VALUE"""),681950.0)</f>
        <v>681950</v>
      </c>
      <c r="M2516" s="227">
        <f>IFERROR(__xludf.DUMMYFUNCTION("""COMPUTED_VALUE"""),8.1833972E7)</f>
        <v>81833972</v>
      </c>
      <c r="N2516" s="222" t="str">
        <f>IFERROR(__xludf.DUMMYFUNCTION("""COMPUTED_VALUE"""),"PT BANGTELINDO")</f>
        <v>PT BANGTELINDO</v>
      </c>
      <c r="O2516" s="222" t="str">
        <f>IFERROR(__xludf.DUMMYFUNCTION("""COMPUTED_VALUE"""),"4. MATDEL")</f>
        <v>4. MATDEL</v>
      </c>
      <c r="P2516" s="222" t="str">
        <f>IFERROR(__xludf.DUMMYFUNCTION("""COMPUTED_VALUE"""),"4.5 Material On Site")</f>
        <v>4.5 Material On Site</v>
      </c>
      <c r="Q2516" s="222" t="str">
        <f>IFERROR(__xludf.DUMMYFUNCTION("""COMPUTED_VALUE"""),"27/4 Proses material On Site, 22/4 plan matdel,kendala kabel adss12 22/4,, 15/4 proses pr/po, 14/4 reloksasi jalur dan nilai cpp masih masuk, 09/04 doneproses perizinan, Lokasi Butuh izin PERKIM, Proses perizinan kelurahan 08/04 proses pengecekan core dan"&amp;" perizinan, 25/3 proses pengecekan core dan perizinan 13/3 proses pengecekan core dan perizinan
2/3 proses pengecekan core dan perizinan
27/2 proses pengecekan core dan perizinan,,  23/2 perizinan ke lurah belum bisa ditemui
 20/2 proses pengecekan core d"&amp;"an perizinan, 19/2 Proses PR-PO  11/2 lurah masih belum bisa ditemui - plan 12 feb ketemu  6/2  lurah tidaka bisa putuskan ,folow uf 09/2 ,estimasi 12/2
4/2  on progres prizinan 
28/1 on progres prizinan  05/2 
23/1 plan anwizing tanggal 26/5")</f>
        <v>27/4 Proses material On Site, 22/4 plan matdel,kendala kabel adss12 22/4,, 15/4 proses pr/po, 14/4 reloksasi jalur dan nilai cpp masih masuk, 09/04 doneproses perizinan, Lokasi Butuh izin PERKIM, Proses perizinan kelurahan 08/04 proses pengecekan core dan perizinan, 25/3 proses pengecekan core dan perizinan 13/3 proses pengecekan core dan perizinan
2/3 proses pengecekan core dan perizinan
27/2 proses pengecekan core dan perizinan,,  23/2 perizinan ke lurah belum bisa ditemui
 20/2 proses pengecekan core dan perizinan, 19/2 Proses PR-PO  11/2 lurah masih belum bisa ditemui - plan 12 feb ketemu  6/2  lurah tidaka bisa putuskan ,folow uf 09/2 ,estimasi 12/2
4/2  on progres prizinan 
28/1 on progres prizinan  05/2 
23/1 plan anwizing tanggal 26/5</v>
      </c>
      <c r="R2516" s="228">
        <f>IFERROR(__xludf.DUMMYFUNCTION("""COMPUTED_VALUE"""),46141.0)</f>
        <v>46141</v>
      </c>
      <c r="S2516" s="11" t="str">
        <f>IFERROR(__xludf.DUMMYFUNCTION("""COMPUTED_VALUE"""),"MEI")</f>
        <v>MEI</v>
      </c>
      <c r="T2516" s="11"/>
      <c r="U2516" s="11"/>
      <c r="V2516" s="229"/>
      <c r="W2516" s="229"/>
      <c r="X2516" s="229"/>
      <c r="Y2516" s="229"/>
      <c r="Z2516" s="229" t="str">
        <f>IFERROR(__xludf.DUMMYFUNCTION("""COMPUTED_VALUE"""),"#N/A")</f>
        <v>#N/A</v>
      </c>
      <c r="AA2516" s="229"/>
      <c r="AB2516" s="229"/>
      <c r="AC2516" s="229"/>
      <c r="AD2516" s="232"/>
      <c r="AE2516" s="233"/>
      <c r="AF2516" s="54"/>
      <c r="AG2516" s="54"/>
      <c r="AH2516" s="54"/>
      <c r="AI2516" s="55" t="str">
        <f t="shared" si="236"/>
        <v/>
      </c>
      <c r="AW2516" s="234"/>
      <c r="BP2516" s="11"/>
      <c r="BQ2516" s="11"/>
      <c r="BV2516" s="158"/>
      <c r="BY2516" s="158"/>
      <c r="CB2516" s="158"/>
    </row>
    <row r="2517" ht="18.0" hidden="1" customHeight="1">
      <c r="A2517" s="222">
        <f>IFERROR(__xludf.DUMMYFUNCTION("""COMPUTED_VALUE"""),2026.0)</f>
        <v>2026</v>
      </c>
      <c r="B2517" s="221">
        <f>IFERROR(__xludf.DUMMYFUNCTION("""COMPUTED_VALUE"""),1.2817158E7)</f>
        <v>12817158</v>
      </c>
      <c r="C2517" s="222" t="str">
        <f>IFERROR(__xludf.DUMMYFUNCTION("""COMPUTED_VALUE"""),"LPG PT3 JPP KOTA METRO_10684 MET")</f>
        <v>LPG PT3 JPP KOTA METRO_10684 MET</v>
      </c>
      <c r="D2517" s="222" t="str">
        <f>IFERROR(__xludf.DUMMYFUNCTION("""COMPUTED_VALUE"""),"REGIONAL I")</f>
        <v>REGIONAL I</v>
      </c>
      <c r="E2517" s="222" t="str">
        <f>IFERROR(__xludf.DUMMYFUNCTION("""COMPUTED_VALUE"""),"LAMPUNG")</f>
        <v>LAMPUNG</v>
      </c>
      <c r="F2517" s="222" t="str">
        <f>IFERROR(__xludf.DUMMYFUNCTION("""COMPUTED_VALUE"""),"MET")</f>
        <v>MET</v>
      </c>
      <c r="G2517" s="222" t="str">
        <f>IFERROR(__xludf.DUMMYFUNCTION("""COMPUTED_VALUE"""),"SUMBAGSEL")</f>
        <v>SUMBAGSEL</v>
      </c>
      <c r="H2517" s="222" t="str">
        <f>IFERROR(__xludf.DUMMYFUNCTION("""COMPUTED_VALUE"""),"LAMPUNG")</f>
        <v>LAMPUNG</v>
      </c>
      <c r="I2517" s="222" t="str">
        <f>IFERROR(__xludf.DUMMYFUNCTION("""COMPUTED_VALUE"""),"Batch 3")</f>
        <v>Batch 3</v>
      </c>
      <c r="J2517" s="225">
        <f>IFERROR(__xludf.DUMMYFUNCTION("""COMPUTED_VALUE"""),9.0)</f>
        <v>9</v>
      </c>
      <c r="K2517" s="224">
        <f>IFERROR(__xludf.DUMMYFUNCTION("""COMPUTED_VALUE"""),72.0)</f>
        <v>72</v>
      </c>
      <c r="L2517" s="226">
        <f>IFERROR(__xludf.DUMMYFUNCTION("""COMPUTED_VALUE"""),677456.0)</f>
        <v>677456</v>
      </c>
      <c r="M2517" s="227">
        <f>IFERROR(__xludf.DUMMYFUNCTION("""COMPUTED_VALUE"""),4.8776761E7)</f>
        <v>48776761</v>
      </c>
      <c r="N2517" s="222" t="str">
        <f>IFERROR(__xludf.DUMMYFUNCTION("""COMPUTED_VALUE"""),"PT FAJAR MITRA KRIDA ABADI")</f>
        <v>PT FAJAR MITRA KRIDA ABADI</v>
      </c>
      <c r="O2517" s="222" t="str">
        <f>IFERROR(__xludf.DUMMYFUNCTION("""COMPUTED_VALUE"""),"0. DROP")</f>
        <v>0. DROP</v>
      </c>
      <c r="P2517" s="222" t="str">
        <f>IFERROR(__xludf.DUMMYFUNCTION("""COMPUTED_VALUE"""),"0.2 Tidak Dapat Izin Warga/Kades/Lurah/Developer")</f>
        <v>0.2 Tidak Dapat Izin Warga/Kades/Lurah/Developer</v>
      </c>
      <c r="Q2517" s="222" t="str">
        <f>IFERROR(__xludf.DUMMYFUNCTION("""COMPUTED_VALUE"""),"6/2 Tidak dapat izin dari lurah")</f>
        <v>6/2 Tidak dapat izin dari lurah</v>
      </c>
      <c r="R2517" s="228"/>
      <c r="S2517" s="11"/>
      <c r="T2517" s="11"/>
      <c r="U2517" s="11"/>
      <c r="V2517" s="229"/>
      <c r="W2517" s="229"/>
      <c r="X2517" s="229"/>
      <c r="Y2517" s="229"/>
      <c r="Z2517" s="229" t="str">
        <f>IFERROR(__xludf.DUMMYFUNCTION("""COMPUTED_VALUE"""),"#N/A")</f>
        <v>#N/A</v>
      </c>
      <c r="AA2517" s="229"/>
      <c r="AB2517" s="229"/>
      <c r="AC2517" s="229"/>
      <c r="AD2517" s="232"/>
      <c r="AE2517" s="233"/>
      <c r="AF2517" s="54" t="str">
        <f>IFERROR(__xludf.DUMMYFUNCTION("""COMPUTED_VALUE"""),"Draft BA DROP")</f>
        <v>Draft BA DROP</v>
      </c>
      <c r="AG2517" s="54"/>
      <c r="AH2517" s="54"/>
      <c r="AI2517" s="55" t="str">
        <f t="shared" si="236"/>
        <v/>
      </c>
      <c r="AW2517" s="234"/>
      <c r="BP2517" s="11"/>
      <c r="BQ2517" s="11"/>
      <c r="BV2517" s="158"/>
      <c r="BY2517" s="158"/>
      <c r="CB2517" s="158"/>
    </row>
    <row r="2518" ht="18.0" customHeight="1">
      <c r="A2518" s="222">
        <f>IFERROR(__xludf.DUMMYFUNCTION("""COMPUTED_VALUE"""),2026.0)</f>
        <v>2026</v>
      </c>
      <c r="B2518" s="221">
        <f>IFERROR(__xludf.DUMMYFUNCTION("""COMPUTED_VALUE"""),1.2815657E7)</f>
        <v>12815657</v>
      </c>
      <c r="C2518" s="222" t="str">
        <f>IFERROR(__xludf.DUMMYFUNCTION("""COMPUTED_VALUE"""),"SMB-ODC-PUK-FB-75713 - 6 LOP")</f>
        <v>SMB-ODC-PUK-FB-75713 - 6 LOP</v>
      </c>
      <c r="D2518" s="222" t="str">
        <f>IFERROR(__xludf.DUMMYFUNCTION("""COMPUTED_VALUE"""),"REGIONAL I")</f>
        <v>REGIONAL I</v>
      </c>
      <c r="E2518" s="222" t="str">
        <f>IFERROR(__xludf.DUMMYFUNCTION("""COMPUTED_VALUE"""),"SUMBAR")</f>
        <v>SUMBAR</v>
      </c>
      <c r="F2518" s="222" t="str">
        <f>IFERROR(__xludf.DUMMYFUNCTION("""COMPUTED_VALUE"""),"PUK")</f>
        <v>PUK</v>
      </c>
      <c r="G2518" s="222" t="str">
        <f>IFERROR(__xludf.DUMMYFUNCTION("""COMPUTED_VALUE"""),"SUMBAGTENG")</f>
        <v>SUMBAGTENG</v>
      </c>
      <c r="H2518" s="222" t="str">
        <f>IFERROR(__xludf.DUMMYFUNCTION("""COMPUTED_VALUE"""),"BUKIT TINGGI")</f>
        <v>BUKIT TINGGI</v>
      </c>
      <c r="I2518" s="222" t="str">
        <f>IFERROR(__xludf.DUMMYFUNCTION("""COMPUTED_VALUE"""),"Batch 3")</f>
        <v>Batch 3</v>
      </c>
      <c r="J2518" s="225">
        <f>IFERROR(__xludf.DUMMYFUNCTION("""COMPUTED_VALUE"""),12.0)</f>
        <v>12</v>
      </c>
      <c r="K2518" s="224">
        <f>IFERROR(__xludf.DUMMYFUNCTION("""COMPUTED_VALUE"""),96.0)</f>
        <v>96</v>
      </c>
      <c r="L2518" s="226">
        <f>IFERROR(__xludf.DUMMYFUNCTION("""COMPUTED_VALUE"""),676719.0)</f>
        <v>676719</v>
      </c>
      <c r="M2518" s="227">
        <f>IFERROR(__xludf.DUMMYFUNCTION("""COMPUTED_VALUE"""),6.4964973E7)</f>
        <v>64964973</v>
      </c>
      <c r="N2518" s="222" t="str">
        <f>IFERROR(__xludf.DUMMYFUNCTION("""COMPUTED_VALUE"""),"PT PUTRI JAYA AKSES")</f>
        <v>PT PUTRI JAYA AKSES</v>
      </c>
      <c r="O2518" s="222" t="str">
        <f>IFERROR(__xludf.DUMMYFUNCTION("""COMPUTED_VALUE"""),"8. UJI TERIMA")</f>
        <v>8. UJI TERIMA</v>
      </c>
      <c r="P2518" s="222" t="str">
        <f>IFERROR(__xludf.DUMMYFUNCTION("""COMPUTED_VALUE"""),"8.1 Proses UT")</f>
        <v>8.1 Proses UT</v>
      </c>
      <c r="Q2518" s="222" t="str">
        <f>IFERROR(__xludf.DUMMYFUNCTION("""COMPUTED_VALUE"""),"(18/02) DONE submit ABD  ke SDI, UT 18/02 (02/02) Proses Create PID (29/01) Done aanwijziing  , proses eval")</f>
        <v>(18/02) DONE submit ABD  ke SDI, UT 18/02 (02/02) Proses Create PID (29/01) Done aanwijziing  , proses eval</v>
      </c>
      <c r="R2518" s="228">
        <f>IFERROR(__xludf.DUMMYFUNCTION("""COMPUTED_VALUE"""),46071.0)</f>
        <v>46071</v>
      </c>
      <c r="S2518" s="11"/>
      <c r="T2518" s="11"/>
      <c r="U2518" s="11" t="str">
        <f>IFERROR(__xludf.DUMMYFUNCTION("""COMPUTED_VALUE"""),"TIF-3065/2026 26KT03R158-0044")</f>
        <v>TIF-3065/2026 26KT03R158-0044</v>
      </c>
      <c r="V2518" s="229" t="str">
        <f>IFERROR(__xludf.DUMMYFUNCTION("""COMPUTED_VALUE"""),"JANUAR RIZAL")</f>
        <v>JANUAR RIZAL</v>
      </c>
      <c r="W2518" s="229" t="str">
        <f>IFERROR(__xludf.DUMMYFUNCTION("""COMPUTED_VALUE"""),"MELKO NARWADI")</f>
        <v>MELKO NARWADI</v>
      </c>
      <c r="X2518" s="229" t="str">
        <f>IFERROR(__xludf.DUMMYFUNCTION("""COMPUTED_VALUE"""),"GOLIVE")</f>
        <v>GOLIVE</v>
      </c>
      <c r="Y2518" s="229" t="str">
        <f>IFERROR(__xludf.DUMMYFUNCTION("""COMPUTED_VALUE"""),"DONE")</f>
        <v>DONE</v>
      </c>
      <c r="Z2518" s="229" t="str">
        <f>IFERROR(__xludf.DUMMYFUNCTION("""COMPUTED_VALUE"""),"#N/A")</f>
        <v>#N/A</v>
      </c>
      <c r="AA2518" s="229">
        <f>IFERROR(__xludf.DUMMYFUNCTION("""COMPUTED_VALUE"""),8.0)</f>
        <v>8</v>
      </c>
      <c r="AB2518" s="229"/>
      <c r="AC2518" s="229" t="str">
        <f>IFERROR(__xludf.DUMMYFUNCTION("""COMPUTED_VALUE"""),"9123442#9123447")</f>
        <v>9123442#9123447</v>
      </c>
      <c r="AD2518" s="232">
        <f>IFERROR(__xludf.DUMMYFUNCTION("""COMPUTED_VALUE"""),64.0)</f>
        <v>64</v>
      </c>
      <c r="AE2518" s="233">
        <f>IFERROR(__xludf.DUMMYFUNCTION("""COMPUTED_VALUE"""),46073.0)</f>
        <v>46073</v>
      </c>
      <c r="AF2518" s="54"/>
      <c r="AG2518" s="54"/>
      <c r="AH2518" s="54">
        <v>46071.0</v>
      </c>
      <c r="AI2518" s="55">
        <f t="shared" si="236"/>
        <v>-2</v>
      </c>
      <c r="AW2518" s="234"/>
      <c r="BP2518" s="11"/>
      <c r="BQ2518" s="11"/>
      <c r="BV2518" s="158"/>
      <c r="BY2518" s="158"/>
      <c r="CB2518" s="158"/>
    </row>
    <row r="2519" ht="18.0" hidden="1" customHeight="1">
      <c r="A2519" s="222">
        <f>IFERROR(__xludf.DUMMYFUNCTION("""COMPUTED_VALUE"""),2026.0)</f>
        <v>2026</v>
      </c>
      <c r="B2519" s="221">
        <f>IFERROR(__xludf.DUMMYFUNCTION("""COMPUTED_VALUE"""),1.2439316E7)</f>
        <v>12439316</v>
      </c>
      <c r="C2519" s="222" t="str">
        <f>IFERROR(__xludf.DUMMYFUNCTION("""COMPUTED_VALUE"""),"MDN PT3 TTG-FP ANNORA RESIDENCE_MD25")</f>
        <v>MDN PT3 TTG-FP ANNORA RESIDENCE_MD25</v>
      </c>
      <c r="D2519" s="222" t="str">
        <f>IFERROR(__xludf.DUMMYFUNCTION("""COMPUTED_VALUE"""),"REGIONAL I")</f>
        <v>REGIONAL I</v>
      </c>
      <c r="E2519" s="222" t="str">
        <f>IFERROR(__xludf.DUMMYFUNCTION("""COMPUTED_VALUE"""),"MEDAN")</f>
        <v>MEDAN</v>
      </c>
      <c r="F2519" s="222" t="str">
        <f>IFERROR(__xludf.DUMMYFUNCTION("""COMPUTED_VALUE"""),"TTG")</f>
        <v>TTG</v>
      </c>
      <c r="G2519" s="222" t="str">
        <f>IFERROR(__xludf.DUMMYFUNCTION("""COMPUTED_VALUE"""),"SUMBAGUT")</f>
        <v>SUMBAGUT</v>
      </c>
      <c r="H2519" s="222" t="str">
        <f>IFERROR(__xludf.DUMMYFUNCTION("""COMPUTED_VALUE"""),"MEDAN")</f>
        <v>MEDAN</v>
      </c>
      <c r="I2519" s="222" t="str">
        <f>IFERROR(__xludf.DUMMYFUNCTION("""COMPUTED_VALUE"""),"Batch 3")</f>
        <v>Batch 3</v>
      </c>
      <c r="J2519" s="225">
        <f>IFERROR(__xludf.DUMMYFUNCTION("""COMPUTED_VALUE"""),6.0)</f>
        <v>6</v>
      </c>
      <c r="K2519" s="224">
        <f>IFERROR(__xludf.DUMMYFUNCTION("""COMPUTED_VALUE"""),48.0)</f>
        <v>48</v>
      </c>
      <c r="L2519" s="226">
        <f>IFERROR(__xludf.DUMMYFUNCTION("""COMPUTED_VALUE"""),676286.0)</f>
        <v>676286</v>
      </c>
      <c r="M2519" s="227">
        <f>IFERROR(__xludf.DUMMYFUNCTION("""COMPUTED_VALUE"""),3.2461705E7)</f>
        <v>32461705</v>
      </c>
      <c r="N2519" s="222" t="str">
        <f>IFERROR(__xludf.DUMMYFUNCTION("""COMPUTED_VALUE"""),"SWAKELOLA")</f>
        <v>SWAKELOLA</v>
      </c>
      <c r="O2519" s="222" t="str">
        <f>IFERROR(__xludf.DUMMYFUNCTION("""COMPUTED_VALUE"""),"3. PERIZINAN")</f>
        <v>3. PERIZINAN</v>
      </c>
      <c r="P2519" s="222" t="str">
        <f>IFERROR(__xludf.DUMMYFUNCTION("""COMPUTED_VALUE"""),"3.9 Izin Kades / Lurah / RTRW")</f>
        <v>3.9 Izin Kades / Lurah / RTRW</v>
      </c>
      <c r="Q2519" s="222" t="str">
        <f>IFERROR(__xludf.DUMMYFUNCTION("""COMPUTED_VALUE"""),"11/02 Aanwidzing OK, lanjut perizinan TB")</f>
        <v>11/02 Aanwidzing OK, lanjut perizinan TB</v>
      </c>
      <c r="R2519" s="228"/>
      <c r="S2519" s="11"/>
      <c r="T2519" s="73"/>
      <c r="U2519" s="11"/>
      <c r="V2519" s="229" t="str">
        <f>IFERROR(__xludf.DUMMYFUNCTION("""COMPUTED_VALUE"""),"28/Apr/2026")</f>
        <v>28/Apr/2026</v>
      </c>
      <c r="W2519" s="229"/>
      <c r="X2519" s="229" t="str">
        <f>IFERROR(__xludf.DUMMYFUNCTION("""COMPUTED_VALUE"""),"BELUM GOLIVE")</f>
        <v>BELUM GOLIVE</v>
      </c>
      <c r="Y2519" s="229"/>
      <c r="Z2519" s="229" t="str">
        <f>IFERROR(__xludf.DUMMYFUNCTION("""COMPUTED_VALUE"""),"#N/A")</f>
        <v>#N/A</v>
      </c>
      <c r="AA2519" s="229"/>
      <c r="AB2519" s="229"/>
      <c r="AC2519" s="229"/>
      <c r="AD2519" s="232"/>
      <c r="AE2519" s="233"/>
      <c r="AF2519" s="54"/>
      <c r="AG2519" s="54"/>
      <c r="AH2519" s="54"/>
      <c r="AI2519" s="55" t="str">
        <f t="shared" si="236"/>
        <v/>
      </c>
      <c r="AW2519" s="234"/>
      <c r="BP2519" s="11"/>
      <c r="BQ2519" s="11"/>
      <c r="BV2519" s="158"/>
      <c r="BY2519" s="158"/>
      <c r="CB2519" s="158"/>
    </row>
    <row r="2520" ht="18.0" hidden="1" customHeight="1">
      <c r="A2520" s="222">
        <f>IFERROR(__xludf.DUMMYFUNCTION("""COMPUTED_VALUE"""),2026.0)</f>
        <v>2026</v>
      </c>
      <c r="B2520" s="221">
        <f>IFERROR(__xludf.DUMMYFUNCTION("""COMPUTED_VALUE"""),1.2728806E7)</f>
        <v>12728806</v>
      </c>
      <c r="C2520" s="222" t="str">
        <f>IFERROR(__xludf.DUMMYFUNCTION("""COMPUTED_VALUE"""),"LPG PT3 JPP LAMPUNG SELATAN_110012 SPS")</f>
        <v>LPG PT3 JPP LAMPUNG SELATAN_110012 SPS</v>
      </c>
      <c r="D2520" s="222" t="str">
        <f>IFERROR(__xludf.DUMMYFUNCTION("""COMPUTED_VALUE"""),"REGIONAL I")</f>
        <v>REGIONAL I</v>
      </c>
      <c r="E2520" s="222" t="str">
        <f>IFERROR(__xludf.DUMMYFUNCTION("""COMPUTED_VALUE"""),"LAMPUNG")</f>
        <v>LAMPUNG</v>
      </c>
      <c r="F2520" s="222" t="str">
        <f>IFERROR(__xludf.DUMMYFUNCTION("""COMPUTED_VALUE"""),"SPS")</f>
        <v>SPS</v>
      </c>
      <c r="G2520" s="222" t="str">
        <f>IFERROR(__xludf.DUMMYFUNCTION("""COMPUTED_VALUE"""),"SUMBAGSEL")</f>
        <v>SUMBAGSEL</v>
      </c>
      <c r="H2520" s="222" t="str">
        <f>IFERROR(__xludf.DUMMYFUNCTION("""COMPUTED_VALUE"""),"LAMPUNG")</f>
        <v>LAMPUNG</v>
      </c>
      <c r="I2520" s="222" t="str">
        <f>IFERROR(__xludf.DUMMYFUNCTION("""COMPUTED_VALUE"""),"Batch 3")</f>
        <v>Batch 3</v>
      </c>
      <c r="J2520" s="225">
        <f>IFERROR(__xludf.DUMMYFUNCTION("""COMPUTED_VALUE"""),2.0)</f>
        <v>2</v>
      </c>
      <c r="K2520" s="224">
        <f>IFERROR(__xludf.DUMMYFUNCTION("""COMPUTED_VALUE"""),16.0)</f>
        <v>16</v>
      </c>
      <c r="L2520" s="226">
        <f>IFERROR(__xludf.DUMMYFUNCTION("""COMPUTED_VALUE"""),675267.0)</f>
        <v>675267</v>
      </c>
      <c r="M2520" s="227">
        <f>IFERROR(__xludf.DUMMYFUNCTION("""COMPUTED_VALUE"""),1.0804266E7)</f>
        <v>10804266</v>
      </c>
      <c r="N2520" s="222" t="str">
        <f>IFERROR(__xludf.DUMMYFUNCTION("""COMPUTED_VALUE"""),"PT ACERO CETHA METALINDO")</f>
        <v>PT ACERO CETHA METALINDO</v>
      </c>
      <c r="O2520" s="222" t="str">
        <f>IFERROR(__xludf.DUMMYFUNCTION("""COMPUTED_VALUE"""),"0. DROP")</f>
        <v>0. DROP</v>
      </c>
      <c r="P2520" s="222" t="str">
        <f>IFERROR(__xludf.DUMMYFUNCTION("""COMPUTED_VALUE"""),"0.4 CPP Tinggi Acc ED TIF")</f>
        <v>0.4 CPP Tinggi Acc ED TIF</v>
      </c>
      <c r="Q2520" s="222" t="str">
        <f>IFERROR(__xludf.DUMMYFUNCTION("""COMPUTED_VALUE"""),"14/4 drop cpp tinggi 2/3 olt sukapura tidak dapat di tambah lagi slot nya ,butuh pembangunan new mini olt 
28/2 butuh Upgrade mini olt ke OLT, 27/2 proses pengajuan PR/PO OLT SUKAPURA HABIS 
23/2 hold kendala OLT di status Terakhir  23/2 butuh penambahan "&amp;"olt daerah sukapura
18/2 konfirmasi TIF untuk penambahan miniolt 11/2 proses penarikan kabel plan fi 16/2 plan abd+valins 17/2 plan golive 18/2, 6/2 menunggu keputusan lurah ,estimasi jwbn 9/2 
4/2 menunggu keputusan kades ,keputusan 10/2
30/1 lanjut priz"&amp;"inan kades 
23/1 plan anwizing 26/1""")</f>
        <v>14/4 drop cpp tinggi 2/3 olt sukapura tidak dapat di tambah lagi slot nya ,butuh pembangunan new mini olt 
28/2 butuh Upgrade mini olt ke OLT, 27/2 proses pengajuan PR/PO OLT SUKAPURA HABIS 
23/2 hold kendala OLT di status Terakhir  23/2 butuh penambahan olt daerah sukapura
18/2 konfirmasi TIF untuk penambahan miniolt 11/2 proses penarikan kabel plan fi 16/2 plan abd+valins 17/2 plan golive 18/2, 6/2 menunggu keputusan lurah ,estimasi jwbn 9/2 
4/2 menunggu keputusan kades ,keputusan 10/2
30/1 lanjut prizinan kades 
23/1 plan anwizing 26/1"</v>
      </c>
      <c r="R2520" s="228"/>
      <c r="S2520" s="11"/>
      <c r="T2520" s="11"/>
      <c r="U2520" s="11" t="str">
        <f>IFERROR(__xludf.DUMMYFUNCTION("""COMPUTED_VALUE"""),"TIF-3785/2026")</f>
        <v>TIF-3785/2026</v>
      </c>
      <c r="V2520" s="229"/>
      <c r="W2520" s="229"/>
      <c r="X2520" s="229"/>
      <c r="Y2520" s="229"/>
      <c r="Z2520" s="229" t="str">
        <f>IFERROR(__xludf.DUMMYFUNCTION("""COMPUTED_VALUE"""),"#N/A")</f>
        <v>#N/A</v>
      </c>
      <c r="AA2520" s="229"/>
      <c r="AB2520" s="229"/>
      <c r="AC2520" s="229"/>
      <c r="AD2520" s="232"/>
      <c r="AE2520" s="233"/>
      <c r="AF2520" s="54" t="str">
        <f>IFERROR(__xludf.DUMMYFUNCTION("""COMPUTED_VALUE"""),"Draft BA DROP")</f>
        <v>Draft BA DROP</v>
      </c>
      <c r="AG2520" s="54"/>
      <c r="AH2520" s="54"/>
      <c r="AI2520" s="55" t="str">
        <f t="shared" si="236"/>
        <v/>
      </c>
      <c r="AW2520" s="234"/>
      <c r="BP2520" s="11"/>
      <c r="BQ2520" s="11"/>
      <c r="BV2520" s="158"/>
      <c r="BY2520" s="158"/>
      <c r="CB2520" s="158"/>
    </row>
    <row r="2521" ht="18.0" hidden="1" customHeight="1">
      <c r="A2521" s="222">
        <f>IFERROR(__xludf.DUMMYFUNCTION("""COMPUTED_VALUE"""),2026.0)</f>
        <v>2026</v>
      </c>
      <c r="B2521" s="221">
        <f>IFERROR(__xludf.DUMMYFUNCTION("""COMPUTED_VALUE"""),1.269548E7)</f>
        <v>12695480</v>
      </c>
      <c r="C2521" s="222" t="str">
        <f>IFERROR(__xludf.DUMMYFUNCTION("""COMPUTED_VALUE"""),"MDN PT3 SKI-FS 250_1592_1670")</f>
        <v>MDN PT3 SKI-FS 250_1592_1670</v>
      </c>
      <c r="D2521" s="222" t="str">
        <f>IFERROR(__xludf.DUMMYFUNCTION("""COMPUTED_VALUE"""),"REGIONAL I")</f>
        <v>REGIONAL I</v>
      </c>
      <c r="E2521" s="222" t="str">
        <f>IFERROR(__xludf.DUMMYFUNCTION("""COMPUTED_VALUE"""),"MEDAN")</f>
        <v>MEDAN</v>
      </c>
      <c r="F2521" s="222" t="str">
        <f>IFERROR(__xludf.DUMMYFUNCTION("""COMPUTED_VALUE"""),"SKI")</f>
        <v>SKI</v>
      </c>
      <c r="G2521" s="222" t="str">
        <f>IFERROR(__xludf.DUMMYFUNCTION("""COMPUTED_VALUE"""),"SUMBAGUT")</f>
        <v>SUMBAGUT</v>
      </c>
      <c r="H2521" s="222" t="str">
        <f>IFERROR(__xludf.DUMMYFUNCTION("""COMPUTED_VALUE"""),"MEDAN")</f>
        <v>MEDAN</v>
      </c>
      <c r="I2521" s="222" t="str">
        <f>IFERROR(__xludf.DUMMYFUNCTION("""COMPUTED_VALUE"""),"Batch 3")</f>
        <v>Batch 3</v>
      </c>
      <c r="J2521" s="225">
        <f>IFERROR(__xludf.DUMMYFUNCTION("""COMPUTED_VALUE"""),2.0)</f>
        <v>2</v>
      </c>
      <c r="K2521" s="224">
        <f>IFERROR(__xludf.DUMMYFUNCTION("""COMPUTED_VALUE"""),16.0)</f>
        <v>16</v>
      </c>
      <c r="L2521" s="226">
        <f>IFERROR(__xludf.DUMMYFUNCTION("""COMPUTED_VALUE"""),674568.0)</f>
        <v>674568</v>
      </c>
      <c r="M2521" s="227">
        <f>IFERROR(__xludf.DUMMYFUNCTION("""COMPUTED_VALUE"""),1.0793079E7)</f>
        <v>10793079</v>
      </c>
      <c r="N2521" s="222" t="str">
        <f>IFERROR(__xludf.DUMMYFUNCTION("""COMPUTED_VALUE"""),"PT UPENTEL INTERNASIONAL")</f>
        <v>PT UPENTEL INTERNASIONAL</v>
      </c>
      <c r="O2521" s="222" t="str">
        <f>IFERROR(__xludf.DUMMYFUNCTION("""COMPUTED_VALUE"""),"0. DROP")</f>
        <v>0. DROP</v>
      </c>
      <c r="P2521" s="222" t="str">
        <f>IFERROR(__xludf.DUMMYFUNCTION("""COMPUTED_VALUE"""),"0.1 Double Order")</f>
        <v>0.1 Double Order</v>
      </c>
      <c r="Q2521" s="222" t="str">
        <f>IFERROR(__xludf.DUMMYFUNCTION("""COMPUTED_VALUE"""),"04/03 cover LoP MDN PT3 SKI-FS JL.BROMO GG.TENTRAM 26/02 pengajuan redesign, new DS karena DS tidak tembus 18/02 Komitmen 23/02")</f>
        <v>04/03 cover LoP MDN PT3 SKI-FS JL.BROMO GG.TENTRAM 26/02 pengajuan redesign, new DS karena DS tidak tembus 18/02 Komitmen 23/02</v>
      </c>
      <c r="R2521" s="228"/>
      <c r="S2521" s="11"/>
      <c r="T2521" s="11"/>
      <c r="U2521" s="11"/>
      <c r="V2521" s="229"/>
      <c r="W2521" s="229"/>
      <c r="X2521" s="229" t="str">
        <f>IFERROR(__xludf.DUMMYFUNCTION("""COMPUTED_VALUE"""),"BELUM GOLIVE")</f>
        <v>BELUM GOLIVE</v>
      </c>
      <c r="Y2521" s="229"/>
      <c r="Z2521" s="229" t="str">
        <f>IFERROR(__xludf.DUMMYFUNCTION("""COMPUTED_VALUE"""),"#N/A")</f>
        <v>#N/A</v>
      </c>
      <c r="AA2521" s="229"/>
      <c r="AB2521" s="229"/>
      <c r="AC2521" s="229"/>
      <c r="AD2521" s="232"/>
      <c r="AE2521" s="233"/>
      <c r="AF2521" s="54"/>
      <c r="AG2521" s="54"/>
      <c r="AH2521" s="54"/>
      <c r="AI2521" s="55" t="str">
        <f t="shared" si="236"/>
        <v/>
      </c>
      <c r="AW2521" s="234"/>
      <c r="BP2521" s="11"/>
      <c r="BQ2521" s="11"/>
      <c r="BV2521" s="158"/>
      <c r="BY2521" s="158"/>
      <c r="CB2521" s="158"/>
    </row>
    <row r="2522" ht="18.0" hidden="1" customHeight="1">
      <c r="A2522" s="222">
        <f>IFERROR(__xludf.DUMMYFUNCTION("""COMPUTED_VALUE"""),2026.0)</f>
        <v>2026</v>
      </c>
      <c r="B2522" s="221">
        <f>IFERROR(__xludf.DUMMYFUNCTION("""COMPUTED_VALUE"""),1.1533479E7)</f>
        <v>11533479</v>
      </c>
      <c r="C2522" s="222" t="str">
        <f>IFERROR(__xludf.DUMMYFUNCTION("""COMPUTED_VALUE"""),"MDN PT3 PRT-FC JL.PERHUBUNGAN")</f>
        <v>MDN PT3 PRT-FC JL.PERHUBUNGAN</v>
      </c>
      <c r="D2522" s="222" t="str">
        <f>IFERROR(__xludf.DUMMYFUNCTION("""COMPUTED_VALUE"""),"REGIONAL I")</f>
        <v>REGIONAL I</v>
      </c>
      <c r="E2522" s="222" t="str">
        <f>IFERROR(__xludf.DUMMYFUNCTION("""COMPUTED_VALUE"""),"MEDAN")</f>
        <v>MEDAN</v>
      </c>
      <c r="F2522" s="222" t="str">
        <f>IFERROR(__xludf.DUMMYFUNCTION("""COMPUTED_VALUE"""),"PRT")</f>
        <v>PRT</v>
      </c>
      <c r="G2522" s="222" t="str">
        <f>IFERROR(__xludf.DUMMYFUNCTION("""COMPUTED_VALUE"""),"SUMBAGUT")</f>
        <v>SUMBAGUT</v>
      </c>
      <c r="H2522" s="222" t="str">
        <f>IFERROR(__xludf.DUMMYFUNCTION("""COMPUTED_VALUE"""),"MEDAN")</f>
        <v>MEDAN</v>
      </c>
      <c r="I2522" s="222" t="str">
        <f>IFERROR(__xludf.DUMMYFUNCTION("""COMPUTED_VALUE"""),"Batch 3")</f>
        <v>Batch 3</v>
      </c>
      <c r="J2522" s="225">
        <f>IFERROR(__xludf.DUMMYFUNCTION("""COMPUTED_VALUE"""),7.0)</f>
        <v>7</v>
      </c>
      <c r="K2522" s="224">
        <f>IFERROR(__xludf.DUMMYFUNCTION("""COMPUTED_VALUE"""),56.0)</f>
        <v>56</v>
      </c>
      <c r="L2522" s="226">
        <f>IFERROR(__xludf.DUMMYFUNCTION("""COMPUTED_VALUE"""),674124.0)</f>
        <v>674124</v>
      </c>
      <c r="M2522" s="227">
        <f>IFERROR(__xludf.DUMMYFUNCTION("""COMPUTED_VALUE"""),3.7750901E7)</f>
        <v>37750901</v>
      </c>
      <c r="N2522" s="222" t="str">
        <f>IFERROR(__xludf.DUMMYFUNCTION("""COMPUTED_VALUE"""),"PT BENWA  MITRA PRATAMA")</f>
        <v>PT BENWA  MITRA PRATAMA</v>
      </c>
      <c r="O2522" s="222" t="str">
        <f>IFERROR(__xludf.DUMMYFUNCTION("""COMPUTED_VALUE"""),"0. DROP")</f>
        <v>0. DROP</v>
      </c>
      <c r="P2522" s="222" t="str">
        <f>IFERROR(__xludf.DUMMYFUNCTION("""COMPUTED_VALUE"""),"0.2 Tidak Dapat Izin Warga/Kades/Lurah/Developer")</f>
        <v>0.2 Tidak Dapat Izin Warga/Kades/Lurah/Developer</v>
      </c>
      <c r="Q2522" s="222" t="str">
        <f>IFERROR(__xludf.DUMMYFUNCTION("""COMPUTED_VALUE"""),"03/03 tidak dapat izin tanam tiang 04/02 Aanwidzing OK, lanjut perizinan")</f>
        <v>03/03 tidak dapat izin tanam tiang 04/02 Aanwidzing OK, lanjut perizinan</v>
      </c>
      <c r="R2522" s="228"/>
      <c r="S2522" s="11"/>
      <c r="T2522" s="11"/>
      <c r="U2522" s="11"/>
      <c r="V2522" s="229"/>
      <c r="W2522" s="229"/>
      <c r="X2522" s="229" t="str">
        <f>IFERROR(__xludf.DUMMYFUNCTION("""COMPUTED_VALUE"""),"BELUM GOLIVE")</f>
        <v>BELUM GOLIVE</v>
      </c>
      <c r="Y2522" s="229"/>
      <c r="Z2522" s="229" t="str">
        <f>IFERROR(__xludf.DUMMYFUNCTION("""COMPUTED_VALUE"""),"#N/A")</f>
        <v>#N/A</v>
      </c>
      <c r="AA2522" s="229"/>
      <c r="AB2522" s="229"/>
      <c r="AC2522" s="229"/>
      <c r="AD2522" s="232"/>
      <c r="AE2522" s="233"/>
      <c r="AF2522" s="54"/>
      <c r="AG2522" s="54"/>
      <c r="AH2522" s="54"/>
      <c r="AI2522" s="55" t="str">
        <f t="shared" si="236"/>
        <v/>
      </c>
      <c r="AW2522" s="234"/>
      <c r="BP2522" s="11"/>
      <c r="BQ2522" s="11"/>
      <c r="BV2522" s="158"/>
      <c r="BY2522" s="158"/>
      <c r="CB2522" s="158"/>
    </row>
    <row r="2523" ht="18.0" hidden="1" customHeight="1">
      <c r="A2523" s="222">
        <f>IFERROR(__xludf.DUMMYFUNCTION("""COMPUTED_VALUE"""),2026.0)</f>
        <v>2026</v>
      </c>
      <c r="B2523" s="221">
        <f>IFERROR(__xludf.DUMMYFUNCTION("""COMPUTED_VALUE"""),1.2872445E7)</f>
        <v>12872445</v>
      </c>
      <c r="C2523" s="222" t="str">
        <f>IFERROR(__xludf.DUMMYFUNCTION("""COMPUTED_VALUE"""),"MDN PT3 PUB-FBJ 250_1613_1668")</f>
        <v>MDN PT3 PUB-FBJ 250_1613_1668</v>
      </c>
      <c r="D2523" s="222" t="str">
        <f>IFERROR(__xludf.DUMMYFUNCTION("""COMPUTED_VALUE"""),"REGIONAL I")</f>
        <v>REGIONAL I</v>
      </c>
      <c r="E2523" s="222" t="str">
        <f>IFERROR(__xludf.DUMMYFUNCTION("""COMPUTED_VALUE"""),"MEDAN")</f>
        <v>MEDAN</v>
      </c>
      <c r="F2523" s="222" t="str">
        <f>IFERROR(__xludf.DUMMYFUNCTION("""COMPUTED_VALUE"""),"PUB")</f>
        <v>PUB</v>
      </c>
      <c r="G2523" s="222" t="str">
        <f>IFERROR(__xludf.DUMMYFUNCTION("""COMPUTED_VALUE"""),"SUMBAGUT")</f>
        <v>SUMBAGUT</v>
      </c>
      <c r="H2523" s="222" t="str">
        <f>IFERROR(__xludf.DUMMYFUNCTION("""COMPUTED_VALUE"""),"MEDAN")</f>
        <v>MEDAN</v>
      </c>
      <c r="I2523" s="222" t="str">
        <f>IFERROR(__xludf.DUMMYFUNCTION("""COMPUTED_VALUE"""),"Batch 3")</f>
        <v>Batch 3</v>
      </c>
      <c r="J2523" s="225">
        <f>IFERROR(__xludf.DUMMYFUNCTION("""COMPUTED_VALUE"""),3.0)</f>
        <v>3</v>
      </c>
      <c r="K2523" s="224">
        <f>IFERROR(__xludf.DUMMYFUNCTION("""COMPUTED_VALUE"""),24.0)</f>
        <v>24</v>
      </c>
      <c r="L2523" s="226">
        <f>IFERROR(__xludf.DUMMYFUNCTION("""COMPUTED_VALUE"""),671558.0)</f>
        <v>671558</v>
      </c>
      <c r="M2523" s="227">
        <f>IFERROR(__xludf.DUMMYFUNCTION("""COMPUTED_VALUE"""),1.6117387E7)</f>
        <v>16117387</v>
      </c>
      <c r="N2523" s="222" t="str">
        <f>IFERROR(__xludf.DUMMYFUNCTION("""COMPUTED_VALUE"""),"PT BENWA  MITRA PRATAMA")</f>
        <v>PT BENWA  MITRA PRATAMA</v>
      </c>
      <c r="O2523" s="222" t="str">
        <f>IFERROR(__xludf.DUMMYFUNCTION("""COMPUTED_VALUE"""),"6. FINISH INSTALASI")</f>
        <v>6. FINISH INSTALASI</v>
      </c>
      <c r="P2523" s="222" t="str">
        <f>IFERROR(__xludf.DUMMYFUNCTION("""COMPUTED_VALUE"""),"6.1 Selesai Fisik/RFS/L0/Perapihan")</f>
        <v>6.1 Selesai Fisik/RFS/L0/Perapihan</v>
      </c>
      <c r="Q2523" s="222" t="str">
        <f>IFERROR(__xludf.DUMMYFUNCTION("""COMPUTED_VALUE"""),"25/04 selesai fisik
20/04 pengajuan redesign terbentur perizinan odp ujung 
09/04 update saat ini penarikan KU update h-1 tim sakit, dilanjut hari ini 06/04 pemasangan odp 04/04 penarikan terhenti ada pesta dilokasi 30/03 req material 28/03 menunggu req m"&amp;"aterial 11/03 menunggu approval commcase kenaikan &gt; 10% 10/03 pencarian alternatif DS 10/02 Komitmen Aanwidzing 13/02/2026")</f>
        <v>25/04 selesai fisik
20/04 pengajuan redesign terbentur perizinan odp ujung 
09/04 update saat ini penarikan KU update h-1 tim sakit, dilanjut hari ini 06/04 pemasangan odp 04/04 penarikan terhenti ada pesta dilokasi 30/03 req material 28/03 menunggu req material 11/03 menunggu approval commcase kenaikan &gt; 10% 10/03 pencarian alternatif DS 10/02 Komitmen Aanwidzing 13/02/2026</v>
      </c>
      <c r="R2523" s="228">
        <f>IFERROR(__xludf.DUMMYFUNCTION("""COMPUTED_VALUE"""),46136.0)</f>
        <v>46136</v>
      </c>
      <c r="S2523" s="11" t="str">
        <f>IFERROR(__xludf.DUMMYFUNCTION("""COMPUTED_VALUE"""),"APR")</f>
        <v>APR</v>
      </c>
      <c r="T2523" s="73"/>
      <c r="U2523" s="11"/>
      <c r="V2523" s="229" t="str">
        <f>IFERROR(__xludf.DUMMYFUNCTION("""COMPUTED_VALUE"""),"15/Apr/2026")</f>
        <v>15/Apr/2026</v>
      </c>
      <c r="W2523" s="229"/>
      <c r="X2523" s="229" t="str">
        <f>IFERROR(__xludf.DUMMYFUNCTION("""COMPUTED_VALUE"""),"BELUM GOLIVE")</f>
        <v>BELUM GOLIVE</v>
      </c>
      <c r="Y2523" s="229"/>
      <c r="Z2523" s="229" t="str">
        <f>IFERROR(__xludf.DUMMYFUNCTION("""COMPUTED_VALUE"""),"#N/A")</f>
        <v>#N/A</v>
      </c>
      <c r="AA2523" s="229"/>
      <c r="AB2523" s="229"/>
      <c r="AC2523" s="229"/>
      <c r="AD2523" s="232"/>
      <c r="AE2523" s="233"/>
      <c r="AF2523" s="54"/>
      <c r="AG2523" s="54"/>
      <c r="AH2523" s="54">
        <v>46132.0</v>
      </c>
      <c r="AI2523" s="55" t="str">
        <f t="shared" si="236"/>
        <v/>
      </c>
      <c r="AW2523" s="234"/>
      <c r="BP2523" s="11"/>
      <c r="BQ2523" s="11"/>
      <c r="BV2523" s="158"/>
      <c r="BY2523" s="158"/>
      <c r="CB2523" s="158"/>
    </row>
    <row r="2524" ht="18.0" hidden="1" customHeight="1">
      <c r="A2524" s="222">
        <f>IFERROR(__xludf.DUMMYFUNCTION("""COMPUTED_VALUE"""),2026.0)</f>
        <v>2026</v>
      </c>
      <c r="B2524" s="221">
        <f>IFERROR(__xludf.DUMMYFUNCTION("""COMPUTED_VALUE"""),1.2548414E7)</f>
        <v>12548414</v>
      </c>
      <c r="C2524" s="222" t="str">
        <f>IFERROR(__xludf.DUMMYFUNCTION("""COMPUTED_VALUE"""),"MDN PT3 TJM-FU 250_1656_1622")</f>
        <v>MDN PT3 TJM-FU 250_1656_1622</v>
      </c>
      <c r="D2524" s="222" t="str">
        <f>IFERROR(__xludf.DUMMYFUNCTION("""COMPUTED_VALUE"""),"REGIONAL I")</f>
        <v>REGIONAL I</v>
      </c>
      <c r="E2524" s="222" t="str">
        <f>IFERROR(__xludf.DUMMYFUNCTION("""COMPUTED_VALUE"""),"MEDAN")</f>
        <v>MEDAN</v>
      </c>
      <c r="F2524" s="222" t="str">
        <f>IFERROR(__xludf.DUMMYFUNCTION("""COMPUTED_VALUE"""),"TJM")</f>
        <v>TJM</v>
      </c>
      <c r="G2524" s="222" t="str">
        <f>IFERROR(__xludf.DUMMYFUNCTION("""COMPUTED_VALUE"""),"SUMBAGUT")</f>
        <v>SUMBAGUT</v>
      </c>
      <c r="H2524" s="222" t="str">
        <f>IFERROR(__xludf.DUMMYFUNCTION("""COMPUTED_VALUE"""),"MEDAN")</f>
        <v>MEDAN</v>
      </c>
      <c r="I2524" s="222" t="str">
        <f>IFERROR(__xludf.DUMMYFUNCTION("""COMPUTED_VALUE"""),"Batch 3")</f>
        <v>Batch 3</v>
      </c>
      <c r="J2524" s="225">
        <f>IFERROR(__xludf.DUMMYFUNCTION("""COMPUTED_VALUE"""),2.0)</f>
        <v>2</v>
      </c>
      <c r="K2524" s="224">
        <f>IFERROR(__xludf.DUMMYFUNCTION("""COMPUTED_VALUE"""),16.0)</f>
        <v>16</v>
      </c>
      <c r="L2524" s="226">
        <f>IFERROR(__xludf.DUMMYFUNCTION("""COMPUTED_VALUE"""),669080.0)</f>
        <v>669080</v>
      </c>
      <c r="M2524" s="227">
        <f>IFERROR(__xludf.DUMMYFUNCTION("""COMPUTED_VALUE"""),1.0705275E7)</f>
        <v>10705275</v>
      </c>
      <c r="N2524" s="222" t="str">
        <f>IFERROR(__xludf.DUMMYFUNCTION("""COMPUTED_VALUE"""),"PT MITRA AKSES INSANI")</f>
        <v>PT MITRA AKSES INSANI</v>
      </c>
      <c r="O2524" s="222" t="str">
        <f>IFERROR(__xludf.DUMMYFUNCTION("""COMPUTED_VALUE"""),"2. DONE AANWIJZING")</f>
        <v>2. DONE AANWIJZING</v>
      </c>
      <c r="P2524" s="222" t="str">
        <f>IFERROR(__xludf.DUMMYFUNCTION("""COMPUTED_VALUE"""),"2.10 Kendala - Feeder Rusak")</f>
        <v>2.10 Kendala - Feeder Rusak</v>
      </c>
      <c r="Q2524" s="222" t="str">
        <f>IFERROR(__xludf.DUMMYFUNCTION("""COMPUTED_VALUE"""),"10/03 FE LOS (5,7,16,17,21) FE REDTI (19,20) 08/03 alih mitra done order")</f>
        <v>10/03 FE LOS (5,7,16,17,21) FE REDTI (19,20) 08/03 alih mitra done order</v>
      </c>
      <c r="R2524" s="228"/>
      <c r="S2524" s="11"/>
      <c r="T2524" s="11"/>
      <c r="U2524" s="11"/>
      <c r="V2524" s="229"/>
      <c r="W2524" s="229"/>
      <c r="X2524" s="229" t="str">
        <f>IFERROR(__xludf.DUMMYFUNCTION("""COMPUTED_VALUE"""),"BELUM GOLIVE")</f>
        <v>BELUM GOLIVE</v>
      </c>
      <c r="Y2524" s="229"/>
      <c r="Z2524" s="229" t="str">
        <f>IFERROR(__xludf.DUMMYFUNCTION("""COMPUTED_VALUE"""),"#N/A")</f>
        <v>#N/A</v>
      </c>
      <c r="AA2524" s="229"/>
      <c r="AB2524" s="229"/>
      <c r="AC2524" s="229"/>
      <c r="AD2524" s="232"/>
      <c r="AE2524" s="233"/>
      <c r="AF2524" s="54"/>
      <c r="AG2524" s="54"/>
      <c r="AH2524" s="54"/>
      <c r="AI2524" s="55" t="str">
        <f t="shared" si="236"/>
        <v/>
      </c>
      <c r="AW2524" s="234"/>
      <c r="BP2524" s="11"/>
      <c r="BQ2524" s="11"/>
      <c r="BV2524" s="158"/>
      <c r="BY2524" s="158"/>
      <c r="CB2524" s="158"/>
    </row>
    <row r="2525" ht="18.0" customHeight="1">
      <c r="A2525" s="222">
        <f>IFERROR(__xludf.DUMMYFUNCTION("""COMPUTED_VALUE"""),2026.0)</f>
        <v>2026</v>
      </c>
      <c r="B2525" s="221">
        <f>IFERROR(__xludf.DUMMYFUNCTION("""COMPUTED_VALUE"""),1.2785403E7)</f>
        <v>12785403</v>
      </c>
      <c r="C2525" s="222" t="str">
        <f>IFERROR(__xludf.DUMMYFUNCTION("""COMPUTED_VALUE"""),"SMB PT3-BDT-FF KOTA PADANG_17567")</f>
        <v>SMB PT3-BDT-FF KOTA PADANG_17567</v>
      </c>
      <c r="D2525" s="222" t="str">
        <f>IFERROR(__xludf.DUMMYFUNCTION("""COMPUTED_VALUE"""),"REGIONAL I")</f>
        <v>REGIONAL I</v>
      </c>
      <c r="E2525" s="222" t="str">
        <f>IFERROR(__xludf.DUMMYFUNCTION("""COMPUTED_VALUE"""),"SUMBAR")</f>
        <v>SUMBAR</v>
      </c>
      <c r="F2525" s="222" t="str">
        <f>IFERROR(__xludf.DUMMYFUNCTION("""COMPUTED_VALUE"""),"BDT")</f>
        <v>BDT</v>
      </c>
      <c r="G2525" s="222" t="str">
        <f>IFERROR(__xludf.DUMMYFUNCTION("""COMPUTED_VALUE"""),"SUMBAGTENG")</f>
        <v>SUMBAGTENG</v>
      </c>
      <c r="H2525" s="222" t="str">
        <f>IFERROR(__xludf.DUMMYFUNCTION("""COMPUTED_VALUE"""),"PADANG")</f>
        <v>PADANG</v>
      </c>
      <c r="I2525" s="222" t="str">
        <f>IFERROR(__xludf.DUMMYFUNCTION("""COMPUTED_VALUE"""),"Batch 3")</f>
        <v>Batch 3</v>
      </c>
      <c r="J2525" s="225">
        <f>IFERROR(__xludf.DUMMYFUNCTION("""COMPUTED_VALUE"""),2.0)</f>
        <v>2</v>
      </c>
      <c r="K2525" s="224">
        <f>IFERROR(__xludf.DUMMYFUNCTION("""COMPUTED_VALUE"""),16.0)</f>
        <v>16</v>
      </c>
      <c r="L2525" s="226">
        <f>IFERROR(__xludf.DUMMYFUNCTION("""COMPUTED_VALUE"""),668775.0)</f>
        <v>668775</v>
      </c>
      <c r="M2525" s="227">
        <f>IFERROR(__xludf.DUMMYFUNCTION("""COMPUTED_VALUE"""),1.0700396E7)</f>
        <v>10700396</v>
      </c>
      <c r="N2525" s="222" t="str">
        <f>IFERROR(__xludf.DUMMYFUNCTION("""COMPUTED_VALUE"""),"PT TRI PENAMAS")</f>
        <v>PT TRI PENAMAS</v>
      </c>
      <c r="O2525" s="222" t="str">
        <f>IFERROR(__xludf.DUMMYFUNCTION("""COMPUTED_VALUE"""),"0. DROP")</f>
        <v>0. DROP</v>
      </c>
      <c r="P2525" s="222" t="str">
        <f>IFERROR(__xludf.DUMMYFUNCTION("""COMPUTED_VALUE"""),"0.2 Tidak Dapat Izin Warga/Kades/Lurah/Developer")</f>
        <v>0.2 Tidak Dapat Izin Warga/Kades/Lurah/Developer</v>
      </c>
      <c r="Q2525" s="222" t="str">
        <f>IFERROR(__xludf.DUMMYFUNCTION("""COMPUTED_VALUE"""),"(18/02) kendala Tidak dapat izin tanam tiang sama pemilik lahan")</f>
        <v>(18/02) kendala Tidak dapat izin tanam tiang sama pemilik lahan</v>
      </c>
      <c r="R2525" s="228"/>
      <c r="S2525" s="11"/>
      <c r="T2525" s="11"/>
      <c r="U2525" s="11" t="str">
        <f>IFERROR(__xludf.DUMMYFUNCTION("""COMPUTED_VALUE"""),"TIF-3050/2026 26KT03R158-0051")</f>
        <v>TIF-3050/2026 26KT03R158-0051</v>
      </c>
      <c r="V2525" s="229" t="str">
        <f>IFERROR(__xludf.DUMMYFUNCTION("""COMPUTED_VALUE"""),"FABIO RAHMAN")</f>
        <v>FABIO RAHMAN</v>
      </c>
      <c r="W2525" s="229" t="str">
        <f>IFERROR(__xludf.DUMMYFUNCTION("""COMPUTED_VALUE"""),"MELKO NARWADI")</f>
        <v>MELKO NARWADI</v>
      </c>
      <c r="X2525" s="229"/>
      <c r="Y2525" s="229"/>
      <c r="Z2525" s="229" t="str">
        <f>IFERROR(__xludf.DUMMYFUNCTION("""COMPUTED_VALUE"""),"#N/A")</f>
        <v>#N/A</v>
      </c>
      <c r="AA2525" s="229"/>
      <c r="AB2525" s="229"/>
      <c r="AC2525" s="229"/>
      <c r="AD2525" s="232"/>
      <c r="AE2525" s="233"/>
      <c r="AF2525" s="54" t="str">
        <f>IFERROR(__xludf.DUMMYFUNCTION("""COMPUTED_VALUE"""),"Draft BA DROP")</f>
        <v>Draft BA DROP</v>
      </c>
      <c r="AG2525" s="54"/>
      <c r="AH2525" s="54"/>
      <c r="AI2525" s="55" t="str">
        <f t="shared" si="236"/>
        <v/>
      </c>
      <c r="AW2525" s="234"/>
      <c r="BP2525" s="11"/>
      <c r="BQ2525" s="11"/>
      <c r="BV2525" s="158"/>
      <c r="BY2525" s="158"/>
      <c r="CB2525" s="158"/>
    </row>
    <row r="2526" ht="18.0" hidden="1" customHeight="1">
      <c r="A2526" s="222">
        <f>IFERROR(__xludf.DUMMYFUNCTION("""COMPUTED_VALUE"""),2026.0)</f>
        <v>2026</v>
      </c>
      <c r="B2526" s="221">
        <f>IFERROR(__xludf.DUMMYFUNCTION("""COMPUTED_VALUE"""),1.2158778E7)</f>
        <v>12158778</v>
      </c>
      <c r="C2526" s="222" t="str">
        <f>IFERROR(__xludf.DUMMYFUNCTION("""COMPUTED_VALUE"""),"LPG PT3 JPP LAMPUNG TENGAH_38167 MET")</f>
        <v>LPG PT3 JPP LAMPUNG TENGAH_38167 MET</v>
      </c>
      <c r="D2526" s="222" t="str">
        <f>IFERROR(__xludf.DUMMYFUNCTION("""COMPUTED_VALUE"""),"REGIONAL I")</f>
        <v>REGIONAL I</v>
      </c>
      <c r="E2526" s="222" t="str">
        <f>IFERROR(__xludf.DUMMYFUNCTION("""COMPUTED_VALUE"""),"LAMPUNG")</f>
        <v>LAMPUNG</v>
      </c>
      <c r="F2526" s="222" t="str">
        <f>IFERROR(__xludf.DUMMYFUNCTION("""COMPUTED_VALUE"""),"MET")</f>
        <v>MET</v>
      </c>
      <c r="G2526" s="222" t="str">
        <f>IFERROR(__xludf.DUMMYFUNCTION("""COMPUTED_VALUE"""),"SUMBAGSEL")</f>
        <v>SUMBAGSEL</v>
      </c>
      <c r="H2526" s="222" t="str">
        <f>IFERROR(__xludf.DUMMYFUNCTION("""COMPUTED_VALUE"""),"LAMPUNG")</f>
        <v>LAMPUNG</v>
      </c>
      <c r="I2526" s="222" t="str">
        <f>IFERROR(__xludf.DUMMYFUNCTION("""COMPUTED_VALUE"""),"Batch 3")</f>
        <v>Batch 3</v>
      </c>
      <c r="J2526" s="225">
        <f>IFERROR(__xludf.DUMMYFUNCTION("""COMPUTED_VALUE"""),6.0)</f>
        <v>6</v>
      </c>
      <c r="K2526" s="224">
        <f>IFERROR(__xludf.DUMMYFUNCTION("""COMPUTED_VALUE"""),48.0)</f>
        <v>48</v>
      </c>
      <c r="L2526" s="226">
        <f>IFERROR(__xludf.DUMMYFUNCTION("""COMPUTED_VALUE"""),660157.0)</f>
        <v>660157</v>
      </c>
      <c r="M2526" s="227">
        <f>IFERROR(__xludf.DUMMYFUNCTION("""COMPUTED_VALUE"""),3.1687513E7)</f>
        <v>31687513</v>
      </c>
      <c r="N2526" s="222" t="str">
        <f>IFERROR(__xludf.DUMMYFUNCTION("""COMPUTED_VALUE"""),"PT GARINDO TECHNO MANDIRI")</f>
        <v>PT GARINDO TECHNO MANDIRI</v>
      </c>
      <c r="O2526" s="222" t="str">
        <f>IFERROR(__xludf.DUMMYFUNCTION("""COMPUTED_VALUE"""),"0. DROP")</f>
        <v>0. DROP</v>
      </c>
      <c r="P2526" s="222" t="str">
        <f>IFERROR(__xludf.DUMMYFUNCTION("""COMPUTED_VALUE"""),"0.2 Tidak Dapat Izin Warga/Kades/Lurah/Developer")</f>
        <v>0.2 Tidak Dapat Izin Warga/Kades/Lurah/Developer</v>
      </c>
      <c r="Q2526" s="222" t="str">
        <f>IFERROR(__xludf.DUMMYFUNCTION("""COMPUTED_VALUE"""),"11/2 kadus tidak mengizinkan karena punya wifi lokal sendiri warga nya ,16/2 estimasi angkut material dari wh - 16 FEB EMPLOY 6/2 plan matdel ,16/2 estimasi angkut material dari wh
4/2 progres prizinan dan eletrical 
30/1 plan anwizing 
23/1 plan anwizing"&amp;" tanggal 26/1")</f>
        <v>11/2 kadus tidak mengizinkan karena punya wifi lokal sendiri warga nya ,16/2 estimasi angkut material dari wh - 16 FEB EMPLOY 6/2 plan matdel ,16/2 estimasi angkut material dari wh
4/2 progres prizinan dan eletrical 
30/1 plan anwizing 
23/1 plan anwizing tanggal 26/1</v>
      </c>
      <c r="R2526" s="228"/>
      <c r="S2526" s="11"/>
      <c r="T2526" s="11"/>
      <c r="U2526" s="11"/>
      <c r="V2526" s="229"/>
      <c r="W2526" s="229"/>
      <c r="X2526" s="229"/>
      <c r="Y2526" s="229"/>
      <c r="Z2526" s="229" t="str">
        <f>IFERROR(__xludf.DUMMYFUNCTION("""COMPUTED_VALUE"""),"#N/A")</f>
        <v>#N/A</v>
      </c>
      <c r="AA2526" s="229"/>
      <c r="AB2526" s="229"/>
      <c r="AC2526" s="229"/>
      <c r="AD2526" s="232"/>
      <c r="AE2526" s="233"/>
      <c r="AF2526" s="54" t="str">
        <f>IFERROR(__xludf.DUMMYFUNCTION("""COMPUTED_VALUE"""),"Draft BA DROP")</f>
        <v>Draft BA DROP</v>
      </c>
      <c r="AG2526" s="54"/>
      <c r="AH2526" s="54"/>
      <c r="AI2526" s="55" t="str">
        <f t="shared" si="236"/>
        <v/>
      </c>
      <c r="AW2526" s="234"/>
      <c r="BP2526" s="11"/>
      <c r="BQ2526" s="11"/>
      <c r="BV2526" s="158"/>
      <c r="BY2526" s="158"/>
      <c r="CB2526" s="158"/>
    </row>
    <row r="2527" ht="18.0" hidden="1" customHeight="1">
      <c r="A2527" s="222">
        <f>IFERROR(__xludf.DUMMYFUNCTION("""COMPUTED_VALUE"""),2026.0)</f>
        <v>2026</v>
      </c>
      <c r="B2527" s="221">
        <f>IFERROR(__xludf.DUMMYFUNCTION("""COMPUTED_VALUE"""),1.2703779E7)</f>
        <v>12703779</v>
      </c>
      <c r="C2527" s="222" t="str">
        <f>IFERROR(__xludf.DUMMYFUNCTION("""COMPUTED_VALUE"""),"LPG PT3 JPP LAMPUNG SELATAN_56853 SRW")</f>
        <v>LPG PT3 JPP LAMPUNG SELATAN_56853 SRW</v>
      </c>
      <c r="D2527" s="222" t="str">
        <f>IFERROR(__xludf.DUMMYFUNCTION("""COMPUTED_VALUE"""),"REGIONAL I")</f>
        <v>REGIONAL I</v>
      </c>
      <c r="E2527" s="222" t="str">
        <f>IFERROR(__xludf.DUMMYFUNCTION("""COMPUTED_VALUE"""),"LAMPUNG")</f>
        <v>LAMPUNG</v>
      </c>
      <c r="F2527" s="222" t="str">
        <f>IFERROR(__xludf.DUMMYFUNCTION("""COMPUTED_VALUE"""),"SRW")</f>
        <v>SRW</v>
      </c>
      <c r="G2527" s="222" t="str">
        <f>IFERROR(__xludf.DUMMYFUNCTION("""COMPUTED_VALUE"""),"SUMBAGSEL")</f>
        <v>SUMBAGSEL</v>
      </c>
      <c r="H2527" s="222" t="str">
        <f>IFERROR(__xludf.DUMMYFUNCTION("""COMPUTED_VALUE"""),"LAMPUNG")</f>
        <v>LAMPUNG</v>
      </c>
      <c r="I2527" s="222" t="str">
        <f>IFERROR(__xludf.DUMMYFUNCTION("""COMPUTED_VALUE"""),"Batch 3")</f>
        <v>Batch 3</v>
      </c>
      <c r="J2527" s="225">
        <f>IFERROR(__xludf.DUMMYFUNCTION("""COMPUTED_VALUE"""),6.0)</f>
        <v>6</v>
      </c>
      <c r="K2527" s="224">
        <f>IFERROR(__xludf.DUMMYFUNCTION("""COMPUTED_VALUE"""),48.0)</f>
        <v>48</v>
      </c>
      <c r="L2527" s="226">
        <f>IFERROR(__xludf.DUMMYFUNCTION("""COMPUTED_VALUE"""),659281.0)</f>
        <v>659281</v>
      </c>
      <c r="M2527" s="227">
        <f>IFERROR(__xludf.DUMMYFUNCTION("""COMPUTED_VALUE"""),3.1645443E7)</f>
        <v>31645443</v>
      </c>
      <c r="N2527" s="222" t="str">
        <f>IFERROR(__xludf.DUMMYFUNCTION("""COMPUTED_VALUE"""),"PT BANGTELINDO")</f>
        <v>PT BANGTELINDO</v>
      </c>
      <c r="O2527" s="222" t="str">
        <f>IFERROR(__xludf.DUMMYFUNCTION("""COMPUTED_VALUE"""),"4. MATDEL")</f>
        <v>4. MATDEL</v>
      </c>
      <c r="P2527" s="222" t="str">
        <f>IFERROR(__xludf.DUMMYFUNCTION("""COMPUTED_VALUE"""),"4.5 Material On Site")</f>
        <v>4.5 Material On Site</v>
      </c>
      <c r="Q2527" s="222" t="str">
        <f>IFERROR(__xludf.DUMMYFUNCTION("""COMPUTED_VALUE"""),"27/4 Proses material On Site, 22/4 plan matdel 22/415/4 proses matdel,  08/04 Done PR PO , proses matdel 06/04 Proses PR PO baru bergeser ke matdel 2/4 proses pengajuan PR/PO, 25/3 proses pengajuan PR/PO 13/3 proses pengajuan PR/PO,, 9/3 proses perizinan "&amp;"dengan lurah msh belum bisa. ditemui,, 5/3  Lanjut progress 2/3 proses perhitungan cpp lebih dari 7% dengan disgn baru
27/2 proses pengecekan core dan perizinan,, 6/2  cpp naik ,karna redesain jalur 
4/2  redesain  kabel distirbusi hitung cpp 
28/1 port d"&amp;"istribusi sisa 4 port kebutuhan 6 butuh redesain atau tarik odc 05/2 
23/1 plan anwizing tanggal 26/6")</f>
        <v>27/4 Proses material On Site, 22/4 plan matdel 22/415/4 proses matdel,  08/04 Done PR PO , proses matdel 06/04 Proses PR PO baru bergeser ke matdel 2/4 proses pengajuan PR/PO, 25/3 proses pengajuan PR/PO 13/3 proses pengajuan PR/PO,, 9/3 proses perizinan dengan lurah msh belum bisa. ditemui,, 5/3  Lanjut progress 2/3 proses perhitungan cpp lebih dari 7% dengan disgn baru
27/2 proses pengecekan core dan perizinan,, 6/2  cpp naik ,karna redesain jalur 
4/2  redesain  kabel distirbusi hitung cpp 
28/1 port distribusi sisa 4 port kebutuhan 6 butuh redesain atau tarik odc 05/2 
23/1 plan anwizing tanggal 26/6</v>
      </c>
      <c r="R2527" s="228">
        <f>IFERROR(__xludf.DUMMYFUNCTION("""COMPUTED_VALUE"""),46141.0)</f>
        <v>46141</v>
      </c>
      <c r="S2527" s="11" t="str">
        <f>IFERROR(__xludf.DUMMYFUNCTION("""COMPUTED_VALUE"""),"MEI")</f>
        <v>MEI</v>
      </c>
      <c r="T2527" s="73"/>
      <c r="U2527" s="11" t="str">
        <f>IFERROR(__xludf.DUMMYFUNCTION("""COMPUTED_VALUE"""),"TIF-5982/2026")</f>
        <v>TIF-5982/2026</v>
      </c>
      <c r="V2527" s="229"/>
      <c r="W2527" s="229"/>
      <c r="X2527" s="229"/>
      <c r="Y2527" s="229"/>
      <c r="Z2527" s="229" t="str">
        <f>IFERROR(__xludf.DUMMYFUNCTION("""COMPUTED_VALUE"""),"#N/A")</f>
        <v>#N/A</v>
      </c>
      <c r="AA2527" s="229"/>
      <c r="AB2527" s="229"/>
      <c r="AC2527" s="229"/>
      <c r="AD2527" s="232"/>
      <c r="AE2527" s="233"/>
      <c r="AF2527" s="54"/>
      <c r="AG2527" s="54"/>
      <c r="AH2527" s="54">
        <v>46139.0</v>
      </c>
      <c r="AI2527" s="55" t="str">
        <f t="shared" si="236"/>
        <v/>
      </c>
      <c r="AW2527" s="234"/>
      <c r="BP2527" s="11"/>
      <c r="BQ2527" s="11"/>
      <c r="BV2527" s="158"/>
      <c r="BY2527" s="158"/>
      <c r="CB2527" s="158"/>
    </row>
    <row r="2528" ht="18.0" hidden="1" customHeight="1">
      <c r="A2528" s="222">
        <f>IFERROR(__xludf.DUMMYFUNCTION("""COMPUTED_VALUE"""),2026.0)</f>
        <v>2026</v>
      </c>
      <c r="B2528" s="221">
        <f>IFERROR(__xludf.DUMMYFUNCTION("""COMPUTED_VALUE"""),1.2166085E7)</f>
        <v>12166085</v>
      </c>
      <c r="C2528" s="222" t="str">
        <f>IFERROR(__xludf.DUMMYFUNCTION("""COMPUTED_VALUE"""),"LPG PT3 JPP LAMPUNG SELATAN_1432 KLA")</f>
        <v>LPG PT3 JPP LAMPUNG SELATAN_1432 KLA</v>
      </c>
      <c r="D2528" s="222" t="str">
        <f>IFERROR(__xludf.DUMMYFUNCTION("""COMPUTED_VALUE"""),"REGIONAL I")</f>
        <v>REGIONAL I</v>
      </c>
      <c r="E2528" s="222" t="str">
        <f>IFERROR(__xludf.DUMMYFUNCTION("""COMPUTED_VALUE"""),"LAMPUNG")</f>
        <v>LAMPUNG</v>
      </c>
      <c r="F2528" s="222" t="str">
        <f>IFERROR(__xludf.DUMMYFUNCTION("""COMPUTED_VALUE"""),"KLA")</f>
        <v>KLA</v>
      </c>
      <c r="G2528" s="222" t="str">
        <f>IFERROR(__xludf.DUMMYFUNCTION("""COMPUTED_VALUE"""),"SUMBAGSEL")</f>
        <v>SUMBAGSEL</v>
      </c>
      <c r="H2528" s="222" t="str">
        <f>IFERROR(__xludf.DUMMYFUNCTION("""COMPUTED_VALUE"""),"LAMPUNG")</f>
        <v>LAMPUNG</v>
      </c>
      <c r="I2528" s="222" t="str">
        <f>IFERROR(__xludf.DUMMYFUNCTION("""COMPUTED_VALUE"""),"Batch 3")</f>
        <v>Batch 3</v>
      </c>
      <c r="J2528" s="225">
        <f>IFERROR(__xludf.DUMMYFUNCTION("""COMPUTED_VALUE"""),13.0)</f>
        <v>13</v>
      </c>
      <c r="K2528" s="224">
        <f>IFERROR(__xludf.DUMMYFUNCTION("""COMPUTED_VALUE"""),104.0)</f>
        <v>104</v>
      </c>
      <c r="L2528" s="226">
        <f>IFERROR(__xludf.DUMMYFUNCTION("""COMPUTED_VALUE"""),658649.0)</f>
        <v>658649</v>
      </c>
      <c r="M2528" s="227">
        <f>IFERROR(__xludf.DUMMYFUNCTION("""COMPUTED_VALUE"""),6.8499481E7)</f>
        <v>68499481</v>
      </c>
      <c r="N2528" s="222" t="str">
        <f>IFERROR(__xludf.DUMMYFUNCTION("""COMPUTED_VALUE"""),"PT ACERO CETHA METALINDO")</f>
        <v>PT ACERO CETHA METALINDO</v>
      </c>
      <c r="O2528" s="222" t="str">
        <f>IFERROR(__xludf.DUMMYFUNCTION("""COMPUTED_VALUE"""),"7. GOLIVE")</f>
        <v>7. GOLIVE</v>
      </c>
      <c r="P2528" s="222" t="str">
        <f>IFERROR(__xludf.DUMMYFUNCTION("""COMPUTED_VALUE"""),"7.2 Golive Full / OA / DONE OTB")</f>
        <v>7.2 Golive Full / OA / DONE OTB</v>
      </c>
      <c r="Q2528" s="222" t="str">
        <f>IFERROR(__xludf.DUMMYFUNCTION("""COMPUTED_VALUE"""),"2/4 proses terminasi odp, 31/3 proses terminais odp, plan fi 3/4, plan golive 4/4
25/3 Proses Tarik kabel  13/3 plan Matdel HI,,   9/3 proses pr/po plan matdel ,plan matdel 9/2
2/3 proses pr/po plan matdel ,plan matdel 5/2
27/2 OGP PERIZINAN 
11/2 distrib"&amp;"usi habis,  redesign jalur  6/2 perhitungan cpp redesain jalur 
5/2 perhitungan cpp redesain jalur 
4/2 core distribus 10 habis btuh redesain ke odc 
23/1 plan anwizing 26/1")</f>
        <v>2/4 proses terminasi odp, 31/3 proses terminais odp, plan fi 3/4, plan golive 4/4
25/3 Proses Tarik kabel  13/3 plan Matdel HI,,   9/3 proses pr/po plan matdel ,plan matdel 9/2
2/3 proses pr/po plan matdel ,plan matdel 5/2
27/2 OGP PERIZINAN 
11/2 distribusi habis,  redesign jalur  6/2 perhitungan cpp redesain jalur 
5/2 perhitungan cpp redesain jalur 
4/2 core distribus 10 habis btuh redesain ke odc 
23/1 plan anwizing 26/1</v>
      </c>
      <c r="R2528" s="228">
        <f>IFERROR(__xludf.DUMMYFUNCTION("""COMPUTED_VALUE"""),46116.0)</f>
        <v>46116</v>
      </c>
      <c r="S2528" s="11" t="str">
        <f>IFERROR(__xludf.DUMMYFUNCTION("""COMPUTED_VALUE"""),"APR")</f>
        <v>APR</v>
      </c>
      <c r="T2528" s="11"/>
      <c r="U2528" s="11" t="str">
        <f>IFERROR(__xludf.DUMMYFUNCTION("""COMPUTED_VALUE"""),"TIF-5963/2026")</f>
        <v>TIF-5963/2026</v>
      </c>
      <c r="V2528" s="229"/>
      <c r="W2528" s="229"/>
      <c r="X2528" s="229" t="str">
        <f>IFERROR(__xludf.DUMMYFUNCTION("""COMPUTED_VALUE"""),"GOLIVE")</f>
        <v>GOLIVE</v>
      </c>
      <c r="Y2528" s="229" t="str">
        <f>IFERROR(__xludf.DUMMYFUNCTION("""COMPUTED_VALUE"""),"DONE")</f>
        <v>DONE</v>
      </c>
      <c r="Z2528" s="229" t="str">
        <f>IFERROR(__xludf.DUMMYFUNCTION("""COMPUTED_VALUE"""),"#N/A")</f>
        <v>#N/A</v>
      </c>
      <c r="AA2528" s="229">
        <f>IFERROR(__xludf.DUMMYFUNCTION("""COMPUTED_VALUE"""),14.0)</f>
        <v>14</v>
      </c>
      <c r="AB2528" s="229"/>
      <c r="AC2528" s="229" t="str">
        <f>IFERROR(__xludf.DUMMYFUNCTION("""COMPUTED_VALUE"""),"9196599#9196604")</f>
        <v>9196599#9196604</v>
      </c>
      <c r="AD2528" s="232">
        <f>IFERROR(__xludf.DUMMYFUNCTION("""COMPUTED_VALUE"""),104.0)</f>
        <v>104</v>
      </c>
      <c r="AE2528" s="233">
        <f>IFERROR(__xludf.DUMMYFUNCTION("""COMPUTED_VALUE"""),46116.0)</f>
        <v>46116</v>
      </c>
      <c r="AF2528" s="54"/>
      <c r="AG2528" s="54"/>
      <c r="AH2528" s="54">
        <v>46116.0</v>
      </c>
      <c r="AI2528" s="55">
        <f t="shared" si="236"/>
        <v>0</v>
      </c>
      <c r="AW2528" s="234"/>
      <c r="BP2528" s="11"/>
      <c r="BQ2528" s="11"/>
      <c r="BV2528" s="158"/>
      <c r="BY2528" s="158"/>
      <c r="CB2528" s="158"/>
    </row>
    <row r="2529" ht="18.0" hidden="1" customHeight="1">
      <c r="A2529" s="222">
        <f>IFERROR(__xludf.DUMMYFUNCTION("""COMPUTED_VALUE"""),2026.0)</f>
        <v>2026</v>
      </c>
      <c r="B2529" s="221">
        <f>IFERROR(__xludf.DUMMYFUNCTION("""COMPUTED_VALUE"""),1.2082226E7)</f>
        <v>12082226</v>
      </c>
      <c r="C2529" s="222" t="str">
        <f>IFERROR(__xludf.DUMMYFUNCTION("""COMPUTED_VALUE"""),"MDN PT3 TMU-FK DELI SERDANG_125420")</f>
        <v>MDN PT3 TMU-FK DELI SERDANG_125420</v>
      </c>
      <c r="D2529" s="222" t="str">
        <f>IFERROR(__xludf.DUMMYFUNCTION("""COMPUTED_VALUE"""),"REGIONAL I")</f>
        <v>REGIONAL I</v>
      </c>
      <c r="E2529" s="222" t="str">
        <f>IFERROR(__xludf.DUMMYFUNCTION("""COMPUTED_VALUE"""),"MEDAN")</f>
        <v>MEDAN</v>
      </c>
      <c r="F2529" s="222" t="str">
        <f>IFERROR(__xludf.DUMMYFUNCTION("""COMPUTED_VALUE"""),"TMU")</f>
        <v>TMU</v>
      </c>
      <c r="G2529" s="222" t="str">
        <f>IFERROR(__xludf.DUMMYFUNCTION("""COMPUTED_VALUE"""),"SUMBAGUT")</f>
        <v>SUMBAGUT</v>
      </c>
      <c r="H2529" s="222" t="str">
        <f>IFERROR(__xludf.DUMMYFUNCTION("""COMPUTED_VALUE"""),"MEDAN")</f>
        <v>MEDAN</v>
      </c>
      <c r="I2529" s="222" t="str">
        <f>IFERROR(__xludf.DUMMYFUNCTION("""COMPUTED_VALUE"""),"Batch 3")</f>
        <v>Batch 3</v>
      </c>
      <c r="J2529" s="225">
        <f>IFERROR(__xludf.DUMMYFUNCTION("""COMPUTED_VALUE"""),2.0)</f>
        <v>2</v>
      </c>
      <c r="K2529" s="224">
        <f>IFERROR(__xludf.DUMMYFUNCTION("""COMPUTED_VALUE"""),16.0)</f>
        <v>16</v>
      </c>
      <c r="L2529" s="226">
        <f>IFERROR(__xludf.DUMMYFUNCTION("""COMPUTED_VALUE"""),657277.0)</f>
        <v>657277</v>
      </c>
      <c r="M2529" s="227">
        <f>IFERROR(__xludf.DUMMYFUNCTION("""COMPUTED_VALUE"""),1.0516418E7)</f>
        <v>10516418</v>
      </c>
      <c r="N2529" s="222" t="str">
        <f>IFERROR(__xludf.DUMMYFUNCTION("""COMPUTED_VALUE"""),"SWAKELOLA")</f>
        <v>SWAKELOLA</v>
      </c>
      <c r="O2529" s="222" t="str">
        <f>IFERROR(__xludf.DUMMYFUNCTION("""COMPUTED_VALUE"""),"2. DONE AANWIJZING")</f>
        <v>2. DONE AANWIJZING</v>
      </c>
      <c r="P2529" s="222" t="str">
        <f>IFERROR(__xludf.DUMMYFUNCTION("""COMPUTED_VALUE"""),"2.10 Kendala - Feeder Rusak")</f>
        <v>2.10 Kendala - Feeder Rusak</v>
      </c>
      <c r="Q2529" s="222" t="str">
        <f>IFERROR(__xludf.DUMMYFUNCTION("""COMPUTED_VALUE"""),"21/04 pengecekan tipus / butuh qe")</f>
        <v>21/04 pengecekan tipus / butuh qe</v>
      </c>
      <c r="R2529" s="228"/>
      <c r="S2529" s="11"/>
      <c r="T2529" s="11"/>
      <c r="U2529" s="11"/>
      <c r="V2529" s="229"/>
      <c r="W2529" s="229"/>
      <c r="X2529" s="229" t="str">
        <f>IFERROR(__xludf.DUMMYFUNCTION("""COMPUTED_VALUE"""),"BELUM GOLIVE")</f>
        <v>BELUM GOLIVE</v>
      </c>
      <c r="Y2529" s="229"/>
      <c r="Z2529" s="229" t="str">
        <f>IFERROR(__xludf.DUMMYFUNCTION("""COMPUTED_VALUE"""),"#N/A")</f>
        <v>#N/A</v>
      </c>
      <c r="AA2529" s="229"/>
      <c r="AB2529" s="229"/>
      <c r="AC2529" s="229"/>
      <c r="AD2529" s="232"/>
      <c r="AE2529" s="233"/>
      <c r="AF2529" s="54"/>
      <c r="AG2529" s="54"/>
      <c r="AH2529" s="54"/>
      <c r="AI2529" s="55" t="str">
        <f t="shared" si="236"/>
        <v/>
      </c>
      <c r="AW2529" s="234"/>
      <c r="BP2529" s="11"/>
      <c r="BQ2529" s="11"/>
      <c r="BV2529" s="158"/>
      <c r="BY2529" s="158"/>
      <c r="CB2529" s="158"/>
    </row>
    <row r="2530" ht="18.0" hidden="1" customHeight="1">
      <c r="A2530" s="222">
        <f>IFERROR(__xludf.DUMMYFUNCTION("""COMPUTED_VALUE"""),2026.0)</f>
        <v>2026</v>
      </c>
      <c r="B2530" s="221">
        <f>IFERROR(__xludf.DUMMYFUNCTION("""COMPUTED_VALUE"""),1.1029917E7)</f>
        <v>11029917</v>
      </c>
      <c r="C2530" s="222" t="str">
        <f>IFERROR(__xludf.DUMMYFUNCTION("""COMPUTED_VALUE"""),"ACH PT3 KSG-FRJ D04 BR DESA SUNGAI LIPUT")</f>
        <v>ACH PT3 KSG-FRJ D04 BR DESA SUNGAI LIPUT</v>
      </c>
      <c r="D2530" s="222" t="str">
        <f>IFERROR(__xludf.DUMMYFUNCTION("""COMPUTED_VALUE"""),"REGIONAL I")</f>
        <v>REGIONAL I</v>
      </c>
      <c r="E2530" s="222" t="str">
        <f>IFERROR(__xludf.DUMMYFUNCTION("""COMPUTED_VALUE"""),"ACEH")</f>
        <v>ACEH</v>
      </c>
      <c r="F2530" s="222" t="str">
        <f>IFERROR(__xludf.DUMMYFUNCTION("""COMPUTED_VALUE"""),"KSG")</f>
        <v>KSG</v>
      </c>
      <c r="G2530" s="222" t="str">
        <f>IFERROR(__xludf.DUMMYFUNCTION("""COMPUTED_VALUE"""),"SUMBAGUT")</f>
        <v>SUMBAGUT</v>
      </c>
      <c r="H2530" s="222" t="str">
        <f>IFERROR(__xludf.DUMMYFUNCTION("""COMPUTED_VALUE"""),"BINJAI")</f>
        <v>BINJAI</v>
      </c>
      <c r="I2530" s="222" t="str">
        <f>IFERROR(__xludf.DUMMYFUNCTION("""COMPUTED_VALUE"""),"Batch 3")</f>
        <v>Batch 3</v>
      </c>
      <c r="J2530" s="225">
        <f>IFERROR(__xludf.DUMMYFUNCTION("""COMPUTED_VALUE"""),5.0)</f>
        <v>5</v>
      </c>
      <c r="K2530" s="224">
        <f>IFERROR(__xludf.DUMMYFUNCTION("""COMPUTED_VALUE"""),40.0)</f>
        <v>40</v>
      </c>
      <c r="L2530" s="226">
        <f>IFERROR(__xludf.DUMMYFUNCTION("""COMPUTED_VALUE"""),657005.0)</f>
        <v>657005</v>
      </c>
      <c r="M2530" s="227">
        <f>IFERROR(__xludf.DUMMYFUNCTION("""COMPUTED_VALUE"""),2.6280189E7)</f>
        <v>26280189</v>
      </c>
      <c r="N2530" s="222" t="str">
        <f>IFERROR(__xludf.DUMMYFUNCTION("""COMPUTED_VALUE"""),"PT NURISA JAYA PERKASA")</f>
        <v>PT NURISA JAYA PERKASA</v>
      </c>
      <c r="O2530" s="222" t="str">
        <f>IFERROR(__xludf.DUMMYFUNCTION("""COMPUTED_VALUE"""),"7. GOLIVE")</f>
        <v>7. GOLIVE</v>
      </c>
      <c r="P2530" s="222" t="str">
        <f>IFERROR(__xludf.DUMMYFUNCTION("""COMPUTED_VALUE"""),"7.2 Golive Full / OA / DONE OTB")</f>
        <v>7.2 Golive Full / OA / DONE OTB</v>
      </c>
      <c r="Q2530" s="222"/>
      <c r="R2530" s="228">
        <f>IFERROR(__xludf.DUMMYFUNCTION("""COMPUTED_VALUE"""),46061.0)</f>
        <v>46061</v>
      </c>
      <c r="S2530" s="11"/>
      <c r="T2530" s="11"/>
      <c r="U2530" s="11"/>
      <c r="V2530" s="229"/>
      <c r="W2530" s="229"/>
      <c r="X2530" s="229" t="str">
        <f>IFERROR(__xludf.DUMMYFUNCTION("""COMPUTED_VALUE"""),"GOLIVE")</f>
        <v>GOLIVE</v>
      </c>
      <c r="Y2530" s="229" t="str">
        <f>IFERROR(__xludf.DUMMYFUNCTION("""COMPUTED_VALUE"""),"DONE")</f>
        <v>DONE</v>
      </c>
      <c r="Z2530" s="229" t="str">
        <f>IFERROR(__xludf.DUMMYFUNCTION("""COMPUTED_VALUE"""),"#N/A")</f>
        <v>#N/A</v>
      </c>
      <c r="AA2530" s="229">
        <f>IFERROR(__xludf.DUMMYFUNCTION("""COMPUTED_VALUE"""),5.0)</f>
        <v>5</v>
      </c>
      <c r="AB2530" s="229"/>
      <c r="AC2530" s="229" t="str">
        <f>IFERROR(__xludf.DUMMYFUNCTION("""COMPUTED_VALUE"""),"8425703#8425708")</f>
        <v>8425703#8425708</v>
      </c>
      <c r="AD2530" s="232">
        <f>IFERROR(__xludf.DUMMYFUNCTION("""COMPUTED_VALUE"""),40.0)</f>
        <v>40</v>
      </c>
      <c r="AE2530" s="233">
        <f>IFERROR(__xludf.DUMMYFUNCTION("""COMPUTED_VALUE"""),46061.0)</f>
        <v>46061</v>
      </c>
      <c r="AF2530" s="54"/>
      <c r="AG2530" s="54"/>
      <c r="AH2530" s="54">
        <v>46061.0</v>
      </c>
      <c r="AI2530" s="55">
        <f t="shared" si="236"/>
        <v>0</v>
      </c>
      <c r="AW2530" s="234"/>
      <c r="BP2530" s="11"/>
      <c r="BQ2530" s="11"/>
      <c r="BV2530" s="158"/>
      <c r="BY2530" s="158"/>
      <c r="CB2530" s="158"/>
    </row>
    <row r="2531" ht="18.0" hidden="1" customHeight="1">
      <c r="A2531" s="222">
        <f>IFERROR(__xludf.DUMMYFUNCTION("""COMPUTED_VALUE"""),2026.0)</f>
        <v>2026</v>
      </c>
      <c r="B2531" s="221">
        <f>IFERROR(__xludf.DUMMYFUNCTION("""COMPUTED_VALUE"""),1.2550324E7)</f>
        <v>12550324</v>
      </c>
      <c r="C2531" s="222" t="str">
        <f>IFERROR(__xludf.DUMMYFUNCTION("""COMPUTED_VALUE"""),"250_1638_1620")</f>
        <v>250_1638_1620</v>
      </c>
      <c r="D2531" s="222" t="str">
        <f>IFERROR(__xludf.DUMMYFUNCTION("""COMPUTED_VALUE"""),"REGIONAL I")</f>
        <v>REGIONAL I</v>
      </c>
      <c r="E2531" s="222" t="str">
        <f>IFERROR(__xludf.DUMMYFUNCTION("""COMPUTED_VALUE"""),"MEDAN")</f>
        <v>MEDAN</v>
      </c>
      <c r="F2531" s="222" t="str">
        <f>IFERROR(__xludf.DUMMYFUNCTION("""COMPUTED_VALUE"""),"CTD")</f>
        <v>CTD</v>
      </c>
      <c r="G2531" s="222" t="str">
        <f>IFERROR(__xludf.DUMMYFUNCTION("""COMPUTED_VALUE"""),"SUMBAGUT")</f>
        <v>SUMBAGUT</v>
      </c>
      <c r="H2531" s="222" t="str">
        <f>IFERROR(__xludf.DUMMYFUNCTION("""COMPUTED_VALUE"""),"MEDAN")</f>
        <v>MEDAN</v>
      </c>
      <c r="I2531" s="222" t="str">
        <f>IFERROR(__xludf.DUMMYFUNCTION("""COMPUTED_VALUE"""),"Batch 3")</f>
        <v>Batch 3</v>
      </c>
      <c r="J2531" s="225">
        <f>IFERROR(__xludf.DUMMYFUNCTION("""COMPUTED_VALUE"""),2.0)</f>
        <v>2</v>
      </c>
      <c r="K2531" s="224">
        <f>IFERROR(__xludf.DUMMYFUNCTION("""COMPUTED_VALUE"""),16.0)</f>
        <v>16</v>
      </c>
      <c r="L2531" s="226">
        <f>IFERROR(__xludf.DUMMYFUNCTION("""COMPUTED_VALUE"""),654932.0)</f>
        <v>654932</v>
      </c>
      <c r="M2531" s="227">
        <f>IFERROR(__xludf.DUMMYFUNCTION("""COMPUTED_VALUE"""),1.0478906E7)</f>
        <v>10478906</v>
      </c>
      <c r="N2531" s="222" t="str">
        <f>IFERROR(__xludf.DUMMYFUNCTION("""COMPUTED_VALUE"""),"SWAKELOLA")</f>
        <v>SWAKELOLA</v>
      </c>
      <c r="O2531" s="222" t="str">
        <f>IFERROR(__xludf.DUMMYFUNCTION("""COMPUTED_VALUE"""),"0. DROP")</f>
        <v>0. DROP</v>
      </c>
      <c r="P2531" s="222" t="str">
        <f>IFERROR(__xludf.DUMMYFUNCTION("""COMPUTED_VALUE"""),"0.3 Feeder Full")</f>
        <v>0.3 Feeder Full</v>
      </c>
      <c r="Q2531" s="222" t="str">
        <f>IFERROR(__xludf.DUMMYFUNCTION("""COMPUTED_VALUE"""),"08/03 Feeder Penuh 11/02 Feeder Redti")</f>
        <v>08/03 Feeder Penuh 11/02 Feeder Redti</v>
      </c>
      <c r="R2531" s="228"/>
      <c r="S2531" s="11"/>
      <c r="T2531" s="11"/>
      <c r="U2531" s="11"/>
      <c r="V2531" s="229"/>
      <c r="W2531" s="229"/>
      <c r="X2531" s="229" t="str">
        <f>IFERROR(__xludf.DUMMYFUNCTION("""COMPUTED_VALUE"""),"BELUM GOLIVE")</f>
        <v>BELUM GOLIVE</v>
      </c>
      <c r="Y2531" s="229"/>
      <c r="Z2531" s="229" t="str">
        <f>IFERROR(__xludf.DUMMYFUNCTION("""COMPUTED_VALUE"""),"#N/A")</f>
        <v>#N/A</v>
      </c>
      <c r="AA2531" s="229"/>
      <c r="AB2531" s="229"/>
      <c r="AC2531" s="229"/>
      <c r="AD2531" s="232"/>
      <c r="AE2531" s="233"/>
      <c r="AF2531" s="54"/>
      <c r="AG2531" s="54"/>
      <c r="AH2531" s="54"/>
      <c r="AI2531" s="55" t="str">
        <f t="shared" si="236"/>
        <v/>
      </c>
      <c r="AW2531" s="234"/>
      <c r="BP2531" s="11"/>
      <c r="BQ2531" s="11"/>
      <c r="BV2531" s="158"/>
      <c r="BY2531" s="158"/>
      <c r="CB2531" s="158"/>
    </row>
    <row r="2532" ht="18.0" customHeight="1">
      <c r="A2532" s="222">
        <f>IFERROR(__xludf.DUMMYFUNCTION("""COMPUTED_VALUE"""),2026.0)</f>
        <v>2026</v>
      </c>
      <c r="B2532" s="221">
        <f>IFERROR(__xludf.DUMMYFUNCTION("""COMPUTED_VALUE"""),1.2537642E7)</f>
        <v>12537642</v>
      </c>
      <c r="C2532" s="222" t="str">
        <f>IFERROR(__xludf.DUMMYFUNCTION("""COMPUTED_VALUE"""),"250_464_3993")</f>
        <v>250_464_3993</v>
      </c>
      <c r="D2532" s="222" t="str">
        <f>IFERROR(__xludf.DUMMYFUNCTION("""COMPUTED_VALUE"""),"REGIONAL I")</f>
        <v>REGIONAL I</v>
      </c>
      <c r="E2532" s="222" t="str">
        <f>IFERROR(__xludf.DUMMYFUNCTION("""COMPUTED_VALUE"""),"RIKEP")</f>
        <v>RIKEP</v>
      </c>
      <c r="F2532" s="222" t="str">
        <f>IFERROR(__xludf.DUMMYFUNCTION("""COMPUTED_VALUE"""),"BTC")</f>
        <v>BTC</v>
      </c>
      <c r="G2532" s="222" t="str">
        <f>IFERROR(__xludf.DUMMYFUNCTION("""COMPUTED_VALUE"""),"SUMBAGTENG")</f>
        <v>SUMBAGTENG</v>
      </c>
      <c r="H2532" s="222" t="str">
        <f>IFERROR(__xludf.DUMMYFUNCTION("""COMPUTED_VALUE"""),"BATAM")</f>
        <v>BATAM</v>
      </c>
      <c r="I2532" s="222" t="str">
        <f>IFERROR(__xludf.DUMMYFUNCTION("""COMPUTED_VALUE"""),"Batch 3")</f>
        <v>Batch 3</v>
      </c>
      <c r="J2532" s="225">
        <f>IFERROR(__xludf.DUMMYFUNCTION("""COMPUTED_VALUE"""),4.0)</f>
        <v>4</v>
      </c>
      <c r="K2532" s="224">
        <f>IFERROR(__xludf.DUMMYFUNCTION("""COMPUTED_VALUE"""),32.0)</f>
        <v>32</v>
      </c>
      <c r="L2532" s="226">
        <f>IFERROR(__xludf.DUMMYFUNCTION("""COMPUTED_VALUE"""),654822.0)</f>
        <v>654822</v>
      </c>
      <c r="M2532" s="227">
        <f>IFERROR(__xludf.DUMMYFUNCTION("""COMPUTED_VALUE"""),2.0954292E7)</f>
        <v>20954292</v>
      </c>
      <c r="N2532" s="222" t="str">
        <f>IFERROR(__xludf.DUMMYFUNCTION("""COMPUTED_VALUE"""),"PT MITRA SETIA INDONESIA")</f>
        <v>PT MITRA SETIA INDONESIA</v>
      </c>
      <c r="O2532" s="222" t="str">
        <f>IFERROR(__xludf.DUMMYFUNCTION("""COMPUTED_VALUE"""),"0. DROP")</f>
        <v>0. DROP</v>
      </c>
      <c r="P2532" s="222" t="str">
        <f>IFERROR(__xludf.DUMMYFUNCTION("""COMPUTED_VALUE"""),"0.1 Double Order")</f>
        <v>0.1 Double Order</v>
      </c>
      <c r="Q2532" s="222" t="str">
        <f>IFERROR(__xludf.DUMMYFUNCTION("""COMPUTED_VALUE"""),"31/03 Double order dengan LOP, RKP TSEL PT3 SLU-FBH AZURE GARDENIA THP2. 30/03 menunggu balasan dari RT
04/03 izin belum ada balasan dari RT. 21/02 Peralihan mitra karena mitra tidak ada MP, dari mitra PT ALTONG ke PT MSI. 09/02 LOP blm di survey PT alton"&amp;"g. 28/01 Plan survey HI. 26/01  Mitra PT Altong menolak order alasan MP, peralihan mitra. 21/01 plan fu perizinan tanggal 26 Jan")</f>
        <v>31/03 Double order dengan LOP, RKP TSEL PT3 SLU-FBH AZURE GARDENIA THP2. 30/03 menunggu balasan dari RT
04/03 izin belum ada balasan dari RT. 21/02 Peralihan mitra karena mitra tidak ada MP, dari mitra PT ALTONG ke PT MSI. 09/02 LOP blm di survey PT altong. 28/01 Plan survey HI. 26/01  Mitra PT Altong menolak order alasan MP, peralihan mitra. 21/01 plan fu perizinan tanggal 26 Jan</v>
      </c>
      <c r="R2532" s="228"/>
      <c r="S2532" s="11"/>
      <c r="T2532" s="11"/>
      <c r="U2532" s="11"/>
      <c r="V2532" s="229" t="str">
        <f>IFERROR(__xludf.DUMMYFUNCTION("""COMPUTED_VALUE"""),"GANI PRASTYO")</f>
        <v>GANI PRASTYO</v>
      </c>
      <c r="W2532" s="229"/>
      <c r="X2532" s="229"/>
      <c r="Y2532" s="229"/>
      <c r="Z2532" s="229" t="str">
        <f>IFERROR(__xludf.DUMMYFUNCTION("""COMPUTED_VALUE"""),"#N/A")</f>
        <v>#N/A</v>
      </c>
      <c r="AA2532" s="229"/>
      <c r="AB2532" s="229"/>
      <c r="AC2532" s="229"/>
      <c r="AD2532" s="232"/>
      <c r="AE2532" s="233"/>
      <c r="AF2532" s="54"/>
      <c r="AG2532" s="54"/>
      <c r="AH2532" s="54"/>
      <c r="AI2532" s="55" t="str">
        <f t="shared" si="236"/>
        <v/>
      </c>
      <c r="AW2532" s="234"/>
      <c r="BP2532" s="11"/>
      <c r="BQ2532" s="11"/>
      <c r="BV2532" s="158"/>
      <c r="BY2532" s="158"/>
      <c r="CB2532" s="158"/>
    </row>
    <row r="2533" ht="18.0" hidden="1" customHeight="1">
      <c r="A2533" s="222">
        <f>IFERROR(__xludf.DUMMYFUNCTION("""COMPUTED_VALUE"""),2026.0)</f>
        <v>2026</v>
      </c>
      <c r="B2533" s="221">
        <f>IFERROR(__xludf.DUMMYFUNCTION("""COMPUTED_VALUE"""),1.2574443E7)</f>
        <v>12574443</v>
      </c>
      <c r="C2533" s="222" t="str">
        <f>IFERROR(__xludf.DUMMYFUNCTION("""COMPUTED_VALUE"""),"MDN PT3 CTD-FCW 250_1584_1611")</f>
        <v>MDN PT3 CTD-FCW 250_1584_1611</v>
      </c>
      <c r="D2533" s="222" t="str">
        <f>IFERROR(__xludf.DUMMYFUNCTION("""COMPUTED_VALUE"""),"REGIONAL I")</f>
        <v>REGIONAL I</v>
      </c>
      <c r="E2533" s="222" t="str">
        <f>IFERROR(__xludf.DUMMYFUNCTION("""COMPUTED_VALUE"""),"MEDAN")</f>
        <v>MEDAN</v>
      </c>
      <c r="F2533" s="222" t="str">
        <f>IFERROR(__xludf.DUMMYFUNCTION("""COMPUTED_VALUE"""),"CTD")</f>
        <v>CTD</v>
      </c>
      <c r="G2533" s="222" t="str">
        <f>IFERROR(__xludf.DUMMYFUNCTION("""COMPUTED_VALUE"""),"SUMBAGUT")</f>
        <v>SUMBAGUT</v>
      </c>
      <c r="H2533" s="222" t="str">
        <f>IFERROR(__xludf.DUMMYFUNCTION("""COMPUTED_VALUE"""),"MEDAN")</f>
        <v>MEDAN</v>
      </c>
      <c r="I2533" s="222" t="str">
        <f>IFERROR(__xludf.DUMMYFUNCTION("""COMPUTED_VALUE"""),"Batch 3")</f>
        <v>Batch 3</v>
      </c>
      <c r="J2533" s="225">
        <f>IFERROR(__xludf.DUMMYFUNCTION("""COMPUTED_VALUE"""),2.0)</f>
        <v>2</v>
      </c>
      <c r="K2533" s="224">
        <f>IFERROR(__xludf.DUMMYFUNCTION("""COMPUTED_VALUE"""),16.0)</f>
        <v>16</v>
      </c>
      <c r="L2533" s="226">
        <f>IFERROR(__xludf.DUMMYFUNCTION("""COMPUTED_VALUE"""),653590.0)</f>
        <v>653590</v>
      </c>
      <c r="M2533" s="227">
        <f>IFERROR(__xludf.DUMMYFUNCTION("""COMPUTED_VALUE"""),1.0457432E7)</f>
        <v>10457432</v>
      </c>
      <c r="N2533" s="222" t="str">
        <f>IFERROR(__xludf.DUMMYFUNCTION("""COMPUTED_VALUE"""),"PT M JUSUF AND SONS")</f>
        <v>PT M JUSUF AND SONS</v>
      </c>
      <c r="O2533" s="222" t="str">
        <f>IFERROR(__xludf.DUMMYFUNCTION("""COMPUTED_VALUE"""),"0. DROP")</f>
        <v>0. DROP</v>
      </c>
      <c r="P2533" s="222" t="str">
        <f>IFERROR(__xludf.DUMMYFUNCTION("""COMPUTED_VALUE"""),"0.3 Feeder Full")</f>
        <v>0.3 Feeder Full</v>
      </c>
      <c r="Q2533" s="222" t="str">
        <f>IFERROR(__xludf.DUMMYFUNCTION("""COMPUTED_VALUE"""),"08/03 Feeder Penuh 02/02 Feeder Redaman Tinggi")</f>
        <v>08/03 Feeder Penuh 02/02 Feeder Redaman Tinggi</v>
      </c>
      <c r="R2533" s="228"/>
      <c r="S2533" s="11"/>
      <c r="T2533" s="11"/>
      <c r="U2533" s="11"/>
      <c r="V2533" s="229"/>
      <c r="W2533" s="229"/>
      <c r="X2533" s="229" t="str">
        <f>IFERROR(__xludf.DUMMYFUNCTION("""COMPUTED_VALUE"""),"BELUM GOLIVE")</f>
        <v>BELUM GOLIVE</v>
      </c>
      <c r="Y2533" s="229"/>
      <c r="Z2533" s="229" t="str">
        <f>IFERROR(__xludf.DUMMYFUNCTION("""COMPUTED_VALUE"""),"#N/A")</f>
        <v>#N/A</v>
      </c>
      <c r="AA2533" s="229"/>
      <c r="AB2533" s="229"/>
      <c r="AC2533" s="229"/>
      <c r="AD2533" s="232"/>
      <c r="AE2533" s="233"/>
      <c r="AF2533" s="54"/>
      <c r="AG2533" s="54"/>
      <c r="AH2533" s="54"/>
      <c r="AI2533" s="55" t="str">
        <f t="shared" si="236"/>
        <v/>
      </c>
      <c r="AW2533" s="234"/>
      <c r="BP2533" s="11"/>
      <c r="BQ2533" s="11"/>
      <c r="BV2533" s="158"/>
      <c r="BY2533" s="158"/>
      <c r="CB2533" s="158"/>
    </row>
    <row r="2534" ht="18.0" hidden="1" customHeight="1">
      <c r="A2534" s="222">
        <f>IFERROR(__xludf.DUMMYFUNCTION("""COMPUTED_VALUE"""),2026.0)</f>
        <v>2026</v>
      </c>
      <c r="B2534" s="221">
        <f>IFERROR(__xludf.DUMMYFUNCTION("""COMPUTED_VALUE"""),1.2157791E7)</f>
        <v>12157791</v>
      </c>
      <c r="C2534" s="222" t="str">
        <f>IFERROR(__xludf.DUMMYFUNCTION("""COMPUTED_VALUE"""),"LPG PT3 JPP TULANG BAWANG BARAT_624 UNT")</f>
        <v>LPG PT3 JPP TULANG BAWANG BARAT_624 UNT</v>
      </c>
      <c r="D2534" s="222" t="str">
        <f>IFERROR(__xludf.DUMMYFUNCTION("""COMPUTED_VALUE"""),"REGIONAL I")</f>
        <v>REGIONAL I</v>
      </c>
      <c r="E2534" s="222" t="str">
        <f>IFERROR(__xludf.DUMMYFUNCTION("""COMPUTED_VALUE"""),"LAMPUNG")</f>
        <v>LAMPUNG</v>
      </c>
      <c r="F2534" s="222" t="str">
        <f>IFERROR(__xludf.DUMMYFUNCTION("""COMPUTED_VALUE"""),"UNT")</f>
        <v>UNT</v>
      </c>
      <c r="G2534" s="222" t="str">
        <f>IFERROR(__xludf.DUMMYFUNCTION("""COMPUTED_VALUE"""),"SUMBAGSEL")</f>
        <v>SUMBAGSEL</v>
      </c>
      <c r="H2534" s="222" t="str">
        <f>IFERROR(__xludf.DUMMYFUNCTION("""COMPUTED_VALUE"""),"PALEMBANG")</f>
        <v>PALEMBANG</v>
      </c>
      <c r="I2534" s="222" t="str">
        <f>IFERROR(__xludf.DUMMYFUNCTION("""COMPUTED_VALUE"""),"Batch 3")</f>
        <v>Batch 3</v>
      </c>
      <c r="J2534" s="225">
        <f>IFERROR(__xludf.DUMMYFUNCTION("""COMPUTED_VALUE"""),4.0)</f>
        <v>4</v>
      </c>
      <c r="K2534" s="224">
        <f>IFERROR(__xludf.DUMMYFUNCTION("""COMPUTED_VALUE"""),32.0)</f>
        <v>32</v>
      </c>
      <c r="L2534" s="226">
        <f>IFERROR(__xludf.DUMMYFUNCTION("""COMPUTED_VALUE"""),653344.0)</f>
        <v>653344</v>
      </c>
      <c r="M2534" s="227">
        <f>IFERROR(__xludf.DUMMYFUNCTION("""COMPUTED_VALUE"""),2.0906993E7)</f>
        <v>20906993</v>
      </c>
      <c r="N2534" s="222" t="str">
        <f>IFERROR(__xludf.DUMMYFUNCTION("""COMPUTED_VALUE"""),"PT KOPRASI PILAR UTAMA")</f>
        <v>PT KOPRASI PILAR UTAMA</v>
      </c>
      <c r="O2534" s="222" t="str">
        <f>IFERROR(__xludf.DUMMYFUNCTION("""COMPUTED_VALUE"""),"7. GOLIVE")</f>
        <v>7. GOLIVE</v>
      </c>
      <c r="P2534" s="222" t="str">
        <f>IFERROR(__xludf.DUMMYFUNCTION("""COMPUTED_VALUE"""),"7.2 Golive Full / OA / DONE OTB")</f>
        <v>7.2 Golive Full / OA / DONE OTB</v>
      </c>
      <c r="Q2534" s="222" t="str">
        <f>IFERROR(__xludf.DUMMYFUNCTION("""COMPUTED_VALUE"""),"18/2  Plan Golive -20 FEB 11/2 PLAN FI 12 FEB  9/2 MATDEL  6/2 proses ambil material 9/2,golive 14/2
5/2 ada 5 port modul kosong bisa di lanjut ,estimasi prizinan selesai 9/2 
4/2 Slot Modul OLT Penuh 
3/2 on going progres perizinan 
23/1 plan anwizing 26"&amp;"/2")</f>
        <v>18/2  Plan Golive -20 FEB 11/2 PLAN FI 12 FEB  9/2 MATDEL  6/2 proses ambil material 9/2,golive 14/2
5/2 ada 5 port modul kosong bisa di lanjut ,estimasi prizinan selesai 9/2 
4/2 Slot Modul OLT Penuh 
3/2 on going progres perizinan 
23/1 plan anwizing 26/2</v>
      </c>
      <c r="R2534" s="228">
        <f>IFERROR(__xludf.DUMMYFUNCTION("""COMPUTED_VALUE"""),46074.0)</f>
        <v>46074</v>
      </c>
      <c r="S2534" s="11"/>
      <c r="T2534" s="11"/>
      <c r="U2534" s="11"/>
      <c r="V2534" s="229"/>
      <c r="W2534" s="229"/>
      <c r="X2534" s="229" t="str">
        <f>IFERROR(__xludf.DUMMYFUNCTION("""COMPUTED_VALUE"""),"GOLIVE")</f>
        <v>GOLIVE</v>
      </c>
      <c r="Y2534" s="229" t="str">
        <f>IFERROR(__xludf.DUMMYFUNCTION("""COMPUTED_VALUE"""),"DONE")</f>
        <v>DONE</v>
      </c>
      <c r="Z2534" s="229" t="str">
        <f>IFERROR(__xludf.DUMMYFUNCTION("""COMPUTED_VALUE"""),"#N/A")</f>
        <v>#N/A</v>
      </c>
      <c r="AA2534" s="229">
        <f>IFERROR(__xludf.DUMMYFUNCTION("""COMPUTED_VALUE"""),5.0)</f>
        <v>5</v>
      </c>
      <c r="AB2534" s="229"/>
      <c r="AC2534" s="229" t="str">
        <f>IFERROR(__xludf.DUMMYFUNCTION("""COMPUTED_VALUE"""),"9094914#9094919")</f>
        <v>9094914#9094919</v>
      </c>
      <c r="AD2534" s="232">
        <f>IFERROR(__xludf.DUMMYFUNCTION("""COMPUTED_VALUE"""),32.0)</f>
        <v>32</v>
      </c>
      <c r="AE2534" s="233">
        <f>IFERROR(__xludf.DUMMYFUNCTION("""COMPUTED_VALUE"""),46073.0)</f>
        <v>46073</v>
      </c>
      <c r="AF2534" s="54"/>
      <c r="AG2534" s="54"/>
      <c r="AH2534" s="54">
        <v>46074.0</v>
      </c>
      <c r="AI2534" s="55">
        <f t="shared" si="236"/>
        <v>1</v>
      </c>
      <c r="AW2534" s="234"/>
      <c r="BP2534" s="11"/>
      <c r="BQ2534" s="11"/>
      <c r="BV2534" s="158"/>
      <c r="BY2534" s="158"/>
      <c r="CB2534" s="158"/>
    </row>
    <row r="2535" ht="18.0" hidden="1" customHeight="1">
      <c r="A2535" s="222">
        <f>IFERROR(__xludf.DUMMYFUNCTION("""COMPUTED_VALUE"""),2026.0)</f>
        <v>2026</v>
      </c>
      <c r="B2535" s="221">
        <f>IFERROR(__xludf.DUMMYFUNCTION("""COMPUTED_VALUE"""),1.2815458E7)</f>
        <v>12815458</v>
      </c>
      <c r="C2535" s="222" t="str">
        <f>IFERROR(__xludf.DUMMYFUNCTION("""COMPUTED_VALUE"""),"LPG PT3 JPP LAMPUNG SELATAN_110008 SPS")</f>
        <v>LPG PT3 JPP LAMPUNG SELATAN_110008 SPS</v>
      </c>
      <c r="D2535" s="222" t="str">
        <f>IFERROR(__xludf.DUMMYFUNCTION("""COMPUTED_VALUE"""),"REGIONAL I")</f>
        <v>REGIONAL I</v>
      </c>
      <c r="E2535" s="222" t="str">
        <f>IFERROR(__xludf.DUMMYFUNCTION("""COMPUTED_VALUE"""),"LAMPUNG")</f>
        <v>LAMPUNG</v>
      </c>
      <c r="F2535" s="222" t="str">
        <f>IFERROR(__xludf.DUMMYFUNCTION("""COMPUTED_VALUE"""),"SPS")</f>
        <v>SPS</v>
      </c>
      <c r="G2535" s="222" t="str">
        <f>IFERROR(__xludf.DUMMYFUNCTION("""COMPUTED_VALUE"""),"SUMBAGSEL")</f>
        <v>SUMBAGSEL</v>
      </c>
      <c r="H2535" s="222" t="str">
        <f>IFERROR(__xludf.DUMMYFUNCTION("""COMPUTED_VALUE"""),"LAMPUNG")</f>
        <v>LAMPUNG</v>
      </c>
      <c r="I2535" s="222" t="str">
        <f>IFERROR(__xludf.DUMMYFUNCTION("""COMPUTED_VALUE"""),"Batch 3")</f>
        <v>Batch 3</v>
      </c>
      <c r="J2535" s="225">
        <f>IFERROR(__xludf.DUMMYFUNCTION("""COMPUTED_VALUE"""),3.0)</f>
        <v>3</v>
      </c>
      <c r="K2535" s="224">
        <f>IFERROR(__xludf.DUMMYFUNCTION("""COMPUTED_VALUE"""),24.0)</f>
        <v>24</v>
      </c>
      <c r="L2535" s="226">
        <f>IFERROR(__xludf.DUMMYFUNCTION("""COMPUTED_VALUE"""),652420.0)</f>
        <v>652420</v>
      </c>
      <c r="M2535" s="227">
        <f>IFERROR(__xludf.DUMMYFUNCTION("""COMPUTED_VALUE"""),1.5658079E7)</f>
        <v>15658079</v>
      </c>
      <c r="N2535" s="222" t="str">
        <f>IFERROR(__xludf.DUMMYFUNCTION("""COMPUTED_VALUE"""),"PT ACERO CETHA METALINDO")</f>
        <v>PT ACERO CETHA METALINDO</v>
      </c>
      <c r="O2535" s="222" t="str">
        <f>IFERROR(__xludf.DUMMYFUNCTION("""COMPUTED_VALUE"""),"0. DROP")</f>
        <v>0. DROP</v>
      </c>
      <c r="P2535" s="222" t="str">
        <f>IFERROR(__xludf.DUMMYFUNCTION("""COMPUTED_VALUE"""),"0.1 Double Order")</f>
        <v>0.1 Double Order</v>
      </c>
      <c r="Q2535" s="222" t="str">
        <f>IFERROR(__xludf.DUMMYFUNCTION("""COMPUTED_VALUE"""),"23/2 titik odp sudah tercover dengan lop rejomulyo 
30/1 titik odp sudah tercover dengan lop rejomulyo 
23/1 plan anwizing 26/1")</f>
        <v>23/2 titik odp sudah tercover dengan lop rejomulyo 
30/1 titik odp sudah tercover dengan lop rejomulyo 
23/1 plan anwizing 26/1</v>
      </c>
      <c r="R2535" s="228"/>
      <c r="S2535" s="11"/>
      <c r="T2535" s="11"/>
      <c r="U2535" s="11"/>
      <c r="V2535" s="229"/>
      <c r="W2535" s="229"/>
      <c r="X2535" s="229"/>
      <c r="Y2535" s="229"/>
      <c r="Z2535" s="229" t="str">
        <f>IFERROR(__xludf.DUMMYFUNCTION("""COMPUTED_VALUE"""),"#N/A")</f>
        <v>#N/A</v>
      </c>
      <c r="AA2535" s="229"/>
      <c r="AB2535" s="229"/>
      <c r="AC2535" s="229"/>
      <c r="AD2535" s="232"/>
      <c r="AE2535" s="233"/>
      <c r="AF2535" s="54" t="str">
        <f>IFERROR(__xludf.DUMMYFUNCTION("""COMPUTED_VALUE"""),"Draft BA DROP")</f>
        <v>Draft BA DROP</v>
      </c>
      <c r="AG2535" s="54"/>
      <c r="AH2535" s="54"/>
      <c r="AI2535" s="55" t="str">
        <f t="shared" si="236"/>
        <v/>
      </c>
      <c r="AW2535" s="234"/>
      <c r="BP2535" s="11"/>
      <c r="BQ2535" s="11"/>
      <c r="BV2535" s="158"/>
      <c r="BY2535" s="158"/>
      <c r="CB2535" s="158"/>
    </row>
    <row r="2536" ht="18.0" customHeight="1">
      <c r="A2536" s="222">
        <f>IFERROR(__xludf.DUMMYFUNCTION("""COMPUTED_VALUE"""),2026.0)</f>
        <v>2026</v>
      </c>
      <c r="B2536" s="221">
        <f>IFERROR(__xludf.DUMMYFUNCTION("""COMPUTED_VALUE"""),1.2823357E7)</f>
        <v>12823357</v>
      </c>
      <c r="C2536" s="222" t="str">
        <f>IFERROR(__xludf.DUMMYFUNCTION("""COMPUTED_VALUE"""),"SMB-PT3-ODC-PYK-FS-LIMA PULUH K-125922")</f>
        <v>SMB-PT3-ODC-PYK-FS-LIMA PULUH K-125922</v>
      </c>
      <c r="D2536" s="222" t="str">
        <f>IFERROR(__xludf.DUMMYFUNCTION("""COMPUTED_VALUE"""),"REGIONAL I")</f>
        <v>REGIONAL I</v>
      </c>
      <c r="E2536" s="222" t="str">
        <f>IFERROR(__xludf.DUMMYFUNCTION("""COMPUTED_VALUE"""),"SUMBAR")</f>
        <v>SUMBAR</v>
      </c>
      <c r="F2536" s="222" t="str">
        <f>IFERROR(__xludf.DUMMYFUNCTION("""COMPUTED_VALUE"""),"PYK")</f>
        <v>PYK</v>
      </c>
      <c r="G2536" s="222" t="str">
        <f>IFERROR(__xludf.DUMMYFUNCTION("""COMPUTED_VALUE"""),"SUMBAGTENG")</f>
        <v>SUMBAGTENG</v>
      </c>
      <c r="H2536" s="222" t="str">
        <f>IFERROR(__xludf.DUMMYFUNCTION("""COMPUTED_VALUE"""),"BUKIT TINGGI")</f>
        <v>BUKIT TINGGI</v>
      </c>
      <c r="I2536" s="222" t="str">
        <f>IFERROR(__xludf.DUMMYFUNCTION("""COMPUTED_VALUE"""),"Batch 3")</f>
        <v>Batch 3</v>
      </c>
      <c r="J2536" s="225">
        <f>IFERROR(__xludf.DUMMYFUNCTION("""COMPUTED_VALUE"""),2.0)</f>
        <v>2</v>
      </c>
      <c r="K2536" s="224">
        <f>IFERROR(__xludf.DUMMYFUNCTION("""COMPUTED_VALUE"""),16.0)</f>
        <v>16</v>
      </c>
      <c r="L2536" s="226">
        <f>IFERROR(__xludf.DUMMYFUNCTION("""COMPUTED_VALUE"""),651594.0)</f>
        <v>651594</v>
      </c>
      <c r="M2536" s="227">
        <f>IFERROR(__xludf.DUMMYFUNCTION("""COMPUTED_VALUE"""),1.042549E7)</f>
        <v>10425490</v>
      </c>
      <c r="N2536" s="222" t="str">
        <f>IFERROR(__xludf.DUMMYFUNCTION("""COMPUTED_VALUE"""),"PT TSUIKA BERKAH RAYA")</f>
        <v>PT TSUIKA BERKAH RAYA</v>
      </c>
      <c r="O2536" s="222" t="str">
        <f>IFERROR(__xludf.DUMMYFUNCTION("""COMPUTED_VALUE"""),"8. UJI TERIMA")</f>
        <v>8. UJI TERIMA</v>
      </c>
      <c r="P2536" s="222" t="str">
        <f>IFERROR(__xludf.DUMMYFUNCTION("""COMPUTED_VALUE"""),"8.1 Proses UT")</f>
        <v>8.1 Proses UT</v>
      </c>
      <c r="Q2536" s="222" t="str">
        <f>IFERROR(__xludf.DUMMYFUNCTION("""COMPUTED_VALUE"""),"(18/02) material on site PLAN 22/02 (03/02) Proses create PID (29/01) Done aanwijziing  , proses eval")</f>
        <v>(18/02) material on site PLAN 22/02 (03/02) Proses create PID (29/01) Done aanwijziing  , proses eval</v>
      </c>
      <c r="R2536" s="228">
        <f>IFERROR(__xludf.DUMMYFUNCTION("""COMPUTED_VALUE"""),46068.0)</f>
        <v>46068</v>
      </c>
      <c r="S2536" s="11"/>
      <c r="T2536" s="11"/>
      <c r="U2536" s="11" t="str">
        <f>IFERROR(__xludf.DUMMYFUNCTION("""COMPUTED_VALUE"""),"TIF-3517/2026 26KT03R107-0003")</f>
        <v>TIF-3517/2026 26KT03R107-0003</v>
      </c>
      <c r="V2536" s="229" t="str">
        <f>IFERROR(__xludf.DUMMYFUNCTION("""COMPUTED_VALUE"""),"M. ARIF HAMADI")</f>
        <v>M. ARIF HAMADI</v>
      </c>
      <c r="W2536" s="229" t="str">
        <f>IFERROR(__xludf.DUMMYFUNCTION("""COMPUTED_VALUE"""),"MELKO NARWADI")</f>
        <v>MELKO NARWADI</v>
      </c>
      <c r="X2536" s="229" t="str">
        <f>IFERROR(__xludf.DUMMYFUNCTION("""COMPUTED_VALUE"""),"GOLIVE")</f>
        <v>GOLIVE</v>
      </c>
      <c r="Y2536" s="229" t="str">
        <f>IFERROR(__xludf.DUMMYFUNCTION("""COMPUTED_VALUE"""),"DONE")</f>
        <v>DONE</v>
      </c>
      <c r="Z2536" s="229" t="str">
        <f>IFERROR(__xludf.DUMMYFUNCTION("""COMPUTED_VALUE"""),"#N/A")</f>
        <v>#N/A</v>
      </c>
      <c r="AA2536" s="229">
        <f>IFERROR(__xludf.DUMMYFUNCTION("""COMPUTED_VALUE"""),2.0)</f>
        <v>2</v>
      </c>
      <c r="AB2536" s="229"/>
      <c r="AC2536" s="229" t="str">
        <f>IFERROR(__xludf.DUMMYFUNCTION("""COMPUTED_VALUE"""),"9160722#9160727")</f>
        <v>9160722#9160727</v>
      </c>
      <c r="AD2536" s="232">
        <f>IFERROR(__xludf.DUMMYFUNCTION("""COMPUTED_VALUE"""),16.0)</f>
        <v>16</v>
      </c>
      <c r="AE2536" s="233">
        <f>IFERROR(__xludf.DUMMYFUNCTION("""COMPUTED_VALUE"""),46081.0)</f>
        <v>46081</v>
      </c>
      <c r="AF2536" s="54"/>
      <c r="AG2536" s="54"/>
      <c r="AH2536" s="54">
        <v>46068.0</v>
      </c>
      <c r="AI2536" s="55">
        <f t="shared" si="236"/>
        <v>-13</v>
      </c>
      <c r="AW2536" s="234"/>
      <c r="BP2536" s="11"/>
      <c r="BQ2536" s="11"/>
      <c r="BV2536" s="158"/>
      <c r="BY2536" s="158"/>
      <c r="CB2536" s="158"/>
    </row>
    <row r="2537" ht="18.0" hidden="1" customHeight="1">
      <c r="A2537" s="222">
        <f>IFERROR(__xludf.DUMMYFUNCTION("""COMPUTED_VALUE"""),2026.0)</f>
        <v>2026</v>
      </c>
      <c r="B2537" s="221">
        <f>IFERROR(__xludf.DUMMYFUNCTION("""COMPUTED_VALUE"""),1.2622276E7)</f>
        <v>12622276</v>
      </c>
      <c r="C2537" s="222" t="str">
        <f>IFERROR(__xludf.DUMMYFUNCTION("""COMPUTED_VALUE"""),"MDN PT3 SKI-FAT JL.GARUDA 250_1595_1682")</f>
        <v>MDN PT3 SKI-FAT JL.GARUDA 250_1595_1682</v>
      </c>
      <c r="D2537" s="222" t="str">
        <f>IFERROR(__xludf.DUMMYFUNCTION("""COMPUTED_VALUE"""),"REGIONAL I")</f>
        <v>REGIONAL I</v>
      </c>
      <c r="E2537" s="222" t="str">
        <f>IFERROR(__xludf.DUMMYFUNCTION("""COMPUTED_VALUE"""),"MEDAN")</f>
        <v>MEDAN</v>
      </c>
      <c r="F2537" s="222" t="str">
        <f>IFERROR(__xludf.DUMMYFUNCTION("""COMPUTED_VALUE"""),"SKI")</f>
        <v>SKI</v>
      </c>
      <c r="G2537" s="222" t="str">
        <f>IFERROR(__xludf.DUMMYFUNCTION("""COMPUTED_VALUE"""),"SUMBAGUT")</f>
        <v>SUMBAGUT</v>
      </c>
      <c r="H2537" s="222" t="str">
        <f>IFERROR(__xludf.DUMMYFUNCTION("""COMPUTED_VALUE"""),"MEDAN")</f>
        <v>MEDAN</v>
      </c>
      <c r="I2537" s="222" t="str">
        <f>IFERROR(__xludf.DUMMYFUNCTION("""COMPUTED_VALUE"""),"Batch 3")</f>
        <v>Batch 3</v>
      </c>
      <c r="J2537" s="225">
        <f>IFERROR(__xludf.DUMMYFUNCTION("""COMPUTED_VALUE"""),4.0)</f>
        <v>4</v>
      </c>
      <c r="K2537" s="224">
        <f>IFERROR(__xludf.DUMMYFUNCTION("""COMPUTED_VALUE"""),32.0)</f>
        <v>32</v>
      </c>
      <c r="L2537" s="226">
        <f>IFERROR(__xludf.DUMMYFUNCTION("""COMPUTED_VALUE"""),639558.0)</f>
        <v>639558</v>
      </c>
      <c r="M2537" s="227">
        <f>IFERROR(__xludf.DUMMYFUNCTION("""COMPUTED_VALUE"""),2.0465832E7)</f>
        <v>20465832</v>
      </c>
      <c r="N2537" s="222" t="str">
        <f>IFERROR(__xludf.DUMMYFUNCTION("""COMPUTED_VALUE"""),"PT UPENTEL INTERNASIONAL")</f>
        <v>PT UPENTEL INTERNASIONAL</v>
      </c>
      <c r="O2537" s="222" t="str">
        <f>IFERROR(__xludf.DUMMYFUNCTION("""COMPUTED_VALUE"""),"2. DONE AANWIJZING")</f>
        <v>2. DONE AANWIJZING</v>
      </c>
      <c r="P2537" s="222" t="str">
        <f>IFERROR(__xludf.DUMMYFUNCTION("""COMPUTED_VALUE"""),"2.10 Kendala - Feeder Rusak")</f>
        <v>2.10 Kendala - Feeder Rusak</v>
      </c>
      <c r="Q2537" s="222" t="str">
        <f>IFERROR(__xludf.DUMMYFUNCTION("""COMPUTED_VALUE"""),"21/04 pengecekan tipus / butuh qe
12/02 Feeder Tidak Tembus 07/02 Done Order, Lnjut Aanwidzing")</f>
        <v>21/04 pengecekan tipus / butuh qe
12/02 Feeder Tidak Tembus 07/02 Done Order, Lnjut Aanwidzing</v>
      </c>
      <c r="R2537" s="228"/>
      <c r="S2537" s="11"/>
      <c r="T2537" s="11"/>
      <c r="U2537" s="11"/>
      <c r="V2537" s="229"/>
      <c r="W2537" s="229"/>
      <c r="X2537" s="229" t="str">
        <f>IFERROR(__xludf.DUMMYFUNCTION("""COMPUTED_VALUE"""),"BELUM GOLIVE")</f>
        <v>BELUM GOLIVE</v>
      </c>
      <c r="Y2537" s="229"/>
      <c r="Z2537" s="229" t="str">
        <f>IFERROR(__xludf.DUMMYFUNCTION("""COMPUTED_VALUE"""),"#N/A")</f>
        <v>#N/A</v>
      </c>
      <c r="AA2537" s="229"/>
      <c r="AB2537" s="229"/>
      <c r="AC2537" s="229"/>
      <c r="AD2537" s="232"/>
      <c r="AE2537" s="233"/>
      <c r="AF2537" s="54"/>
      <c r="AG2537" s="54"/>
      <c r="AH2537" s="54"/>
      <c r="AI2537" s="55" t="str">
        <f t="shared" si="236"/>
        <v/>
      </c>
      <c r="AW2537" s="234"/>
      <c r="BP2537" s="11"/>
      <c r="BQ2537" s="11"/>
      <c r="BV2537" s="158"/>
      <c r="BY2537" s="158"/>
      <c r="CB2537" s="158"/>
    </row>
    <row r="2538" ht="18.0" customHeight="1">
      <c r="A2538" s="222">
        <f>IFERROR(__xludf.DUMMYFUNCTION("""COMPUTED_VALUE"""),2026.0)</f>
        <v>2026</v>
      </c>
      <c r="B2538" s="221">
        <f>IFERROR(__xludf.DUMMYFUNCTION("""COMPUTED_VALUE"""),1.2796524E7)</f>
        <v>12796524</v>
      </c>
      <c r="C2538" s="222" t="str">
        <f>IFERROR(__xludf.DUMMYFUNCTION("""COMPUTED_VALUE"""),"SMB-PT3-ODC-PAM-FF-PAR-11243-152696")</f>
        <v>SMB-PT3-ODC-PAM-FF-PAR-11243-152696</v>
      </c>
      <c r="D2538" s="222" t="str">
        <f>IFERROR(__xludf.DUMMYFUNCTION("""COMPUTED_VALUE"""),"REGIONAL I")</f>
        <v>REGIONAL I</v>
      </c>
      <c r="E2538" s="222" t="str">
        <f>IFERROR(__xludf.DUMMYFUNCTION("""COMPUTED_VALUE"""),"SUMBAR")</f>
        <v>SUMBAR</v>
      </c>
      <c r="F2538" s="222" t="str">
        <f>IFERROR(__xludf.DUMMYFUNCTION("""COMPUTED_VALUE"""),"PAM")</f>
        <v>PAM</v>
      </c>
      <c r="G2538" s="222" t="str">
        <f>IFERROR(__xludf.DUMMYFUNCTION("""COMPUTED_VALUE"""),"SUMBAGTENG")</f>
        <v>SUMBAGTENG</v>
      </c>
      <c r="H2538" s="222" t="str">
        <f>IFERROR(__xludf.DUMMYFUNCTION("""COMPUTED_VALUE"""),"BUKIT TINGGI")</f>
        <v>BUKIT TINGGI</v>
      </c>
      <c r="I2538" s="222" t="str">
        <f>IFERROR(__xludf.DUMMYFUNCTION("""COMPUTED_VALUE"""),"Batch 3")</f>
        <v>Batch 3</v>
      </c>
      <c r="J2538" s="225">
        <f>IFERROR(__xludf.DUMMYFUNCTION("""COMPUTED_VALUE"""),7.0)</f>
        <v>7</v>
      </c>
      <c r="K2538" s="224">
        <f>IFERROR(__xludf.DUMMYFUNCTION("""COMPUTED_VALUE"""),56.0)</f>
        <v>56</v>
      </c>
      <c r="L2538" s="226">
        <f>IFERROR(__xludf.DUMMYFUNCTION("""COMPUTED_VALUE"""),638034.0)</f>
        <v>638034</v>
      </c>
      <c r="M2538" s="227">
        <f>IFERROR(__xludf.DUMMYFUNCTION("""COMPUTED_VALUE"""),3.5729886E7)</f>
        <v>35729886</v>
      </c>
      <c r="N2538" s="222" t="str">
        <f>IFERROR(__xludf.DUMMYFUNCTION("""COMPUTED_VALUE"""),"PT PUTRI JAYA AKSES")</f>
        <v>PT PUTRI JAYA AKSES</v>
      </c>
      <c r="O2538" s="222" t="str">
        <f>IFERROR(__xludf.DUMMYFUNCTION("""COMPUTED_VALUE"""),"0. DROP")</f>
        <v>0. DROP</v>
      </c>
      <c r="P2538" s="222" t="str">
        <f>IFERROR(__xludf.DUMMYFUNCTION("""COMPUTED_VALUE"""),"0.3 Feeder Full")</f>
        <v>0.3 Feeder Full</v>
      </c>
      <c r="Q2538" s="222" t="str">
        <f>IFERROR(__xludf.DUMMYFUNCTION("""COMPUTED_VALUE"""),"(02/02) kendala feeder PAM-FF FULL (29/01) Done aanwijziing  , proses eval")</f>
        <v>(02/02) kendala feeder PAM-FF FULL (29/01) Done aanwijziing  , proses eval</v>
      </c>
      <c r="R2538" s="228"/>
      <c r="S2538" s="11"/>
      <c r="T2538" s="11"/>
      <c r="U2538" s="11"/>
      <c r="V2538" s="229" t="str">
        <f>IFERROR(__xludf.DUMMYFUNCTION("""COMPUTED_VALUE"""),"JANUAR RIZAL")</f>
        <v>JANUAR RIZAL</v>
      </c>
      <c r="W2538" s="229" t="str">
        <f>IFERROR(__xludf.DUMMYFUNCTION("""COMPUTED_VALUE"""),"MELKO NARWADI")</f>
        <v>MELKO NARWADI</v>
      </c>
      <c r="X2538" s="229"/>
      <c r="Y2538" s="229"/>
      <c r="Z2538" s="229" t="str">
        <f>IFERROR(__xludf.DUMMYFUNCTION("""COMPUTED_VALUE"""),"#N/A")</f>
        <v>#N/A</v>
      </c>
      <c r="AA2538" s="229"/>
      <c r="AB2538" s="229"/>
      <c r="AC2538" s="229"/>
      <c r="AD2538" s="232"/>
      <c r="AE2538" s="233"/>
      <c r="AF2538" s="54" t="str">
        <f>IFERROR(__xludf.DUMMYFUNCTION("""COMPUTED_VALUE"""),"Draft BA DROP")</f>
        <v>Draft BA DROP</v>
      </c>
      <c r="AG2538" s="54"/>
      <c r="AH2538" s="54"/>
      <c r="AI2538" s="55" t="str">
        <f t="shared" si="236"/>
        <v/>
      </c>
      <c r="AW2538" s="234"/>
      <c r="BP2538" s="11"/>
      <c r="BQ2538" s="11"/>
      <c r="BV2538" s="158"/>
      <c r="BY2538" s="158"/>
      <c r="CB2538" s="158"/>
    </row>
    <row r="2539" ht="18.0" hidden="1" customHeight="1">
      <c r="A2539" s="222">
        <f>IFERROR(__xludf.DUMMYFUNCTION("""COMPUTED_VALUE"""),2026.0)</f>
        <v>2026</v>
      </c>
      <c r="B2539" s="221">
        <f>IFERROR(__xludf.DUMMYFUNCTION("""COMPUTED_VALUE"""),1.2643882E7)</f>
        <v>12643882</v>
      </c>
      <c r="C2539" s="222" t="str">
        <f>IFERROR(__xludf.DUMMYFUNCTION("""COMPUTED_VALUE"""),"SMU PT3 SIH-FAA D08-D10 CLUST BARUMUN")</f>
        <v>SMU PT3 SIH-FAA D08-D10 CLUST BARUMUN</v>
      </c>
      <c r="D2539" s="222" t="str">
        <f>IFERROR(__xludf.DUMMYFUNCTION("""COMPUTED_VALUE"""),"REGIONAL I")</f>
        <v>REGIONAL I</v>
      </c>
      <c r="E2539" s="222" t="str">
        <f>IFERROR(__xludf.DUMMYFUNCTION("""COMPUTED_VALUE"""),"SUMUT")</f>
        <v>SUMUT</v>
      </c>
      <c r="F2539" s="222" t="str">
        <f>IFERROR(__xludf.DUMMYFUNCTION("""COMPUTED_VALUE"""),"SIH")</f>
        <v>SIH</v>
      </c>
      <c r="G2539" s="222" t="str">
        <f>IFERROR(__xludf.DUMMYFUNCTION("""COMPUTED_VALUE"""),"SUMBAGUT")</f>
        <v>SUMBAGUT</v>
      </c>
      <c r="H2539" s="222" t="str">
        <f>IFERROR(__xludf.DUMMYFUNCTION("""COMPUTED_VALUE"""),"RANTAU PRAPAT")</f>
        <v>RANTAU PRAPAT</v>
      </c>
      <c r="I2539" s="222" t="str">
        <f>IFERROR(__xludf.DUMMYFUNCTION("""COMPUTED_VALUE"""),"Batch 3")</f>
        <v>Batch 3</v>
      </c>
      <c r="J2539" s="225">
        <f>IFERROR(__xludf.DUMMYFUNCTION("""COMPUTED_VALUE"""),27.0)</f>
        <v>27</v>
      </c>
      <c r="K2539" s="224">
        <f>IFERROR(__xludf.DUMMYFUNCTION("""COMPUTED_VALUE"""),216.0)</f>
        <v>216</v>
      </c>
      <c r="L2539" s="226">
        <f>IFERROR(__xludf.DUMMYFUNCTION("""COMPUTED_VALUE"""),635239.0)</f>
        <v>635239</v>
      </c>
      <c r="M2539" s="227">
        <f>IFERROR(__xludf.DUMMYFUNCTION("""COMPUTED_VALUE"""),1.37211593E8)</f>
        <v>137211593</v>
      </c>
      <c r="N2539" s="222" t="str">
        <f>IFERROR(__xludf.DUMMYFUNCTION("""COMPUTED_VALUE"""),"PT MEDCOM SOLUTION")</f>
        <v>PT MEDCOM SOLUTION</v>
      </c>
      <c r="O2539" s="222" t="str">
        <f>IFERROR(__xludf.DUMMYFUNCTION("""COMPUTED_VALUE"""),"3. PERIZINAN")</f>
        <v>3. PERIZINAN</v>
      </c>
      <c r="P2539" s="222" t="str">
        <f>IFERROR(__xludf.DUMMYFUNCTION("""COMPUTED_VALUE"""),"3.10 Izin Developer / Private area")</f>
        <v>3.10 Izin Developer / Private area</v>
      </c>
      <c r="Q2539" s="222" t="str">
        <f>IFERROR(__xludf.DUMMYFUNCTION("""COMPUTED_VALUE"""),"24/4 menunggu revisi boq kebutuhan qe, 23/4 menunggu revisi boq kebutuhan qe, 22/4 menunggu revisi boq kebutuhan qe, 21/4 plan malam ini mengirim revisi boq kebutuhan qe, 20/4 revisi boq, kebutuhan 28 odp, sisa feder 5 port 4 tembus 1 butuah qe, untuk stu"&amp;"b ada 5 jadi total yg bisa terbangun 25 odp, 16/4 revisi boq, kebutuhan 28 odp, sisa feder 5 port 4 tembus 1 butuah qe, untuk stub ada 5 jadi total yg bisa terbangun 25 odp, 15/4 revisi boq, kebutuhan 28 odp, sisa feder 5 port 4 tembus 1 butuah qe, untuk "&amp;"stub ada 5 jadi total yg bisa terbangun 25 odp, 14/4 revisi boq, kebutuhan 28 odp, sisa feder 5 port 4 tembus 1 butuah qe, untuk stub ada 5 jadi total yg bisa terbangun 25 odp, 13/4 revisi boq, kebutuhan 28 odp, sisa feder 5 port 4 tembus 1 butuah qe, unt"&amp;"uk stub ada 5 jadi total yg bisa terbangun 25 odp, 9/4 revisi boq, kebutuhan 28 odp, sisa feder 5 port 4 tembus 1 butuah qe, untuk stub ada 5 jadi total yg bisa terbangun 25 odp, 8/4 revisi boq, kebutuhan 28 odp, sisa feder 5 port 4 tembus 1 butuah qe, un"&amp;"tuk stub ada 5 jadi total yg bisa terbangun 25 odp, 6/4 revisi boq di submit besok 7 april, kebutuhan 28 odp, sisa feder 5 port 4 tembus 1 butuah qe, untuk stub ada 5 jadi total yg bisa terbangun 25 odp,  5/4 menunggu submit revisi boq survey, 1/4 menungg"&amp;"u submit revisi boq survey, 31/3 menunggu submit revisi boq survey, 30/3 menunggu submit revisi boq survey, 27/3 menunggu submit boq kml survey,plan minggu 29 maret, 26/3 menunggu submit boq kml survey, 22/3 menunggu submit boq kml survey, 18/3 menunggu s"&amp;"ubmit boq kml survey,16/3 plan submit boq kml survey besok 17 maret, sisa core feder 4 dan stub idle 4 , kebutuhan 7 port plan pengurangan odp 7 , 13/3 menunggu  boq kml survey, sisa core feder 4 dan stub idle 4 , kebutuhan 7 port plan pengurangan odp 7 ,"&amp;" 11/3 menunggu  boq kml survey, sisa core feder 4 dan stub idle 4 , kebutuhan 6 port, 10/3 menunggu  boq kml survey, sisa core feder 4 dan stub idle 4 , kebutuhan 6 port, 6/3 menunggu  boq kml survey, sisa core feder 4 dan stub idle 4 , kebutuhan 6 port, "&amp;" 5/3 menunggu  boq kml survey, sisa core feder 4 dan stub idle 4 , kebutuhan 6 port, 4/3 menunggu  boq kml survey, sisa core feder 4 dan stub idle 4 , kebutuhan 6 port, 3/3 menunggu  boq kml survey, sisa core feder 4 dan stub idle 4 , kebutuhan 6 port, 2/"&amp;"3 menunggu  boq kml survey, sisa core feder 4 dan stub idle 4 , kebutuhan 6 port, 27/2 menunggu  boq kml survey, sisa core feder 4 dan stub idle 4 , kebutuhan 6 port,  25/2 plan besok  26 febsubmit boq kml survey, sisa core feder 4 dan stub idle 4 , kebut"&amp;"uhan 6 port, ,  24/2 sisa core feder 4 dan stub idle 4 , kebutuhan 6 port, menunggu boq kml survey incloude kebutuhan qe distribusi,  23/2 sisa core feder 4 dan stub idle 4 , kebutuhan 6 port, menunggu boq kml survey incloude kebutuhan qe distribusi,  20/"&amp;"2 sisa core feder 4 dan stub idle 4 , kebutuhan 6 port, menunggu boq kml survey incloude kebutuhan qe distribusi, 19/2 sisa core feder 4 dan stub idle 4 , kebutuhan 6 port, menunggu boq kml survey incloude kebutuhan qe distribusi, 18/2 team serial survey "&amp;"di lop pasar latong,16/2 team serial survey di lop GNT FD CLUSTER PALUTA,13/2 prepair team untuk survey est paling lambat 14 feb,  11/2 prepair team untuk survey est paling lambat 14 feb, 10/2 prepair team untuk survey est paling lambat 14 feb, 9/2 prepai"&amp;"r team untuk survey est paling lambat 14 feb, 6/2 prepair team untuk survey est paling lambat 14 feb, 5/2 prepair team untuk survey est paling lambat 14 feb, 3/2 plan survey 5/2 (peralihan dari mitra truputra), 2/2 penunjukan mitra ( peralihan dari mitra "&amp;"triputra),  1/2 penunjukan mitra ( peralihan dari mitra triputra), 30/1 penunjukan mitra ( peralihan dari mitra triputra), 28/1 penu jukan mitra ( peralihan dari mitra triputra), 27/1 plan survey tgl 28/1, 26/1 plan survey tgl 27/1, 23/1 plan survey tgl 2"&amp;"7/1,22/1 prepair team untuk pelaksanaan survey dilokasi , ")</f>
        <v>24/4 menunggu revisi boq kebutuhan qe, 23/4 menunggu revisi boq kebutuhan qe, 22/4 menunggu revisi boq kebutuhan qe, 21/4 plan malam ini mengirim revisi boq kebutuhan qe, 20/4 revisi boq, kebutuhan 28 odp, sisa feder 5 port 4 tembus 1 butuah qe, untuk stub ada 5 jadi total yg bisa terbangun 25 odp, 16/4 revisi boq, kebutuhan 28 odp, sisa feder 5 port 4 tembus 1 butuah qe, untuk stub ada 5 jadi total yg bisa terbangun 25 odp, 15/4 revisi boq, kebutuhan 28 odp, sisa feder 5 port 4 tembus 1 butuah qe, untuk stub ada 5 jadi total yg bisa terbangun 25 odp, 14/4 revisi boq, kebutuhan 28 odp, sisa feder 5 port 4 tembus 1 butuah qe, untuk stub ada 5 jadi total yg bisa terbangun 25 odp, 13/4 revisi boq, kebutuhan 28 odp, sisa feder 5 port 4 tembus 1 butuah qe, untuk stub ada 5 jadi total yg bisa terbangun 25 odp, 9/4 revisi boq, kebutuhan 28 odp, sisa feder 5 port 4 tembus 1 butuah qe, untuk stub ada 5 jadi total yg bisa terbangun 25 odp, 8/4 revisi boq, kebutuhan 28 odp, sisa feder 5 port 4 tembus 1 butuah qe, untuk stub ada 5 jadi total yg bisa terbangun 25 odp, 6/4 revisi boq di submit besok 7 april, kebutuhan 28 odp, sisa feder 5 port 4 tembus 1 butuah qe, untuk stub ada 5 jadi total yg bisa terbangun 25 odp,  5/4 menunggu submit revisi boq survey, 1/4 menunggu submit revisi boq survey, 31/3 menunggu submit revisi boq survey, 30/3 menunggu submit revisi boq survey, 27/3 menunggu submit boq kml survey,plan minggu 29 maret, 26/3 menunggu submit boq kml survey, 22/3 menunggu submit boq kml survey, 18/3 menunggu submit boq kml survey,16/3 plan submit boq kml survey besok 17 maret, sisa core feder 4 dan stub idle 4 , kebutuhan 7 port plan pengurangan odp 7 , 13/3 menunggu  boq kml survey, sisa core feder 4 dan stub idle 4 , kebutuhan 7 port plan pengurangan odp 7 , 11/3 menunggu  boq kml survey, sisa core feder 4 dan stub idle 4 , kebutuhan 6 port, 10/3 menunggu  boq kml survey, sisa core feder 4 dan stub idle 4 , kebutuhan 6 port, 6/3 menunggu  boq kml survey, sisa core feder 4 dan stub idle 4 , kebutuhan 6 port,  5/3 menunggu  boq kml survey, sisa core feder 4 dan stub idle 4 , kebutuhan 6 port, 4/3 menunggu  boq kml survey, sisa core feder 4 dan stub idle 4 , kebutuhan 6 port, 3/3 menunggu  boq kml survey, sisa core feder 4 dan stub idle 4 , kebutuhan 6 port, 2/3 menunggu  boq kml survey, sisa core feder 4 dan stub idle 4 , kebutuhan 6 port, 27/2 menunggu  boq kml survey, sisa core feder 4 dan stub idle 4 , kebutuhan 6 port,  25/2 plan besok  26 febsubmit boq kml survey, sisa core feder 4 dan stub idle 4 , kebutuhan 6 port, ,  24/2 sisa core feder 4 dan stub idle 4 , kebutuhan 6 port, menunggu boq kml survey incloude kebutuhan qe distribusi,  23/2 sisa core feder 4 dan stub idle 4 , kebutuhan 6 port, menunggu boq kml survey incloude kebutuhan qe distribusi,  20/2 sisa core feder 4 dan stub idle 4 , kebutuhan 6 port, menunggu boq kml survey incloude kebutuhan qe distribusi, 19/2 sisa core feder 4 dan stub idle 4 , kebutuhan 6 port, menunggu boq kml survey incloude kebutuhan qe distribusi, 18/2 team serial survey di lop pasar latong,16/2 team serial survey di lop GNT FD CLUSTER PALUTA,13/2 prepair team untuk survey est paling lambat 14 feb,  11/2 prepair team untuk survey est paling lambat 14 feb, 10/2 prepair team untuk survey est paling lambat 14 feb, 9/2 prepair team untuk survey est paling lambat 14 feb, 6/2 prepair team untuk survey est paling lambat 14 feb, 5/2 prepair team untuk survey est paling lambat 14 feb, 3/2 plan survey 5/2 (peralihan dari mitra truputra), 2/2 penunjukan mitra ( peralihan dari mitra triputra),  1/2 penunjukan mitra ( peralihan dari mitra triputra), 30/1 penunjukan mitra ( peralihan dari mitra triputra), 28/1 penu jukan mitra ( peralihan dari mitra triputra), 27/1 plan survey tgl 28/1, 26/1 plan survey tgl 27/1, 23/1 plan survey tgl 27/1,22/1 prepair team untuk pelaksanaan survey dilokasi , </v>
      </c>
      <c r="R2539" s="228"/>
      <c r="S2539" s="11"/>
      <c r="T2539" s="11"/>
      <c r="U2539" s="11" t="str">
        <f>IFERROR(__xludf.DUMMYFUNCTION("""COMPUTED_VALUE"""),"TIF-2044/2026")</f>
        <v>TIF-2044/2026</v>
      </c>
      <c r="V2539" s="229"/>
      <c r="W2539" s="229"/>
      <c r="X2539" s="229" t="str">
        <f>IFERROR(__xludf.DUMMYFUNCTION("""COMPUTED_VALUE"""),"BELUM GOLIVE")</f>
        <v>BELUM GOLIVE</v>
      </c>
      <c r="Y2539" s="229" t="str">
        <f>IFERROR(__xludf.DUMMYFUNCTION("""COMPUTED_VALUE"""),"QE Distribusi")</f>
        <v>QE Distribusi</v>
      </c>
      <c r="Z2539" s="229" t="str">
        <f>IFERROR(__xludf.DUMMYFUNCTION("""COMPUTED_VALUE"""),"#N/A")</f>
        <v>#N/A</v>
      </c>
      <c r="AA2539" s="229"/>
      <c r="AB2539" s="229"/>
      <c r="AC2539" s="229"/>
      <c r="AD2539" s="232"/>
      <c r="AE2539" s="233"/>
      <c r="AF2539" s="54"/>
      <c r="AG2539" s="54"/>
      <c r="AH2539" s="54"/>
      <c r="AI2539" s="55" t="str">
        <f t="shared" si="236"/>
        <v/>
      </c>
      <c r="AW2539" s="234"/>
      <c r="BP2539" s="11"/>
      <c r="BQ2539" s="11"/>
      <c r="BV2539" s="158"/>
      <c r="BY2539" s="158"/>
      <c r="CB2539" s="158"/>
    </row>
    <row r="2540" ht="18.0" customHeight="1">
      <c r="A2540" s="222">
        <f>IFERROR(__xludf.DUMMYFUNCTION("""COMPUTED_VALUE"""),2026.0)</f>
        <v>2026</v>
      </c>
      <c r="B2540" s="221">
        <f>IFERROR(__xludf.DUMMYFUNCTION("""COMPUTED_VALUE"""),1.2604597E7)</f>
        <v>12604597</v>
      </c>
      <c r="C2540" s="222" t="str">
        <f>IFERROR(__xludf.DUMMYFUNCTION("""COMPUTED_VALUE"""),"SMB-PT3-ODC-LBA-FA-PAM_144572")</f>
        <v>SMB-PT3-ODC-LBA-FA-PAM_144572</v>
      </c>
      <c r="D2540" s="222" t="str">
        <f>IFERROR(__xludf.DUMMYFUNCTION("""COMPUTED_VALUE"""),"REGIONAL I")</f>
        <v>REGIONAL I</v>
      </c>
      <c r="E2540" s="222" t="str">
        <f>IFERROR(__xludf.DUMMYFUNCTION("""COMPUTED_VALUE"""),"SUMBAR")</f>
        <v>SUMBAR</v>
      </c>
      <c r="F2540" s="222" t="str">
        <f>IFERROR(__xludf.DUMMYFUNCTION("""COMPUTED_VALUE"""),"LBA")</f>
        <v>LBA</v>
      </c>
      <c r="G2540" s="222" t="str">
        <f>IFERROR(__xludf.DUMMYFUNCTION("""COMPUTED_VALUE"""),"SUMBAGTENG")</f>
        <v>SUMBAGTENG</v>
      </c>
      <c r="H2540" s="222" t="str">
        <f>IFERROR(__xludf.DUMMYFUNCTION("""COMPUTED_VALUE"""),"BUKIT TINGGI")</f>
        <v>BUKIT TINGGI</v>
      </c>
      <c r="I2540" s="222" t="str">
        <f>IFERROR(__xludf.DUMMYFUNCTION("""COMPUTED_VALUE"""),"Batch 3")</f>
        <v>Batch 3</v>
      </c>
      <c r="J2540" s="225">
        <f>IFERROR(__xludf.DUMMYFUNCTION("""COMPUTED_VALUE"""),1.0)</f>
        <v>1</v>
      </c>
      <c r="K2540" s="224">
        <f>IFERROR(__xludf.DUMMYFUNCTION("""COMPUTED_VALUE"""),8.0)</f>
        <v>8</v>
      </c>
      <c r="L2540" s="226">
        <f>IFERROR(__xludf.DUMMYFUNCTION("""COMPUTED_VALUE"""),627057.0)</f>
        <v>627057</v>
      </c>
      <c r="M2540" s="227">
        <f>IFERROR(__xludf.DUMMYFUNCTION("""COMPUTED_VALUE"""),5016449.0)</f>
        <v>5016449</v>
      </c>
      <c r="N2540" s="222" t="str">
        <f>IFERROR(__xludf.DUMMYFUNCTION("""COMPUTED_VALUE"""),"PT PUTRI JAYA AKSES")</f>
        <v>PT PUTRI JAYA AKSES</v>
      </c>
      <c r="O2540" s="222" t="str">
        <f>IFERROR(__xludf.DUMMYFUNCTION("""COMPUTED_VALUE"""),"0. DROP")</f>
        <v>0. DROP</v>
      </c>
      <c r="P2540" s="222" t="str">
        <f>IFERROR(__xludf.DUMMYFUNCTION("""COMPUTED_VALUE"""),"0.3 Feeder Full")</f>
        <v>0.3 Feeder Full</v>
      </c>
      <c r="Q2540" s="222" t="str">
        <f>IFERROR(__xludf.DUMMYFUNCTION("""COMPUTED_VALUE"""),"(02/02) kendala feeder LBA-FA FULL (29/01) Done aanwijziing  , proses eval")</f>
        <v>(02/02) kendala feeder LBA-FA FULL (29/01) Done aanwijziing  , proses eval</v>
      </c>
      <c r="R2540" s="228"/>
      <c r="S2540" s="11"/>
      <c r="T2540" s="11"/>
      <c r="U2540" s="11"/>
      <c r="V2540" s="229" t="str">
        <f>IFERROR(__xludf.DUMMYFUNCTION("""COMPUTED_VALUE"""),"JANUAR RIZAL")</f>
        <v>JANUAR RIZAL</v>
      </c>
      <c r="W2540" s="229" t="str">
        <f>IFERROR(__xludf.DUMMYFUNCTION("""COMPUTED_VALUE"""),"MELKO NARWADI")</f>
        <v>MELKO NARWADI</v>
      </c>
      <c r="X2540" s="229"/>
      <c r="Y2540" s="229"/>
      <c r="Z2540" s="229" t="str">
        <f>IFERROR(__xludf.DUMMYFUNCTION("""COMPUTED_VALUE"""),"#N/A")</f>
        <v>#N/A</v>
      </c>
      <c r="AA2540" s="229"/>
      <c r="AB2540" s="229"/>
      <c r="AC2540" s="229"/>
      <c r="AD2540" s="232"/>
      <c r="AE2540" s="233"/>
      <c r="AF2540" s="54" t="str">
        <f>IFERROR(__xludf.DUMMYFUNCTION("""COMPUTED_VALUE"""),"Draft BA DROP")</f>
        <v>Draft BA DROP</v>
      </c>
      <c r="AG2540" s="54"/>
      <c r="AH2540" s="54"/>
      <c r="AI2540" s="55" t="str">
        <f t="shared" si="236"/>
        <v/>
      </c>
      <c r="AW2540" s="234"/>
      <c r="BP2540" s="11"/>
      <c r="BQ2540" s="11"/>
      <c r="BV2540" s="158"/>
      <c r="BY2540" s="158"/>
      <c r="CB2540" s="158"/>
    </row>
    <row r="2541" ht="18.0" hidden="1" customHeight="1">
      <c r="A2541" s="222">
        <f>IFERROR(__xludf.DUMMYFUNCTION("""COMPUTED_VALUE"""),2026.0)</f>
        <v>2026</v>
      </c>
      <c r="B2541" s="221">
        <f>IFERROR(__xludf.DUMMYFUNCTION("""COMPUTED_VALUE"""),1.2678766E7)</f>
        <v>12678766</v>
      </c>
      <c r="C2541" s="222" t="str">
        <f>IFERROR(__xludf.DUMMYFUNCTION("""COMPUTED_VALUE"""),"MDN PT3 PUB-FCB 250_1609_1671")</f>
        <v>MDN PT3 PUB-FCB 250_1609_1671</v>
      </c>
      <c r="D2541" s="222" t="str">
        <f>IFERROR(__xludf.DUMMYFUNCTION("""COMPUTED_VALUE"""),"REGIONAL I")</f>
        <v>REGIONAL I</v>
      </c>
      <c r="E2541" s="222" t="str">
        <f>IFERROR(__xludf.DUMMYFUNCTION("""COMPUTED_VALUE"""),"MEDAN")</f>
        <v>MEDAN</v>
      </c>
      <c r="F2541" s="222" t="str">
        <f>IFERROR(__xludf.DUMMYFUNCTION("""COMPUTED_VALUE"""),"PUB")</f>
        <v>PUB</v>
      </c>
      <c r="G2541" s="222" t="str">
        <f>IFERROR(__xludf.DUMMYFUNCTION("""COMPUTED_VALUE"""),"SUMBAGUT")</f>
        <v>SUMBAGUT</v>
      </c>
      <c r="H2541" s="222" t="str">
        <f>IFERROR(__xludf.DUMMYFUNCTION("""COMPUTED_VALUE"""),"MEDAN")</f>
        <v>MEDAN</v>
      </c>
      <c r="I2541" s="222" t="str">
        <f>IFERROR(__xludf.DUMMYFUNCTION("""COMPUTED_VALUE"""),"Batch 3")</f>
        <v>Batch 3</v>
      </c>
      <c r="J2541" s="225">
        <f>IFERROR(__xludf.DUMMYFUNCTION("""COMPUTED_VALUE"""),2.0)</f>
        <v>2</v>
      </c>
      <c r="K2541" s="224">
        <f>IFERROR(__xludf.DUMMYFUNCTION("""COMPUTED_VALUE"""),16.0)</f>
        <v>16</v>
      </c>
      <c r="L2541" s="226">
        <f>IFERROR(__xludf.DUMMYFUNCTION("""COMPUTED_VALUE"""),626665.0)</f>
        <v>626665</v>
      </c>
      <c r="M2541" s="227">
        <f>IFERROR(__xludf.DUMMYFUNCTION("""COMPUTED_VALUE"""),1.002663E7)</f>
        <v>10026630</v>
      </c>
      <c r="N2541" s="222" t="str">
        <f>IFERROR(__xludf.DUMMYFUNCTION("""COMPUTED_VALUE"""),"PT BENWA  MITRA PRATAMA")</f>
        <v>PT BENWA  MITRA PRATAMA</v>
      </c>
      <c r="O2541" s="222" t="str">
        <f>IFERROR(__xludf.DUMMYFUNCTION("""COMPUTED_VALUE"""),"7. GOLIVE")</f>
        <v>7. GOLIVE</v>
      </c>
      <c r="P2541" s="222" t="str">
        <f>IFERROR(__xludf.DUMMYFUNCTION("""COMPUTED_VALUE"""),"7.2 Golive Full / OA / DONE OTB")</f>
        <v>7.2 Golive Full / OA / DONE OTB</v>
      </c>
      <c r="Q2541" s="222" t="str">
        <f>IFERROR(__xludf.DUMMYFUNCTION("""COMPUTED_VALUE"""),"09/03 pembuatan ABD 06/03 Install ODP dan terminasi branching 05/03 penarikan KU 04/03 aanwidzing ok, perizinan ok, menunggu req material 10/02 Komitmen Aanwidzing 13/02/2026 08/02 Done Order, lnjut Aanwidzing")</f>
        <v>09/03 pembuatan ABD 06/03 Install ODP dan terminasi branching 05/03 penarikan KU 04/03 aanwidzing ok, perizinan ok, menunggu req material 10/02 Komitmen Aanwidzing 13/02/2026 08/02 Done Order, lnjut Aanwidzing</v>
      </c>
      <c r="R2541" s="228">
        <f>IFERROR(__xludf.DUMMYFUNCTION("""COMPUTED_VALUE"""),46094.0)</f>
        <v>46094</v>
      </c>
      <c r="S2541" s="11" t="str">
        <f>IFERROR(__xludf.DUMMYFUNCTION("""COMPUTED_VALUE"""),"MAR")</f>
        <v>MAR</v>
      </c>
      <c r="T2541" s="11"/>
      <c r="U2541" s="11"/>
      <c r="V2541" s="229"/>
      <c r="W2541" s="229"/>
      <c r="X2541" s="229" t="str">
        <f>IFERROR(__xludf.DUMMYFUNCTION("""COMPUTED_VALUE"""),"GOLIVE")</f>
        <v>GOLIVE</v>
      </c>
      <c r="Y2541" s="229" t="str">
        <f>IFERROR(__xludf.DUMMYFUNCTION("""COMPUTED_VALUE"""),"DONE")</f>
        <v>DONE</v>
      </c>
      <c r="Z2541" s="229" t="str">
        <f>IFERROR(__xludf.DUMMYFUNCTION("""COMPUTED_VALUE"""),"#N/A")</f>
        <v>#N/A</v>
      </c>
      <c r="AA2541" s="229">
        <f>IFERROR(__xludf.DUMMYFUNCTION("""COMPUTED_VALUE"""),2.0)</f>
        <v>2</v>
      </c>
      <c r="AB2541" s="229"/>
      <c r="AC2541" s="229" t="str">
        <f>IFERROR(__xludf.DUMMYFUNCTION("""COMPUTED_VALUE"""),"9195485#9195490")</f>
        <v>9195485#9195490</v>
      </c>
      <c r="AD2541" s="232">
        <f>IFERROR(__xludf.DUMMYFUNCTION("""COMPUTED_VALUE"""),16.0)</f>
        <v>16</v>
      </c>
      <c r="AE2541" s="233">
        <f>IFERROR(__xludf.DUMMYFUNCTION("""COMPUTED_VALUE"""),46091.0)</f>
        <v>46091</v>
      </c>
      <c r="AF2541" s="54"/>
      <c r="AG2541" s="54"/>
      <c r="AH2541" s="54">
        <v>46094.0</v>
      </c>
      <c r="AI2541" s="55">
        <f t="shared" si="236"/>
        <v>3</v>
      </c>
      <c r="AW2541" s="234"/>
      <c r="BP2541" s="11"/>
      <c r="BQ2541" s="11"/>
      <c r="BV2541" s="158"/>
      <c r="BY2541" s="158"/>
      <c r="CB2541" s="158"/>
    </row>
    <row r="2542" ht="18.0" hidden="1" customHeight="1">
      <c r="A2542" s="222">
        <f>IFERROR(__xludf.DUMMYFUNCTION("""COMPUTED_VALUE"""),2026.0)</f>
        <v>2026</v>
      </c>
      <c r="B2542" s="221">
        <f>IFERROR(__xludf.DUMMYFUNCTION("""COMPUTED_VALUE"""),1.1535978E7)</f>
        <v>11535978</v>
      </c>
      <c r="C2542" s="222" t="str">
        <f>IFERROR(__xludf.DUMMYFUNCTION("""COMPUTED_VALUE"""),"MDN PT3 TJR-FQ RORINATA RESIDENCE")</f>
        <v>MDN PT3 TJR-FQ RORINATA RESIDENCE</v>
      </c>
      <c r="D2542" s="222" t="str">
        <f>IFERROR(__xludf.DUMMYFUNCTION("""COMPUTED_VALUE"""),"REGIONAL I")</f>
        <v>REGIONAL I</v>
      </c>
      <c r="E2542" s="222" t="str">
        <f>IFERROR(__xludf.DUMMYFUNCTION("""COMPUTED_VALUE"""),"MEDAN")</f>
        <v>MEDAN</v>
      </c>
      <c r="F2542" s="222" t="str">
        <f>IFERROR(__xludf.DUMMYFUNCTION("""COMPUTED_VALUE"""),"TJR")</f>
        <v>TJR</v>
      </c>
      <c r="G2542" s="222" t="str">
        <f>IFERROR(__xludf.DUMMYFUNCTION("""COMPUTED_VALUE"""),"SUMBAGUT")</f>
        <v>SUMBAGUT</v>
      </c>
      <c r="H2542" s="222" t="str">
        <f>IFERROR(__xludf.DUMMYFUNCTION("""COMPUTED_VALUE"""),"MEDAN")</f>
        <v>MEDAN</v>
      </c>
      <c r="I2542" s="222" t="str">
        <f>IFERROR(__xludf.DUMMYFUNCTION("""COMPUTED_VALUE"""),"Batch 3")</f>
        <v>Batch 3</v>
      </c>
      <c r="J2542" s="225">
        <f>IFERROR(__xludf.DUMMYFUNCTION("""COMPUTED_VALUE"""),10.0)</f>
        <v>10</v>
      </c>
      <c r="K2542" s="224">
        <f>IFERROR(__xludf.DUMMYFUNCTION("""COMPUTED_VALUE"""),80.0)</f>
        <v>80</v>
      </c>
      <c r="L2542" s="226">
        <f>IFERROR(__xludf.DUMMYFUNCTION("""COMPUTED_VALUE"""),622238.0)</f>
        <v>622238</v>
      </c>
      <c r="M2542" s="227">
        <f>IFERROR(__xludf.DUMMYFUNCTION("""COMPUTED_VALUE"""),4.9778963E7)</f>
        <v>49778963</v>
      </c>
      <c r="N2542" s="222" t="str">
        <f>IFERROR(__xludf.DUMMYFUNCTION("""COMPUTED_VALUE"""),"PT MEDCOM SOLUTION")</f>
        <v>PT MEDCOM SOLUTION</v>
      </c>
      <c r="O2542" s="222" t="str">
        <f>IFERROR(__xludf.DUMMYFUNCTION("""COMPUTED_VALUE"""),"3. PERIZINAN")</f>
        <v>3. PERIZINAN</v>
      </c>
      <c r="P2542" s="222" t="str">
        <f>IFERROR(__xludf.DUMMYFUNCTION("""COMPUTED_VALUE"""),"3.10 Izin Developer / Private area")</f>
        <v>3.10 Izin Developer / Private area</v>
      </c>
      <c r="Q2542" s="222" t="str">
        <f>IFERROR(__xludf.DUMMYFUNCTION("""COMPUTED_VALUE"""),"21/04 perihal pembayaran comcase menunggu apprvl finace 
02/04 proses izin devloper
15/01 order mitra")</f>
        <v>21/04 perihal pembayaran comcase menunggu apprvl finace 
02/04 proses izin devloper
15/01 order mitra</v>
      </c>
      <c r="R2542" s="228"/>
      <c r="S2542" s="11"/>
      <c r="T2542" s="73"/>
      <c r="U2542" s="11"/>
      <c r="V2542" s="229" t="str">
        <f>IFERROR(__xludf.DUMMYFUNCTION("""COMPUTED_VALUE"""),"27/Apr/2026")</f>
        <v>27/Apr/2026</v>
      </c>
      <c r="W2542" s="229"/>
      <c r="X2542" s="229" t="str">
        <f>IFERROR(__xludf.DUMMYFUNCTION("""COMPUTED_VALUE"""),"BELUM GOLIVE")</f>
        <v>BELUM GOLIVE</v>
      </c>
      <c r="Y2542" s="229"/>
      <c r="Z2542" s="229" t="str">
        <f>IFERROR(__xludf.DUMMYFUNCTION("""COMPUTED_VALUE"""),"#N/A")</f>
        <v>#N/A</v>
      </c>
      <c r="AA2542" s="229"/>
      <c r="AB2542" s="229"/>
      <c r="AC2542" s="229"/>
      <c r="AD2542" s="232"/>
      <c r="AE2542" s="233"/>
      <c r="AF2542" s="54"/>
      <c r="AG2542" s="54"/>
      <c r="AH2542" s="54"/>
      <c r="AI2542" s="55" t="str">
        <f t="shared" si="236"/>
        <v/>
      </c>
      <c r="AW2542" s="234"/>
      <c r="BP2542" s="11"/>
      <c r="BQ2542" s="11"/>
      <c r="BV2542" s="158"/>
      <c r="BY2542" s="158"/>
      <c r="CB2542" s="158"/>
    </row>
    <row r="2543" ht="18.0" hidden="1" customHeight="1">
      <c r="A2543" s="222">
        <f>IFERROR(__xludf.DUMMYFUNCTION("""COMPUTED_VALUE"""),2026.0)</f>
        <v>2026</v>
      </c>
      <c r="B2543" s="221">
        <f>IFERROR(__xludf.DUMMYFUNCTION("""COMPUTED_VALUE"""),1.2547368E7)</f>
        <v>12547368</v>
      </c>
      <c r="C2543" s="222" t="str">
        <f>IFERROR(__xludf.DUMMYFUNCTION("""COMPUTED_VALUE"""),"MDN PT3 PER-FG 250_1577_1829")</f>
        <v>MDN PT3 PER-FG 250_1577_1829</v>
      </c>
      <c r="D2543" s="222" t="str">
        <f>IFERROR(__xludf.DUMMYFUNCTION("""COMPUTED_VALUE"""),"REGIONAL I")</f>
        <v>REGIONAL I</v>
      </c>
      <c r="E2543" s="222" t="str">
        <f>IFERROR(__xludf.DUMMYFUNCTION("""COMPUTED_VALUE"""),"MEDAN")</f>
        <v>MEDAN</v>
      </c>
      <c r="F2543" s="222" t="str">
        <f>IFERROR(__xludf.DUMMYFUNCTION("""COMPUTED_VALUE"""),"PER")</f>
        <v>PER</v>
      </c>
      <c r="G2543" s="222" t="str">
        <f>IFERROR(__xludf.DUMMYFUNCTION("""COMPUTED_VALUE"""),"SUMBAGUT")</f>
        <v>SUMBAGUT</v>
      </c>
      <c r="H2543" s="222" t="str">
        <f>IFERROR(__xludf.DUMMYFUNCTION("""COMPUTED_VALUE"""),"PEMATANG SIANTAR")</f>
        <v>PEMATANG SIANTAR</v>
      </c>
      <c r="I2543" s="222" t="str">
        <f>IFERROR(__xludf.DUMMYFUNCTION("""COMPUTED_VALUE"""),"Batch 3")</f>
        <v>Batch 3</v>
      </c>
      <c r="J2543" s="225">
        <f>IFERROR(__xludf.DUMMYFUNCTION("""COMPUTED_VALUE"""),2.0)</f>
        <v>2</v>
      </c>
      <c r="K2543" s="224">
        <f>IFERROR(__xludf.DUMMYFUNCTION("""COMPUTED_VALUE"""),16.0)</f>
        <v>16</v>
      </c>
      <c r="L2543" s="226">
        <f>IFERROR(__xludf.DUMMYFUNCTION("""COMPUTED_VALUE"""),616160.0)</f>
        <v>616160</v>
      </c>
      <c r="M2543" s="227">
        <f>IFERROR(__xludf.DUMMYFUNCTION("""COMPUTED_VALUE"""),9858550.0)</f>
        <v>9858550</v>
      </c>
      <c r="N2543" s="222" t="str">
        <f>IFERROR(__xludf.DUMMYFUNCTION("""COMPUTED_VALUE"""),"PT INNANDA INDAH")</f>
        <v>PT INNANDA INDAH</v>
      </c>
      <c r="O2543" s="222" t="str">
        <f>IFERROR(__xludf.DUMMYFUNCTION("""COMPUTED_VALUE"""),"0. DROP")</f>
        <v>0. DROP</v>
      </c>
      <c r="P2543" s="222" t="str">
        <f>IFERROR(__xludf.DUMMYFUNCTION("""COMPUTED_VALUE"""),"0.3 Feeder Full")</f>
        <v>0.3 Feeder Full</v>
      </c>
      <c r="Q2543" s="222" t="str">
        <f>IFERROR(__xludf.DUMMYFUNCTION("""COMPUTED_VALUE"""),"20/04 feeder full /penuh
15/02 PER-FG feeder redti/rusak")</f>
        <v>20/04 feeder full /penuh
15/02 PER-FG feeder redti/rusak</v>
      </c>
      <c r="R2543" s="228"/>
      <c r="S2543" s="11"/>
      <c r="T2543" s="11"/>
      <c r="U2543" s="11"/>
      <c r="V2543" s="229"/>
      <c r="W2543" s="229"/>
      <c r="X2543" s="229" t="str">
        <f>IFERROR(__xludf.DUMMYFUNCTION("""COMPUTED_VALUE"""),"BELUM GOLIVE")</f>
        <v>BELUM GOLIVE</v>
      </c>
      <c r="Y2543" s="229"/>
      <c r="Z2543" s="229" t="str">
        <f>IFERROR(__xludf.DUMMYFUNCTION("""COMPUTED_VALUE"""),"#N/A")</f>
        <v>#N/A</v>
      </c>
      <c r="AA2543" s="229"/>
      <c r="AB2543" s="229"/>
      <c r="AC2543" s="229"/>
      <c r="AD2543" s="232"/>
      <c r="AE2543" s="233"/>
      <c r="AF2543" s="54"/>
      <c r="AG2543" s="54"/>
      <c r="AH2543" s="54"/>
      <c r="AI2543" s="55" t="str">
        <f t="shared" si="236"/>
        <v/>
      </c>
      <c r="AW2543" s="234"/>
      <c r="BP2543" s="11"/>
      <c r="BQ2543" s="11"/>
      <c r="BV2543" s="158"/>
      <c r="BY2543" s="158"/>
      <c r="CB2543" s="158"/>
    </row>
    <row r="2544" ht="18.0" customHeight="1">
      <c r="A2544" s="222">
        <f>IFERROR(__xludf.DUMMYFUNCTION("""COMPUTED_VALUE"""),2026.0)</f>
        <v>2026</v>
      </c>
      <c r="B2544" s="221">
        <f>IFERROR(__xludf.DUMMYFUNCTION("""COMPUTED_VALUE"""),1.2828065E7)</f>
        <v>12828065</v>
      </c>
      <c r="C2544" s="222" t="str">
        <f>IFERROR(__xludf.DUMMYFUNCTION("""COMPUTED_VALUE"""),"SMB-PT3-ODC-PYK-FF-PYK-107920 - 158925")</f>
        <v>SMB-PT3-ODC-PYK-FF-PYK-107920 - 158925</v>
      </c>
      <c r="D2544" s="222" t="str">
        <f>IFERROR(__xludf.DUMMYFUNCTION("""COMPUTED_VALUE"""),"REGIONAL I")</f>
        <v>REGIONAL I</v>
      </c>
      <c r="E2544" s="222" t="str">
        <f>IFERROR(__xludf.DUMMYFUNCTION("""COMPUTED_VALUE"""),"SUMBAR")</f>
        <v>SUMBAR</v>
      </c>
      <c r="F2544" s="222" t="str">
        <f>IFERROR(__xludf.DUMMYFUNCTION("""COMPUTED_VALUE"""),"PYK")</f>
        <v>PYK</v>
      </c>
      <c r="G2544" s="222" t="str">
        <f>IFERROR(__xludf.DUMMYFUNCTION("""COMPUTED_VALUE"""),"SUMBAGTENG")</f>
        <v>SUMBAGTENG</v>
      </c>
      <c r="H2544" s="222" t="str">
        <f>IFERROR(__xludf.DUMMYFUNCTION("""COMPUTED_VALUE"""),"BUKIT TINGGI")</f>
        <v>BUKIT TINGGI</v>
      </c>
      <c r="I2544" s="222" t="str">
        <f>IFERROR(__xludf.DUMMYFUNCTION("""COMPUTED_VALUE"""),"Batch 3")</f>
        <v>Batch 3</v>
      </c>
      <c r="J2544" s="225">
        <f>IFERROR(__xludf.DUMMYFUNCTION("""COMPUTED_VALUE"""),4.0)</f>
        <v>4</v>
      </c>
      <c r="K2544" s="224">
        <f>IFERROR(__xludf.DUMMYFUNCTION("""COMPUTED_VALUE"""),32.0)</f>
        <v>32</v>
      </c>
      <c r="L2544" s="226">
        <f>IFERROR(__xludf.DUMMYFUNCTION("""COMPUTED_VALUE"""),609529.0)</f>
        <v>609529</v>
      </c>
      <c r="M2544" s="227">
        <f>IFERROR(__xludf.DUMMYFUNCTION("""COMPUTED_VALUE"""),1.9504908E7)</f>
        <v>19504908</v>
      </c>
      <c r="N2544" s="222" t="str">
        <f>IFERROR(__xludf.DUMMYFUNCTION("""COMPUTED_VALUE"""),"PT TSUIKA BERKAH RAYA")</f>
        <v>PT TSUIKA BERKAH RAYA</v>
      </c>
      <c r="O2544" s="222" t="str">
        <f>IFERROR(__xludf.DUMMYFUNCTION("""COMPUTED_VALUE"""),"8. UJI TERIMA")</f>
        <v>8. UJI TERIMA</v>
      </c>
      <c r="P2544" s="222" t="str">
        <f>IFERROR(__xludf.DUMMYFUNCTION("""COMPUTED_VALUE"""),"8.1 Proses UT")</f>
        <v>8.1 Proses UT</v>
      </c>
      <c r="Q2544" s="222" t="str">
        <f>IFERROR(__xludf.DUMMYFUNCTION("""COMPUTED_VALUE"""),"(10/03) ABD done ke SDI, Menunggu hasil UT 10/03 (05/03) proses create PID  3/3 Meeting ED1 - TAREGION - TA AREA ACC CPP Tinggi LANJUT (03/02) CPP aman, kenaikan 45%  (29/01) Done aanwijziing  , proses eval")</f>
        <v>(10/03) ABD done ke SDI, Menunggu hasil UT 10/03 (05/03) proses create PID  3/3 Meeting ED1 - TAREGION - TA AREA ACC CPP Tinggi LANJUT (03/02) CPP aman, kenaikan 45%  (29/01) Done aanwijziing  , proses eval</v>
      </c>
      <c r="R2544" s="228">
        <f>IFERROR(__xludf.DUMMYFUNCTION("""COMPUTED_VALUE"""),46092.0)</f>
        <v>46092</v>
      </c>
      <c r="S2544" s="11" t="str">
        <f>IFERROR(__xludf.DUMMYFUNCTION("""COMPUTED_VALUE"""),"MAR")</f>
        <v>MAR</v>
      </c>
      <c r="T2544" s="11"/>
      <c r="U2544" s="11" t="str">
        <f>IFERROR(__xludf.DUMMYFUNCTION("""COMPUTED_VALUE"""),"TIF-3518/2026 26KT03R107-0002")</f>
        <v>TIF-3518/2026 26KT03R107-0002</v>
      </c>
      <c r="V2544" s="229" t="str">
        <f>IFERROR(__xludf.DUMMYFUNCTION("""COMPUTED_VALUE"""),"M. ARIF HAMADI")</f>
        <v>M. ARIF HAMADI</v>
      </c>
      <c r="W2544" s="229" t="str">
        <f>IFERROR(__xludf.DUMMYFUNCTION("""COMPUTED_VALUE"""),"MELKO NARWADI")</f>
        <v>MELKO NARWADI</v>
      </c>
      <c r="X2544" s="229" t="str">
        <f>IFERROR(__xludf.DUMMYFUNCTION("""COMPUTED_VALUE"""),"GOLIVE")</f>
        <v>GOLIVE</v>
      </c>
      <c r="Y2544" s="229" t="str">
        <f>IFERROR(__xludf.DUMMYFUNCTION("""COMPUTED_VALUE"""),"DONE")</f>
        <v>DONE</v>
      </c>
      <c r="Z2544" s="229" t="str">
        <f>IFERROR(__xludf.DUMMYFUNCTION("""COMPUTED_VALUE"""),"#N/A")</f>
        <v>#N/A</v>
      </c>
      <c r="AA2544" s="229">
        <f>IFERROR(__xludf.DUMMYFUNCTION("""COMPUTED_VALUE"""),4.0)</f>
        <v>4</v>
      </c>
      <c r="AB2544" s="229"/>
      <c r="AC2544" s="229" t="str">
        <f>IFERROR(__xludf.DUMMYFUNCTION("""COMPUTED_VALUE"""),"9194042#9194047")</f>
        <v>9194042#9194047</v>
      </c>
      <c r="AD2544" s="232">
        <f>IFERROR(__xludf.DUMMYFUNCTION("""COMPUTED_VALUE"""),32.0)</f>
        <v>32</v>
      </c>
      <c r="AE2544" s="233">
        <f>IFERROR(__xludf.DUMMYFUNCTION("""COMPUTED_VALUE"""),46092.0)</f>
        <v>46092</v>
      </c>
      <c r="AF2544" s="54"/>
      <c r="AG2544" s="54"/>
      <c r="AH2544" s="54">
        <v>46092.0</v>
      </c>
      <c r="AI2544" s="55">
        <f t="shared" si="236"/>
        <v>0</v>
      </c>
      <c r="AW2544" s="234"/>
      <c r="BP2544" s="11"/>
      <c r="BQ2544" s="11"/>
      <c r="BV2544" s="158"/>
      <c r="BY2544" s="158"/>
      <c r="CB2544" s="158"/>
    </row>
    <row r="2545" ht="18.0" hidden="1" customHeight="1">
      <c r="A2545" s="222">
        <f>IFERROR(__xludf.DUMMYFUNCTION("""COMPUTED_VALUE"""),2026.0)</f>
        <v>2026</v>
      </c>
      <c r="B2545" s="221">
        <f>IFERROR(__xludf.DUMMYFUNCTION("""COMPUTED_VALUE"""),1.259694E7)</f>
        <v>12596940</v>
      </c>
      <c r="C2545" s="222" t="str">
        <f>IFERROR(__xludf.DUMMYFUNCTION("""COMPUTED_VALUE"""),"LPG PT3 JPP BANDAR LAMPUNG_92418 TJK")</f>
        <v>LPG PT3 JPP BANDAR LAMPUNG_92418 TJK</v>
      </c>
      <c r="D2545" s="222" t="str">
        <f>IFERROR(__xludf.DUMMYFUNCTION("""COMPUTED_VALUE"""),"REGIONAL I")</f>
        <v>REGIONAL I</v>
      </c>
      <c r="E2545" s="222" t="str">
        <f>IFERROR(__xludf.DUMMYFUNCTION("""COMPUTED_VALUE"""),"LAMPUNG")</f>
        <v>LAMPUNG</v>
      </c>
      <c r="F2545" s="222" t="str">
        <f>IFERROR(__xludf.DUMMYFUNCTION("""COMPUTED_VALUE"""),"BDA")</f>
        <v>BDA</v>
      </c>
      <c r="G2545" s="222" t="str">
        <f>IFERROR(__xludf.DUMMYFUNCTION("""COMPUTED_VALUE"""),"SUMBAGSEL")</f>
        <v>SUMBAGSEL</v>
      </c>
      <c r="H2545" s="222" t="str">
        <f>IFERROR(__xludf.DUMMYFUNCTION("""COMPUTED_VALUE"""),"LAMPUNG")</f>
        <v>LAMPUNG</v>
      </c>
      <c r="I2545" s="222" t="str">
        <f>IFERROR(__xludf.DUMMYFUNCTION("""COMPUTED_VALUE"""),"Batch 3")</f>
        <v>Batch 3</v>
      </c>
      <c r="J2545" s="225">
        <f>IFERROR(__xludf.DUMMYFUNCTION("""COMPUTED_VALUE"""),7.0)</f>
        <v>7</v>
      </c>
      <c r="K2545" s="224">
        <f>IFERROR(__xludf.DUMMYFUNCTION("""COMPUTED_VALUE"""),56.0)</f>
        <v>56</v>
      </c>
      <c r="L2545" s="226">
        <f>IFERROR(__xludf.DUMMYFUNCTION("""COMPUTED_VALUE"""),608544.0)</f>
        <v>608544</v>
      </c>
      <c r="M2545" s="227">
        <f>IFERROR(__xludf.DUMMYFUNCTION("""COMPUTED_VALUE"""),3.4078464E7)</f>
        <v>34078464</v>
      </c>
      <c r="N2545" s="222" t="str">
        <f>IFERROR(__xludf.DUMMYFUNCTION("""COMPUTED_VALUE"""),"PT SARANA MITRA PERSADA")</f>
        <v>PT SARANA MITRA PERSADA</v>
      </c>
      <c r="O2545" s="222" t="str">
        <f>IFERROR(__xludf.DUMMYFUNCTION("""COMPUTED_VALUE"""),"0. DROP")</f>
        <v>0. DROP</v>
      </c>
      <c r="P2545" s="222" t="str">
        <f>IFERROR(__xludf.DUMMYFUNCTION("""COMPUTED_VALUE"""),"0.2 Tidak Dapat Izin Warga/Kades/Lurah/Developer")</f>
        <v>0.2 Tidak Dapat Izin Warga/Kades/Lurah/Developer</v>
      </c>
      <c r="Q2545" s="222" t="str">
        <f>IFERROR(__xludf.DUMMYFUNCTION("""COMPUTED_VALUE"""),"6/2 tidak dapat izin darin lurah dan warga
4/2 menunggu konfirmasi balik dari lurah terkiat perizinan")</f>
        <v>6/2 tidak dapat izin darin lurah dan warga
4/2 menunggu konfirmasi balik dari lurah terkiat perizinan</v>
      </c>
      <c r="R2545" s="228"/>
      <c r="S2545" s="11"/>
      <c r="T2545" s="11"/>
      <c r="U2545" s="11"/>
      <c r="V2545" s="229"/>
      <c r="W2545" s="229"/>
      <c r="X2545" s="229"/>
      <c r="Y2545" s="229"/>
      <c r="Z2545" s="229" t="str">
        <f>IFERROR(__xludf.DUMMYFUNCTION("""COMPUTED_VALUE"""),"#N/A")</f>
        <v>#N/A</v>
      </c>
      <c r="AA2545" s="229"/>
      <c r="AB2545" s="229"/>
      <c r="AC2545" s="229"/>
      <c r="AD2545" s="232"/>
      <c r="AE2545" s="233"/>
      <c r="AF2545" s="54" t="str">
        <f>IFERROR(__xludf.DUMMYFUNCTION("""COMPUTED_VALUE"""),"Draft BA DROP")</f>
        <v>Draft BA DROP</v>
      </c>
      <c r="AG2545" s="54"/>
      <c r="AH2545" s="54"/>
      <c r="AI2545" s="55" t="str">
        <f t="shared" si="236"/>
        <v/>
      </c>
      <c r="AW2545" s="234"/>
      <c r="BP2545" s="11"/>
      <c r="BQ2545" s="11"/>
      <c r="BV2545" s="158"/>
      <c r="BY2545" s="158"/>
      <c r="CB2545" s="158"/>
    </row>
    <row r="2546" ht="18.0" hidden="1" customHeight="1">
      <c r="A2546" s="222">
        <f>IFERROR(__xludf.DUMMYFUNCTION("""COMPUTED_VALUE"""),2026.0)</f>
        <v>2026</v>
      </c>
      <c r="B2546" s="221">
        <f>IFERROR(__xludf.DUMMYFUNCTION("""COMPUTED_VALUE"""),1.1499042E7)</f>
        <v>11499042</v>
      </c>
      <c r="C2546" s="222" t="str">
        <f>IFERROR(__xludf.DUMMYFUNCTION("""COMPUTED_VALUE"""),"ACH PT3 LGS-FRK D04 BR DAMAI SIDOREJO")</f>
        <v>ACH PT3 LGS-FRK D04 BR DAMAI SIDOREJO</v>
      </c>
      <c r="D2546" s="222" t="str">
        <f>IFERROR(__xludf.DUMMYFUNCTION("""COMPUTED_VALUE"""),"REGIONAL I")</f>
        <v>REGIONAL I</v>
      </c>
      <c r="E2546" s="222" t="str">
        <f>IFERROR(__xludf.DUMMYFUNCTION("""COMPUTED_VALUE"""),"ACEH")</f>
        <v>ACEH</v>
      </c>
      <c r="F2546" s="222" t="str">
        <f>IFERROR(__xludf.DUMMYFUNCTION("""COMPUTED_VALUE"""),"LGS")</f>
        <v>LGS</v>
      </c>
      <c r="G2546" s="222" t="str">
        <f>IFERROR(__xludf.DUMMYFUNCTION("""COMPUTED_VALUE"""),"SUMBAGUT")</f>
        <v>SUMBAGUT</v>
      </c>
      <c r="H2546" s="222" t="str">
        <f>IFERROR(__xludf.DUMMYFUNCTION("""COMPUTED_VALUE"""),"BINJAI")</f>
        <v>BINJAI</v>
      </c>
      <c r="I2546" s="222" t="str">
        <f>IFERROR(__xludf.DUMMYFUNCTION("""COMPUTED_VALUE"""),"Batch 3")</f>
        <v>Batch 3</v>
      </c>
      <c r="J2546" s="225">
        <f>IFERROR(__xludf.DUMMYFUNCTION("""COMPUTED_VALUE"""),8.0)</f>
        <v>8</v>
      </c>
      <c r="K2546" s="224">
        <f>IFERROR(__xludf.DUMMYFUNCTION("""COMPUTED_VALUE"""),64.0)</f>
        <v>64</v>
      </c>
      <c r="L2546" s="226">
        <f>IFERROR(__xludf.DUMMYFUNCTION("""COMPUTED_VALUE"""),603965.0)</f>
        <v>603965</v>
      </c>
      <c r="M2546" s="227">
        <f>IFERROR(__xludf.DUMMYFUNCTION("""COMPUTED_VALUE"""),3.8653757E7)</f>
        <v>38653757</v>
      </c>
      <c r="N2546" s="222" t="str">
        <f>IFERROR(__xludf.DUMMYFUNCTION("""COMPUTED_VALUE"""),"PT NURISA JAYA PERKASA")</f>
        <v>PT NURISA JAYA PERKASA</v>
      </c>
      <c r="O2546" s="222" t="str">
        <f>IFERROR(__xludf.DUMMYFUNCTION("""COMPUTED_VALUE"""),"7. GOLIVE")</f>
        <v>7. GOLIVE</v>
      </c>
      <c r="P2546" s="222" t="str">
        <f>IFERROR(__xludf.DUMMYFUNCTION("""COMPUTED_VALUE"""),"7.2 Golive Full / OA / DONE OTB")</f>
        <v>7.2 Golive Full / OA / DONE OTB</v>
      </c>
      <c r="Q2546" s="222" t="str">
        <f>IFERROR(__xludf.DUMMYFUNCTION("""COMPUTED_VALUE"""),"(11/02) ABD Mancore (09/02) Proses Valins (22/01) Selesai Fisik, Waiting Big OLT STO LGS")</f>
        <v>(11/02) ABD Mancore (09/02) Proses Valins (22/01) Selesai Fisik, Waiting Big OLT STO LGS</v>
      </c>
      <c r="R2546" s="228">
        <f>IFERROR(__xludf.DUMMYFUNCTION("""COMPUTED_VALUE"""),46069.0)</f>
        <v>46069</v>
      </c>
      <c r="S2546" s="11"/>
      <c r="T2546" s="11"/>
      <c r="U2546" s="11"/>
      <c r="V2546" s="229"/>
      <c r="W2546" s="229"/>
      <c r="X2546" s="229" t="str">
        <f>IFERROR(__xludf.DUMMYFUNCTION("""COMPUTED_VALUE"""),"GOLIVE")</f>
        <v>GOLIVE</v>
      </c>
      <c r="Y2546" s="229" t="str">
        <f>IFERROR(__xludf.DUMMYFUNCTION("""COMPUTED_VALUE"""),"DONE")</f>
        <v>DONE</v>
      </c>
      <c r="Z2546" s="229" t="str">
        <f>IFERROR(__xludf.DUMMYFUNCTION("""COMPUTED_VALUE"""),"#N/A")</f>
        <v>#N/A</v>
      </c>
      <c r="AA2546" s="229">
        <f>IFERROR(__xludf.DUMMYFUNCTION("""COMPUTED_VALUE"""),8.0)</f>
        <v>8</v>
      </c>
      <c r="AB2546" s="229"/>
      <c r="AC2546" s="229" t="str">
        <f>IFERROR(__xludf.DUMMYFUNCTION("""COMPUTED_VALUE"""),"9108705#9108710")</f>
        <v>9108705#9108710</v>
      </c>
      <c r="AD2546" s="232">
        <f>IFERROR(__xludf.DUMMYFUNCTION("""COMPUTED_VALUE"""),64.0)</f>
        <v>64</v>
      </c>
      <c r="AE2546" s="233">
        <f>IFERROR(__xludf.DUMMYFUNCTION("""COMPUTED_VALUE"""),46069.0)</f>
        <v>46069</v>
      </c>
      <c r="AF2546" s="54"/>
      <c r="AG2546" s="54"/>
      <c r="AH2546" s="54">
        <v>46069.0</v>
      </c>
      <c r="AI2546" s="55">
        <f t="shared" si="236"/>
        <v>0</v>
      </c>
      <c r="AW2546" s="234"/>
      <c r="BP2546" s="11"/>
      <c r="BQ2546" s="11"/>
      <c r="BV2546" s="158"/>
      <c r="BY2546" s="158"/>
      <c r="CB2546" s="158"/>
    </row>
    <row r="2547" ht="18.0" customHeight="1">
      <c r="A2547" s="222">
        <f>IFERROR(__xludf.DUMMYFUNCTION("""COMPUTED_VALUE"""),2026.0)</f>
        <v>2026</v>
      </c>
      <c r="B2547" s="221">
        <f>IFERROR(__xludf.DUMMYFUNCTION("""COMPUTED_VALUE"""),1.2727697E7)</f>
        <v>12727697</v>
      </c>
      <c r="C2547" s="222" t="str">
        <f>IFERROR(__xludf.DUMMYFUNCTION("""COMPUTED_VALUE"""),"SMB-PT3-ODC-LBB-FF-AGAM_37466-100121")</f>
        <v>SMB-PT3-ODC-LBB-FF-AGAM_37466-100121</v>
      </c>
      <c r="D2547" s="222" t="str">
        <f>IFERROR(__xludf.DUMMYFUNCTION("""COMPUTED_VALUE"""),"REGIONAL I")</f>
        <v>REGIONAL I</v>
      </c>
      <c r="E2547" s="222" t="str">
        <f>IFERROR(__xludf.DUMMYFUNCTION("""COMPUTED_VALUE"""),"SUMBAR")</f>
        <v>SUMBAR</v>
      </c>
      <c r="F2547" s="222" t="str">
        <f>IFERROR(__xludf.DUMMYFUNCTION("""COMPUTED_VALUE"""),"LBB")</f>
        <v>LBB</v>
      </c>
      <c r="G2547" s="222" t="str">
        <f>IFERROR(__xludf.DUMMYFUNCTION("""COMPUTED_VALUE"""),"SUMBAGTENG")</f>
        <v>SUMBAGTENG</v>
      </c>
      <c r="H2547" s="222" t="str">
        <f>IFERROR(__xludf.DUMMYFUNCTION("""COMPUTED_VALUE"""),"BUKIT TINGGI")</f>
        <v>BUKIT TINGGI</v>
      </c>
      <c r="I2547" s="222" t="str">
        <f>IFERROR(__xludf.DUMMYFUNCTION("""COMPUTED_VALUE"""),"Batch 3")</f>
        <v>Batch 3</v>
      </c>
      <c r="J2547" s="225">
        <f>IFERROR(__xludf.DUMMYFUNCTION("""COMPUTED_VALUE"""),4.0)</f>
        <v>4</v>
      </c>
      <c r="K2547" s="224">
        <f>IFERROR(__xludf.DUMMYFUNCTION("""COMPUTED_VALUE"""),32.0)</f>
        <v>32</v>
      </c>
      <c r="L2547" s="226">
        <f>IFERROR(__xludf.DUMMYFUNCTION("""COMPUTED_VALUE"""),601909.0)</f>
        <v>601909</v>
      </c>
      <c r="M2547" s="227">
        <f>IFERROR(__xludf.DUMMYFUNCTION("""COMPUTED_VALUE"""),1.9261076E7)</f>
        <v>19261076</v>
      </c>
      <c r="N2547" s="222" t="str">
        <f>IFERROR(__xludf.DUMMYFUNCTION("""COMPUTED_VALUE"""),"PT TIGA AKSES MANDIRI")</f>
        <v>PT TIGA AKSES MANDIRI</v>
      </c>
      <c r="O2547" s="222" t="str">
        <f>IFERROR(__xludf.DUMMYFUNCTION("""COMPUTED_VALUE"""),"0. DROP")</f>
        <v>0. DROP</v>
      </c>
      <c r="P2547" s="222" t="str">
        <f>IFERROR(__xludf.DUMMYFUNCTION("""COMPUTED_VALUE"""),"0.5 DROP TSEL - Acc ED TIF")</f>
        <v>0.5 DROP TSEL - Acc ED TIF</v>
      </c>
      <c r="Q2547"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2547" s="228"/>
      <c r="S2547" s="11"/>
      <c r="T2547" s="11"/>
      <c r="U2547" s="11"/>
      <c r="V2547" s="229" t="str">
        <f>IFERROR(__xludf.DUMMYFUNCTION("""COMPUTED_VALUE"""),"JANUAR RIZAL")</f>
        <v>JANUAR RIZAL</v>
      </c>
      <c r="W2547" s="229" t="str">
        <f>IFERROR(__xludf.DUMMYFUNCTION("""COMPUTED_VALUE"""),"MELKO NARWADI")</f>
        <v>MELKO NARWADI</v>
      </c>
      <c r="X2547" s="229"/>
      <c r="Y2547" s="229"/>
      <c r="Z2547" s="229" t="str">
        <f>IFERROR(__xludf.DUMMYFUNCTION("""COMPUTED_VALUE"""),"#N/A")</f>
        <v>#N/A</v>
      </c>
      <c r="AA2547" s="229"/>
      <c r="AB2547" s="229"/>
      <c r="AC2547" s="229"/>
      <c r="AD2547" s="232"/>
      <c r="AE2547" s="233"/>
      <c r="AF2547" s="54"/>
      <c r="AG2547" s="54"/>
      <c r="AH2547" s="54"/>
      <c r="AI2547" s="55" t="str">
        <f t="shared" si="236"/>
        <v/>
      </c>
      <c r="AW2547" s="234"/>
      <c r="BP2547" s="11"/>
      <c r="BQ2547" s="11"/>
      <c r="BV2547" s="158"/>
      <c r="BY2547" s="158"/>
      <c r="CB2547" s="158"/>
    </row>
    <row r="2548" ht="18.0" customHeight="1">
      <c r="A2548" s="222">
        <f>IFERROR(__xludf.DUMMYFUNCTION("""COMPUTED_VALUE"""),2026.0)</f>
        <v>2026</v>
      </c>
      <c r="B2548" s="221">
        <f>IFERROR(__xludf.DUMMYFUNCTION("""COMPUTED_VALUE"""),1.2553832E7)</f>
        <v>12553832</v>
      </c>
      <c r="C2548" s="222" t="str">
        <f>IFERROR(__xludf.DUMMYFUNCTION("""COMPUTED_VALUE"""),"RKP TSEL PT3 SLU-FBB 250_456_4007")</f>
        <v>RKP TSEL PT3 SLU-FBB 250_456_4007</v>
      </c>
      <c r="D2548" s="222" t="str">
        <f>IFERROR(__xludf.DUMMYFUNCTION("""COMPUTED_VALUE"""),"REGIONAL I")</f>
        <v>REGIONAL I</v>
      </c>
      <c r="E2548" s="222" t="str">
        <f>IFERROR(__xludf.DUMMYFUNCTION("""COMPUTED_VALUE"""),"RIKEP")</f>
        <v>RIKEP</v>
      </c>
      <c r="F2548" s="222" t="str">
        <f>IFERROR(__xludf.DUMMYFUNCTION("""COMPUTED_VALUE"""),"SLU")</f>
        <v>SLU</v>
      </c>
      <c r="G2548" s="222" t="str">
        <f>IFERROR(__xludf.DUMMYFUNCTION("""COMPUTED_VALUE"""),"SUMBAGTENG")</f>
        <v>SUMBAGTENG</v>
      </c>
      <c r="H2548" s="222" t="str">
        <f>IFERROR(__xludf.DUMMYFUNCTION("""COMPUTED_VALUE"""),"BATAM")</f>
        <v>BATAM</v>
      </c>
      <c r="I2548" s="222" t="str">
        <f>IFERROR(__xludf.DUMMYFUNCTION("""COMPUTED_VALUE"""),"Batch 3")</f>
        <v>Batch 3</v>
      </c>
      <c r="J2548" s="225">
        <f>IFERROR(__xludf.DUMMYFUNCTION("""COMPUTED_VALUE"""),2.0)</f>
        <v>2</v>
      </c>
      <c r="K2548" s="224">
        <f>IFERROR(__xludf.DUMMYFUNCTION("""COMPUTED_VALUE"""),16.0)</f>
        <v>16</v>
      </c>
      <c r="L2548" s="226">
        <f>IFERROR(__xludf.DUMMYFUNCTION("""COMPUTED_VALUE"""),595627.0)</f>
        <v>595627</v>
      </c>
      <c r="M2548" s="227">
        <f>IFERROR(__xludf.DUMMYFUNCTION("""COMPUTED_VALUE"""),9530021.0)</f>
        <v>9530021</v>
      </c>
      <c r="N2548" s="222" t="str">
        <f>IFERROR(__xludf.DUMMYFUNCTION("""COMPUTED_VALUE"""),"PT MITRA HOSINDO SEJAHTERA")</f>
        <v>PT MITRA HOSINDO SEJAHTERA</v>
      </c>
      <c r="O2548" s="222" t="str">
        <f>IFERROR(__xludf.DUMMYFUNCTION("""COMPUTED_VALUE"""),"2. DONE AANWIJZING")</f>
        <v>2. DONE AANWIJZING</v>
      </c>
      <c r="P2548" s="222" t="str">
        <f>IFERROR(__xludf.DUMMYFUNCTION("""COMPUTED_VALUE"""),"2.10 Kendala - Feeder Rusak")</f>
        <v>2.10 Kendala - Feeder Rusak</v>
      </c>
      <c r="Q2548" s="222" t="str">
        <f>IFERROR(__xludf.DUMMYFUNCTION("""COMPUTED_VALUE"""),"04/03 Feeder rusak butuh eviden OTDR ulang. 29/01 Plan survey 30 Jan. 23/01 Plan anwijzing 26 Jan, Order Baru. 22/01 Order baru, proses penunjukan mitra")</f>
        <v>04/03 Feeder rusak butuh eviden OTDR ulang. 29/01 Plan survey 30 Jan. 23/01 Plan anwijzing 26 Jan, Order Baru. 22/01 Order baru, proses penunjukan mitra</v>
      </c>
      <c r="R2548" s="228"/>
      <c r="S2548" s="11"/>
      <c r="T2548" s="11"/>
      <c r="U2548" s="11"/>
      <c r="V2548" s="229" t="str">
        <f>IFERROR(__xludf.DUMMYFUNCTION("""COMPUTED_VALUE"""),"MUHAMMAD RIDHO FALFO")</f>
        <v>MUHAMMAD RIDHO FALFO</v>
      </c>
      <c r="W2548" s="229"/>
      <c r="X2548" s="229"/>
      <c r="Y2548" s="229"/>
      <c r="Z2548" s="229" t="str">
        <f>IFERROR(__xludf.DUMMYFUNCTION("""COMPUTED_VALUE"""),"#N/A")</f>
        <v>#N/A</v>
      </c>
      <c r="AA2548" s="229"/>
      <c r="AB2548" s="229"/>
      <c r="AC2548" s="229"/>
      <c r="AD2548" s="232"/>
      <c r="AE2548" s="233"/>
      <c r="AF2548" s="54"/>
      <c r="AG2548" s="54"/>
      <c r="AH2548" s="54"/>
      <c r="AI2548" s="55" t="str">
        <f t="shared" si="236"/>
        <v/>
      </c>
      <c r="AW2548" s="234"/>
      <c r="BP2548" s="11"/>
      <c r="BQ2548" s="11"/>
      <c r="BV2548" s="158"/>
      <c r="BY2548" s="158"/>
      <c r="CB2548" s="158"/>
    </row>
    <row r="2549" ht="18.0" customHeight="1">
      <c r="A2549" s="222">
        <f>IFERROR(__xludf.DUMMYFUNCTION("""COMPUTED_VALUE"""),2026.0)</f>
        <v>2026</v>
      </c>
      <c r="B2549" s="221">
        <f>IFERROR(__xludf.DUMMYFUNCTION("""COMPUTED_VALUE"""),1.25878E7)</f>
        <v>12587800</v>
      </c>
      <c r="C2549" s="222" t="str">
        <f>IFERROR(__xludf.DUMMYFUNCTION("""COMPUTED_VALUE"""),"SMB PT3-LBY-FH KOTA PADANG_17053")</f>
        <v>SMB PT3-LBY-FH KOTA PADANG_17053</v>
      </c>
      <c r="D2549" s="222" t="str">
        <f>IFERROR(__xludf.DUMMYFUNCTION("""COMPUTED_VALUE"""),"REGIONAL I")</f>
        <v>REGIONAL I</v>
      </c>
      <c r="E2549" s="222" t="str">
        <f>IFERROR(__xludf.DUMMYFUNCTION("""COMPUTED_VALUE"""),"SUMBAR")</f>
        <v>SUMBAR</v>
      </c>
      <c r="F2549" s="222" t="str">
        <f>IFERROR(__xludf.DUMMYFUNCTION("""COMPUTED_VALUE"""),"LBY")</f>
        <v>LBY</v>
      </c>
      <c r="G2549" s="222" t="str">
        <f>IFERROR(__xludf.DUMMYFUNCTION("""COMPUTED_VALUE"""),"SUMBAGTENG")</f>
        <v>SUMBAGTENG</v>
      </c>
      <c r="H2549" s="222" t="str">
        <f>IFERROR(__xludf.DUMMYFUNCTION("""COMPUTED_VALUE"""),"PADANG")</f>
        <v>PADANG</v>
      </c>
      <c r="I2549" s="222" t="str">
        <f>IFERROR(__xludf.DUMMYFUNCTION("""COMPUTED_VALUE"""),"Batch 3")</f>
        <v>Batch 3</v>
      </c>
      <c r="J2549" s="225">
        <f>IFERROR(__xludf.DUMMYFUNCTION("""COMPUTED_VALUE"""),2.0)</f>
        <v>2</v>
      </c>
      <c r="K2549" s="224">
        <f>IFERROR(__xludf.DUMMYFUNCTION("""COMPUTED_VALUE"""),16.0)</f>
        <v>16</v>
      </c>
      <c r="L2549" s="226">
        <f>IFERROR(__xludf.DUMMYFUNCTION("""COMPUTED_VALUE"""),593541.0)</f>
        <v>593541</v>
      </c>
      <c r="M2549" s="227">
        <f>IFERROR(__xludf.DUMMYFUNCTION("""COMPUTED_VALUE"""),9496656.0)</f>
        <v>9496656</v>
      </c>
      <c r="N2549" s="222" t="str">
        <f>IFERROR(__xludf.DUMMYFUNCTION("""COMPUTED_VALUE"""),"PT TRI PENAMAS")</f>
        <v>PT TRI PENAMAS</v>
      </c>
      <c r="O2549" s="222" t="str">
        <f>IFERROR(__xludf.DUMMYFUNCTION("""COMPUTED_VALUE"""),"0. DROP")</f>
        <v>0. DROP</v>
      </c>
      <c r="P2549" s="222" t="str">
        <f>IFERROR(__xludf.DUMMYFUNCTION("""COMPUTED_VALUE"""),"0.3 Feeder Full")</f>
        <v>0.3 Feeder Full</v>
      </c>
      <c r="Q2549" s="222" t="str">
        <f>IFERROR(__xludf.DUMMYFUNCTION("""COMPUTED_VALUE"""),"(30/01) Kendala feeder LBY-FH FULL")</f>
        <v>(30/01) Kendala feeder LBY-FH FULL</v>
      </c>
      <c r="R2549" s="228"/>
      <c r="S2549" s="11"/>
      <c r="T2549" s="11"/>
      <c r="U2549" s="11"/>
      <c r="V2549" s="229" t="str">
        <f>IFERROR(__xludf.DUMMYFUNCTION("""COMPUTED_VALUE"""),"FABIO RAHMAN")</f>
        <v>FABIO RAHMAN</v>
      </c>
      <c r="W2549" s="229" t="str">
        <f>IFERROR(__xludf.DUMMYFUNCTION("""COMPUTED_VALUE"""),"MELKO NARWADI")</f>
        <v>MELKO NARWADI</v>
      </c>
      <c r="X2549" s="229"/>
      <c r="Y2549" s="229"/>
      <c r="Z2549" s="229" t="str">
        <f>IFERROR(__xludf.DUMMYFUNCTION("""COMPUTED_VALUE"""),"#N/A")</f>
        <v>#N/A</v>
      </c>
      <c r="AA2549" s="229"/>
      <c r="AB2549" s="229"/>
      <c r="AC2549" s="229"/>
      <c r="AD2549" s="232"/>
      <c r="AE2549" s="233"/>
      <c r="AF2549" s="54" t="str">
        <f>IFERROR(__xludf.DUMMYFUNCTION("""COMPUTED_VALUE"""),"Draft BA DROP")</f>
        <v>Draft BA DROP</v>
      </c>
      <c r="AG2549" s="54"/>
      <c r="AH2549" s="54"/>
      <c r="AI2549" s="55" t="str">
        <f t="shared" si="236"/>
        <v/>
      </c>
      <c r="AW2549" s="234"/>
      <c r="BP2549" s="11"/>
      <c r="BQ2549" s="11"/>
      <c r="BV2549" s="158"/>
      <c r="BY2549" s="158"/>
      <c r="CB2549" s="158"/>
    </row>
    <row r="2550" ht="18.0" hidden="1" customHeight="1">
      <c r="A2550" s="222">
        <f>IFERROR(__xludf.DUMMYFUNCTION("""COMPUTED_VALUE"""),2026.0)</f>
        <v>2026</v>
      </c>
      <c r="B2550" s="221">
        <f>IFERROR(__xludf.DUMMYFUNCTION("""COMPUTED_VALUE"""),1.2792332E7)</f>
        <v>12792332</v>
      </c>
      <c r="C2550" s="222" t="str">
        <f>IFERROR(__xludf.DUMMYFUNCTION("""COMPUTED_VALUE"""),"MDN PT3 TMU-FE 250_1605_1695")</f>
        <v>MDN PT3 TMU-FE 250_1605_1695</v>
      </c>
      <c r="D2550" s="222" t="str">
        <f>IFERROR(__xludf.DUMMYFUNCTION("""COMPUTED_VALUE"""),"REGIONAL I")</f>
        <v>REGIONAL I</v>
      </c>
      <c r="E2550" s="222" t="str">
        <f>IFERROR(__xludf.DUMMYFUNCTION("""COMPUTED_VALUE"""),"MEDAN")</f>
        <v>MEDAN</v>
      </c>
      <c r="F2550" s="222" t="str">
        <f>IFERROR(__xludf.DUMMYFUNCTION("""COMPUTED_VALUE"""),"TMU")</f>
        <v>TMU</v>
      </c>
      <c r="G2550" s="222" t="str">
        <f>IFERROR(__xludf.DUMMYFUNCTION("""COMPUTED_VALUE"""),"SUMBAGUT")</f>
        <v>SUMBAGUT</v>
      </c>
      <c r="H2550" s="222" t="str">
        <f>IFERROR(__xludf.DUMMYFUNCTION("""COMPUTED_VALUE"""),"MEDAN")</f>
        <v>MEDAN</v>
      </c>
      <c r="I2550" s="222" t="str">
        <f>IFERROR(__xludf.DUMMYFUNCTION("""COMPUTED_VALUE"""),"Batch 3")</f>
        <v>Batch 3</v>
      </c>
      <c r="J2550" s="225">
        <f>IFERROR(__xludf.DUMMYFUNCTION("""COMPUTED_VALUE"""),3.0)</f>
        <v>3</v>
      </c>
      <c r="K2550" s="224">
        <f>IFERROR(__xludf.DUMMYFUNCTION("""COMPUTED_VALUE"""),24.0)</f>
        <v>24</v>
      </c>
      <c r="L2550" s="226">
        <f>IFERROR(__xludf.DUMMYFUNCTION("""COMPUTED_VALUE"""),591907.0)</f>
        <v>591907</v>
      </c>
      <c r="M2550" s="227">
        <f>IFERROR(__xludf.DUMMYFUNCTION("""COMPUTED_VALUE"""),1.4205749E7)</f>
        <v>14205749</v>
      </c>
      <c r="N2550" s="222" t="str">
        <f>IFERROR(__xludf.DUMMYFUNCTION("""COMPUTED_VALUE"""),"SWAKELOLA")</f>
        <v>SWAKELOLA</v>
      </c>
      <c r="O2550" s="222" t="str">
        <f>IFERROR(__xludf.DUMMYFUNCTION("""COMPUTED_VALUE"""),"0. DROP")</f>
        <v>0. DROP</v>
      </c>
      <c r="P2550" s="222" t="str">
        <f>IFERROR(__xludf.DUMMYFUNCTION("""COMPUTED_VALUE"""),"0.3 Feeder Full")</f>
        <v>0.3 Feeder Full</v>
      </c>
      <c r="Q2550" s="222" t="str">
        <f>IFERROR(__xludf.DUMMYFUNCTION("""COMPUTED_VALUE"""),"08/03 Feeder Penuh ")</f>
        <v>08/03 Feeder Penuh </v>
      </c>
      <c r="R2550" s="228"/>
      <c r="S2550" s="11"/>
      <c r="T2550" s="11"/>
      <c r="U2550" s="11"/>
      <c r="V2550" s="229"/>
      <c r="W2550" s="229"/>
      <c r="X2550" s="229" t="str">
        <f>IFERROR(__xludf.DUMMYFUNCTION("""COMPUTED_VALUE"""),"BELUM GOLIVE")</f>
        <v>BELUM GOLIVE</v>
      </c>
      <c r="Y2550" s="229"/>
      <c r="Z2550" s="229" t="str">
        <f>IFERROR(__xludf.DUMMYFUNCTION("""COMPUTED_VALUE"""),"#N/A")</f>
        <v>#N/A</v>
      </c>
      <c r="AA2550" s="229"/>
      <c r="AB2550" s="229"/>
      <c r="AC2550" s="229"/>
      <c r="AD2550" s="232"/>
      <c r="AE2550" s="233"/>
      <c r="AF2550" s="54"/>
      <c r="AG2550" s="54"/>
      <c r="AH2550" s="54"/>
      <c r="AI2550" s="55" t="str">
        <f t="shared" si="236"/>
        <v/>
      </c>
      <c r="AW2550" s="234"/>
      <c r="BP2550" s="11"/>
      <c r="BQ2550" s="11"/>
      <c r="BV2550" s="158"/>
      <c r="BY2550" s="158"/>
      <c r="CB2550" s="158"/>
    </row>
    <row r="2551" ht="18.0" hidden="1" customHeight="1">
      <c r="A2551" s="222">
        <f>IFERROR(__xludf.DUMMYFUNCTION("""COMPUTED_VALUE"""),2026.0)</f>
        <v>2026</v>
      </c>
      <c r="B2551" s="221">
        <f>IFERROR(__xludf.DUMMYFUNCTION("""COMPUTED_VALUE"""),1.2680166E7)</f>
        <v>12680166</v>
      </c>
      <c r="C2551" s="222" t="str">
        <f>IFERROR(__xludf.DUMMYFUNCTION("""COMPUTED_VALUE"""),"LPG PT3 PESAWARAN_29267 LKP")</f>
        <v>LPG PT3 PESAWARAN_29267 LKP</v>
      </c>
      <c r="D2551" s="222" t="str">
        <f>IFERROR(__xludf.DUMMYFUNCTION("""COMPUTED_VALUE"""),"REGIONAL I")</f>
        <v>REGIONAL I</v>
      </c>
      <c r="E2551" s="222" t="str">
        <f>IFERROR(__xludf.DUMMYFUNCTION("""COMPUTED_VALUE"""),"LAMPUNG")</f>
        <v>LAMPUNG</v>
      </c>
      <c r="F2551" s="222" t="str">
        <f>IFERROR(__xludf.DUMMYFUNCTION("""COMPUTED_VALUE"""),"LKP")</f>
        <v>LKP</v>
      </c>
      <c r="G2551" s="222" t="str">
        <f>IFERROR(__xludf.DUMMYFUNCTION("""COMPUTED_VALUE"""),"SUMBAGSEL")</f>
        <v>SUMBAGSEL</v>
      </c>
      <c r="H2551" s="222" t="str">
        <f>IFERROR(__xludf.DUMMYFUNCTION("""COMPUTED_VALUE"""),"LAMPUNG")</f>
        <v>LAMPUNG</v>
      </c>
      <c r="I2551" s="222" t="str">
        <f>IFERROR(__xludf.DUMMYFUNCTION("""COMPUTED_VALUE"""),"Batch 3")</f>
        <v>Batch 3</v>
      </c>
      <c r="J2551" s="225">
        <f>IFERROR(__xludf.DUMMYFUNCTION("""COMPUTED_VALUE"""),5.0)</f>
        <v>5</v>
      </c>
      <c r="K2551" s="224">
        <f>IFERROR(__xludf.DUMMYFUNCTION("""COMPUTED_VALUE"""),40.0)</f>
        <v>40</v>
      </c>
      <c r="L2551" s="226">
        <f>IFERROR(__xludf.DUMMYFUNCTION("""COMPUTED_VALUE"""),588583.0)</f>
        <v>588583</v>
      </c>
      <c r="M2551" s="227">
        <f>IFERROR(__xludf.DUMMYFUNCTION("""COMPUTED_VALUE"""),2.3543287E7)</f>
        <v>23543287</v>
      </c>
      <c r="N2551" s="222" t="str">
        <f>IFERROR(__xludf.DUMMYFUNCTION("""COMPUTED_VALUE"""),"PT SARANA MITRA PERSADA")</f>
        <v>PT SARANA MITRA PERSADA</v>
      </c>
      <c r="O2551" s="222" t="str">
        <f>IFERROR(__xludf.DUMMYFUNCTION("""COMPUTED_VALUE"""),"0. DROP")</f>
        <v>0. DROP</v>
      </c>
      <c r="P2551" s="222" t="str">
        <f>IFERROR(__xludf.DUMMYFUNCTION("""COMPUTED_VALUE"""),"0.2 Tidak Dapat Izin Warga/Kades/Lurah/Developer")</f>
        <v>0.2 Tidak Dapat Izin Warga/Kades/Lurah/Developer</v>
      </c>
      <c r="Q2551" s="222" t="str">
        <f>IFERROR(__xludf.DUMMYFUNCTION("""COMPUTED_VALUE"""),"6/2 tidak dapat izin dari lurah 
4/2 menunggu konfirmasi balik dari lurah terkiat perizinan")</f>
        <v>6/2 tidak dapat izin dari lurah 
4/2 menunggu konfirmasi balik dari lurah terkiat perizinan</v>
      </c>
      <c r="R2551" s="228"/>
      <c r="S2551" s="11"/>
      <c r="T2551" s="11"/>
      <c r="U2551" s="11"/>
      <c r="V2551" s="229"/>
      <c r="W2551" s="229"/>
      <c r="X2551" s="229"/>
      <c r="Y2551" s="229"/>
      <c r="Z2551" s="229" t="str">
        <f>IFERROR(__xludf.DUMMYFUNCTION("""COMPUTED_VALUE"""),"#N/A")</f>
        <v>#N/A</v>
      </c>
      <c r="AA2551" s="229"/>
      <c r="AB2551" s="229"/>
      <c r="AC2551" s="229"/>
      <c r="AD2551" s="232"/>
      <c r="AE2551" s="233"/>
      <c r="AF2551" s="54" t="str">
        <f>IFERROR(__xludf.DUMMYFUNCTION("""COMPUTED_VALUE"""),"Draft BA DROP")</f>
        <v>Draft BA DROP</v>
      </c>
      <c r="AG2551" s="54"/>
      <c r="AH2551" s="54"/>
      <c r="AI2551" s="55" t="str">
        <f t="shared" si="236"/>
        <v/>
      </c>
      <c r="AW2551" s="234"/>
      <c r="BP2551" s="11"/>
      <c r="BQ2551" s="11"/>
      <c r="BV2551" s="158"/>
      <c r="BY2551" s="158"/>
      <c r="CB2551" s="158"/>
    </row>
    <row r="2552" ht="18.0" hidden="1" customHeight="1">
      <c r="A2552" s="222">
        <f>IFERROR(__xludf.DUMMYFUNCTION("""COMPUTED_VALUE"""),2026.0)</f>
        <v>2026</v>
      </c>
      <c r="B2552" s="221">
        <f>IFERROR(__xludf.DUMMYFUNCTION("""COMPUTED_VALUE"""),1.2703816E7)</f>
        <v>12703816</v>
      </c>
      <c r="C2552" s="222" t="str">
        <f>IFERROR(__xludf.DUMMYFUNCTION("""COMPUTED_VALUE"""),"LPG PT3 JPP LAMPUNG SELATAN_19980 KDT")</f>
        <v>LPG PT3 JPP LAMPUNG SELATAN_19980 KDT</v>
      </c>
      <c r="D2552" s="222" t="str">
        <f>IFERROR(__xludf.DUMMYFUNCTION("""COMPUTED_VALUE"""),"REGIONAL I")</f>
        <v>REGIONAL I</v>
      </c>
      <c r="E2552" s="222" t="str">
        <f>IFERROR(__xludf.DUMMYFUNCTION("""COMPUTED_VALUE"""),"LAMPUNG")</f>
        <v>LAMPUNG</v>
      </c>
      <c r="F2552" s="222" t="str">
        <f>IFERROR(__xludf.DUMMYFUNCTION("""COMPUTED_VALUE"""),"KDT")</f>
        <v>KDT</v>
      </c>
      <c r="G2552" s="222" t="str">
        <f>IFERROR(__xludf.DUMMYFUNCTION("""COMPUTED_VALUE"""),"SUMBAGSEL")</f>
        <v>SUMBAGSEL</v>
      </c>
      <c r="H2552" s="222" t="str">
        <f>IFERROR(__xludf.DUMMYFUNCTION("""COMPUTED_VALUE"""),"LAMPUNG")</f>
        <v>LAMPUNG</v>
      </c>
      <c r="I2552" s="222" t="str">
        <f>IFERROR(__xludf.DUMMYFUNCTION("""COMPUTED_VALUE"""),"Batch 3")</f>
        <v>Batch 3</v>
      </c>
      <c r="J2552" s="225">
        <f>IFERROR(__xludf.DUMMYFUNCTION("""COMPUTED_VALUE"""),6.0)</f>
        <v>6</v>
      </c>
      <c r="K2552" s="224">
        <f>IFERROR(__xludf.DUMMYFUNCTION("""COMPUTED_VALUE"""),48.0)</f>
        <v>48</v>
      </c>
      <c r="L2552" s="226">
        <f>IFERROR(__xludf.DUMMYFUNCTION("""COMPUTED_VALUE"""),582202.0)</f>
        <v>582202</v>
      </c>
      <c r="M2552" s="227">
        <f>IFERROR(__xludf.DUMMYFUNCTION("""COMPUTED_VALUE"""),2.7945693E7)</f>
        <v>27945693</v>
      </c>
      <c r="N2552" s="222" t="str">
        <f>IFERROR(__xludf.DUMMYFUNCTION("""COMPUTED_VALUE"""),"PT BANGTELINDO")</f>
        <v>PT BANGTELINDO</v>
      </c>
      <c r="O2552" s="222" t="str">
        <f>IFERROR(__xludf.DUMMYFUNCTION("""COMPUTED_VALUE"""),"7. GOLIVE")</f>
        <v>7. GOLIVE</v>
      </c>
      <c r="P2552" s="222" t="str">
        <f>IFERROR(__xludf.DUMMYFUNCTION("""COMPUTED_VALUE"""),"7.2 Golive Full / OA / DONE OTB")</f>
        <v>7.2 Golive Full / OA / DONE OTB</v>
      </c>
      <c r="Q2552" s="222" t="str">
        <f>IFERROR(__xludf.DUMMYFUNCTION("""COMPUTED_VALUE"""),"17/4 proses valid 4, 15/4 proses matdel, 08/04 Done PR PO , proses matdel 08/04 plan matdel plan  intlass plan fi abd dan valin  plan golive 
06/04 Proses PR PO 2/4 Proses Create PID, 25/3 Proses Create PID  13/3  proses penagjuan PR/PO
2/3 proses penagju"&amp;"an pr/po
27/2  proses pengajuan PR/PO  24/2 proses amd budget 
19/2 Proses PR-PO  11/2 perubahan BA Manual pengambilan material 6/2 plan matdel ,estimasi ambil material 10/2 ,plan fi 15/2 
4/2 progres prizinan  janjian dengan lurah 
28/1 on progres prizin"&amp;"an 05/2 
23/1 plan anwizing tanggal 26/7")</f>
        <v>17/4 proses valid 4, 15/4 proses matdel, 08/04 Done PR PO , proses matdel 08/04 plan matdel plan  intlass plan fi abd dan valin  plan golive 
06/04 Proses PR PO 2/4 Proses Create PID, 25/3 Proses Create PID  13/3  proses penagjuan PR/PO
2/3 proses penagjuan pr/po
27/2  proses pengajuan PR/PO  24/2 proses amd budget 
19/2 Proses PR-PO  11/2 perubahan BA Manual pengambilan material 6/2 plan matdel ,estimasi ambil material 10/2 ,plan fi 15/2 
4/2 progres prizinan  janjian dengan lurah 
28/1 on progres prizinan 05/2 
23/1 plan anwizing tanggal 26/7</v>
      </c>
      <c r="R2552" s="228">
        <f>IFERROR(__xludf.DUMMYFUNCTION("""COMPUTED_VALUE"""),46130.0)</f>
        <v>46130</v>
      </c>
      <c r="S2552" s="11" t="str">
        <f>IFERROR(__xludf.DUMMYFUNCTION("""COMPUTED_VALUE"""),"APR")</f>
        <v>APR</v>
      </c>
      <c r="T2552" s="73"/>
      <c r="U2552" s="11" t="str">
        <f>IFERROR(__xludf.DUMMYFUNCTION("""COMPUTED_VALUE"""),"TIF-4340/2026")</f>
        <v>TIF-4340/2026</v>
      </c>
      <c r="V2552" s="229"/>
      <c r="W2552" s="229"/>
      <c r="X2552" s="229" t="str">
        <f>IFERROR(__xludf.DUMMYFUNCTION("""COMPUTED_VALUE"""),"GOLIVE")</f>
        <v>GOLIVE</v>
      </c>
      <c r="Y2552" s="229" t="str">
        <f>IFERROR(__xludf.DUMMYFUNCTION("""COMPUTED_VALUE"""),"DONE")</f>
        <v>DONE</v>
      </c>
      <c r="Z2552" s="229" t="str">
        <f>IFERROR(__xludf.DUMMYFUNCTION("""COMPUTED_VALUE"""),"#N/A")</f>
        <v>#N/A</v>
      </c>
      <c r="AA2552" s="229">
        <f>IFERROR(__xludf.DUMMYFUNCTION("""COMPUTED_VALUE"""),6.0)</f>
        <v>6</v>
      </c>
      <c r="AB2552" s="229"/>
      <c r="AC2552" s="229" t="str">
        <f>IFERROR(__xludf.DUMMYFUNCTION("""COMPUTED_VALUE"""),"9124774#9124783")</f>
        <v>9124774#9124783</v>
      </c>
      <c r="AD2552" s="232">
        <f>IFERROR(__xludf.DUMMYFUNCTION("""COMPUTED_VALUE"""),48.0)</f>
        <v>48</v>
      </c>
      <c r="AE2552" s="233">
        <f>IFERROR(__xludf.DUMMYFUNCTION("""COMPUTED_VALUE"""),46130.0)</f>
        <v>46130</v>
      </c>
      <c r="AF2552" s="54"/>
      <c r="AG2552" s="54"/>
      <c r="AH2552" s="54">
        <v>46140.0</v>
      </c>
      <c r="AI2552" s="55">
        <f t="shared" si="236"/>
        <v>0</v>
      </c>
      <c r="AW2552" s="234"/>
      <c r="BP2552" s="11"/>
      <c r="BQ2552" s="11"/>
      <c r="BV2552" s="158"/>
      <c r="BY2552" s="158"/>
      <c r="CB2552" s="158"/>
    </row>
    <row r="2553" ht="18.0" hidden="1" customHeight="1">
      <c r="A2553" s="222">
        <f>IFERROR(__xludf.DUMMYFUNCTION("""COMPUTED_VALUE"""),2026.0)</f>
        <v>2026</v>
      </c>
      <c r="B2553" s="221">
        <f>IFERROR(__xludf.DUMMYFUNCTION("""COMPUTED_VALUE"""),1.2438355E7)</f>
        <v>12438355</v>
      </c>
      <c r="C2553" s="222" t="str">
        <f>IFERROR(__xludf.DUMMYFUNCTION("""COMPUTED_VALUE"""),"MDN PT3 PDB-FB PURI BINTANG PESONA_MD25")</f>
        <v>MDN PT3 PDB-FB PURI BINTANG PESONA_MD25</v>
      </c>
      <c r="D2553" s="222" t="str">
        <f>IFERROR(__xludf.DUMMYFUNCTION("""COMPUTED_VALUE"""),"REGIONAL I")</f>
        <v>REGIONAL I</v>
      </c>
      <c r="E2553" s="222" t="str">
        <f>IFERROR(__xludf.DUMMYFUNCTION("""COMPUTED_VALUE"""),"MEDAN")</f>
        <v>MEDAN</v>
      </c>
      <c r="F2553" s="222" t="str">
        <f>IFERROR(__xludf.DUMMYFUNCTION("""COMPUTED_VALUE"""),"PDB")</f>
        <v>PDB</v>
      </c>
      <c r="G2553" s="222" t="str">
        <f>IFERROR(__xludf.DUMMYFUNCTION("""COMPUTED_VALUE"""),"SUMBAGUT")</f>
        <v>SUMBAGUT</v>
      </c>
      <c r="H2553" s="222" t="str">
        <f>IFERROR(__xludf.DUMMYFUNCTION("""COMPUTED_VALUE"""),"MEDAN")</f>
        <v>MEDAN</v>
      </c>
      <c r="I2553" s="222" t="str">
        <f>IFERROR(__xludf.DUMMYFUNCTION("""COMPUTED_VALUE"""),"Batch 3")</f>
        <v>Batch 3</v>
      </c>
      <c r="J2553" s="225">
        <f>IFERROR(__xludf.DUMMYFUNCTION("""COMPUTED_VALUE"""),5.0)</f>
        <v>5</v>
      </c>
      <c r="K2553" s="224">
        <f>IFERROR(__xludf.DUMMYFUNCTION("""COMPUTED_VALUE"""),40.0)</f>
        <v>40</v>
      </c>
      <c r="L2553" s="226">
        <f>IFERROR(__xludf.DUMMYFUNCTION("""COMPUTED_VALUE"""),579613.0)</f>
        <v>579613</v>
      </c>
      <c r="M2553" s="227">
        <f>IFERROR(__xludf.DUMMYFUNCTION("""COMPUTED_VALUE"""),2.3184518E7)</f>
        <v>23184518</v>
      </c>
      <c r="N2553" s="222" t="str">
        <f>IFERROR(__xludf.DUMMYFUNCTION("""COMPUTED_VALUE"""),"PT SALTTEK DUMPANG JAYA")</f>
        <v>PT SALTTEK DUMPANG JAYA</v>
      </c>
      <c r="O2553" s="222" t="str">
        <f>IFERROR(__xludf.DUMMYFUNCTION("""COMPUTED_VALUE"""),"0. DROP")</f>
        <v>0. DROP</v>
      </c>
      <c r="P2553" s="222" t="str">
        <f>IFERROR(__xludf.DUMMYFUNCTION("""COMPUTED_VALUE"""),"0.1 Double Order")</f>
        <v>0.1 Double Order</v>
      </c>
      <c r="Q2553" s="222" t="str">
        <f>IFERROR(__xludf.DUMMYFUNCTION("""COMPUTED_VALUE"""),"GL 2024")</f>
        <v>GL 2024</v>
      </c>
      <c r="R2553" s="228"/>
      <c r="S2553" s="11"/>
      <c r="T2553" s="11"/>
      <c r="U2553" s="11"/>
      <c r="V2553" s="229"/>
      <c r="W2553" s="229"/>
      <c r="X2553" s="229" t="str">
        <f>IFERROR(__xludf.DUMMYFUNCTION("""COMPUTED_VALUE"""),"BELUM GOLIVE")</f>
        <v>BELUM GOLIVE</v>
      </c>
      <c r="Y2553" s="229"/>
      <c r="Z2553" s="229" t="str">
        <f>IFERROR(__xludf.DUMMYFUNCTION("""COMPUTED_VALUE"""),"#N/A")</f>
        <v>#N/A</v>
      </c>
      <c r="AA2553" s="229"/>
      <c r="AB2553" s="229"/>
      <c r="AC2553" s="229"/>
      <c r="AD2553" s="232"/>
      <c r="AE2553" s="233"/>
      <c r="AF2553" s="54"/>
      <c r="AG2553" s="54"/>
      <c r="AH2553" s="54"/>
      <c r="AI2553" s="55" t="str">
        <f t="shared" si="236"/>
        <v/>
      </c>
      <c r="AW2553" s="234"/>
      <c r="BP2553" s="11"/>
      <c r="BQ2553" s="11"/>
      <c r="BV2553" s="158"/>
      <c r="BY2553" s="158"/>
      <c r="CB2553" s="158"/>
    </row>
    <row r="2554" ht="18.0" customHeight="1">
      <c r="A2554" s="222">
        <f>IFERROR(__xludf.DUMMYFUNCTION("""COMPUTED_VALUE"""),2026.0)</f>
        <v>2026</v>
      </c>
      <c r="B2554" s="221">
        <f>IFERROR(__xludf.DUMMYFUNCTION("""COMPUTED_VALUE"""),1.1499149E7)</f>
        <v>11499149</v>
      </c>
      <c r="C2554" s="222" t="str">
        <f>IFERROR(__xludf.DUMMYFUNCTION("""COMPUTED_VALUE"""),"SMB MD - AFRIDAWATI")</f>
        <v>SMB MD - AFRIDAWATI</v>
      </c>
      <c r="D2554" s="222" t="str">
        <f>IFERROR(__xludf.DUMMYFUNCTION("""COMPUTED_VALUE"""),"REGIONAL I")</f>
        <v>REGIONAL I</v>
      </c>
      <c r="E2554" s="222" t="str">
        <f>IFERROR(__xludf.DUMMYFUNCTION("""COMPUTED_VALUE"""),"SUMBAR")</f>
        <v>SUMBAR</v>
      </c>
      <c r="F2554" s="222" t="str">
        <f>IFERROR(__xludf.DUMMYFUNCTION("""COMPUTED_VALUE"""),"PNN")</f>
        <v>PNN</v>
      </c>
      <c r="G2554" s="222" t="str">
        <f>IFERROR(__xludf.DUMMYFUNCTION("""COMPUTED_VALUE"""),"SUMBAGTENG")</f>
        <v>SUMBAGTENG</v>
      </c>
      <c r="H2554" s="222" t="str">
        <f>IFERROR(__xludf.DUMMYFUNCTION("""COMPUTED_VALUE"""),"PADANG")</f>
        <v>PADANG</v>
      </c>
      <c r="I2554" s="222" t="str">
        <f>IFERROR(__xludf.DUMMYFUNCTION("""COMPUTED_VALUE"""),"Batch 3")</f>
        <v>Batch 3</v>
      </c>
      <c r="J2554" s="225">
        <f>IFERROR(__xludf.DUMMYFUNCTION("""COMPUTED_VALUE"""),2.0)</f>
        <v>2</v>
      </c>
      <c r="K2554" s="224">
        <f>IFERROR(__xludf.DUMMYFUNCTION("""COMPUTED_VALUE"""),16.0)</f>
        <v>16</v>
      </c>
      <c r="L2554" s="226">
        <f>IFERROR(__xludf.DUMMYFUNCTION("""COMPUTED_VALUE"""),573235.0)</f>
        <v>573235</v>
      </c>
      <c r="M2554" s="227">
        <f>IFERROR(__xludf.DUMMYFUNCTION("""COMPUTED_VALUE"""),9171751.0)</f>
        <v>9171751</v>
      </c>
      <c r="N2554" s="222" t="str">
        <f>IFERROR(__xludf.DUMMYFUNCTION("""COMPUTED_VALUE"""),"PT ALAM UTAMA MULIA")</f>
        <v>PT ALAM UTAMA MULIA</v>
      </c>
      <c r="O2554" s="222" t="str">
        <f>IFERROR(__xludf.DUMMYFUNCTION("""COMPUTED_VALUE"""),"0. DROP")</f>
        <v>0. DROP</v>
      </c>
      <c r="P2554" s="222" t="str">
        <f>IFERROR(__xludf.DUMMYFUNCTION("""COMPUTED_VALUE"""),"0.2 Tidak Dapat Izin Warga/Kades/Lurah/Developer")</f>
        <v>0.2 Tidak Dapat Izin Warga/Kades/Lurah/Developer</v>
      </c>
      <c r="Q2554" s="222" t="str">
        <f>IFERROR(__xludf.DUMMYFUNCTION("""COMPUTED_VALUE"""),"kendala Tidak dapat izin tanam tiang sama pemilik lahan")</f>
        <v>kendala Tidak dapat izin tanam tiang sama pemilik lahan</v>
      </c>
      <c r="R2554" s="228"/>
      <c r="S2554" s="11"/>
      <c r="T2554" s="11"/>
      <c r="U2554" s="11"/>
      <c r="V2554" s="229"/>
      <c r="W2554" s="229"/>
      <c r="X2554" s="229"/>
      <c r="Y2554" s="229"/>
      <c r="Z2554" s="229" t="str">
        <f>IFERROR(__xludf.DUMMYFUNCTION("""COMPUTED_VALUE"""),"#N/A")</f>
        <v>#N/A</v>
      </c>
      <c r="AA2554" s="229"/>
      <c r="AB2554" s="229"/>
      <c r="AC2554" s="229"/>
      <c r="AD2554" s="232"/>
      <c r="AE2554" s="233"/>
      <c r="AF2554" s="54" t="str">
        <f>IFERROR(__xludf.DUMMYFUNCTION("""COMPUTED_VALUE"""),"Draft BA DROP")</f>
        <v>Draft BA DROP</v>
      </c>
      <c r="AG2554" s="54"/>
      <c r="AH2554" s="54"/>
      <c r="AI2554" s="55" t="str">
        <f t="shared" si="236"/>
        <v/>
      </c>
      <c r="AW2554" s="234"/>
      <c r="BP2554" s="11"/>
      <c r="BQ2554" s="11"/>
      <c r="BV2554" s="158"/>
      <c r="BY2554" s="158"/>
      <c r="CB2554" s="158"/>
    </row>
    <row r="2555" ht="18.0" customHeight="1">
      <c r="A2555" s="222">
        <f>IFERROR(__xludf.DUMMYFUNCTION("""COMPUTED_VALUE"""),2026.0)</f>
        <v>2026</v>
      </c>
      <c r="B2555" s="221">
        <f>IFERROR(__xludf.DUMMYFUNCTION("""COMPUTED_VALUE"""),1.2858835E7)</f>
        <v>12858835</v>
      </c>
      <c r="C2555" s="222" t="str">
        <f>IFERROR(__xludf.DUMMYFUNCTION("""COMPUTED_VALUE"""),"SMB-PT3-ODC-KOU-FA-250_168_2420-4 LOP")</f>
        <v>SMB-PT3-ODC-KOU-FA-250_168_2420-4 LOP</v>
      </c>
      <c r="D2555" s="222" t="str">
        <f>IFERROR(__xludf.DUMMYFUNCTION("""COMPUTED_VALUE"""),"REGIONAL I")</f>
        <v>REGIONAL I</v>
      </c>
      <c r="E2555" s="222" t="str">
        <f>IFERROR(__xludf.DUMMYFUNCTION("""COMPUTED_VALUE"""),"SUMBAR")</f>
        <v>SUMBAR</v>
      </c>
      <c r="F2555" s="222" t="str">
        <f>IFERROR(__xludf.DUMMYFUNCTION("""COMPUTED_VALUE"""),"KOU")</f>
        <v>KOU</v>
      </c>
      <c r="G2555" s="222" t="str">
        <f>IFERROR(__xludf.DUMMYFUNCTION("""COMPUTED_VALUE"""),"SUMBAGTENG")</f>
        <v>SUMBAGTENG</v>
      </c>
      <c r="H2555" s="222" t="str">
        <f>IFERROR(__xludf.DUMMYFUNCTION("""COMPUTED_VALUE"""),"BUKIT TINGGI")</f>
        <v>BUKIT TINGGI</v>
      </c>
      <c r="I2555" s="222" t="str">
        <f>IFERROR(__xludf.DUMMYFUNCTION("""COMPUTED_VALUE"""),"Batch 3")</f>
        <v>Batch 3</v>
      </c>
      <c r="J2555" s="225">
        <f>IFERROR(__xludf.DUMMYFUNCTION("""COMPUTED_VALUE"""),11.0)</f>
        <v>11</v>
      </c>
      <c r="K2555" s="224">
        <f>IFERROR(__xludf.DUMMYFUNCTION("""COMPUTED_VALUE"""),88.0)</f>
        <v>88</v>
      </c>
      <c r="L2555" s="226">
        <f>IFERROR(__xludf.DUMMYFUNCTION("""COMPUTED_VALUE"""),571498.0)</f>
        <v>571498</v>
      </c>
      <c r="M2555" s="227">
        <f>IFERROR(__xludf.DUMMYFUNCTION("""COMPUTED_VALUE"""),5.0291783E7)</f>
        <v>50291783</v>
      </c>
      <c r="N2555" s="222" t="str">
        <f>IFERROR(__xludf.DUMMYFUNCTION("""COMPUTED_VALUE"""),"PT GARINDO TECHNO MANDIRI")</f>
        <v>PT GARINDO TECHNO MANDIRI</v>
      </c>
      <c r="O2555" s="222" t="str">
        <f>IFERROR(__xludf.DUMMYFUNCTION("""COMPUTED_VALUE"""),"8. UJI TERIMA")</f>
        <v>8. UJI TERIMA</v>
      </c>
      <c r="P2555" s="222" t="str">
        <f>IFERROR(__xludf.DUMMYFUNCTION("""COMPUTED_VALUE"""),"8.1 Proses UT")</f>
        <v>8.1 Proses UT</v>
      </c>
      <c r="Q2555" s="222" t="str">
        <f>IFERROR(__xludf.DUMMYFUNCTION("""COMPUTED_VALUE"""),"(02/03) penyerahan dana comcase HI, dan lanjut instalasi  (18/02) Terminasi ODP, kendala comcase (05/02) proses tanam tiang (29/01) proses create PID (21/01) proses aanwijziing (07/01) Persiapan")</f>
        <v>(02/03) penyerahan dana comcase HI, dan lanjut instalasi  (18/02) Terminasi ODP, kendala comcase (05/02) proses tanam tiang (29/01) proses create PID (21/01) proses aanwijziing (07/01) Persiapan</v>
      </c>
      <c r="R2555" s="228">
        <f>IFERROR(__xludf.DUMMYFUNCTION("""COMPUTED_VALUE"""),46092.0)</f>
        <v>46092</v>
      </c>
      <c r="S2555" s="11" t="str">
        <f>IFERROR(__xludf.DUMMYFUNCTION("""COMPUTED_VALUE"""),"MAR")</f>
        <v>MAR</v>
      </c>
      <c r="T2555" s="11"/>
      <c r="U2555" s="11" t="str">
        <f>IFERROR(__xludf.DUMMYFUNCTION("""COMPUTED_VALUE"""),"TIF-2437/2026 26KT03R158-0031")</f>
        <v>TIF-2437/2026 26KT03R158-0031</v>
      </c>
      <c r="V2555" s="229" t="str">
        <f>IFERROR(__xludf.DUMMYFUNCTION("""COMPUTED_VALUE"""),"DELPA YANDA")</f>
        <v>DELPA YANDA</v>
      </c>
      <c r="W2555" s="229" t="str">
        <f>IFERROR(__xludf.DUMMYFUNCTION("""COMPUTED_VALUE"""),"MELKO NARWADI")</f>
        <v>MELKO NARWADI</v>
      </c>
      <c r="X2555" s="229" t="str">
        <f>IFERROR(__xludf.DUMMYFUNCTION("""COMPUTED_VALUE"""),"GOLIVE")</f>
        <v>GOLIVE</v>
      </c>
      <c r="Y2555" s="229" t="str">
        <f>IFERROR(__xludf.DUMMYFUNCTION("""COMPUTED_VALUE"""),"DONE")</f>
        <v>DONE</v>
      </c>
      <c r="Z2555" s="229" t="str">
        <f>IFERROR(__xludf.DUMMYFUNCTION("""COMPUTED_VALUE"""),"#N/A")</f>
        <v>#N/A</v>
      </c>
      <c r="AA2555" s="229">
        <f>IFERROR(__xludf.DUMMYFUNCTION("""COMPUTED_VALUE"""),6.0)</f>
        <v>6</v>
      </c>
      <c r="AB2555" s="229"/>
      <c r="AC2555" s="229" t="str">
        <f>IFERROR(__xludf.DUMMYFUNCTION("""COMPUTED_VALUE"""),"9171095#9171100")</f>
        <v>9171095#9171100</v>
      </c>
      <c r="AD2555" s="232">
        <f>IFERROR(__xludf.DUMMYFUNCTION("""COMPUTED_VALUE"""),48.0)</f>
        <v>48</v>
      </c>
      <c r="AE2555" s="233">
        <f>IFERROR(__xludf.DUMMYFUNCTION("""COMPUTED_VALUE"""),46085.0)</f>
        <v>46085</v>
      </c>
      <c r="AF2555" s="54"/>
      <c r="AG2555" s="54"/>
      <c r="AH2555" s="54">
        <v>46092.0</v>
      </c>
      <c r="AI2555" s="55">
        <f t="shared" si="236"/>
        <v>7</v>
      </c>
      <c r="AW2555" s="234"/>
      <c r="BP2555" s="11"/>
      <c r="BQ2555" s="11"/>
      <c r="BV2555" s="158"/>
      <c r="BY2555" s="158"/>
      <c r="CB2555" s="158"/>
    </row>
    <row r="2556" ht="18.0" hidden="1" customHeight="1">
      <c r="A2556" s="222">
        <f>IFERROR(__xludf.DUMMYFUNCTION("""COMPUTED_VALUE"""),2026.0)</f>
        <v>2026</v>
      </c>
      <c r="B2556" s="221">
        <f>IFERROR(__xludf.DUMMYFUNCTION("""COMPUTED_VALUE"""),1.2438876E7)</f>
        <v>12438876</v>
      </c>
      <c r="C2556" s="222" t="str">
        <f>IFERROR(__xludf.DUMMYFUNCTION("""COMPUTED_VALUE"""),"MDN PT3 TTG-FBH GG.KARO_MD25")</f>
        <v>MDN PT3 TTG-FBH GG.KARO_MD25</v>
      </c>
      <c r="D2556" s="222" t="str">
        <f>IFERROR(__xludf.DUMMYFUNCTION("""COMPUTED_VALUE"""),"REGIONAL I")</f>
        <v>REGIONAL I</v>
      </c>
      <c r="E2556" s="222" t="str">
        <f>IFERROR(__xludf.DUMMYFUNCTION("""COMPUTED_VALUE"""),"MEDAN")</f>
        <v>MEDAN</v>
      </c>
      <c r="F2556" s="222" t="str">
        <f>IFERROR(__xludf.DUMMYFUNCTION("""COMPUTED_VALUE"""),"TTG")</f>
        <v>TTG</v>
      </c>
      <c r="G2556" s="222" t="str">
        <f>IFERROR(__xludf.DUMMYFUNCTION("""COMPUTED_VALUE"""),"SUMBAGUT")</f>
        <v>SUMBAGUT</v>
      </c>
      <c r="H2556" s="222" t="str">
        <f>IFERROR(__xludf.DUMMYFUNCTION("""COMPUTED_VALUE"""),"MEDAN")</f>
        <v>MEDAN</v>
      </c>
      <c r="I2556" s="222" t="str">
        <f>IFERROR(__xludf.DUMMYFUNCTION("""COMPUTED_VALUE"""),"Batch 3")</f>
        <v>Batch 3</v>
      </c>
      <c r="J2556" s="225">
        <f>IFERROR(__xludf.DUMMYFUNCTION("""COMPUTED_VALUE"""),3.0)</f>
        <v>3</v>
      </c>
      <c r="K2556" s="224">
        <f>IFERROR(__xludf.DUMMYFUNCTION("""COMPUTED_VALUE"""),24.0)</f>
        <v>24</v>
      </c>
      <c r="L2556" s="226">
        <f>IFERROR(__xludf.DUMMYFUNCTION("""COMPUTED_VALUE"""),571059.0)</f>
        <v>571059</v>
      </c>
      <c r="M2556" s="227">
        <f>IFERROR(__xludf.DUMMYFUNCTION("""COMPUTED_VALUE"""),1.3705396E7)</f>
        <v>13705396</v>
      </c>
      <c r="N2556" s="222" t="str">
        <f>IFERROR(__xludf.DUMMYFUNCTION("""COMPUTED_VALUE"""),"SWAKELOLA")</f>
        <v>SWAKELOLA</v>
      </c>
      <c r="O2556" s="222" t="str">
        <f>IFERROR(__xludf.DUMMYFUNCTION("""COMPUTED_VALUE"""),"3. PERIZINAN")</f>
        <v>3. PERIZINAN</v>
      </c>
      <c r="P2556" s="222" t="str">
        <f>IFERROR(__xludf.DUMMYFUNCTION("""COMPUTED_VALUE"""),"3.9 Izin Kades / Lurah / RTRW")</f>
        <v>3.9 Izin Kades / Lurah / RTRW</v>
      </c>
      <c r="Q2556" s="222" t="str">
        <f>IFERROR(__xludf.DUMMYFUNCTION("""COMPUTED_VALUE"""),"16/02 submit perizinan ke kepling")</f>
        <v>16/02 submit perizinan ke kepling</v>
      </c>
      <c r="R2556" s="228"/>
      <c r="S2556" s="11"/>
      <c r="T2556" s="73"/>
      <c r="U2556" s="11"/>
      <c r="V2556" s="229" t="str">
        <f>IFERROR(__xludf.DUMMYFUNCTION("""COMPUTED_VALUE"""),"28/Apr/2026")</f>
        <v>28/Apr/2026</v>
      </c>
      <c r="W2556" s="229"/>
      <c r="X2556" s="229" t="str">
        <f>IFERROR(__xludf.DUMMYFUNCTION("""COMPUTED_VALUE"""),"BELUM GOLIVE")</f>
        <v>BELUM GOLIVE</v>
      </c>
      <c r="Y2556" s="229"/>
      <c r="Z2556" s="229" t="str">
        <f>IFERROR(__xludf.DUMMYFUNCTION("""COMPUTED_VALUE"""),"#N/A")</f>
        <v>#N/A</v>
      </c>
      <c r="AA2556" s="229"/>
      <c r="AB2556" s="229"/>
      <c r="AC2556" s="229"/>
      <c r="AD2556" s="232"/>
      <c r="AE2556" s="233"/>
      <c r="AF2556" s="54"/>
      <c r="AG2556" s="54"/>
      <c r="AH2556" s="54"/>
      <c r="AI2556" s="55" t="str">
        <f t="shared" si="236"/>
        <v/>
      </c>
      <c r="AW2556" s="234"/>
      <c r="BP2556" s="11"/>
      <c r="BQ2556" s="11"/>
      <c r="BV2556" s="158"/>
      <c r="BY2556" s="158"/>
      <c r="CB2556" s="158"/>
    </row>
    <row r="2557" ht="18.0" customHeight="1">
      <c r="A2557" s="222">
        <f>IFERROR(__xludf.DUMMYFUNCTION("""COMPUTED_VALUE"""),2026.0)</f>
        <v>2026</v>
      </c>
      <c r="B2557" s="221">
        <f>IFERROR(__xludf.DUMMYFUNCTION("""COMPUTED_VALUE"""),1.2799134E7)</f>
        <v>12799134</v>
      </c>
      <c r="C2557" s="222" t="str">
        <f>IFERROR(__xludf.DUMMYFUNCTION("""COMPUTED_VALUE"""),"SMB-PT3-ODC-PAM-FG-KOTA PAR-92838")</f>
        <v>SMB-PT3-ODC-PAM-FG-KOTA PAR-92838</v>
      </c>
      <c r="D2557" s="222" t="str">
        <f>IFERROR(__xludf.DUMMYFUNCTION("""COMPUTED_VALUE"""),"REGIONAL I")</f>
        <v>REGIONAL I</v>
      </c>
      <c r="E2557" s="222" t="str">
        <f>IFERROR(__xludf.DUMMYFUNCTION("""COMPUTED_VALUE"""),"SUMBAR")</f>
        <v>SUMBAR</v>
      </c>
      <c r="F2557" s="222" t="str">
        <f>IFERROR(__xludf.DUMMYFUNCTION("""COMPUTED_VALUE"""),"PAM")</f>
        <v>PAM</v>
      </c>
      <c r="G2557" s="222" t="str">
        <f>IFERROR(__xludf.DUMMYFUNCTION("""COMPUTED_VALUE"""),"SUMBAGTENG")</f>
        <v>SUMBAGTENG</v>
      </c>
      <c r="H2557" s="222" t="str">
        <f>IFERROR(__xludf.DUMMYFUNCTION("""COMPUTED_VALUE"""),"BUKIT TINGGI")</f>
        <v>BUKIT TINGGI</v>
      </c>
      <c r="I2557" s="222" t="str">
        <f>IFERROR(__xludf.DUMMYFUNCTION("""COMPUTED_VALUE"""),"Batch 3")</f>
        <v>Batch 3</v>
      </c>
      <c r="J2557" s="225">
        <f>IFERROR(__xludf.DUMMYFUNCTION("""COMPUTED_VALUE"""),2.0)</f>
        <v>2</v>
      </c>
      <c r="K2557" s="224">
        <f>IFERROR(__xludf.DUMMYFUNCTION("""COMPUTED_VALUE"""),16.0)</f>
        <v>16</v>
      </c>
      <c r="L2557" s="226">
        <f>IFERROR(__xludf.DUMMYFUNCTION("""COMPUTED_VALUE"""),569954.0)</f>
        <v>569954</v>
      </c>
      <c r="M2557" s="227">
        <f>IFERROR(__xludf.DUMMYFUNCTION("""COMPUTED_VALUE"""),9119261.0)</f>
        <v>9119261</v>
      </c>
      <c r="N2557" s="222" t="str">
        <f>IFERROR(__xludf.DUMMYFUNCTION("""COMPUTED_VALUE"""),"PT PUTRI JAYA AKSES")</f>
        <v>PT PUTRI JAYA AKSES</v>
      </c>
      <c r="O2557" s="222" t="str">
        <f>IFERROR(__xludf.DUMMYFUNCTION("""COMPUTED_VALUE"""),"8. UJI TERIMA")</f>
        <v>8. UJI TERIMA</v>
      </c>
      <c r="P2557" s="222" t="str">
        <f>IFERROR(__xludf.DUMMYFUNCTION("""COMPUTED_VALUE"""),"8.1 Proses UT")</f>
        <v>8.1 Proses UT</v>
      </c>
      <c r="Q2557" s="222" t="str">
        <f>IFERROR(__xludf.DUMMYFUNCTION("""COMPUTED_VALUE"""),"(18/02) Done abd submit HI ke SDI, UT 18/02 (02/02) Proses Create PID (29/01) Done aanwijziing  , proses eval")</f>
        <v>(18/02) Done abd submit HI ke SDI, UT 18/02 (02/02) Proses Create PID (29/01) Done aanwijziing  , proses eval</v>
      </c>
      <c r="R2557" s="228">
        <f>IFERROR(__xludf.DUMMYFUNCTION("""COMPUTED_VALUE"""),46068.0)</f>
        <v>46068</v>
      </c>
      <c r="S2557" s="11"/>
      <c r="T2557" s="11"/>
      <c r="U2557" s="11" t="str">
        <f>IFERROR(__xludf.DUMMYFUNCTION("""COMPUTED_VALUE"""),"TIF-3067/2026 26KT03R158-0043")</f>
        <v>TIF-3067/2026 26KT03R158-0043</v>
      </c>
      <c r="V2557" s="229" t="str">
        <f>IFERROR(__xludf.DUMMYFUNCTION("""COMPUTED_VALUE"""),"JANUAR RIZAL")</f>
        <v>JANUAR RIZAL</v>
      </c>
      <c r="W2557" s="229" t="str">
        <f>IFERROR(__xludf.DUMMYFUNCTION("""COMPUTED_VALUE"""),"MELKO NARWADI")</f>
        <v>MELKO NARWADI</v>
      </c>
      <c r="X2557" s="229" t="str">
        <f>IFERROR(__xludf.DUMMYFUNCTION("""COMPUTED_VALUE"""),"GOLIVE")</f>
        <v>GOLIVE</v>
      </c>
      <c r="Y2557" s="229" t="str">
        <f>IFERROR(__xludf.DUMMYFUNCTION("""COMPUTED_VALUE"""),"DONE")</f>
        <v>DONE</v>
      </c>
      <c r="Z2557" s="229" t="str">
        <f>IFERROR(__xludf.DUMMYFUNCTION("""COMPUTED_VALUE"""),"#N/A")</f>
        <v>#N/A</v>
      </c>
      <c r="AA2557" s="229">
        <f>IFERROR(__xludf.DUMMYFUNCTION("""COMPUTED_VALUE"""),1.0)</f>
        <v>1</v>
      </c>
      <c r="AB2557" s="229"/>
      <c r="AC2557" s="229" t="str">
        <f>IFERROR(__xludf.DUMMYFUNCTION("""COMPUTED_VALUE"""),"9121829#9121834")</f>
        <v>9121829#9121834</v>
      </c>
      <c r="AD2557" s="232">
        <f>IFERROR(__xludf.DUMMYFUNCTION("""COMPUTED_VALUE"""),8.0)</f>
        <v>8</v>
      </c>
      <c r="AE2557" s="233">
        <f>IFERROR(__xludf.DUMMYFUNCTION("""COMPUTED_VALUE"""),46072.0)</f>
        <v>46072</v>
      </c>
      <c r="AF2557" s="54"/>
      <c r="AG2557" s="54"/>
      <c r="AH2557" s="54">
        <v>46068.0</v>
      </c>
      <c r="AI2557" s="55">
        <f t="shared" si="236"/>
        <v>-4</v>
      </c>
      <c r="AW2557" s="234"/>
      <c r="BP2557" s="11"/>
      <c r="BQ2557" s="11"/>
      <c r="BV2557" s="158"/>
      <c r="BY2557" s="158"/>
      <c r="CB2557" s="158"/>
    </row>
    <row r="2558" ht="18.0" hidden="1" customHeight="1">
      <c r="A2558" s="222">
        <f>IFERROR(__xludf.DUMMYFUNCTION("""COMPUTED_VALUE"""),2026.0)</f>
        <v>2026</v>
      </c>
      <c r="B2558" s="221">
        <f>IFERROR(__xludf.DUMMYFUNCTION("""COMPUTED_VALUE"""),1.2688561E7)</f>
        <v>12688561</v>
      </c>
      <c r="C2558" s="222" t="str">
        <f>IFERROR(__xludf.DUMMYFUNCTION("""COMPUTED_VALUE"""),"SMU ODC-SDK-FAC D06 DAIRI 63781")</f>
        <v>SMU ODC-SDK-FAC D06 DAIRI 63781</v>
      </c>
      <c r="D2558" s="222" t="str">
        <f>IFERROR(__xludf.DUMMYFUNCTION("""COMPUTED_VALUE"""),"REGIONAL I")</f>
        <v>REGIONAL I</v>
      </c>
      <c r="E2558" s="222" t="str">
        <f>IFERROR(__xludf.DUMMYFUNCTION("""COMPUTED_VALUE"""),"SUMUT")</f>
        <v>SUMUT</v>
      </c>
      <c r="F2558" s="222" t="str">
        <f>IFERROR(__xludf.DUMMYFUNCTION("""COMPUTED_VALUE"""),"SDK")</f>
        <v>SDK</v>
      </c>
      <c r="G2558" s="222" t="str">
        <f>IFERROR(__xludf.DUMMYFUNCTION("""COMPUTED_VALUE"""),"SUMBAGUT")</f>
        <v>SUMBAGUT</v>
      </c>
      <c r="H2558" s="222" t="str">
        <f>IFERROR(__xludf.DUMMYFUNCTION("""COMPUTED_VALUE"""),"PEMATANG SIANTAR")</f>
        <v>PEMATANG SIANTAR</v>
      </c>
      <c r="I2558" s="222" t="str">
        <f>IFERROR(__xludf.DUMMYFUNCTION("""COMPUTED_VALUE"""),"Batch 3")</f>
        <v>Batch 3</v>
      </c>
      <c r="J2558" s="225">
        <f>IFERROR(__xludf.DUMMYFUNCTION("""COMPUTED_VALUE"""),3.0)</f>
        <v>3</v>
      </c>
      <c r="K2558" s="224">
        <f>IFERROR(__xludf.DUMMYFUNCTION("""COMPUTED_VALUE"""),24.0)</f>
        <v>24</v>
      </c>
      <c r="L2558" s="226">
        <f>IFERROR(__xludf.DUMMYFUNCTION("""COMPUTED_VALUE"""),569683.0)</f>
        <v>569683</v>
      </c>
      <c r="M2558" s="227">
        <f>IFERROR(__xludf.DUMMYFUNCTION("""COMPUTED_VALUE"""),1.3672371E7)</f>
        <v>13672371</v>
      </c>
      <c r="N2558" s="222" t="str">
        <f>IFERROR(__xludf.DUMMYFUNCTION("""COMPUTED_VALUE"""),"PT GARINDO TECHNO MANDIRI")</f>
        <v>PT GARINDO TECHNO MANDIRI</v>
      </c>
      <c r="O2558" s="222" t="str">
        <f>IFERROR(__xludf.DUMMYFUNCTION("""COMPUTED_VALUE"""),"5. INSTALASI")</f>
        <v>5. INSTALASI</v>
      </c>
      <c r="P2558" s="222" t="str">
        <f>IFERROR(__xludf.DUMMYFUNCTION("""COMPUTED_VALUE"""),"5.4 Proses Penanaman Tiang")</f>
        <v>5.4 Proses Penanaman Tiang</v>
      </c>
      <c r="Q2558" s="222" t="str">
        <f>IFERROR(__xludf.DUMMYFUNCTION("""COMPUTED_VALUE"""),"27/4 team serial di lop tambah seribu, 23/4 tim partial di lop kis ff,  22/4 tim partial di lop kis ff, 21/4 plan progres hari ini, 20/4 prepair tim untuk ambil material tim partial di lop bst-fb, 16/4 plan pengambilan material jumat tgl 16 april,  15/4 p"&amp;"lan pengambilan material jumat tgl 16 april, 14/4 plan pengambilan material jumat tgl 16 april, 13/4 prepair tim untuk pengambilan material, 10/4 proses input material di alista, 9/4 menunggu boq kml survey dari mitra, 8/4 menunggu boq kml survey dari mit"&amp;"ra, 6/4 plan submit boq kml survey hari ini, 5/4 prepair team untuk melakukan survey, 1/4 prepair team untuk melakukan survey, 31/3 prepair team untuk melakukan survey, 30/3 prepair team untuk melakukan survey, 27/3 prepair team untuk melakukan survey kel"&amp;"okasi,plan senin tgl 30, 26/3 prepair team untuk melakukan survey kelokasi,plan senin tgl 30, 26/3 prepair team untuk melakukan survey kelokasi, 22/3 prepair team untuk melakukan survey kelokasi, 18/3 plan survey seletal lebaran, 16/3 plan besok survey 17"&amp;" maret, 13/3 prepair tim untuk melakukan survey, 11/3 prepair tim untuk melakukan survey, 10/3 plan survey bsk tgl 11 maret, 6/3 plan bsk tgl 7 februari untuk melakukan survey, 5/3 plan bsk tgl 6 februari untuk melakukan survey, 4/3 plan bsk 5 februari un"&amp;"tuk melakukan survey, 3/3 prepair team untuk jadwal survey , 2/3 prepair team untuk jadwal survey , 27/2 prepair tim untuk survey plan tgl 28/2 ,  25/2 prepair tim untuk survey plan tgl 28/2 , 24/2 prepair team untuk suvrey kelokasi,  23/2 prepair team un"&amp;"tuk suvrey kelokasi, 20/2 prepair team untuk suvrey kelokasi, 19/2 Mandor swakelola,  16/2 Mandor swakelola, 13/2 Mandor swakelola, 12/2 Mandor swakelola, 11/2 Mandor swakelola, 10/2 Mandor swakelola, 9/2 Mandor swakelola, 6/2 Mandor swakelola, 5/2 Mandor"&amp;" swakelola, 4/2 Mandor swakelola, 3/2 Mandor swakelola, 2/2 Mandor swakelola, 1/2 Mandor swakelola, 30/1 Mandor swakelola, 28/1 Mandor swakelola, 27/1 Mandor swakelola,  26/1 Mandor swakelola, 23/1 Mandor swakelola, 22/1 penunjukan mitra, 21/1 penunjukan "&amp;"mitra")</f>
        <v>27/4 team serial di lop tambah seribu, 23/4 tim partial di lop kis ff,  22/4 tim partial di lop kis ff, 21/4 plan progres hari ini, 20/4 prepair tim untuk ambil material tim partial di lop bst-fb, 16/4 plan pengambilan material jumat tgl 16 april,  15/4 plan pengambilan material jumat tgl 16 april, 14/4 plan pengambilan material jumat tgl 16 april, 13/4 prepair tim untuk pengambilan material, 10/4 proses input material di alista, 9/4 menunggu boq kml survey dari mitra, 8/4 menunggu boq kml survey dari mitra, 6/4 plan submit boq kml survey hari ini, 5/4 prepair team untuk melakukan survey, 1/4 prepair team untuk melakukan survey, 31/3 prepair team untuk melakukan survey, 30/3 prepair team untuk melakukan survey, 27/3 prepair team untuk melakukan survey kelokasi,plan senin tgl 30, 26/3 prepair team untuk melakukan survey kelokasi,plan senin tgl 30, 26/3 prepair team untuk melakukan survey kelokasi, 22/3 prepair team untuk melakukan survey kelokasi, 18/3 plan survey seletal lebaran, 16/3 plan besok survey 17 maret, 13/3 prepair tim untuk melakukan survey, 11/3 prepair tim untuk melakukan survey, 10/3 plan survey bsk tgl 11 maret, 6/3 plan bsk tgl 7 februari untuk melakukan survey, 5/3 plan bsk tgl 6 februari untuk melakukan survey, 4/3 plan bsk 5 februari untuk melakukan survey, 3/3 prepair team untuk jadwal survey , 2/3 prepair team untuk jadwal survey , 27/2 prepair tim untuk survey plan tgl 28/2 ,  25/2 prepair tim untuk survey plan tgl 28/2 , 24/2 prepair team untuk suvrey kelokasi,  23/2 prepair team untuk suvrey kelokasi, 20/2 prepair team untuk suvrey kelokasi, 19/2 Mandor swakelola,  16/2 Mandor swakelola, 13/2 Mandor swakelola, 12/2 Mandor swakelola, 11/2 Mandor swakelola, 10/2 Mandor swakelola, 9/2 Mandor swakelola, 6/2 Mandor swakelola, 5/2 Mandor swakelola, 4/2 Mandor swakelola, 3/2 Mandor swakelola, 2/2 Mandor swakelola, 1/2 Mandor swakelola, 30/1 Mandor swakelola, 28/1 Mandor swakelola, 27/1 Mandor swakelola,  26/1 Mandor swakelola, 23/1 Mandor swakelola, 22/1 penunjukan mitra, 21/1 penunjukan mitra</v>
      </c>
      <c r="R2558" s="228">
        <f>IFERROR(__xludf.DUMMYFUNCTION("""COMPUTED_VALUE"""),46142.0)</f>
        <v>46142</v>
      </c>
      <c r="S2558" s="11"/>
      <c r="T2558" s="73" t="str">
        <f>IFERROR(__xludf.DUMMYFUNCTION("""COMPUTED_VALUE"""),"P1")</f>
        <v>P1</v>
      </c>
      <c r="U2558" s="11" t="str">
        <f>IFERROR(__xludf.DUMMYFUNCTION("""COMPUTED_VALUE"""),"TIF-2045/2026")</f>
        <v>TIF-2045/2026</v>
      </c>
      <c r="V2558" s="229" t="str">
        <f>IFERROR(__xludf.DUMMYFUNCTION("""COMPUTED_VALUE"""),"18/Apr/2026")</f>
        <v>18/Apr/2026</v>
      </c>
      <c r="W2558" s="229"/>
      <c r="X2558" s="229" t="str">
        <f>IFERROR(__xludf.DUMMYFUNCTION("""COMPUTED_VALUE"""),"BELUM GOLIVE")</f>
        <v>BELUM GOLIVE</v>
      </c>
      <c r="Y2558" s="229"/>
      <c r="Z2558" s="229" t="str">
        <f>IFERROR(__xludf.DUMMYFUNCTION("""COMPUTED_VALUE"""),"#N/A")</f>
        <v>#N/A</v>
      </c>
      <c r="AA2558" s="229"/>
      <c r="AB2558" s="229"/>
      <c r="AC2558" s="229"/>
      <c r="AD2558" s="232"/>
      <c r="AE2558" s="233"/>
      <c r="AF2558" s="54"/>
      <c r="AG2558" s="54"/>
      <c r="AH2558" s="54"/>
      <c r="AI2558" s="55" t="str">
        <f t="shared" si="236"/>
        <v/>
      </c>
      <c r="AW2558" s="234"/>
      <c r="BP2558" s="11"/>
      <c r="BQ2558" s="11"/>
      <c r="BV2558" s="158"/>
      <c r="BY2558" s="158"/>
      <c r="CB2558" s="158"/>
    </row>
    <row r="2559" ht="18.0" hidden="1" customHeight="1">
      <c r="A2559" s="222">
        <f>IFERROR(__xludf.DUMMYFUNCTION("""COMPUTED_VALUE"""),2026.0)</f>
        <v>2026</v>
      </c>
      <c r="B2559" s="221">
        <f>IFERROR(__xludf.DUMMYFUNCTION("""COMPUTED_VALUE"""),1.2671492E7)</f>
        <v>12671492</v>
      </c>
      <c r="C2559" s="222" t="str">
        <f>IFERROR(__xludf.DUMMYFUNCTION("""COMPUTED_VALUE"""),"SMU ODC-BST-FB D10 KARO 125274")</f>
        <v>SMU ODC-BST-FB D10 KARO 125274</v>
      </c>
      <c r="D2559" s="222" t="str">
        <f>IFERROR(__xludf.DUMMYFUNCTION("""COMPUTED_VALUE"""),"REGIONAL I")</f>
        <v>REGIONAL I</v>
      </c>
      <c r="E2559" s="222" t="str">
        <f>IFERROR(__xludf.DUMMYFUNCTION("""COMPUTED_VALUE"""),"SUMUT")</f>
        <v>SUMUT</v>
      </c>
      <c r="F2559" s="222" t="str">
        <f>IFERROR(__xludf.DUMMYFUNCTION("""COMPUTED_VALUE"""),"BST")</f>
        <v>BST</v>
      </c>
      <c r="G2559" s="222" t="str">
        <f>IFERROR(__xludf.DUMMYFUNCTION("""COMPUTED_VALUE"""),"SUMBAGUT")</f>
        <v>SUMBAGUT</v>
      </c>
      <c r="H2559" s="222" t="str">
        <f>IFERROR(__xludf.DUMMYFUNCTION("""COMPUTED_VALUE"""),"PEMATANG SIANTAR")</f>
        <v>PEMATANG SIANTAR</v>
      </c>
      <c r="I2559" s="222" t="str">
        <f>IFERROR(__xludf.DUMMYFUNCTION("""COMPUTED_VALUE"""),"Batch 3")</f>
        <v>Batch 3</v>
      </c>
      <c r="J2559" s="225">
        <f>IFERROR(__xludf.DUMMYFUNCTION("""COMPUTED_VALUE"""),3.0)</f>
        <v>3</v>
      </c>
      <c r="K2559" s="224">
        <f>IFERROR(__xludf.DUMMYFUNCTION("""COMPUTED_VALUE"""),24.0)</f>
        <v>24</v>
      </c>
      <c r="L2559" s="226">
        <f>IFERROR(__xludf.DUMMYFUNCTION("""COMPUTED_VALUE"""),568758.0)</f>
        <v>568758</v>
      </c>
      <c r="M2559" s="227">
        <f>IFERROR(__xludf.DUMMYFUNCTION("""COMPUTED_VALUE"""),1.3650182E7)</f>
        <v>13650182</v>
      </c>
      <c r="N2559" s="222" t="str">
        <f>IFERROR(__xludf.DUMMYFUNCTION("""COMPUTED_VALUE"""),"SWAKELOLA")</f>
        <v>SWAKELOLA</v>
      </c>
      <c r="O2559" s="222" t="str">
        <f>IFERROR(__xludf.DUMMYFUNCTION("""COMPUTED_VALUE"""),"0. DROP")</f>
        <v>0. DROP</v>
      </c>
      <c r="P2559" s="222" t="str">
        <f>IFERROR(__xludf.DUMMYFUNCTION("""COMPUTED_VALUE"""),"0.1 Double Order")</f>
        <v>0.1 Double Order</v>
      </c>
      <c r="Q2559" s="222" t="str">
        <f>IFERROR(__xludf.DUMMYFUNCTION("""COMPUTED_VALUE"""),"27/1 drop double LOP dg 12671523, 26/1 Mandor swakelola, 23/1 Mandor swakelola, 22/1 penunjukan mitra, 21/1 penunjukan mitra")</f>
        <v>27/1 drop double LOP dg 12671523, 26/1 Mandor swakelola, 23/1 Mandor swakelola, 22/1 penunjukan mitra, 21/1 penunjukan mitra</v>
      </c>
      <c r="R2559" s="228"/>
      <c r="S2559" s="11"/>
      <c r="T2559" s="11"/>
      <c r="U2559" s="11" t="str">
        <f>IFERROR(__xludf.DUMMYFUNCTION("""COMPUTED_VALUE"""),"DROP")</f>
        <v>DROP</v>
      </c>
      <c r="V2559" s="229"/>
      <c r="W2559" s="229"/>
      <c r="X2559" s="229" t="str">
        <f>IFERROR(__xludf.DUMMYFUNCTION("""COMPUTED_VALUE"""),"BELUM GOLIVE")</f>
        <v>BELUM GOLIVE</v>
      </c>
      <c r="Y2559" s="229"/>
      <c r="Z2559" s="229" t="str">
        <f>IFERROR(__xludf.DUMMYFUNCTION("""COMPUTED_VALUE"""),"#N/A")</f>
        <v>#N/A</v>
      </c>
      <c r="AA2559" s="229"/>
      <c r="AB2559" s="229"/>
      <c r="AC2559" s="229"/>
      <c r="AD2559" s="232"/>
      <c r="AE2559" s="233"/>
      <c r="AF2559" s="54" t="str">
        <f>IFERROR(__xludf.DUMMYFUNCTION("""COMPUTED_VALUE"""),"Draft BA DROP")</f>
        <v>Draft BA DROP</v>
      </c>
      <c r="AG2559" s="54"/>
      <c r="AH2559" s="54"/>
      <c r="AI2559" s="55" t="str">
        <f t="shared" si="236"/>
        <v/>
      </c>
      <c r="AW2559" s="234"/>
      <c r="BP2559" s="11"/>
      <c r="BQ2559" s="11"/>
      <c r="BV2559" s="158"/>
      <c r="BY2559" s="158"/>
      <c r="CB2559" s="158"/>
    </row>
    <row r="2560" ht="18.0" hidden="1" customHeight="1">
      <c r="A2560" s="222">
        <f>IFERROR(__xludf.DUMMYFUNCTION("""COMPUTED_VALUE"""),2026.0)</f>
        <v>2026</v>
      </c>
      <c r="B2560" s="221">
        <f>IFERROR(__xludf.DUMMYFUNCTION("""COMPUTED_VALUE"""),1.2671523E7)</f>
        <v>12671523</v>
      </c>
      <c r="C2560" s="222" t="str">
        <f>IFERROR(__xludf.DUMMYFUNCTION("""COMPUTED_VALUE"""),"SMU ODC-BST-FB D10 KARO 125274.")</f>
        <v>SMU ODC-BST-FB D10 KARO 125274.</v>
      </c>
      <c r="D2560" s="222" t="str">
        <f>IFERROR(__xludf.DUMMYFUNCTION("""COMPUTED_VALUE"""),"REGIONAL I")</f>
        <v>REGIONAL I</v>
      </c>
      <c r="E2560" s="222" t="str">
        <f>IFERROR(__xludf.DUMMYFUNCTION("""COMPUTED_VALUE"""),"SUMUT")</f>
        <v>SUMUT</v>
      </c>
      <c r="F2560" s="222" t="str">
        <f>IFERROR(__xludf.DUMMYFUNCTION("""COMPUTED_VALUE"""),"BST")</f>
        <v>BST</v>
      </c>
      <c r="G2560" s="222" t="str">
        <f>IFERROR(__xludf.DUMMYFUNCTION("""COMPUTED_VALUE"""),"SUMBAGUT")</f>
        <v>SUMBAGUT</v>
      </c>
      <c r="H2560" s="222" t="str">
        <f>IFERROR(__xludf.DUMMYFUNCTION("""COMPUTED_VALUE"""),"PEMATANG SIANTAR")</f>
        <v>PEMATANG SIANTAR</v>
      </c>
      <c r="I2560" s="222" t="str">
        <f>IFERROR(__xludf.DUMMYFUNCTION("""COMPUTED_VALUE"""),"Batch 3")</f>
        <v>Batch 3</v>
      </c>
      <c r="J2560" s="225">
        <f>IFERROR(__xludf.DUMMYFUNCTION("""COMPUTED_VALUE"""),3.0)</f>
        <v>3</v>
      </c>
      <c r="K2560" s="224">
        <f>IFERROR(__xludf.DUMMYFUNCTION("""COMPUTED_VALUE"""),24.0)</f>
        <v>24</v>
      </c>
      <c r="L2560" s="226">
        <f>IFERROR(__xludf.DUMMYFUNCTION("""COMPUTED_VALUE"""),568758.0)</f>
        <v>568758</v>
      </c>
      <c r="M2560" s="227">
        <f>IFERROR(__xludf.DUMMYFUNCTION("""COMPUTED_VALUE"""),1.3650182E7)</f>
        <v>13650182</v>
      </c>
      <c r="N2560" s="222" t="str">
        <f>IFERROR(__xludf.DUMMYFUNCTION("""COMPUTED_VALUE"""),"PT GARINDO TECHNO MANDIRI")</f>
        <v>PT GARINDO TECHNO MANDIRI</v>
      </c>
      <c r="O2560" s="222" t="str">
        <f>IFERROR(__xludf.DUMMYFUNCTION("""COMPUTED_VALUE"""),"7. GOLIVE")</f>
        <v>7. GOLIVE</v>
      </c>
      <c r="P2560" s="222" t="str">
        <f>IFERROR(__xludf.DUMMYFUNCTION("""COMPUTED_VALUE"""),"7.2 Golive Full / OA / DONE OTB")</f>
        <v>7.2 Golive Full / OA / DONE OTB</v>
      </c>
      <c r="Q2560" s="222" t="str">
        <f>IFERROR(__xludf.DUMMYFUNCTION("""COMPUTED_VALUE"""),"21/4 validasi sdi, 20/4 penarikan ku 12 (950 selesai), odp 3 proses valins,  16/4 plan pengambilan material jumat tgl 16 april, 15/4 plan pengambilan material jumat tgl 16 april, 14/4 plan pengambilan material jumat tgl 16 april, 13/4 prepair tim untuk pe"&amp;"ngambilan material, 10/4 prepair tim untuk pengambilan material, 9/4 proses input alista, 8/4 mitra belum mengirim req material, 6/4 plan req matrial hari ini, 5/4 menunggu req material dari mitra, 1/4 menunggu req material dari mitra, 31/3 menunggu req m"&amp;"aterial dari mitra, 27/3 plan bsk cek cpp, 26/3 menunggu boq kml survey, 22/3 menunggu boq kml survey, 18/3 menunggu boq kml survey, 16/3 plan submit boq kml besok 17 maret, 13/3 menunggu boq kml hasil survey,  11/3 menunggu boq kml hasil survey,  10/3 me"&amp;"nunggu boq kml hasil survey, 6/3 plan bsk tgl 9  februari untuk melakukan survey, 5/3 plan bsk tgl 6 februari untuk melakukan survey, 4/3 plan bsk 5 februari untuk melakukan survey,  3/3 prepair team untuk jadwal survey , 2/3 prepair team untuk jadwal sur"&amp;"vey ,27/2 prepair tim untuk survey plan tgl 1/3,  25/2 prepair tim untuk survey plan tgl 1/3, 24/2 prepair team untuk suvrey kelokasi,  23/2 prepair team untuk suvrey kelokasi, 20/2 prepair team untuk suvrey kelokasi, 19/2 Mandor swakelola, 16/2 Mandor sw"&amp;"akelola,13/2 Mandor swakelola, 12/2 Mandor swakelola, 11/2 Mandor swakelola, 10/2 Mandor swakelola, 9/2 Mandor swakelola, 6/2 Mandor swakelola, 5/2 Mandor swakelola, 4/2 Mandor swakelola, 3/2 Mandor swakelola,  2/2 Mandor swakelola, 1/2 Mandor swakelola, "&amp;"30/1 Mandor swakelola, 28/1 Mandor swakelola,  27/1 Mandor swakelola, 26/1 Mandor swakelola,  23/1 Mandor swakelola,  22/1 penunjukan mitra, 21/1 penunjukan mitra")</f>
        <v>21/4 validasi sdi, 20/4 penarikan ku 12 (950 selesai), odp 3 proses valins,  16/4 plan pengambilan material jumat tgl 16 april, 15/4 plan pengambilan material jumat tgl 16 april, 14/4 plan pengambilan material jumat tgl 16 april, 13/4 prepair tim untuk pengambilan material, 10/4 prepair tim untuk pengambilan material, 9/4 proses input alista, 8/4 mitra belum mengirim req material, 6/4 plan req matrial hari ini, 5/4 menunggu req material dari mitra, 1/4 menunggu req material dari mitra, 31/3 menunggu req material dari mitra, 27/3 plan bsk cek cpp, 26/3 menunggu boq kml survey, 22/3 menunggu boq kml survey, 18/3 menunggu boq kml survey, 16/3 plan submit boq kml besok 17 maret, 13/3 menunggu boq kml hasil survey,  11/3 menunggu boq kml hasil survey,  10/3 menunggu boq kml hasil survey, 6/3 plan bsk tgl 9  februari untuk melakukan survey, 5/3 plan bsk tgl 6 februari untuk melakukan survey, 4/3 plan bsk 5 februari untuk melakukan survey,  3/3 prepair team untuk jadwal survey , 2/3 prepair team untuk jadwal survey ,27/2 prepair tim untuk survey plan tgl 1/3,  25/2 prepair tim untuk survey plan tgl 1/3, 24/2 prepair team untuk suvrey kelokasi,  23/2 prepair team untuk suvrey kelokasi, 20/2 prepair team untuk suvrey kelokasi, 19/2 Mandor swakelola, 16/2 Mandor swakelola,13/2 Mandor swakelola, 12/2 Mandor swakelola, 11/2 Mandor swakelola, 10/2 Mandor swakelola, 9/2 Mandor swakelola, 6/2 Mandor swakelola, 5/2 Mandor swakelola, 4/2 Mandor swakelola, 3/2 Mandor swakelola,  2/2 Mandor swakelola, 1/2 Mandor swakelola, 30/1 Mandor swakelola, 28/1 Mandor swakelola,  27/1 Mandor swakelola, 26/1 Mandor swakelola,  23/1 Mandor swakelola,  22/1 penunjukan mitra, 21/1 penunjukan mitra</v>
      </c>
      <c r="R2560" s="228">
        <f>IFERROR(__xludf.DUMMYFUNCTION("""COMPUTED_VALUE"""),46134.0)</f>
        <v>46134</v>
      </c>
      <c r="S2560" s="11"/>
      <c r="T2560" s="73" t="str">
        <f>IFERROR(__xludf.DUMMYFUNCTION("""COMPUTED_VALUE"""),"P1")</f>
        <v>P1</v>
      </c>
      <c r="U2560" s="11" t="str">
        <f>IFERROR(__xludf.DUMMYFUNCTION("""COMPUTED_VALUE"""),"TIF-2047/2026")</f>
        <v>TIF-2047/2026</v>
      </c>
      <c r="V2560" s="229" t="str">
        <f>IFERROR(__xludf.DUMMYFUNCTION("""COMPUTED_VALUE"""),"25/Apr/2026")</f>
        <v>25/Apr/2026</v>
      </c>
      <c r="W2560" s="229"/>
      <c r="X2560" s="229" t="str">
        <f>IFERROR(__xludf.DUMMYFUNCTION("""COMPUTED_VALUE"""),"GOLIVE")</f>
        <v>GOLIVE</v>
      </c>
      <c r="Y2560" s="229" t="str">
        <f>IFERROR(__xludf.DUMMYFUNCTION("""COMPUTED_VALUE"""),"DONE")</f>
        <v>DONE</v>
      </c>
      <c r="Z2560" s="229" t="str">
        <f>IFERROR(__xludf.DUMMYFUNCTION("""COMPUTED_VALUE"""),"#N/A")</f>
        <v>#N/A</v>
      </c>
      <c r="AA2560" s="229">
        <f>IFERROR(__xludf.DUMMYFUNCTION("""COMPUTED_VALUE"""),3.0)</f>
        <v>3</v>
      </c>
      <c r="AB2560" s="229"/>
      <c r="AC2560" s="229" t="str">
        <f>IFERROR(__xludf.DUMMYFUNCTION("""COMPUTED_VALUE"""),"9298088#9298093")</f>
        <v>9298088#9298093</v>
      </c>
      <c r="AD2560" s="232">
        <f>IFERROR(__xludf.DUMMYFUNCTION("""COMPUTED_VALUE"""),24.0)</f>
        <v>24</v>
      </c>
      <c r="AE2560" s="233">
        <f>IFERROR(__xludf.DUMMYFUNCTION("""COMPUTED_VALUE"""),46134.0)</f>
        <v>46134</v>
      </c>
      <c r="AF2560" s="54"/>
      <c r="AG2560" s="54"/>
      <c r="AH2560" s="54"/>
      <c r="AI2560" s="55">
        <f t="shared" si="236"/>
        <v>0</v>
      </c>
      <c r="AW2560" s="234"/>
      <c r="BP2560" s="11"/>
      <c r="BQ2560" s="11"/>
      <c r="BV2560" s="158"/>
      <c r="BY2560" s="158"/>
      <c r="CB2560" s="158"/>
    </row>
    <row r="2561" ht="18.0" customHeight="1">
      <c r="A2561" s="222">
        <f>IFERROR(__xludf.DUMMYFUNCTION("""COMPUTED_VALUE"""),2026.0)</f>
        <v>2026</v>
      </c>
      <c r="B2561" s="221">
        <f>IFERROR(__xludf.DUMMYFUNCTION("""COMPUTED_VALUE"""),1.2537653E7)</f>
        <v>12537653</v>
      </c>
      <c r="C2561" s="222" t="str">
        <f>IFERROR(__xludf.DUMMYFUNCTION("""COMPUTED_VALUE"""),"RKP TSEL PT3 SLU-FBH 250_464_3991")</f>
        <v>RKP TSEL PT3 SLU-FBH 250_464_3991</v>
      </c>
      <c r="D2561" s="222" t="str">
        <f>IFERROR(__xludf.DUMMYFUNCTION("""COMPUTED_VALUE"""),"REGIONAL I")</f>
        <v>REGIONAL I</v>
      </c>
      <c r="E2561" s="222" t="str">
        <f>IFERROR(__xludf.DUMMYFUNCTION("""COMPUTED_VALUE"""),"RIKEP")</f>
        <v>RIKEP</v>
      </c>
      <c r="F2561" s="222" t="str">
        <f>IFERROR(__xludf.DUMMYFUNCTION("""COMPUTED_VALUE"""),"SLU")</f>
        <v>SLU</v>
      </c>
      <c r="G2561" s="222" t="str">
        <f>IFERROR(__xludf.DUMMYFUNCTION("""COMPUTED_VALUE"""),"SUMBAGTENG")</f>
        <v>SUMBAGTENG</v>
      </c>
      <c r="H2561" s="222" t="str">
        <f>IFERROR(__xludf.DUMMYFUNCTION("""COMPUTED_VALUE"""),"BATAM")</f>
        <v>BATAM</v>
      </c>
      <c r="I2561" s="222" t="str">
        <f>IFERROR(__xludf.DUMMYFUNCTION("""COMPUTED_VALUE"""),"Batch 3")</f>
        <v>Batch 3</v>
      </c>
      <c r="J2561" s="225">
        <f>IFERROR(__xludf.DUMMYFUNCTION("""COMPUTED_VALUE"""),1.0)</f>
        <v>1</v>
      </c>
      <c r="K2561" s="224">
        <f>IFERROR(__xludf.DUMMYFUNCTION("""COMPUTED_VALUE"""),8.0)</f>
        <v>8</v>
      </c>
      <c r="L2561" s="226">
        <f>IFERROR(__xludf.DUMMYFUNCTION("""COMPUTED_VALUE"""),568039.0)</f>
        <v>568039</v>
      </c>
      <c r="M2561" s="227">
        <f>IFERROR(__xludf.DUMMYFUNCTION("""COMPUTED_VALUE"""),4544311.0)</f>
        <v>4544311</v>
      </c>
      <c r="N2561" s="222" t="str">
        <f>IFERROR(__xludf.DUMMYFUNCTION("""COMPUTED_VALUE"""),"PT MITRA HOSINDO SEJAHTERA")</f>
        <v>PT MITRA HOSINDO SEJAHTERA</v>
      </c>
      <c r="O2561" s="222" t="str">
        <f>IFERROR(__xludf.DUMMYFUNCTION("""COMPUTED_VALUE"""),"2. DONE AANWIJZING")</f>
        <v>2. DONE AANWIJZING</v>
      </c>
      <c r="P2561" s="222" t="str">
        <f>IFERROR(__xludf.DUMMYFUNCTION("""COMPUTED_VALUE"""),"2.10 Kendala - Feeder Rusak")</f>
        <v>2.10 Kendala - Feeder Rusak</v>
      </c>
      <c r="Q2561" s="222" t="str">
        <f>IFERROR(__xludf.DUMMYFUNCTION("""COMPUTED_VALUE"""),"04/03 Feeder rusak ex gamas pelebaran jalan. 09/02 sudah anwijzing dan perizinan, plan pembuatan BOQ dan KML survey. 29/01 Plan survey 30 Jan. 23/01 Plan anwijzing 26 Jan, Order Baru. 22/01 Order baru, proses penunjukan mitra")</f>
        <v>04/03 Feeder rusak ex gamas pelebaran jalan. 09/02 sudah anwijzing dan perizinan, plan pembuatan BOQ dan KML survey. 29/01 Plan survey 30 Jan. 23/01 Plan anwijzing 26 Jan, Order Baru. 22/01 Order baru, proses penunjukan mitra</v>
      </c>
      <c r="R2561" s="228"/>
      <c r="S2561" s="11"/>
      <c r="T2561" s="11"/>
      <c r="U2561" s="11"/>
      <c r="V2561" s="229" t="str">
        <f>IFERROR(__xludf.DUMMYFUNCTION("""COMPUTED_VALUE"""),"MUHAMMAD RIDHO FALFO")</f>
        <v>MUHAMMAD RIDHO FALFO</v>
      </c>
      <c r="W2561" s="229"/>
      <c r="X2561" s="229"/>
      <c r="Y2561" s="229"/>
      <c r="Z2561" s="229" t="str">
        <f>IFERROR(__xludf.DUMMYFUNCTION("""COMPUTED_VALUE"""),"#N/A")</f>
        <v>#N/A</v>
      </c>
      <c r="AA2561" s="229"/>
      <c r="AB2561" s="229"/>
      <c r="AC2561" s="229"/>
      <c r="AD2561" s="232"/>
      <c r="AE2561" s="233"/>
      <c r="AF2561" s="54"/>
      <c r="AG2561" s="54"/>
      <c r="AH2561" s="54"/>
      <c r="AI2561" s="55" t="str">
        <f t="shared" si="236"/>
        <v/>
      </c>
      <c r="AW2561" s="234"/>
      <c r="BP2561" s="11"/>
      <c r="BQ2561" s="11"/>
      <c r="BV2561" s="158"/>
      <c r="BY2561" s="158"/>
      <c r="CB2561" s="158"/>
    </row>
    <row r="2562" ht="18.0" hidden="1" customHeight="1">
      <c r="A2562" s="222">
        <f>IFERROR(__xludf.DUMMYFUNCTION("""COMPUTED_VALUE"""),2026.0)</f>
        <v>2026</v>
      </c>
      <c r="B2562" s="221">
        <f>IFERROR(__xludf.DUMMYFUNCTION("""COMPUTED_VALUE"""),1.1450014E7)</f>
        <v>11450014</v>
      </c>
      <c r="C2562" s="222" t="str">
        <f>IFERROR(__xludf.DUMMYFUNCTION("""COMPUTED_VALUE"""),"ACH PT3 LGS-FAL D04 LANGSA BARO")</f>
        <v>ACH PT3 LGS-FAL D04 LANGSA BARO</v>
      </c>
      <c r="D2562" s="222" t="str">
        <f>IFERROR(__xludf.DUMMYFUNCTION("""COMPUTED_VALUE"""),"REGIONAL I")</f>
        <v>REGIONAL I</v>
      </c>
      <c r="E2562" s="222" t="str">
        <f>IFERROR(__xludf.DUMMYFUNCTION("""COMPUTED_VALUE"""),"ACEH")</f>
        <v>ACEH</v>
      </c>
      <c r="F2562" s="222" t="str">
        <f>IFERROR(__xludf.DUMMYFUNCTION("""COMPUTED_VALUE"""),"LGS")</f>
        <v>LGS</v>
      </c>
      <c r="G2562" s="222" t="str">
        <f>IFERROR(__xludf.DUMMYFUNCTION("""COMPUTED_VALUE"""),"SUMBAGUT")</f>
        <v>SUMBAGUT</v>
      </c>
      <c r="H2562" s="222" t="str">
        <f>IFERROR(__xludf.DUMMYFUNCTION("""COMPUTED_VALUE"""),"BINJAI")</f>
        <v>BINJAI</v>
      </c>
      <c r="I2562" s="222" t="str">
        <f>IFERROR(__xludf.DUMMYFUNCTION("""COMPUTED_VALUE"""),"Batch 3")</f>
        <v>Batch 3</v>
      </c>
      <c r="J2562" s="225">
        <f>IFERROR(__xludf.DUMMYFUNCTION("""COMPUTED_VALUE"""),15.0)</f>
        <v>15</v>
      </c>
      <c r="K2562" s="224">
        <f>IFERROR(__xludf.DUMMYFUNCTION("""COMPUTED_VALUE"""),120.0)</f>
        <v>120</v>
      </c>
      <c r="L2562" s="226">
        <f>IFERROR(__xludf.DUMMYFUNCTION("""COMPUTED_VALUE"""),743944.0)</f>
        <v>743944</v>
      </c>
      <c r="M2562" s="227">
        <f>IFERROR(__xludf.DUMMYFUNCTION("""COMPUTED_VALUE"""),8.9273251E7)</f>
        <v>89273251</v>
      </c>
      <c r="N2562" s="222" t="str">
        <f>IFERROR(__xludf.DUMMYFUNCTION("""COMPUTED_VALUE"""),"PT NURISA JAYA PERKASA")</f>
        <v>PT NURISA JAYA PERKASA</v>
      </c>
      <c r="O2562" s="222" t="str">
        <f>IFERROR(__xludf.DUMMYFUNCTION("""COMPUTED_VALUE"""),"7. GOLIVE")</f>
        <v>7. GOLIVE</v>
      </c>
      <c r="P2562" s="222" t="str">
        <f>IFERROR(__xludf.DUMMYFUNCTION("""COMPUTED_VALUE"""),"7.2 Golive Full / OA / DONE OTB")</f>
        <v>7.2 Golive Full / OA / DONE OTB</v>
      </c>
      <c r="Q2562" s="222" t="str">
        <f>IFERROR(__xludf.DUMMYFUNCTION("""COMPUTED_VALUE"""),"(11/02) pgl (09/02) ABD Mancore (22/01) Selesai Fisik, Waiting Big OLT STO LGS")</f>
        <v>(11/02) pgl (09/02) ABD Mancore (22/01) Selesai Fisik, Waiting Big OLT STO LGS</v>
      </c>
      <c r="R2562" s="228">
        <f>IFERROR(__xludf.DUMMYFUNCTION("""COMPUTED_VALUE"""),46070.0)</f>
        <v>46070</v>
      </c>
      <c r="S2562" s="11"/>
      <c r="T2562" s="11"/>
      <c r="U2562" s="11"/>
      <c r="V2562" s="229"/>
      <c r="W2562" s="229"/>
      <c r="X2562" s="229" t="str">
        <f>IFERROR(__xludf.DUMMYFUNCTION("""COMPUTED_VALUE"""),"GOLIVE")</f>
        <v>GOLIVE</v>
      </c>
      <c r="Y2562" s="229" t="str">
        <f>IFERROR(__xludf.DUMMYFUNCTION("""COMPUTED_VALUE"""),"DONE")</f>
        <v>DONE</v>
      </c>
      <c r="Z2562" s="229" t="str">
        <f>IFERROR(__xludf.DUMMYFUNCTION("""COMPUTED_VALUE"""),"#N/A")</f>
        <v>#N/A</v>
      </c>
      <c r="AA2562" s="229">
        <f>IFERROR(__xludf.DUMMYFUNCTION("""COMPUTED_VALUE"""),15.0)</f>
        <v>15</v>
      </c>
      <c r="AB2562" s="229"/>
      <c r="AC2562" s="229" t="str">
        <f>IFERROR(__xludf.DUMMYFUNCTION("""COMPUTED_VALUE"""),"9106812#9106817")</f>
        <v>9106812#9106817</v>
      </c>
      <c r="AD2562" s="232">
        <f>IFERROR(__xludf.DUMMYFUNCTION("""COMPUTED_VALUE"""),120.0)</f>
        <v>120</v>
      </c>
      <c r="AE2562" s="233">
        <f>IFERROR(__xludf.DUMMYFUNCTION("""COMPUTED_VALUE"""),46070.0)</f>
        <v>46070</v>
      </c>
      <c r="AF2562" s="54"/>
      <c r="AG2562" s="54"/>
      <c r="AH2562" s="54">
        <v>46070.0</v>
      </c>
      <c r="AI2562" s="55">
        <f t="shared" si="236"/>
        <v>0</v>
      </c>
      <c r="AW2562" s="234"/>
      <c r="BP2562" s="11"/>
      <c r="BQ2562" s="11"/>
      <c r="BV2562" s="158"/>
      <c r="BY2562" s="158"/>
      <c r="CB2562" s="158"/>
    </row>
    <row r="2563" ht="18.0" hidden="1" customHeight="1">
      <c r="A2563" s="222">
        <f>IFERROR(__xludf.DUMMYFUNCTION("""COMPUTED_VALUE"""),2026.0)</f>
        <v>2026</v>
      </c>
      <c r="B2563" s="221">
        <f>IFERROR(__xludf.DUMMYFUNCTION("""COMPUTED_VALUE"""),1.1532373E7)</f>
        <v>11532373</v>
      </c>
      <c r="C2563" s="222" t="str">
        <f>IFERROR(__xludf.DUMMYFUNCTION("""COMPUTED_VALUE"""),"MDN PT3 P7I13 SKI-FN JL. PUKAT BANTING 2")</f>
        <v>MDN PT3 P7I13 SKI-FN JL. PUKAT BANTING 2</v>
      </c>
      <c r="D2563" s="222" t="str">
        <f>IFERROR(__xludf.DUMMYFUNCTION("""COMPUTED_VALUE"""),"REGIONAL I")</f>
        <v>REGIONAL I</v>
      </c>
      <c r="E2563" s="222" t="str">
        <f>IFERROR(__xludf.DUMMYFUNCTION("""COMPUTED_VALUE"""),"MEDAN")</f>
        <v>MEDAN</v>
      </c>
      <c r="F2563" s="222" t="str">
        <f>IFERROR(__xludf.DUMMYFUNCTION("""COMPUTED_VALUE"""),"SKI")</f>
        <v>SKI</v>
      </c>
      <c r="G2563" s="222" t="str">
        <f>IFERROR(__xludf.DUMMYFUNCTION("""COMPUTED_VALUE"""),"SUMBAGUT")</f>
        <v>SUMBAGUT</v>
      </c>
      <c r="H2563" s="222" t="str">
        <f>IFERROR(__xludf.DUMMYFUNCTION("""COMPUTED_VALUE"""),"MEDAN")</f>
        <v>MEDAN</v>
      </c>
      <c r="I2563" s="222" t="str">
        <f>IFERROR(__xludf.DUMMYFUNCTION("""COMPUTED_VALUE"""),"Batch 3")</f>
        <v>Batch 3</v>
      </c>
      <c r="J2563" s="225">
        <f>IFERROR(__xludf.DUMMYFUNCTION("""COMPUTED_VALUE"""),12.0)</f>
        <v>12</v>
      </c>
      <c r="K2563" s="224">
        <f>IFERROR(__xludf.DUMMYFUNCTION("""COMPUTED_VALUE"""),96.0)</f>
        <v>96</v>
      </c>
      <c r="L2563" s="226">
        <f>IFERROR(__xludf.DUMMYFUNCTION("""COMPUTED_VALUE"""),565264.0)</f>
        <v>565264</v>
      </c>
      <c r="M2563" s="227">
        <f>IFERROR(__xludf.DUMMYFUNCTION("""COMPUTED_VALUE"""),5.426531E7)</f>
        <v>54265310</v>
      </c>
      <c r="N2563" s="222" t="str">
        <f>IFERROR(__xludf.DUMMYFUNCTION("""COMPUTED_VALUE"""),"PT DUL JAYA TAMA")</f>
        <v>PT DUL JAYA TAMA</v>
      </c>
      <c r="O2563" s="222" t="str">
        <f>IFERROR(__xludf.DUMMYFUNCTION("""COMPUTED_VALUE"""),"2. DONE AANWIJZING")</f>
        <v>2. DONE AANWIJZING</v>
      </c>
      <c r="P2563" s="222" t="str">
        <f>IFERROR(__xludf.DUMMYFUNCTION("""COMPUTED_VALUE"""),"2.10 Kendala - Feeder Rusak")</f>
        <v>2.10 Kendala - Feeder Rusak</v>
      </c>
      <c r="Q2563" s="222" t="str">
        <f>IFERROR(__xludf.DUMMYFUNCTION("""COMPUTED_VALUE"""),"21/04 pengecekan tipus / butuh qe
29/01 Done Order, lnjut Aanwidzing")</f>
        <v>21/04 pengecekan tipus / butuh qe
29/01 Done Order, lnjut Aanwidzing</v>
      </c>
      <c r="R2563" s="228"/>
      <c r="S2563" s="11"/>
      <c r="T2563" s="11"/>
      <c r="U2563" s="11"/>
      <c r="V2563" s="229"/>
      <c r="W2563" s="229"/>
      <c r="X2563" s="229" t="str">
        <f>IFERROR(__xludf.DUMMYFUNCTION("""COMPUTED_VALUE"""),"BELUM GOLIVE")</f>
        <v>BELUM GOLIVE</v>
      </c>
      <c r="Y2563" s="229"/>
      <c r="Z2563" s="229" t="str">
        <f>IFERROR(__xludf.DUMMYFUNCTION("""COMPUTED_VALUE"""),"#N/A")</f>
        <v>#N/A</v>
      </c>
      <c r="AA2563" s="229"/>
      <c r="AB2563" s="229"/>
      <c r="AC2563" s="229"/>
      <c r="AD2563" s="232"/>
      <c r="AE2563" s="233"/>
      <c r="AF2563" s="54"/>
      <c r="AG2563" s="54"/>
      <c r="AH2563" s="54"/>
      <c r="AI2563" s="55" t="str">
        <f t="shared" si="236"/>
        <v/>
      </c>
      <c r="AW2563" s="234"/>
      <c r="BP2563" s="11"/>
      <c r="BQ2563" s="11"/>
      <c r="BV2563" s="158"/>
      <c r="BY2563" s="158"/>
      <c r="CB2563" s="158"/>
    </row>
    <row r="2564" ht="18.0" hidden="1" customHeight="1">
      <c r="A2564" s="222">
        <f>IFERROR(__xludf.DUMMYFUNCTION("""COMPUTED_VALUE"""),2026.0)</f>
        <v>2026</v>
      </c>
      <c r="B2564" s="221">
        <f>IFERROR(__xludf.DUMMYFUNCTION("""COMPUTED_VALUE"""),1.2431277E7)</f>
        <v>12431277</v>
      </c>
      <c r="C2564" s="222" t="str">
        <f>IFERROR(__xludf.DUMMYFUNCTION("""COMPUTED_VALUE"""),"MDN PT3 TJM-FM JL.PERAK")</f>
        <v>MDN PT3 TJM-FM JL.PERAK</v>
      </c>
      <c r="D2564" s="222" t="str">
        <f>IFERROR(__xludf.DUMMYFUNCTION("""COMPUTED_VALUE"""),"REGIONAL I")</f>
        <v>REGIONAL I</v>
      </c>
      <c r="E2564" s="222" t="str">
        <f>IFERROR(__xludf.DUMMYFUNCTION("""COMPUTED_VALUE"""),"MEDAN")</f>
        <v>MEDAN</v>
      </c>
      <c r="F2564" s="222" t="str">
        <f>IFERROR(__xludf.DUMMYFUNCTION("""COMPUTED_VALUE"""),"TJM")</f>
        <v>TJM</v>
      </c>
      <c r="G2564" s="222" t="str">
        <f>IFERROR(__xludf.DUMMYFUNCTION("""COMPUTED_VALUE"""),"SUMBAGUT")</f>
        <v>SUMBAGUT</v>
      </c>
      <c r="H2564" s="222" t="str">
        <f>IFERROR(__xludf.DUMMYFUNCTION("""COMPUTED_VALUE"""),"MEDAN")</f>
        <v>MEDAN</v>
      </c>
      <c r="I2564" s="222" t="str">
        <f>IFERROR(__xludf.DUMMYFUNCTION("""COMPUTED_VALUE"""),"Batch 3")</f>
        <v>Batch 3</v>
      </c>
      <c r="J2564" s="225">
        <f>IFERROR(__xludf.DUMMYFUNCTION("""COMPUTED_VALUE"""),2.0)</f>
        <v>2</v>
      </c>
      <c r="K2564" s="224">
        <f>IFERROR(__xludf.DUMMYFUNCTION("""COMPUTED_VALUE"""),16.0)</f>
        <v>16</v>
      </c>
      <c r="L2564" s="226">
        <f>IFERROR(__xludf.DUMMYFUNCTION("""COMPUTED_VALUE"""),564635.0)</f>
        <v>564635</v>
      </c>
      <c r="M2564" s="227">
        <f>IFERROR(__xludf.DUMMYFUNCTION("""COMPUTED_VALUE"""),9034145.0)</f>
        <v>9034145</v>
      </c>
      <c r="N2564" s="222" t="str">
        <f>IFERROR(__xludf.DUMMYFUNCTION("""COMPUTED_VALUE"""),"PT GLOBAL KARYA WANDA")</f>
        <v>PT GLOBAL KARYA WANDA</v>
      </c>
      <c r="O2564" s="222" t="str">
        <f>IFERROR(__xludf.DUMMYFUNCTION("""COMPUTED_VALUE"""),"0. DROP")</f>
        <v>0. DROP</v>
      </c>
      <c r="P2564" s="222" t="str">
        <f>IFERROR(__xludf.DUMMYFUNCTION("""COMPUTED_VALUE"""),"0.3 Feeder Full")</f>
        <v>0.3 Feeder Full</v>
      </c>
      <c r="Q2564" s="222" t="str">
        <f>IFERROR(__xludf.DUMMYFUNCTION("""COMPUTED_VALUE"""),"08/03 Feeder Penuh 25/02 Feeder Redti")</f>
        <v>08/03 Feeder Penuh 25/02 Feeder Redti</v>
      </c>
      <c r="R2564" s="228"/>
      <c r="S2564" s="11"/>
      <c r="T2564" s="11"/>
      <c r="U2564" s="11"/>
      <c r="V2564" s="229"/>
      <c r="W2564" s="229"/>
      <c r="X2564" s="229" t="str">
        <f>IFERROR(__xludf.DUMMYFUNCTION("""COMPUTED_VALUE"""),"BELUM GOLIVE")</f>
        <v>BELUM GOLIVE</v>
      </c>
      <c r="Y2564" s="229"/>
      <c r="Z2564" s="229" t="str">
        <f>IFERROR(__xludf.DUMMYFUNCTION("""COMPUTED_VALUE"""),"#N/A")</f>
        <v>#N/A</v>
      </c>
      <c r="AA2564" s="229"/>
      <c r="AB2564" s="229"/>
      <c r="AC2564" s="229"/>
      <c r="AD2564" s="232"/>
      <c r="AE2564" s="233"/>
      <c r="AF2564" s="54"/>
      <c r="AG2564" s="54"/>
      <c r="AH2564" s="54"/>
      <c r="AI2564" s="55" t="str">
        <f t="shared" si="236"/>
        <v/>
      </c>
      <c r="AW2564" s="234"/>
      <c r="BP2564" s="11"/>
      <c r="BQ2564" s="11"/>
      <c r="BV2564" s="158"/>
      <c r="BY2564" s="158"/>
      <c r="CB2564" s="158"/>
    </row>
    <row r="2565" ht="18.0" customHeight="1">
      <c r="A2565" s="222">
        <f>IFERROR(__xludf.DUMMYFUNCTION("""COMPUTED_VALUE"""),2026.0)</f>
        <v>2026</v>
      </c>
      <c r="B2565" s="221">
        <f>IFERROR(__xludf.DUMMYFUNCTION("""COMPUTED_VALUE"""),1.2525195E7)</f>
        <v>12525195</v>
      </c>
      <c r="C2565" s="222" t="str">
        <f>IFERROR(__xludf.DUMMYFUNCTION("""COMPUTED_VALUE"""),"RKP TSEL PT3 BTC-FEC 250_492_4047")</f>
        <v>RKP TSEL PT3 BTC-FEC 250_492_4047</v>
      </c>
      <c r="D2565" s="222" t="str">
        <f>IFERROR(__xludf.DUMMYFUNCTION("""COMPUTED_VALUE"""),"REGIONAL I")</f>
        <v>REGIONAL I</v>
      </c>
      <c r="E2565" s="222" t="str">
        <f>IFERROR(__xludf.DUMMYFUNCTION("""COMPUTED_VALUE"""),"RIKEP")</f>
        <v>RIKEP</v>
      </c>
      <c r="F2565" s="222" t="str">
        <f>IFERROR(__xludf.DUMMYFUNCTION("""COMPUTED_VALUE"""),"BTC")</f>
        <v>BTC</v>
      </c>
      <c r="G2565" s="222" t="str">
        <f>IFERROR(__xludf.DUMMYFUNCTION("""COMPUTED_VALUE"""),"SUMBAGTENG")</f>
        <v>SUMBAGTENG</v>
      </c>
      <c r="H2565" s="222" t="str">
        <f>IFERROR(__xludf.DUMMYFUNCTION("""COMPUTED_VALUE"""),"BATAM")</f>
        <v>BATAM</v>
      </c>
      <c r="I2565" s="222" t="str">
        <f>IFERROR(__xludf.DUMMYFUNCTION("""COMPUTED_VALUE"""),"Batch 3")</f>
        <v>Batch 3</v>
      </c>
      <c r="J2565" s="225">
        <f>IFERROR(__xludf.DUMMYFUNCTION("""COMPUTED_VALUE"""),5.0)</f>
        <v>5</v>
      </c>
      <c r="K2565" s="224">
        <f>IFERROR(__xludf.DUMMYFUNCTION("""COMPUTED_VALUE"""),40.0)</f>
        <v>40</v>
      </c>
      <c r="L2565" s="226">
        <f>IFERROR(__xludf.DUMMYFUNCTION("""COMPUTED_VALUE"""),564086.0)</f>
        <v>564086</v>
      </c>
      <c r="M2565" s="227">
        <f>IFERROR(__xludf.DUMMYFUNCTION("""COMPUTED_VALUE"""),2.256343E7)</f>
        <v>22563430</v>
      </c>
      <c r="N2565" s="222" t="str">
        <f>IFERROR(__xludf.DUMMYFUNCTION("""COMPUTED_VALUE"""),"PT MITRA SETIA INDONESIA")</f>
        <v>PT MITRA SETIA INDONESIA</v>
      </c>
      <c r="O2565" s="222" t="str">
        <f>IFERROR(__xludf.DUMMYFUNCTION("""COMPUTED_VALUE"""),"0. DROP")</f>
        <v>0. DROP</v>
      </c>
      <c r="P2565" s="222" t="str">
        <f>IFERROR(__xludf.DUMMYFUNCTION("""COMPUTED_VALUE"""),"0.2 Tidak Dapat Izin Warga/Kades/Lurah/Developer")</f>
        <v>0.2 Tidak Dapat Izin Warga/Kades/Lurah/Developer</v>
      </c>
      <c r="Q2565" s="222" t="str">
        <f>IFERROR(__xludf.DUMMYFUNCTION("""COMPUTED_VALUE"""),"04/03 Izin belum di acc karena RT sudah musyawarah bersama warga, namun warga banyak yang tidak setuju. 
26/02 dari 3 RT, baru 1 yang bisa di jumpai, FU Kembali. 21/02 Peralihan mitra karena mitra tidak ada MP, dari mitra PT ALTONG ke PT MSI. 09/02 LOP bl"&amp;"m di survey PT altong. 28/01 Plan survey HI. 26/01  Mitra PT Altong menolak order alasan MP, peralihan mitra. 21/01 plan fu perizinan tanggal 26 Jan")</f>
        <v>04/03 Izin belum di acc karena RT sudah musyawarah bersama warga, namun warga banyak yang tidak setuju. 
26/02 dari 3 RT, baru 1 yang bisa di jumpai, FU Kembali. 21/02 Peralihan mitra karena mitra tidak ada MP, dari mitra PT ALTONG ke PT MSI. 09/02 LOP blm di survey PT altong. 28/01 Plan survey HI. 26/01  Mitra PT Altong menolak order alasan MP, peralihan mitra. 21/01 plan fu perizinan tanggal 26 Jan</v>
      </c>
      <c r="R2565" s="228"/>
      <c r="S2565" s="11"/>
      <c r="T2565" s="11"/>
      <c r="U2565" s="11"/>
      <c r="V2565" s="229" t="str">
        <f>IFERROR(__xludf.DUMMYFUNCTION("""COMPUTED_VALUE"""),"GANI PRASTYO")</f>
        <v>GANI PRASTYO</v>
      </c>
      <c r="W2565" s="229"/>
      <c r="X2565" s="229"/>
      <c r="Y2565" s="229"/>
      <c r="Z2565" s="229" t="str">
        <f>IFERROR(__xludf.DUMMYFUNCTION("""COMPUTED_VALUE"""),"#N/A")</f>
        <v>#N/A</v>
      </c>
      <c r="AA2565" s="229"/>
      <c r="AB2565" s="229"/>
      <c r="AC2565" s="229"/>
      <c r="AD2565" s="232"/>
      <c r="AE2565" s="233"/>
      <c r="AF2565" s="54"/>
      <c r="AG2565" s="54"/>
      <c r="AH2565" s="54"/>
      <c r="AI2565" s="55" t="str">
        <f t="shared" si="236"/>
        <v/>
      </c>
      <c r="AW2565" s="234"/>
      <c r="BP2565" s="11"/>
      <c r="BQ2565" s="11"/>
      <c r="BV2565" s="158"/>
      <c r="BY2565" s="158"/>
      <c r="CB2565" s="158"/>
    </row>
    <row r="2566" ht="18.0" customHeight="1">
      <c r="A2566" s="222">
        <f>IFERROR(__xludf.DUMMYFUNCTION("""COMPUTED_VALUE"""),2026.0)</f>
        <v>2026</v>
      </c>
      <c r="B2566" s="221">
        <f>IFERROR(__xludf.DUMMYFUNCTION("""COMPUTED_VALUE"""),1.259697E7)</f>
        <v>12596970</v>
      </c>
      <c r="C2566" s="222" t="str">
        <f>IFERROR(__xludf.DUMMYFUNCTION("""COMPUTED_VALUE"""),"SMB-PT3-ODC-PNA-FB-LIMA PULUH KOTA_36467")</f>
        <v>SMB-PT3-ODC-PNA-FB-LIMA PULUH KOTA_36467</v>
      </c>
      <c r="D2566" s="222" t="str">
        <f>IFERROR(__xludf.DUMMYFUNCTION("""COMPUTED_VALUE"""),"REGIONAL I")</f>
        <v>REGIONAL I</v>
      </c>
      <c r="E2566" s="222" t="str">
        <f>IFERROR(__xludf.DUMMYFUNCTION("""COMPUTED_VALUE"""),"SUMBAR")</f>
        <v>SUMBAR</v>
      </c>
      <c r="F2566" s="222" t="str">
        <f>IFERROR(__xludf.DUMMYFUNCTION("""COMPUTED_VALUE"""),"PNA")</f>
        <v>PNA</v>
      </c>
      <c r="G2566" s="222" t="str">
        <f>IFERROR(__xludf.DUMMYFUNCTION("""COMPUTED_VALUE"""),"SUMBAGTENG")</f>
        <v>SUMBAGTENG</v>
      </c>
      <c r="H2566" s="222" t="str">
        <f>IFERROR(__xludf.DUMMYFUNCTION("""COMPUTED_VALUE"""),"BUKIT TINGGI")</f>
        <v>BUKIT TINGGI</v>
      </c>
      <c r="I2566" s="222" t="str">
        <f>IFERROR(__xludf.DUMMYFUNCTION("""COMPUTED_VALUE"""),"Batch 3")</f>
        <v>Batch 3</v>
      </c>
      <c r="J2566" s="225">
        <f>IFERROR(__xludf.DUMMYFUNCTION("""COMPUTED_VALUE"""),3.0)</f>
        <v>3</v>
      </c>
      <c r="K2566" s="224">
        <f>IFERROR(__xludf.DUMMYFUNCTION("""COMPUTED_VALUE"""),24.0)</f>
        <v>24</v>
      </c>
      <c r="L2566" s="226">
        <f>IFERROR(__xludf.DUMMYFUNCTION("""COMPUTED_VALUE"""),558218.0)</f>
        <v>558218</v>
      </c>
      <c r="M2566" s="227">
        <f>IFERROR(__xludf.DUMMYFUNCTION("""COMPUTED_VALUE"""),1.339722E7)</f>
        <v>13397220</v>
      </c>
      <c r="N2566" s="222" t="str">
        <f>IFERROR(__xludf.DUMMYFUNCTION("""COMPUTED_VALUE"""),"PT RATRI PRIMA MANDIRI")</f>
        <v>PT RATRI PRIMA MANDIRI</v>
      </c>
      <c r="O2566" s="222" t="str">
        <f>IFERROR(__xludf.DUMMYFUNCTION("""COMPUTED_VALUE"""),"2. DONE AANWIJZING")</f>
        <v>2. DONE AANWIJZING</v>
      </c>
      <c r="P2566" s="222" t="str">
        <f>IFERROR(__xludf.DUMMYFUNCTION("""COMPUTED_VALUE"""),"2.9 Kendala - Distribusi Penuh / Rusak")</f>
        <v>2.9 Kendala - Distribusi Penuh / Rusak</v>
      </c>
      <c r="Q2566" s="222" t="str">
        <f>IFERROR(__xludf.DUMMYFUNCTION("""COMPUTED_VALUE"""),"(03/02) kendala core dist 6 PNA-FB sisa 3 core, kebutuhan 9 ODP, solusi new dist kenaikan lebih 10%(29/01) Done aanwijziing  , proses eval")</f>
        <v>(03/02) kendala core dist 6 PNA-FB sisa 3 core, kebutuhan 9 ODP, solusi new dist kenaikan lebih 10%(29/01) Done aanwijziing  , proses eval</v>
      </c>
      <c r="R2566" s="228"/>
      <c r="S2566" s="11"/>
      <c r="T2566" s="11"/>
      <c r="U2566" s="11"/>
      <c r="V2566" s="229" t="str">
        <f>IFERROR(__xludf.DUMMYFUNCTION("""COMPUTED_VALUE"""),"M. ARIF HAMADI")</f>
        <v>M. ARIF HAMADI</v>
      </c>
      <c r="W2566" s="229" t="str">
        <f>IFERROR(__xludf.DUMMYFUNCTION("""COMPUTED_VALUE"""),"MELKO NARWADI")</f>
        <v>MELKO NARWADI</v>
      </c>
      <c r="X2566" s="229"/>
      <c r="Y2566" s="229"/>
      <c r="Z2566" s="229" t="str">
        <f>IFERROR(__xludf.DUMMYFUNCTION("""COMPUTED_VALUE"""),"#N/A")</f>
        <v>#N/A</v>
      </c>
      <c r="AA2566" s="229"/>
      <c r="AB2566" s="229"/>
      <c r="AC2566" s="229"/>
      <c r="AD2566" s="232"/>
      <c r="AE2566" s="233"/>
      <c r="AF2566" s="54"/>
      <c r="AG2566" s="54"/>
      <c r="AH2566" s="54"/>
      <c r="AI2566" s="55" t="str">
        <f t="shared" si="236"/>
        <v/>
      </c>
      <c r="AW2566" s="234"/>
      <c r="BP2566" s="11"/>
      <c r="BQ2566" s="11"/>
      <c r="BV2566" s="158"/>
      <c r="BY2566" s="158"/>
      <c r="CB2566" s="158"/>
    </row>
    <row r="2567" ht="18.0" customHeight="1">
      <c r="A2567" s="222">
        <f>IFERROR(__xludf.DUMMYFUNCTION("""COMPUTED_VALUE"""),2026.0)</f>
        <v>2026</v>
      </c>
      <c r="B2567" s="221">
        <f>IFERROR(__xludf.DUMMYFUNCTION("""COMPUTED_VALUE"""),1.253765E7)</f>
        <v>12537650</v>
      </c>
      <c r="C2567" s="222" t="str">
        <f>IFERROR(__xludf.DUMMYFUNCTION("""COMPUTED_VALUE"""),"RKP TSEL PT3 SLU-FB 250_464_3994")</f>
        <v>RKP TSEL PT3 SLU-FB 250_464_3994</v>
      </c>
      <c r="D2567" s="222" t="str">
        <f>IFERROR(__xludf.DUMMYFUNCTION("""COMPUTED_VALUE"""),"REGIONAL I")</f>
        <v>REGIONAL I</v>
      </c>
      <c r="E2567" s="222" t="str">
        <f>IFERROR(__xludf.DUMMYFUNCTION("""COMPUTED_VALUE"""),"RIKEP")</f>
        <v>RIKEP</v>
      </c>
      <c r="F2567" s="222" t="str">
        <f>IFERROR(__xludf.DUMMYFUNCTION("""COMPUTED_VALUE"""),"SLU")</f>
        <v>SLU</v>
      </c>
      <c r="G2567" s="222" t="str">
        <f>IFERROR(__xludf.DUMMYFUNCTION("""COMPUTED_VALUE"""),"SUMBAGTENG")</f>
        <v>SUMBAGTENG</v>
      </c>
      <c r="H2567" s="222" t="str">
        <f>IFERROR(__xludf.DUMMYFUNCTION("""COMPUTED_VALUE"""),"BATAM")</f>
        <v>BATAM</v>
      </c>
      <c r="I2567" s="222" t="str">
        <f>IFERROR(__xludf.DUMMYFUNCTION("""COMPUTED_VALUE"""),"Batch 3")</f>
        <v>Batch 3</v>
      </c>
      <c r="J2567" s="225">
        <f>IFERROR(__xludf.DUMMYFUNCTION("""COMPUTED_VALUE"""),1.0)</f>
        <v>1</v>
      </c>
      <c r="K2567" s="224">
        <f>IFERROR(__xludf.DUMMYFUNCTION("""COMPUTED_VALUE"""),8.0)</f>
        <v>8</v>
      </c>
      <c r="L2567" s="226">
        <f>IFERROR(__xludf.DUMMYFUNCTION("""COMPUTED_VALUE"""),547494.0)</f>
        <v>547494</v>
      </c>
      <c r="M2567" s="227">
        <f>IFERROR(__xludf.DUMMYFUNCTION("""COMPUTED_VALUE"""),4379951.0)</f>
        <v>4379951</v>
      </c>
      <c r="N2567" s="222" t="str">
        <f>IFERROR(__xludf.DUMMYFUNCTION("""COMPUTED_VALUE"""),"PT MITRA HOSINDO SEJAHTERA")</f>
        <v>PT MITRA HOSINDO SEJAHTERA</v>
      </c>
      <c r="O2567" s="222" t="str">
        <f>IFERROR(__xludf.DUMMYFUNCTION("""COMPUTED_VALUE"""),"0. DROP")</f>
        <v>0. DROP</v>
      </c>
      <c r="P2567" s="222" t="str">
        <f>IFERROR(__xludf.DUMMYFUNCTION("""COMPUTED_VALUE"""),"0.2 Tidak Dapat Izin Warga/Kades/Lurah/Developer")</f>
        <v>0.2 Tidak Dapat Izin Warga/Kades/Lurah/Developer</v>
      </c>
      <c r="Q2567" s="222" t="str">
        <f>IFERROR(__xludf.DUMMYFUNCTION("""COMPUTED_VALUE"""),"11/02 Developer tunas regency menolak segala jenis kegiatan project dan meminta kompensasi 75jt per bulan. 09/02 Plan anwijzing 11 Feb 2026. 29/01 Plan survey 30 Jan. 23/01 Plan anwijzing 26 Jan, Order Baru. 22/01 Order baru, proses penunjukan mitra")</f>
        <v>11/02 Developer tunas regency menolak segala jenis kegiatan project dan meminta kompensasi 75jt per bulan. 09/02 Plan anwijzing 11 Feb 2026. 29/01 Plan survey 30 Jan. 23/01 Plan anwijzing 26 Jan, Order Baru. 22/01 Order baru, proses penunjukan mitra</v>
      </c>
      <c r="R2567" s="228"/>
      <c r="S2567" s="11"/>
      <c r="T2567" s="11"/>
      <c r="U2567" s="11"/>
      <c r="V2567" s="229" t="str">
        <f>IFERROR(__xludf.DUMMYFUNCTION("""COMPUTED_VALUE"""),"MUHAMMAD RIDHO FALFO")</f>
        <v>MUHAMMAD RIDHO FALFO</v>
      </c>
      <c r="W2567" s="229"/>
      <c r="X2567" s="229"/>
      <c r="Y2567" s="229"/>
      <c r="Z2567" s="229" t="str">
        <f>IFERROR(__xludf.DUMMYFUNCTION("""COMPUTED_VALUE"""),"#N/A")</f>
        <v>#N/A</v>
      </c>
      <c r="AA2567" s="229"/>
      <c r="AB2567" s="229"/>
      <c r="AC2567" s="229"/>
      <c r="AD2567" s="232"/>
      <c r="AE2567" s="233"/>
      <c r="AF2567" s="54" t="str">
        <f>IFERROR(__xludf.DUMMYFUNCTION("""COMPUTED_VALUE"""),"Draft BA DROP")</f>
        <v>Draft BA DROP</v>
      </c>
      <c r="AG2567" s="54"/>
      <c r="AH2567" s="54"/>
      <c r="AI2567" s="55" t="str">
        <f t="shared" si="236"/>
        <v/>
      </c>
      <c r="AW2567" s="234"/>
      <c r="BP2567" s="11"/>
      <c r="BQ2567" s="11"/>
      <c r="BV2567" s="158"/>
      <c r="BY2567" s="158"/>
      <c r="CB2567" s="158"/>
    </row>
    <row r="2568" ht="18.0" customHeight="1">
      <c r="A2568" s="222">
        <f>IFERROR(__xludf.DUMMYFUNCTION("""COMPUTED_VALUE"""),2026.0)</f>
        <v>2026</v>
      </c>
      <c r="B2568" s="221">
        <f>IFERROR(__xludf.DUMMYFUNCTION("""COMPUTED_VALUE"""),1.2785323E7)</f>
        <v>12785323</v>
      </c>
      <c r="C2568" s="222" t="str">
        <f>IFERROR(__xludf.DUMMYFUNCTION("""COMPUTED_VALUE"""),"SMB PT3-BDT-FP KOTA PADANG_107671")</f>
        <v>SMB PT3-BDT-FP KOTA PADANG_107671</v>
      </c>
      <c r="D2568" s="222" t="str">
        <f>IFERROR(__xludf.DUMMYFUNCTION("""COMPUTED_VALUE"""),"REGIONAL I")</f>
        <v>REGIONAL I</v>
      </c>
      <c r="E2568" s="222" t="str">
        <f>IFERROR(__xludf.DUMMYFUNCTION("""COMPUTED_VALUE"""),"SUMBAR")</f>
        <v>SUMBAR</v>
      </c>
      <c r="F2568" s="222" t="str">
        <f>IFERROR(__xludf.DUMMYFUNCTION("""COMPUTED_VALUE"""),"BDT")</f>
        <v>BDT</v>
      </c>
      <c r="G2568" s="222" t="str">
        <f>IFERROR(__xludf.DUMMYFUNCTION("""COMPUTED_VALUE"""),"SUMBAGTENG")</f>
        <v>SUMBAGTENG</v>
      </c>
      <c r="H2568" s="222" t="str">
        <f>IFERROR(__xludf.DUMMYFUNCTION("""COMPUTED_VALUE"""),"PADANG")</f>
        <v>PADANG</v>
      </c>
      <c r="I2568" s="222" t="str">
        <f>IFERROR(__xludf.DUMMYFUNCTION("""COMPUTED_VALUE"""),"Batch 3")</f>
        <v>Batch 3</v>
      </c>
      <c r="J2568" s="225">
        <f>IFERROR(__xludf.DUMMYFUNCTION("""COMPUTED_VALUE"""),5.0)</f>
        <v>5</v>
      </c>
      <c r="K2568" s="224">
        <f>IFERROR(__xludf.DUMMYFUNCTION("""COMPUTED_VALUE"""),40.0)</f>
        <v>40</v>
      </c>
      <c r="L2568" s="226">
        <f>IFERROR(__xludf.DUMMYFUNCTION("""COMPUTED_VALUE"""),547459.0)</f>
        <v>547459</v>
      </c>
      <c r="M2568" s="227">
        <f>IFERROR(__xludf.DUMMYFUNCTION("""COMPUTED_VALUE"""),2.1898346E7)</f>
        <v>21898346</v>
      </c>
      <c r="N2568" s="222" t="str">
        <f>IFERROR(__xludf.DUMMYFUNCTION("""COMPUTED_VALUE"""),"PT TRI PENAMAS")</f>
        <v>PT TRI PENAMAS</v>
      </c>
      <c r="O2568" s="222" t="str">
        <f>IFERROR(__xludf.DUMMYFUNCTION("""COMPUTED_VALUE"""),"0. DROP")</f>
        <v>0. DROP</v>
      </c>
      <c r="P2568" s="222" t="str">
        <f>IFERROR(__xludf.DUMMYFUNCTION("""COMPUTED_VALUE"""),"0.3 Feeder Full")</f>
        <v>0.3 Feeder Full</v>
      </c>
      <c r="Q2568" s="222" t="str">
        <f>IFERROR(__xludf.DUMMYFUNCTION("""COMPUTED_VALUE"""),"(30/01) Kendala feeder BDT-FP FULL")</f>
        <v>(30/01) Kendala feeder BDT-FP FULL</v>
      </c>
      <c r="R2568" s="228"/>
      <c r="S2568" s="11"/>
      <c r="T2568" s="11"/>
      <c r="U2568" s="11"/>
      <c r="V2568" s="229" t="str">
        <f>IFERROR(__xludf.DUMMYFUNCTION("""COMPUTED_VALUE"""),"FABIO RAHMAN")</f>
        <v>FABIO RAHMAN</v>
      </c>
      <c r="W2568" s="229" t="str">
        <f>IFERROR(__xludf.DUMMYFUNCTION("""COMPUTED_VALUE"""),"MELKO NARWADI")</f>
        <v>MELKO NARWADI</v>
      </c>
      <c r="X2568" s="229"/>
      <c r="Y2568" s="229"/>
      <c r="Z2568" s="229" t="str">
        <f>IFERROR(__xludf.DUMMYFUNCTION("""COMPUTED_VALUE"""),"#N/A")</f>
        <v>#N/A</v>
      </c>
      <c r="AA2568" s="229"/>
      <c r="AB2568" s="229"/>
      <c r="AC2568" s="229"/>
      <c r="AD2568" s="232"/>
      <c r="AE2568" s="233"/>
      <c r="AF2568" s="54" t="str">
        <f>IFERROR(__xludf.DUMMYFUNCTION("""COMPUTED_VALUE"""),"Draft BA DROP")</f>
        <v>Draft BA DROP</v>
      </c>
      <c r="AG2568" s="54"/>
      <c r="AH2568" s="54"/>
      <c r="AI2568" s="55" t="str">
        <f t="shared" si="236"/>
        <v/>
      </c>
      <c r="AW2568" s="234"/>
      <c r="BP2568" s="11"/>
      <c r="BQ2568" s="11"/>
      <c r="BV2568" s="158"/>
      <c r="BY2568" s="158"/>
      <c r="CB2568" s="158"/>
    </row>
    <row r="2569" ht="18.0" hidden="1" customHeight="1">
      <c r="A2569" s="222">
        <f>IFERROR(__xludf.DUMMYFUNCTION("""COMPUTED_VALUE"""),2026.0)</f>
        <v>2026</v>
      </c>
      <c r="B2569" s="221">
        <f>IFERROR(__xludf.DUMMYFUNCTION("""COMPUTED_VALUE"""),1.215948E7)</f>
        <v>12159480</v>
      </c>
      <c r="C2569" s="222" t="str">
        <f>IFERROR(__xludf.DUMMYFUNCTION("""COMPUTED_VALUE"""),"LPG PT3 JPP LAMPUNG TENGAH_160482 MET")</f>
        <v>LPG PT3 JPP LAMPUNG TENGAH_160482 MET</v>
      </c>
      <c r="D2569" s="222" t="str">
        <f>IFERROR(__xludf.DUMMYFUNCTION("""COMPUTED_VALUE"""),"REGIONAL I")</f>
        <v>REGIONAL I</v>
      </c>
      <c r="E2569" s="222" t="str">
        <f>IFERROR(__xludf.DUMMYFUNCTION("""COMPUTED_VALUE"""),"LAMPUNG")</f>
        <v>LAMPUNG</v>
      </c>
      <c r="F2569" s="222" t="str">
        <f>IFERROR(__xludf.DUMMYFUNCTION("""COMPUTED_VALUE"""),"MET")</f>
        <v>MET</v>
      </c>
      <c r="G2569" s="222" t="str">
        <f>IFERROR(__xludf.DUMMYFUNCTION("""COMPUTED_VALUE"""),"SUMBAGSEL")</f>
        <v>SUMBAGSEL</v>
      </c>
      <c r="H2569" s="222" t="str">
        <f>IFERROR(__xludf.DUMMYFUNCTION("""COMPUTED_VALUE"""),"LAMPUNG")</f>
        <v>LAMPUNG</v>
      </c>
      <c r="I2569" s="222" t="str">
        <f>IFERROR(__xludf.DUMMYFUNCTION("""COMPUTED_VALUE"""),"Batch 3")</f>
        <v>Batch 3</v>
      </c>
      <c r="J2569" s="225">
        <f>IFERROR(__xludf.DUMMYFUNCTION("""COMPUTED_VALUE"""),5.0)</f>
        <v>5</v>
      </c>
      <c r="K2569" s="224">
        <f>IFERROR(__xludf.DUMMYFUNCTION("""COMPUTED_VALUE"""),40.0)</f>
        <v>40</v>
      </c>
      <c r="L2569" s="226">
        <f>IFERROR(__xludf.DUMMYFUNCTION("""COMPUTED_VALUE"""),544345.0)</f>
        <v>544345</v>
      </c>
      <c r="M2569" s="227">
        <f>IFERROR(__xludf.DUMMYFUNCTION("""COMPUTED_VALUE"""),2.1773795E7)</f>
        <v>21773795</v>
      </c>
      <c r="N2569" s="222" t="str">
        <f>IFERROR(__xludf.DUMMYFUNCTION("""COMPUTED_VALUE"""),"PT GARINDO TECHNO MANDIRI")</f>
        <v>PT GARINDO TECHNO MANDIRI</v>
      </c>
      <c r="O2569" s="222" t="str">
        <f>IFERROR(__xludf.DUMMYFUNCTION("""COMPUTED_VALUE"""),"0. DROP")</f>
        <v>0. DROP</v>
      </c>
      <c r="P2569" s="222" t="str">
        <f>IFERROR(__xludf.DUMMYFUNCTION("""COMPUTED_VALUE"""),"0.4 CPP Tinggi Acc ED TIF")</f>
        <v>0.4 CPP Tinggi Acc ED TIF</v>
      </c>
      <c r="Q2569" s="222" t="str">
        <f>IFERROR(__xludf.DUMMYFUNCTION("""COMPUTED_VALUE"""),"14/4 drop cpp tinggi,  3/3 Drop - tidak ada Alternative lain  6/2 distribus tidak aday yang tembus butuh qe core fedeer sisa 2 ,buth 3 fedeer 
4/2 progres prizinan dan eletrical 
30/1 plan anwizing 
23/1 plan anwizing tanggal 26/1")</f>
        <v>14/4 drop cpp tinggi,  3/3 Drop - tidak ada Alternative lain  6/2 distribus tidak aday yang tembus butuh qe core fedeer sisa 2 ,buth 3 fedeer 
4/2 progres prizinan dan eletrical 
30/1 plan anwizing 
23/1 plan anwizing tanggal 26/1</v>
      </c>
      <c r="R2569" s="228"/>
      <c r="S2569" s="11"/>
      <c r="T2569" s="11"/>
      <c r="U2569" s="11"/>
      <c r="V2569" s="229"/>
      <c r="W2569" s="229"/>
      <c r="X2569" s="229"/>
      <c r="Y2569" s="229"/>
      <c r="Z2569" s="229" t="str">
        <f>IFERROR(__xludf.DUMMYFUNCTION("""COMPUTED_VALUE"""),"#N/A")</f>
        <v>#N/A</v>
      </c>
      <c r="AA2569" s="229"/>
      <c r="AB2569" s="229"/>
      <c r="AC2569" s="229"/>
      <c r="AD2569" s="232"/>
      <c r="AE2569" s="233"/>
      <c r="AF2569" s="54" t="str">
        <f>IFERROR(__xludf.DUMMYFUNCTION("""COMPUTED_VALUE"""),"Draft BA DROP")</f>
        <v>Draft BA DROP</v>
      </c>
      <c r="AG2569" s="54"/>
      <c r="AH2569" s="54"/>
      <c r="AI2569" s="55" t="str">
        <f t="shared" si="236"/>
        <v/>
      </c>
      <c r="AW2569" s="234"/>
      <c r="BP2569" s="11"/>
      <c r="BQ2569" s="11"/>
      <c r="BV2569" s="158"/>
      <c r="BY2569" s="158"/>
      <c r="CB2569" s="158"/>
    </row>
    <row r="2570" ht="18.0" hidden="1" customHeight="1">
      <c r="A2570" s="222">
        <f>IFERROR(__xludf.DUMMYFUNCTION("""COMPUTED_VALUE"""),2026.0)</f>
        <v>2026</v>
      </c>
      <c r="B2570" s="221">
        <f>IFERROR(__xludf.DUMMYFUNCTION("""COMPUTED_VALUE"""),1.1533187E7)</f>
        <v>11533187</v>
      </c>
      <c r="C2570" s="222" t="str">
        <f>IFERROR(__xludf.DUMMYFUNCTION("""COMPUTED_VALUE"""),"MDN PT3 DLT-FL JL.PAHLAWAN 9")</f>
        <v>MDN PT3 DLT-FL JL.PAHLAWAN 9</v>
      </c>
      <c r="D2570" s="222" t="str">
        <f>IFERROR(__xludf.DUMMYFUNCTION("""COMPUTED_VALUE"""),"REGIONAL I")</f>
        <v>REGIONAL I</v>
      </c>
      <c r="E2570" s="222" t="str">
        <f>IFERROR(__xludf.DUMMYFUNCTION("""COMPUTED_VALUE"""),"MEDAN")</f>
        <v>MEDAN</v>
      </c>
      <c r="F2570" s="222" t="str">
        <f>IFERROR(__xludf.DUMMYFUNCTION("""COMPUTED_VALUE"""),"DLT")</f>
        <v>DLT</v>
      </c>
      <c r="G2570" s="222" t="str">
        <f>IFERROR(__xludf.DUMMYFUNCTION("""COMPUTED_VALUE"""),"SUMBAGUT")</f>
        <v>SUMBAGUT</v>
      </c>
      <c r="H2570" s="222" t="str">
        <f>IFERROR(__xludf.DUMMYFUNCTION("""COMPUTED_VALUE"""),"MEDAN")</f>
        <v>MEDAN</v>
      </c>
      <c r="I2570" s="222" t="str">
        <f>IFERROR(__xludf.DUMMYFUNCTION("""COMPUTED_VALUE"""),"Batch 3")</f>
        <v>Batch 3</v>
      </c>
      <c r="J2570" s="225">
        <f>IFERROR(__xludf.DUMMYFUNCTION("""COMPUTED_VALUE"""),2.0)</f>
        <v>2</v>
      </c>
      <c r="K2570" s="224">
        <f>IFERROR(__xludf.DUMMYFUNCTION("""COMPUTED_VALUE"""),16.0)</f>
        <v>16</v>
      </c>
      <c r="L2570" s="226">
        <f>IFERROR(__xludf.DUMMYFUNCTION("""COMPUTED_VALUE"""),543911.0)</f>
        <v>543911</v>
      </c>
      <c r="M2570" s="227">
        <f>IFERROR(__xludf.DUMMYFUNCTION("""COMPUTED_VALUE"""),8702562.0)</f>
        <v>8702562</v>
      </c>
      <c r="N2570" s="222" t="str">
        <f>IFERROR(__xludf.DUMMYFUNCTION("""COMPUTED_VALUE"""),"PT UPENTEL INTERNASIONAL")</f>
        <v>PT UPENTEL INTERNASIONAL</v>
      </c>
      <c r="O2570" s="222" t="str">
        <f>IFERROR(__xludf.DUMMYFUNCTION("""COMPUTED_VALUE"""),"0. DROP")</f>
        <v>0. DROP</v>
      </c>
      <c r="P2570" s="222" t="str">
        <f>IFERROR(__xludf.DUMMYFUNCTION("""COMPUTED_VALUE"""),"0.3 Feeder Full")</f>
        <v>0.3 Feeder Full</v>
      </c>
      <c r="Q2570" s="222" t="str">
        <f>IFERROR(__xludf.DUMMYFUNCTION("""COMPUTED_VALUE"""),"04/03 feeder habis 27/02 done order")</f>
        <v>04/03 feeder habis 27/02 done order</v>
      </c>
      <c r="R2570" s="228"/>
      <c r="S2570" s="11"/>
      <c r="T2570" s="11"/>
      <c r="U2570" s="11"/>
      <c r="V2570" s="229"/>
      <c r="W2570" s="229"/>
      <c r="X2570" s="229" t="str">
        <f>IFERROR(__xludf.DUMMYFUNCTION("""COMPUTED_VALUE"""),"BELUM GOLIVE")</f>
        <v>BELUM GOLIVE</v>
      </c>
      <c r="Y2570" s="229"/>
      <c r="Z2570" s="229" t="str">
        <f>IFERROR(__xludf.DUMMYFUNCTION("""COMPUTED_VALUE"""),"#N/A")</f>
        <v>#N/A</v>
      </c>
      <c r="AA2570" s="229"/>
      <c r="AB2570" s="229"/>
      <c r="AC2570" s="229"/>
      <c r="AD2570" s="232"/>
      <c r="AE2570" s="233"/>
      <c r="AF2570" s="54"/>
      <c r="AG2570" s="54"/>
      <c r="AH2570" s="54"/>
      <c r="AI2570" s="55" t="str">
        <f t="shared" si="236"/>
        <v/>
      </c>
      <c r="AW2570" s="234"/>
      <c r="BP2570" s="11"/>
      <c r="BQ2570" s="11"/>
      <c r="BV2570" s="158"/>
      <c r="BY2570" s="158"/>
      <c r="CB2570" s="158"/>
    </row>
    <row r="2571" ht="18.0" customHeight="1">
      <c r="A2571" s="222">
        <f>IFERROR(__xludf.DUMMYFUNCTION("""COMPUTED_VALUE"""),2026.0)</f>
        <v>2026</v>
      </c>
      <c r="B2571" s="221">
        <f>IFERROR(__xludf.DUMMYFUNCTION("""COMPUTED_VALUE"""),1.2557704E7)</f>
        <v>12557704</v>
      </c>
      <c r="C2571" s="222" t="str">
        <f>IFERROR(__xludf.DUMMYFUNCTION("""COMPUTED_VALUE"""),"RKP TSEL PT3 TUB-FM 250_462_4134")</f>
        <v>RKP TSEL PT3 TUB-FM 250_462_4134</v>
      </c>
      <c r="D2571" s="222" t="str">
        <f>IFERROR(__xludf.DUMMYFUNCTION("""COMPUTED_VALUE"""),"REGIONAL I")</f>
        <v>REGIONAL I</v>
      </c>
      <c r="E2571" s="222" t="str">
        <f>IFERROR(__xludf.DUMMYFUNCTION("""COMPUTED_VALUE"""),"RIKEP")</f>
        <v>RIKEP</v>
      </c>
      <c r="F2571" s="222" t="str">
        <f>IFERROR(__xludf.DUMMYFUNCTION("""COMPUTED_VALUE"""),"TUB")</f>
        <v>TUB</v>
      </c>
      <c r="G2571" s="222" t="str">
        <f>IFERROR(__xludf.DUMMYFUNCTION("""COMPUTED_VALUE"""),"SUMBAGTENG")</f>
        <v>SUMBAGTENG</v>
      </c>
      <c r="H2571" s="222" t="str">
        <f>IFERROR(__xludf.DUMMYFUNCTION("""COMPUTED_VALUE"""),"BATAM")</f>
        <v>BATAM</v>
      </c>
      <c r="I2571" s="222" t="str">
        <f>IFERROR(__xludf.DUMMYFUNCTION("""COMPUTED_VALUE"""),"Batch 3")</f>
        <v>Batch 3</v>
      </c>
      <c r="J2571" s="225">
        <f>IFERROR(__xludf.DUMMYFUNCTION("""COMPUTED_VALUE"""),12.0)</f>
        <v>12</v>
      </c>
      <c r="K2571" s="224">
        <f>IFERROR(__xludf.DUMMYFUNCTION("""COMPUTED_VALUE"""),96.0)</f>
        <v>96</v>
      </c>
      <c r="L2571" s="226">
        <f>IFERROR(__xludf.DUMMYFUNCTION("""COMPUTED_VALUE"""),539688.0)</f>
        <v>539688</v>
      </c>
      <c r="M2571" s="227">
        <f>IFERROR(__xludf.DUMMYFUNCTION("""COMPUTED_VALUE"""),5.1809987E7)</f>
        <v>51809987</v>
      </c>
      <c r="N2571" s="222" t="str">
        <f>IFERROR(__xludf.DUMMYFUNCTION("""COMPUTED_VALUE"""),"SWAKELOLA")</f>
        <v>SWAKELOLA</v>
      </c>
      <c r="O2571" s="222" t="str">
        <f>IFERROR(__xludf.DUMMYFUNCTION("""COMPUTED_VALUE"""),"2. DONE AANWIJZING")</f>
        <v>2. DONE AANWIJZING</v>
      </c>
      <c r="P2571" s="222" t="str">
        <f>IFERROR(__xludf.DUMMYFUNCTION("""COMPUTED_VALUE"""),"2.3 Sudah Aanwidjzing - Tunggu hasil Eval")</f>
        <v>2.3 Sudah Aanwidjzing - Tunggu hasil Eval</v>
      </c>
      <c r="Q2571" s="222" t="str">
        <f>IFERROR(__xludf.DUMMYFUNCTION("""COMPUTED_VALUE"""),"24/04 Plan eval.
09/03 Tray ODC full
05/03 MP Terbatas di pulau tanjung pinang,  plan anwijzing tgl 06/03 
12/02 MP Terbatas di pulau tanjung pinang, tidak bisa komit sampai bulan maret. 09/02 plan anwijzing minggu ini, PIC mitra paralel progres installas"&amp;"i.04/02 Plan survey minggu depan. 23/01 Plan anwijzing 26 Jan, Order Baru. 22/01 Order baru, proses penunjukan mitra
")</f>
        <v>24/04 Plan eval.
09/03 Tray ODC full
05/03 MP Terbatas di pulau tanjung pinang,  plan anwijzing tgl 06/03 
12/02 MP Terbatas di pulau tanjung pinang, tidak bisa komit sampai bulan maret. 09/02 plan anwijzing minggu ini, PIC mitra paralel progres installasi.04/02 Plan survey minggu depan. 23/01 Plan anwijzing 26 Jan, Order Baru. 22/01 Order baru, proses penunjukan mitra
</v>
      </c>
      <c r="R2571" s="228"/>
      <c r="S2571" s="11"/>
      <c r="T2571" s="11"/>
      <c r="U2571" s="11"/>
      <c r="V2571" s="229" t="str">
        <f>IFERROR(__xludf.DUMMYFUNCTION("""COMPUTED_VALUE"""),"DEDY IRAWAN")</f>
        <v>DEDY IRAWAN</v>
      </c>
      <c r="W2571" s="229"/>
      <c r="X2571" s="229"/>
      <c r="Y2571" s="229"/>
      <c r="Z2571" s="229" t="str">
        <f>IFERROR(__xludf.DUMMYFUNCTION("""COMPUTED_VALUE"""),"#N/A")</f>
        <v>#N/A</v>
      </c>
      <c r="AA2571" s="229"/>
      <c r="AB2571" s="229"/>
      <c r="AC2571" s="229"/>
      <c r="AD2571" s="232"/>
      <c r="AE2571" s="233"/>
      <c r="AF2571" s="54"/>
      <c r="AG2571" s="54"/>
      <c r="AH2571" s="54"/>
      <c r="AI2571" s="55" t="str">
        <f t="shared" si="236"/>
        <v/>
      </c>
      <c r="AW2571" s="234"/>
      <c r="BP2571" s="11"/>
      <c r="BQ2571" s="11"/>
      <c r="BV2571" s="158"/>
      <c r="BY2571" s="158"/>
      <c r="CB2571" s="158"/>
    </row>
    <row r="2572" ht="18.0" hidden="1" customHeight="1">
      <c r="A2572" s="222">
        <f>IFERROR(__xludf.DUMMYFUNCTION("""COMPUTED_VALUE"""),2026.0)</f>
        <v>2026</v>
      </c>
      <c r="B2572" s="221">
        <f>IFERROR(__xludf.DUMMYFUNCTION("""COMPUTED_VALUE"""),1.2533117E7)</f>
        <v>12533117</v>
      </c>
      <c r="C2572" s="222" t="str">
        <f>IFERROR(__xludf.DUMMYFUNCTION("""COMPUTED_VALUE"""),"MDN PT3 PGL-FSA 250_1833_1453")</f>
        <v>MDN PT3 PGL-FSA 250_1833_1453</v>
      </c>
      <c r="D2572" s="222" t="str">
        <f>IFERROR(__xludf.DUMMYFUNCTION("""COMPUTED_VALUE"""),"REGIONAL I")</f>
        <v>REGIONAL I</v>
      </c>
      <c r="E2572" s="222" t="str">
        <f>IFERROR(__xludf.DUMMYFUNCTION("""COMPUTED_VALUE"""),"MEDAN")</f>
        <v>MEDAN</v>
      </c>
      <c r="F2572" s="222" t="str">
        <f>IFERROR(__xludf.DUMMYFUNCTION("""COMPUTED_VALUE"""),"PGL")</f>
        <v>PGL</v>
      </c>
      <c r="G2572" s="222" t="str">
        <f>IFERROR(__xludf.DUMMYFUNCTION("""COMPUTED_VALUE"""),"SUMBAGUT")</f>
        <v>SUMBAGUT</v>
      </c>
      <c r="H2572" s="222" t="str">
        <f>IFERROR(__xludf.DUMMYFUNCTION("""COMPUTED_VALUE"""),"BINJAI")</f>
        <v>BINJAI</v>
      </c>
      <c r="I2572" s="222" t="str">
        <f>IFERROR(__xludf.DUMMYFUNCTION("""COMPUTED_VALUE"""),"Batch 3")</f>
        <v>Batch 3</v>
      </c>
      <c r="J2572" s="225">
        <f>IFERROR(__xludf.DUMMYFUNCTION("""COMPUTED_VALUE"""),4.0)</f>
        <v>4</v>
      </c>
      <c r="K2572" s="224">
        <f>IFERROR(__xludf.DUMMYFUNCTION("""COMPUTED_VALUE"""),32.0)</f>
        <v>32</v>
      </c>
      <c r="L2572" s="226">
        <f>IFERROR(__xludf.DUMMYFUNCTION("""COMPUTED_VALUE"""),538330.0)</f>
        <v>538330</v>
      </c>
      <c r="M2572" s="227">
        <f>IFERROR(__xludf.DUMMYFUNCTION("""COMPUTED_VALUE"""),1.7226536E7)</f>
        <v>17226536</v>
      </c>
      <c r="N2572" s="222" t="str">
        <f>IFERROR(__xludf.DUMMYFUNCTION("""COMPUTED_VALUE"""),"PT KENCANA RAYA INDONESIA")</f>
        <v>PT KENCANA RAYA INDONESIA</v>
      </c>
      <c r="O2572" s="222" t="str">
        <f>IFERROR(__xludf.DUMMYFUNCTION("""COMPUTED_VALUE"""),"7. GOLIVE")</f>
        <v>7. GOLIVE</v>
      </c>
      <c r="P2572" s="222" t="str">
        <f>IFERROR(__xludf.DUMMYFUNCTION("""COMPUTED_VALUE"""),"7.2 Golive Full / OA / DONE OTB")</f>
        <v>7.2 Golive Full / OA / DONE OTB</v>
      </c>
      <c r="Q2572" s="222" t="str">
        <f>IFERROR(__xludf.DUMMYFUNCTION("""COMPUTED_VALUE"""),"25/04 golive sdi
06/04 tarik kabel 
30/03 pengambilan material
27/03 feeder ready dist new")</f>
        <v>25/04 golive sdi
06/04 tarik kabel 
30/03 pengambilan material
27/03 feeder ready dist new</v>
      </c>
      <c r="R2572" s="228">
        <f>IFERROR(__xludf.DUMMYFUNCTION("""COMPUTED_VALUE"""),46137.0)</f>
        <v>46137</v>
      </c>
      <c r="S2572" s="11" t="str">
        <f>IFERROR(__xludf.DUMMYFUNCTION("""COMPUTED_VALUE"""),"APR")</f>
        <v>APR</v>
      </c>
      <c r="T2572" s="73"/>
      <c r="U2572" s="11"/>
      <c r="V2572" s="229" t="str">
        <f>IFERROR(__xludf.DUMMYFUNCTION("""COMPUTED_VALUE"""),"13/Apr/2026")</f>
        <v>13/Apr/2026</v>
      </c>
      <c r="W2572" s="229"/>
      <c r="X2572" s="229" t="str">
        <f>IFERROR(__xludf.DUMMYFUNCTION("""COMPUTED_VALUE"""),"GOLIVE")</f>
        <v>GOLIVE</v>
      </c>
      <c r="Y2572" s="229" t="str">
        <f>IFERROR(__xludf.DUMMYFUNCTION("""COMPUTED_VALUE"""),"DONE")</f>
        <v>DONE</v>
      </c>
      <c r="Z2572" s="229" t="str">
        <f>IFERROR(__xludf.DUMMYFUNCTION("""COMPUTED_VALUE"""),"#N/A")</f>
        <v>#N/A</v>
      </c>
      <c r="AA2572" s="229">
        <f>IFERROR(__xludf.DUMMYFUNCTION("""COMPUTED_VALUE"""),4.0)</f>
        <v>4</v>
      </c>
      <c r="AB2572" s="229"/>
      <c r="AC2572" s="229" t="str">
        <f>IFERROR(__xludf.DUMMYFUNCTION("""COMPUTED_VALUE"""),"9308099#9308104")</f>
        <v>9308099#9308104</v>
      </c>
      <c r="AD2572" s="232">
        <f>IFERROR(__xludf.DUMMYFUNCTION("""COMPUTED_VALUE"""),32.0)</f>
        <v>32</v>
      </c>
      <c r="AE2572" s="233">
        <f>IFERROR(__xludf.DUMMYFUNCTION("""COMPUTED_VALUE"""),46137.0)</f>
        <v>46137</v>
      </c>
      <c r="AF2572" s="54"/>
      <c r="AG2572" s="54"/>
      <c r="AH2572" s="54"/>
      <c r="AI2572" s="55">
        <f t="shared" si="236"/>
        <v>0</v>
      </c>
      <c r="AW2572" s="234"/>
      <c r="BP2572" s="11"/>
      <c r="BQ2572" s="11"/>
      <c r="BV2572" s="158"/>
      <c r="BY2572" s="158"/>
      <c r="CB2572" s="158"/>
    </row>
    <row r="2573" ht="18.0" hidden="1" customHeight="1">
      <c r="A2573" s="222">
        <f>IFERROR(__xludf.DUMMYFUNCTION("""COMPUTED_VALUE"""),2026.0)</f>
        <v>2026</v>
      </c>
      <c r="B2573" s="221">
        <f>IFERROR(__xludf.DUMMYFUNCTION("""COMPUTED_VALUE"""),1.2728066E7)</f>
        <v>12728066</v>
      </c>
      <c r="C2573" s="222" t="str">
        <f>IFERROR(__xludf.DUMMYFUNCTION("""COMPUTED_VALUE"""),"LPG PT3 JPP LAMPUNG SELATAN_152540 KLA")</f>
        <v>LPG PT3 JPP LAMPUNG SELATAN_152540 KLA</v>
      </c>
      <c r="D2573" s="222" t="str">
        <f>IFERROR(__xludf.DUMMYFUNCTION("""COMPUTED_VALUE"""),"REGIONAL I")</f>
        <v>REGIONAL I</v>
      </c>
      <c r="E2573" s="222" t="str">
        <f>IFERROR(__xludf.DUMMYFUNCTION("""COMPUTED_VALUE"""),"LAMPUNG")</f>
        <v>LAMPUNG</v>
      </c>
      <c r="F2573" s="222" t="str">
        <f>IFERROR(__xludf.DUMMYFUNCTION("""COMPUTED_VALUE"""),"KLA")</f>
        <v>KLA</v>
      </c>
      <c r="G2573" s="222" t="str">
        <f>IFERROR(__xludf.DUMMYFUNCTION("""COMPUTED_VALUE"""),"SUMBAGSEL")</f>
        <v>SUMBAGSEL</v>
      </c>
      <c r="H2573" s="222" t="str">
        <f>IFERROR(__xludf.DUMMYFUNCTION("""COMPUTED_VALUE"""),"LAMPUNG")</f>
        <v>LAMPUNG</v>
      </c>
      <c r="I2573" s="222" t="str">
        <f>IFERROR(__xludf.DUMMYFUNCTION("""COMPUTED_VALUE"""),"Batch 3")</f>
        <v>Batch 3</v>
      </c>
      <c r="J2573" s="225">
        <f>IFERROR(__xludf.DUMMYFUNCTION("""COMPUTED_VALUE"""),7.0)</f>
        <v>7</v>
      </c>
      <c r="K2573" s="224">
        <f>IFERROR(__xludf.DUMMYFUNCTION("""COMPUTED_VALUE"""),56.0)</f>
        <v>56</v>
      </c>
      <c r="L2573" s="226">
        <f>IFERROR(__xludf.DUMMYFUNCTION("""COMPUTED_VALUE"""),537983.0)</f>
        <v>537983</v>
      </c>
      <c r="M2573" s="227">
        <f>IFERROR(__xludf.DUMMYFUNCTION("""COMPUTED_VALUE"""),3.0127012E7)</f>
        <v>30127012</v>
      </c>
      <c r="N2573" s="222" t="str">
        <f>IFERROR(__xludf.DUMMYFUNCTION("""COMPUTED_VALUE"""),"PT ACERO CETHA METALINDO")</f>
        <v>PT ACERO CETHA METALINDO</v>
      </c>
      <c r="O2573" s="222" t="str">
        <f>IFERROR(__xludf.DUMMYFUNCTION("""COMPUTED_VALUE"""),"7. GOLIVE")</f>
        <v>7. GOLIVE</v>
      </c>
      <c r="P2573" s="222" t="str">
        <f>IFERROR(__xludf.DUMMYFUNCTION("""COMPUTED_VALUE"""),"7.2 Golive Full / OA / DONE OTB")</f>
        <v>7.2 Golive Full / OA / DONE OTB</v>
      </c>
      <c r="Q2573" s="222" t="str">
        <f>IFERROR(__xludf.DUMMYFUNCTION("""COMPUTED_VALUE"""),"31/3 proses terminasi odp, plan fi  6/6, golive 7/4
25/3 Proses Tanam Tiang  13/3 plan Matdel HI,,   10/3 proses AMD BUGET 
9/3 proses pr/po plan matdel ,plan matdel 9/2
2/3 proses pr/po plan matdel ,plan matdel 5/2
27/2 OGP PERIZINAN 
11/2 distribusi hab"&amp;"is,  redesign jalur  6/2 perhitungan cpp redesain jalur 
5/2 perhitungan cpp redesain jalur 
4/2 core distribus 10 habis btuh redesain ke odc 
23/1 plan anwizing 26/1")</f>
        <v>31/3 proses terminasi odp, plan fi  6/6, golive 7/4
25/3 Proses Tanam Tiang  13/3 plan Matdel HI,,   10/3 proses AMD BUGET 
9/3 proses pr/po plan matdel ,plan matdel 9/2
2/3 proses pr/po plan matdel ,plan matdel 5/2
27/2 OGP PERIZINAN 
11/2 distribusi habis,  redesign jalur  6/2 perhitungan cpp redesain jalur 
5/2 perhitungan cpp redesain jalur 
4/2 core distribus 10 habis btuh redesain ke odc 
23/1 plan anwizing 26/1</v>
      </c>
      <c r="R2573" s="228">
        <f>IFERROR(__xludf.DUMMYFUNCTION("""COMPUTED_VALUE"""),46114.0)</f>
        <v>46114</v>
      </c>
      <c r="S2573" s="11" t="str">
        <f>IFERROR(__xludf.DUMMYFUNCTION("""COMPUTED_VALUE"""),"APR")</f>
        <v>APR</v>
      </c>
      <c r="T2573" s="11"/>
      <c r="U2573" s="11" t="str">
        <f>IFERROR(__xludf.DUMMYFUNCTION("""COMPUTED_VALUE"""),"TIF-4342/2026")</f>
        <v>TIF-4342/2026</v>
      </c>
      <c r="V2573" s="229"/>
      <c r="W2573" s="229"/>
      <c r="X2573" s="229" t="str">
        <f>IFERROR(__xludf.DUMMYFUNCTION("""COMPUTED_VALUE"""),"GOLIVE")</f>
        <v>GOLIVE</v>
      </c>
      <c r="Y2573" s="229" t="str">
        <f>IFERROR(__xludf.DUMMYFUNCTION("""COMPUTED_VALUE"""),"DONE")</f>
        <v>DONE</v>
      </c>
      <c r="Z2573" s="229" t="str">
        <f>IFERROR(__xludf.DUMMYFUNCTION("""COMPUTED_VALUE"""),"#N/A")</f>
        <v>#N/A</v>
      </c>
      <c r="AA2573" s="229">
        <f>IFERROR(__xludf.DUMMYFUNCTION("""COMPUTED_VALUE"""),7.0)</f>
        <v>7</v>
      </c>
      <c r="AB2573" s="229"/>
      <c r="AC2573" s="229" t="str">
        <f>IFERROR(__xludf.DUMMYFUNCTION("""COMPUTED_VALUE"""),"9125092#9125097")</f>
        <v>9125092#9125097</v>
      </c>
      <c r="AD2573" s="232">
        <f>IFERROR(__xludf.DUMMYFUNCTION("""COMPUTED_VALUE"""),56.0)</f>
        <v>56</v>
      </c>
      <c r="AE2573" s="233">
        <f>IFERROR(__xludf.DUMMYFUNCTION("""COMPUTED_VALUE"""),46114.0)</f>
        <v>46114</v>
      </c>
      <c r="AF2573" s="54"/>
      <c r="AG2573" s="54"/>
      <c r="AH2573" s="54">
        <v>46114.0</v>
      </c>
      <c r="AI2573" s="55">
        <f t="shared" si="236"/>
        <v>0</v>
      </c>
      <c r="AW2573" s="234"/>
      <c r="BP2573" s="11"/>
      <c r="BQ2573" s="11"/>
      <c r="BV2573" s="158"/>
      <c r="BY2573" s="158"/>
      <c r="CB2573" s="158"/>
    </row>
    <row r="2574" ht="18.0" hidden="1" customHeight="1">
      <c r="A2574" s="222">
        <f>IFERROR(__xludf.DUMMYFUNCTION("""COMPUTED_VALUE"""),2026.0)</f>
        <v>2026</v>
      </c>
      <c r="B2574" s="221">
        <f>IFERROR(__xludf.DUMMYFUNCTION("""COMPUTED_VALUE"""),1.2760178E7)</f>
        <v>12760178</v>
      </c>
      <c r="C2574" s="222" t="str">
        <f>IFERROR(__xludf.DUMMYFUNCTION("""COMPUTED_VALUE"""),"LPG PT3 JPP LAMPUNG TENGAH_47437 MET")</f>
        <v>LPG PT3 JPP LAMPUNG TENGAH_47437 MET</v>
      </c>
      <c r="D2574" s="222" t="str">
        <f>IFERROR(__xludf.DUMMYFUNCTION("""COMPUTED_VALUE"""),"REGIONAL I")</f>
        <v>REGIONAL I</v>
      </c>
      <c r="E2574" s="222" t="str">
        <f>IFERROR(__xludf.DUMMYFUNCTION("""COMPUTED_VALUE"""),"LAMPUNG")</f>
        <v>LAMPUNG</v>
      </c>
      <c r="F2574" s="222" t="str">
        <f>IFERROR(__xludf.DUMMYFUNCTION("""COMPUTED_VALUE"""),"MET")</f>
        <v>MET</v>
      </c>
      <c r="G2574" s="222" t="str">
        <f>IFERROR(__xludf.DUMMYFUNCTION("""COMPUTED_VALUE"""),"SUMBAGSEL")</f>
        <v>SUMBAGSEL</v>
      </c>
      <c r="H2574" s="222" t="str">
        <f>IFERROR(__xludf.DUMMYFUNCTION("""COMPUTED_VALUE"""),"LAMPUNG")</f>
        <v>LAMPUNG</v>
      </c>
      <c r="I2574" s="222" t="str">
        <f>IFERROR(__xludf.DUMMYFUNCTION("""COMPUTED_VALUE"""),"Batch 3")</f>
        <v>Batch 3</v>
      </c>
      <c r="J2574" s="225">
        <f>IFERROR(__xludf.DUMMYFUNCTION("""COMPUTED_VALUE"""),3.0)</f>
        <v>3</v>
      </c>
      <c r="K2574" s="224">
        <f>IFERROR(__xludf.DUMMYFUNCTION("""COMPUTED_VALUE"""),24.0)</f>
        <v>24</v>
      </c>
      <c r="L2574" s="226">
        <f>IFERROR(__xludf.DUMMYFUNCTION("""COMPUTED_VALUE"""),536828.0)</f>
        <v>536828</v>
      </c>
      <c r="M2574" s="227">
        <f>IFERROR(__xludf.DUMMYFUNCTION("""COMPUTED_VALUE"""),1.2883849E7)</f>
        <v>12883849</v>
      </c>
      <c r="N2574" s="222" t="str">
        <f>IFERROR(__xludf.DUMMYFUNCTION("""COMPUTED_VALUE"""),"PT GARINDO TECHNO MANDIRI")</f>
        <v>PT GARINDO TECHNO MANDIRI</v>
      </c>
      <c r="O2574" s="222" t="str">
        <f>IFERROR(__xludf.DUMMYFUNCTION("""COMPUTED_VALUE"""),"7. GOLIVE")</f>
        <v>7. GOLIVE</v>
      </c>
      <c r="P2574" s="222" t="str">
        <f>IFERROR(__xludf.DUMMYFUNCTION("""COMPUTED_VALUE"""),"7.2 Golive Full / OA / DONE OTB")</f>
        <v>7.2 Golive Full / OA / DONE OTB</v>
      </c>
      <c r="Q2574" s="222" t="str">
        <f>IFERROR(__xludf.DUMMYFUNCTION("""COMPUTED_VALUE"""),"17/4 proses valins 17/4, 15/4 proses instalasi odp,plan fi 15/4, plan golive 16/4 13/04 proses instal 11/4proses instalasi 08/04 Done PR PO , proses matdel 08/04 plan matdel plan  intlass plan fi abd dan valin  plan golive 
06/04 Proses PR PO 2/4 proses p"&amp;"engajuan pr/po, 25/3 proses pengajuan PID dan PR/PO 13/3 proses pengajuan PID dan PR/PO
2/3 proses pengajuan PID dan PR/PO 
27/2 proses pengajuan PID dan PR/PO 
24/2 proses pengajuan PID dan PR/PO 
 11/2 plan matdel ,16/2 estimasi angkut material dari wh "&amp;"- 16 FEB EMPLOY 6/2 plan matdel ,16/2 estimasi angkut material dari wh
4/2 progres prizinan dan eletrical 
30/1 plan anwizing 
23/1 plan anwizing tanggal 26/1
")</f>
        <v>17/4 proses valins 17/4, 15/4 proses instalasi odp,plan fi 15/4, plan golive 16/4 13/04 proses instal 11/4proses instalasi 08/04 Done PR PO , proses matdel 08/04 plan matdel plan  intlass plan fi abd dan valin  plan golive 
06/04 Proses PR PO 2/4 proses pengajuan pr/po, 25/3 proses pengajuan PID dan PR/PO 13/3 proses pengajuan PID dan PR/PO
2/3 proses pengajuan PID dan PR/PO 
27/2 proses pengajuan PID dan PR/PO 
24/2 proses pengajuan PID dan PR/PO 
 11/2 plan matdel ,16/2 estimasi angkut material dari wh - 16 FEB EMPLOY 6/2 plan matdel ,16/2 estimasi angkut material dari wh
4/2 progres prizinan dan eletrical 
30/1 plan anwizing 
23/1 plan anwizing tanggal 26/1
</v>
      </c>
      <c r="R2574" s="228">
        <f>IFERROR(__xludf.DUMMYFUNCTION("""COMPUTED_VALUE"""),46129.0)</f>
        <v>46129</v>
      </c>
      <c r="S2574" s="11" t="str">
        <f>IFERROR(__xludf.DUMMYFUNCTION("""COMPUTED_VALUE"""),"APR")</f>
        <v>APR</v>
      </c>
      <c r="T2574" s="73"/>
      <c r="U2574" s="11" t="str">
        <f>IFERROR(__xludf.DUMMYFUNCTION("""COMPUTED_VALUE"""),"TIF-4343/2026")</f>
        <v>TIF-4343/2026</v>
      </c>
      <c r="V2574" s="229"/>
      <c r="W2574" s="229"/>
      <c r="X2574" s="229" t="str">
        <f>IFERROR(__xludf.DUMMYFUNCTION("""COMPUTED_VALUE"""),"GOLIVE")</f>
        <v>GOLIVE</v>
      </c>
      <c r="Y2574" s="229" t="str">
        <f>IFERROR(__xludf.DUMMYFUNCTION("""COMPUTED_VALUE"""),"DONE")</f>
        <v>DONE</v>
      </c>
      <c r="Z2574" s="229" t="str">
        <f>IFERROR(__xludf.DUMMYFUNCTION("""COMPUTED_VALUE"""),"#N/A")</f>
        <v>#N/A</v>
      </c>
      <c r="AA2574" s="229">
        <f>IFERROR(__xludf.DUMMYFUNCTION("""COMPUTED_VALUE"""),3.0)</f>
        <v>3</v>
      </c>
      <c r="AB2574" s="229"/>
      <c r="AC2574" s="229" t="str">
        <f>IFERROR(__xludf.DUMMYFUNCTION("""COMPUTED_VALUE"""),"9125486#9125491")</f>
        <v>9125486#9125491</v>
      </c>
      <c r="AD2574" s="232">
        <f>IFERROR(__xludf.DUMMYFUNCTION("""COMPUTED_VALUE"""),24.0)</f>
        <v>24</v>
      </c>
      <c r="AE2574" s="233">
        <f>IFERROR(__xludf.DUMMYFUNCTION("""COMPUTED_VALUE"""),46129.0)</f>
        <v>46129</v>
      </c>
      <c r="AF2574" s="54"/>
      <c r="AG2574" s="54"/>
      <c r="AH2574" s="54">
        <v>46140.0</v>
      </c>
      <c r="AI2574" s="55">
        <f t="shared" si="236"/>
        <v>0</v>
      </c>
      <c r="AW2574" s="234"/>
      <c r="BP2574" s="11"/>
      <c r="BQ2574" s="11"/>
      <c r="BV2574" s="158"/>
      <c r="BY2574" s="158"/>
      <c r="CB2574" s="158"/>
    </row>
    <row r="2575" ht="18.0" hidden="1" customHeight="1">
      <c r="A2575" s="222">
        <f>IFERROR(__xludf.DUMMYFUNCTION("""COMPUTED_VALUE"""),2026.0)</f>
        <v>2026</v>
      </c>
      <c r="B2575" s="221">
        <f>IFERROR(__xludf.DUMMYFUNCTION("""COMPUTED_VALUE"""),1.2638745E7)</f>
        <v>12638745</v>
      </c>
      <c r="C2575" s="222" t="str">
        <f>IFERROR(__xludf.DUMMYFUNCTION("""COMPUTED_VALUE"""),"250_1609_1749")</f>
        <v>250_1609_1749</v>
      </c>
      <c r="D2575" s="222" t="str">
        <f>IFERROR(__xludf.DUMMYFUNCTION("""COMPUTED_VALUE"""),"REGIONAL I")</f>
        <v>REGIONAL I</v>
      </c>
      <c r="E2575" s="222" t="str">
        <f>IFERROR(__xludf.DUMMYFUNCTION("""COMPUTED_VALUE"""),"MEDAN")</f>
        <v>MEDAN</v>
      </c>
      <c r="F2575" s="222" t="str">
        <f>IFERROR(__xludf.DUMMYFUNCTION("""COMPUTED_VALUE"""),"LBP")</f>
        <v>LBP</v>
      </c>
      <c r="G2575" s="222" t="str">
        <f>IFERROR(__xludf.DUMMYFUNCTION("""COMPUTED_VALUE"""),"SUMBAGUT")</f>
        <v>SUMBAGUT</v>
      </c>
      <c r="H2575" s="222" t="str">
        <f>IFERROR(__xludf.DUMMYFUNCTION("""COMPUTED_VALUE"""),"MEDAN")</f>
        <v>MEDAN</v>
      </c>
      <c r="I2575" s="222" t="str">
        <f>IFERROR(__xludf.DUMMYFUNCTION("""COMPUTED_VALUE"""),"Batch 3")</f>
        <v>Batch 3</v>
      </c>
      <c r="J2575" s="225">
        <f>IFERROR(__xludf.DUMMYFUNCTION("""COMPUTED_VALUE"""),2.0)</f>
        <v>2</v>
      </c>
      <c r="K2575" s="224">
        <f>IFERROR(__xludf.DUMMYFUNCTION("""COMPUTED_VALUE"""),16.0)</f>
        <v>16</v>
      </c>
      <c r="L2575" s="226">
        <f>IFERROR(__xludf.DUMMYFUNCTION("""COMPUTED_VALUE"""),536309.0)</f>
        <v>536309</v>
      </c>
      <c r="M2575" s="227">
        <f>IFERROR(__xludf.DUMMYFUNCTION("""COMPUTED_VALUE"""),8580931.0)</f>
        <v>8580931</v>
      </c>
      <c r="N2575" s="222" t="str">
        <f>IFERROR(__xludf.DUMMYFUNCTION("""COMPUTED_VALUE"""),"PT UPAYA TEKNIK")</f>
        <v>PT UPAYA TEKNIK</v>
      </c>
      <c r="O2575" s="222" t="str">
        <f>IFERROR(__xludf.DUMMYFUNCTION("""COMPUTED_VALUE"""),"4. MATDEL")</f>
        <v>4. MATDEL</v>
      </c>
      <c r="P2575" s="222" t="str">
        <f>IFERROR(__xludf.DUMMYFUNCTION("""COMPUTED_VALUE"""),"4.3 Proses Kirim Mateial Kelokasi")</f>
        <v>4.3 Proses Kirim Mateial Kelokasi</v>
      </c>
      <c r="Q2575" s="222" t="str">
        <f>IFERROR(__xludf.DUMMYFUNCTION("""COMPUTED_VALUE"""),"20/04 pengambilan matrial
10/04 proses input matrial
31/03 komitmen perizinan (02/04) 11/02 menunggu lop 11271821 MDN PT3 LBP-FAE JL.PANTAI LABU GG.BESI")</f>
        <v>20/04 pengambilan matrial
10/04 proses input matrial
31/03 komitmen perizinan (02/04) 11/02 menunggu lop 11271821 MDN PT3 LBP-FAE JL.PANTAI LABU GG.BESI</v>
      </c>
      <c r="R2575" s="228">
        <f>IFERROR(__xludf.DUMMYFUNCTION("""COMPUTED_VALUE"""),46141.0)</f>
        <v>46141</v>
      </c>
      <c r="S2575" s="11"/>
      <c r="T2575" s="73"/>
      <c r="U2575" s="11"/>
      <c r="V2575" s="229" t="str">
        <f>IFERROR(__xludf.DUMMYFUNCTION("""COMPUTED_VALUE"""),"28/Apr/2026")</f>
        <v>28/Apr/2026</v>
      </c>
      <c r="W2575" s="229"/>
      <c r="X2575" s="229" t="str">
        <f>IFERROR(__xludf.DUMMYFUNCTION("""COMPUTED_VALUE"""),"BELUM GOLIVE")</f>
        <v>BELUM GOLIVE</v>
      </c>
      <c r="Y2575" s="229"/>
      <c r="Z2575" s="229" t="str">
        <f>IFERROR(__xludf.DUMMYFUNCTION("""COMPUTED_VALUE"""),"#N/A")</f>
        <v>#N/A</v>
      </c>
      <c r="AA2575" s="229"/>
      <c r="AB2575" s="229"/>
      <c r="AC2575" s="229"/>
      <c r="AD2575" s="232"/>
      <c r="AE2575" s="233"/>
      <c r="AF2575" s="54"/>
      <c r="AG2575" s="54"/>
      <c r="AH2575" s="54">
        <v>46141.0</v>
      </c>
      <c r="AI2575" s="55" t="str">
        <f t="shared" si="236"/>
        <v/>
      </c>
      <c r="AW2575" s="234"/>
      <c r="BP2575" s="11"/>
      <c r="BQ2575" s="11"/>
      <c r="BV2575" s="158"/>
      <c r="BY2575" s="158"/>
      <c r="CB2575" s="158"/>
    </row>
    <row r="2576" ht="18.0" customHeight="1">
      <c r="A2576" s="222">
        <f>IFERROR(__xludf.DUMMYFUNCTION("""COMPUTED_VALUE"""),2026.0)</f>
        <v>2026</v>
      </c>
      <c r="B2576" s="221">
        <f>IFERROR(__xludf.DUMMYFUNCTION("""COMPUTED_VALUE"""),1.2694033E7)</f>
        <v>12694033</v>
      </c>
      <c r="C2576" s="222" t="str">
        <f>IFERROR(__xludf.DUMMYFUNCTION("""COMPUTED_VALUE"""),"SMB-PT3-ODC-SUM-FC-SOLOK_30325-ANISMA")</f>
        <v>SMB-PT3-ODC-SUM-FC-SOLOK_30325-ANISMA</v>
      </c>
      <c r="D2576" s="222" t="str">
        <f>IFERROR(__xludf.DUMMYFUNCTION("""COMPUTED_VALUE"""),"REGIONAL I")</f>
        <v>REGIONAL I</v>
      </c>
      <c r="E2576" s="222" t="str">
        <f>IFERROR(__xludf.DUMMYFUNCTION("""COMPUTED_VALUE"""),"SUMBAR")</f>
        <v>SUMBAR</v>
      </c>
      <c r="F2576" s="222" t="str">
        <f>IFERROR(__xludf.DUMMYFUNCTION("""COMPUTED_VALUE"""),"SUM")</f>
        <v>SUM</v>
      </c>
      <c r="G2576" s="222" t="str">
        <f>IFERROR(__xludf.DUMMYFUNCTION("""COMPUTED_VALUE"""),"SUMBAGTENG")</f>
        <v>SUMBAGTENG</v>
      </c>
      <c r="H2576" s="222" t="str">
        <f>IFERROR(__xludf.DUMMYFUNCTION("""COMPUTED_VALUE"""),"PADANG")</f>
        <v>PADANG</v>
      </c>
      <c r="I2576" s="222" t="str">
        <f>IFERROR(__xludf.DUMMYFUNCTION("""COMPUTED_VALUE"""),"Batch 3")</f>
        <v>Batch 3</v>
      </c>
      <c r="J2576" s="225">
        <f>IFERROR(__xludf.DUMMYFUNCTION("""COMPUTED_VALUE"""),4.0)</f>
        <v>4</v>
      </c>
      <c r="K2576" s="224">
        <f>IFERROR(__xludf.DUMMYFUNCTION("""COMPUTED_VALUE"""),32.0)</f>
        <v>32</v>
      </c>
      <c r="L2576" s="226">
        <f>IFERROR(__xludf.DUMMYFUNCTION("""COMPUTED_VALUE"""),531772.0)</f>
        <v>531772</v>
      </c>
      <c r="M2576" s="227">
        <f>IFERROR(__xludf.DUMMYFUNCTION("""COMPUTED_VALUE"""),1.7016681E7)</f>
        <v>17016681</v>
      </c>
      <c r="N2576" s="222" t="str">
        <f>IFERROR(__xludf.DUMMYFUNCTION("""COMPUTED_VALUE"""),"PT TRI PENAMAS")</f>
        <v>PT TRI PENAMAS</v>
      </c>
      <c r="O2576" s="222" t="str">
        <f>IFERROR(__xludf.DUMMYFUNCTION("""COMPUTED_VALUE"""),"8. UJI TERIMA")</f>
        <v>8. UJI TERIMA</v>
      </c>
      <c r="P2576" s="222" t="str">
        <f>IFERROR(__xludf.DUMMYFUNCTION("""COMPUTED_VALUE"""),"8.1 Proses UT")</f>
        <v>8.1 Proses UT</v>
      </c>
      <c r="Q2576" s="222" t="str">
        <f>IFERROR(__xludf.DUMMYFUNCTION("""COMPUTED_VALUE"""),"(18/02) done  ABD masuk HI ke SDI , UT 18/02 (05/02) proses tanam tiang (29/01) proses delivery material  (21/01) proses CReate PID (07/01) Persiapan")</f>
        <v>(18/02) done  ABD masuk HI ke SDI , UT 18/02 (05/02) proses tanam tiang (29/01) proses delivery material  (21/01) proses CReate PID (07/01) Persiapan</v>
      </c>
      <c r="R2576" s="228">
        <f>IFERROR(__xludf.DUMMYFUNCTION("""COMPUTED_VALUE"""),46065.0)</f>
        <v>46065</v>
      </c>
      <c r="S2576" s="11"/>
      <c r="T2576" s="11"/>
      <c r="U2576" s="11" t="str">
        <f>IFERROR(__xludf.DUMMYFUNCTION("""COMPUTED_VALUE"""),"TIF-2306/2026 26KT03R158-0021")</f>
        <v>TIF-2306/2026 26KT03R158-0021</v>
      </c>
      <c r="V2576" s="229" t="str">
        <f>IFERROR(__xludf.DUMMYFUNCTION("""COMPUTED_VALUE"""),"FABIO RAHMAN")</f>
        <v>FABIO RAHMAN</v>
      </c>
      <c r="W2576" s="229" t="str">
        <f>IFERROR(__xludf.DUMMYFUNCTION("""COMPUTED_VALUE"""),"MELKO NARWADI")</f>
        <v>MELKO NARWADI</v>
      </c>
      <c r="X2576" s="229" t="str">
        <f>IFERROR(__xludf.DUMMYFUNCTION("""COMPUTED_VALUE"""),"GOLIVE")</f>
        <v>GOLIVE</v>
      </c>
      <c r="Y2576" s="229" t="str">
        <f>IFERROR(__xludf.DUMMYFUNCTION("""COMPUTED_VALUE"""),"DONE")</f>
        <v>DONE</v>
      </c>
      <c r="Z2576" s="229" t="str">
        <f>IFERROR(__xludf.DUMMYFUNCTION("""COMPUTED_VALUE"""),"#N/A")</f>
        <v>#N/A</v>
      </c>
      <c r="AA2576" s="229">
        <f>IFERROR(__xludf.DUMMYFUNCTION("""COMPUTED_VALUE"""),4.0)</f>
        <v>4</v>
      </c>
      <c r="AB2576" s="229"/>
      <c r="AC2576" s="229" t="str">
        <f>IFERROR(__xludf.DUMMYFUNCTION("""COMPUTED_VALUE"""),"9123219#9123224  ")</f>
        <v>9123219#9123224  </v>
      </c>
      <c r="AD2576" s="232">
        <f>IFERROR(__xludf.DUMMYFUNCTION("""COMPUTED_VALUE"""),32.0)</f>
        <v>32</v>
      </c>
      <c r="AE2576" s="233">
        <f>IFERROR(__xludf.DUMMYFUNCTION("""COMPUTED_VALUE"""),46072.0)</f>
        <v>46072</v>
      </c>
      <c r="AF2576" s="54"/>
      <c r="AG2576" s="54"/>
      <c r="AH2576" s="54">
        <v>46065.0</v>
      </c>
      <c r="AI2576" s="55">
        <f t="shared" si="236"/>
        <v>-7</v>
      </c>
      <c r="AW2576" s="234"/>
      <c r="BP2576" s="11"/>
      <c r="BQ2576" s="11"/>
      <c r="BV2576" s="158"/>
      <c r="BY2576" s="158"/>
      <c r="CB2576" s="158"/>
    </row>
    <row r="2577" ht="18.0" hidden="1" customHeight="1">
      <c r="A2577" s="222">
        <f>IFERROR(__xludf.DUMMYFUNCTION("""COMPUTED_VALUE"""),2026.0)</f>
        <v>2026</v>
      </c>
      <c r="B2577" s="221">
        <f>IFERROR(__xludf.DUMMYFUNCTION("""COMPUTED_VALUE"""),1.2694356E7)</f>
        <v>12694356</v>
      </c>
      <c r="C2577" s="222" t="str">
        <f>IFERROR(__xludf.DUMMYFUNCTION("""COMPUTED_VALUE"""),"MDN PT3 TMU-FU 250_1598_1695")</f>
        <v>MDN PT3 TMU-FU 250_1598_1695</v>
      </c>
      <c r="D2577" s="222" t="str">
        <f>IFERROR(__xludf.DUMMYFUNCTION("""COMPUTED_VALUE"""),"REGIONAL I")</f>
        <v>REGIONAL I</v>
      </c>
      <c r="E2577" s="222" t="str">
        <f>IFERROR(__xludf.DUMMYFUNCTION("""COMPUTED_VALUE"""),"MEDAN")</f>
        <v>MEDAN</v>
      </c>
      <c r="F2577" s="222" t="str">
        <f>IFERROR(__xludf.DUMMYFUNCTION("""COMPUTED_VALUE"""),"TMU")</f>
        <v>TMU</v>
      </c>
      <c r="G2577" s="222" t="str">
        <f>IFERROR(__xludf.DUMMYFUNCTION("""COMPUTED_VALUE"""),"SUMBAGUT")</f>
        <v>SUMBAGUT</v>
      </c>
      <c r="H2577" s="222" t="str">
        <f>IFERROR(__xludf.DUMMYFUNCTION("""COMPUTED_VALUE"""),"MEDAN")</f>
        <v>MEDAN</v>
      </c>
      <c r="I2577" s="222" t="str">
        <f>IFERROR(__xludf.DUMMYFUNCTION("""COMPUTED_VALUE"""),"Batch 3")</f>
        <v>Batch 3</v>
      </c>
      <c r="J2577" s="225">
        <f>IFERROR(__xludf.DUMMYFUNCTION("""COMPUTED_VALUE"""),3.0)</f>
        <v>3</v>
      </c>
      <c r="K2577" s="224">
        <f>IFERROR(__xludf.DUMMYFUNCTION("""COMPUTED_VALUE"""),24.0)</f>
        <v>24</v>
      </c>
      <c r="L2577" s="226">
        <f>IFERROR(__xludf.DUMMYFUNCTION("""COMPUTED_VALUE"""),528464.0)</f>
        <v>528464</v>
      </c>
      <c r="M2577" s="227">
        <f>IFERROR(__xludf.DUMMYFUNCTION("""COMPUTED_VALUE"""),1.2683126E7)</f>
        <v>12683126</v>
      </c>
      <c r="N2577" s="222" t="str">
        <f>IFERROR(__xludf.DUMMYFUNCTION("""COMPUTED_VALUE"""),"SWAKELOLA")</f>
        <v>SWAKELOLA</v>
      </c>
      <c r="O2577" s="222" t="str">
        <f>IFERROR(__xludf.DUMMYFUNCTION("""COMPUTED_VALUE"""),"2. DONE AANWIJZING")</f>
        <v>2. DONE AANWIJZING</v>
      </c>
      <c r="P2577" s="222" t="str">
        <f>IFERROR(__xludf.DUMMYFUNCTION("""COMPUTED_VALUE"""),"2.10 Kendala - Feeder Rusak")</f>
        <v>2.10 Kendala - Feeder Rusak</v>
      </c>
      <c r="Q2577" s="222" t="str">
        <f>IFERROR(__xludf.DUMMYFUNCTION("""COMPUTED_VALUE"""),"21/04 pengecekan tipus / butuh qe")</f>
        <v>21/04 pengecekan tipus / butuh qe</v>
      </c>
      <c r="R2577" s="228"/>
      <c r="S2577" s="11"/>
      <c r="T2577" s="11"/>
      <c r="U2577" s="11"/>
      <c r="V2577" s="229"/>
      <c r="W2577" s="229"/>
      <c r="X2577" s="229" t="str">
        <f>IFERROR(__xludf.DUMMYFUNCTION("""COMPUTED_VALUE"""),"BELUM GOLIVE")</f>
        <v>BELUM GOLIVE</v>
      </c>
      <c r="Y2577" s="229"/>
      <c r="Z2577" s="229" t="str">
        <f>IFERROR(__xludf.DUMMYFUNCTION("""COMPUTED_VALUE"""),"#N/A")</f>
        <v>#N/A</v>
      </c>
      <c r="AA2577" s="229"/>
      <c r="AB2577" s="229"/>
      <c r="AC2577" s="229"/>
      <c r="AD2577" s="232"/>
      <c r="AE2577" s="233"/>
      <c r="AF2577" s="54"/>
      <c r="AG2577" s="54"/>
      <c r="AH2577" s="54"/>
      <c r="AI2577" s="55" t="str">
        <f t="shared" si="236"/>
        <v/>
      </c>
      <c r="AW2577" s="234"/>
      <c r="BP2577" s="11"/>
      <c r="BQ2577" s="11"/>
      <c r="BV2577" s="158"/>
      <c r="BY2577" s="158"/>
      <c r="CB2577" s="158"/>
    </row>
    <row r="2578" ht="18.0" hidden="1" customHeight="1">
      <c r="A2578" s="222">
        <f>IFERROR(__xludf.DUMMYFUNCTION("""COMPUTED_VALUE"""),2026.0)</f>
        <v>2026</v>
      </c>
      <c r="B2578" s="221">
        <f>IFERROR(__xludf.DUMMYFUNCTION("""COMPUTED_VALUE"""),1.2727867E7)</f>
        <v>12727867</v>
      </c>
      <c r="C2578" s="222" t="str">
        <f>IFERROR(__xludf.DUMMYFUNCTION("""COMPUTED_VALUE"""),"MDN PT3 TMU-FL 250_1601_1695")</f>
        <v>MDN PT3 TMU-FL 250_1601_1695</v>
      </c>
      <c r="D2578" s="222" t="str">
        <f>IFERROR(__xludf.DUMMYFUNCTION("""COMPUTED_VALUE"""),"REGIONAL I")</f>
        <v>REGIONAL I</v>
      </c>
      <c r="E2578" s="222" t="str">
        <f>IFERROR(__xludf.DUMMYFUNCTION("""COMPUTED_VALUE"""),"MEDAN")</f>
        <v>MEDAN</v>
      </c>
      <c r="F2578" s="222" t="str">
        <f>IFERROR(__xludf.DUMMYFUNCTION("""COMPUTED_VALUE"""),"TMU")</f>
        <v>TMU</v>
      </c>
      <c r="G2578" s="222" t="str">
        <f>IFERROR(__xludf.DUMMYFUNCTION("""COMPUTED_VALUE"""),"SUMBAGUT")</f>
        <v>SUMBAGUT</v>
      </c>
      <c r="H2578" s="222" t="str">
        <f>IFERROR(__xludf.DUMMYFUNCTION("""COMPUTED_VALUE"""),"MEDAN")</f>
        <v>MEDAN</v>
      </c>
      <c r="I2578" s="222" t="str">
        <f>IFERROR(__xludf.DUMMYFUNCTION("""COMPUTED_VALUE"""),"Batch 3")</f>
        <v>Batch 3</v>
      </c>
      <c r="J2578" s="225">
        <f>IFERROR(__xludf.DUMMYFUNCTION("""COMPUTED_VALUE"""),2.0)</f>
        <v>2</v>
      </c>
      <c r="K2578" s="224">
        <f>IFERROR(__xludf.DUMMYFUNCTION("""COMPUTED_VALUE"""),16.0)</f>
        <v>16</v>
      </c>
      <c r="L2578" s="226">
        <f>IFERROR(__xludf.DUMMYFUNCTION("""COMPUTED_VALUE"""),527187.0)</f>
        <v>527187</v>
      </c>
      <c r="M2578" s="227">
        <f>IFERROR(__xludf.DUMMYFUNCTION("""COMPUTED_VALUE"""),8434982.0)</f>
        <v>8434982</v>
      </c>
      <c r="N2578" s="222" t="str">
        <f>IFERROR(__xludf.DUMMYFUNCTION("""COMPUTED_VALUE"""),"PT DUL JAYA TAMA")</f>
        <v>PT DUL JAYA TAMA</v>
      </c>
      <c r="O2578" s="222" t="str">
        <f>IFERROR(__xludf.DUMMYFUNCTION("""COMPUTED_VALUE"""),"0. DROP")</f>
        <v>0. DROP</v>
      </c>
      <c r="P2578" s="222" t="str">
        <f>IFERROR(__xludf.DUMMYFUNCTION("""COMPUTED_VALUE"""),"0.3 Feeder Full")</f>
        <v>0.3 Feeder Full</v>
      </c>
      <c r="Q2578" s="222" t="str">
        <f>IFERROR(__xludf.DUMMYFUNCTION("""COMPUTED_VALUE"""),"18/02 Feeder Penuh")</f>
        <v>18/02 Feeder Penuh</v>
      </c>
      <c r="R2578" s="228"/>
      <c r="S2578" s="11"/>
      <c r="T2578" s="11"/>
      <c r="U2578" s="11"/>
      <c r="V2578" s="229"/>
      <c r="W2578" s="229"/>
      <c r="X2578" s="229" t="str">
        <f>IFERROR(__xludf.DUMMYFUNCTION("""COMPUTED_VALUE"""),"BELUM GOLIVE")</f>
        <v>BELUM GOLIVE</v>
      </c>
      <c r="Y2578" s="229"/>
      <c r="Z2578" s="229" t="str">
        <f>IFERROR(__xludf.DUMMYFUNCTION("""COMPUTED_VALUE"""),"#N/A")</f>
        <v>#N/A</v>
      </c>
      <c r="AA2578" s="229"/>
      <c r="AB2578" s="229"/>
      <c r="AC2578" s="229"/>
      <c r="AD2578" s="232"/>
      <c r="AE2578" s="233"/>
      <c r="AF2578" s="54"/>
      <c r="AG2578" s="54"/>
      <c r="AH2578" s="54"/>
      <c r="AI2578" s="55" t="str">
        <f t="shared" si="236"/>
        <v/>
      </c>
      <c r="AW2578" s="234"/>
      <c r="BP2578" s="11"/>
      <c r="BQ2578" s="11"/>
      <c r="BV2578" s="158"/>
      <c r="BY2578" s="158"/>
      <c r="CB2578" s="158"/>
    </row>
    <row r="2579" ht="18.0" hidden="1" customHeight="1">
      <c r="A2579" s="222">
        <f>IFERROR(__xludf.DUMMYFUNCTION("""COMPUTED_VALUE"""),2026.0)</f>
        <v>2026</v>
      </c>
      <c r="B2579" s="221">
        <f>IFERROR(__xludf.DUMMYFUNCTION("""COMPUTED_VALUE"""),1.1284129E7)</f>
        <v>11284129</v>
      </c>
      <c r="C2579" s="222" t="str">
        <f>IFERROR(__xludf.DUMMYFUNCTION("""COMPUTED_VALUE"""),"ACH PT3 LGS-FH D09 BR RATU NAHRISAH_MD")</f>
        <v>ACH PT3 LGS-FH D09 BR RATU NAHRISAH_MD</v>
      </c>
      <c r="D2579" s="222" t="str">
        <f>IFERROR(__xludf.DUMMYFUNCTION("""COMPUTED_VALUE"""),"REGIONAL I")</f>
        <v>REGIONAL I</v>
      </c>
      <c r="E2579" s="222" t="str">
        <f>IFERROR(__xludf.DUMMYFUNCTION("""COMPUTED_VALUE"""),"ACEH")</f>
        <v>ACEH</v>
      </c>
      <c r="F2579" s="222" t="str">
        <f>IFERROR(__xludf.DUMMYFUNCTION("""COMPUTED_VALUE"""),"LGS")</f>
        <v>LGS</v>
      </c>
      <c r="G2579" s="222" t="str">
        <f>IFERROR(__xludf.DUMMYFUNCTION("""COMPUTED_VALUE"""),"SUMBAGUT")</f>
        <v>SUMBAGUT</v>
      </c>
      <c r="H2579" s="222" t="str">
        <f>IFERROR(__xludf.DUMMYFUNCTION("""COMPUTED_VALUE"""),"BINJAI")</f>
        <v>BINJAI</v>
      </c>
      <c r="I2579" s="222" t="str">
        <f>IFERROR(__xludf.DUMMYFUNCTION("""COMPUTED_VALUE"""),"Batch 3")</f>
        <v>Batch 3</v>
      </c>
      <c r="J2579" s="225">
        <f>IFERROR(__xludf.DUMMYFUNCTION("""COMPUTED_VALUE"""),3.0)</f>
        <v>3</v>
      </c>
      <c r="K2579" s="224">
        <f>IFERROR(__xludf.DUMMYFUNCTION("""COMPUTED_VALUE"""),24.0)</f>
        <v>24</v>
      </c>
      <c r="L2579" s="226">
        <f>IFERROR(__xludf.DUMMYFUNCTION("""COMPUTED_VALUE"""),524476.0)</f>
        <v>524476</v>
      </c>
      <c r="M2579" s="227">
        <f>IFERROR(__xludf.DUMMYFUNCTION("""COMPUTED_VALUE"""),1.2587407E7)</f>
        <v>12587407</v>
      </c>
      <c r="N2579" s="222" t="str">
        <f>IFERROR(__xludf.DUMMYFUNCTION("""COMPUTED_VALUE"""),"PT ARA PAYA INTAN")</f>
        <v>PT ARA PAYA INTAN</v>
      </c>
      <c r="O2579" s="222" t="str">
        <f>IFERROR(__xludf.DUMMYFUNCTION("""COMPUTED_VALUE"""),"7. GOLIVE")</f>
        <v>7. GOLIVE</v>
      </c>
      <c r="P2579" s="222" t="str">
        <f>IFERROR(__xludf.DUMMYFUNCTION("""COMPUTED_VALUE"""),"7.2 Golive Full / OA / DONE OTB")</f>
        <v>7.2 Golive Full / OA / DONE OTB</v>
      </c>
      <c r="Q2579" s="222" t="str">
        <f>IFERROR(__xludf.DUMMYFUNCTION("""COMPUTED_VALUE"""),"(13/02) ABD Mancore (11/02) pastcore belum sampai ke gudang LGS")</f>
        <v>(13/02) ABD Mancore (11/02) pastcore belum sampai ke gudang LGS</v>
      </c>
      <c r="R2579" s="228">
        <f>IFERROR(__xludf.DUMMYFUNCTION("""COMPUTED_VALUE"""),46067.0)</f>
        <v>46067</v>
      </c>
      <c r="S2579" s="11"/>
      <c r="T2579" s="11"/>
      <c r="U2579" s="11"/>
      <c r="V2579" s="229"/>
      <c r="W2579" s="229"/>
      <c r="X2579" s="229" t="str">
        <f>IFERROR(__xludf.DUMMYFUNCTION("""COMPUTED_VALUE"""),"GOLIVE")</f>
        <v>GOLIVE</v>
      </c>
      <c r="Y2579" s="229" t="str">
        <f>IFERROR(__xludf.DUMMYFUNCTION("""COMPUTED_VALUE"""),"DONE")</f>
        <v>DONE</v>
      </c>
      <c r="Z2579" s="229" t="str">
        <f>IFERROR(__xludf.DUMMYFUNCTION("""COMPUTED_VALUE"""),"#N/A")</f>
        <v>#N/A</v>
      </c>
      <c r="AA2579" s="229">
        <f>IFERROR(__xludf.DUMMYFUNCTION("""COMPUTED_VALUE"""),3.0)</f>
        <v>3</v>
      </c>
      <c r="AB2579" s="229"/>
      <c r="AC2579" s="229" t="str">
        <f>IFERROR(__xludf.DUMMYFUNCTION("""COMPUTED_VALUE"""),"8683404#8683409")</f>
        <v>8683404#8683409</v>
      </c>
      <c r="AD2579" s="232">
        <f>IFERROR(__xludf.DUMMYFUNCTION("""COMPUTED_VALUE"""),24.0)</f>
        <v>24</v>
      </c>
      <c r="AE2579" s="233">
        <f>IFERROR(__xludf.DUMMYFUNCTION("""COMPUTED_VALUE"""),46067.0)</f>
        <v>46067</v>
      </c>
      <c r="AF2579" s="54"/>
      <c r="AG2579" s="54"/>
      <c r="AH2579" s="54">
        <v>46067.0</v>
      </c>
      <c r="AI2579" s="55">
        <f t="shared" si="236"/>
        <v>0</v>
      </c>
      <c r="AW2579" s="234"/>
      <c r="BP2579" s="11"/>
      <c r="BQ2579" s="11"/>
      <c r="BV2579" s="158"/>
      <c r="BY2579" s="158"/>
      <c r="CB2579" s="158"/>
    </row>
    <row r="2580" ht="18.0" hidden="1" customHeight="1">
      <c r="A2580" s="222">
        <f>IFERROR(__xludf.DUMMYFUNCTION("""COMPUTED_VALUE"""),2026.0)</f>
        <v>2026</v>
      </c>
      <c r="B2580" s="221">
        <f>IFERROR(__xludf.DUMMYFUNCTION("""COMPUTED_VALUE"""),1.2538583E7)</f>
        <v>12538583</v>
      </c>
      <c r="C2580" s="222" t="str">
        <f>IFERROR(__xludf.DUMMYFUNCTION("""COMPUTED_VALUE"""),"MDN PT3 TJR-FAF 250_1579_1693")</f>
        <v>MDN PT3 TJR-FAF 250_1579_1693</v>
      </c>
      <c r="D2580" s="222" t="str">
        <f>IFERROR(__xludf.DUMMYFUNCTION("""COMPUTED_VALUE"""),"REGIONAL I")</f>
        <v>REGIONAL I</v>
      </c>
      <c r="E2580" s="222" t="str">
        <f>IFERROR(__xludf.DUMMYFUNCTION("""COMPUTED_VALUE"""),"MEDAN")</f>
        <v>MEDAN</v>
      </c>
      <c r="F2580" s="222" t="str">
        <f>IFERROR(__xludf.DUMMYFUNCTION("""COMPUTED_VALUE"""),"TJR")</f>
        <v>TJR</v>
      </c>
      <c r="G2580" s="222" t="str">
        <f>IFERROR(__xludf.DUMMYFUNCTION("""COMPUTED_VALUE"""),"SUMBAGUT")</f>
        <v>SUMBAGUT</v>
      </c>
      <c r="H2580" s="222" t="str">
        <f>IFERROR(__xludf.DUMMYFUNCTION("""COMPUTED_VALUE"""),"MEDAN")</f>
        <v>MEDAN</v>
      </c>
      <c r="I2580" s="222" t="str">
        <f>IFERROR(__xludf.DUMMYFUNCTION("""COMPUTED_VALUE"""),"Batch 3")</f>
        <v>Batch 3</v>
      </c>
      <c r="J2580" s="225">
        <f>IFERROR(__xludf.DUMMYFUNCTION("""COMPUTED_VALUE"""),3.0)</f>
        <v>3</v>
      </c>
      <c r="K2580" s="224">
        <f>IFERROR(__xludf.DUMMYFUNCTION("""COMPUTED_VALUE"""),24.0)</f>
        <v>24</v>
      </c>
      <c r="L2580" s="226">
        <f>IFERROR(__xludf.DUMMYFUNCTION("""COMPUTED_VALUE"""),523743.0)</f>
        <v>523743</v>
      </c>
      <c r="M2580" s="227">
        <f>IFERROR(__xludf.DUMMYFUNCTION("""COMPUTED_VALUE"""),1.2569827E7)</f>
        <v>12569827</v>
      </c>
      <c r="N2580" s="222" t="str">
        <f>IFERROR(__xludf.DUMMYFUNCTION("""COMPUTED_VALUE"""),"PT NIAGA NUSANTARA DIVA")</f>
        <v>PT NIAGA NUSANTARA DIVA</v>
      </c>
      <c r="O2580" s="222" t="str">
        <f>IFERROR(__xludf.DUMMYFUNCTION("""COMPUTED_VALUE"""),"2. DONE AANWIJZING")</f>
        <v>2. DONE AANWIJZING</v>
      </c>
      <c r="P2580" s="222" t="str">
        <f>IFERROR(__xludf.DUMMYFUNCTION("""COMPUTED_VALUE"""),"2.10 Kendala - Feeder Rusak")</f>
        <v>2.10 Kendala - Feeder Rusak</v>
      </c>
      <c r="Q2580" s="222" t="str">
        <f>IFERROR(__xludf.DUMMYFUNCTION("""COMPUTED_VALUE"""),"21/04 pengecekan tipus / butuh qe
31/03 Feeder Redti 8 core 02/01 order mitra")</f>
        <v>21/04 pengecekan tipus / butuh qe
31/03 Feeder Redti 8 core 02/01 order mitra</v>
      </c>
      <c r="R2580" s="228"/>
      <c r="S2580" s="11"/>
      <c r="T2580" s="11"/>
      <c r="U2580" s="11"/>
      <c r="V2580" s="229"/>
      <c r="W2580" s="229"/>
      <c r="X2580" s="229" t="str">
        <f>IFERROR(__xludf.DUMMYFUNCTION("""COMPUTED_VALUE"""),"BELUM GOLIVE")</f>
        <v>BELUM GOLIVE</v>
      </c>
      <c r="Y2580" s="229"/>
      <c r="Z2580" s="229" t="str">
        <f>IFERROR(__xludf.DUMMYFUNCTION("""COMPUTED_VALUE"""),"#N/A")</f>
        <v>#N/A</v>
      </c>
      <c r="AA2580" s="229"/>
      <c r="AB2580" s="229"/>
      <c r="AC2580" s="229"/>
      <c r="AD2580" s="232"/>
      <c r="AE2580" s="233"/>
      <c r="AF2580" s="54"/>
      <c r="AG2580" s="54"/>
      <c r="AH2580" s="54"/>
      <c r="AI2580" s="55" t="str">
        <f t="shared" si="236"/>
        <v/>
      </c>
      <c r="AW2580" s="234"/>
      <c r="BP2580" s="11"/>
      <c r="BQ2580" s="11"/>
      <c r="BV2580" s="158"/>
      <c r="BY2580" s="158"/>
      <c r="CB2580" s="158"/>
    </row>
    <row r="2581" ht="18.0" hidden="1" customHeight="1">
      <c r="A2581" s="222">
        <f>IFERROR(__xludf.DUMMYFUNCTION("""COMPUTED_VALUE"""),2026.0)</f>
        <v>2026</v>
      </c>
      <c r="B2581" s="221">
        <f>IFERROR(__xludf.DUMMYFUNCTION("""COMPUTED_VALUE"""),1.1116786E7)</f>
        <v>11116786</v>
      </c>
      <c r="C2581" s="222" t="str">
        <f>IFERROR(__xludf.DUMMYFUNCTION("""COMPUTED_VALUE"""),"MDN PT3 P7I2 TTG-FL Jl.BUNGA SEDAP MALAM")</f>
        <v>MDN PT3 P7I2 TTG-FL Jl.BUNGA SEDAP MALAM</v>
      </c>
      <c r="D2581" s="222" t="str">
        <f>IFERROR(__xludf.DUMMYFUNCTION("""COMPUTED_VALUE"""),"REGIONAL I")</f>
        <v>REGIONAL I</v>
      </c>
      <c r="E2581" s="222" t="str">
        <f>IFERROR(__xludf.DUMMYFUNCTION("""COMPUTED_VALUE"""),"MEDAN")</f>
        <v>MEDAN</v>
      </c>
      <c r="F2581" s="222" t="str">
        <f>IFERROR(__xludf.DUMMYFUNCTION("""COMPUTED_VALUE"""),"TTG")</f>
        <v>TTG</v>
      </c>
      <c r="G2581" s="222" t="str">
        <f>IFERROR(__xludf.DUMMYFUNCTION("""COMPUTED_VALUE"""),"SUMBAGUT")</f>
        <v>SUMBAGUT</v>
      </c>
      <c r="H2581" s="222" t="str">
        <f>IFERROR(__xludf.DUMMYFUNCTION("""COMPUTED_VALUE"""),"MEDAN")</f>
        <v>MEDAN</v>
      </c>
      <c r="I2581" s="222" t="str">
        <f>IFERROR(__xludf.DUMMYFUNCTION("""COMPUTED_VALUE"""),"Batch 3")</f>
        <v>Batch 3</v>
      </c>
      <c r="J2581" s="225">
        <f>IFERROR(__xludf.DUMMYFUNCTION("""COMPUTED_VALUE"""),2.0)</f>
        <v>2</v>
      </c>
      <c r="K2581" s="224">
        <f>IFERROR(__xludf.DUMMYFUNCTION("""COMPUTED_VALUE"""),16.0)</f>
        <v>16</v>
      </c>
      <c r="L2581" s="226">
        <f>IFERROR(__xludf.DUMMYFUNCTION("""COMPUTED_VALUE"""),518804.0)</f>
        <v>518804</v>
      </c>
      <c r="M2581" s="227">
        <f>IFERROR(__xludf.DUMMYFUNCTION("""COMPUTED_VALUE"""),8300861.0)</f>
        <v>8300861</v>
      </c>
      <c r="N2581" s="222" t="str">
        <f>IFERROR(__xludf.DUMMYFUNCTION("""COMPUTED_VALUE"""),"SWAKELOLA")</f>
        <v>SWAKELOLA</v>
      </c>
      <c r="O2581" s="222" t="str">
        <f>IFERROR(__xludf.DUMMYFUNCTION("""COMPUTED_VALUE"""),"0. DROP")</f>
        <v>0. DROP</v>
      </c>
      <c r="P2581" s="222" t="str">
        <f>IFERROR(__xludf.DUMMYFUNCTION("""COMPUTED_VALUE"""),"0.1 Double Order")</f>
        <v>0.1 Double Order</v>
      </c>
      <c r="Q2581" s="222" t="str">
        <f>IFERROR(__xludf.DUMMYFUNCTION("""COMPUTED_VALUE"""),"13/03 DUPLIKASI LOP 2025 10/02 done order SWAKELOLA (07/01) Persiapan")</f>
        <v>13/03 DUPLIKASI LOP 2025 10/02 done order SWAKELOLA (07/01) Persiapan</v>
      </c>
      <c r="R2581" s="228"/>
      <c r="S2581" s="11"/>
      <c r="T2581" s="11"/>
      <c r="U2581" s="11"/>
      <c r="V2581" s="229"/>
      <c r="W2581" s="229"/>
      <c r="X2581" s="229" t="str">
        <f>IFERROR(__xludf.DUMMYFUNCTION("""COMPUTED_VALUE"""),"BELUM GOLIVE")</f>
        <v>BELUM GOLIVE</v>
      </c>
      <c r="Y2581" s="229"/>
      <c r="Z2581" s="229" t="str">
        <f>IFERROR(__xludf.DUMMYFUNCTION("""COMPUTED_VALUE"""),"#N/A")</f>
        <v>#N/A</v>
      </c>
      <c r="AA2581" s="229"/>
      <c r="AB2581" s="229"/>
      <c r="AC2581" s="229"/>
      <c r="AD2581" s="232"/>
      <c r="AE2581" s="233"/>
      <c r="AF2581" s="54"/>
      <c r="AG2581" s="54"/>
      <c r="AH2581" s="54"/>
      <c r="AI2581" s="55" t="str">
        <f t="shared" si="236"/>
        <v/>
      </c>
      <c r="AW2581" s="234"/>
      <c r="BP2581" s="11"/>
      <c r="BQ2581" s="11"/>
      <c r="BV2581" s="158"/>
      <c r="BY2581" s="158"/>
      <c r="CB2581" s="158"/>
    </row>
    <row r="2582" ht="18.0" hidden="1" customHeight="1">
      <c r="A2582" s="222">
        <f>IFERROR(__xludf.DUMMYFUNCTION("""COMPUTED_VALUE"""),2026.0)</f>
        <v>2026</v>
      </c>
      <c r="B2582" s="221">
        <f>IFERROR(__xludf.DUMMYFUNCTION("""COMPUTED_VALUE"""),1.1450048E7)</f>
        <v>11450048</v>
      </c>
      <c r="C2582" s="222" t="str">
        <f>IFERROR(__xludf.DUMMYFUNCTION("""COMPUTED_VALUE"""),"ACH PT3 LGS-FT D09 PAYA BUJUK")</f>
        <v>ACH PT3 LGS-FT D09 PAYA BUJUK</v>
      </c>
      <c r="D2582" s="222" t="str">
        <f>IFERROR(__xludf.DUMMYFUNCTION("""COMPUTED_VALUE"""),"REGIONAL I")</f>
        <v>REGIONAL I</v>
      </c>
      <c r="E2582" s="222" t="str">
        <f>IFERROR(__xludf.DUMMYFUNCTION("""COMPUTED_VALUE"""),"ACEH")</f>
        <v>ACEH</v>
      </c>
      <c r="F2582" s="222" t="str">
        <f>IFERROR(__xludf.DUMMYFUNCTION("""COMPUTED_VALUE"""),"LGS")</f>
        <v>LGS</v>
      </c>
      <c r="G2582" s="222" t="str">
        <f>IFERROR(__xludf.DUMMYFUNCTION("""COMPUTED_VALUE"""),"SUMBAGUT")</f>
        <v>SUMBAGUT</v>
      </c>
      <c r="H2582" s="222" t="str">
        <f>IFERROR(__xludf.DUMMYFUNCTION("""COMPUTED_VALUE"""),"BINJAI")</f>
        <v>BINJAI</v>
      </c>
      <c r="I2582" s="222" t="str">
        <f>IFERROR(__xludf.DUMMYFUNCTION("""COMPUTED_VALUE"""),"Batch 3")</f>
        <v>Batch 3</v>
      </c>
      <c r="J2582" s="225">
        <f>IFERROR(__xludf.DUMMYFUNCTION("""COMPUTED_VALUE"""),11.0)</f>
        <v>11</v>
      </c>
      <c r="K2582" s="224">
        <f>IFERROR(__xludf.DUMMYFUNCTION("""COMPUTED_VALUE"""),88.0)</f>
        <v>88</v>
      </c>
      <c r="L2582" s="226">
        <f>IFERROR(__xludf.DUMMYFUNCTION("""COMPUTED_VALUE"""),730462.0)</f>
        <v>730462</v>
      </c>
      <c r="M2582" s="227">
        <f>IFERROR(__xludf.DUMMYFUNCTION("""COMPUTED_VALUE"""),6.4280638E7)</f>
        <v>64280638</v>
      </c>
      <c r="N2582" s="222" t="str">
        <f>IFERROR(__xludf.DUMMYFUNCTION("""COMPUTED_VALUE"""),"PT NURISA JAYA PERKASA")</f>
        <v>PT NURISA JAYA PERKASA</v>
      </c>
      <c r="O2582" s="222" t="str">
        <f>IFERROR(__xludf.DUMMYFUNCTION("""COMPUTED_VALUE"""),"7. GOLIVE")</f>
        <v>7. GOLIVE</v>
      </c>
      <c r="P2582" s="222" t="str">
        <f>IFERROR(__xludf.DUMMYFUNCTION("""COMPUTED_VALUE"""),"7.2 Golive Full / OA / DONE OTB")</f>
        <v>7.2 Golive Full / OA / DONE OTB</v>
      </c>
      <c r="Q2582" s="222" t="str">
        <f>IFERROR(__xludf.DUMMYFUNCTION("""COMPUTED_VALUE"""),"(11/02)pgl (09/02) ABD Mancore (22/01) Selesai Fisik, Waiting Big OLT STO LGS")</f>
        <v>(11/02)pgl (09/02) ABD Mancore (22/01) Selesai Fisik, Waiting Big OLT STO LGS</v>
      </c>
      <c r="R2582" s="228">
        <f>IFERROR(__xludf.DUMMYFUNCTION("""COMPUTED_VALUE"""),46065.0)</f>
        <v>46065</v>
      </c>
      <c r="S2582" s="11"/>
      <c r="T2582" s="11"/>
      <c r="U2582" s="11"/>
      <c r="V2582" s="229"/>
      <c r="W2582" s="229"/>
      <c r="X2582" s="229" t="str">
        <f>IFERROR(__xludf.DUMMYFUNCTION("""COMPUTED_VALUE"""),"GOLIVE")</f>
        <v>GOLIVE</v>
      </c>
      <c r="Y2582" s="229" t="str">
        <f>IFERROR(__xludf.DUMMYFUNCTION("""COMPUTED_VALUE"""),"DONE")</f>
        <v>DONE</v>
      </c>
      <c r="Z2582" s="229" t="str">
        <f>IFERROR(__xludf.DUMMYFUNCTION("""COMPUTED_VALUE"""),"#N/A")</f>
        <v>#N/A</v>
      </c>
      <c r="AA2582" s="229">
        <f>IFERROR(__xludf.DUMMYFUNCTION("""COMPUTED_VALUE"""),11.0)</f>
        <v>11</v>
      </c>
      <c r="AB2582" s="229"/>
      <c r="AC2582" s="229" t="str">
        <f>IFERROR(__xludf.DUMMYFUNCTION("""COMPUTED_VALUE"""),"9097538#9097543")</f>
        <v>9097538#9097543</v>
      </c>
      <c r="AD2582" s="232">
        <f>IFERROR(__xludf.DUMMYFUNCTION("""COMPUTED_VALUE"""),88.0)</f>
        <v>88</v>
      </c>
      <c r="AE2582" s="233">
        <f>IFERROR(__xludf.DUMMYFUNCTION("""COMPUTED_VALUE"""),46065.0)</f>
        <v>46065</v>
      </c>
      <c r="AF2582" s="54"/>
      <c r="AG2582" s="54"/>
      <c r="AH2582" s="54">
        <v>46065.0</v>
      </c>
      <c r="AI2582" s="55">
        <f t="shared" si="236"/>
        <v>0</v>
      </c>
      <c r="AW2582" s="234"/>
      <c r="BP2582" s="11"/>
      <c r="BQ2582" s="11"/>
      <c r="BV2582" s="158"/>
      <c r="BY2582" s="158"/>
      <c r="CB2582" s="158"/>
    </row>
    <row r="2583" ht="18.0" hidden="1" customHeight="1">
      <c r="A2583" s="222">
        <f>IFERROR(__xludf.DUMMYFUNCTION("""COMPUTED_VALUE"""),2026.0)</f>
        <v>2026</v>
      </c>
      <c r="B2583" s="221">
        <f>IFERROR(__xludf.DUMMYFUNCTION("""COMPUTED_VALUE"""),1.2588102E7)</f>
        <v>12588102</v>
      </c>
      <c r="C2583" s="222" t="str">
        <f>IFERROR(__xludf.DUMMYFUNCTION("""COMPUTED_VALUE"""),"MDN PT3 LBP-FJ 250_1588_1742")</f>
        <v>MDN PT3 LBP-FJ 250_1588_1742</v>
      </c>
      <c r="D2583" s="222" t="str">
        <f>IFERROR(__xludf.DUMMYFUNCTION("""COMPUTED_VALUE"""),"REGIONAL I")</f>
        <v>REGIONAL I</v>
      </c>
      <c r="E2583" s="222" t="str">
        <f>IFERROR(__xludf.DUMMYFUNCTION("""COMPUTED_VALUE"""),"MEDAN")</f>
        <v>MEDAN</v>
      </c>
      <c r="F2583" s="222" t="str">
        <f>IFERROR(__xludf.DUMMYFUNCTION("""COMPUTED_VALUE"""),"LBP")</f>
        <v>LBP</v>
      </c>
      <c r="G2583" s="222" t="str">
        <f>IFERROR(__xludf.DUMMYFUNCTION("""COMPUTED_VALUE"""),"SUMBAGUT")</f>
        <v>SUMBAGUT</v>
      </c>
      <c r="H2583" s="222" t="str">
        <f>IFERROR(__xludf.DUMMYFUNCTION("""COMPUTED_VALUE"""),"MEDAN")</f>
        <v>MEDAN</v>
      </c>
      <c r="I2583" s="222" t="str">
        <f>IFERROR(__xludf.DUMMYFUNCTION("""COMPUTED_VALUE"""),"Batch 3")</f>
        <v>Batch 3</v>
      </c>
      <c r="J2583" s="225">
        <f>IFERROR(__xludf.DUMMYFUNCTION("""COMPUTED_VALUE"""),3.0)</f>
        <v>3</v>
      </c>
      <c r="K2583" s="224">
        <f>IFERROR(__xludf.DUMMYFUNCTION("""COMPUTED_VALUE"""),24.0)</f>
        <v>24</v>
      </c>
      <c r="L2583" s="226">
        <f>IFERROR(__xludf.DUMMYFUNCTION("""COMPUTED_VALUE"""),517694.0)</f>
        <v>517694</v>
      </c>
      <c r="M2583" s="227">
        <f>IFERROR(__xludf.DUMMYFUNCTION("""COMPUTED_VALUE"""),1.2424636E7)</f>
        <v>12424636</v>
      </c>
      <c r="N2583" s="222" t="str">
        <f>IFERROR(__xludf.DUMMYFUNCTION("""COMPUTED_VALUE"""),"PT MEDCOM SOLUTION")</f>
        <v>PT MEDCOM SOLUTION</v>
      </c>
      <c r="O2583" s="222" t="str">
        <f>IFERROR(__xludf.DUMMYFUNCTION("""COMPUTED_VALUE"""),"0. DROP")</f>
        <v>0. DROP</v>
      </c>
      <c r="P2583" s="222" t="str">
        <f>IFERROR(__xludf.DUMMYFUNCTION("""COMPUTED_VALUE"""),"0.2 Tidak Dapat Izin Warga/Kades/Lurah/Developer")</f>
        <v>0.2 Tidak Dapat Izin Warga/Kades/Lurah/Developer</v>
      </c>
      <c r="Q2583" s="222" t="str">
        <f>IFERROR(__xludf.DUMMYFUNCTION("""COMPUTED_VALUE"""),"06/04 tdk ada space tanam tiang")</f>
        <v>06/04 tdk ada space tanam tiang</v>
      </c>
      <c r="R2583" s="228"/>
      <c r="S2583" s="11"/>
      <c r="T2583" s="11"/>
      <c r="U2583" s="11"/>
      <c r="V2583" s="229"/>
      <c r="W2583" s="229"/>
      <c r="X2583" s="229" t="str">
        <f>IFERROR(__xludf.DUMMYFUNCTION("""COMPUTED_VALUE"""),"BELUM GOLIVE")</f>
        <v>BELUM GOLIVE</v>
      </c>
      <c r="Y2583" s="229"/>
      <c r="Z2583" s="229" t="str">
        <f>IFERROR(__xludf.DUMMYFUNCTION("""COMPUTED_VALUE"""),"#N/A")</f>
        <v>#N/A</v>
      </c>
      <c r="AA2583" s="229"/>
      <c r="AB2583" s="229"/>
      <c r="AC2583" s="229"/>
      <c r="AD2583" s="232"/>
      <c r="AE2583" s="233"/>
      <c r="AF2583" s="54"/>
      <c r="AG2583" s="54"/>
      <c r="AH2583" s="54"/>
      <c r="AI2583" s="55" t="str">
        <f t="shared" si="236"/>
        <v/>
      </c>
      <c r="AW2583" s="234"/>
      <c r="BP2583" s="11"/>
      <c r="BQ2583" s="11"/>
      <c r="BV2583" s="158"/>
      <c r="BY2583" s="158"/>
      <c r="CB2583" s="158"/>
    </row>
    <row r="2584" ht="18.0" customHeight="1">
      <c r="A2584" s="222">
        <f>IFERROR(__xludf.DUMMYFUNCTION("""COMPUTED_VALUE"""),2026.0)</f>
        <v>2026</v>
      </c>
      <c r="B2584" s="221">
        <f>IFERROR(__xludf.DUMMYFUNCTION("""COMPUTED_VALUE"""),1.2742641E7)</f>
        <v>12742641</v>
      </c>
      <c r="C2584" s="222" t="str">
        <f>IFERROR(__xludf.DUMMYFUNCTION("""COMPUTED_VALUE"""),"SMB-PT3-ODC-SIG-FA-54664-36312-99064")</f>
        <v>SMB-PT3-ODC-SIG-FA-54664-36312-99064</v>
      </c>
      <c r="D2584" s="222" t="str">
        <f>IFERROR(__xludf.DUMMYFUNCTION("""COMPUTED_VALUE"""),"REGIONAL I")</f>
        <v>REGIONAL I</v>
      </c>
      <c r="E2584" s="222" t="str">
        <f>IFERROR(__xludf.DUMMYFUNCTION("""COMPUTED_VALUE"""),"SUMBAR")</f>
        <v>SUMBAR</v>
      </c>
      <c r="F2584" s="222" t="str">
        <f>IFERROR(__xludf.DUMMYFUNCTION("""COMPUTED_VALUE"""),"SIG")</f>
        <v>SIG</v>
      </c>
      <c r="G2584" s="222" t="str">
        <f>IFERROR(__xludf.DUMMYFUNCTION("""COMPUTED_VALUE"""),"SUMBAGTENG")</f>
        <v>SUMBAGTENG</v>
      </c>
      <c r="H2584" s="222" t="str">
        <f>IFERROR(__xludf.DUMMYFUNCTION("""COMPUTED_VALUE"""),"BUKIT TINGGI")</f>
        <v>BUKIT TINGGI</v>
      </c>
      <c r="I2584" s="222" t="str">
        <f>IFERROR(__xludf.DUMMYFUNCTION("""COMPUTED_VALUE"""),"Batch 3")</f>
        <v>Batch 3</v>
      </c>
      <c r="J2584" s="225">
        <f>IFERROR(__xludf.DUMMYFUNCTION("""COMPUTED_VALUE"""),4.0)</f>
        <v>4</v>
      </c>
      <c r="K2584" s="224">
        <f>IFERROR(__xludf.DUMMYFUNCTION("""COMPUTED_VALUE"""),32.0)</f>
        <v>32</v>
      </c>
      <c r="L2584" s="226">
        <f>IFERROR(__xludf.DUMMYFUNCTION("""COMPUTED_VALUE"""),514198.0)</f>
        <v>514198</v>
      </c>
      <c r="M2584" s="227">
        <f>IFERROR(__xludf.DUMMYFUNCTION("""COMPUTED_VALUE"""),1.6454334E7)</f>
        <v>16454334</v>
      </c>
      <c r="N2584" s="222" t="str">
        <f>IFERROR(__xludf.DUMMYFUNCTION("""COMPUTED_VALUE"""),"PT TSUIKA BERKAH RAYA")</f>
        <v>PT TSUIKA BERKAH RAYA</v>
      </c>
      <c r="O2584" s="222" t="str">
        <f>IFERROR(__xludf.DUMMYFUNCTION("""COMPUTED_VALUE"""),"7. GOLIVE")</f>
        <v>7. GOLIVE</v>
      </c>
      <c r="P2584" s="222" t="str">
        <f>IFERROR(__xludf.DUMMYFUNCTION("""COMPUTED_VALUE"""),"7.2 Golive Full / OA / DONE OTB")</f>
        <v>7.2 Golive Full / OA / DONE OTB</v>
      </c>
      <c r="Q2584" s="222" t="str">
        <f>IFERROR(__xludf.DUMMYFUNCTION("""COMPUTED_VALUE"""),"(05/03) ABD done submit ke sdi  (02/03) ABD OGP submit ke sdi  (18/02) Tanam tiang plan FI 20/02 (03/02) Proses create PID (29/01) Done aanwijziing  , proses eval")</f>
        <v>(05/03) ABD done submit ke sdi  (02/03) ABD OGP submit ke sdi  (18/02) Tanam tiang plan FI 20/02 (03/02) Proses create PID (29/01) Done aanwijziing  , proses eval</v>
      </c>
      <c r="R2584" s="228">
        <f>IFERROR(__xludf.DUMMYFUNCTION("""COMPUTED_VALUE"""),46088.0)</f>
        <v>46088</v>
      </c>
      <c r="S2584" s="11" t="str">
        <f>IFERROR(__xludf.DUMMYFUNCTION("""COMPUTED_VALUE"""),"MAR")</f>
        <v>MAR</v>
      </c>
      <c r="T2584" s="11"/>
      <c r="U2584" s="11" t="str">
        <f>IFERROR(__xludf.DUMMYFUNCTION("""COMPUTED_VALUE"""),"TIF-3519/2026 26KT03R107-0001")</f>
        <v>TIF-3519/2026 26KT03R107-0001</v>
      </c>
      <c r="V2584" s="229" t="str">
        <f>IFERROR(__xludf.DUMMYFUNCTION("""COMPUTED_VALUE"""),"M. ARIF HAMADI")</f>
        <v>M. ARIF HAMADI</v>
      </c>
      <c r="W2584" s="229" t="str">
        <f>IFERROR(__xludf.DUMMYFUNCTION("""COMPUTED_VALUE"""),"MELKO NARWADI")</f>
        <v>MELKO NARWADI</v>
      </c>
      <c r="X2584" s="229" t="str">
        <f>IFERROR(__xludf.DUMMYFUNCTION("""COMPUTED_VALUE"""),"GOLIVE")</f>
        <v>GOLIVE</v>
      </c>
      <c r="Y2584" s="229" t="str">
        <f>IFERROR(__xludf.DUMMYFUNCTION("""COMPUTED_VALUE"""),"DONE")</f>
        <v>DONE</v>
      </c>
      <c r="Z2584" s="229" t="str">
        <f>IFERROR(__xludf.DUMMYFUNCTION("""COMPUTED_VALUE"""),"#N/A")</f>
        <v>#N/A</v>
      </c>
      <c r="AA2584" s="229">
        <f>IFERROR(__xludf.DUMMYFUNCTION("""COMPUTED_VALUE"""),2.0)</f>
        <v>2</v>
      </c>
      <c r="AB2584" s="229"/>
      <c r="AC2584" s="229" t="str">
        <f>IFERROR(__xludf.DUMMYFUNCTION("""COMPUTED_VALUE"""),"9179117#9179122  ")</f>
        <v>9179117#9179122  </v>
      </c>
      <c r="AD2584" s="232">
        <f>IFERROR(__xludf.DUMMYFUNCTION("""COMPUTED_VALUE"""),16.0)</f>
        <v>16</v>
      </c>
      <c r="AE2584" s="233">
        <f>IFERROR(__xludf.DUMMYFUNCTION("""COMPUTED_VALUE"""),46088.0)</f>
        <v>46088</v>
      </c>
      <c r="AF2584" s="54"/>
      <c r="AG2584" s="54"/>
      <c r="AH2584" s="54">
        <v>46088.0</v>
      </c>
      <c r="AI2584" s="55">
        <f>IF(OR(AH2584="",AE2584=""),"",AH2584-AE2584)</f>
        <v>0</v>
      </c>
      <c r="AW2584" s="234"/>
      <c r="BP2584" s="11"/>
      <c r="BQ2584" s="11"/>
      <c r="BV2584" s="158"/>
      <c r="BY2584" s="158"/>
      <c r="CB2584" s="158"/>
    </row>
    <row r="2585" ht="18.0" hidden="1" customHeight="1">
      <c r="A2585" s="222">
        <f>IFERROR(__xludf.DUMMYFUNCTION("""COMPUTED_VALUE"""),2026.0)</f>
        <v>2026</v>
      </c>
      <c r="B2585" s="221">
        <f>IFERROR(__xludf.DUMMYFUNCTION("""COMPUTED_VALUE"""),1.2678927E7)</f>
        <v>12678927</v>
      </c>
      <c r="C2585" s="222" t="str">
        <f>IFERROR(__xludf.DUMMYFUNCTION("""COMPUTED_VALUE"""),"LPG PT3 MESUJI_82768 UNT")</f>
        <v>LPG PT3 MESUJI_82768 UNT</v>
      </c>
      <c r="D2585" s="222" t="str">
        <f>IFERROR(__xludf.DUMMYFUNCTION("""COMPUTED_VALUE"""),"REGIONAL I")</f>
        <v>REGIONAL I</v>
      </c>
      <c r="E2585" s="222" t="str">
        <f>IFERROR(__xludf.DUMMYFUNCTION("""COMPUTED_VALUE"""),"LAMPUNG")</f>
        <v>LAMPUNG</v>
      </c>
      <c r="F2585" s="222" t="str">
        <f>IFERROR(__xludf.DUMMYFUNCTION("""COMPUTED_VALUE"""),"UNT")</f>
        <v>UNT</v>
      </c>
      <c r="G2585" s="222" t="str">
        <f>IFERROR(__xludf.DUMMYFUNCTION("""COMPUTED_VALUE"""),"SUMBAGSEL")</f>
        <v>SUMBAGSEL</v>
      </c>
      <c r="H2585" s="222" t="str">
        <f>IFERROR(__xludf.DUMMYFUNCTION("""COMPUTED_VALUE"""),"PALEMBANG")</f>
        <v>PALEMBANG</v>
      </c>
      <c r="I2585" s="222" t="str">
        <f>IFERROR(__xludf.DUMMYFUNCTION("""COMPUTED_VALUE"""),"Batch 3")</f>
        <v>Batch 3</v>
      </c>
      <c r="J2585" s="225">
        <f>IFERROR(__xludf.DUMMYFUNCTION("""COMPUTED_VALUE"""),2.0)</f>
        <v>2</v>
      </c>
      <c r="K2585" s="224">
        <f>IFERROR(__xludf.DUMMYFUNCTION("""COMPUTED_VALUE"""),16.0)</f>
        <v>16</v>
      </c>
      <c r="L2585" s="226">
        <f>IFERROR(__xludf.DUMMYFUNCTION("""COMPUTED_VALUE"""),513885.0)</f>
        <v>513885</v>
      </c>
      <c r="M2585" s="227">
        <f>IFERROR(__xludf.DUMMYFUNCTION("""COMPUTED_VALUE"""),8222159.0)</f>
        <v>8222159</v>
      </c>
      <c r="N2585" s="222" t="str">
        <f>IFERROR(__xludf.DUMMYFUNCTION("""COMPUTED_VALUE"""),"SWAKELOLA")</f>
        <v>SWAKELOLA</v>
      </c>
      <c r="O2585" s="222" t="str">
        <f>IFERROR(__xludf.DUMMYFUNCTION("""COMPUTED_VALUE"""),"0. DROP")</f>
        <v>0. DROP</v>
      </c>
      <c r="P2585" s="222" t="str">
        <f>IFERROR(__xludf.DUMMYFUNCTION("""COMPUTED_VALUE"""),"0.4 CPP Tinggi Acc ED TIF")</f>
        <v>0.4 CPP Tinggi Acc ED TIF</v>
      </c>
      <c r="Q2585" s="222" t="str">
        <f>IFERROR(__xludf.DUMMYFUNCTION("""COMPUTED_VALUE"""),"01/04 HASIL EVAL DROP MINI OLT HABIS CATUAN KE MINI OLT LOKASI MESUJI_28473_H2_2025, 31/03 PLAN HARI INI LANJUT EVAL DG TIF, 27/03 LANJUT EVAL DG TIF EST TGL 30 MAR, 26/3 DONE AANWIJDZING , MENUNGGU HASIL EVAL, 25/03 LANJUT EVAL DG TIF EST TGL 30 MAR ,21/"&amp;"03 LANJUT EVAL SETELAH LEBARAN, 13/03 DONE AANWIDJZING - PROPOSED DROP KRNA CORE DAN MODUL  PENUH DI MINI OLT, 5/3 masuk area sumsel,, (18/2) konfirmasi ke tif  terkait penambahan mini OLT  (11/2) masuk lop sumsel(11/2) masuk lop sumsel 4/2 Slot Modul OLT"&amp;" Penuh 
3/2 on going progres perizinan 
23/1 plan anwizing 26/3")</f>
        <v>01/04 HASIL EVAL DROP MINI OLT HABIS CATUAN KE MINI OLT LOKASI MESUJI_28473_H2_2025, 31/03 PLAN HARI INI LANJUT EVAL DG TIF, 27/03 LANJUT EVAL DG TIF EST TGL 30 MAR, 26/3 DONE AANWIJDZING , MENUNGGU HASIL EVAL, 25/03 LANJUT EVAL DG TIF EST TGL 30 MAR ,21/03 LANJUT EVAL SETELAH LEBARAN, 13/03 DONE AANWIDJZING - PROPOSED DROP KRNA CORE DAN MODUL  PENUH DI MINI OLT, 5/3 masuk area sumsel,, (18/2) konfirmasi ke tif  terkait penambahan mini OLT  (11/2) masuk lop sumsel(11/2) masuk lop sumsel 4/2 Slot Modul OLT Penuh 
3/2 on going progres perizinan 
23/1 plan anwizing 26/3</v>
      </c>
      <c r="R2585" s="228"/>
      <c r="S2585" s="11"/>
      <c r="T2585" s="11"/>
      <c r="U2585" s="11"/>
      <c r="V2585" s="229"/>
      <c r="W2585" s="229"/>
      <c r="X2585" s="229"/>
      <c r="Y2585" s="229" t="str">
        <f>IFERROR(__xludf.DUMMYFUNCTION("""COMPUTED_VALUE"""),"PORT OLT Penuh")</f>
        <v>PORT OLT Penuh</v>
      </c>
      <c r="Z2585" s="229" t="str">
        <f>IFERROR(__xludf.DUMMYFUNCTION("""COMPUTED_VALUE"""),"#N/A")</f>
        <v>#N/A</v>
      </c>
      <c r="AA2585" s="229"/>
      <c r="AB2585" s="229"/>
      <c r="AC2585" s="229"/>
      <c r="AD2585" s="232"/>
      <c r="AE2585" s="233"/>
      <c r="AF2585" s="54"/>
      <c r="AG2585" s="54"/>
      <c r="AH2585" s="54"/>
      <c r="AI2585" s="55" t="str">
        <f t="shared" ref="AI2585:AI2592" si="237">IF(OR(R2585="",AE2585=""),"",R2585-AE2585)</f>
        <v/>
      </c>
      <c r="AW2585" s="234"/>
      <c r="BP2585" s="11"/>
      <c r="BQ2585" s="11"/>
      <c r="BV2585" s="158"/>
      <c r="BY2585" s="158"/>
      <c r="CB2585" s="158"/>
    </row>
    <row r="2586" ht="18.0" hidden="1" customHeight="1">
      <c r="A2586" s="222">
        <f>IFERROR(__xludf.DUMMYFUNCTION("""COMPUTED_VALUE"""),2026.0)</f>
        <v>2026</v>
      </c>
      <c r="B2586" s="221">
        <f>IFERROR(__xludf.DUMMYFUNCTION("""COMPUTED_VALUE"""),1.215803E7)</f>
        <v>12158030</v>
      </c>
      <c r="C2586" s="222" t="str">
        <f>IFERROR(__xludf.DUMMYFUNCTION("""COMPUTED_VALUE"""),"LPG PT4 JPP WAY KANAN_160255 KBI")</f>
        <v>LPG PT4 JPP WAY KANAN_160255 KBI</v>
      </c>
      <c r="D2586" s="222" t="str">
        <f>IFERROR(__xludf.DUMMYFUNCTION("""COMPUTED_VALUE"""),"REGIONAL I")</f>
        <v>REGIONAL I</v>
      </c>
      <c r="E2586" s="222" t="str">
        <f>IFERROR(__xludf.DUMMYFUNCTION("""COMPUTED_VALUE"""),"LAMPUNG")</f>
        <v>LAMPUNG</v>
      </c>
      <c r="F2586" s="222" t="str">
        <f>IFERROR(__xludf.DUMMYFUNCTION("""COMPUTED_VALUE"""),"KBI")</f>
        <v>KBI</v>
      </c>
      <c r="G2586" s="222" t="str">
        <f>IFERROR(__xludf.DUMMYFUNCTION("""COMPUTED_VALUE"""),"SUMBAGSEL")</f>
        <v>SUMBAGSEL</v>
      </c>
      <c r="H2586" s="222" t="str">
        <f>IFERROR(__xludf.DUMMYFUNCTION("""COMPUTED_VALUE"""),"LAMPUNG")</f>
        <v>LAMPUNG</v>
      </c>
      <c r="I2586" s="222" t="str">
        <f>IFERROR(__xludf.DUMMYFUNCTION("""COMPUTED_VALUE"""),"Batch 3")</f>
        <v>Batch 3</v>
      </c>
      <c r="J2586" s="225">
        <f>IFERROR(__xludf.DUMMYFUNCTION("""COMPUTED_VALUE"""),63.0)</f>
        <v>63</v>
      </c>
      <c r="K2586" s="224">
        <f>IFERROR(__xludf.DUMMYFUNCTION("""COMPUTED_VALUE"""),504.0)</f>
        <v>504</v>
      </c>
      <c r="L2586" s="226">
        <f>IFERROR(__xludf.DUMMYFUNCTION("""COMPUTED_VALUE"""),513428.0)</f>
        <v>513428</v>
      </c>
      <c r="M2586" s="227">
        <f>IFERROR(__xludf.DUMMYFUNCTION("""COMPUTED_VALUE"""),2.58767408E8)</f>
        <v>258767408</v>
      </c>
      <c r="N2586" s="222" t="str">
        <f>IFERROR(__xludf.DUMMYFUNCTION("""COMPUTED_VALUE"""),"PT KOPRASI PILAR UTAMA")</f>
        <v>PT KOPRASI PILAR UTAMA</v>
      </c>
      <c r="O2586" s="222" t="str">
        <f>IFERROR(__xludf.DUMMYFUNCTION("""COMPUTED_VALUE"""),"5. INSTALASI")</f>
        <v>5. INSTALASI</v>
      </c>
      <c r="P2586" s="222" t="str">
        <f>IFERROR(__xludf.DUMMYFUNCTION("""COMPUTED_VALUE"""),"5.4 Proses Penanaman Tiang")</f>
        <v>5.4 Proses Penanaman Tiang</v>
      </c>
      <c r="Q2586" s="222" t="str">
        <f>IFERROR(__xludf.DUMMYFUNCTION("""COMPUTED_VALUE"""),"27/4 Proses Material On Site,  22/4 Penanam Tiang CSF plan matdel 24/4, 17/04 proses antrian instalasi 14 Apr 08/04 Done PR PO , proses matdel 06/04 Proses PR PO baru selesai aandwizing pergantian mitra AUM 2/4 proses pengajuan PR/PO 
31/3 proses pengajua"&amp;"n PR/PO 
25/3  Progres perizinan pararel   Proses peralihan MITRA karena Mitra overload  5/3 PROSES PR /PO 
11/2 comecase 20jt , CPP naik 7% 6.2 kades belum bisa di temui ,estimasi jwbn nya 10/2
4/2 pengajuan redisgn titik odc, 
30/1 on progres kades belu"&amp;"m bisa di temui karna ada acra di kecamtan  
28/1 plan anwizing 30/1  
23/1 plan anwizing 27/1")</f>
        <v>27/4 Proses Material On Site,  22/4 Penanam Tiang CSF plan matdel 24/4, 17/04 proses antrian instalasi 14 Apr 08/04 Done PR PO , proses matdel 06/04 Proses PR PO baru selesai aandwizing pergantian mitra AUM 2/4 proses pengajuan PR/PO 
31/3 proses pengajuan PR/PO 
25/3  Progres perizinan pararel   Proses peralihan MITRA karena Mitra overload  5/3 PROSES PR /PO 
11/2 comecase 20jt , CPP naik 7% 6.2 kades belum bisa di temui ,estimasi jwbn nya 10/2
4/2 pengajuan redisgn titik odc, 
30/1 on progres kades belum bisa di temui karna ada acra di kecamtan  
28/1 plan anwizing 30/1  
23/1 plan anwizing 27/1</v>
      </c>
      <c r="R2586" s="228"/>
      <c r="S2586" s="11"/>
      <c r="T2586" s="73"/>
      <c r="U2586" s="11" t="str">
        <f>IFERROR(__xludf.DUMMYFUNCTION("""COMPUTED_VALUE"""),"TIF-6114/2026")</f>
        <v>TIF-6114/2026</v>
      </c>
      <c r="V2586" s="229"/>
      <c r="W2586" s="229"/>
      <c r="X2586" s="229"/>
      <c r="Y2586" s="229"/>
      <c r="Z2586" s="229" t="str">
        <f>IFERROR(__xludf.DUMMYFUNCTION("""COMPUTED_VALUE"""),"#N/A")</f>
        <v>#N/A</v>
      </c>
      <c r="AA2586" s="229"/>
      <c r="AB2586" s="229"/>
      <c r="AC2586" s="229"/>
      <c r="AD2586" s="232"/>
      <c r="AE2586" s="233"/>
      <c r="AF2586" s="54"/>
      <c r="AG2586" s="54"/>
      <c r="AH2586" s="54"/>
      <c r="AI2586" s="55" t="str">
        <f t="shared" si="237"/>
        <v/>
      </c>
      <c r="AW2586" s="234"/>
      <c r="BP2586" s="11"/>
      <c r="BQ2586" s="11"/>
      <c r="BV2586" s="158"/>
      <c r="BY2586" s="158"/>
      <c r="CB2586" s="158"/>
    </row>
    <row r="2587" ht="18.0" hidden="1" customHeight="1">
      <c r="A2587" s="222">
        <f>IFERROR(__xludf.DUMMYFUNCTION("""COMPUTED_VALUE"""),2026.0)</f>
        <v>2026</v>
      </c>
      <c r="B2587" s="221">
        <f>IFERROR(__xludf.DUMMYFUNCTION("""COMPUTED_VALUE"""),1.2759797E7)</f>
        <v>12759797</v>
      </c>
      <c r="C2587" s="222" t="str">
        <f>IFERROR(__xludf.DUMMYFUNCTION("""COMPUTED_VALUE"""),"LPG PT3 JPP LAMPUNG TENGAH_65336 BDA")</f>
        <v>LPG PT3 JPP LAMPUNG TENGAH_65336 BDA</v>
      </c>
      <c r="D2587" s="222" t="str">
        <f>IFERROR(__xludf.DUMMYFUNCTION("""COMPUTED_VALUE"""),"REGIONAL I")</f>
        <v>REGIONAL I</v>
      </c>
      <c r="E2587" s="222" t="str">
        <f>IFERROR(__xludf.DUMMYFUNCTION("""COMPUTED_VALUE"""),"LAMPUNG")</f>
        <v>LAMPUNG</v>
      </c>
      <c r="F2587" s="222" t="str">
        <f>IFERROR(__xludf.DUMMYFUNCTION("""COMPUTED_VALUE"""),"BDA")</f>
        <v>BDA</v>
      </c>
      <c r="G2587" s="222" t="str">
        <f>IFERROR(__xludf.DUMMYFUNCTION("""COMPUTED_VALUE"""),"SUMBAGSEL")</f>
        <v>SUMBAGSEL</v>
      </c>
      <c r="H2587" s="222" t="str">
        <f>IFERROR(__xludf.DUMMYFUNCTION("""COMPUTED_VALUE"""),"LAMPUNG")</f>
        <v>LAMPUNG</v>
      </c>
      <c r="I2587" s="222" t="str">
        <f>IFERROR(__xludf.DUMMYFUNCTION("""COMPUTED_VALUE"""),"Batch 3")</f>
        <v>Batch 3</v>
      </c>
      <c r="J2587" s="225">
        <f>IFERROR(__xludf.DUMMYFUNCTION("""COMPUTED_VALUE"""),3.0)</f>
        <v>3</v>
      </c>
      <c r="K2587" s="224">
        <f>IFERROR(__xludf.DUMMYFUNCTION("""COMPUTED_VALUE"""),24.0)</f>
        <v>24</v>
      </c>
      <c r="L2587" s="226">
        <f>IFERROR(__xludf.DUMMYFUNCTION("""COMPUTED_VALUE"""),512870.0)</f>
        <v>512870</v>
      </c>
      <c r="M2587" s="227">
        <f>IFERROR(__xludf.DUMMYFUNCTION("""COMPUTED_VALUE"""),1.2308865E7)</f>
        <v>12308865</v>
      </c>
      <c r="N2587" s="222" t="str">
        <f>IFERROR(__xludf.DUMMYFUNCTION("""COMPUTED_VALUE"""),"PT GARINDO TECHNO MANDIRI")</f>
        <v>PT GARINDO TECHNO MANDIRI</v>
      </c>
      <c r="O2587" s="222" t="str">
        <f>IFERROR(__xludf.DUMMYFUNCTION("""COMPUTED_VALUE"""),"7. GOLIVE")</f>
        <v>7. GOLIVE</v>
      </c>
      <c r="P2587" s="222" t="str">
        <f>IFERROR(__xludf.DUMMYFUNCTION("""COMPUTED_VALUE"""),"7.2 Golive Full / OA / DONE OTB")</f>
        <v>7.2 Golive Full / OA / DONE OTB</v>
      </c>
      <c r="Q2587" s="222" t="str">
        <f>IFERROR(__xludf.DUMMYFUNCTION("""COMPUTED_VALUE"""),"13/3 proses golive,, 9/3 PROGRES TERMINASI TGL 4/3, PLAN GOLIVE 10/3
2/3 progres penarikan ,PROGRES TERMINASI TGL 4/3, PLAN GOLIVE 10/3
27/2 progres penarikan ,PROGRES TERMINASI TGL 4/3, PLAN GOLIVE 7/3
25/2 PROGRES TERMINASI TGL 4/3, PLAN GOLIVE 7/3
24/2"&amp;" material baru keluar dari wh menuju lokasi ,plan gali tanam tiang 25/2
20/2 proses pengajuan PID dan PR/PO 
 11/2 plan matdel ,15/2 estimasi angkut material dari wh - 16 FEB EMPLOY 6/2 plan anwizing ,9/2 survey eletrical fedeer dan distribusi 
4/2 progre"&amp;"s prizinan dan eletrical 
30/1 plan anwizing 
23/1 plan anwizing tanggal 26/10
")</f>
        <v>13/3 proses golive,, 9/3 PROGRES TERMINASI TGL 4/3, PLAN GOLIVE 10/3
2/3 progres penarikan ,PROGRES TERMINASI TGL 4/3, PLAN GOLIVE 10/3
27/2 progres penarikan ,PROGRES TERMINASI TGL 4/3, PLAN GOLIVE 7/3
25/2 PROGRES TERMINASI TGL 4/3, PLAN GOLIVE 7/3
24/2 material baru keluar dari wh menuju lokasi ,plan gali tanam tiang 25/2
20/2 proses pengajuan PID dan PR/PO 
 11/2 plan matdel ,15/2 estimasi angkut material dari wh - 16 FEB EMPLOY 6/2 plan anwizing ,9/2 survey eletrical fedeer dan distribusi 
4/2 progres prizinan dan eletrical 
30/1 plan anwizing 
23/1 plan anwizing tanggal 26/10
</v>
      </c>
      <c r="R2587" s="228">
        <f>IFERROR(__xludf.DUMMYFUNCTION("""COMPUTED_VALUE"""),46092.0)</f>
        <v>46092</v>
      </c>
      <c r="S2587" s="11" t="str">
        <f>IFERROR(__xludf.DUMMYFUNCTION("""COMPUTED_VALUE"""),"MAR")</f>
        <v>MAR</v>
      </c>
      <c r="T2587" s="11" t="str">
        <f>IFERROR(__xludf.DUMMYFUNCTION("""COMPUTED_VALUE"""),"P1")</f>
        <v>P1</v>
      </c>
      <c r="U2587" s="11" t="str">
        <f>IFERROR(__xludf.DUMMYFUNCTION("""COMPUTED_VALUE"""),"TIF-4007/2026")</f>
        <v>TIF-4007/2026</v>
      </c>
      <c r="V2587" s="229"/>
      <c r="W2587" s="229"/>
      <c r="X2587" s="229" t="str">
        <f>IFERROR(__xludf.DUMMYFUNCTION("""COMPUTED_VALUE"""),"GOLIVE")</f>
        <v>GOLIVE</v>
      </c>
      <c r="Y2587" s="229" t="str">
        <f>IFERROR(__xludf.DUMMYFUNCTION("""COMPUTED_VALUE"""),"DONE")</f>
        <v>DONE</v>
      </c>
      <c r="Z2587" s="229" t="str">
        <f>IFERROR(__xludf.DUMMYFUNCTION("""COMPUTED_VALUE"""),"#N/A")</f>
        <v>#N/A</v>
      </c>
      <c r="AA2587" s="229">
        <f>IFERROR(__xludf.DUMMYFUNCTION("""COMPUTED_VALUE"""),3.0)</f>
        <v>3</v>
      </c>
      <c r="AB2587" s="229"/>
      <c r="AC2587" s="229" t="str">
        <f>IFERROR(__xludf.DUMMYFUNCTION("""COMPUTED_VALUE"""),"9106599#9106604")</f>
        <v>9106599#9106604</v>
      </c>
      <c r="AD2587" s="232">
        <f>IFERROR(__xludf.DUMMYFUNCTION("""COMPUTED_VALUE"""),24.0)</f>
        <v>24</v>
      </c>
      <c r="AE2587" s="233">
        <f>IFERROR(__xludf.DUMMYFUNCTION("""COMPUTED_VALUE"""),46094.0)</f>
        <v>46094</v>
      </c>
      <c r="AF2587" s="54"/>
      <c r="AG2587" s="54"/>
      <c r="AH2587" s="54">
        <v>46092.0</v>
      </c>
      <c r="AI2587" s="55">
        <f t="shared" si="237"/>
        <v>-2</v>
      </c>
      <c r="AW2587" s="234"/>
      <c r="BP2587" s="11"/>
      <c r="BQ2587" s="11"/>
      <c r="BV2587" s="158"/>
      <c r="BY2587" s="158"/>
      <c r="CB2587" s="158"/>
    </row>
    <row r="2588" ht="18.0" hidden="1" customHeight="1">
      <c r="A2588" s="222">
        <f>IFERROR(__xludf.DUMMYFUNCTION("""COMPUTED_VALUE"""),2026.0)</f>
        <v>2026</v>
      </c>
      <c r="B2588" s="221">
        <f>IFERROR(__xludf.DUMMYFUNCTION("""COMPUTED_VALUE"""),1.2494213E7)</f>
        <v>12494213</v>
      </c>
      <c r="C2588" s="222" t="str">
        <f>IFERROR(__xludf.DUMMYFUNCTION("""COMPUTED_VALUE"""),"MDN PT3 BJI-FP BRAHRANG MANSION_MD25")</f>
        <v>MDN PT3 BJI-FP BRAHRANG MANSION_MD25</v>
      </c>
      <c r="D2588" s="222" t="str">
        <f>IFERROR(__xludf.DUMMYFUNCTION("""COMPUTED_VALUE"""),"REGIONAL I")</f>
        <v>REGIONAL I</v>
      </c>
      <c r="E2588" s="222" t="str">
        <f>IFERROR(__xludf.DUMMYFUNCTION("""COMPUTED_VALUE"""),"MEDAN")</f>
        <v>MEDAN</v>
      </c>
      <c r="F2588" s="222" t="str">
        <f>IFERROR(__xludf.DUMMYFUNCTION("""COMPUTED_VALUE"""),"BJI")</f>
        <v>BJI</v>
      </c>
      <c r="G2588" s="222" t="str">
        <f>IFERROR(__xludf.DUMMYFUNCTION("""COMPUTED_VALUE"""),"SUMBAGUT")</f>
        <v>SUMBAGUT</v>
      </c>
      <c r="H2588" s="222" t="str">
        <f>IFERROR(__xludf.DUMMYFUNCTION("""COMPUTED_VALUE"""),"BINJAI")</f>
        <v>BINJAI</v>
      </c>
      <c r="I2588" s="222" t="str">
        <f>IFERROR(__xludf.DUMMYFUNCTION("""COMPUTED_VALUE"""),"Batch 3")</f>
        <v>Batch 3</v>
      </c>
      <c r="J2588" s="225">
        <f>IFERROR(__xludf.DUMMYFUNCTION("""COMPUTED_VALUE"""),7.0)</f>
        <v>7</v>
      </c>
      <c r="K2588" s="224">
        <f>IFERROR(__xludf.DUMMYFUNCTION("""COMPUTED_VALUE"""),56.0)</f>
        <v>56</v>
      </c>
      <c r="L2588" s="226">
        <f>IFERROR(__xludf.DUMMYFUNCTION("""COMPUTED_VALUE"""),511684.0)</f>
        <v>511684</v>
      </c>
      <c r="M2588" s="227">
        <f>IFERROR(__xludf.DUMMYFUNCTION("""COMPUTED_VALUE"""),2.8654276E7)</f>
        <v>28654276</v>
      </c>
      <c r="N2588" s="222" t="str">
        <f>IFERROR(__xludf.DUMMYFUNCTION("""COMPUTED_VALUE"""),"PT KENCANA RAYA INDONESIA")</f>
        <v>PT KENCANA RAYA INDONESIA</v>
      </c>
      <c r="O2588" s="222" t="str">
        <f>IFERROR(__xludf.DUMMYFUNCTION("""COMPUTED_VALUE"""),"7. GOLIVE")</f>
        <v>7. GOLIVE</v>
      </c>
      <c r="P2588" s="222" t="str">
        <f>IFERROR(__xludf.DUMMYFUNCTION("""COMPUTED_VALUE"""),"7.2 Golive Full / OA / DONE OTB")</f>
        <v>7.2 Golive Full / OA / DONE OTB</v>
      </c>
      <c r="Q2588" s="222" t="str">
        <f>IFERROR(__xludf.DUMMYFUNCTION("""COMPUTED_VALUE"""),"06/04 penarikan kabel
30/03 pengambilan material
16/02 feeder dist ready")</f>
        <v>06/04 penarikan kabel
30/03 pengambilan material
16/02 feeder dist ready</v>
      </c>
      <c r="R2588" s="228">
        <f>IFERROR(__xludf.DUMMYFUNCTION("""COMPUTED_VALUE"""),46124.0)</f>
        <v>46124</v>
      </c>
      <c r="S2588" s="11"/>
      <c r="T2588" s="73"/>
      <c r="U2588" s="11"/>
      <c r="V2588" s="229"/>
      <c r="W2588" s="229"/>
      <c r="X2588" s="229" t="str">
        <f>IFERROR(__xludf.DUMMYFUNCTION("""COMPUTED_VALUE"""),"GOLIVE")</f>
        <v>GOLIVE</v>
      </c>
      <c r="Y2588" s="229" t="str">
        <f>IFERROR(__xludf.DUMMYFUNCTION("""COMPUTED_VALUE"""),"DONE")</f>
        <v>DONE</v>
      </c>
      <c r="Z2588" s="229" t="str">
        <f>IFERROR(__xludf.DUMMYFUNCTION("""COMPUTED_VALUE"""),"#N/A")</f>
        <v>#N/A</v>
      </c>
      <c r="AA2588" s="229">
        <f>IFERROR(__xludf.DUMMYFUNCTION("""COMPUTED_VALUE"""),7.0)</f>
        <v>7</v>
      </c>
      <c r="AB2588" s="229"/>
      <c r="AC2588" s="229" t="str">
        <f>IFERROR(__xludf.DUMMYFUNCTION("""COMPUTED_VALUE"""),"9264891#9264896")</f>
        <v>9264891#9264896</v>
      </c>
      <c r="AD2588" s="232">
        <f>IFERROR(__xludf.DUMMYFUNCTION("""COMPUTED_VALUE"""),56.0)</f>
        <v>56</v>
      </c>
      <c r="AE2588" s="233">
        <f>IFERROR(__xludf.DUMMYFUNCTION("""COMPUTED_VALUE"""),46124.0)</f>
        <v>46124</v>
      </c>
      <c r="AF2588" s="54"/>
      <c r="AG2588" s="54"/>
      <c r="AH2588" s="54">
        <v>46124.0</v>
      </c>
      <c r="AI2588" s="55">
        <f t="shared" si="237"/>
        <v>0</v>
      </c>
      <c r="AW2588" s="234"/>
      <c r="BP2588" s="11"/>
      <c r="BQ2588" s="11"/>
      <c r="BV2588" s="158"/>
      <c r="BY2588" s="158"/>
      <c r="CB2588" s="158"/>
    </row>
    <row r="2589" ht="18.0" customHeight="1">
      <c r="A2589" s="222">
        <f>IFERROR(__xludf.DUMMYFUNCTION("""COMPUTED_VALUE"""),2026.0)</f>
        <v>2026</v>
      </c>
      <c r="B2589" s="221">
        <f>IFERROR(__xludf.DUMMYFUNCTION("""COMPUTED_VALUE"""),1.2671472E7)</f>
        <v>12671472</v>
      </c>
      <c r="C2589" s="222" t="str">
        <f>IFERROR(__xludf.DUMMYFUNCTION("""COMPUTED_VALUE"""),"SMB-PT3-ODC-SUM-FA-129590-77471")</f>
        <v>SMB-PT3-ODC-SUM-FA-129590-77471</v>
      </c>
      <c r="D2589" s="222" t="str">
        <f>IFERROR(__xludf.DUMMYFUNCTION("""COMPUTED_VALUE"""),"REGIONAL I")</f>
        <v>REGIONAL I</v>
      </c>
      <c r="E2589" s="222" t="str">
        <f>IFERROR(__xludf.DUMMYFUNCTION("""COMPUTED_VALUE"""),"SUMBAR")</f>
        <v>SUMBAR</v>
      </c>
      <c r="F2589" s="222" t="str">
        <f>IFERROR(__xludf.DUMMYFUNCTION("""COMPUTED_VALUE"""),"SUM")</f>
        <v>SUM</v>
      </c>
      <c r="G2589" s="222" t="str">
        <f>IFERROR(__xludf.DUMMYFUNCTION("""COMPUTED_VALUE"""),"SUMBAGTENG")</f>
        <v>SUMBAGTENG</v>
      </c>
      <c r="H2589" s="222" t="str">
        <f>IFERROR(__xludf.DUMMYFUNCTION("""COMPUTED_VALUE"""),"PADANG")</f>
        <v>PADANG</v>
      </c>
      <c r="I2589" s="222" t="str">
        <f>IFERROR(__xludf.DUMMYFUNCTION("""COMPUTED_VALUE"""),"Batch 3")</f>
        <v>Batch 3</v>
      </c>
      <c r="J2589" s="225">
        <f>IFERROR(__xludf.DUMMYFUNCTION("""COMPUTED_VALUE"""),4.0)</f>
        <v>4</v>
      </c>
      <c r="K2589" s="224">
        <f>IFERROR(__xludf.DUMMYFUNCTION("""COMPUTED_VALUE"""),32.0)</f>
        <v>32</v>
      </c>
      <c r="L2589" s="226">
        <f>IFERROR(__xludf.DUMMYFUNCTION("""COMPUTED_VALUE"""),507933.0)</f>
        <v>507933</v>
      </c>
      <c r="M2589" s="227">
        <f>IFERROR(__xludf.DUMMYFUNCTION("""COMPUTED_VALUE"""),1.6253831E7)</f>
        <v>16253831</v>
      </c>
      <c r="N2589" s="222" t="str">
        <f>IFERROR(__xludf.DUMMYFUNCTION("""COMPUTED_VALUE"""),"PT TRI PENAMAS")</f>
        <v>PT TRI PENAMAS</v>
      </c>
      <c r="O2589" s="222" t="str">
        <f>IFERROR(__xludf.DUMMYFUNCTION("""COMPUTED_VALUE"""),"8. UJI TERIMA")</f>
        <v>8. UJI TERIMA</v>
      </c>
      <c r="P2589" s="222" t="str">
        <f>IFERROR(__xludf.DUMMYFUNCTION("""COMPUTED_VALUE"""),"8.1 Proses UT")</f>
        <v>8.1 Proses UT</v>
      </c>
      <c r="Q2589" s="222" t="str">
        <f>IFERROR(__xludf.DUMMYFUNCTION("""COMPUTED_VALUE"""),"(18/02) ABD done ke SDI, Proses UT 18/02 (05/02) proses tanam tiang  (29/01) proses delivery material  (21/01) proses CReate PID (07/01) Persiapan")</f>
        <v>(18/02) ABD done ke SDI, Proses UT 18/02 (05/02) proses tanam tiang  (29/01) proses delivery material  (21/01) proses CReate PID (07/01) Persiapan</v>
      </c>
      <c r="R2589" s="228">
        <f>IFERROR(__xludf.DUMMYFUNCTION("""COMPUTED_VALUE"""),46065.0)</f>
        <v>46065</v>
      </c>
      <c r="S2589" s="11"/>
      <c r="T2589" s="11"/>
      <c r="U2589" s="11" t="str">
        <f>IFERROR(__xludf.DUMMYFUNCTION("""COMPUTED_VALUE"""),"TIF-2356/2026 26KT03R158-0028")</f>
        <v>TIF-2356/2026 26KT03R158-0028</v>
      </c>
      <c r="V2589" s="229" t="str">
        <f>IFERROR(__xludf.DUMMYFUNCTION("""COMPUTED_VALUE"""),"FABIO RAHMAN")</f>
        <v>FABIO RAHMAN</v>
      </c>
      <c r="W2589" s="229" t="str">
        <f>IFERROR(__xludf.DUMMYFUNCTION("""COMPUTED_VALUE"""),"MELKO NARWADI")</f>
        <v>MELKO NARWADI</v>
      </c>
      <c r="X2589" s="229" t="str">
        <f>IFERROR(__xludf.DUMMYFUNCTION("""COMPUTED_VALUE"""),"GOLIVE")</f>
        <v>GOLIVE</v>
      </c>
      <c r="Y2589" s="229" t="str">
        <f>IFERROR(__xludf.DUMMYFUNCTION("""COMPUTED_VALUE"""),"DONE")</f>
        <v>DONE</v>
      </c>
      <c r="Z2589" s="229" t="str">
        <f>IFERROR(__xludf.DUMMYFUNCTION("""COMPUTED_VALUE"""),"#N/A")</f>
        <v>#N/A</v>
      </c>
      <c r="AA2589" s="229">
        <f>IFERROR(__xludf.DUMMYFUNCTION("""COMPUTED_VALUE"""),2.0)</f>
        <v>2</v>
      </c>
      <c r="AB2589" s="229"/>
      <c r="AC2589" s="229" t="str">
        <f>IFERROR(__xludf.DUMMYFUNCTION("""COMPUTED_VALUE"""),"9116052#9116057")</f>
        <v>9116052#9116057</v>
      </c>
      <c r="AD2589" s="232">
        <f>IFERROR(__xludf.DUMMYFUNCTION("""COMPUTED_VALUE"""),16.0)</f>
        <v>16</v>
      </c>
      <c r="AE2589" s="233">
        <f>IFERROR(__xludf.DUMMYFUNCTION("""COMPUTED_VALUE"""),46071.0)</f>
        <v>46071</v>
      </c>
      <c r="AF2589" s="54"/>
      <c r="AG2589" s="54"/>
      <c r="AH2589" s="54">
        <v>46065.0</v>
      </c>
      <c r="AI2589" s="55">
        <f t="shared" si="237"/>
        <v>-6</v>
      </c>
      <c r="AW2589" s="234"/>
      <c r="BP2589" s="11"/>
      <c r="BQ2589" s="11"/>
      <c r="BV2589" s="158"/>
      <c r="BY2589" s="158"/>
      <c r="CB2589" s="158"/>
    </row>
    <row r="2590" ht="18.0" hidden="1" customHeight="1">
      <c r="A2590" s="222">
        <f>IFERROR(__xludf.DUMMYFUNCTION("""COMPUTED_VALUE"""),2026.0)</f>
        <v>2026</v>
      </c>
      <c r="B2590" s="221">
        <f>IFERROR(__xludf.DUMMYFUNCTION("""COMPUTED_VALUE"""),1.2865097E7)</f>
        <v>12865097</v>
      </c>
      <c r="C2590" s="222" t="str">
        <f>IFERROR(__xludf.DUMMYFUNCTION("""COMPUTED_VALUE"""),"LPG PT3 JPP LAMPUNG SELATAN_160756 KDT")</f>
        <v>LPG PT3 JPP LAMPUNG SELATAN_160756 KDT</v>
      </c>
      <c r="D2590" s="222" t="str">
        <f>IFERROR(__xludf.DUMMYFUNCTION("""COMPUTED_VALUE"""),"REGIONAL I")</f>
        <v>REGIONAL I</v>
      </c>
      <c r="E2590" s="222" t="str">
        <f>IFERROR(__xludf.DUMMYFUNCTION("""COMPUTED_VALUE"""),"LAMPUNG")</f>
        <v>LAMPUNG</v>
      </c>
      <c r="F2590" s="222" t="str">
        <f>IFERROR(__xludf.DUMMYFUNCTION("""COMPUTED_VALUE"""),"KDT")</f>
        <v>KDT</v>
      </c>
      <c r="G2590" s="222" t="str">
        <f>IFERROR(__xludf.DUMMYFUNCTION("""COMPUTED_VALUE"""),"SUMBAGSEL")</f>
        <v>SUMBAGSEL</v>
      </c>
      <c r="H2590" s="222" t="str">
        <f>IFERROR(__xludf.DUMMYFUNCTION("""COMPUTED_VALUE"""),"LAMPUNG")</f>
        <v>LAMPUNG</v>
      </c>
      <c r="I2590" s="222" t="str">
        <f>IFERROR(__xludf.DUMMYFUNCTION("""COMPUTED_VALUE"""),"Batch 3")</f>
        <v>Batch 3</v>
      </c>
      <c r="J2590" s="225">
        <f>IFERROR(__xludf.DUMMYFUNCTION("""COMPUTED_VALUE"""),16.0)</f>
        <v>16</v>
      </c>
      <c r="K2590" s="224">
        <f>IFERROR(__xludf.DUMMYFUNCTION("""COMPUTED_VALUE"""),128.0)</f>
        <v>128</v>
      </c>
      <c r="L2590" s="226">
        <f>IFERROR(__xludf.DUMMYFUNCTION("""COMPUTED_VALUE"""),506107.0)</f>
        <v>506107</v>
      </c>
      <c r="M2590" s="227">
        <f>IFERROR(__xludf.DUMMYFUNCTION("""COMPUTED_VALUE"""),6.4781597E7)</f>
        <v>64781597</v>
      </c>
      <c r="N2590" s="222" t="str">
        <f>IFERROR(__xludf.DUMMYFUNCTION("""COMPUTED_VALUE"""),"PT BANGTELINDO")</f>
        <v>PT BANGTELINDO</v>
      </c>
      <c r="O2590" s="222" t="str">
        <f>IFERROR(__xludf.DUMMYFUNCTION("""COMPUTED_VALUE"""),"0. DROP")</f>
        <v>0. DROP</v>
      </c>
      <c r="P2590" s="222" t="str">
        <f>IFERROR(__xludf.DUMMYFUNCTION("""COMPUTED_VALUE"""),"0.2 Tidak Dapat Izin Warga/Kades/Lurah/Developer")</f>
        <v>0.2 Tidak Dapat Izin Warga/Kades/Lurah/Developer</v>
      </c>
      <c r="Q2590" s="222" t="str">
        <f>IFERROR(__xludf.DUMMYFUNCTION("""COMPUTED_VALUE"""),"4/02 pihak lurah meminta surat dipermkim 
28/1 on progres prizinan 05/2 
23/1 plan anwizing tanggal 26/8")</f>
        <v>4/02 pihak lurah meminta surat dipermkim 
28/1 on progres prizinan 05/2 
23/1 plan anwizing tanggal 26/8</v>
      </c>
      <c r="R2590" s="228"/>
      <c r="S2590" s="11"/>
      <c r="T2590" s="11"/>
      <c r="U2590" s="11"/>
      <c r="V2590" s="229"/>
      <c r="W2590" s="229"/>
      <c r="X2590" s="229"/>
      <c r="Y2590" s="229"/>
      <c r="Z2590" s="229" t="str">
        <f>IFERROR(__xludf.DUMMYFUNCTION("""COMPUTED_VALUE"""),"#N/A")</f>
        <v>#N/A</v>
      </c>
      <c r="AA2590" s="229"/>
      <c r="AB2590" s="229"/>
      <c r="AC2590" s="229"/>
      <c r="AD2590" s="232"/>
      <c r="AE2590" s="233"/>
      <c r="AF2590" s="54" t="str">
        <f>IFERROR(__xludf.DUMMYFUNCTION("""COMPUTED_VALUE"""),"Draft BA DROP")</f>
        <v>Draft BA DROP</v>
      </c>
      <c r="AG2590" s="54"/>
      <c r="AH2590" s="54"/>
      <c r="AI2590" s="55" t="str">
        <f t="shared" si="237"/>
        <v/>
      </c>
      <c r="AW2590" s="234"/>
      <c r="BP2590" s="11"/>
      <c r="BQ2590" s="11"/>
      <c r="BV2590" s="158"/>
      <c r="BY2590" s="158"/>
      <c r="CB2590" s="158"/>
    </row>
    <row r="2591" ht="18.0" customHeight="1">
      <c r="A2591" s="222">
        <f>IFERROR(__xludf.DUMMYFUNCTION("""COMPUTED_VALUE"""),2026.0)</f>
        <v>2026</v>
      </c>
      <c r="B2591" s="221">
        <f>IFERROR(__xludf.DUMMYFUNCTION("""COMPUTED_VALUE"""),1.2579646E7)</f>
        <v>12579646</v>
      </c>
      <c r="C2591" s="222" t="str">
        <f>IFERROR(__xludf.DUMMYFUNCTION("""COMPUTED_VALUE"""),"SMB PT3-SIE-FB KOTA PADANG_124866")</f>
        <v>SMB PT3-SIE-FB KOTA PADANG_124866</v>
      </c>
      <c r="D2591" s="222" t="str">
        <f>IFERROR(__xludf.DUMMYFUNCTION("""COMPUTED_VALUE"""),"REGIONAL I")</f>
        <v>REGIONAL I</v>
      </c>
      <c r="E2591" s="222" t="str">
        <f>IFERROR(__xludf.DUMMYFUNCTION("""COMPUTED_VALUE"""),"SUMBAR")</f>
        <v>SUMBAR</v>
      </c>
      <c r="F2591" s="222" t="str">
        <f>IFERROR(__xludf.DUMMYFUNCTION("""COMPUTED_VALUE"""),"SIE")</f>
        <v>SIE</v>
      </c>
      <c r="G2591" s="222" t="str">
        <f>IFERROR(__xludf.DUMMYFUNCTION("""COMPUTED_VALUE"""),"SUMBAGTENG")</f>
        <v>SUMBAGTENG</v>
      </c>
      <c r="H2591" s="222" t="str">
        <f>IFERROR(__xludf.DUMMYFUNCTION("""COMPUTED_VALUE"""),"PADANG")</f>
        <v>PADANG</v>
      </c>
      <c r="I2591" s="222" t="str">
        <f>IFERROR(__xludf.DUMMYFUNCTION("""COMPUTED_VALUE"""),"Batch 3")</f>
        <v>Batch 3</v>
      </c>
      <c r="J2591" s="225">
        <f>IFERROR(__xludf.DUMMYFUNCTION("""COMPUTED_VALUE"""),2.0)</f>
        <v>2</v>
      </c>
      <c r="K2591" s="224">
        <f>IFERROR(__xludf.DUMMYFUNCTION("""COMPUTED_VALUE"""),16.0)</f>
        <v>16</v>
      </c>
      <c r="L2591" s="226">
        <f>IFERROR(__xludf.DUMMYFUNCTION("""COMPUTED_VALUE"""),504507.0)</f>
        <v>504507</v>
      </c>
      <c r="M2591" s="227">
        <f>IFERROR(__xludf.DUMMYFUNCTION("""COMPUTED_VALUE"""),8072101.0)</f>
        <v>8072101</v>
      </c>
      <c r="N2591" s="222" t="str">
        <f>IFERROR(__xludf.DUMMYFUNCTION("""COMPUTED_VALUE"""),"PT TRI PENAMAS")</f>
        <v>PT TRI PENAMAS</v>
      </c>
      <c r="O2591" s="222" t="str">
        <f>IFERROR(__xludf.DUMMYFUNCTION("""COMPUTED_VALUE"""),"8. UJI TERIMA")</f>
        <v>8. UJI TERIMA</v>
      </c>
      <c r="P2591" s="222" t="str">
        <f>IFERROR(__xludf.DUMMYFUNCTION("""COMPUTED_VALUE"""),"8.1 Proses UT")</f>
        <v>8.1 Proses UT</v>
      </c>
      <c r="Q2591" s="222" t="str">
        <f>IFERROR(__xludf.DUMMYFUNCTION("""COMPUTED_VALUE"""),"(18/02) Terminasi ODP  (29/01) Proses create PID (29/01) proses aanwijziing  ")</f>
        <v>(18/02) Terminasi ODP  (29/01) Proses create PID (29/01) proses aanwijziing  </v>
      </c>
      <c r="R2591" s="228">
        <f>IFERROR(__xludf.DUMMYFUNCTION("""COMPUTED_VALUE"""),46080.0)</f>
        <v>46080</v>
      </c>
      <c r="S2591" s="11"/>
      <c r="T2591" s="11"/>
      <c r="U2591" s="11" t="str">
        <f>IFERROR(__xludf.DUMMYFUNCTION("""COMPUTED_VALUE"""),"TIF-3052/2026 26KT03R158-0050")</f>
        <v>TIF-3052/2026 26KT03R158-0050</v>
      </c>
      <c r="V2591" s="229" t="str">
        <f>IFERROR(__xludf.DUMMYFUNCTION("""COMPUTED_VALUE"""),"FABIO RAHMAN")</f>
        <v>FABIO RAHMAN</v>
      </c>
      <c r="W2591" s="229" t="str">
        <f>IFERROR(__xludf.DUMMYFUNCTION("""COMPUTED_VALUE"""),"MELKO NARWADI")</f>
        <v>MELKO NARWADI</v>
      </c>
      <c r="X2591" s="229" t="str">
        <f>IFERROR(__xludf.DUMMYFUNCTION("""COMPUTED_VALUE"""),"GOLIVE")</f>
        <v>GOLIVE</v>
      </c>
      <c r="Y2591" s="229" t="str">
        <f>IFERROR(__xludf.DUMMYFUNCTION("""COMPUTED_VALUE"""),"DONE")</f>
        <v>DONE</v>
      </c>
      <c r="Z2591" s="229" t="str">
        <f>IFERROR(__xludf.DUMMYFUNCTION("""COMPUTED_VALUE"""),"#N/A")</f>
        <v>#N/A</v>
      </c>
      <c r="AA2591" s="229">
        <f>IFERROR(__xludf.DUMMYFUNCTION("""COMPUTED_VALUE"""),2.0)</f>
        <v>2</v>
      </c>
      <c r="AB2591" s="229"/>
      <c r="AC2591" s="229" t="str">
        <f>IFERROR(__xludf.DUMMYFUNCTION("""COMPUTED_VALUE"""),"9141923#9141928")</f>
        <v>9141923#9141928</v>
      </c>
      <c r="AD2591" s="232">
        <f>IFERROR(__xludf.DUMMYFUNCTION("""COMPUTED_VALUE"""),16.0)</f>
        <v>16</v>
      </c>
      <c r="AE2591" s="233">
        <f>IFERROR(__xludf.DUMMYFUNCTION("""COMPUTED_VALUE"""),46077.0)</f>
        <v>46077</v>
      </c>
      <c r="AF2591" s="54"/>
      <c r="AG2591" s="54"/>
      <c r="AH2591" s="54">
        <v>46080.0</v>
      </c>
      <c r="AI2591" s="55">
        <f t="shared" si="237"/>
        <v>3</v>
      </c>
      <c r="AW2591" s="234"/>
      <c r="BP2591" s="11"/>
      <c r="BQ2591" s="11"/>
      <c r="BV2591" s="158"/>
      <c r="BY2591" s="158"/>
      <c r="CB2591" s="158"/>
    </row>
    <row r="2592" ht="18.0" hidden="1" customHeight="1">
      <c r="A2592" s="222">
        <f>IFERROR(__xludf.DUMMYFUNCTION("""COMPUTED_VALUE"""),2026.0)</f>
        <v>2026</v>
      </c>
      <c r="B2592" s="221">
        <f>IFERROR(__xludf.DUMMYFUNCTION("""COMPUTED_VALUE"""),1.2631544E7)</f>
        <v>12631544</v>
      </c>
      <c r="C2592" s="222" t="str">
        <f>IFERROR(__xludf.DUMMYFUNCTION("""COMPUTED_VALUE"""),"250_1573_1644")</f>
        <v>250_1573_1644</v>
      </c>
      <c r="D2592" s="222" t="str">
        <f>IFERROR(__xludf.DUMMYFUNCTION("""COMPUTED_VALUE"""),"REGIONAL I")</f>
        <v>REGIONAL I</v>
      </c>
      <c r="E2592" s="222" t="str">
        <f>IFERROR(__xludf.DUMMYFUNCTION("""COMPUTED_VALUE"""),"MEDAN")</f>
        <v>MEDAN</v>
      </c>
      <c r="F2592" s="222" t="str">
        <f>IFERROR(__xludf.DUMMYFUNCTION("""COMPUTED_VALUE"""),"TTG")</f>
        <v>TTG</v>
      </c>
      <c r="G2592" s="222" t="str">
        <f>IFERROR(__xludf.DUMMYFUNCTION("""COMPUTED_VALUE"""),"SUMBAGUT")</f>
        <v>SUMBAGUT</v>
      </c>
      <c r="H2592" s="222" t="str">
        <f>IFERROR(__xludf.DUMMYFUNCTION("""COMPUTED_VALUE"""),"MEDAN")</f>
        <v>MEDAN</v>
      </c>
      <c r="I2592" s="222" t="str">
        <f>IFERROR(__xludf.DUMMYFUNCTION("""COMPUTED_VALUE"""),"Batch 3")</f>
        <v>Batch 3</v>
      </c>
      <c r="J2592" s="225">
        <f>IFERROR(__xludf.DUMMYFUNCTION("""COMPUTED_VALUE"""),2.0)</f>
        <v>2</v>
      </c>
      <c r="K2592" s="224">
        <f>IFERROR(__xludf.DUMMYFUNCTION("""COMPUTED_VALUE"""),16.0)</f>
        <v>16</v>
      </c>
      <c r="L2592" s="226">
        <f>IFERROR(__xludf.DUMMYFUNCTION("""COMPUTED_VALUE"""),504157.0)</f>
        <v>504157</v>
      </c>
      <c r="M2592" s="227">
        <f>IFERROR(__xludf.DUMMYFUNCTION("""COMPUTED_VALUE"""),8066499.0)</f>
        <v>8066499</v>
      </c>
      <c r="N2592" s="222" t="str">
        <f>IFERROR(__xludf.DUMMYFUNCTION("""COMPUTED_VALUE"""),"PT MILFHA MUTIARA PRIMA")</f>
        <v>PT MILFHA MUTIARA PRIMA</v>
      </c>
      <c r="O2592" s="222" t="str">
        <f>IFERROR(__xludf.DUMMYFUNCTION("""COMPUTED_VALUE"""),"7. GOLIVE")</f>
        <v>7. GOLIVE</v>
      </c>
      <c r="P2592" s="222" t="str">
        <f>IFERROR(__xludf.DUMMYFUNCTION("""COMPUTED_VALUE"""),"7.2 Golive Full / OA / DONE OTB")</f>
        <v>7.2 Golive Full / OA / DONE OTB</v>
      </c>
      <c r="Q2592" s="222" t="str">
        <f>IFERROR(__xludf.DUMMYFUNCTION("""COMPUTED_VALUE"""),"25/03 valins 17/03 pemasangan ODP dan CL 15/03 install odp dan tarik KU 11/03 matdel 03/03 Aanwidzing OK, lnjut perizinan 26/02 done order")</f>
        <v>25/03 valins 17/03 pemasangan ODP dan CL 15/03 install odp dan tarik KU 11/03 matdel 03/03 Aanwidzing OK, lnjut perizinan 26/02 done order</v>
      </c>
      <c r="R2592" s="228">
        <f>IFERROR(__xludf.DUMMYFUNCTION("""COMPUTED_VALUE"""),46110.0)</f>
        <v>46110</v>
      </c>
      <c r="S2592" s="11" t="str">
        <f>IFERROR(__xludf.DUMMYFUNCTION("""COMPUTED_VALUE"""),"MAR")</f>
        <v>MAR</v>
      </c>
      <c r="T2592" s="11"/>
      <c r="U2592" s="11"/>
      <c r="V2592" s="229"/>
      <c r="W2592" s="229"/>
      <c r="X2592" s="229" t="str">
        <f>IFERROR(__xludf.DUMMYFUNCTION("""COMPUTED_VALUE"""),"GOLIVE")</f>
        <v>GOLIVE</v>
      </c>
      <c r="Y2592" s="229" t="str">
        <f>IFERROR(__xludf.DUMMYFUNCTION("""COMPUTED_VALUE"""),"DONE")</f>
        <v>DONE</v>
      </c>
      <c r="Z2592" s="229" t="str">
        <f>IFERROR(__xludf.DUMMYFUNCTION("""COMPUTED_VALUE"""),"#N/A")</f>
        <v>#N/A</v>
      </c>
      <c r="AA2592" s="229">
        <f>IFERROR(__xludf.DUMMYFUNCTION("""COMPUTED_VALUE"""),2.0)</f>
        <v>2</v>
      </c>
      <c r="AB2592" s="229"/>
      <c r="AC2592" s="229" t="str">
        <f>IFERROR(__xludf.DUMMYFUNCTION("""COMPUTED_VALUE"""),"9232073#9232078")</f>
        <v>9232073#9232078</v>
      </c>
      <c r="AD2592" s="232">
        <f>IFERROR(__xludf.DUMMYFUNCTION("""COMPUTED_VALUE"""),16.0)</f>
        <v>16</v>
      </c>
      <c r="AE2592" s="233">
        <f>IFERROR(__xludf.DUMMYFUNCTION("""COMPUTED_VALUE"""),46112.0)</f>
        <v>46112</v>
      </c>
      <c r="AF2592" s="54"/>
      <c r="AG2592" s="54"/>
      <c r="AH2592" s="54">
        <v>46110.0</v>
      </c>
      <c r="AI2592" s="55">
        <f t="shared" si="237"/>
        <v>-2</v>
      </c>
      <c r="AW2592" s="234"/>
      <c r="BP2592" s="11"/>
      <c r="BQ2592" s="11"/>
      <c r="BV2592" s="158"/>
      <c r="BY2592" s="158"/>
      <c r="CB2592" s="158"/>
    </row>
    <row r="2593" ht="18.0" customHeight="1">
      <c r="A2593" s="222">
        <f>IFERROR(__xludf.DUMMYFUNCTION("""COMPUTED_VALUE"""),2026.0)</f>
        <v>2026</v>
      </c>
      <c r="B2593" s="221">
        <f>IFERROR(__xludf.DUMMYFUNCTION("""COMPUTED_VALUE"""),1.255632E7)</f>
        <v>12556320</v>
      </c>
      <c r="C2593" s="222" t="str">
        <f>IFERROR(__xludf.DUMMYFUNCTION("""COMPUTED_VALUE"""),"RKP TSEL PT3 TPI-FAA 250_405_4219")</f>
        <v>RKP TSEL PT3 TPI-FAA 250_405_4219</v>
      </c>
      <c r="D2593" s="222" t="str">
        <f>IFERROR(__xludf.DUMMYFUNCTION("""COMPUTED_VALUE"""),"REGIONAL I")</f>
        <v>REGIONAL I</v>
      </c>
      <c r="E2593" s="222" t="str">
        <f>IFERROR(__xludf.DUMMYFUNCTION("""COMPUTED_VALUE"""),"RIKEP")</f>
        <v>RIKEP</v>
      </c>
      <c r="F2593" s="222" t="str">
        <f>IFERROR(__xludf.DUMMYFUNCTION("""COMPUTED_VALUE"""),"TPI")</f>
        <v>TPI</v>
      </c>
      <c r="G2593" s="222" t="str">
        <f>IFERROR(__xludf.DUMMYFUNCTION("""COMPUTED_VALUE"""),"SUMBAGTENG")</f>
        <v>SUMBAGTENG</v>
      </c>
      <c r="H2593" s="222" t="str">
        <f>IFERROR(__xludf.DUMMYFUNCTION("""COMPUTED_VALUE"""),"BATAM")</f>
        <v>BATAM</v>
      </c>
      <c r="I2593" s="222" t="str">
        <f>IFERROR(__xludf.DUMMYFUNCTION("""COMPUTED_VALUE"""),"Batch 3")</f>
        <v>Batch 3</v>
      </c>
      <c r="J2593" s="225">
        <f>IFERROR(__xludf.DUMMYFUNCTION("""COMPUTED_VALUE"""),4.0)</f>
        <v>4</v>
      </c>
      <c r="K2593" s="224">
        <f>IFERROR(__xludf.DUMMYFUNCTION("""COMPUTED_VALUE"""),32.0)</f>
        <v>32</v>
      </c>
      <c r="L2593" s="226">
        <f>IFERROR(__xludf.DUMMYFUNCTION("""COMPUTED_VALUE"""),504094.0)</f>
        <v>504094</v>
      </c>
      <c r="M2593" s="227">
        <f>IFERROR(__xludf.DUMMYFUNCTION("""COMPUTED_VALUE"""),1.6130997E7)</f>
        <v>16130997</v>
      </c>
      <c r="N2593" s="222" t="str">
        <f>IFERROR(__xludf.DUMMYFUNCTION("""COMPUTED_VALUE"""),"PT SALTTEK DUMPANG JAYA")</f>
        <v>PT SALTTEK DUMPANG JAYA</v>
      </c>
      <c r="O2593" s="222" t="str">
        <f>IFERROR(__xludf.DUMMYFUNCTION("""COMPUTED_VALUE"""),"7. GOLIVE")</f>
        <v>7. GOLIVE</v>
      </c>
      <c r="P2593" s="222" t="str">
        <f>IFERROR(__xludf.DUMMYFUNCTION("""COMPUTED_VALUE"""),"7.2 Golive Full / OA / DONE OTB")</f>
        <v>7.2 Golive Full / OA / DONE OTB</v>
      </c>
      <c r="Q2593" s="222" t="str">
        <f>IFERROR(__xludf.DUMMYFUNCTION("""COMPUTED_VALUE"""),"09/03 Eval prelim acc by TIF, ogp pelunasan prelim. 05/03 menunggu konfirmasi dr pighak RT setempat krn adanya permintaan kompensasi
25/02 MP serial, mengerjakan LOP lain yang izin nya di minta cepat oleh RT. 16/02 pengajuan biaya pembuatan papan pengumum"&amp;"an.  12/02 Plan Progres 16 Feb 2026, komitmen FI 19 Feb. 10/02 izin dan core OK, dari 3 RT ada 1 RT meminta papan pengumuman. 09/02 cek feeder blm di lakukan pic mitra paralale progres installasi. 06/02 Feeder perlu di cek redaman, proses periznan. 04/02 "&amp;"Order Batch 3 di survey minggu depan. 23/01 Plan anwijzing 26 Jan, Order Baru. 22/01 Order baru, proses penunjukan mitra
")</f>
        <v>09/03 Eval prelim acc by TIF, ogp pelunasan prelim. 05/03 menunggu konfirmasi dr pighak RT setempat krn adanya permintaan kompensasi
25/02 MP serial, mengerjakan LOP lain yang izin nya di minta cepat oleh RT. 16/02 pengajuan biaya pembuatan papan pengumuman.  12/02 Plan Progres 16 Feb 2026, komitmen FI 19 Feb. 10/02 izin dan core OK, dari 3 RT ada 1 RT meminta papan pengumuman. 09/02 cek feeder blm di lakukan pic mitra paralale progres installasi. 06/02 Feeder perlu di cek redaman, proses periznan. 04/02 Order Batch 3 di survey minggu depan. 23/01 Plan anwijzing 26 Jan, Order Baru. 22/01 Order baru, proses penunjukan mitra
</v>
      </c>
      <c r="R2593" s="228">
        <f>IFERROR(__xludf.DUMMYFUNCTION("""COMPUTED_VALUE"""),46107.0)</f>
        <v>46107</v>
      </c>
      <c r="S2593" s="11" t="str">
        <f>IFERROR(__xludf.DUMMYFUNCTION("""COMPUTED_VALUE"""),"MAR")</f>
        <v>MAR</v>
      </c>
      <c r="T2593" s="11"/>
      <c r="U2593" s="11" t="str">
        <f>IFERROR(__xludf.DUMMYFUNCTION("""COMPUTED_VALUE"""),"W09-167/2026")</f>
        <v>W09-167/2026</v>
      </c>
      <c r="V2593" s="229" t="str">
        <f>IFERROR(__xludf.DUMMYFUNCTION("""COMPUTED_VALUE"""),"DEDY IRAWAN")</f>
        <v>DEDY IRAWAN</v>
      </c>
      <c r="W2593" s="229"/>
      <c r="X2593" s="229" t="str">
        <f>IFERROR(__xludf.DUMMYFUNCTION("""COMPUTED_VALUE"""),"GOLIVE")</f>
        <v>GOLIVE</v>
      </c>
      <c r="Y2593" s="229" t="str">
        <f>IFERROR(__xludf.DUMMYFUNCTION("""COMPUTED_VALUE"""),"DONE")</f>
        <v>DONE</v>
      </c>
      <c r="Z2593" s="229" t="str">
        <f>IFERROR(__xludf.DUMMYFUNCTION("""COMPUTED_VALUE"""),"#N/A")</f>
        <v>#N/A</v>
      </c>
      <c r="AA2593" s="229">
        <f>IFERROR(__xludf.DUMMYFUNCTION("""COMPUTED_VALUE"""),4.0)</f>
        <v>4</v>
      </c>
      <c r="AB2593" s="229"/>
      <c r="AC2593" s="229" t="str">
        <f>IFERROR(__xludf.DUMMYFUNCTION("""COMPUTED_VALUE"""),"9145955#9145960")</f>
        <v>9145955#9145960</v>
      </c>
      <c r="AD2593" s="232">
        <f>IFERROR(__xludf.DUMMYFUNCTION("""COMPUTED_VALUE"""),32.0)</f>
        <v>32</v>
      </c>
      <c r="AE2593" s="233">
        <f>IFERROR(__xludf.DUMMYFUNCTION("""COMPUTED_VALUE"""),46100.0)</f>
        <v>46100</v>
      </c>
      <c r="AF2593" s="54"/>
      <c r="AG2593" s="54"/>
      <c r="AH2593" s="54">
        <v>46107.0</v>
      </c>
      <c r="AI2593" s="55">
        <f>IF(OR(AH2593="",AE2593=""),"",AH2593-AE2593)</f>
        <v>7</v>
      </c>
      <c r="AW2593" s="234"/>
      <c r="BP2593" s="11"/>
      <c r="BQ2593" s="11"/>
      <c r="BV2593" s="158"/>
      <c r="BY2593" s="158"/>
      <c r="CB2593" s="158"/>
    </row>
    <row r="2594" ht="18.0" customHeight="1">
      <c r="A2594" s="222">
        <f>IFERROR(__xludf.DUMMYFUNCTION("""COMPUTED_VALUE"""),2026.0)</f>
        <v>2026</v>
      </c>
      <c r="B2594" s="221">
        <f>IFERROR(__xludf.DUMMYFUNCTION("""COMPUTED_VALUE"""),1.2587662E7)</f>
        <v>12587662</v>
      </c>
      <c r="C2594" s="222" t="str">
        <f>IFERROR(__xludf.DUMMYFUNCTION("""COMPUTED_VALUE"""),"SMB PT3-LBY-FQ KOTA PADANG_98428")</f>
        <v>SMB PT3-LBY-FQ KOTA PADANG_98428</v>
      </c>
      <c r="D2594" s="222" t="str">
        <f>IFERROR(__xludf.DUMMYFUNCTION("""COMPUTED_VALUE"""),"REGIONAL I")</f>
        <v>REGIONAL I</v>
      </c>
      <c r="E2594" s="222" t="str">
        <f>IFERROR(__xludf.DUMMYFUNCTION("""COMPUTED_VALUE"""),"SUMBAR")</f>
        <v>SUMBAR</v>
      </c>
      <c r="F2594" s="222" t="str">
        <f>IFERROR(__xludf.DUMMYFUNCTION("""COMPUTED_VALUE"""),"LBY")</f>
        <v>LBY</v>
      </c>
      <c r="G2594" s="222" t="str">
        <f>IFERROR(__xludf.DUMMYFUNCTION("""COMPUTED_VALUE"""),"SUMBAGTENG")</f>
        <v>SUMBAGTENG</v>
      </c>
      <c r="H2594" s="222" t="str">
        <f>IFERROR(__xludf.DUMMYFUNCTION("""COMPUTED_VALUE"""),"PADANG")</f>
        <v>PADANG</v>
      </c>
      <c r="I2594" s="222" t="str">
        <f>IFERROR(__xludf.DUMMYFUNCTION("""COMPUTED_VALUE"""),"Batch 3")</f>
        <v>Batch 3</v>
      </c>
      <c r="J2594" s="225">
        <f>IFERROR(__xludf.DUMMYFUNCTION("""COMPUTED_VALUE"""),1.0)</f>
        <v>1</v>
      </c>
      <c r="K2594" s="224">
        <f>IFERROR(__xludf.DUMMYFUNCTION("""COMPUTED_VALUE"""),8.0)</f>
        <v>8</v>
      </c>
      <c r="L2594" s="226">
        <f>IFERROR(__xludf.DUMMYFUNCTION("""COMPUTED_VALUE"""),503151.0)</f>
        <v>503151</v>
      </c>
      <c r="M2594" s="227">
        <f>IFERROR(__xludf.DUMMYFUNCTION("""COMPUTED_VALUE"""),4025207.0)</f>
        <v>4025207</v>
      </c>
      <c r="N2594" s="222" t="str">
        <f>IFERROR(__xludf.DUMMYFUNCTION("""COMPUTED_VALUE"""),"PT TRI PENAMAS")</f>
        <v>PT TRI PENAMAS</v>
      </c>
      <c r="O2594" s="222" t="str">
        <f>IFERROR(__xludf.DUMMYFUNCTION("""COMPUTED_VALUE"""),"8. UJI TERIMA")</f>
        <v>8. UJI TERIMA</v>
      </c>
      <c r="P2594" s="222" t="str">
        <f>IFERROR(__xludf.DUMMYFUNCTION("""COMPUTED_VALUE"""),"8.1 Proses UT")</f>
        <v>8.1 Proses UT</v>
      </c>
      <c r="Q2594" s="222" t="str">
        <f>IFERROR(__xludf.DUMMYFUNCTION("""COMPUTED_VALUE"""),"(18/02) Terminasi ODP  (29/01) Proses create PID (29/01) proses aanwijziing  ")</f>
        <v>(18/02) Terminasi ODP  (29/01) Proses create PID (29/01) proses aanwijziing  </v>
      </c>
      <c r="R2594" s="228">
        <f>IFERROR(__xludf.DUMMYFUNCTION("""COMPUTED_VALUE"""),46064.0)</f>
        <v>46064</v>
      </c>
      <c r="S2594" s="11"/>
      <c r="T2594" s="11"/>
      <c r="U2594" s="11" t="str">
        <f>IFERROR(__xludf.DUMMYFUNCTION("""COMPUTED_VALUE"""),"TIF-3053/2026 26KT03R158-0049")</f>
        <v>TIF-3053/2026 26KT03R158-0049</v>
      </c>
      <c r="V2594" s="229" t="str">
        <f>IFERROR(__xludf.DUMMYFUNCTION("""COMPUTED_VALUE"""),"FABIO RAHMAN")</f>
        <v>FABIO RAHMAN</v>
      </c>
      <c r="W2594" s="229" t="str">
        <f>IFERROR(__xludf.DUMMYFUNCTION("""COMPUTED_VALUE"""),"MELKO NARWADI")</f>
        <v>MELKO NARWADI</v>
      </c>
      <c r="X2594" s="229" t="str">
        <f>IFERROR(__xludf.DUMMYFUNCTION("""COMPUTED_VALUE"""),"GOLIVE")</f>
        <v>GOLIVE</v>
      </c>
      <c r="Y2594" s="229" t="str">
        <f>IFERROR(__xludf.DUMMYFUNCTION("""COMPUTED_VALUE"""),"DONE")</f>
        <v>DONE</v>
      </c>
      <c r="Z2594" s="229" t="str">
        <f>IFERROR(__xludf.DUMMYFUNCTION("""COMPUTED_VALUE"""),"#N/A")</f>
        <v>#N/A</v>
      </c>
      <c r="AA2594" s="229">
        <f>IFERROR(__xludf.DUMMYFUNCTION("""COMPUTED_VALUE"""),1.0)</f>
        <v>1</v>
      </c>
      <c r="AB2594" s="229"/>
      <c r="AC2594" s="229" t="str">
        <f>IFERROR(__xludf.DUMMYFUNCTION("""COMPUTED_VALUE"""),"9142462#9142467")</f>
        <v>9142462#9142467</v>
      </c>
      <c r="AD2594" s="232">
        <f>IFERROR(__xludf.DUMMYFUNCTION("""COMPUTED_VALUE"""),8.0)</f>
        <v>8</v>
      </c>
      <c r="AE2594" s="233">
        <f>IFERROR(__xludf.DUMMYFUNCTION("""COMPUTED_VALUE"""),46077.0)</f>
        <v>46077</v>
      </c>
      <c r="AF2594" s="54"/>
      <c r="AG2594" s="54"/>
      <c r="AH2594" s="54">
        <v>46064.0</v>
      </c>
      <c r="AI2594" s="55">
        <f t="shared" ref="AI2594:AI2604" si="238">IF(OR(R2594="",AE2594=""),"",R2594-AE2594)</f>
        <v>-13</v>
      </c>
      <c r="AW2594" s="234"/>
      <c r="BP2594" s="11"/>
      <c r="BQ2594" s="11"/>
      <c r="BV2594" s="158"/>
      <c r="BY2594" s="158"/>
      <c r="CB2594" s="158"/>
    </row>
    <row r="2595" ht="18.0" customHeight="1">
      <c r="A2595" s="222">
        <f>IFERROR(__xludf.DUMMYFUNCTION("""COMPUTED_VALUE"""),2026.0)</f>
        <v>2026</v>
      </c>
      <c r="B2595" s="221">
        <f>IFERROR(__xludf.DUMMYFUNCTION("""COMPUTED_VALUE"""),1.258767E7)</f>
        <v>12587670</v>
      </c>
      <c r="C2595" s="222" t="str">
        <f>IFERROR(__xludf.DUMMYFUNCTION("""COMPUTED_VALUE"""),"SMB PT3-LBY-FQ KOTA PADANG_98428")</f>
        <v>SMB PT3-LBY-FQ KOTA PADANG_98428</v>
      </c>
      <c r="D2595" s="222" t="str">
        <f>IFERROR(__xludf.DUMMYFUNCTION("""COMPUTED_VALUE"""),"REGIONAL I")</f>
        <v>REGIONAL I</v>
      </c>
      <c r="E2595" s="222" t="str">
        <f>IFERROR(__xludf.DUMMYFUNCTION("""COMPUTED_VALUE"""),"SUMBAR")</f>
        <v>SUMBAR</v>
      </c>
      <c r="F2595" s="222" t="str">
        <f>IFERROR(__xludf.DUMMYFUNCTION("""COMPUTED_VALUE"""),"LBY")</f>
        <v>LBY</v>
      </c>
      <c r="G2595" s="222" t="str">
        <f>IFERROR(__xludf.DUMMYFUNCTION("""COMPUTED_VALUE"""),"SUMBAGTENG")</f>
        <v>SUMBAGTENG</v>
      </c>
      <c r="H2595" s="222" t="str">
        <f>IFERROR(__xludf.DUMMYFUNCTION("""COMPUTED_VALUE"""),"PADANG")</f>
        <v>PADANG</v>
      </c>
      <c r="I2595" s="222" t="str">
        <f>IFERROR(__xludf.DUMMYFUNCTION("""COMPUTED_VALUE"""),"Batch 3")</f>
        <v>Batch 3</v>
      </c>
      <c r="J2595" s="225">
        <f>IFERROR(__xludf.DUMMYFUNCTION("""COMPUTED_VALUE"""),1.0)</f>
        <v>1</v>
      </c>
      <c r="K2595" s="224">
        <f>IFERROR(__xludf.DUMMYFUNCTION("""COMPUTED_VALUE"""),8.0)</f>
        <v>8</v>
      </c>
      <c r="L2595" s="226">
        <f>IFERROR(__xludf.DUMMYFUNCTION("""COMPUTED_VALUE"""),503151.0)</f>
        <v>503151</v>
      </c>
      <c r="M2595" s="227">
        <f>IFERROR(__xludf.DUMMYFUNCTION("""COMPUTED_VALUE"""),4025207.0)</f>
        <v>4025207</v>
      </c>
      <c r="N2595" s="222" t="str">
        <f>IFERROR(__xludf.DUMMYFUNCTION("""COMPUTED_VALUE"""),"PT TRI PENAMAS")</f>
        <v>PT TRI PENAMAS</v>
      </c>
      <c r="O2595" s="222" t="str">
        <f>IFERROR(__xludf.DUMMYFUNCTION("""COMPUTED_VALUE"""),"0. DROP")</f>
        <v>0. DROP</v>
      </c>
      <c r="P2595" s="222" t="str">
        <f>IFERROR(__xludf.DUMMYFUNCTION("""COMPUTED_VALUE"""),"0.1 Double Order")</f>
        <v>0.1 Double Order</v>
      </c>
      <c r="Q2595" s="222" t="str">
        <f>IFERROR(__xludf.DUMMYFUNCTION("""COMPUTED_VALUE"""),"SMB PT3-LBY-FQ KOTA PADANG_98428")</f>
        <v>SMB PT3-LBY-FQ KOTA PADANG_98428</v>
      </c>
      <c r="R2595" s="228"/>
      <c r="S2595" s="11"/>
      <c r="T2595" s="11"/>
      <c r="U2595" s="11"/>
      <c r="V2595" s="229" t="str">
        <f>IFERROR(__xludf.DUMMYFUNCTION("""COMPUTED_VALUE"""),"FABIO RAHMAN")</f>
        <v>FABIO RAHMAN</v>
      </c>
      <c r="W2595" s="229" t="str">
        <f>IFERROR(__xludf.DUMMYFUNCTION("""COMPUTED_VALUE"""),"MELKO NARWADI")</f>
        <v>MELKO NARWADI</v>
      </c>
      <c r="X2595" s="229"/>
      <c r="Y2595" s="229"/>
      <c r="Z2595" s="229" t="str">
        <f>IFERROR(__xludf.DUMMYFUNCTION("""COMPUTED_VALUE"""),"#N/A")</f>
        <v>#N/A</v>
      </c>
      <c r="AA2595" s="229"/>
      <c r="AB2595" s="229"/>
      <c r="AC2595" s="229"/>
      <c r="AD2595" s="232"/>
      <c r="AE2595" s="233"/>
      <c r="AF2595" s="54" t="str">
        <f>IFERROR(__xludf.DUMMYFUNCTION("""COMPUTED_VALUE"""),"Draft BA DROP")</f>
        <v>Draft BA DROP</v>
      </c>
      <c r="AG2595" s="54"/>
      <c r="AH2595" s="54"/>
      <c r="AI2595" s="55" t="str">
        <f t="shared" si="238"/>
        <v/>
      </c>
      <c r="AW2595" s="234"/>
      <c r="BP2595" s="11"/>
      <c r="BQ2595" s="11"/>
      <c r="BV2595" s="158"/>
      <c r="BY2595" s="158"/>
      <c r="CB2595" s="158"/>
    </row>
    <row r="2596" ht="18.0" hidden="1" customHeight="1">
      <c r="A2596" s="222">
        <f>IFERROR(__xludf.DUMMYFUNCTION("""COMPUTED_VALUE"""),2026.0)</f>
        <v>2026</v>
      </c>
      <c r="B2596" s="221">
        <f>IFERROR(__xludf.DUMMYFUNCTION("""COMPUTED_VALUE"""),1.2529831E7)</f>
        <v>12529831</v>
      </c>
      <c r="C2596" s="222" t="str">
        <f>IFERROR(__xludf.DUMMYFUNCTION("""COMPUTED_VALUE"""),"MDN PT3 TJR-FG 250_1569_1692")</f>
        <v>MDN PT3 TJR-FG 250_1569_1692</v>
      </c>
      <c r="D2596" s="222" t="str">
        <f>IFERROR(__xludf.DUMMYFUNCTION("""COMPUTED_VALUE"""),"REGIONAL I")</f>
        <v>REGIONAL I</v>
      </c>
      <c r="E2596" s="222" t="str">
        <f>IFERROR(__xludf.DUMMYFUNCTION("""COMPUTED_VALUE"""),"MEDAN")</f>
        <v>MEDAN</v>
      </c>
      <c r="F2596" s="222" t="str">
        <f>IFERROR(__xludf.DUMMYFUNCTION("""COMPUTED_VALUE"""),"TJR")</f>
        <v>TJR</v>
      </c>
      <c r="G2596" s="222" t="str">
        <f>IFERROR(__xludf.DUMMYFUNCTION("""COMPUTED_VALUE"""),"SUMBAGUT")</f>
        <v>SUMBAGUT</v>
      </c>
      <c r="H2596" s="222" t="str">
        <f>IFERROR(__xludf.DUMMYFUNCTION("""COMPUTED_VALUE"""),"MEDAN")</f>
        <v>MEDAN</v>
      </c>
      <c r="I2596" s="222" t="str">
        <f>IFERROR(__xludf.DUMMYFUNCTION("""COMPUTED_VALUE"""),"Batch 3")</f>
        <v>Batch 3</v>
      </c>
      <c r="J2596" s="225">
        <f>IFERROR(__xludf.DUMMYFUNCTION("""COMPUTED_VALUE"""),1.0)</f>
        <v>1</v>
      </c>
      <c r="K2596" s="224">
        <f>IFERROR(__xludf.DUMMYFUNCTION("""COMPUTED_VALUE"""),8.0)</f>
        <v>8</v>
      </c>
      <c r="L2596" s="226">
        <f>IFERROR(__xludf.DUMMYFUNCTION("""COMPUTED_VALUE"""),501688.0)</f>
        <v>501688</v>
      </c>
      <c r="M2596" s="227">
        <f>IFERROR(__xludf.DUMMYFUNCTION("""COMPUTED_VALUE"""),4013497.0)</f>
        <v>4013497</v>
      </c>
      <c r="N2596" s="222" t="str">
        <f>IFERROR(__xludf.DUMMYFUNCTION("""COMPUTED_VALUE"""),"PT NIAGA NUSANTARA DIVA")</f>
        <v>PT NIAGA NUSANTARA DIVA</v>
      </c>
      <c r="O2596" s="222" t="str">
        <f>IFERROR(__xludf.DUMMYFUNCTION("""COMPUTED_VALUE"""),"2. DONE AANWIJZING")</f>
        <v>2. DONE AANWIJZING</v>
      </c>
      <c r="P2596" s="222" t="str">
        <f>IFERROR(__xludf.DUMMYFUNCTION("""COMPUTED_VALUE"""),"2.9 Kendala - Distribusi Penuh / Rusak")</f>
        <v>2.9 Kendala - Distribusi Penuh / Rusak</v>
      </c>
      <c r="Q2596" s="222" t="str">
        <f>IFERROR(__xludf.DUMMYFUNCTION("""COMPUTED_VALUE"""),"21/04 dist full menunggu hasil redisgn
31/03 DS 04 tidak tembus 01/02 order mitra")</f>
        <v>21/04 dist full menunggu hasil redisgn
31/03 DS 04 tidak tembus 01/02 order mitra</v>
      </c>
      <c r="R2596" s="228"/>
      <c r="S2596" s="11"/>
      <c r="T2596" s="11"/>
      <c r="U2596" s="11"/>
      <c r="V2596" s="229"/>
      <c r="W2596" s="229"/>
      <c r="X2596" s="229" t="str">
        <f>IFERROR(__xludf.DUMMYFUNCTION("""COMPUTED_VALUE"""),"BELUM GOLIVE")</f>
        <v>BELUM GOLIVE</v>
      </c>
      <c r="Y2596" s="229"/>
      <c r="Z2596" s="229" t="str">
        <f>IFERROR(__xludf.DUMMYFUNCTION("""COMPUTED_VALUE"""),"#N/A")</f>
        <v>#N/A</v>
      </c>
      <c r="AA2596" s="229"/>
      <c r="AB2596" s="229"/>
      <c r="AC2596" s="229"/>
      <c r="AD2596" s="232"/>
      <c r="AE2596" s="233"/>
      <c r="AF2596" s="54"/>
      <c r="AG2596" s="54"/>
      <c r="AH2596" s="54"/>
      <c r="AI2596" s="55" t="str">
        <f t="shared" si="238"/>
        <v/>
      </c>
      <c r="AW2596" s="234"/>
      <c r="BP2596" s="11"/>
      <c r="BQ2596" s="11"/>
      <c r="BV2596" s="158"/>
      <c r="BY2596" s="158"/>
      <c r="CB2596" s="158"/>
    </row>
    <row r="2597" ht="18.0" hidden="1" customHeight="1">
      <c r="A2597" s="222">
        <f>IFERROR(__xludf.DUMMYFUNCTION("""COMPUTED_VALUE"""),2026.0)</f>
        <v>2026</v>
      </c>
      <c r="B2597" s="221">
        <f>IFERROR(__xludf.DUMMYFUNCTION("""COMPUTED_VALUE"""),1.2439241E7)</f>
        <v>12439241</v>
      </c>
      <c r="C2597" s="222" t="str">
        <f>IFERROR(__xludf.DUMMYFUNCTION("""COMPUTED_VALUE"""),"MDN PT3 TTG-FM JL.AMAN ABADI_MD25")</f>
        <v>MDN PT3 TTG-FM JL.AMAN ABADI_MD25</v>
      </c>
      <c r="D2597" s="222" t="str">
        <f>IFERROR(__xludf.DUMMYFUNCTION("""COMPUTED_VALUE"""),"REGIONAL I")</f>
        <v>REGIONAL I</v>
      </c>
      <c r="E2597" s="222" t="str">
        <f>IFERROR(__xludf.DUMMYFUNCTION("""COMPUTED_VALUE"""),"MEDAN")</f>
        <v>MEDAN</v>
      </c>
      <c r="F2597" s="222" t="str">
        <f>IFERROR(__xludf.DUMMYFUNCTION("""COMPUTED_VALUE"""),"TTG")</f>
        <v>TTG</v>
      </c>
      <c r="G2597" s="222" t="str">
        <f>IFERROR(__xludf.DUMMYFUNCTION("""COMPUTED_VALUE"""),"SUMBAGUT")</f>
        <v>SUMBAGUT</v>
      </c>
      <c r="H2597" s="222" t="str">
        <f>IFERROR(__xludf.DUMMYFUNCTION("""COMPUTED_VALUE"""),"MEDAN")</f>
        <v>MEDAN</v>
      </c>
      <c r="I2597" s="222" t="str">
        <f>IFERROR(__xludf.DUMMYFUNCTION("""COMPUTED_VALUE"""),"Batch 3")</f>
        <v>Batch 3</v>
      </c>
      <c r="J2597" s="225">
        <f>IFERROR(__xludf.DUMMYFUNCTION("""COMPUTED_VALUE"""),2.0)</f>
        <v>2</v>
      </c>
      <c r="K2597" s="224">
        <f>IFERROR(__xludf.DUMMYFUNCTION("""COMPUTED_VALUE"""),16.0)</f>
        <v>16</v>
      </c>
      <c r="L2597" s="226">
        <f>IFERROR(__xludf.DUMMYFUNCTION("""COMPUTED_VALUE"""),501593.0)</f>
        <v>501593</v>
      </c>
      <c r="M2597" s="227">
        <f>IFERROR(__xludf.DUMMYFUNCTION("""COMPUTED_VALUE"""),8025479.0)</f>
        <v>8025479</v>
      </c>
      <c r="N2597" s="222" t="str">
        <f>IFERROR(__xludf.DUMMYFUNCTION("""COMPUTED_VALUE"""),"SWAKELOLA")</f>
        <v>SWAKELOLA</v>
      </c>
      <c r="O2597" s="222" t="str">
        <f>IFERROR(__xludf.DUMMYFUNCTION("""COMPUTED_VALUE"""),"0. DROP")</f>
        <v>0. DROP</v>
      </c>
      <c r="P2597" s="222" t="str">
        <f>IFERROR(__xludf.DUMMYFUNCTION("""COMPUTED_VALUE"""),"0.3 Feeder Full")</f>
        <v>0.3 Feeder Full</v>
      </c>
      <c r="Q2597" s="222" t="str">
        <f>IFERROR(__xludf.DUMMYFUNCTION("""COMPUTED_VALUE"""),"08/03 Feeder Penuh 02/02 Feeder Redaman Tinggi")</f>
        <v>08/03 Feeder Penuh 02/02 Feeder Redaman Tinggi</v>
      </c>
      <c r="R2597" s="228"/>
      <c r="S2597" s="11"/>
      <c r="T2597" s="11"/>
      <c r="U2597" s="11"/>
      <c r="V2597" s="229"/>
      <c r="W2597" s="229"/>
      <c r="X2597" s="229" t="str">
        <f>IFERROR(__xludf.DUMMYFUNCTION("""COMPUTED_VALUE"""),"BELUM GOLIVE")</f>
        <v>BELUM GOLIVE</v>
      </c>
      <c r="Y2597" s="229"/>
      <c r="Z2597" s="229" t="str">
        <f>IFERROR(__xludf.DUMMYFUNCTION("""COMPUTED_VALUE"""),"#N/A")</f>
        <v>#N/A</v>
      </c>
      <c r="AA2597" s="229"/>
      <c r="AB2597" s="229"/>
      <c r="AC2597" s="229"/>
      <c r="AD2597" s="232"/>
      <c r="AE2597" s="233"/>
      <c r="AF2597" s="54"/>
      <c r="AG2597" s="54"/>
      <c r="AH2597" s="54"/>
      <c r="AI2597" s="55" t="str">
        <f t="shared" si="238"/>
        <v/>
      </c>
      <c r="AW2597" s="234"/>
      <c r="BP2597" s="11"/>
      <c r="BQ2597" s="11"/>
      <c r="BV2597" s="158"/>
      <c r="BY2597" s="158"/>
      <c r="CB2597" s="158"/>
    </row>
    <row r="2598" ht="18.0" customHeight="1">
      <c r="A2598" s="222">
        <f>IFERROR(__xludf.DUMMYFUNCTION("""COMPUTED_VALUE"""),2026.0)</f>
        <v>2026</v>
      </c>
      <c r="B2598" s="221">
        <f>IFERROR(__xludf.DUMMYFUNCTION("""COMPUTED_VALUE"""),1.1378051E7)</f>
        <v>11378051</v>
      </c>
      <c r="C2598" s="222" t="str">
        <f>IFERROR(__xludf.DUMMYFUNCTION("""COMPUTED_VALUE"""),"SMB MD PESISIR SELATAN_8222-7732-7839")</f>
        <v>SMB MD PESISIR SELATAN_8222-7732-7839</v>
      </c>
      <c r="D2598" s="222" t="str">
        <f>IFERROR(__xludf.DUMMYFUNCTION("""COMPUTED_VALUE"""),"REGIONAL I")</f>
        <v>REGIONAL I</v>
      </c>
      <c r="E2598" s="222" t="str">
        <f>IFERROR(__xludf.DUMMYFUNCTION("""COMPUTED_VALUE"""),"SUMBAR")</f>
        <v>SUMBAR</v>
      </c>
      <c r="F2598" s="222" t="str">
        <f>IFERROR(__xludf.DUMMYFUNCTION("""COMPUTED_VALUE"""),"BLS")</f>
        <v>BLS</v>
      </c>
      <c r="G2598" s="222" t="str">
        <f>IFERROR(__xludf.DUMMYFUNCTION("""COMPUTED_VALUE"""),"SUMBAGTENG")</f>
        <v>SUMBAGTENG</v>
      </c>
      <c r="H2598" s="222" t="str">
        <f>IFERROR(__xludf.DUMMYFUNCTION("""COMPUTED_VALUE"""),"PADANG")</f>
        <v>PADANG</v>
      </c>
      <c r="I2598" s="222" t="str">
        <f>IFERROR(__xludf.DUMMYFUNCTION("""COMPUTED_VALUE"""),"Batch 3")</f>
        <v>Batch 3</v>
      </c>
      <c r="J2598" s="225">
        <f>IFERROR(__xludf.DUMMYFUNCTION("""COMPUTED_VALUE"""),9.0)</f>
        <v>9</v>
      </c>
      <c r="K2598" s="224">
        <f>IFERROR(__xludf.DUMMYFUNCTION("""COMPUTED_VALUE"""),72.0)</f>
        <v>72</v>
      </c>
      <c r="L2598" s="226">
        <f>IFERROR(__xludf.DUMMYFUNCTION("""COMPUTED_VALUE"""),500903.0)</f>
        <v>500903</v>
      </c>
      <c r="M2598" s="227">
        <f>IFERROR(__xludf.DUMMYFUNCTION("""COMPUTED_VALUE"""),3.6064992E7)</f>
        <v>36064992</v>
      </c>
      <c r="N2598" s="222" t="str">
        <f>IFERROR(__xludf.DUMMYFUNCTION("""COMPUTED_VALUE"""),"PT ACERO CETHA METALINDO")</f>
        <v>PT ACERO CETHA METALINDO</v>
      </c>
      <c r="O2598" s="222" t="str">
        <f>IFERROR(__xludf.DUMMYFUNCTION("""COMPUTED_VALUE"""),"8. UJI TERIMA")</f>
        <v>8. UJI TERIMA</v>
      </c>
      <c r="P2598" s="222" t="str">
        <f>IFERROR(__xludf.DUMMYFUNCTION("""COMPUTED_VALUE"""),"8.1 Proses UT")</f>
        <v>8.1 Proses UT</v>
      </c>
      <c r="Q2598" s="222" t="str">
        <f>IFERROR(__xludf.DUMMYFUNCTION("""COMPUTED_VALUE"""),"(29/01) Proses valins 21/11 : proses valins  13/11 : proses valins 06/11 : proses valins  23/10 : butuh SFP OLT 2 pcs 16/10 : butuh SFP OLT 2 pcs 13/10 : butuh SFP OLT 2 pcs  09/10 : terminasi odp  02/10 : terminasi odp 25/09 : plan instalasi 26 sept (dat"&amp;"a abd 27 sept )  19/09 : plan instalasi 26 sept (data abd 27 sept )   17/09 : plan instalasi 26 sept (data abd 27 sept )   15/09 : Matdel ke site")</f>
        <v>(29/01) Proses valins 21/11 : proses valins  13/11 : proses valins 06/11 : proses valins  23/10 : butuh SFP OLT 2 pcs 16/10 : butuh SFP OLT 2 pcs 13/10 : butuh SFP OLT 2 pcs  09/10 : terminasi odp  02/10 : terminasi odp 25/09 : plan instalasi 26 sept (data abd 27 sept )  19/09 : plan instalasi 26 sept (data abd 27 sept )   17/09 : plan instalasi 26 sept (data abd 27 sept )   15/09 : Matdel ke site</v>
      </c>
      <c r="R2598" s="228"/>
      <c r="S2598" s="11"/>
      <c r="T2598" s="11"/>
      <c r="U2598" s="11"/>
      <c r="V2598" s="229" t="str">
        <f>IFERROR(__xludf.DUMMYFUNCTION("""COMPUTED_VALUE"""),"ALDI EFENDI")</f>
        <v>ALDI EFENDI</v>
      </c>
      <c r="W2598" s="229" t="str">
        <f>IFERROR(__xludf.DUMMYFUNCTION("""COMPUTED_VALUE"""),"MELKO NARWADI")</f>
        <v>MELKO NARWADI</v>
      </c>
      <c r="X2598" s="229" t="str">
        <f>IFERROR(__xludf.DUMMYFUNCTION("""COMPUTED_VALUE"""),"GOLIVE")</f>
        <v>GOLIVE</v>
      </c>
      <c r="Y2598" s="229" t="str">
        <f>IFERROR(__xludf.DUMMYFUNCTION("""COMPUTED_VALUE"""),"DONE")</f>
        <v>DONE</v>
      </c>
      <c r="Z2598" s="229" t="str">
        <f>IFERROR(__xludf.DUMMYFUNCTION("""COMPUTED_VALUE"""),"#N/A")</f>
        <v>#N/A</v>
      </c>
      <c r="AA2598" s="229">
        <f>IFERROR(__xludf.DUMMYFUNCTION("""COMPUTED_VALUE"""),9.0)</f>
        <v>9</v>
      </c>
      <c r="AB2598" s="229"/>
      <c r="AC2598" s="229" t="str">
        <f>IFERROR(__xludf.DUMMYFUNCTION("""COMPUTED_VALUE"""),"9045015#9045020")</f>
        <v>9045015#9045020</v>
      </c>
      <c r="AD2598" s="232">
        <f>IFERROR(__xludf.DUMMYFUNCTION("""COMPUTED_VALUE"""),72.0)</f>
        <v>72</v>
      </c>
      <c r="AE2598" s="233">
        <f>IFERROR(__xludf.DUMMYFUNCTION("""COMPUTED_VALUE"""),46052.0)</f>
        <v>46052</v>
      </c>
      <c r="AF2598" s="54"/>
      <c r="AG2598" s="54"/>
      <c r="AH2598" s="54"/>
      <c r="AI2598" s="55" t="str">
        <f t="shared" si="238"/>
        <v/>
      </c>
      <c r="AW2598" s="234"/>
      <c r="BP2598" s="11"/>
      <c r="BQ2598" s="11"/>
      <c r="BV2598" s="158"/>
      <c r="BY2598" s="158"/>
      <c r="CB2598" s="158"/>
    </row>
    <row r="2599" ht="18.0" hidden="1" customHeight="1">
      <c r="A2599" s="222">
        <f>IFERROR(__xludf.DUMMYFUNCTION("""COMPUTED_VALUE"""),2026.0)</f>
        <v>2026</v>
      </c>
      <c r="B2599" s="221">
        <f>IFERROR(__xludf.DUMMYFUNCTION("""COMPUTED_VALUE"""),1.2161129E7)</f>
        <v>12161129</v>
      </c>
      <c r="C2599" s="222" t="str">
        <f>IFERROR(__xludf.DUMMYFUNCTION("""COMPUTED_VALUE"""),"LPG PT3 JPP LAMPUNG SELATAN_126980 NTR")</f>
        <v>LPG PT3 JPP LAMPUNG SELATAN_126980 NTR</v>
      </c>
      <c r="D2599" s="222" t="str">
        <f>IFERROR(__xludf.DUMMYFUNCTION("""COMPUTED_VALUE"""),"REGIONAL I")</f>
        <v>REGIONAL I</v>
      </c>
      <c r="E2599" s="222" t="str">
        <f>IFERROR(__xludf.DUMMYFUNCTION("""COMPUTED_VALUE"""),"LAMPUNG")</f>
        <v>LAMPUNG</v>
      </c>
      <c r="F2599" s="222" t="str">
        <f>IFERROR(__xludf.DUMMYFUNCTION("""COMPUTED_VALUE"""),"NTR")</f>
        <v>NTR</v>
      </c>
      <c r="G2599" s="222" t="str">
        <f>IFERROR(__xludf.DUMMYFUNCTION("""COMPUTED_VALUE"""),"SUMBAGSEL")</f>
        <v>SUMBAGSEL</v>
      </c>
      <c r="H2599" s="222" t="str">
        <f>IFERROR(__xludf.DUMMYFUNCTION("""COMPUTED_VALUE"""),"LAMPUNG")</f>
        <v>LAMPUNG</v>
      </c>
      <c r="I2599" s="222" t="str">
        <f>IFERROR(__xludf.DUMMYFUNCTION("""COMPUTED_VALUE"""),"Batch 3")</f>
        <v>Batch 3</v>
      </c>
      <c r="J2599" s="225">
        <f>IFERROR(__xludf.DUMMYFUNCTION("""COMPUTED_VALUE"""),4.0)</f>
        <v>4</v>
      </c>
      <c r="K2599" s="224">
        <f>IFERROR(__xludf.DUMMYFUNCTION("""COMPUTED_VALUE"""),32.0)</f>
        <v>32</v>
      </c>
      <c r="L2599" s="226">
        <f>IFERROR(__xludf.DUMMYFUNCTION("""COMPUTED_VALUE"""),493703.0)</f>
        <v>493703</v>
      </c>
      <c r="M2599" s="227">
        <f>IFERROR(__xludf.DUMMYFUNCTION("""COMPUTED_VALUE"""),1.5798481E7)</f>
        <v>15798481</v>
      </c>
      <c r="N2599" s="222" t="str">
        <f>IFERROR(__xludf.DUMMYFUNCTION("""COMPUTED_VALUE"""),"PT BANGTELINDO")</f>
        <v>PT BANGTELINDO</v>
      </c>
      <c r="O2599" s="222" t="str">
        <f>IFERROR(__xludf.DUMMYFUNCTION("""COMPUTED_VALUE"""),"7. GOLIVE")</f>
        <v>7. GOLIVE</v>
      </c>
      <c r="P2599" s="222" t="str">
        <f>IFERROR(__xludf.DUMMYFUNCTION("""COMPUTED_VALUE"""),"7.2 Golive Full / OA / DONE OTB")</f>
        <v>7.2 Golive Full / OA / DONE OTB</v>
      </c>
      <c r="Q2599" s="222" t="str">
        <f>IFERROR(__xludf.DUMMYFUNCTION("""COMPUTED_VALUE"""),"26/2 Proses GOLIVE 24/2 proses gali lubang tanam tiang 
20/2 proses matdel 20/2,20/2 proses matdel , plan fi 28/2
18/2 Plan matdel 19 FEB 6/2  lurah tidaka bisa putuskan ,folow uf 09/2 ,estimasi 12/2
4/2 lagi diskusi perizinan 28/1  
23/1 plan anwizing ta"&amp;"nggal 26/9")</f>
        <v>26/2 Proses GOLIVE 24/2 proses gali lubang tanam tiang 
20/2 proses matdel 20/2,20/2 proses matdel , plan fi 28/2
18/2 Plan matdel 19 FEB 6/2  lurah tidaka bisa putuskan ,folow uf 09/2 ,estimasi 12/2
4/2 lagi diskusi perizinan 28/1  
23/1 plan anwizing tanggal 26/9</v>
      </c>
      <c r="R2599" s="228">
        <f>IFERROR(__xludf.DUMMYFUNCTION("""COMPUTED_VALUE"""),46079.0)</f>
        <v>46079</v>
      </c>
      <c r="S2599" s="11"/>
      <c r="T2599" s="11"/>
      <c r="U2599" s="11" t="str">
        <f>IFERROR(__xludf.DUMMYFUNCTION("""COMPUTED_VALUE"""),"TIF-4008/2026")</f>
        <v>TIF-4008/2026</v>
      </c>
      <c r="V2599" s="229"/>
      <c r="W2599" s="229"/>
      <c r="X2599" s="229" t="str">
        <f>IFERROR(__xludf.DUMMYFUNCTION("""COMPUTED_VALUE"""),"GOLIVE")</f>
        <v>GOLIVE</v>
      </c>
      <c r="Y2599" s="229" t="str">
        <f>IFERROR(__xludf.DUMMYFUNCTION("""COMPUTED_VALUE"""),"DONE")</f>
        <v>DONE</v>
      </c>
      <c r="Z2599" s="229" t="str">
        <f>IFERROR(__xludf.DUMMYFUNCTION("""COMPUTED_VALUE"""),"#N/A")</f>
        <v>#N/A</v>
      </c>
      <c r="AA2599" s="229">
        <f>IFERROR(__xludf.DUMMYFUNCTION("""COMPUTED_VALUE"""),4.0)</f>
        <v>4</v>
      </c>
      <c r="AB2599" s="229"/>
      <c r="AC2599" s="229" t="str">
        <f>IFERROR(__xludf.DUMMYFUNCTION("""COMPUTED_VALUE"""),"9108250#9108255")</f>
        <v>9108250#9108255</v>
      </c>
      <c r="AD2599" s="232">
        <f>IFERROR(__xludf.DUMMYFUNCTION("""COMPUTED_VALUE"""),32.0)</f>
        <v>32</v>
      </c>
      <c r="AE2599" s="233">
        <f>IFERROR(__xludf.DUMMYFUNCTION("""COMPUTED_VALUE"""),46079.0)</f>
        <v>46079</v>
      </c>
      <c r="AF2599" s="54"/>
      <c r="AG2599" s="54"/>
      <c r="AH2599" s="54">
        <v>46079.0</v>
      </c>
      <c r="AI2599" s="55">
        <f t="shared" si="238"/>
        <v>0</v>
      </c>
      <c r="AW2599" s="234"/>
      <c r="BP2599" s="11"/>
      <c r="BQ2599" s="11"/>
      <c r="BV2599" s="158"/>
      <c r="BY2599" s="158"/>
      <c r="CB2599" s="158"/>
    </row>
    <row r="2600" ht="18.0" hidden="1" customHeight="1">
      <c r="A2600" s="222">
        <f>IFERROR(__xludf.DUMMYFUNCTION("""COMPUTED_VALUE"""),2026.0)</f>
        <v>2026</v>
      </c>
      <c r="B2600" s="221">
        <f>IFERROR(__xludf.DUMMYFUNCTION("""COMPUTED_VALUE"""),1.1533487E7)</f>
        <v>11533487</v>
      </c>
      <c r="C2600" s="222" t="str">
        <f>IFERROR(__xludf.DUMMYFUNCTION("""COMPUTED_VALUE"""),"MDN PT3 PUB-FAP JL.SELAMAT")</f>
        <v>MDN PT3 PUB-FAP JL.SELAMAT</v>
      </c>
      <c r="D2600" s="222" t="str">
        <f>IFERROR(__xludf.DUMMYFUNCTION("""COMPUTED_VALUE"""),"REGIONAL I")</f>
        <v>REGIONAL I</v>
      </c>
      <c r="E2600" s="222" t="str">
        <f>IFERROR(__xludf.DUMMYFUNCTION("""COMPUTED_VALUE"""),"MEDAN")</f>
        <v>MEDAN</v>
      </c>
      <c r="F2600" s="222" t="str">
        <f>IFERROR(__xludf.DUMMYFUNCTION("""COMPUTED_VALUE"""),"PUB")</f>
        <v>PUB</v>
      </c>
      <c r="G2600" s="222" t="str">
        <f>IFERROR(__xludf.DUMMYFUNCTION("""COMPUTED_VALUE"""),"SUMBAGUT")</f>
        <v>SUMBAGUT</v>
      </c>
      <c r="H2600" s="222" t="str">
        <f>IFERROR(__xludf.DUMMYFUNCTION("""COMPUTED_VALUE"""),"MEDAN")</f>
        <v>MEDAN</v>
      </c>
      <c r="I2600" s="222" t="str">
        <f>IFERROR(__xludf.DUMMYFUNCTION("""COMPUTED_VALUE"""),"Batch 3")</f>
        <v>Batch 3</v>
      </c>
      <c r="J2600" s="225">
        <f>IFERROR(__xludf.DUMMYFUNCTION("""COMPUTED_VALUE"""),4.0)</f>
        <v>4</v>
      </c>
      <c r="K2600" s="224">
        <f>IFERROR(__xludf.DUMMYFUNCTION("""COMPUTED_VALUE"""),32.0)</f>
        <v>32</v>
      </c>
      <c r="L2600" s="226">
        <f>IFERROR(__xludf.DUMMYFUNCTION("""COMPUTED_VALUE"""),493248.0)</f>
        <v>493248</v>
      </c>
      <c r="M2600" s="227">
        <f>IFERROR(__xludf.DUMMYFUNCTION("""COMPUTED_VALUE"""),1.5783908E7)</f>
        <v>15783908</v>
      </c>
      <c r="N2600" s="222" t="str">
        <f>IFERROR(__xludf.DUMMYFUNCTION("""COMPUTED_VALUE"""),"PT BENWA  MITRA PRATAMA")</f>
        <v>PT BENWA  MITRA PRATAMA</v>
      </c>
      <c r="O2600" s="222" t="str">
        <f>IFERROR(__xludf.DUMMYFUNCTION("""COMPUTED_VALUE"""),"7. GOLIVE")</f>
        <v>7. GOLIVE</v>
      </c>
      <c r="P2600" s="222" t="str">
        <f>IFERROR(__xludf.DUMMYFUNCTION("""COMPUTED_VALUE"""),"7.2 Golive Full / OA / DONE OTB")</f>
        <v>7.2 Golive Full / OA / DONE OTB</v>
      </c>
      <c r="Q2600" s="222" t="str">
        <f>IFERROR(__xludf.DUMMYFUNCTION("""COMPUTED_VALUE"""),"04/03 install odp 27/02 tarik DS 25/02 dapat solusi tidak jadi redesign, lnjut ambil material 17/02 Req ReDesign ke SDI 12/02 Aanwidzing OK, Lanjut perizinan 10/02 Komitmen Aanwidzing 13/02/2026")</f>
        <v>04/03 install odp 27/02 tarik DS 25/02 dapat solusi tidak jadi redesign, lnjut ambil material 17/02 Req ReDesign ke SDI 12/02 Aanwidzing OK, Lanjut perizinan 10/02 Komitmen Aanwidzing 13/02/2026</v>
      </c>
      <c r="R2600" s="228">
        <f>IFERROR(__xludf.DUMMYFUNCTION("""COMPUTED_VALUE"""),46092.0)</f>
        <v>46092</v>
      </c>
      <c r="S2600" s="11" t="str">
        <f>IFERROR(__xludf.DUMMYFUNCTION("""COMPUTED_VALUE"""),"MAR")</f>
        <v>MAR</v>
      </c>
      <c r="T2600" s="11"/>
      <c r="U2600" s="11"/>
      <c r="V2600" s="229"/>
      <c r="W2600" s="229"/>
      <c r="X2600" s="229" t="str">
        <f>IFERROR(__xludf.DUMMYFUNCTION("""COMPUTED_VALUE"""),"GOLIVE")</f>
        <v>GOLIVE</v>
      </c>
      <c r="Y2600" s="229" t="str">
        <f>IFERROR(__xludf.DUMMYFUNCTION("""COMPUTED_VALUE"""),"DONE")</f>
        <v>DONE</v>
      </c>
      <c r="Z2600" s="229" t="str">
        <f>IFERROR(__xludf.DUMMYFUNCTION("""COMPUTED_VALUE"""),"#N/A")</f>
        <v>#N/A</v>
      </c>
      <c r="AA2600" s="229">
        <f>IFERROR(__xludf.DUMMYFUNCTION("""COMPUTED_VALUE"""),4.0)</f>
        <v>4</v>
      </c>
      <c r="AB2600" s="229"/>
      <c r="AC2600" s="229" t="str">
        <f>IFERROR(__xludf.DUMMYFUNCTION("""COMPUTED_VALUE"""),"9199304#9199309")</f>
        <v>9199304#9199309</v>
      </c>
      <c r="AD2600" s="232">
        <f>IFERROR(__xludf.DUMMYFUNCTION("""COMPUTED_VALUE"""),32.0)</f>
        <v>32</v>
      </c>
      <c r="AE2600" s="233">
        <f>IFERROR(__xludf.DUMMYFUNCTION("""COMPUTED_VALUE"""),46092.0)</f>
        <v>46092</v>
      </c>
      <c r="AF2600" s="54"/>
      <c r="AG2600" s="54"/>
      <c r="AH2600" s="54">
        <v>46092.0</v>
      </c>
      <c r="AI2600" s="55">
        <f t="shared" si="238"/>
        <v>0</v>
      </c>
      <c r="AW2600" s="234"/>
      <c r="BP2600" s="11"/>
      <c r="BQ2600" s="11"/>
      <c r="BV2600" s="158"/>
      <c r="BY2600" s="158"/>
      <c r="CB2600" s="158"/>
    </row>
    <row r="2601" ht="18.0" hidden="1" customHeight="1">
      <c r="A2601" s="222">
        <f>IFERROR(__xludf.DUMMYFUNCTION("""COMPUTED_VALUE"""),2026.0)</f>
        <v>2026</v>
      </c>
      <c r="B2601" s="221">
        <f>IFERROR(__xludf.DUMMYFUNCTION("""COMPUTED_VALUE"""),1.1533568E7)</f>
        <v>11533568</v>
      </c>
      <c r="C2601" s="222" t="str">
        <f>IFERROR(__xludf.DUMMYFUNCTION("""COMPUTED_VALUE"""),"MDN PT3 SKI-FS JL.BROMO GG.TENTRAM")</f>
        <v>MDN PT3 SKI-FS JL.BROMO GG.TENTRAM</v>
      </c>
      <c r="D2601" s="222" t="str">
        <f>IFERROR(__xludf.DUMMYFUNCTION("""COMPUTED_VALUE"""),"REGIONAL I")</f>
        <v>REGIONAL I</v>
      </c>
      <c r="E2601" s="222" t="str">
        <f>IFERROR(__xludf.DUMMYFUNCTION("""COMPUTED_VALUE"""),"MEDAN")</f>
        <v>MEDAN</v>
      </c>
      <c r="F2601" s="222" t="str">
        <f>IFERROR(__xludf.DUMMYFUNCTION("""COMPUTED_VALUE"""),"SKI")</f>
        <v>SKI</v>
      </c>
      <c r="G2601" s="222" t="str">
        <f>IFERROR(__xludf.DUMMYFUNCTION("""COMPUTED_VALUE"""),"SUMBAGUT")</f>
        <v>SUMBAGUT</v>
      </c>
      <c r="H2601" s="222" t="str">
        <f>IFERROR(__xludf.DUMMYFUNCTION("""COMPUTED_VALUE"""),"MEDAN")</f>
        <v>MEDAN</v>
      </c>
      <c r="I2601" s="222" t="str">
        <f>IFERROR(__xludf.DUMMYFUNCTION("""COMPUTED_VALUE"""),"Batch 3")</f>
        <v>Batch 3</v>
      </c>
      <c r="J2601" s="225">
        <f>IFERROR(__xludf.DUMMYFUNCTION("""COMPUTED_VALUE"""),3.0)</f>
        <v>3</v>
      </c>
      <c r="K2601" s="224">
        <f>IFERROR(__xludf.DUMMYFUNCTION("""COMPUTED_VALUE"""),24.0)</f>
        <v>24</v>
      </c>
      <c r="L2601" s="226">
        <f>IFERROR(__xludf.DUMMYFUNCTION("""COMPUTED_VALUE"""),490265.0)</f>
        <v>490265</v>
      </c>
      <c r="M2601" s="227">
        <f>IFERROR(__xludf.DUMMYFUNCTION("""COMPUTED_VALUE"""),1.1766343E7)</f>
        <v>11766343</v>
      </c>
      <c r="N2601" s="222" t="str">
        <f>IFERROR(__xludf.DUMMYFUNCTION("""COMPUTED_VALUE"""),"PT UPENTEL INTERNASIONAL")</f>
        <v>PT UPENTEL INTERNASIONAL</v>
      </c>
      <c r="O2601" s="222" t="str">
        <f>IFERROR(__xludf.DUMMYFUNCTION("""COMPUTED_VALUE"""),"7. GOLIVE")</f>
        <v>7. GOLIVE</v>
      </c>
      <c r="P2601" s="222" t="str">
        <f>IFERROR(__xludf.DUMMYFUNCTION("""COMPUTED_VALUE"""),"7.2 Golive Full / OA / DONE OTB")</f>
        <v>7.2 Golive Full / OA / DONE OTB</v>
      </c>
      <c r="Q2601" s="222" t="str">
        <f>IFERROR(__xludf.DUMMYFUNCTION("""COMPUTED_VALUE"""),"21/04 pengecekan abd mancore
09/04 penarikan 31/03 revisit terkait titik petikan branching 28/03 redesign approved 04/03 menunggu eval 26/02 pengajuan redesign, new DS karena DS tidak tembus 18/02 Komitmen 23/02")</f>
        <v>21/04 pengecekan abd mancore
09/04 penarikan 31/03 revisit terkait titik petikan branching 28/03 redesign approved 04/03 menunggu eval 26/02 pengajuan redesign, new DS karena DS tidak tembus 18/02 Komitmen 23/02</v>
      </c>
      <c r="R2601" s="228">
        <f>IFERROR(__xludf.DUMMYFUNCTION("""COMPUTED_VALUE"""),46133.0)</f>
        <v>46133</v>
      </c>
      <c r="S2601" s="11" t="str">
        <f>IFERROR(__xludf.DUMMYFUNCTION("""COMPUTED_VALUE"""),"APR")</f>
        <v>APR</v>
      </c>
      <c r="T2601" s="73"/>
      <c r="U2601" s="11"/>
      <c r="V2601" s="229" t="str">
        <f>IFERROR(__xludf.DUMMYFUNCTION("""COMPUTED_VALUE"""),"15/Apr/2026")</f>
        <v>15/Apr/2026</v>
      </c>
      <c r="W2601" s="229"/>
      <c r="X2601" s="229" t="str">
        <f>IFERROR(__xludf.DUMMYFUNCTION("""COMPUTED_VALUE"""),"GOLIVE")</f>
        <v>GOLIVE</v>
      </c>
      <c r="Y2601" s="229" t="str">
        <f>IFERROR(__xludf.DUMMYFUNCTION("""COMPUTED_VALUE"""),"DONE")</f>
        <v>DONE</v>
      </c>
      <c r="Z2601" s="229" t="str">
        <f>IFERROR(__xludf.DUMMYFUNCTION("""COMPUTED_VALUE"""),"#N/A")</f>
        <v>#N/A</v>
      </c>
      <c r="AA2601" s="229">
        <f>IFERROR(__xludf.DUMMYFUNCTION("""COMPUTED_VALUE"""),7.0)</f>
        <v>7</v>
      </c>
      <c r="AB2601" s="229"/>
      <c r="AC2601" s="229" t="str">
        <f>IFERROR(__xludf.DUMMYFUNCTION("""COMPUTED_VALUE"""),"9296618#9296623")</f>
        <v>9296618#9296623</v>
      </c>
      <c r="AD2601" s="232">
        <f>IFERROR(__xludf.DUMMYFUNCTION("""COMPUTED_VALUE"""),56.0)</f>
        <v>56</v>
      </c>
      <c r="AE2601" s="233">
        <f>IFERROR(__xludf.DUMMYFUNCTION("""COMPUTED_VALUE"""),46133.0)</f>
        <v>46133</v>
      </c>
      <c r="AF2601" s="54"/>
      <c r="AG2601" s="54"/>
      <c r="AH2601" s="54"/>
      <c r="AI2601" s="55">
        <f t="shared" si="238"/>
        <v>0</v>
      </c>
      <c r="AW2601" s="234"/>
      <c r="BP2601" s="11"/>
      <c r="BQ2601" s="11"/>
      <c r="BV2601" s="158"/>
      <c r="BY2601" s="158"/>
      <c r="CB2601" s="158"/>
    </row>
    <row r="2602" ht="18.0" hidden="1" customHeight="1">
      <c r="A2602" s="222">
        <f>IFERROR(__xludf.DUMMYFUNCTION("""COMPUTED_VALUE"""),2026.0)</f>
        <v>2026</v>
      </c>
      <c r="B2602" s="221">
        <f>IFERROR(__xludf.DUMMYFUNCTION("""COMPUTED_VALUE"""),1.2431346E7)</f>
        <v>12431346</v>
      </c>
      <c r="C2602" s="222" t="str">
        <f>IFERROR(__xludf.DUMMYFUNCTION("""COMPUTED_VALUE"""),"MDN PT3 TMU-FU JL.MAKMUR")</f>
        <v>MDN PT3 TMU-FU JL.MAKMUR</v>
      </c>
      <c r="D2602" s="222" t="str">
        <f>IFERROR(__xludf.DUMMYFUNCTION("""COMPUTED_VALUE"""),"REGIONAL I")</f>
        <v>REGIONAL I</v>
      </c>
      <c r="E2602" s="222" t="str">
        <f>IFERROR(__xludf.DUMMYFUNCTION("""COMPUTED_VALUE"""),"MEDAN")</f>
        <v>MEDAN</v>
      </c>
      <c r="F2602" s="222" t="str">
        <f>IFERROR(__xludf.DUMMYFUNCTION("""COMPUTED_VALUE"""),"TMU")</f>
        <v>TMU</v>
      </c>
      <c r="G2602" s="222" t="str">
        <f>IFERROR(__xludf.DUMMYFUNCTION("""COMPUTED_VALUE"""),"SUMBAGUT")</f>
        <v>SUMBAGUT</v>
      </c>
      <c r="H2602" s="222" t="str">
        <f>IFERROR(__xludf.DUMMYFUNCTION("""COMPUTED_VALUE"""),"MEDAN")</f>
        <v>MEDAN</v>
      </c>
      <c r="I2602" s="222" t="str">
        <f>IFERROR(__xludf.DUMMYFUNCTION("""COMPUTED_VALUE"""),"Batch 3")</f>
        <v>Batch 3</v>
      </c>
      <c r="J2602" s="225">
        <f>IFERROR(__xludf.DUMMYFUNCTION("""COMPUTED_VALUE"""),2.0)</f>
        <v>2</v>
      </c>
      <c r="K2602" s="224">
        <f>IFERROR(__xludf.DUMMYFUNCTION("""COMPUTED_VALUE"""),16.0)</f>
        <v>16</v>
      </c>
      <c r="L2602" s="226">
        <f>IFERROR(__xludf.DUMMYFUNCTION("""COMPUTED_VALUE"""),490201.0)</f>
        <v>490201</v>
      </c>
      <c r="M2602" s="227">
        <f>IFERROR(__xludf.DUMMYFUNCTION("""COMPUTED_VALUE"""),7843206.0)</f>
        <v>7843206</v>
      </c>
      <c r="N2602" s="222" t="str">
        <f>IFERROR(__xludf.DUMMYFUNCTION("""COMPUTED_VALUE"""),"SWAKELOLA")</f>
        <v>SWAKELOLA</v>
      </c>
      <c r="O2602" s="222" t="str">
        <f>IFERROR(__xludf.DUMMYFUNCTION("""COMPUTED_VALUE"""),"2. DONE AANWIJZING")</f>
        <v>2. DONE AANWIJZING</v>
      </c>
      <c r="P2602" s="222" t="str">
        <f>IFERROR(__xludf.DUMMYFUNCTION("""COMPUTED_VALUE"""),"2.10 Kendala - Feeder Rusak")</f>
        <v>2.10 Kendala - Feeder Rusak</v>
      </c>
      <c r="Q2602" s="222" t="str">
        <f>IFERROR(__xludf.DUMMYFUNCTION("""COMPUTED_VALUE"""),"21/04 pengecekan tipus / butuh qe")</f>
        <v>21/04 pengecekan tipus / butuh qe</v>
      </c>
      <c r="R2602" s="228"/>
      <c r="S2602" s="11"/>
      <c r="T2602" s="11"/>
      <c r="U2602" s="11"/>
      <c r="V2602" s="229"/>
      <c r="W2602" s="229"/>
      <c r="X2602" s="229" t="str">
        <f>IFERROR(__xludf.DUMMYFUNCTION("""COMPUTED_VALUE"""),"BELUM GOLIVE")</f>
        <v>BELUM GOLIVE</v>
      </c>
      <c r="Y2602" s="229"/>
      <c r="Z2602" s="229" t="str">
        <f>IFERROR(__xludf.DUMMYFUNCTION("""COMPUTED_VALUE"""),"#N/A")</f>
        <v>#N/A</v>
      </c>
      <c r="AA2602" s="229"/>
      <c r="AB2602" s="229"/>
      <c r="AC2602" s="229"/>
      <c r="AD2602" s="232"/>
      <c r="AE2602" s="233"/>
      <c r="AF2602" s="54"/>
      <c r="AG2602" s="54"/>
      <c r="AH2602" s="54"/>
      <c r="AI2602" s="55" t="str">
        <f t="shared" si="238"/>
        <v/>
      </c>
      <c r="AW2602" s="234"/>
      <c r="BP2602" s="11"/>
      <c r="BQ2602" s="11"/>
      <c r="BV2602" s="158"/>
      <c r="BY2602" s="158"/>
      <c r="CB2602" s="158"/>
    </row>
    <row r="2603" ht="18.0" hidden="1" customHeight="1">
      <c r="A2603" s="222">
        <f>IFERROR(__xludf.DUMMYFUNCTION("""COMPUTED_VALUE"""),2026.0)</f>
        <v>2026</v>
      </c>
      <c r="B2603" s="221">
        <f>IFERROR(__xludf.DUMMYFUNCTION("""COMPUTED_VALUE"""),1.1533277E7)</f>
        <v>11533277</v>
      </c>
      <c r="C2603" s="222" t="str">
        <f>IFERROR(__xludf.DUMMYFUNCTION("""COMPUTED_VALUE"""),"MDN PT3 GLG-FB JL.PERTEMUAN KOTA")</f>
        <v>MDN PT3 GLG-FB JL.PERTEMUAN KOTA</v>
      </c>
      <c r="D2603" s="222" t="str">
        <f>IFERROR(__xludf.DUMMYFUNCTION("""COMPUTED_VALUE"""),"REGIONAL I")</f>
        <v>REGIONAL I</v>
      </c>
      <c r="E2603" s="222" t="str">
        <f>IFERROR(__xludf.DUMMYFUNCTION("""COMPUTED_VALUE"""),"MEDAN")</f>
        <v>MEDAN</v>
      </c>
      <c r="F2603" s="222" t="str">
        <f>IFERROR(__xludf.DUMMYFUNCTION("""COMPUTED_VALUE"""),"GLG")</f>
        <v>GLG</v>
      </c>
      <c r="G2603" s="222" t="str">
        <f>IFERROR(__xludf.DUMMYFUNCTION("""COMPUTED_VALUE"""),"SUMBAGUT")</f>
        <v>SUMBAGUT</v>
      </c>
      <c r="H2603" s="222" t="str">
        <f>IFERROR(__xludf.DUMMYFUNCTION("""COMPUTED_VALUE"""),"MEDAN")</f>
        <v>MEDAN</v>
      </c>
      <c r="I2603" s="222" t="str">
        <f>IFERROR(__xludf.DUMMYFUNCTION("""COMPUTED_VALUE"""),"Batch 3")</f>
        <v>Batch 3</v>
      </c>
      <c r="J2603" s="225">
        <f>IFERROR(__xludf.DUMMYFUNCTION("""COMPUTED_VALUE"""),3.0)</f>
        <v>3</v>
      </c>
      <c r="K2603" s="224">
        <f>IFERROR(__xludf.DUMMYFUNCTION("""COMPUTED_VALUE"""),24.0)</f>
        <v>24</v>
      </c>
      <c r="L2603" s="226">
        <f>IFERROR(__xludf.DUMMYFUNCTION("""COMPUTED_VALUE"""),487860.0)</f>
        <v>487860</v>
      </c>
      <c r="M2603" s="227">
        <f>IFERROR(__xludf.DUMMYFUNCTION("""COMPUTED_VALUE"""),1.1708636E7)</f>
        <v>11708636</v>
      </c>
      <c r="N2603" s="222" t="str">
        <f>IFERROR(__xludf.DUMMYFUNCTION("""COMPUTED_VALUE"""),"PT UPAYA TEKNIK")</f>
        <v>PT UPAYA TEKNIK</v>
      </c>
      <c r="O2603" s="222" t="str">
        <f>IFERROR(__xludf.DUMMYFUNCTION("""COMPUTED_VALUE"""),"2. DONE AANWIJZING")</f>
        <v>2. DONE AANWIJZING</v>
      </c>
      <c r="P2603" s="222" t="str">
        <f>IFERROR(__xludf.DUMMYFUNCTION("""COMPUTED_VALUE"""),"2.10 Kendala - Feeder Rusak")</f>
        <v>2.10 Kendala - Feeder Rusak</v>
      </c>
      <c r="Q2603" s="222" t="str">
        <f>IFERROR(__xludf.DUMMYFUNCTION("""COMPUTED_VALUE"""),"20/04 pengecekan tipus/butuh qe
09/03 GLG-FB feeder redting")</f>
        <v>20/04 pengecekan tipus/butuh qe
09/03 GLG-FB feeder redting</v>
      </c>
      <c r="R2603" s="228"/>
      <c r="S2603" s="11"/>
      <c r="T2603" s="11"/>
      <c r="U2603" s="11"/>
      <c r="V2603" s="229"/>
      <c r="W2603" s="229"/>
      <c r="X2603" s="229" t="str">
        <f>IFERROR(__xludf.DUMMYFUNCTION("""COMPUTED_VALUE"""),"BELUM GOLIVE")</f>
        <v>BELUM GOLIVE</v>
      </c>
      <c r="Y2603" s="229"/>
      <c r="Z2603" s="229" t="str">
        <f>IFERROR(__xludf.DUMMYFUNCTION("""COMPUTED_VALUE"""),"#N/A")</f>
        <v>#N/A</v>
      </c>
      <c r="AA2603" s="229"/>
      <c r="AB2603" s="229"/>
      <c r="AC2603" s="229"/>
      <c r="AD2603" s="232"/>
      <c r="AE2603" s="233"/>
      <c r="AF2603" s="54"/>
      <c r="AG2603" s="54"/>
      <c r="AH2603" s="54"/>
      <c r="AI2603" s="55" t="str">
        <f t="shared" si="238"/>
        <v/>
      </c>
      <c r="AW2603" s="234"/>
      <c r="BP2603" s="11"/>
      <c r="BQ2603" s="11"/>
      <c r="BV2603" s="158"/>
      <c r="BY2603" s="158"/>
      <c r="CB2603" s="158"/>
    </row>
    <row r="2604" ht="18.0" hidden="1" customHeight="1">
      <c r="A2604" s="222">
        <f>IFERROR(__xludf.DUMMYFUNCTION("""COMPUTED_VALUE"""),2026.0)</f>
        <v>2026</v>
      </c>
      <c r="B2604" s="221">
        <f>IFERROR(__xludf.DUMMYFUNCTION("""COMPUTED_VALUE"""),1.2858412E7)</f>
        <v>12858412</v>
      </c>
      <c r="C2604" s="222" t="str">
        <f>IFERROR(__xludf.DUMMYFUNCTION("""COMPUTED_VALUE"""),"LPG PT3 Liwa Jatimulyo LIW")</f>
        <v>LPG PT3 Liwa Jatimulyo LIW</v>
      </c>
      <c r="D2604" s="222" t="str">
        <f>IFERROR(__xludf.DUMMYFUNCTION("""COMPUTED_VALUE"""),"REGIONAL I")</f>
        <v>REGIONAL I</v>
      </c>
      <c r="E2604" s="222" t="str">
        <f>IFERROR(__xludf.DUMMYFUNCTION("""COMPUTED_VALUE"""),"LAMPUNG")</f>
        <v>LAMPUNG</v>
      </c>
      <c r="F2604" s="222" t="str">
        <f>IFERROR(__xludf.DUMMYFUNCTION("""COMPUTED_VALUE"""),"LIW")</f>
        <v>LIW</v>
      </c>
      <c r="G2604" s="222" t="str">
        <f>IFERROR(__xludf.DUMMYFUNCTION("""COMPUTED_VALUE"""),"SUMBAGSEL")</f>
        <v>SUMBAGSEL</v>
      </c>
      <c r="H2604" s="222" t="str">
        <f>IFERROR(__xludf.DUMMYFUNCTION("""COMPUTED_VALUE"""),"LAMPUNG")</f>
        <v>LAMPUNG</v>
      </c>
      <c r="I2604" s="222" t="str">
        <f>IFERROR(__xludf.DUMMYFUNCTION("""COMPUTED_VALUE"""),"Batch 3")</f>
        <v>Batch 3</v>
      </c>
      <c r="J2604" s="225">
        <f>IFERROR(__xludf.DUMMYFUNCTION("""COMPUTED_VALUE"""),7.0)</f>
        <v>7</v>
      </c>
      <c r="K2604" s="224">
        <f>IFERROR(__xludf.DUMMYFUNCTION("""COMPUTED_VALUE"""),56.0)</f>
        <v>56</v>
      </c>
      <c r="L2604" s="226">
        <f>IFERROR(__xludf.DUMMYFUNCTION("""COMPUTED_VALUE"""),487491.0)</f>
        <v>487491</v>
      </c>
      <c r="M2604" s="227">
        <f>IFERROR(__xludf.DUMMYFUNCTION("""COMPUTED_VALUE"""),2.7299448E7)</f>
        <v>27299448</v>
      </c>
      <c r="N2604" s="222" t="str">
        <f>IFERROR(__xludf.DUMMYFUNCTION("""COMPUTED_VALUE"""),"PT GARINDO TECHNO MANDIRI")</f>
        <v>PT GARINDO TECHNO MANDIRI</v>
      </c>
      <c r="O2604" s="222" t="str">
        <f>IFERROR(__xludf.DUMMYFUNCTION("""COMPUTED_VALUE"""),"7. GOLIVE")</f>
        <v>7. GOLIVE</v>
      </c>
      <c r="P2604" s="222" t="str">
        <f>IFERROR(__xludf.DUMMYFUNCTION("""COMPUTED_VALUE"""),"7.2 Golive Full / OA / DONE OTB")</f>
        <v>7.2 Golive Full / OA / DONE OTB</v>
      </c>
      <c r="Q2604" s="222" t="str">
        <f>IFERROR(__xludf.DUMMYFUNCTION("""COMPUTED_VALUE"""),"4/3 proses golive 
2/3  progres penarikan ,PROGRES TERMINASI TGL 28/2, PLAN GOLIVE 3/3
27/2 progres penarikan ,PROGRES TERMINASI TGL 28/2, PLAN GOLIVE 2/3
26/2 tanam tiang 24/2 proses pengajuan PID dan PR/PO 
11/2 plan matdel ,15/2 estimasi angkut materia"&amp;"l dari wh - 16 FEB EMPLOY (9/2)PLAN MATDEL 10 FEB 6/2 plan matdel ,12/2 matdel ,plan fi 16/2
4/2 stok material kosong ,estimasi tiba 07/2 
23/1 plan anwizing 26/1")</f>
        <v>4/3 proses golive 
2/3  progres penarikan ,PROGRES TERMINASI TGL 28/2, PLAN GOLIVE 3/3
27/2 progres penarikan ,PROGRES TERMINASI TGL 28/2, PLAN GOLIVE 2/3
26/2 tanam tiang 24/2 proses pengajuan PID dan PR/PO 
11/2 plan matdel ,15/2 estimasi angkut material dari wh - 16 FEB EMPLOY (9/2)PLAN MATDEL 10 FEB 6/2 plan matdel ,12/2 matdel ,plan fi 16/2
4/2 stok material kosong ,estimasi tiba 07/2 
23/1 plan anwizing 26/1</v>
      </c>
      <c r="R2604" s="228">
        <f>IFERROR(__xludf.DUMMYFUNCTION("""COMPUTED_VALUE"""),46085.0)</f>
        <v>46085</v>
      </c>
      <c r="S2604" s="11" t="str">
        <f>IFERROR(__xludf.DUMMYFUNCTION("""COMPUTED_VALUE"""),"MAR")</f>
        <v>MAR</v>
      </c>
      <c r="T2604" s="11"/>
      <c r="U2604" s="11" t="str">
        <f>IFERROR(__xludf.DUMMYFUNCTION("""COMPUTED_VALUE"""),"TIF-3689/2026")</f>
        <v>TIF-3689/2026</v>
      </c>
      <c r="V2604" s="229"/>
      <c r="W2604" s="229"/>
      <c r="X2604" s="229" t="str">
        <f>IFERROR(__xludf.DUMMYFUNCTION("""COMPUTED_VALUE"""),"GOLIVE")</f>
        <v>GOLIVE</v>
      </c>
      <c r="Y2604" s="229" t="str">
        <f>IFERROR(__xludf.DUMMYFUNCTION("""COMPUTED_VALUE"""),"DONE")</f>
        <v>DONE</v>
      </c>
      <c r="Z2604" s="229" t="str">
        <f>IFERROR(__xludf.DUMMYFUNCTION("""COMPUTED_VALUE"""),"#N/A")</f>
        <v>#N/A</v>
      </c>
      <c r="AA2604" s="229">
        <f>IFERROR(__xludf.DUMMYFUNCTION("""COMPUTED_VALUE"""),7.0)</f>
        <v>7</v>
      </c>
      <c r="AB2604" s="229"/>
      <c r="AC2604" s="229" t="str">
        <f>IFERROR(__xludf.DUMMYFUNCTION("""COMPUTED_VALUE"""),"9081030#9081035")</f>
        <v>9081030#9081035</v>
      </c>
      <c r="AD2604" s="232">
        <f>IFERROR(__xludf.DUMMYFUNCTION("""COMPUTED_VALUE"""),56.0)</f>
        <v>56</v>
      </c>
      <c r="AE2604" s="233">
        <f>IFERROR(__xludf.DUMMYFUNCTION("""COMPUTED_VALUE"""),46085.0)</f>
        <v>46085</v>
      </c>
      <c r="AF2604" s="54"/>
      <c r="AG2604" s="54"/>
      <c r="AH2604" s="54">
        <v>46085.0</v>
      </c>
      <c r="AI2604" s="55">
        <f t="shared" si="238"/>
        <v>0</v>
      </c>
      <c r="AW2604" s="234"/>
      <c r="BP2604" s="11"/>
      <c r="BQ2604" s="11"/>
      <c r="BV2604" s="158"/>
      <c r="BY2604" s="158"/>
      <c r="CB2604" s="158"/>
    </row>
    <row r="2605" ht="18.0" customHeight="1">
      <c r="A2605" s="222">
        <f>IFERROR(__xludf.DUMMYFUNCTION("""COMPUTED_VALUE"""),2026.0)</f>
        <v>2026</v>
      </c>
      <c r="B2605" s="221">
        <f>IFERROR(__xludf.DUMMYFUNCTION("""COMPUTED_VALUE"""),1.2550405E7)</f>
        <v>12550405</v>
      </c>
      <c r="C2605" s="222" t="str">
        <f>IFERROR(__xludf.DUMMYFUNCTION("""COMPUTED_VALUE"""),"RKP TSEL PT3 KMS-FAM CAVELLA REGENCY")</f>
        <v>RKP TSEL PT3 KMS-FAM CAVELLA REGENCY</v>
      </c>
      <c r="D2605" s="222" t="str">
        <f>IFERROR(__xludf.DUMMYFUNCTION("""COMPUTED_VALUE"""),"REGIONAL I")</f>
        <v>REGIONAL I</v>
      </c>
      <c r="E2605" s="222" t="str">
        <f>IFERROR(__xludf.DUMMYFUNCTION("""COMPUTED_VALUE"""),"RIKEP")</f>
        <v>RIKEP</v>
      </c>
      <c r="F2605" s="222" t="str">
        <f>IFERROR(__xludf.DUMMYFUNCTION("""COMPUTED_VALUE"""),"KMS")</f>
        <v>KMS</v>
      </c>
      <c r="G2605" s="222" t="str">
        <f>IFERROR(__xludf.DUMMYFUNCTION("""COMPUTED_VALUE"""),"SUMBAGTENG")</f>
        <v>SUMBAGTENG</v>
      </c>
      <c r="H2605" s="222" t="str">
        <f>IFERROR(__xludf.DUMMYFUNCTION("""COMPUTED_VALUE"""),"BATAM")</f>
        <v>BATAM</v>
      </c>
      <c r="I2605" s="222" t="str">
        <f>IFERROR(__xludf.DUMMYFUNCTION("""COMPUTED_VALUE"""),"Batch 3")</f>
        <v>Batch 3</v>
      </c>
      <c r="J2605" s="225">
        <f>IFERROR(__xludf.DUMMYFUNCTION("""COMPUTED_VALUE"""),9.0)</f>
        <v>9</v>
      </c>
      <c r="K2605" s="224">
        <f>IFERROR(__xludf.DUMMYFUNCTION("""COMPUTED_VALUE"""),72.0)</f>
        <v>72</v>
      </c>
      <c r="L2605" s="226">
        <f>IFERROR(__xludf.DUMMYFUNCTION("""COMPUTED_VALUE"""),481056.0)</f>
        <v>481056</v>
      </c>
      <c r="M2605" s="227">
        <f>IFERROR(__xludf.DUMMYFUNCTION("""COMPUTED_VALUE"""),3.4635969E7)</f>
        <v>34635969</v>
      </c>
      <c r="N2605" s="222" t="str">
        <f>IFERROR(__xludf.DUMMYFUNCTION("""COMPUTED_VALUE"""),"PT SALTTEK DUMPANG JAYA")</f>
        <v>PT SALTTEK DUMPANG JAYA</v>
      </c>
      <c r="O2605" s="222" t="str">
        <f>IFERROR(__xludf.DUMMYFUNCTION("""COMPUTED_VALUE"""),"7. GOLIVE")</f>
        <v>7. GOLIVE</v>
      </c>
      <c r="P2605" s="222" t="str">
        <f>IFERROR(__xludf.DUMMYFUNCTION("""COMPUTED_VALUE"""),"7.2 Golive Full / OA / DONE OTB")</f>
        <v>7.2 Golive Full / OA / DONE OTB</v>
      </c>
      <c r="Q2605" s="222" t="str">
        <f>IFERROR(__xludf.DUMMYFUNCTION("""COMPUTED_VALUE"""),"17/02 Terminasi ODP terkendala Hujan seharian, Plan FI tanggal 18 Feb dan ABD valid. 16/02 Terminasi ODP, ABD submit 18 Feb.  10/02 Penarikan KU. 09/02 progres galian dan tanam tiang. 06/02 Anwijzing OK, proses periznan. 04/02 Plan survey batch 3 minggu d"&amp;"epan. 23/01 Plan anwijzing 26 Jan, Order Baru. 22/01 Order baru, proses penunjukan mitra")</f>
        <v>17/02 Terminasi ODP terkendala Hujan seharian, Plan FI tanggal 18 Feb dan ABD valid. 16/02 Terminasi ODP, ABD submit 18 Feb.  10/02 Penarikan KU. 09/02 progres galian dan tanam tiang. 06/02 Anwijzing OK, proses periznan. 04/02 Plan survey batch 3 minggu depan. 23/01 Plan anwijzing 26 Jan, Order Baru. 22/01 Order baru, proses penunjukan mitra</v>
      </c>
      <c r="R2605" s="228">
        <f>IFERROR(__xludf.DUMMYFUNCTION("""COMPUTED_VALUE"""),46074.0)</f>
        <v>46074</v>
      </c>
      <c r="S2605" s="11"/>
      <c r="T2605" s="11"/>
      <c r="U2605" s="11" t="str">
        <f>IFERROR(__xludf.DUMMYFUNCTION("""COMPUTED_VALUE"""),"W09-150/2026")</f>
        <v>W09-150/2026</v>
      </c>
      <c r="V2605" s="229" t="str">
        <f>IFERROR(__xludf.DUMMYFUNCTION("""COMPUTED_VALUE"""),"DEDY IRAWAN")</f>
        <v>DEDY IRAWAN</v>
      </c>
      <c r="W2605" s="229" t="str">
        <f>IFERROR(__xludf.DUMMYFUNCTION("""COMPUTED_VALUE"""),"LEVITA INDRIYANI")</f>
        <v>LEVITA INDRIYANI</v>
      </c>
      <c r="X2605" s="229" t="str">
        <f>IFERROR(__xludf.DUMMYFUNCTION("""COMPUTED_VALUE"""),"GOLIVE")</f>
        <v>GOLIVE</v>
      </c>
      <c r="Y2605" s="229" t="str">
        <f>IFERROR(__xludf.DUMMYFUNCTION("""COMPUTED_VALUE"""),"DONE")</f>
        <v>DONE</v>
      </c>
      <c r="Z2605" s="229" t="str">
        <f>IFERROR(__xludf.DUMMYFUNCTION("""COMPUTED_VALUE"""),"#N/A")</f>
        <v>#N/A</v>
      </c>
      <c r="AA2605" s="229">
        <f>IFERROR(__xludf.DUMMYFUNCTION("""COMPUTED_VALUE"""),9.0)</f>
        <v>9</v>
      </c>
      <c r="AB2605" s="229"/>
      <c r="AC2605" s="229" t="str">
        <f>IFERROR(__xludf.DUMMYFUNCTION("""COMPUTED_VALUE"""),"9096042#9096047")</f>
        <v>9096042#9096047</v>
      </c>
      <c r="AD2605" s="232">
        <f>IFERROR(__xludf.DUMMYFUNCTION("""COMPUTED_VALUE"""),72.0)</f>
        <v>72</v>
      </c>
      <c r="AE2605" s="233">
        <f>IFERROR(__xludf.DUMMYFUNCTION("""COMPUTED_VALUE"""),46075.0)</f>
        <v>46075</v>
      </c>
      <c r="AF2605" s="54"/>
      <c r="AG2605" s="54"/>
      <c r="AH2605" s="54">
        <v>46074.0</v>
      </c>
      <c r="AI2605" s="55">
        <f>IF(OR(AH2605="",AE2605=""),"",AH2605-AE2605)</f>
        <v>-1</v>
      </c>
      <c r="AW2605" s="234"/>
      <c r="BP2605" s="11"/>
      <c r="BQ2605" s="11"/>
      <c r="BV2605" s="158"/>
      <c r="BY2605" s="158"/>
      <c r="CB2605" s="158"/>
    </row>
    <row r="2606" ht="18.0" customHeight="1">
      <c r="A2606" s="222">
        <f>IFERROR(__xludf.DUMMYFUNCTION("""COMPUTED_VALUE"""),2026.0)</f>
        <v>2026</v>
      </c>
      <c r="B2606" s="221">
        <f>IFERROR(__xludf.DUMMYFUNCTION("""COMPUTED_VALUE"""),1.1404779E7)</f>
        <v>11404779</v>
      </c>
      <c r="C2606" s="222" t="str">
        <f>IFERROR(__xludf.DUMMYFUNCTION("""COMPUTED_VALUE"""),"RDR JPP PT3 LIMBUNGAN BARU RUMBAI")</f>
        <v>RDR JPP PT3 LIMBUNGAN BARU RUMBAI</v>
      </c>
      <c r="D2606" s="222" t="str">
        <f>IFERROR(__xludf.DUMMYFUNCTION("""COMPUTED_VALUE"""),"REGIONAL I")</f>
        <v>REGIONAL I</v>
      </c>
      <c r="E2606" s="222" t="str">
        <f>IFERROR(__xludf.DUMMYFUNCTION("""COMPUTED_VALUE"""),"RIDAR")</f>
        <v>RIDAR</v>
      </c>
      <c r="F2606" s="222" t="str">
        <f>IFERROR(__xludf.DUMMYFUNCTION("""COMPUTED_VALUE"""),"RBI")</f>
        <v>RBI</v>
      </c>
      <c r="G2606" s="222" t="str">
        <f>IFERROR(__xludf.DUMMYFUNCTION("""COMPUTED_VALUE"""),"SUMBAGTENG")</f>
        <v>SUMBAGTENG</v>
      </c>
      <c r="H2606" s="222" t="str">
        <f>IFERROR(__xludf.DUMMYFUNCTION("""COMPUTED_VALUE"""),"PEKANBARU")</f>
        <v>PEKANBARU</v>
      </c>
      <c r="I2606" s="222" t="str">
        <f>IFERROR(__xludf.DUMMYFUNCTION("""COMPUTED_VALUE"""),"Batch 3")</f>
        <v>Batch 3</v>
      </c>
      <c r="J2606" s="225">
        <f>IFERROR(__xludf.DUMMYFUNCTION("""COMPUTED_VALUE"""),8.0)</f>
        <v>8</v>
      </c>
      <c r="K2606" s="224">
        <f>IFERROR(__xludf.DUMMYFUNCTION("""COMPUTED_VALUE"""),64.0)</f>
        <v>64</v>
      </c>
      <c r="L2606" s="226">
        <f>IFERROR(__xludf.DUMMYFUNCTION("""COMPUTED_VALUE"""),476437.0)</f>
        <v>476437</v>
      </c>
      <c r="M2606" s="227">
        <f>IFERROR(__xludf.DUMMYFUNCTION("""COMPUTED_VALUE"""),3.0491964E7)</f>
        <v>30491964</v>
      </c>
      <c r="N2606" s="222" t="str">
        <f>IFERROR(__xludf.DUMMYFUNCTION("""COMPUTED_VALUE"""),"PT LIBER PERSADA MANDIRI")</f>
        <v>PT LIBER PERSADA MANDIRI</v>
      </c>
      <c r="O2606" s="222" t="str">
        <f>IFERROR(__xludf.DUMMYFUNCTION("""COMPUTED_VALUE"""),"2. DONE AANWIJZING")</f>
        <v>2. DONE AANWIJZING</v>
      </c>
      <c r="P2606" s="222" t="str">
        <f>IFERROR(__xludf.DUMMYFUNCTION("""COMPUTED_VALUE"""),"2.10 Kendala - Feeder Rusak")</f>
        <v>2.10 Kendala - Feeder Rusak</v>
      </c>
      <c r="Q2606" s="222" t="str">
        <f>IFERROR(__xludf.DUMMYFUNCTION("""COMPUTED_VALUE"""),"20/04 Pengambilan ulang hasil ukur OTDR 13/04 Kendala Feeder rusak, ogp pengecekan ulang untuk hasil ukur 08/04 Kendala Feeder rusak, ogp pengecekan ulang untuk hasil ukur 03/03 Kendala feeder rusak 29/01 Feeder eksisting rusak")</f>
        <v>20/04 Pengambilan ulang hasil ukur OTDR 13/04 Kendala Feeder rusak, ogp pengecekan ulang untuk hasil ukur 08/04 Kendala Feeder rusak, ogp pengecekan ulang untuk hasil ukur 03/03 Kendala feeder rusak 29/01 Feeder eksisting rusak</v>
      </c>
      <c r="R2606" s="228"/>
      <c r="S2606" s="11"/>
      <c r="T2606" s="11"/>
      <c r="U2606" s="11"/>
      <c r="V2606" s="229" t="str">
        <f>IFERROR(__xludf.DUMMYFUNCTION("""COMPUTED_VALUE"""),"ONDI EKA SAPUTRA")</f>
        <v>ONDI EKA SAPUTRA</v>
      </c>
      <c r="W2606" s="229" t="str">
        <f>IFERROR(__xludf.DUMMYFUNCTION("""COMPUTED_VALUE"""),"DESLITA RAHMADANI")</f>
        <v>DESLITA RAHMADANI</v>
      </c>
      <c r="X2606" s="229"/>
      <c r="Y2606" s="229"/>
      <c r="Z2606" s="229" t="str">
        <f>IFERROR(__xludf.DUMMYFUNCTION("""COMPUTED_VALUE"""),"#N/A")</f>
        <v>#N/A</v>
      </c>
      <c r="AA2606" s="229"/>
      <c r="AB2606" s="229"/>
      <c r="AC2606" s="229"/>
      <c r="AD2606" s="232"/>
      <c r="AE2606" s="233"/>
      <c r="AF2606" s="54"/>
      <c r="AG2606" s="54"/>
      <c r="AH2606" s="54"/>
      <c r="AI2606" s="55" t="str">
        <f t="shared" ref="AI2606:AI2635" si="239">IF(OR(R2606="",AE2606=""),"",R2606-AE2606)</f>
        <v/>
      </c>
      <c r="AW2606" s="234"/>
      <c r="BP2606" s="11"/>
      <c r="BQ2606" s="11"/>
      <c r="BV2606" s="158"/>
      <c r="BY2606" s="158"/>
      <c r="CB2606" s="158"/>
    </row>
    <row r="2607" ht="18.0" customHeight="1">
      <c r="A2607" s="222">
        <f>IFERROR(__xludf.DUMMYFUNCTION("""COMPUTED_VALUE"""),2026.0)</f>
        <v>2026</v>
      </c>
      <c r="B2607" s="221">
        <f>IFERROR(__xludf.DUMMYFUNCTION("""COMPUTED_VALUE"""),1.2703983E7)</f>
        <v>12703983</v>
      </c>
      <c r="C2607" s="222" t="str">
        <f>IFERROR(__xludf.DUMMYFUNCTION("""COMPUTED_VALUE"""),"SMB-PT3-ODC-PNN-FD-HENKI MUSTIAN")</f>
        <v>SMB-PT3-ODC-PNN-FD-HENKI MUSTIAN</v>
      </c>
      <c r="D2607" s="222" t="str">
        <f>IFERROR(__xludf.DUMMYFUNCTION("""COMPUTED_VALUE"""),"REGIONAL I")</f>
        <v>REGIONAL I</v>
      </c>
      <c r="E2607" s="222" t="str">
        <f>IFERROR(__xludf.DUMMYFUNCTION("""COMPUTED_VALUE"""),"SUMBAR")</f>
        <v>SUMBAR</v>
      </c>
      <c r="F2607" s="222" t="str">
        <f>IFERROR(__xludf.DUMMYFUNCTION("""COMPUTED_VALUE"""),"PNN")</f>
        <v>PNN</v>
      </c>
      <c r="G2607" s="222" t="str">
        <f>IFERROR(__xludf.DUMMYFUNCTION("""COMPUTED_VALUE"""),"SUMBAGTENG")</f>
        <v>SUMBAGTENG</v>
      </c>
      <c r="H2607" s="222" t="str">
        <f>IFERROR(__xludf.DUMMYFUNCTION("""COMPUTED_VALUE"""),"PADANG")</f>
        <v>PADANG</v>
      </c>
      <c r="I2607" s="222" t="str">
        <f>IFERROR(__xludf.DUMMYFUNCTION("""COMPUTED_VALUE"""),"Batch 3")</f>
        <v>Batch 3</v>
      </c>
      <c r="J2607" s="225">
        <f>IFERROR(__xludf.DUMMYFUNCTION("""COMPUTED_VALUE"""),2.0)</f>
        <v>2</v>
      </c>
      <c r="K2607" s="224">
        <f>IFERROR(__xludf.DUMMYFUNCTION("""COMPUTED_VALUE"""),16.0)</f>
        <v>16</v>
      </c>
      <c r="L2607" s="226">
        <f>IFERROR(__xludf.DUMMYFUNCTION("""COMPUTED_VALUE"""),470161.0)</f>
        <v>470161</v>
      </c>
      <c r="M2607" s="227">
        <f>IFERROR(__xludf.DUMMYFUNCTION("""COMPUTED_VALUE"""),7522569.0)</f>
        <v>7522569</v>
      </c>
      <c r="N2607" s="222" t="str">
        <f>IFERROR(__xludf.DUMMYFUNCTION("""COMPUTED_VALUE"""),"PT ACERO CETHA METALINDO")</f>
        <v>PT ACERO CETHA METALINDO</v>
      </c>
      <c r="O2607" s="222" t="str">
        <f>IFERROR(__xludf.DUMMYFUNCTION("""COMPUTED_VALUE"""),"0. DROP")</f>
        <v>0. DROP</v>
      </c>
      <c r="P2607" s="222" t="str">
        <f>IFERROR(__xludf.DUMMYFUNCTION("""COMPUTED_VALUE"""),"0.5 DROP TSEL - Acc ED TIF")</f>
        <v>0.5 DROP TSEL - Acc ED TIF</v>
      </c>
      <c r="Q2607" s="222" t="str">
        <f>IFERROR(__xludf.DUMMYFUNCTION("""COMPUTED_VALUE"""),"(06/03) Proses create PID  (05/03) proses aanwijziing plan selesai 07/03 (02/03) proses aanwijziing (26/01) DROP, permintaan tsel (tidak potensial) ")</f>
        <v>(06/03) Proses create PID  (05/03) proses aanwijziing plan selesai 07/03 (02/03) proses aanwijziing (26/01) DROP, permintaan tsel (tidak potensial) </v>
      </c>
      <c r="R2607" s="228"/>
      <c r="S2607" s="11"/>
      <c r="T2607" s="11"/>
      <c r="U2607" s="11" t="str">
        <f>IFERROR(__xludf.DUMMYFUNCTION("""COMPUTED_VALUE"""),"TIF-5574/2026  26KT03R158-0058 ")</f>
        <v>TIF-5574/2026  26KT03R158-0058 </v>
      </c>
      <c r="V2607" s="229" t="str">
        <f>IFERROR(__xludf.DUMMYFUNCTION("""COMPUTED_VALUE"""),"PRAMADIO SEPWILMAN")</f>
        <v>PRAMADIO SEPWILMAN</v>
      </c>
      <c r="W2607" s="229" t="str">
        <f>IFERROR(__xludf.DUMMYFUNCTION("""COMPUTED_VALUE"""),"MELKO NARWADI")</f>
        <v>MELKO NARWADI</v>
      </c>
      <c r="X2607" s="229"/>
      <c r="Y2607" s="229"/>
      <c r="Z2607" s="229" t="str">
        <f>IFERROR(__xludf.DUMMYFUNCTION("""COMPUTED_VALUE"""),"#N/A")</f>
        <v>#N/A</v>
      </c>
      <c r="AA2607" s="229"/>
      <c r="AB2607" s="229"/>
      <c r="AC2607" s="229"/>
      <c r="AD2607" s="232"/>
      <c r="AE2607" s="233"/>
      <c r="AF2607" s="54"/>
      <c r="AG2607" s="54"/>
      <c r="AH2607" s="54"/>
      <c r="AI2607" s="55" t="str">
        <f t="shared" si="239"/>
        <v/>
      </c>
      <c r="AW2607" s="234"/>
      <c r="BP2607" s="11"/>
      <c r="BQ2607" s="11"/>
      <c r="BV2607" s="158"/>
      <c r="BY2607" s="158"/>
      <c r="CB2607" s="158"/>
    </row>
    <row r="2608" ht="18.0" hidden="1" customHeight="1">
      <c r="A2608" s="222">
        <f>IFERROR(__xludf.DUMMYFUNCTION("""COMPUTED_VALUE"""),2026.0)</f>
        <v>2026</v>
      </c>
      <c r="B2608" s="221">
        <f>IFERROR(__xludf.DUMMYFUNCTION("""COMPUTED_VALUE"""),1.1533547E7)</f>
        <v>11533547</v>
      </c>
      <c r="C2608" s="222" t="str">
        <f>IFERROR(__xludf.DUMMYFUNCTION("""COMPUTED_VALUE"""),"MDN PT3 SKI-FAL JL.TANGKUK BONGKAR 8")</f>
        <v>MDN PT3 SKI-FAL JL.TANGKUK BONGKAR 8</v>
      </c>
      <c r="D2608" s="222" t="str">
        <f>IFERROR(__xludf.DUMMYFUNCTION("""COMPUTED_VALUE"""),"REGIONAL I")</f>
        <v>REGIONAL I</v>
      </c>
      <c r="E2608" s="222" t="str">
        <f>IFERROR(__xludf.DUMMYFUNCTION("""COMPUTED_VALUE"""),"MEDAN")</f>
        <v>MEDAN</v>
      </c>
      <c r="F2608" s="222" t="str">
        <f>IFERROR(__xludf.DUMMYFUNCTION("""COMPUTED_VALUE"""),"SKI")</f>
        <v>SKI</v>
      </c>
      <c r="G2608" s="222" t="str">
        <f>IFERROR(__xludf.DUMMYFUNCTION("""COMPUTED_VALUE"""),"SUMBAGUT")</f>
        <v>SUMBAGUT</v>
      </c>
      <c r="H2608" s="222" t="str">
        <f>IFERROR(__xludf.DUMMYFUNCTION("""COMPUTED_VALUE"""),"MEDAN")</f>
        <v>MEDAN</v>
      </c>
      <c r="I2608" s="222" t="str">
        <f>IFERROR(__xludf.DUMMYFUNCTION("""COMPUTED_VALUE"""),"Batch 3")</f>
        <v>Batch 3</v>
      </c>
      <c r="J2608" s="225">
        <f>IFERROR(__xludf.DUMMYFUNCTION("""COMPUTED_VALUE"""),10.0)</f>
        <v>10</v>
      </c>
      <c r="K2608" s="224">
        <f>IFERROR(__xludf.DUMMYFUNCTION("""COMPUTED_VALUE"""),80.0)</f>
        <v>80</v>
      </c>
      <c r="L2608" s="226">
        <f>IFERROR(__xludf.DUMMYFUNCTION("""COMPUTED_VALUE"""),467522.0)</f>
        <v>467522</v>
      </c>
      <c r="M2608" s="227">
        <f>IFERROR(__xludf.DUMMYFUNCTION("""COMPUTED_VALUE"""),3.7401711E7)</f>
        <v>37401711</v>
      </c>
      <c r="N2608" s="222" t="str">
        <f>IFERROR(__xludf.DUMMYFUNCTION("""COMPUTED_VALUE"""),"PT UPENTEL INTERNASIONAL")</f>
        <v>PT UPENTEL INTERNASIONAL</v>
      </c>
      <c r="O2608" s="222" t="str">
        <f>IFERROR(__xludf.DUMMYFUNCTION("""COMPUTED_VALUE"""),"4. MATDEL")</f>
        <v>4. MATDEL</v>
      </c>
      <c r="P2608" s="222" t="str">
        <f>IFERROR(__xludf.DUMMYFUNCTION("""COMPUTED_VALUE"""),"4.3 Proses Kirim Mateial Kelokasi")</f>
        <v>4.3 Proses Kirim Mateial Kelokasi</v>
      </c>
      <c r="Q2608" s="222" t="str">
        <f>IFERROR(__xludf.DUMMYFUNCTION("""COMPUTED_VALUE"""),"20/04 Proses req material
09/04 menunggu info pasti nilai prelim 
11/04 27/02 menunggu nilai commcase dari lurah 24/02 Aanwidzing OK, lnjut perizinan 18/02 Komitmen 23/02")</f>
        <v>20/04 Proses req material
09/04 menunggu info pasti nilai prelim 
11/04 27/02 menunggu nilai commcase dari lurah 24/02 Aanwidzing OK, lnjut perizinan 18/02 Komitmen 23/02</v>
      </c>
      <c r="R2608" s="228">
        <f>IFERROR(__xludf.DUMMYFUNCTION("""COMPUTED_VALUE"""),46142.0)</f>
        <v>46142</v>
      </c>
      <c r="S2608" s="11"/>
      <c r="T2608" s="73"/>
      <c r="U2608" s="11"/>
      <c r="V2608" s="229" t="str">
        <f>IFERROR(__xludf.DUMMYFUNCTION("""COMPUTED_VALUE"""),"28/Apr/2026")</f>
        <v>28/Apr/2026</v>
      </c>
      <c r="W2608" s="229"/>
      <c r="X2608" s="229" t="str">
        <f>IFERROR(__xludf.DUMMYFUNCTION("""COMPUTED_VALUE"""),"BELUM GOLIVE")</f>
        <v>BELUM GOLIVE</v>
      </c>
      <c r="Y2608" s="229"/>
      <c r="Z2608" s="229" t="str">
        <f>IFERROR(__xludf.DUMMYFUNCTION("""COMPUTED_VALUE"""),"#N/A")</f>
        <v>#N/A</v>
      </c>
      <c r="AA2608" s="229"/>
      <c r="AB2608" s="229"/>
      <c r="AC2608" s="229"/>
      <c r="AD2608" s="232"/>
      <c r="AE2608" s="233"/>
      <c r="AF2608" s="54"/>
      <c r="AG2608" s="54"/>
      <c r="AH2608" s="54"/>
      <c r="AI2608" s="55" t="str">
        <f t="shared" si="239"/>
        <v/>
      </c>
      <c r="AW2608" s="234"/>
      <c r="BP2608" s="11"/>
      <c r="BQ2608" s="11"/>
      <c r="BV2608" s="158"/>
      <c r="BY2608" s="158"/>
      <c r="CB2608" s="158"/>
    </row>
    <row r="2609" ht="18.0" hidden="1" customHeight="1">
      <c r="A2609" s="222">
        <f>IFERROR(__xludf.DUMMYFUNCTION("""COMPUTED_VALUE"""),2026.0)</f>
        <v>2026</v>
      </c>
      <c r="B2609" s="221">
        <f>IFERROR(__xludf.DUMMYFUNCTION("""COMPUTED_VALUE"""),1.1533508E7)</f>
        <v>11533508</v>
      </c>
      <c r="C2609" s="222" t="str">
        <f>IFERROR(__xludf.DUMMYFUNCTION("""COMPUTED_VALUE"""),"MDN PT3 PUB-FJ GG.BILAL_MD25")</f>
        <v>MDN PT3 PUB-FJ GG.BILAL_MD25</v>
      </c>
      <c r="D2609" s="222" t="str">
        <f>IFERROR(__xludf.DUMMYFUNCTION("""COMPUTED_VALUE"""),"REGIONAL I")</f>
        <v>REGIONAL I</v>
      </c>
      <c r="E2609" s="222" t="str">
        <f>IFERROR(__xludf.DUMMYFUNCTION("""COMPUTED_VALUE"""),"MEDAN")</f>
        <v>MEDAN</v>
      </c>
      <c r="F2609" s="222" t="str">
        <f>IFERROR(__xludf.DUMMYFUNCTION("""COMPUTED_VALUE"""),"PUB")</f>
        <v>PUB</v>
      </c>
      <c r="G2609" s="222" t="str">
        <f>IFERROR(__xludf.DUMMYFUNCTION("""COMPUTED_VALUE"""),"SUMBAGUT")</f>
        <v>SUMBAGUT</v>
      </c>
      <c r="H2609" s="222" t="str">
        <f>IFERROR(__xludf.DUMMYFUNCTION("""COMPUTED_VALUE"""),"MEDAN")</f>
        <v>MEDAN</v>
      </c>
      <c r="I2609" s="222" t="str">
        <f>IFERROR(__xludf.DUMMYFUNCTION("""COMPUTED_VALUE"""),"Batch 3")</f>
        <v>Batch 3</v>
      </c>
      <c r="J2609" s="225">
        <f>IFERROR(__xludf.DUMMYFUNCTION("""COMPUTED_VALUE"""),2.0)</f>
        <v>2</v>
      </c>
      <c r="K2609" s="224">
        <f>IFERROR(__xludf.DUMMYFUNCTION("""COMPUTED_VALUE"""),16.0)</f>
        <v>16</v>
      </c>
      <c r="L2609" s="226">
        <f>IFERROR(__xludf.DUMMYFUNCTION("""COMPUTED_VALUE"""),466599.0)</f>
        <v>466599</v>
      </c>
      <c r="M2609" s="227">
        <f>IFERROR(__xludf.DUMMYFUNCTION("""COMPUTED_VALUE"""),7465573.0)</f>
        <v>7465573</v>
      </c>
      <c r="N2609" s="222" t="str">
        <f>IFERROR(__xludf.DUMMYFUNCTION("""COMPUTED_VALUE"""),"PT GLOBAL KARYA WANDA")</f>
        <v>PT GLOBAL KARYA WANDA</v>
      </c>
      <c r="O2609" s="222" t="str">
        <f>IFERROR(__xludf.DUMMYFUNCTION("""COMPUTED_VALUE"""),"7. GOLIVE")</f>
        <v>7. GOLIVE</v>
      </c>
      <c r="P2609" s="222" t="str">
        <f>IFERROR(__xludf.DUMMYFUNCTION("""COMPUTED_VALUE"""),"7.2 Golive Full / OA / DONE OTB")</f>
        <v>7.2 Golive Full / OA / DONE OTB</v>
      </c>
      <c r="Q2609" s="222" t="str">
        <f>IFERROR(__xludf.DUMMYFUNCTION("""COMPUTED_VALUE"""),"03/04 penyusunan ABD 02/04 penarikan 28/03 menunggu req material 03/03 menunggu perizinan commcase 500rb, aanwidzing OK 02/03 done order")</f>
        <v>03/04 penyusunan ABD 02/04 penarikan 28/03 menunggu req material 03/03 menunggu perizinan commcase 500rb, aanwidzing OK 02/03 done order</v>
      </c>
      <c r="R2609" s="228">
        <f>IFERROR(__xludf.DUMMYFUNCTION("""COMPUTED_VALUE"""),46118.0)</f>
        <v>46118</v>
      </c>
      <c r="S2609" s="11"/>
      <c r="T2609" s="73"/>
      <c r="U2609" s="11"/>
      <c r="V2609" s="229"/>
      <c r="W2609" s="229"/>
      <c r="X2609" s="229" t="str">
        <f>IFERROR(__xludf.DUMMYFUNCTION("""COMPUTED_VALUE"""),"GOLIVE")</f>
        <v>GOLIVE</v>
      </c>
      <c r="Y2609" s="229" t="str">
        <f>IFERROR(__xludf.DUMMYFUNCTION("""COMPUTED_VALUE"""),"DONE")</f>
        <v>DONE</v>
      </c>
      <c r="Z2609" s="229" t="str">
        <f>IFERROR(__xludf.DUMMYFUNCTION("""COMPUTED_VALUE"""),"#N/A")</f>
        <v>#N/A</v>
      </c>
      <c r="AA2609" s="229">
        <f>IFERROR(__xludf.DUMMYFUNCTION("""COMPUTED_VALUE"""),2.0)</f>
        <v>2</v>
      </c>
      <c r="AB2609" s="229"/>
      <c r="AC2609" s="229" t="str">
        <f>IFERROR(__xludf.DUMMYFUNCTION("""COMPUTED_VALUE"""),"9242867#9242872")</f>
        <v>9242867#9242872</v>
      </c>
      <c r="AD2609" s="232">
        <f>IFERROR(__xludf.DUMMYFUNCTION("""COMPUTED_VALUE"""),16.0)</f>
        <v>16</v>
      </c>
      <c r="AE2609" s="233">
        <f>IFERROR(__xludf.DUMMYFUNCTION("""COMPUTED_VALUE"""),46118.0)</f>
        <v>46118</v>
      </c>
      <c r="AF2609" s="54"/>
      <c r="AG2609" s="54"/>
      <c r="AH2609" s="54">
        <v>46118.0</v>
      </c>
      <c r="AI2609" s="55">
        <f t="shared" si="239"/>
        <v>0</v>
      </c>
      <c r="AW2609" s="234"/>
      <c r="BP2609" s="11"/>
      <c r="BQ2609" s="11"/>
      <c r="BV2609" s="158"/>
      <c r="BY2609" s="158"/>
      <c r="CB2609" s="158"/>
    </row>
    <row r="2610" ht="18.0" customHeight="1">
      <c r="A2610" s="222">
        <f>IFERROR(__xludf.DUMMYFUNCTION("""COMPUTED_VALUE"""),2026.0)</f>
        <v>2026</v>
      </c>
      <c r="B2610" s="221">
        <f>IFERROR(__xludf.DUMMYFUNCTION("""COMPUTED_VALUE"""),1.2686082E7)</f>
        <v>12686082</v>
      </c>
      <c r="C2610" s="222" t="str">
        <f>IFERROR(__xludf.DUMMYFUNCTION("""COMPUTED_VALUE"""),"RDR JPP PT3 ANDARU LIVING")</f>
        <v>RDR JPP PT3 ANDARU LIVING</v>
      </c>
      <c r="D2610" s="222" t="str">
        <f>IFERROR(__xludf.DUMMYFUNCTION("""COMPUTED_VALUE"""),"REGIONAL I")</f>
        <v>REGIONAL I</v>
      </c>
      <c r="E2610" s="222" t="str">
        <f>IFERROR(__xludf.DUMMYFUNCTION("""COMPUTED_VALUE"""),"RIDAR")</f>
        <v>RIDAR</v>
      </c>
      <c r="F2610" s="222" t="str">
        <f>IFERROR(__xludf.DUMMYFUNCTION("""COMPUTED_VALUE"""),"PBB")</f>
        <v>PBB</v>
      </c>
      <c r="G2610" s="222" t="str">
        <f>IFERROR(__xludf.DUMMYFUNCTION("""COMPUTED_VALUE"""),"SUMBAGTENG")</f>
        <v>SUMBAGTENG</v>
      </c>
      <c r="H2610" s="222" t="str">
        <f>IFERROR(__xludf.DUMMYFUNCTION("""COMPUTED_VALUE"""),"PEKANBARU")</f>
        <v>PEKANBARU</v>
      </c>
      <c r="I2610" s="222" t="str">
        <f>IFERROR(__xludf.DUMMYFUNCTION("""COMPUTED_VALUE"""),"Batch 3")</f>
        <v>Batch 3</v>
      </c>
      <c r="J2610" s="225">
        <f>IFERROR(__xludf.DUMMYFUNCTION("""COMPUTED_VALUE"""),2.0)</f>
        <v>2</v>
      </c>
      <c r="K2610" s="224">
        <f>IFERROR(__xludf.DUMMYFUNCTION("""COMPUTED_VALUE"""),16.0)</f>
        <v>16</v>
      </c>
      <c r="L2610" s="226">
        <f>IFERROR(__xludf.DUMMYFUNCTION("""COMPUTED_VALUE"""),464946.0)</f>
        <v>464946</v>
      </c>
      <c r="M2610" s="227">
        <f>IFERROR(__xludf.DUMMYFUNCTION("""COMPUTED_VALUE"""),7439135.0)</f>
        <v>7439135</v>
      </c>
      <c r="N2610" s="222" t="str">
        <f>IFERROR(__xludf.DUMMYFUNCTION("""COMPUTED_VALUE"""),"PT SAMUDERA PUTRA KENCANA")</f>
        <v>PT SAMUDERA PUTRA KENCANA</v>
      </c>
      <c r="O2610" s="222" t="str">
        <f>IFERROR(__xludf.DUMMYFUNCTION("""COMPUTED_VALUE"""),"3. PERIZINAN")</f>
        <v>3. PERIZINAN</v>
      </c>
      <c r="P2610" s="222" t="str">
        <f>IFERROR(__xludf.DUMMYFUNCTION("""COMPUTED_VALUE"""),"3.10 Izin Developer / Private area")</f>
        <v>3.10 Izin Developer / Private area</v>
      </c>
      <c r="Q2610" s="222" t="str">
        <f>IFERROR(__xludf.DUMMYFUNCTION("""COMPUTED_VALUE"""),"20/04 Perumahan masih belum di bangun 13/04 Menunggu site plan dari pihak develper, perumahan belum ada 20/01 Masih menunggu pembangunan rumah selesai 09/02 On Going Survey 29/01 Proses Anwidzing 26/01 New Order, target selesai survey 30 Jan")</f>
        <v>20/04 Perumahan masih belum di bangun 13/04 Menunggu site plan dari pihak develper, perumahan belum ada 20/01 Masih menunggu pembangunan rumah selesai 09/02 On Going Survey 29/01 Proses Anwidzing 26/01 New Order, target selesai survey 30 Jan</v>
      </c>
      <c r="R2610" s="228"/>
      <c r="S2610" s="11"/>
      <c r="T2610" s="11"/>
      <c r="U2610" s="11"/>
      <c r="V2610" s="229" t="str">
        <f>IFERROR(__xludf.DUMMYFUNCTION("""COMPUTED_VALUE"""),"TEGUH IMAM PERDANA")</f>
        <v>TEGUH IMAM PERDANA</v>
      </c>
      <c r="W2610" s="229" t="str">
        <f>IFERROR(__xludf.DUMMYFUNCTION("""COMPUTED_VALUE"""),"DESLITA RAHMADANI")</f>
        <v>DESLITA RAHMADANI</v>
      </c>
      <c r="X2610" s="229"/>
      <c r="Y2610" s="229"/>
      <c r="Z2610" s="229" t="str">
        <f>IFERROR(__xludf.DUMMYFUNCTION("""COMPUTED_VALUE"""),"#N/A")</f>
        <v>#N/A</v>
      </c>
      <c r="AA2610" s="229"/>
      <c r="AB2610" s="229"/>
      <c r="AC2610" s="229"/>
      <c r="AD2610" s="232"/>
      <c r="AE2610" s="233"/>
      <c r="AF2610" s="54"/>
      <c r="AG2610" s="54"/>
      <c r="AH2610" s="54"/>
      <c r="AI2610" s="55" t="str">
        <f t="shared" si="239"/>
        <v/>
      </c>
      <c r="AW2610" s="234"/>
      <c r="BP2610" s="11"/>
      <c r="BQ2610" s="11"/>
      <c r="BV2610" s="158"/>
      <c r="BY2610" s="158"/>
      <c r="CB2610" s="158"/>
    </row>
    <row r="2611" ht="18.0" customHeight="1">
      <c r="A2611" s="222">
        <f>IFERROR(__xludf.DUMMYFUNCTION("""COMPUTED_VALUE"""),2026.0)</f>
        <v>2026</v>
      </c>
      <c r="B2611" s="221">
        <f>IFERROR(__xludf.DUMMYFUNCTION("""COMPUTED_VALUE"""),1.2604452E7)</f>
        <v>12604452</v>
      </c>
      <c r="C2611" s="222" t="str">
        <f>IFERROR(__xludf.DUMMYFUNCTION("""COMPUTED_VALUE"""),"SMB-PT3-ODC-LBA-FB - PAM_1616")</f>
        <v>SMB-PT3-ODC-LBA-FB - PAM_1616</v>
      </c>
      <c r="D2611" s="222" t="str">
        <f>IFERROR(__xludf.DUMMYFUNCTION("""COMPUTED_VALUE"""),"REGIONAL I")</f>
        <v>REGIONAL I</v>
      </c>
      <c r="E2611" s="222" t="str">
        <f>IFERROR(__xludf.DUMMYFUNCTION("""COMPUTED_VALUE"""),"SUMBAR")</f>
        <v>SUMBAR</v>
      </c>
      <c r="F2611" s="222" t="str">
        <f>IFERROR(__xludf.DUMMYFUNCTION("""COMPUTED_VALUE"""),"LBA")</f>
        <v>LBA</v>
      </c>
      <c r="G2611" s="222" t="str">
        <f>IFERROR(__xludf.DUMMYFUNCTION("""COMPUTED_VALUE"""),"SUMBAGTENG")</f>
        <v>SUMBAGTENG</v>
      </c>
      <c r="H2611" s="222" t="str">
        <f>IFERROR(__xludf.DUMMYFUNCTION("""COMPUTED_VALUE"""),"BUKIT TINGGI")</f>
        <v>BUKIT TINGGI</v>
      </c>
      <c r="I2611" s="222" t="str">
        <f>IFERROR(__xludf.DUMMYFUNCTION("""COMPUTED_VALUE"""),"Batch 3")</f>
        <v>Batch 3</v>
      </c>
      <c r="J2611" s="225">
        <f>IFERROR(__xludf.DUMMYFUNCTION("""COMPUTED_VALUE"""),3.0)</f>
        <v>3</v>
      </c>
      <c r="K2611" s="224">
        <f>IFERROR(__xludf.DUMMYFUNCTION("""COMPUTED_VALUE"""),24.0)</f>
        <v>24</v>
      </c>
      <c r="L2611" s="226">
        <f>IFERROR(__xludf.DUMMYFUNCTION("""COMPUTED_VALUE"""),463145.0)</f>
        <v>463145</v>
      </c>
      <c r="M2611" s="227">
        <f>IFERROR(__xludf.DUMMYFUNCTION("""COMPUTED_VALUE"""),1.1115475E7)</f>
        <v>11115475</v>
      </c>
      <c r="N2611" s="222" t="str">
        <f>IFERROR(__xludf.DUMMYFUNCTION("""COMPUTED_VALUE"""),"PT PUTRI JAYA AKSES")</f>
        <v>PT PUTRI JAYA AKSES</v>
      </c>
      <c r="O2611" s="222" t="str">
        <f>IFERROR(__xludf.DUMMYFUNCTION("""COMPUTED_VALUE"""),"0. DROP")</f>
        <v>0. DROP</v>
      </c>
      <c r="P2611" s="222" t="str">
        <f>IFERROR(__xludf.DUMMYFUNCTION("""COMPUTED_VALUE"""),"0.3 Feeder Full")</f>
        <v>0.3 Feeder Full</v>
      </c>
      <c r="Q2611" s="222" t="str">
        <f>IFERROR(__xludf.DUMMYFUNCTION("""COMPUTED_VALUE"""),"(02/02) kendala feeder LBA-FB FULL, UP ODC 28 To 144  (29/01) Done aanwijziing  , proses eval")</f>
        <v>(02/02) kendala feeder LBA-FB FULL, UP ODC 28 To 144  (29/01) Done aanwijziing  , proses eval</v>
      </c>
      <c r="R2611" s="228"/>
      <c r="S2611" s="11"/>
      <c r="T2611" s="11"/>
      <c r="U2611" s="11"/>
      <c r="V2611" s="229" t="str">
        <f>IFERROR(__xludf.DUMMYFUNCTION("""COMPUTED_VALUE"""),"JANUAR RIZAL")</f>
        <v>JANUAR RIZAL</v>
      </c>
      <c r="W2611" s="229" t="str">
        <f>IFERROR(__xludf.DUMMYFUNCTION("""COMPUTED_VALUE"""),"MELKO NARWADI")</f>
        <v>MELKO NARWADI</v>
      </c>
      <c r="X2611" s="229"/>
      <c r="Y2611" s="229"/>
      <c r="Z2611" s="229" t="str">
        <f>IFERROR(__xludf.DUMMYFUNCTION("""COMPUTED_VALUE"""),"#N/A")</f>
        <v>#N/A</v>
      </c>
      <c r="AA2611" s="229"/>
      <c r="AB2611" s="229"/>
      <c r="AC2611" s="229"/>
      <c r="AD2611" s="232"/>
      <c r="AE2611" s="233"/>
      <c r="AF2611" s="54" t="str">
        <f>IFERROR(__xludf.DUMMYFUNCTION("""COMPUTED_VALUE"""),"Draft BA DROP")</f>
        <v>Draft BA DROP</v>
      </c>
      <c r="AG2611" s="54"/>
      <c r="AH2611" s="54"/>
      <c r="AI2611" s="55" t="str">
        <f t="shared" si="239"/>
        <v/>
      </c>
      <c r="AW2611" s="234"/>
      <c r="BP2611" s="11"/>
      <c r="BQ2611" s="11"/>
      <c r="BV2611" s="158"/>
      <c r="BY2611" s="158"/>
      <c r="CB2611" s="158"/>
    </row>
    <row r="2612" ht="18.0" customHeight="1">
      <c r="A2612" s="222">
        <f>IFERROR(__xludf.DUMMYFUNCTION("""COMPUTED_VALUE"""),2026.0)</f>
        <v>2026</v>
      </c>
      <c r="B2612" s="221">
        <f>IFERROR(__xludf.DUMMYFUNCTION("""COMPUTED_VALUE"""),1.2727744E7)</f>
        <v>12727744</v>
      </c>
      <c r="C2612" s="222" t="str">
        <f>IFERROR(__xludf.DUMMYFUNCTION("""COMPUTED_VALUE"""),"SMB-PT3-ODC-LBB-FB-AGAM_9791")</f>
        <v>SMB-PT3-ODC-LBB-FB-AGAM_9791</v>
      </c>
      <c r="D2612" s="222" t="str">
        <f>IFERROR(__xludf.DUMMYFUNCTION("""COMPUTED_VALUE"""),"REGIONAL I")</f>
        <v>REGIONAL I</v>
      </c>
      <c r="E2612" s="222" t="str">
        <f>IFERROR(__xludf.DUMMYFUNCTION("""COMPUTED_VALUE"""),"SUMBAR")</f>
        <v>SUMBAR</v>
      </c>
      <c r="F2612" s="222" t="str">
        <f>IFERROR(__xludf.DUMMYFUNCTION("""COMPUTED_VALUE"""),"LBB")</f>
        <v>LBB</v>
      </c>
      <c r="G2612" s="222" t="str">
        <f>IFERROR(__xludf.DUMMYFUNCTION("""COMPUTED_VALUE"""),"SUMBAGTENG")</f>
        <v>SUMBAGTENG</v>
      </c>
      <c r="H2612" s="222" t="str">
        <f>IFERROR(__xludf.DUMMYFUNCTION("""COMPUTED_VALUE"""),"BUKIT TINGGI")</f>
        <v>BUKIT TINGGI</v>
      </c>
      <c r="I2612" s="222" t="str">
        <f>IFERROR(__xludf.DUMMYFUNCTION("""COMPUTED_VALUE"""),"Batch 3")</f>
        <v>Batch 3</v>
      </c>
      <c r="J2612" s="225">
        <f>IFERROR(__xludf.DUMMYFUNCTION("""COMPUTED_VALUE"""),2.0)</f>
        <v>2</v>
      </c>
      <c r="K2612" s="224">
        <f>IFERROR(__xludf.DUMMYFUNCTION("""COMPUTED_VALUE"""),16.0)</f>
        <v>16</v>
      </c>
      <c r="L2612" s="226">
        <f>IFERROR(__xludf.DUMMYFUNCTION("""COMPUTED_VALUE"""),461582.0)</f>
        <v>461582</v>
      </c>
      <c r="M2612" s="227">
        <f>IFERROR(__xludf.DUMMYFUNCTION("""COMPUTED_VALUE"""),7385302.0)</f>
        <v>7385302</v>
      </c>
      <c r="N2612" s="222" t="str">
        <f>IFERROR(__xludf.DUMMYFUNCTION("""COMPUTED_VALUE"""),"PT TIGA AKSES MANDIRI")</f>
        <v>PT TIGA AKSES MANDIRI</v>
      </c>
      <c r="O2612" s="222" t="str">
        <f>IFERROR(__xludf.DUMMYFUNCTION("""COMPUTED_VALUE"""),"0. DROP")</f>
        <v>0. DROP</v>
      </c>
      <c r="P2612" s="222" t="str">
        <f>IFERROR(__xludf.DUMMYFUNCTION("""COMPUTED_VALUE"""),"0.5 DROP TSEL - Acc ED TIF")</f>
        <v>0.5 DROP TSEL - Acc ED TIF</v>
      </c>
      <c r="Q2612" s="222" t="str">
        <f>IFERROR(__xludf.DUMMYFUNCTION("""COMPUTED_VALUE"""),"(05/03) proses aanwijziing plan selesai 07/03  (02/03) proses aanwijziing (26/01) DROP, permintaan tsel (tidak potensial) ")</f>
        <v>(05/03) proses aanwijziing plan selesai 07/03  (02/03) proses aanwijziing (26/01) DROP, permintaan tsel (tidak potensial) </v>
      </c>
      <c r="R2612" s="228"/>
      <c r="S2612" s="11"/>
      <c r="T2612" s="11"/>
      <c r="U2612" s="11"/>
      <c r="V2612" s="229" t="str">
        <f>IFERROR(__xludf.DUMMYFUNCTION("""COMPUTED_VALUE"""),"JANUAR RIZAL")</f>
        <v>JANUAR RIZAL</v>
      </c>
      <c r="W2612" s="229" t="str">
        <f>IFERROR(__xludf.DUMMYFUNCTION("""COMPUTED_VALUE"""),"MELKO NARWADI")</f>
        <v>MELKO NARWADI</v>
      </c>
      <c r="X2612" s="229"/>
      <c r="Y2612" s="229"/>
      <c r="Z2612" s="229" t="str">
        <f>IFERROR(__xludf.DUMMYFUNCTION("""COMPUTED_VALUE"""),"#N/A")</f>
        <v>#N/A</v>
      </c>
      <c r="AA2612" s="229"/>
      <c r="AB2612" s="229"/>
      <c r="AC2612" s="229"/>
      <c r="AD2612" s="232"/>
      <c r="AE2612" s="233"/>
      <c r="AF2612" s="54"/>
      <c r="AG2612" s="54"/>
      <c r="AH2612" s="54"/>
      <c r="AI2612" s="55" t="str">
        <f t="shared" si="239"/>
        <v/>
      </c>
      <c r="AW2612" s="234"/>
      <c r="BP2612" s="11"/>
      <c r="BQ2612" s="11"/>
      <c r="BV2612" s="158"/>
      <c r="BY2612" s="158"/>
      <c r="CB2612" s="158"/>
    </row>
    <row r="2613" ht="18.0" hidden="1" customHeight="1">
      <c r="A2613" s="222">
        <f>IFERROR(__xludf.DUMMYFUNCTION("""COMPUTED_VALUE"""),2026.0)</f>
        <v>2026</v>
      </c>
      <c r="B2613" s="221">
        <f>IFERROR(__xludf.DUMMYFUNCTION("""COMPUTED_VALUE"""),1.1536114E7)</f>
        <v>11536114</v>
      </c>
      <c r="C2613" s="222" t="str">
        <f>IFERROR(__xludf.DUMMYFUNCTION("""COMPUTED_VALUE"""),"MDN PT3 TTG-FGE JL.JAYA TANI")</f>
        <v>MDN PT3 TTG-FGE JL.JAYA TANI</v>
      </c>
      <c r="D2613" s="222" t="str">
        <f>IFERROR(__xludf.DUMMYFUNCTION("""COMPUTED_VALUE"""),"REGIONAL I")</f>
        <v>REGIONAL I</v>
      </c>
      <c r="E2613" s="222" t="str">
        <f>IFERROR(__xludf.DUMMYFUNCTION("""COMPUTED_VALUE"""),"MEDAN")</f>
        <v>MEDAN</v>
      </c>
      <c r="F2613" s="222" t="str">
        <f>IFERROR(__xludf.DUMMYFUNCTION("""COMPUTED_VALUE"""),"TTG")</f>
        <v>TTG</v>
      </c>
      <c r="G2613" s="222" t="str">
        <f>IFERROR(__xludf.DUMMYFUNCTION("""COMPUTED_VALUE"""),"SUMBAGUT")</f>
        <v>SUMBAGUT</v>
      </c>
      <c r="H2613" s="222" t="str">
        <f>IFERROR(__xludf.DUMMYFUNCTION("""COMPUTED_VALUE"""),"MEDAN")</f>
        <v>MEDAN</v>
      </c>
      <c r="I2613" s="222" t="str">
        <f>IFERROR(__xludf.DUMMYFUNCTION("""COMPUTED_VALUE"""),"Batch 3")</f>
        <v>Batch 3</v>
      </c>
      <c r="J2613" s="225">
        <f>IFERROR(__xludf.DUMMYFUNCTION("""COMPUTED_VALUE"""),16.0)</f>
        <v>16</v>
      </c>
      <c r="K2613" s="224">
        <f>IFERROR(__xludf.DUMMYFUNCTION("""COMPUTED_VALUE"""),128.0)</f>
        <v>128</v>
      </c>
      <c r="L2613" s="226">
        <f>IFERROR(__xludf.DUMMYFUNCTION("""COMPUTED_VALUE"""),452774.0)</f>
        <v>452774</v>
      </c>
      <c r="M2613" s="227">
        <f>IFERROR(__xludf.DUMMYFUNCTION("""COMPUTED_VALUE"""),5.7954993E7)</f>
        <v>57954993</v>
      </c>
      <c r="N2613" s="222" t="str">
        <f>IFERROR(__xludf.DUMMYFUNCTION("""COMPUTED_VALUE"""),"PT FAJAR MITRA KRIDA ABADI")</f>
        <v>PT FAJAR MITRA KRIDA ABADI</v>
      </c>
      <c r="O2613" s="222" t="str">
        <f>IFERROR(__xludf.DUMMYFUNCTION("""COMPUTED_VALUE"""),"0. DROP")</f>
        <v>0. DROP</v>
      </c>
      <c r="P2613" s="222" t="str">
        <f>IFERROR(__xludf.DUMMYFUNCTION("""COMPUTED_VALUE"""),"0.3 Feeder Full")</f>
        <v>0.3 Feeder Full</v>
      </c>
      <c r="Q2613" s="222" t="str">
        <f>IFERROR(__xludf.DUMMYFUNCTION("""COMPUTED_VALUE"""),"08/03 Feeder Penuh 02/02 Feeder Tidak Tembus")</f>
        <v>08/03 Feeder Penuh 02/02 Feeder Tidak Tembus</v>
      </c>
      <c r="R2613" s="228"/>
      <c r="S2613" s="11"/>
      <c r="T2613" s="11"/>
      <c r="U2613" s="11"/>
      <c r="V2613" s="229"/>
      <c r="W2613" s="229"/>
      <c r="X2613" s="229" t="str">
        <f>IFERROR(__xludf.DUMMYFUNCTION("""COMPUTED_VALUE"""),"BELUM GOLIVE")</f>
        <v>BELUM GOLIVE</v>
      </c>
      <c r="Y2613" s="229"/>
      <c r="Z2613" s="229" t="str">
        <f>IFERROR(__xludf.DUMMYFUNCTION("""COMPUTED_VALUE"""),"#N/A")</f>
        <v>#N/A</v>
      </c>
      <c r="AA2613" s="229"/>
      <c r="AB2613" s="229"/>
      <c r="AC2613" s="229"/>
      <c r="AD2613" s="232"/>
      <c r="AE2613" s="233"/>
      <c r="AF2613" s="54"/>
      <c r="AG2613" s="54"/>
      <c r="AH2613" s="54"/>
      <c r="AI2613" s="55" t="str">
        <f t="shared" si="239"/>
        <v/>
      </c>
      <c r="AW2613" s="234"/>
      <c r="BP2613" s="11"/>
      <c r="BQ2613" s="11"/>
      <c r="BV2613" s="158"/>
      <c r="BY2613" s="158"/>
      <c r="CB2613" s="158"/>
    </row>
    <row r="2614" ht="18.0" hidden="1" customHeight="1">
      <c r="A2614" s="222">
        <f>IFERROR(__xludf.DUMMYFUNCTION("""COMPUTED_VALUE"""),2026.0)</f>
        <v>2026</v>
      </c>
      <c r="B2614" s="221">
        <f>IFERROR(__xludf.DUMMYFUNCTION("""COMPUTED_VALUE"""),1.2780558E7)</f>
        <v>12780558</v>
      </c>
      <c r="C2614" s="222" t="str">
        <f>IFERROR(__xludf.DUMMYFUNCTION("""COMPUTED_VALUE"""),"LPG PT3 JPP LAMPUNG TENGAH_56386 MET")</f>
        <v>LPG PT3 JPP LAMPUNG TENGAH_56386 MET</v>
      </c>
      <c r="D2614" s="222" t="str">
        <f>IFERROR(__xludf.DUMMYFUNCTION("""COMPUTED_VALUE"""),"REGIONAL I")</f>
        <v>REGIONAL I</v>
      </c>
      <c r="E2614" s="222" t="str">
        <f>IFERROR(__xludf.DUMMYFUNCTION("""COMPUTED_VALUE"""),"LAMPUNG")</f>
        <v>LAMPUNG</v>
      </c>
      <c r="F2614" s="222" t="str">
        <f>IFERROR(__xludf.DUMMYFUNCTION("""COMPUTED_VALUE"""),"MET")</f>
        <v>MET</v>
      </c>
      <c r="G2614" s="222" t="str">
        <f>IFERROR(__xludf.DUMMYFUNCTION("""COMPUTED_VALUE"""),"SUMBAGSEL")</f>
        <v>SUMBAGSEL</v>
      </c>
      <c r="H2614" s="222" t="str">
        <f>IFERROR(__xludf.DUMMYFUNCTION("""COMPUTED_VALUE"""),"LAMPUNG")</f>
        <v>LAMPUNG</v>
      </c>
      <c r="I2614" s="222" t="str">
        <f>IFERROR(__xludf.DUMMYFUNCTION("""COMPUTED_VALUE"""),"Batch 3")</f>
        <v>Batch 3</v>
      </c>
      <c r="J2614" s="225">
        <f>IFERROR(__xludf.DUMMYFUNCTION("""COMPUTED_VALUE"""),6.0)</f>
        <v>6</v>
      </c>
      <c r="K2614" s="224">
        <f>IFERROR(__xludf.DUMMYFUNCTION("""COMPUTED_VALUE"""),48.0)</f>
        <v>48</v>
      </c>
      <c r="L2614" s="226">
        <f>IFERROR(__xludf.DUMMYFUNCTION("""COMPUTED_VALUE"""),452508.0)</f>
        <v>452508</v>
      </c>
      <c r="M2614" s="227">
        <f>IFERROR(__xludf.DUMMYFUNCTION("""COMPUTED_VALUE"""),2.1720356E7)</f>
        <v>21720356</v>
      </c>
      <c r="N2614" s="222" t="str">
        <f>IFERROR(__xludf.DUMMYFUNCTION("""COMPUTED_VALUE"""),"PT GARINDO TECHNO MANDIRI")</f>
        <v>PT GARINDO TECHNO MANDIRI</v>
      </c>
      <c r="O2614" s="222" t="str">
        <f>IFERROR(__xludf.DUMMYFUNCTION("""COMPUTED_VALUE"""),"7. GOLIVE")</f>
        <v>7. GOLIVE</v>
      </c>
      <c r="P2614" s="222" t="str">
        <f>IFERROR(__xludf.DUMMYFUNCTION("""COMPUTED_VALUE"""),"7.2 Golive Full / OA / DONE OTB")</f>
        <v>7.2 Golive Full / OA / DONE OTB</v>
      </c>
      <c r="Q2614" s="222" t="str">
        <f>IFERROR(__xludf.DUMMYFUNCTION("""COMPUTED_VALUE"""),"4/3 plan golive tgl 7/3 
27/2 PROGSER TARIK KABEL 26/2, PLAN GOLIVE 28/2
22/2 PROGSER TARIK KABEL 26/2, PLAN GOLIVE 28/2
25/2 PROGSER TARIK KABEL 26/2, PLAN GOLIVE 27/2
24/2 proses pengajuan PID dan PR/PO 
11/2 plan matdel ,15/2 estimasi angkut material d"&amp;"ari wh - 16 FEB EMPLOY (9/2)PLAN MATDEL 10 FEB 6/2 plan matdel ,16/2 matdel ,plan fi 20/2
4/2 progres prizinan dan eletrical, stok material kosong ,estimasi tiba 07/2 
30/1 plan anwizing  
23/1 plan anwizing tanggal 26/1")</f>
        <v>4/3 plan golive tgl 7/3 
27/2 PROGSER TARIK KABEL 26/2, PLAN GOLIVE 28/2
22/2 PROGSER TARIK KABEL 26/2, PLAN GOLIVE 28/2
25/2 PROGSER TARIK KABEL 26/2, PLAN GOLIVE 27/2
24/2 proses pengajuan PID dan PR/PO 
11/2 plan matdel ,15/2 estimasi angkut material dari wh - 16 FEB EMPLOY (9/2)PLAN MATDEL 10 FEB 6/2 plan matdel ,16/2 matdel ,plan fi 20/2
4/2 progres prizinan dan eletrical, stok material kosong ,estimasi tiba 07/2 
30/1 plan anwizing  
23/1 plan anwizing tanggal 26/1</v>
      </c>
      <c r="R2614" s="228">
        <f>IFERROR(__xludf.DUMMYFUNCTION("""COMPUTED_VALUE"""),46082.0)</f>
        <v>46082</v>
      </c>
      <c r="S2614" s="11" t="str">
        <f>IFERROR(__xludf.DUMMYFUNCTION("""COMPUTED_VALUE"""),"MAR")</f>
        <v>MAR</v>
      </c>
      <c r="T2614" s="11"/>
      <c r="U2614" s="11" t="str">
        <f>IFERROR(__xludf.DUMMYFUNCTION("""COMPUTED_VALUE"""),"TIF-3550/2026")</f>
        <v>TIF-3550/2026</v>
      </c>
      <c r="V2614" s="229"/>
      <c r="W2614" s="229"/>
      <c r="X2614" s="229" t="str">
        <f>IFERROR(__xludf.DUMMYFUNCTION("""COMPUTED_VALUE"""),"GOLIVE")</f>
        <v>GOLIVE</v>
      </c>
      <c r="Y2614" s="229" t="str">
        <f>IFERROR(__xludf.DUMMYFUNCTION("""COMPUTED_VALUE"""),"DONE")</f>
        <v>DONE</v>
      </c>
      <c r="Z2614" s="229" t="str">
        <f>IFERROR(__xludf.DUMMYFUNCTION("""COMPUTED_VALUE"""),"#N/A")</f>
        <v>#N/A</v>
      </c>
      <c r="AA2614" s="229">
        <f>IFERROR(__xludf.DUMMYFUNCTION("""COMPUTED_VALUE"""),6.0)</f>
        <v>6</v>
      </c>
      <c r="AB2614" s="229"/>
      <c r="AC2614" s="229" t="str">
        <f>IFERROR(__xludf.DUMMYFUNCTION("""COMPUTED_VALUE"""),"9085014#9085020")</f>
        <v>9085014#9085020</v>
      </c>
      <c r="AD2614" s="232">
        <f>IFERROR(__xludf.DUMMYFUNCTION("""COMPUTED_VALUE"""),48.0)</f>
        <v>48</v>
      </c>
      <c r="AE2614" s="233">
        <f>IFERROR(__xludf.DUMMYFUNCTION("""COMPUTED_VALUE"""),46082.0)</f>
        <v>46082</v>
      </c>
      <c r="AF2614" s="54"/>
      <c r="AG2614" s="54"/>
      <c r="AH2614" s="54">
        <v>46082.0</v>
      </c>
      <c r="AI2614" s="55">
        <f t="shared" si="239"/>
        <v>0</v>
      </c>
      <c r="AW2614" s="234"/>
      <c r="BP2614" s="11"/>
      <c r="BQ2614" s="11"/>
      <c r="BV2614" s="158"/>
      <c r="BY2614" s="158"/>
      <c r="CB2614" s="158"/>
    </row>
    <row r="2615" ht="18.0" hidden="1" customHeight="1">
      <c r="A2615" s="222">
        <f>IFERROR(__xludf.DUMMYFUNCTION("""COMPUTED_VALUE"""),2026.0)</f>
        <v>2026</v>
      </c>
      <c r="B2615" s="221">
        <f>IFERROR(__xludf.DUMMYFUNCTION("""COMPUTED_VALUE"""),1.1533252E7)</f>
        <v>11533252</v>
      </c>
      <c r="C2615" s="222" t="str">
        <f>IFERROR(__xludf.DUMMYFUNCTION("""COMPUTED_VALUE"""),"MDN PT3 DLT-FV JL.RORINATA RESIDENCE")</f>
        <v>MDN PT3 DLT-FV JL.RORINATA RESIDENCE</v>
      </c>
      <c r="D2615" s="222" t="str">
        <f>IFERROR(__xludf.DUMMYFUNCTION("""COMPUTED_VALUE"""),"REGIONAL I")</f>
        <v>REGIONAL I</v>
      </c>
      <c r="E2615" s="222" t="str">
        <f>IFERROR(__xludf.DUMMYFUNCTION("""COMPUTED_VALUE"""),"MEDAN")</f>
        <v>MEDAN</v>
      </c>
      <c r="F2615" s="222" t="str">
        <f>IFERROR(__xludf.DUMMYFUNCTION("""COMPUTED_VALUE"""),"DLT")</f>
        <v>DLT</v>
      </c>
      <c r="G2615" s="222" t="str">
        <f>IFERROR(__xludf.DUMMYFUNCTION("""COMPUTED_VALUE"""),"SUMBAGUT")</f>
        <v>SUMBAGUT</v>
      </c>
      <c r="H2615" s="222" t="str">
        <f>IFERROR(__xludf.DUMMYFUNCTION("""COMPUTED_VALUE"""),"MEDAN")</f>
        <v>MEDAN</v>
      </c>
      <c r="I2615" s="222" t="str">
        <f>IFERROR(__xludf.DUMMYFUNCTION("""COMPUTED_VALUE"""),"Batch 3")</f>
        <v>Batch 3</v>
      </c>
      <c r="J2615" s="225">
        <f>IFERROR(__xludf.DUMMYFUNCTION("""COMPUTED_VALUE"""),5.0)</f>
        <v>5</v>
      </c>
      <c r="K2615" s="224">
        <f>IFERROR(__xludf.DUMMYFUNCTION("""COMPUTED_VALUE"""),40.0)</f>
        <v>40</v>
      </c>
      <c r="L2615" s="226">
        <f>IFERROR(__xludf.DUMMYFUNCTION("""COMPUTED_VALUE"""),446921.0)</f>
        <v>446921</v>
      </c>
      <c r="M2615" s="227">
        <f>IFERROR(__xludf.DUMMYFUNCTION("""COMPUTED_VALUE"""),1.7876825E7)</f>
        <v>17876825</v>
      </c>
      <c r="N2615" s="222" t="str">
        <f>IFERROR(__xludf.DUMMYFUNCTION("""COMPUTED_VALUE"""),"PT UPENTEL INTERNASIONAL")</f>
        <v>PT UPENTEL INTERNASIONAL</v>
      </c>
      <c r="O2615" s="222" t="str">
        <f>IFERROR(__xludf.DUMMYFUNCTION("""COMPUTED_VALUE"""),"0. DROP")</f>
        <v>0. DROP</v>
      </c>
      <c r="P2615" s="222" t="str">
        <f>IFERROR(__xludf.DUMMYFUNCTION("""COMPUTED_VALUE"""),"0.3 Feeder Full")</f>
        <v>0.3 Feeder Full</v>
      </c>
      <c r="Q2615" s="222" t="str">
        <f>IFERROR(__xludf.DUMMYFUNCTION("""COMPUTED_VALUE"""),"07/02 Feeder Habis")</f>
        <v>07/02 Feeder Habis</v>
      </c>
      <c r="R2615" s="228"/>
      <c r="S2615" s="11"/>
      <c r="T2615" s="11"/>
      <c r="U2615" s="11"/>
      <c r="V2615" s="229"/>
      <c r="W2615" s="229"/>
      <c r="X2615" s="229" t="str">
        <f>IFERROR(__xludf.DUMMYFUNCTION("""COMPUTED_VALUE"""),"BELUM GOLIVE")</f>
        <v>BELUM GOLIVE</v>
      </c>
      <c r="Y2615" s="229"/>
      <c r="Z2615" s="229" t="str">
        <f>IFERROR(__xludf.DUMMYFUNCTION("""COMPUTED_VALUE"""),"#N/A")</f>
        <v>#N/A</v>
      </c>
      <c r="AA2615" s="229"/>
      <c r="AB2615" s="229"/>
      <c r="AC2615" s="229"/>
      <c r="AD2615" s="232"/>
      <c r="AE2615" s="233"/>
      <c r="AF2615" s="54"/>
      <c r="AG2615" s="54"/>
      <c r="AH2615" s="54"/>
      <c r="AI2615" s="55" t="str">
        <f t="shared" si="239"/>
        <v/>
      </c>
      <c r="AW2615" s="234"/>
      <c r="BP2615" s="11"/>
      <c r="BQ2615" s="11"/>
      <c r="BV2615" s="158"/>
      <c r="BY2615" s="158"/>
      <c r="CB2615" s="158"/>
    </row>
    <row r="2616" ht="18.0" hidden="1" customHeight="1">
      <c r="A2616" s="222">
        <f>IFERROR(__xludf.DUMMYFUNCTION("""COMPUTED_VALUE"""),2026.0)</f>
        <v>2026</v>
      </c>
      <c r="B2616" s="221">
        <f>IFERROR(__xludf.DUMMYFUNCTION("""COMPUTED_VALUE"""),1.1533518E7)</f>
        <v>11533518</v>
      </c>
      <c r="C2616" s="222" t="str">
        <f>IFERROR(__xludf.DUMMYFUNCTION("""COMPUTED_VALUE"""),"MDN PT3 SKI-FAL JL.TANGKUK BONGKAR_MD25")</f>
        <v>MDN PT3 SKI-FAL JL.TANGKUK BONGKAR_MD25</v>
      </c>
      <c r="D2616" s="222" t="str">
        <f>IFERROR(__xludf.DUMMYFUNCTION("""COMPUTED_VALUE"""),"REGIONAL I")</f>
        <v>REGIONAL I</v>
      </c>
      <c r="E2616" s="222" t="str">
        <f>IFERROR(__xludf.DUMMYFUNCTION("""COMPUTED_VALUE"""),"MEDAN")</f>
        <v>MEDAN</v>
      </c>
      <c r="F2616" s="222" t="str">
        <f>IFERROR(__xludf.DUMMYFUNCTION("""COMPUTED_VALUE"""),"SKI")</f>
        <v>SKI</v>
      </c>
      <c r="G2616" s="222" t="str">
        <f>IFERROR(__xludf.DUMMYFUNCTION("""COMPUTED_VALUE"""),"SUMBAGUT")</f>
        <v>SUMBAGUT</v>
      </c>
      <c r="H2616" s="222" t="str">
        <f>IFERROR(__xludf.DUMMYFUNCTION("""COMPUTED_VALUE"""),"MEDAN")</f>
        <v>MEDAN</v>
      </c>
      <c r="I2616" s="222" t="str">
        <f>IFERROR(__xludf.DUMMYFUNCTION("""COMPUTED_VALUE"""),"Batch 3")</f>
        <v>Batch 3</v>
      </c>
      <c r="J2616" s="225">
        <f>IFERROR(__xludf.DUMMYFUNCTION("""COMPUTED_VALUE"""),3.0)</f>
        <v>3</v>
      </c>
      <c r="K2616" s="224">
        <f>IFERROR(__xludf.DUMMYFUNCTION("""COMPUTED_VALUE"""),24.0)</f>
        <v>24</v>
      </c>
      <c r="L2616" s="226">
        <f>IFERROR(__xludf.DUMMYFUNCTION("""COMPUTED_VALUE"""),445510.0)</f>
        <v>445510</v>
      </c>
      <c r="M2616" s="227">
        <f>IFERROR(__xludf.DUMMYFUNCTION("""COMPUTED_VALUE"""),1.0692225E7)</f>
        <v>10692225</v>
      </c>
      <c r="N2616" s="222" t="str">
        <f>IFERROR(__xludf.DUMMYFUNCTION("""COMPUTED_VALUE"""),"PT UPENTEL INTERNASIONAL")</f>
        <v>PT UPENTEL INTERNASIONAL</v>
      </c>
      <c r="O2616" s="222" t="str">
        <f>IFERROR(__xludf.DUMMYFUNCTION("""COMPUTED_VALUE"""),"2. DONE AANWIJZING")</f>
        <v>2. DONE AANWIJZING</v>
      </c>
      <c r="P2616" s="222" t="str">
        <f>IFERROR(__xludf.DUMMYFUNCTION("""COMPUTED_VALUE"""),"2.11 Kendala - Feeder Full / Dependensi LOP lain")</f>
        <v>2.11 Kendala - Feeder Full / Dependensi LOP lain</v>
      </c>
      <c r="Q2616" s="222" t="str">
        <f>IFERROR(__xludf.DUMMYFUNCTION("""COMPUTED_VALUE"""),"21/04 proses anwjing ulang
11/03 depedensi DS LoP MDN PT3 P1I1 SKI-FAL JL.MERPATI 1 18/02 Komitmen 23/02")</f>
        <v>21/04 proses anwjing ulang
11/03 depedensi DS LoP MDN PT3 P1I1 SKI-FAL JL.MERPATI 1 18/02 Komitmen 23/02</v>
      </c>
      <c r="R2616" s="228"/>
      <c r="S2616" s="11"/>
      <c r="T2616" s="11"/>
      <c r="U2616" s="11"/>
      <c r="V2616" s="229"/>
      <c r="W2616" s="229"/>
      <c r="X2616" s="229" t="str">
        <f>IFERROR(__xludf.DUMMYFUNCTION("""COMPUTED_VALUE"""),"BELUM GOLIVE")</f>
        <v>BELUM GOLIVE</v>
      </c>
      <c r="Y2616" s="229"/>
      <c r="Z2616" s="229" t="str">
        <f>IFERROR(__xludf.DUMMYFUNCTION("""COMPUTED_VALUE"""),"#N/A")</f>
        <v>#N/A</v>
      </c>
      <c r="AA2616" s="229"/>
      <c r="AB2616" s="229"/>
      <c r="AC2616" s="229"/>
      <c r="AD2616" s="232"/>
      <c r="AE2616" s="233"/>
      <c r="AF2616" s="54"/>
      <c r="AG2616" s="54"/>
      <c r="AH2616" s="54"/>
      <c r="AI2616" s="55" t="str">
        <f t="shared" si="239"/>
        <v/>
      </c>
      <c r="AW2616" s="234"/>
      <c r="BP2616" s="11"/>
      <c r="BQ2616" s="11"/>
      <c r="BV2616" s="158"/>
      <c r="BY2616" s="158"/>
      <c r="CB2616" s="158"/>
    </row>
    <row r="2617" ht="18.0" hidden="1" customHeight="1">
      <c r="A2617" s="222">
        <f>IFERROR(__xludf.DUMMYFUNCTION("""COMPUTED_VALUE"""),2026.0)</f>
        <v>2026</v>
      </c>
      <c r="B2617" s="221">
        <f>IFERROR(__xludf.DUMMYFUNCTION("""COMPUTED_VALUE"""),1.2787335E7)</f>
        <v>12787335</v>
      </c>
      <c r="C2617" s="222" t="str">
        <f>IFERROR(__xludf.DUMMYFUNCTION("""COMPUTED_VALUE"""),"LPG PT3 JPP LAMPUNG TENGAH_151941 MET")</f>
        <v>LPG PT3 JPP LAMPUNG TENGAH_151941 MET</v>
      </c>
      <c r="D2617" s="222" t="str">
        <f>IFERROR(__xludf.DUMMYFUNCTION("""COMPUTED_VALUE"""),"REGIONAL I")</f>
        <v>REGIONAL I</v>
      </c>
      <c r="E2617" s="222" t="str">
        <f>IFERROR(__xludf.DUMMYFUNCTION("""COMPUTED_VALUE"""),"LAMPUNG")</f>
        <v>LAMPUNG</v>
      </c>
      <c r="F2617" s="222" t="str">
        <f>IFERROR(__xludf.DUMMYFUNCTION("""COMPUTED_VALUE"""),"MET")</f>
        <v>MET</v>
      </c>
      <c r="G2617" s="222" t="str">
        <f>IFERROR(__xludf.DUMMYFUNCTION("""COMPUTED_VALUE"""),"SUMBAGSEL")</f>
        <v>SUMBAGSEL</v>
      </c>
      <c r="H2617" s="222" t="str">
        <f>IFERROR(__xludf.DUMMYFUNCTION("""COMPUTED_VALUE"""),"LAMPUNG")</f>
        <v>LAMPUNG</v>
      </c>
      <c r="I2617" s="222" t="str">
        <f>IFERROR(__xludf.DUMMYFUNCTION("""COMPUTED_VALUE"""),"Batch 3")</f>
        <v>Batch 3</v>
      </c>
      <c r="J2617" s="225">
        <f>IFERROR(__xludf.DUMMYFUNCTION("""COMPUTED_VALUE"""),7.0)</f>
        <v>7</v>
      </c>
      <c r="K2617" s="224">
        <f>IFERROR(__xludf.DUMMYFUNCTION("""COMPUTED_VALUE"""),56.0)</f>
        <v>56</v>
      </c>
      <c r="L2617" s="226">
        <f>IFERROR(__xludf.DUMMYFUNCTION("""COMPUTED_VALUE"""),439155.0)</f>
        <v>439155</v>
      </c>
      <c r="M2617" s="227">
        <f>IFERROR(__xludf.DUMMYFUNCTION("""COMPUTED_VALUE"""),2.4592656E7)</f>
        <v>24592656</v>
      </c>
      <c r="N2617" s="222" t="str">
        <f>IFERROR(__xludf.DUMMYFUNCTION("""COMPUTED_VALUE"""),"PT GARINDO TECHNO MANDIRI")</f>
        <v>PT GARINDO TECHNO MANDIRI</v>
      </c>
      <c r="O2617" s="222" t="str">
        <f>IFERROR(__xludf.DUMMYFUNCTION("""COMPUTED_VALUE"""),"5. INSTALASI")</f>
        <v>5. INSTALASI</v>
      </c>
      <c r="P2617" s="222" t="str">
        <f>IFERROR(__xludf.DUMMYFUNCTION("""COMPUTED_VALUE"""),"5.4 Proses Penanaman Tiang")</f>
        <v>5.4 Proses Penanaman Tiang</v>
      </c>
      <c r="Q2617" s="222" t="str">
        <f>IFERROR(__xludf.DUMMYFUNCTION("""COMPUTED_VALUE"""),"24/2 kendala fedeer tidak ada yang tembus, 
22/2 proses instalasi odp, plan golive 23/4  20/4 proses tanam tiang, 17/4 plan matdel 18/4 ,, menunggu mini olt habis, proses instalasi 08/04 Done PR PO, Proses Matdel 08/04 plan matdel plan  intlass plan fi ab"&amp;"d dan valin  plan golive 
6/04 menunggu izin dari lurah ( olt rumbia habis) 13/3 proses pr/po 2/3 proses pr/po 27/2 proses pr/po 24/2 proses amd budget 11/2 plan matdel ,16/2 estimasi angkut material dari wh - 16 FEB EMPLOY 6/2 plan anwizing ,9/2 survey e"&amp;"letrical fedeer dan distribusi 4/2 on progres perizinan 30/1 plan anwizing 23/1 plan anwizing tanggal 26/1""")</f>
        <v>24/2 kendala fedeer tidak ada yang tembus, 
22/2 proses instalasi odp, plan golive 23/4  20/4 proses tanam tiang, 17/4 plan matdel 18/4 ,, menunggu mini olt habis, proses instalasi 08/04 Done PR PO, Proses Matdel 08/04 plan matdel plan  intlass plan fi abd dan valin  plan golive 
6/04 menunggu izin dari lurah ( olt rumbia habis) 13/3 proses pr/po 2/3 proses pr/po 27/2 proses pr/po 24/2 proses amd budget 11/2 plan matdel ,16/2 estimasi angkut material dari wh - 16 FEB EMPLOY 6/2 plan anwizing ,9/2 survey eletrical fedeer dan distribusi 4/2 on progres perizinan 30/1 plan anwizing 23/1 plan anwizing tanggal 26/1"</v>
      </c>
      <c r="R2617" s="228">
        <f>IFERROR(__xludf.DUMMYFUNCTION("""COMPUTED_VALUE"""),46135.0)</f>
        <v>46135</v>
      </c>
      <c r="S2617" s="11" t="str">
        <f>IFERROR(__xludf.DUMMYFUNCTION("""COMPUTED_VALUE"""),"APR")</f>
        <v>APR</v>
      </c>
      <c r="T2617" s="11"/>
      <c r="U2617" s="11" t="str">
        <f>IFERROR(__xludf.DUMMYFUNCTION("""COMPUTED_VALUE"""),"TIF-4344/2026")</f>
        <v>TIF-4344/2026</v>
      </c>
      <c r="V2617" s="229"/>
      <c r="W2617" s="229"/>
      <c r="X2617" s="229"/>
      <c r="Y2617" s="229"/>
      <c r="Z2617" s="229" t="str">
        <f>IFERROR(__xludf.DUMMYFUNCTION("""COMPUTED_VALUE"""),"#N/A")</f>
        <v>#N/A</v>
      </c>
      <c r="AA2617" s="229"/>
      <c r="AB2617" s="229"/>
      <c r="AC2617" s="229"/>
      <c r="AD2617" s="232"/>
      <c r="AE2617" s="233"/>
      <c r="AF2617" s="54"/>
      <c r="AG2617" s="54"/>
      <c r="AH2617" s="54">
        <v>46142.0</v>
      </c>
      <c r="AI2617" s="55" t="str">
        <f t="shared" si="239"/>
        <v/>
      </c>
      <c r="AW2617" s="234"/>
      <c r="BP2617" s="11"/>
      <c r="BQ2617" s="11"/>
      <c r="BV2617" s="158"/>
      <c r="BY2617" s="158"/>
      <c r="CB2617" s="158"/>
    </row>
    <row r="2618" ht="18.0" hidden="1" customHeight="1">
      <c r="A2618" s="222">
        <f>IFERROR(__xludf.DUMMYFUNCTION("""COMPUTED_VALUE"""),2026.0)</f>
        <v>2026</v>
      </c>
      <c r="B2618" s="221">
        <f>IFERROR(__xludf.DUMMYFUNCTION("""COMPUTED_VALUE"""),1.2759743E7)</f>
        <v>12759743</v>
      </c>
      <c r="C2618" s="222" t="str">
        <f>IFERROR(__xludf.DUMMYFUNCTION("""COMPUTED_VALUE"""),"LPG PT3 JPP LAMPUNG TENGAH_38076 MET")</f>
        <v>LPG PT3 JPP LAMPUNG TENGAH_38076 MET</v>
      </c>
      <c r="D2618" s="222" t="str">
        <f>IFERROR(__xludf.DUMMYFUNCTION("""COMPUTED_VALUE"""),"REGIONAL I")</f>
        <v>REGIONAL I</v>
      </c>
      <c r="E2618" s="222" t="str">
        <f>IFERROR(__xludf.DUMMYFUNCTION("""COMPUTED_VALUE"""),"LAMPUNG")</f>
        <v>LAMPUNG</v>
      </c>
      <c r="F2618" s="222" t="str">
        <f>IFERROR(__xludf.DUMMYFUNCTION("""COMPUTED_VALUE"""),"MET")</f>
        <v>MET</v>
      </c>
      <c r="G2618" s="222" t="str">
        <f>IFERROR(__xludf.DUMMYFUNCTION("""COMPUTED_VALUE"""),"SUMBAGSEL")</f>
        <v>SUMBAGSEL</v>
      </c>
      <c r="H2618" s="222" t="str">
        <f>IFERROR(__xludf.DUMMYFUNCTION("""COMPUTED_VALUE"""),"LAMPUNG")</f>
        <v>LAMPUNG</v>
      </c>
      <c r="I2618" s="222" t="str">
        <f>IFERROR(__xludf.DUMMYFUNCTION("""COMPUTED_VALUE"""),"Batch 3")</f>
        <v>Batch 3</v>
      </c>
      <c r="J2618" s="225">
        <f>IFERROR(__xludf.DUMMYFUNCTION("""COMPUTED_VALUE"""),4.0)</f>
        <v>4</v>
      </c>
      <c r="K2618" s="224">
        <f>IFERROR(__xludf.DUMMYFUNCTION("""COMPUTED_VALUE"""),32.0)</f>
        <v>32</v>
      </c>
      <c r="L2618" s="226">
        <f>IFERROR(__xludf.DUMMYFUNCTION("""COMPUTED_VALUE"""),434098.0)</f>
        <v>434098</v>
      </c>
      <c r="M2618" s="227">
        <f>IFERROR(__xludf.DUMMYFUNCTION("""COMPUTED_VALUE"""),1.3891132E7)</f>
        <v>13891132</v>
      </c>
      <c r="N2618" s="222" t="str">
        <f>IFERROR(__xludf.DUMMYFUNCTION("""COMPUTED_VALUE"""),"PT GARINDO TECHNO MANDIRI")</f>
        <v>PT GARINDO TECHNO MANDIRI</v>
      </c>
      <c r="O2618" s="222" t="str">
        <f>IFERROR(__xludf.DUMMYFUNCTION("""COMPUTED_VALUE"""),"7. GOLIVE")</f>
        <v>7. GOLIVE</v>
      </c>
      <c r="P2618" s="222" t="str">
        <f>IFERROR(__xludf.DUMMYFUNCTION("""COMPUTED_VALUE"""),"7.2 Golive Full / OA / DONE OTB")</f>
        <v>7.2 Golive Full / OA / DONE OTB</v>
      </c>
      <c r="Q2618" s="222" t="str">
        <f>IFERROR(__xludf.DUMMYFUNCTION("""COMPUTED_VALUE"""),"4/3 plan golive tgl 7/3
27/2 PROGSER TARIK KABEL 26/2, PLAN GOLIVE 28/2
25/2 PROGRES PENARIKAN KABEL 26/2, PLAN GOLIVE 28/2
24/2 material baru keluar dari wh menuju lokasi ,plan gali tanam tiang 25/2
20/2 proses amd budget
11/2 plan matdel ,16/2 estimasi "&amp;"angkut material dari wh - 16 FEB EMPLOY (9/2)PLAN MATDEL 10 FEB 6/2 plan matdel ,16/2 matdel ,plan fi 23/2
4/2 stok material kosong ,estimasi tiba 07/2 
30/1 plan anwizing  
23/1 plan anwizing tanggal 26/3")</f>
        <v>4/3 plan golive tgl 7/3
27/2 PROGSER TARIK KABEL 26/2, PLAN GOLIVE 28/2
25/2 PROGRES PENARIKAN KABEL 26/2, PLAN GOLIVE 28/2
24/2 material baru keluar dari wh menuju lokasi ,plan gali tanam tiang 25/2
20/2 proses amd budget
11/2 plan matdel ,16/2 estimasi angkut material dari wh - 16 FEB EMPLOY (9/2)PLAN MATDEL 10 FEB 6/2 plan matdel ,16/2 matdel ,plan fi 23/2
4/2 stok material kosong ,estimasi tiba 07/2 
30/1 plan anwizing  
23/1 plan anwizing tanggal 26/3</v>
      </c>
      <c r="R2618" s="228">
        <f>IFERROR(__xludf.DUMMYFUNCTION("""COMPUTED_VALUE"""),46082.0)</f>
        <v>46082</v>
      </c>
      <c r="S2618" s="11" t="str">
        <f>IFERROR(__xludf.DUMMYFUNCTION("""COMPUTED_VALUE"""),"MAR")</f>
        <v>MAR</v>
      </c>
      <c r="T2618" s="11"/>
      <c r="U2618" s="11" t="str">
        <f>IFERROR(__xludf.DUMMYFUNCTION("""COMPUTED_VALUE"""),"TIF-3426/2026")</f>
        <v>TIF-3426/2026</v>
      </c>
      <c r="V2618" s="229"/>
      <c r="W2618" s="229"/>
      <c r="X2618" s="229" t="str">
        <f>IFERROR(__xludf.DUMMYFUNCTION("""COMPUTED_VALUE"""),"GOLIVE")</f>
        <v>GOLIVE</v>
      </c>
      <c r="Y2618" s="229" t="str">
        <f>IFERROR(__xludf.DUMMYFUNCTION("""COMPUTED_VALUE"""),"DONE")</f>
        <v>DONE</v>
      </c>
      <c r="Z2618" s="229" t="str">
        <f>IFERROR(__xludf.DUMMYFUNCTION("""COMPUTED_VALUE"""),"#N/A")</f>
        <v>#N/A</v>
      </c>
      <c r="AA2618" s="229">
        <f>IFERROR(__xludf.DUMMYFUNCTION("""COMPUTED_VALUE"""),4.0)</f>
        <v>4</v>
      </c>
      <c r="AB2618" s="229"/>
      <c r="AC2618" s="229" t="str">
        <f>IFERROR(__xludf.DUMMYFUNCTION("""COMPUTED_VALUE"""),"9081333#9081338")</f>
        <v>9081333#9081338</v>
      </c>
      <c r="AD2618" s="232">
        <f>IFERROR(__xludf.DUMMYFUNCTION("""COMPUTED_VALUE"""),32.0)</f>
        <v>32</v>
      </c>
      <c r="AE2618" s="233">
        <f>IFERROR(__xludf.DUMMYFUNCTION("""COMPUTED_VALUE"""),46082.0)</f>
        <v>46082</v>
      </c>
      <c r="AF2618" s="54"/>
      <c r="AG2618" s="54"/>
      <c r="AH2618" s="54">
        <v>46082.0</v>
      </c>
      <c r="AI2618" s="55">
        <f t="shared" si="239"/>
        <v>0</v>
      </c>
      <c r="AW2618" s="234"/>
      <c r="BP2618" s="11"/>
      <c r="BQ2618" s="11"/>
      <c r="BV2618" s="158"/>
      <c r="BY2618" s="158"/>
      <c r="CB2618" s="158"/>
    </row>
    <row r="2619" ht="18.0" customHeight="1">
      <c r="A2619" s="222">
        <f>IFERROR(__xludf.DUMMYFUNCTION("""COMPUTED_VALUE"""),2026.0)</f>
        <v>2026</v>
      </c>
      <c r="B2619" s="221">
        <f>IFERROR(__xludf.DUMMYFUNCTION("""COMPUTED_VALUE"""),1.2796565E7)</f>
        <v>12796565</v>
      </c>
      <c r="C2619" s="222" t="str">
        <f>IFERROR(__xludf.DUMMYFUNCTION("""COMPUTED_VALUE"""),"SMB-PT3-ODC-PAM-FF-PAR-101283-48048")</f>
        <v>SMB-PT3-ODC-PAM-FF-PAR-101283-48048</v>
      </c>
      <c r="D2619" s="222" t="str">
        <f>IFERROR(__xludf.DUMMYFUNCTION("""COMPUTED_VALUE"""),"REGIONAL I")</f>
        <v>REGIONAL I</v>
      </c>
      <c r="E2619" s="222" t="str">
        <f>IFERROR(__xludf.DUMMYFUNCTION("""COMPUTED_VALUE"""),"SUMBAR")</f>
        <v>SUMBAR</v>
      </c>
      <c r="F2619" s="222" t="str">
        <f>IFERROR(__xludf.DUMMYFUNCTION("""COMPUTED_VALUE"""),"PAM")</f>
        <v>PAM</v>
      </c>
      <c r="G2619" s="222" t="str">
        <f>IFERROR(__xludf.DUMMYFUNCTION("""COMPUTED_VALUE"""),"SUMBAGTENG")</f>
        <v>SUMBAGTENG</v>
      </c>
      <c r="H2619" s="222" t="str">
        <f>IFERROR(__xludf.DUMMYFUNCTION("""COMPUTED_VALUE"""),"BUKIT TINGGI")</f>
        <v>BUKIT TINGGI</v>
      </c>
      <c r="I2619" s="222" t="str">
        <f>IFERROR(__xludf.DUMMYFUNCTION("""COMPUTED_VALUE"""),"Batch 3")</f>
        <v>Batch 3</v>
      </c>
      <c r="J2619" s="225">
        <f>IFERROR(__xludf.DUMMYFUNCTION("""COMPUTED_VALUE"""),3.0)</f>
        <v>3</v>
      </c>
      <c r="K2619" s="224">
        <f>IFERROR(__xludf.DUMMYFUNCTION("""COMPUTED_VALUE"""),24.0)</f>
        <v>24</v>
      </c>
      <c r="L2619" s="226">
        <f>IFERROR(__xludf.DUMMYFUNCTION("""COMPUTED_VALUE"""),433255.0)</f>
        <v>433255</v>
      </c>
      <c r="M2619" s="227">
        <f>IFERROR(__xludf.DUMMYFUNCTION("""COMPUTED_VALUE"""),1.039812E7)</f>
        <v>10398120</v>
      </c>
      <c r="N2619" s="222" t="str">
        <f>IFERROR(__xludf.DUMMYFUNCTION("""COMPUTED_VALUE"""),"PT PUTRI JAYA AKSES")</f>
        <v>PT PUTRI JAYA AKSES</v>
      </c>
      <c r="O2619" s="222" t="str">
        <f>IFERROR(__xludf.DUMMYFUNCTION("""COMPUTED_VALUE"""),"0. DROP")</f>
        <v>0. DROP</v>
      </c>
      <c r="P2619" s="222" t="str">
        <f>IFERROR(__xludf.DUMMYFUNCTION("""COMPUTED_VALUE"""),"0.3 Feeder Full")</f>
        <v>0.3 Feeder Full</v>
      </c>
      <c r="Q2619" s="222" t="str">
        <f>IFERROR(__xludf.DUMMYFUNCTION("""COMPUTED_VALUE"""),"(02/02) kendala feeder PAM-FF FULL (29/01) Done aanwijziing  , proses eval")</f>
        <v>(02/02) kendala feeder PAM-FF FULL (29/01) Done aanwijziing  , proses eval</v>
      </c>
      <c r="R2619" s="228"/>
      <c r="S2619" s="11"/>
      <c r="T2619" s="11"/>
      <c r="U2619" s="11"/>
      <c r="V2619" s="229" t="str">
        <f>IFERROR(__xludf.DUMMYFUNCTION("""COMPUTED_VALUE"""),"JANUAR RIZAL")</f>
        <v>JANUAR RIZAL</v>
      </c>
      <c r="W2619" s="229" t="str">
        <f>IFERROR(__xludf.DUMMYFUNCTION("""COMPUTED_VALUE"""),"MELKO NARWADI")</f>
        <v>MELKO NARWADI</v>
      </c>
      <c r="X2619" s="229"/>
      <c r="Y2619" s="229"/>
      <c r="Z2619" s="229" t="str">
        <f>IFERROR(__xludf.DUMMYFUNCTION("""COMPUTED_VALUE"""),"#N/A")</f>
        <v>#N/A</v>
      </c>
      <c r="AA2619" s="229"/>
      <c r="AB2619" s="229"/>
      <c r="AC2619" s="229"/>
      <c r="AD2619" s="232"/>
      <c r="AE2619" s="233"/>
      <c r="AF2619" s="54" t="str">
        <f>IFERROR(__xludf.DUMMYFUNCTION("""COMPUTED_VALUE"""),"Draft BA DROP")</f>
        <v>Draft BA DROP</v>
      </c>
      <c r="AG2619" s="54"/>
      <c r="AH2619" s="54"/>
      <c r="AI2619" s="55" t="str">
        <f t="shared" si="239"/>
        <v/>
      </c>
      <c r="AW2619" s="234"/>
      <c r="BP2619" s="11"/>
      <c r="BQ2619" s="11"/>
      <c r="BV2619" s="158"/>
      <c r="BY2619" s="158"/>
      <c r="CB2619" s="158"/>
    </row>
    <row r="2620" ht="18.0" hidden="1" customHeight="1">
      <c r="A2620" s="222">
        <f>IFERROR(__xludf.DUMMYFUNCTION("""COMPUTED_VALUE"""),2026.0)</f>
        <v>2026</v>
      </c>
      <c r="B2620" s="221">
        <f>IFERROR(__xludf.DUMMYFUNCTION("""COMPUTED_VALUE"""),1.2550349E7)</f>
        <v>12550349</v>
      </c>
      <c r="C2620" s="222" t="str">
        <f>IFERROR(__xludf.DUMMYFUNCTION("""COMPUTED_VALUE"""),"250_1575_1641")</f>
        <v>250_1575_1641</v>
      </c>
      <c r="D2620" s="222" t="str">
        <f>IFERROR(__xludf.DUMMYFUNCTION("""COMPUTED_VALUE"""),"REGIONAL I")</f>
        <v>REGIONAL I</v>
      </c>
      <c r="E2620" s="222" t="str">
        <f>IFERROR(__xludf.DUMMYFUNCTION("""COMPUTED_VALUE"""),"MEDAN")</f>
        <v>MEDAN</v>
      </c>
      <c r="F2620" s="222" t="str">
        <f>IFERROR(__xludf.DUMMYFUNCTION("""COMPUTED_VALUE"""),"PDB")</f>
        <v>PDB</v>
      </c>
      <c r="G2620" s="222" t="str">
        <f>IFERROR(__xludf.DUMMYFUNCTION("""COMPUTED_VALUE"""),"SUMBAGUT")</f>
        <v>SUMBAGUT</v>
      </c>
      <c r="H2620" s="222" t="str">
        <f>IFERROR(__xludf.DUMMYFUNCTION("""COMPUTED_VALUE"""),"MEDAN")</f>
        <v>MEDAN</v>
      </c>
      <c r="I2620" s="222" t="str">
        <f>IFERROR(__xludf.DUMMYFUNCTION("""COMPUTED_VALUE"""),"Batch 3")</f>
        <v>Batch 3</v>
      </c>
      <c r="J2620" s="225">
        <f>IFERROR(__xludf.DUMMYFUNCTION("""COMPUTED_VALUE"""),4.0)</f>
        <v>4</v>
      </c>
      <c r="K2620" s="224">
        <f>IFERROR(__xludf.DUMMYFUNCTION("""COMPUTED_VALUE"""),32.0)</f>
        <v>32</v>
      </c>
      <c r="L2620" s="226">
        <f>IFERROR(__xludf.DUMMYFUNCTION("""COMPUTED_VALUE"""),433115.0)</f>
        <v>433115</v>
      </c>
      <c r="M2620" s="227">
        <f>IFERROR(__xludf.DUMMYFUNCTION("""COMPUTED_VALUE"""),1.3859651E7)</f>
        <v>13859651</v>
      </c>
      <c r="N2620" s="222" t="str">
        <f>IFERROR(__xludf.DUMMYFUNCTION("""COMPUTED_VALUE"""),"PT PRIMA INDO SENTOSA")</f>
        <v>PT PRIMA INDO SENTOSA</v>
      </c>
      <c r="O2620" s="222" t="str">
        <f>IFERROR(__xludf.DUMMYFUNCTION("""COMPUTED_VALUE"""),"4. MATDEL")</f>
        <v>4. MATDEL</v>
      </c>
      <c r="P2620" s="222" t="str">
        <f>IFERROR(__xludf.DUMMYFUNCTION("""COMPUTED_VALUE"""),"4.1 Belum Request Material (Alista)")</f>
        <v>4.1 Belum Request Material (Alista)</v>
      </c>
      <c r="Q2620" s="222" t="str">
        <f>IFERROR(__xludf.DUMMYFUNCTION("""COMPUTED_VALUE"""),"22/04 req material")</f>
        <v>22/04 req material</v>
      </c>
      <c r="R2620" s="228"/>
      <c r="S2620" s="11"/>
      <c r="T2620" s="73"/>
      <c r="U2620" s="11"/>
      <c r="V2620" s="229" t="str">
        <f>IFERROR(__xludf.DUMMYFUNCTION("""COMPUTED_VALUE"""),"27/Apr/2026")</f>
        <v>27/Apr/2026</v>
      </c>
      <c r="W2620" s="229"/>
      <c r="X2620" s="229" t="str">
        <f>IFERROR(__xludf.DUMMYFUNCTION("""COMPUTED_VALUE"""),"BELUM GOLIVE")</f>
        <v>BELUM GOLIVE</v>
      </c>
      <c r="Y2620" s="229"/>
      <c r="Z2620" s="229" t="str">
        <f>IFERROR(__xludf.DUMMYFUNCTION("""COMPUTED_VALUE"""),"#N/A")</f>
        <v>#N/A</v>
      </c>
      <c r="AA2620" s="229"/>
      <c r="AB2620" s="229"/>
      <c r="AC2620" s="229"/>
      <c r="AD2620" s="232"/>
      <c r="AE2620" s="233"/>
      <c r="AF2620" s="54"/>
      <c r="AG2620" s="54"/>
      <c r="AH2620" s="54"/>
      <c r="AI2620" s="55" t="str">
        <f t="shared" si="239"/>
        <v/>
      </c>
      <c r="AW2620" s="234"/>
      <c r="BP2620" s="11"/>
      <c r="BQ2620" s="11"/>
      <c r="BV2620" s="158"/>
      <c r="BY2620" s="158"/>
      <c r="CB2620" s="158"/>
    </row>
    <row r="2621" ht="18.0" hidden="1" customHeight="1">
      <c r="A2621" s="222">
        <f>IFERROR(__xludf.DUMMYFUNCTION("""COMPUTED_VALUE"""),2026.0)</f>
        <v>2026</v>
      </c>
      <c r="B2621" s="221">
        <f>IFERROR(__xludf.DUMMYFUNCTION("""COMPUTED_VALUE"""),1.2542084E7)</f>
        <v>12542084</v>
      </c>
      <c r="C2621" s="222" t="str">
        <f>IFERROR(__xludf.DUMMYFUNCTION("""COMPUTED_VALUE"""),"250_1585_1613")</f>
        <v>250_1585_1613</v>
      </c>
      <c r="D2621" s="222" t="str">
        <f>IFERROR(__xludf.DUMMYFUNCTION("""COMPUTED_VALUE"""),"REGIONAL I")</f>
        <v>REGIONAL I</v>
      </c>
      <c r="E2621" s="222" t="str">
        <f>IFERROR(__xludf.DUMMYFUNCTION("""COMPUTED_VALUE"""),"MEDAN")</f>
        <v>MEDAN</v>
      </c>
      <c r="F2621" s="222" t="str">
        <f>IFERROR(__xludf.DUMMYFUNCTION("""COMPUTED_VALUE"""),"CTD")</f>
        <v>CTD</v>
      </c>
      <c r="G2621" s="222" t="str">
        <f>IFERROR(__xludf.DUMMYFUNCTION("""COMPUTED_VALUE"""),"SUMBAGUT")</f>
        <v>SUMBAGUT</v>
      </c>
      <c r="H2621" s="222" t="str">
        <f>IFERROR(__xludf.DUMMYFUNCTION("""COMPUTED_VALUE"""),"MEDAN")</f>
        <v>MEDAN</v>
      </c>
      <c r="I2621" s="222" t="str">
        <f>IFERROR(__xludf.DUMMYFUNCTION("""COMPUTED_VALUE"""),"Batch 3")</f>
        <v>Batch 3</v>
      </c>
      <c r="J2621" s="225">
        <f>IFERROR(__xludf.DUMMYFUNCTION("""COMPUTED_VALUE"""),2.0)</f>
        <v>2</v>
      </c>
      <c r="K2621" s="224">
        <f>IFERROR(__xludf.DUMMYFUNCTION("""COMPUTED_VALUE"""),16.0)</f>
        <v>16</v>
      </c>
      <c r="L2621" s="226">
        <f>IFERROR(__xludf.DUMMYFUNCTION("""COMPUTED_VALUE"""),429809.0)</f>
        <v>429809</v>
      </c>
      <c r="M2621" s="227">
        <f>IFERROR(__xludf.DUMMYFUNCTION("""COMPUTED_VALUE"""),6876930.0)</f>
        <v>6876930</v>
      </c>
      <c r="N2621" s="222" t="str">
        <f>IFERROR(__xludf.DUMMYFUNCTION("""COMPUTED_VALUE"""),"PT GLOBAL KARYA WANDA")</f>
        <v>PT GLOBAL KARYA WANDA</v>
      </c>
      <c r="O2621" s="222" t="str">
        <f>IFERROR(__xludf.DUMMYFUNCTION("""COMPUTED_VALUE"""),"2. DONE AANWIJZING")</f>
        <v>2. DONE AANWIJZING</v>
      </c>
      <c r="P2621" s="222" t="str">
        <f>IFERROR(__xludf.DUMMYFUNCTION("""COMPUTED_VALUE"""),"2.10 Kendala - Feeder Rusak")</f>
        <v>2.10 Kendala - Feeder Rusak</v>
      </c>
      <c r="Q2621" s="222" t="str">
        <f>IFERROR(__xludf.DUMMYFUNCTION("""COMPUTED_VALUE"""),"22/04 pengecekan tipus butuh QE
21/02 Feeder REDAMAN TINGGI")</f>
        <v>22/04 pengecekan tipus butuh QE
21/02 Feeder REDAMAN TINGGI</v>
      </c>
      <c r="R2621" s="228"/>
      <c r="S2621" s="11"/>
      <c r="T2621" s="11"/>
      <c r="U2621" s="11"/>
      <c r="V2621" s="229"/>
      <c r="W2621" s="229"/>
      <c r="X2621" s="229" t="str">
        <f>IFERROR(__xludf.DUMMYFUNCTION("""COMPUTED_VALUE"""),"BELUM GOLIVE")</f>
        <v>BELUM GOLIVE</v>
      </c>
      <c r="Y2621" s="229"/>
      <c r="Z2621" s="229" t="str">
        <f>IFERROR(__xludf.DUMMYFUNCTION("""COMPUTED_VALUE"""),"#N/A")</f>
        <v>#N/A</v>
      </c>
      <c r="AA2621" s="229"/>
      <c r="AB2621" s="229"/>
      <c r="AC2621" s="229"/>
      <c r="AD2621" s="232"/>
      <c r="AE2621" s="233"/>
      <c r="AF2621" s="54"/>
      <c r="AG2621" s="54"/>
      <c r="AH2621" s="54"/>
      <c r="AI2621" s="55" t="str">
        <f t="shared" si="239"/>
        <v/>
      </c>
      <c r="AW2621" s="234"/>
      <c r="BP2621" s="11"/>
      <c r="BQ2621" s="11"/>
      <c r="BV2621" s="158"/>
      <c r="BY2621" s="158"/>
      <c r="CB2621" s="158"/>
    </row>
    <row r="2622" ht="18.0" hidden="1" customHeight="1">
      <c r="A2622" s="222">
        <f>IFERROR(__xludf.DUMMYFUNCTION("""COMPUTED_VALUE"""),2026.0)</f>
        <v>2026</v>
      </c>
      <c r="B2622" s="221">
        <f>IFERROR(__xludf.DUMMYFUNCTION("""COMPUTED_VALUE"""),1.2631514E7)</f>
        <v>12631514</v>
      </c>
      <c r="C2622" s="222" t="str">
        <f>IFERROR(__xludf.DUMMYFUNCTION("""COMPUTED_VALUE"""),"250_1557_1626")</f>
        <v>250_1557_1626</v>
      </c>
      <c r="D2622" s="222" t="str">
        <f>IFERROR(__xludf.DUMMYFUNCTION("""COMPUTED_VALUE"""),"REGIONAL I")</f>
        <v>REGIONAL I</v>
      </c>
      <c r="E2622" s="222" t="str">
        <f>IFERROR(__xludf.DUMMYFUNCTION("""COMPUTED_VALUE"""),"MEDAN")</f>
        <v>MEDAN</v>
      </c>
      <c r="F2622" s="222" t="str">
        <f>IFERROR(__xludf.DUMMYFUNCTION("""COMPUTED_VALUE"""),"TTG")</f>
        <v>TTG</v>
      </c>
      <c r="G2622" s="222" t="str">
        <f>IFERROR(__xludf.DUMMYFUNCTION("""COMPUTED_VALUE"""),"SUMBAGUT")</f>
        <v>SUMBAGUT</v>
      </c>
      <c r="H2622" s="222" t="str">
        <f>IFERROR(__xludf.DUMMYFUNCTION("""COMPUTED_VALUE"""),"MEDAN")</f>
        <v>MEDAN</v>
      </c>
      <c r="I2622" s="222" t="str">
        <f>IFERROR(__xludf.DUMMYFUNCTION("""COMPUTED_VALUE"""),"Batch 3")</f>
        <v>Batch 3</v>
      </c>
      <c r="J2622" s="225">
        <f>IFERROR(__xludf.DUMMYFUNCTION("""COMPUTED_VALUE"""),4.0)</f>
        <v>4</v>
      </c>
      <c r="K2622" s="224">
        <f>IFERROR(__xludf.DUMMYFUNCTION("""COMPUTED_VALUE"""),32.0)</f>
        <v>32</v>
      </c>
      <c r="L2622" s="226">
        <f>IFERROR(__xludf.DUMMYFUNCTION("""COMPUTED_VALUE"""),428259.0)</f>
        <v>428259</v>
      </c>
      <c r="M2622" s="227">
        <f>IFERROR(__xludf.DUMMYFUNCTION("""COMPUTED_VALUE"""),1.3704266E7)</f>
        <v>13704266</v>
      </c>
      <c r="N2622" s="222" t="str">
        <f>IFERROR(__xludf.DUMMYFUNCTION("""COMPUTED_VALUE"""),"SWAKELOLA")</f>
        <v>SWAKELOLA</v>
      </c>
      <c r="O2622" s="222" t="str">
        <f>IFERROR(__xludf.DUMMYFUNCTION("""COMPUTED_VALUE"""),"0. DROP")</f>
        <v>0. DROP</v>
      </c>
      <c r="P2622" s="222" t="str">
        <f>IFERROR(__xludf.DUMMYFUNCTION("""COMPUTED_VALUE"""),"0.3 Feeder Full")</f>
        <v>0.3 Feeder Full</v>
      </c>
      <c r="Q2622" s="222" t="str">
        <f>IFERROR(__xludf.DUMMYFUNCTION("""COMPUTED_VALUE"""),"08/03 Feeder Penuh ")</f>
        <v>08/03 Feeder Penuh </v>
      </c>
      <c r="R2622" s="228"/>
      <c r="S2622" s="11"/>
      <c r="T2622" s="11"/>
      <c r="U2622" s="11"/>
      <c r="V2622" s="229"/>
      <c r="W2622" s="229"/>
      <c r="X2622" s="229" t="str">
        <f>IFERROR(__xludf.DUMMYFUNCTION("""COMPUTED_VALUE"""),"BELUM GOLIVE")</f>
        <v>BELUM GOLIVE</v>
      </c>
      <c r="Y2622" s="229"/>
      <c r="Z2622" s="229" t="str">
        <f>IFERROR(__xludf.DUMMYFUNCTION("""COMPUTED_VALUE"""),"#N/A")</f>
        <v>#N/A</v>
      </c>
      <c r="AA2622" s="229"/>
      <c r="AB2622" s="229"/>
      <c r="AC2622" s="229"/>
      <c r="AD2622" s="232"/>
      <c r="AE2622" s="233"/>
      <c r="AF2622" s="54"/>
      <c r="AG2622" s="54"/>
      <c r="AH2622" s="54"/>
      <c r="AI2622" s="55" t="str">
        <f t="shared" si="239"/>
        <v/>
      </c>
      <c r="AW2622" s="234"/>
      <c r="BP2622" s="11"/>
      <c r="BQ2622" s="11"/>
      <c r="BV2622" s="158"/>
      <c r="BY2622" s="158"/>
      <c r="CB2622" s="158"/>
    </row>
    <row r="2623" ht="18.0" customHeight="1">
      <c r="A2623" s="222">
        <f>IFERROR(__xludf.DUMMYFUNCTION("""COMPUTED_VALUE"""),2026.0)</f>
        <v>2026</v>
      </c>
      <c r="B2623" s="221">
        <f>IFERROR(__xludf.DUMMYFUNCTION("""COMPUTED_VALUE"""),1.2581141E7)</f>
        <v>12581141</v>
      </c>
      <c r="C2623" s="222" t="str">
        <f>IFERROR(__xludf.DUMMYFUNCTION("""COMPUTED_VALUE"""),"SMB PT3-TLB-FN 250_-432_2402")</f>
        <v>SMB PT3-TLB-FN 250_-432_2402</v>
      </c>
      <c r="D2623" s="222" t="str">
        <f>IFERROR(__xludf.DUMMYFUNCTION("""COMPUTED_VALUE"""),"REGIONAL I")</f>
        <v>REGIONAL I</v>
      </c>
      <c r="E2623" s="222" t="str">
        <f>IFERROR(__xludf.DUMMYFUNCTION("""COMPUTED_VALUE"""),"SUMBAR")</f>
        <v>SUMBAR</v>
      </c>
      <c r="F2623" s="222" t="str">
        <f>IFERROR(__xludf.DUMMYFUNCTION("""COMPUTED_VALUE"""),"TLB")</f>
        <v>TLB</v>
      </c>
      <c r="G2623" s="222" t="str">
        <f>IFERROR(__xludf.DUMMYFUNCTION("""COMPUTED_VALUE"""),"SUMBAGTENG")</f>
        <v>SUMBAGTENG</v>
      </c>
      <c r="H2623" s="222" t="str">
        <f>IFERROR(__xludf.DUMMYFUNCTION("""COMPUTED_VALUE"""),"PADANG")</f>
        <v>PADANG</v>
      </c>
      <c r="I2623" s="222" t="str">
        <f>IFERROR(__xludf.DUMMYFUNCTION("""COMPUTED_VALUE"""),"Batch 3")</f>
        <v>Batch 3</v>
      </c>
      <c r="J2623" s="225">
        <f>IFERROR(__xludf.DUMMYFUNCTION("""COMPUTED_VALUE"""),2.0)</f>
        <v>2</v>
      </c>
      <c r="K2623" s="224">
        <f>IFERROR(__xludf.DUMMYFUNCTION("""COMPUTED_VALUE"""),16.0)</f>
        <v>16</v>
      </c>
      <c r="L2623" s="226">
        <f>IFERROR(__xludf.DUMMYFUNCTION("""COMPUTED_VALUE"""),427345.0)</f>
        <v>427345</v>
      </c>
      <c r="M2623" s="227">
        <f>IFERROR(__xludf.DUMMYFUNCTION("""COMPUTED_VALUE"""),6837520.0)</f>
        <v>6837520</v>
      </c>
      <c r="N2623" s="222" t="str">
        <f>IFERROR(__xludf.DUMMYFUNCTION("""COMPUTED_VALUE"""),"PT TRI PENAMAS")</f>
        <v>PT TRI PENAMAS</v>
      </c>
      <c r="O2623" s="222" t="str">
        <f>IFERROR(__xludf.DUMMYFUNCTION("""COMPUTED_VALUE"""),"0. DROP")</f>
        <v>0. DROP</v>
      </c>
      <c r="P2623" s="222" t="str">
        <f>IFERROR(__xludf.DUMMYFUNCTION("""COMPUTED_VALUE"""),"0.3 Feeder Full")</f>
        <v>0.3 Feeder Full</v>
      </c>
      <c r="Q2623" s="222" t="str">
        <f>IFERROR(__xludf.DUMMYFUNCTION("""COMPUTED_VALUE"""),"(03/02) Kendala dist 2 TLB-FN full Dan feeder TLB-FN FULL , solusi new dist, kenaikan lebih 10 % (29/01) Proses create PID (29/01) proses aanwijziing  ")</f>
        <v>(03/02) Kendala dist 2 TLB-FN full Dan feeder TLB-FN FULL , solusi new dist, kenaikan lebih 10 % (29/01) Proses create PID (29/01) proses aanwijziing  </v>
      </c>
      <c r="R2623" s="228"/>
      <c r="S2623" s="11"/>
      <c r="T2623" s="11"/>
      <c r="U2623" s="11" t="str">
        <f>IFERROR(__xludf.DUMMYFUNCTION("""COMPUTED_VALUE"""),"TIF-3054/2026 26KT03R158-0048")</f>
        <v>TIF-3054/2026 26KT03R158-0048</v>
      </c>
      <c r="V2623" s="229" t="str">
        <f>IFERROR(__xludf.DUMMYFUNCTION("""COMPUTED_VALUE"""),"FABIO RAHMAN")</f>
        <v>FABIO RAHMAN</v>
      </c>
      <c r="W2623" s="229" t="str">
        <f>IFERROR(__xludf.DUMMYFUNCTION("""COMPUTED_VALUE"""),"MELKO NARWADI")</f>
        <v>MELKO NARWADI</v>
      </c>
      <c r="X2623" s="229"/>
      <c r="Y2623" s="229"/>
      <c r="Z2623" s="229" t="str">
        <f>IFERROR(__xludf.DUMMYFUNCTION("""COMPUTED_VALUE"""),"#N/A")</f>
        <v>#N/A</v>
      </c>
      <c r="AA2623" s="229"/>
      <c r="AB2623" s="229"/>
      <c r="AC2623" s="229"/>
      <c r="AD2623" s="232"/>
      <c r="AE2623" s="233"/>
      <c r="AF2623" s="54"/>
      <c r="AG2623" s="54"/>
      <c r="AH2623" s="54"/>
      <c r="AI2623" s="55" t="str">
        <f t="shared" si="239"/>
        <v/>
      </c>
      <c r="AW2623" s="234"/>
      <c r="BP2623" s="11"/>
      <c r="BQ2623" s="11"/>
      <c r="BV2623" s="158"/>
      <c r="BY2623" s="158"/>
      <c r="CB2623" s="158"/>
    </row>
    <row r="2624" ht="18.0" customHeight="1">
      <c r="A2624" s="222">
        <f>IFERROR(__xludf.DUMMYFUNCTION("""COMPUTED_VALUE"""),2026.0)</f>
        <v>2026</v>
      </c>
      <c r="B2624" s="221">
        <f>IFERROR(__xludf.DUMMYFUNCTION("""COMPUTED_VALUE"""),1.2651489E7)</f>
        <v>12651489</v>
      </c>
      <c r="C2624" s="222" t="str">
        <f>IFERROR(__xludf.DUMMYFUNCTION("""COMPUTED_VALUE"""),"SMB-PT3-PADANG PARIAMAN_92534")</f>
        <v>SMB-PT3-PADANG PARIAMAN_92534</v>
      </c>
      <c r="D2624" s="222" t="str">
        <f>IFERROR(__xludf.DUMMYFUNCTION("""COMPUTED_VALUE"""),"REGIONAL I")</f>
        <v>REGIONAL I</v>
      </c>
      <c r="E2624" s="222" t="str">
        <f>IFERROR(__xludf.DUMMYFUNCTION("""COMPUTED_VALUE"""),"SUMBAR")</f>
        <v>SUMBAR</v>
      </c>
      <c r="F2624" s="222" t="str">
        <f>IFERROR(__xludf.DUMMYFUNCTION("""COMPUTED_VALUE"""),"PAM")</f>
        <v>PAM</v>
      </c>
      <c r="G2624" s="222" t="str">
        <f>IFERROR(__xludf.DUMMYFUNCTION("""COMPUTED_VALUE"""),"SUMBAGTENG")</f>
        <v>SUMBAGTENG</v>
      </c>
      <c r="H2624" s="222" t="str">
        <f>IFERROR(__xludf.DUMMYFUNCTION("""COMPUTED_VALUE"""),"BUKIT TINGGI")</f>
        <v>BUKIT TINGGI</v>
      </c>
      <c r="I2624" s="222" t="str">
        <f>IFERROR(__xludf.DUMMYFUNCTION("""COMPUTED_VALUE"""),"Batch 3")</f>
        <v>Batch 3</v>
      </c>
      <c r="J2624" s="225">
        <f>IFERROR(__xludf.DUMMYFUNCTION("""COMPUTED_VALUE"""),3.0)</f>
        <v>3</v>
      </c>
      <c r="K2624" s="224">
        <f>IFERROR(__xludf.DUMMYFUNCTION("""COMPUTED_VALUE"""),24.0)</f>
        <v>24</v>
      </c>
      <c r="L2624" s="226">
        <f>IFERROR(__xludf.DUMMYFUNCTION("""COMPUTED_VALUE"""),425824.0)</f>
        <v>425824</v>
      </c>
      <c r="M2624" s="227">
        <f>IFERROR(__xludf.DUMMYFUNCTION("""COMPUTED_VALUE"""),1.0219765E7)</f>
        <v>10219765</v>
      </c>
      <c r="N2624" s="222" t="str">
        <f>IFERROR(__xludf.DUMMYFUNCTION("""COMPUTED_VALUE"""),"PT TRI PENAMAS")</f>
        <v>PT TRI PENAMAS</v>
      </c>
      <c r="O2624" s="222" t="str">
        <f>IFERROR(__xludf.DUMMYFUNCTION("""COMPUTED_VALUE"""),"0. DROP")</f>
        <v>0. DROP</v>
      </c>
      <c r="P2624" s="222" t="str">
        <f>IFERROR(__xludf.DUMMYFUNCTION("""COMPUTED_VALUE"""),"0.5 DROP TSEL - Acc ED TIF")</f>
        <v>0.5 DROP TSEL - Acc ED TIF</v>
      </c>
      <c r="Q2624" s="222" t="str">
        <f>IFERROR(__xludf.DUMMYFUNCTION("""COMPUTED_VALUE"""),"(09/03) kendala feeder SCC-FB Full (05/03) proses aanwijziing plan selesai 10/03   (02/03) proses aanwijziing (26/01) DROP, permintaan tsel (tidak potensial) ")</f>
        <v>(09/03) kendala feeder SCC-FB Full (05/03) proses aanwijziing plan selesai 10/03   (02/03) proses aanwijziing (26/01) DROP, permintaan tsel (tidak potensial) </v>
      </c>
      <c r="R2624" s="228"/>
      <c r="S2624" s="11"/>
      <c r="T2624" s="11"/>
      <c r="U2624" s="11"/>
      <c r="V2624" s="229" t="str">
        <f>IFERROR(__xludf.DUMMYFUNCTION("""COMPUTED_VALUE"""),"DELPA YANDA")</f>
        <v>DELPA YANDA</v>
      </c>
      <c r="W2624" s="229" t="str">
        <f>IFERROR(__xludf.DUMMYFUNCTION("""COMPUTED_VALUE"""),"MELKO NARWADI")</f>
        <v>MELKO NARWADI</v>
      </c>
      <c r="X2624" s="229"/>
      <c r="Y2624" s="229"/>
      <c r="Z2624" s="229" t="str">
        <f>IFERROR(__xludf.DUMMYFUNCTION("""COMPUTED_VALUE"""),"#N/A")</f>
        <v>#N/A</v>
      </c>
      <c r="AA2624" s="229"/>
      <c r="AB2624" s="229"/>
      <c r="AC2624" s="229"/>
      <c r="AD2624" s="232"/>
      <c r="AE2624" s="233"/>
      <c r="AF2624" s="54"/>
      <c r="AG2624" s="54"/>
      <c r="AH2624" s="54"/>
      <c r="AI2624" s="55" t="str">
        <f t="shared" si="239"/>
        <v/>
      </c>
      <c r="AW2624" s="234"/>
      <c r="BP2624" s="11"/>
      <c r="BQ2624" s="11"/>
      <c r="BV2624" s="158"/>
      <c r="BY2624" s="158"/>
      <c r="CB2624" s="158"/>
    </row>
    <row r="2625" ht="18.0" hidden="1" customHeight="1">
      <c r="A2625" s="222">
        <f>IFERROR(__xludf.DUMMYFUNCTION("""COMPUTED_VALUE"""),2026.0)</f>
        <v>2026</v>
      </c>
      <c r="B2625" s="221">
        <f>IFERROR(__xludf.DUMMYFUNCTION("""COMPUTED_VALUE"""),1.2431045E7)</f>
        <v>12431045</v>
      </c>
      <c r="C2625" s="222" t="str">
        <f>IFERROR(__xludf.DUMMYFUNCTION("""COMPUTED_VALUE"""),"MDN PT3 CTD-FCR JL.BARU GG.JALAK")</f>
        <v>MDN PT3 CTD-FCR JL.BARU GG.JALAK</v>
      </c>
      <c r="D2625" s="222" t="str">
        <f>IFERROR(__xludf.DUMMYFUNCTION("""COMPUTED_VALUE"""),"REGIONAL I")</f>
        <v>REGIONAL I</v>
      </c>
      <c r="E2625" s="222" t="str">
        <f>IFERROR(__xludf.DUMMYFUNCTION("""COMPUTED_VALUE"""),"MEDAN")</f>
        <v>MEDAN</v>
      </c>
      <c r="F2625" s="222" t="str">
        <f>IFERROR(__xludf.DUMMYFUNCTION("""COMPUTED_VALUE"""),"CTD")</f>
        <v>CTD</v>
      </c>
      <c r="G2625" s="222" t="str">
        <f>IFERROR(__xludf.DUMMYFUNCTION("""COMPUTED_VALUE"""),"SUMBAGUT")</f>
        <v>SUMBAGUT</v>
      </c>
      <c r="H2625" s="222" t="str">
        <f>IFERROR(__xludf.DUMMYFUNCTION("""COMPUTED_VALUE"""),"MEDAN")</f>
        <v>MEDAN</v>
      </c>
      <c r="I2625" s="222" t="str">
        <f>IFERROR(__xludf.DUMMYFUNCTION("""COMPUTED_VALUE"""),"Batch 3")</f>
        <v>Batch 3</v>
      </c>
      <c r="J2625" s="225">
        <f>IFERROR(__xludf.DUMMYFUNCTION("""COMPUTED_VALUE"""),2.0)</f>
        <v>2</v>
      </c>
      <c r="K2625" s="224">
        <f>IFERROR(__xludf.DUMMYFUNCTION("""COMPUTED_VALUE"""),16.0)</f>
        <v>16</v>
      </c>
      <c r="L2625" s="226">
        <f>IFERROR(__xludf.DUMMYFUNCTION("""COMPUTED_VALUE"""),425272.0)</f>
        <v>425272</v>
      </c>
      <c r="M2625" s="227">
        <f>IFERROR(__xludf.DUMMYFUNCTION("""COMPUTED_VALUE"""),6804339.0)</f>
        <v>6804339</v>
      </c>
      <c r="N2625" s="222" t="str">
        <f>IFERROR(__xludf.DUMMYFUNCTION("""COMPUTED_VALUE"""),"SWAKELOLA")</f>
        <v>SWAKELOLA</v>
      </c>
      <c r="O2625" s="222" t="str">
        <f>IFERROR(__xludf.DUMMYFUNCTION("""COMPUTED_VALUE"""),"2. DONE AANWIJZING")</f>
        <v>2. DONE AANWIJZING</v>
      </c>
      <c r="P2625" s="222" t="str">
        <f>IFERROR(__xludf.DUMMYFUNCTION("""COMPUTED_VALUE"""),"2.10 Kendala - Feeder Rusak")</f>
        <v>2.10 Kendala - Feeder Rusak</v>
      </c>
      <c r="Q2625" s="222" t="str">
        <f>IFERROR(__xludf.DUMMYFUNCTION("""COMPUTED_VALUE"""),"22/04 pengecekan tipus butuh QE
02/02 Feeder Redaman Tinggi")</f>
        <v>22/04 pengecekan tipus butuh QE
02/02 Feeder Redaman Tinggi</v>
      </c>
      <c r="R2625" s="228"/>
      <c r="S2625" s="11"/>
      <c r="T2625" s="11"/>
      <c r="U2625" s="11"/>
      <c r="V2625" s="229"/>
      <c r="W2625" s="229"/>
      <c r="X2625" s="229" t="str">
        <f>IFERROR(__xludf.DUMMYFUNCTION("""COMPUTED_VALUE"""),"BELUM GOLIVE")</f>
        <v>BELUM GOLIVE</v>
      </c>
      <c r="Y2625" s="229"/>
      <c r="Z2625" s="229" t="str">
        <f>IFERROR(__xludf.DUMMYFUNCTION("""COMPUTED_VALUE"""),"#N/A")</f>
        <v>#N/A</v>
      </c>
      <c r="AA2625" s="229"/>
      <c r="AB2625" s="229"/>
      <c r="AC2625" s="229"/>
      <c r="AD2625" s="232"/>
      <c r="AE2625" s="233"/>
      <c r="AF2625" s="54"/>
      <c r="AG2625" s="54"/>
      <c r="AH2625" s="54"/>
      <c r="AI2625" s="55" t="str">
        <f t="shared" si="239"/>
        <v/>
      </c>
      <c r="AW2625" s="234"/>
      <c r="BP2625" s="11"/>
      <c r="BQ2625" s="11"/>
      <c r="BV2625" s="158"/>
      <c r="BY2625" s="158"/>
      <c r="CB2625" s="158"/>
    </row>
    <row r="2626" ht="18.0" hidden="1" customHeight="1">
      <c r="A2626" s="222">
        <f>IFERROR(__xludf.DUMMYFUNCTION("""COMPUTED_VALUE"""),2026.0)</f>
        <v>2026</v>
      </c>
      <c r="B2626" s="221">
        <f>IFERROR(__xludf.DUMMYFUNCTION("""COMPUTED_VALUE"""),1.1533585E7)</f>
        <v>11533585</v>
      </c>
      <c r="C2626" s="222" t="str">
        <f>IFERROR(__xludf.DUMMYFUNCTION("""COMPUTED_VALUE"""),"MDN PT3 SKI-FAV ODP PRIORITAS_MD25")</f>
        <v>MDN PT3 SKI-FAV ODP PRIORITAS_MD25</v>
      </c>
      <c r="D2626" s="222" t="str">
        <f>IFERROR(__xludf.DUMMYFUNCTION("""COMPUTED_VALUE"""),"REGIONAL I")</f>
        <v>REGIONAL I</v>
      </c>
      <c r="E2626" s="222" t="str">
        <f>IFERROR(__xludf.DUMMYFUNCTION("""COMPUTED_VALUE"""),"MEDAN")</f>
        <v>MEDAN</v>
      </c>
      <c r="F2626" s="222" t="str">
        <f>IFERROR(__xludf.DUMMYFUNCTION("""COMPUTED_VALUE"""),"SKI")</f>
        <v>SKI</v>
      </c>
      <c r="G2626" s="222" t="str">
        <f>IFERROR(__xludf.DUMMYFUNCTION("""COMPUTED_VALUE"""),"SUMBAGUT")</f>
        <v>SUMBAGUT</v>
      </c>
      <c r="H2626" s="222" t="str">
        <f>IFERROR(__xludf.DUMMYFUNCTION("""COMPUTED_VALUE"""),"MEDAN")</f>
        <v>MEDAN</v>
      </c>
      <c r="I2626" s="222" t="str">
        <f>IFERROR(__xludf.DUMMYFUNCTION("""COMPUTED_VALUE"""),"Batch 3")</f>
        <v>Batch 3</v>
      </c>
      <c r="J2626" s="225">
        <f>IFERROR(__xludf.DUMMYFUNCTION("""COMPUTED_VALUE"""),13.0)</f>
        <v>13</v>
      </c>
      <c r="K2626" s="224">
        <f>IFERROR(__xludf.DUMMYFUNCTION("""COMPUTED_VALUE"""),104.0)</f>
        <v>104</v>
      </c>
      <c r="L2626" s="226">
        <f>IFERROR(__xludf.DUMMYFUNCTION("""COMPUTED_VALUE"""),424854.0)</f>
        <v>424854</v>
      </c>
      <c r="M2626" s="227">
        <f>IFERROR(__xludf.DUMMYFUNCTION("""COMPUTED_VALUE"""),4.4184791E7)</f>
        <v>44184791</v>
      </c>
      <c r="N2626" s="222" t="str">
        <f>IFERROR(__xludf.DUMMYFUNCTION("""COMPUTED_VALUE"""),"PT UPENTEL INTERNASIONAL")</f>
        <v>PT UPENTEL INTERNASIONAL</v>
      </c>
      <c r="O2626" s="222" t="str">
        <f>IFERROR(__xludf.DUMMYFUNCTION("""COMPUTED_VALUE"""),"0. DROP")</f>
        <v>0. DROP</v>
      </c>
      <c r="P2626" s="222" t="str">
        <f>IFERROR(__xludf.DUMMYFUNCTION("""COMPUTED_VALUE"""),"0.3 Feeder Full")</f>
        <v>0.3 Feeder Full</v>
      </c>
      <c r="Q2626" s="222" t="str">
        <f>IFERROR(__xludf.DUMMYFUNCTION("""COMPUTED_VALUE"""),"19/02 Feeder Penuh 18/02 Komitmen 23/02")</f>
        <v>19/02 Feeder Penuh 18/02 Komitmen 23/02</v>
      </c>
      <c r="R2626" s="228"/>
      <c r="S2626" s="11"/>
      <c r="T2626" s="11"/>
      <c r="U2626" s="11"/>
      <c r="V2626" s="229"/>
      <c r="W2626" s="229"/>
      <c r="X2626" s="229" t="str">
        <f>IFERROR(__xludf.DUMMYFUNCTION("""COMPUTED_VALUE"""),"BELUM GOLIVE")</f>
        <v>BELUM GOLIVE</v>
      </c>
      <c r="Y2626" s="229"/>
      <c r="Z2626" s="229" t="str">
        <f>IFERROR(__xludf.DUMMYFUNCTION("""COMPUTED_VALUE"""),"#N/A")</f>
        <v>#N/A</v>
      </c>
      <c r="AA2626" s="229"/>
      <c r="AB2626" s="229"/>
      <c r="AC2626" s="229"/>
      <c r="AD2626" s="232"/>
      <c r="AE2626" s="233"/>
      <c r="AF2626" s="54"/>
      <c r="AG2626" s="54"/>
      <c r="AH2626" s="54"/>
      <c r="AI2626" s="55" t="str">
        <f t="shared" si="239"/>
        <v/>
      </c>
      <c r="AW2626" s="234"/>
      <c r="BP2626" s="11"/>
      <c r="BQ2626" s="11"/>
      <c r="BV2626" s="158"/>
      <c r="BY2626" s="158"/>
      <c r="CB2626" s="158"/>
    </row>
    <row r="2627" ht="18.0" customHeight="1">
      <c r="A2627" s="222">
        <f>IFERROR(__xludf.DUMMYFUNCTION("""COMPUTED_VALUE"""),2026.0)</f>
        <v>2026</v>
      </c>
      <c r="B2627" s="221">
        <f>IFERROR(__xludf.DUMMYFUNCTION("""COMPUTED_VALUE"""),1.2581606E7)</f>
        <v>12581606</v>
      </c>
      <c r="C2627" s="222" t="str">
        <f>IFERROR(__xludf.DUMMYFUNCTION("""COMPUTED_VALUE"""),"SMB PT3-ULK-FL 250_-408_2407")</f>
        <v>SMB PT3-ULK-FL 250_-408_2407</v>
      </c>
      <c r="D2627" s="222" t="str">
        <f>IFERROR(__xludf.DUMMYFUNCTION("""COMPUTED_VALUE"""),"REGIONAL I")</f>
        <v>REGIONAL I</v>
      </c>
      <c r="E2627" s="222" t="str">
        <f>IFERROR(__xludf.DUMMYFUNCTION("""COMPUTED_VALUE"""),"SUMBAR")</f>
        <v>SUMBAR</v>
      </c>
      <c r="F2627" s="222" t="str">
        <f>IFERROR(__xludf.DUMMYFUNCTION("""COMPUTED_VALUE"""),"ULK")</f>
        <v>ULK</v>
      </c>
      <c r="G2627" s="222" t="str">
        <f>IFERROR(__xludf.DUMMYFUNCTION("""COMPUTED_VALUE"""),"SUMBAGTENG")</f>
        <v>SUMBAGTENG</v>
      </c>
      <c r="H2627" s="222" t="str">
        <f>IFERROR(__xludf.DUMMYFUNCTION("""COMPUTED_VALUE"""),"PADANG")</f>
        <v>PADANG</v>
      </c>
      <c r="I2627" s="222" t="str">
        <f>IFERROR(__xludf.DUMMYFUNCTION("""COMPUTED_VALUE"""),"Batch 3")</f>
        <v>Batch 3</v>
      </c>
      <c r="J2627" s="225">
        <f>IFERROR(__xludf.DUMMYFUNCTION("""COMPUTED_VALUE"""),3.0)</f>
        <v>3</v>
      </c>
      <c r="K2627" s="224">
        <f>IFERROR(__xludf.DUMMYFUNCTION("""COMPUTED_VALUE"""),24.0)</f>
        <v>24</v>
      </c>
      <c r="L2627" s="226">
        <f>IFERROR(__xludf.DUMMYFUNCTION("""COMPUTED_VALUE"""),421307.0)</f>
        <v>421307</v>
      </c>
      <c r="M2627" s="227">
        <f>IFERROR(__xludf.DUMMYFUNCTION("""COMPUTED_VALUE"""),1.0111345E7)</f>
        <v>10111345</v>
      </c>
      <c r="N2627" s="222" t="str">
        <f>IFERROR(__xludf.DUMMYFUNCTION("""COMPUTED_VALUE"""),"PT TRI PENAMAS")</f>
        <v>PT TRI PENAMAS</v>
      </c>
      <c r="O2627" s="222" t="str">
        <f>IFERROR(__xludf.DUMMYFUNCTION("""COMPUTED_VALUE"""),"8. UJI TERIMA")</f>
        <v>8. UJI TERIMA</v>
      </c>
      <c r="P2627" s="222" t="str">
        <f>IFERROR(__xludf.DUMMYFUNCTION("""COMPUTED_VALUE"""),"8.1 Proses UT")</f>
        <v>8.1 Proses UT</v>
      </c>
      <c r="Q2627" s="222" t="str">
        <f>IFERROR(__xludf.DUMMYFUNCTION("""COMPUTED_VALUE"""),"(18/02) Terminasi ODP  (29/01) Proses create PID (29/01) proses aanwijziing  ")</f>
        <v>(18/02) Terminasi ODP  (29/01) Proses create PID (29/01) proses aanwijziing  </v>
      </c>
      <c r="R2627" s="228">
        <f>IFERROR(__xludf.DUMMYFUNCTION("""COMPUTED_VALUE"""),46080.0)</f>
        <v>46080</v>
      </c>
      <c r="S2627" s="11"/>
      <c r="T2627" s="11"/>
      <c r="U2627" s="11" t="str">
        <f>IFERROR(__xludf.DUMMYFUNCTION("""COMPUTED_VALUE"""),"TIF-3056/2026 26KT03R158-0047")</f>
        <v>TIF-3056/2026 26KT03R158-0047</v>
      </c>
      <c r="V2627" s="229" t="str">
        <f>IFERROR(__xludf.DUMMYFUNCTION("""COMPUTED_VALUE"""),"FABIO RAHMAN")</f>
        <v>FABIO RAHMAN</v>
      </c>
      <c r="W2627" s="229" t="str">
        <f>IFERROR(__xludf.DUMMYFUNCTION("""COMPUTED_VALUE"""),"MELKO NARWADI")</f>
        <v>MELKO NARWADI</v>
      </c>
      <c r="X2627" s="229" t="str">
        <f>IFERROR(__xludf.DUMMYFUNCTION("""COMPUTED_VALUE"""),"GOLIVE")</f>
        <v>GOLIVE</v>
      </c>
      <c r="Y2627" s="229" t="str">
        <f>IFERROR(__xludf.DUMMYFUNCTION("""COMPUTED_VALUE"""),"DONE")</f>
        <v>DONE</v>
      </c>
      <c r="Z2627" s="229" t="str">
        <f>IFERROR(__xludf.DUMMYFUNCTION("""COMPUTED_VALUE"""),"#N/A")</f>
        <v>#N/A</v>
      </c>
      <c r="AA2627" s="229">
        <f>IFERROR(__xludf.DUMMYFUNCTION("""COMPUTED_VALUE"""),3.0)</f>
        <v>3</v>
      </c>
      <c r="AB2627" s="229"/>
      <c r="AC2627" s="229" t="str">
        <f>IFERROR(__xludf.DUMMYFUNCTION("""COMPUTED_VALUE"""),"9141010#9141015")</f>
        <v>9141010#9141015</v>
      </c>
      <c r="AD2627" s="232">
        <f>IFERROR(__xludf.DUMMYFUNCTION("""COMPUTED_VALUE"""),24.0)</f>
        <v>24</v>
      </c>
      <c r="AE2627" s="233">
        <f>IFERROR(__xludf.DUMMYFUNCTION("""COMPUTED_VALUE"""),46077.0)</f>
        <v>46077</v>
      </c>
      <c r="AF2627" s="54"/>
      <c r="AG2627" s="54"/>
      <c r="AH2627" s="54">
        <v>46080.0</v>
      </c>
      <c r="AI2627" s="55">
        <f t="shared" si="239"/>
        <v>3</v>
      </c>
      <c r="AW2627" s="234"/>
      <c r="BP2627" s="11"/>
      <c r="BQ2627" s="11"/>
      <c r="BV2627" s="158"/>
      <c r="BY2627" s="158"/>
      <c r="CB2627" s="158"/>
    </row>
    <row r="2628" ht="18.0" customHeight="1">
      <c r="A2628" s="222">
        <f>IFERROR(__xludf.DUMMYFUNCTION("""COMPUTED_VALUE"""),2026.0)</f>
        <v>2026</v>
      </c>
      <c r="B2628" s="221">
        <f>IFERROR(__xludf.DUMMYFUNCTION("""COMPUTED_VALUE"""),1.2816786E7)</f>
        <v>12816786</v>
      </c>
      <c r="C2628" s="222" t="str">
        <f>IFERROR(__xludf.DUMMYFUNCTION("""COMPUTED_VALUE"""),"SMB-PT3-ODC-PUK-FA-PAR-84285 - 20793")</f>
        <v>SMB-PT3-ODC-PUK-FA-PAR-84285 - 20793</v>
      </c>
      <c r="D2628" s="222" t="str">
        <f>IFERROR(__xludf.DUMMYFUNCTION("""COMPUTED_VALUE"""),"REGIONAL I")</f>
        <v>REGIONAL I</v>
      </c>
      <c r="E2628" s="222" t="str">
        <f>IFERROR(__xludf.DUMMYFUNCTION("""COMPUTED_VALUE"""),"SUMBAR")</f>
        <v>SUMBAR</v>
      </c>
      <c r="F2628" s="222" t="str">
        <f>IFERROR(__xludf.DUMMYFUNCTION("""COMPUTED_VALUE"""),"PUK")</f>
        <v>PUK</v>
      </c>
      <c r="G2628" s="222" t="str">
        <f>IFERROR(__xludf.DUMMYFUNCTION("""COMPUTED_VALUE"""),"SUMBAGTENG")</f>
        <v>SUMBAGTENG</v>
      </c>
      <c r="H2628" s="222" t="str">
        <f>IFERROR(__xludf.DUMMYFUNCTION("""COMPUTED_VALUE"""),"BUKIT TINGGI")</f>
        <v>BUKIT TINGGI</v>
      </c>
      <c r="I2628" s="222" t="str">
        <f>IFERROR(__xludf.DUMMYFUNCTION("""COMPUTED_VALUE"""),"Batch 3")</f>
        <v>Batch 3</v>
      </c>
      <c r="J2628" s="225">
        <f>IFERROR(__xludf.DUMMYFUNCTION("""COMPUTED_VALUE"""),4.0)</f>
        <v>4</v>
      </c>
      <c r="K2628" s="224">
        <f>IFERROR(__xludf.DUMMYFUNCTION("""COMPUTED_VALUE"""),32.0)</f>
        <v>32</v>
      </c>
      <c r="L2628" s="226">
        <f>IFERROR(__xludf.DUMMYFUNCTION("""COMPUTED_VALUE"""),419784.0)</f>
        <v>419784</v>
      </c>
      <c r="M2628" s="227">
        <f>IFERROR(__xludf.DUMMYFUNCTION("""COMPUTED_VALUE"""),1.3433086E7)</f>
        <v>13433086</v>
      </c>
      <c r="N2628" s="222" t="str">
        <f>IFERROR(__xludf.DUMMYFUNCTION("""COMPUTED_VALUE"""),"PT PUTRI JAYA AKSES")</f>
        <v>PT PUTRI JAYA AKSES</v>
      </c>
      <c r="O2628" s="222" t="str">
        <f>IFERROR(__xludf.DUMMYFUNCTION("""COMPUTED_VALUE"""),"8. UJI TERIMA")</f>
        <v>8. UJI TERIMA</v>
      </c>
      <c r="P2628" s="222" t="str">
        <f>IFERROR(__xludf.DUMMYFUNCTION("""COMPUTED_VALUE"""),"8.1 Proses UT")</f>
        <v>8.1 Proses UT</v>
      </c>
      <c r="Q2628" s="222" t="str">
        <f>IFERROR(__xludf.DUMMYFUNCTION("""COMPUTED_VALUE"""),"(02/02) Proses Create PID (29/01) Done aanwijziing  , proses eval")</f>
        <v>(02/02) Proses Create PID (29/01) Done aanwijziing  , proses eval</v>
      </c>
      <c r="R2628" s="228">
        <f>IFERROR(__xludf.DUMMYFUNCTION("""COMPUTED_VALUE"""),46066.0)</f>
        <v>46066</v>
      </c>
      <c r="S2628" s="11"/>
      <c r="T2628" s="11"/>
      <c r="U2628" s="11" t="str">
        <f>IFERROR(__xludf.DUMMYFUNCTION("""COMPUTED_VALUE"""),"TIF-3068/2026 26KT03R158-0042")</f>
        <v>TIF-3068/2026 26KT03R158-0042</v>
      </c>
      <c r="V2628" s="229" t="str">
        <f>IFERROR(__xludf.DUMMYFUNCTION("""COMPUTED_VALUE"""),"JANUAR RIZAL")</f>
        <v>JANUAR RIZAL</v>
      </c>
      <c r="W2628" s="229" t="str">
        <f>IFERROR(__xludf.DUMMYFUNCTION("""COMPUTED_VALUE"""),"MELKO NARWADI")</f>
        <v>MELKO NARWADI</v>
      </c>
      <c r="X2628" s="229" t="str">
        <f>IFERROR(__xludf.DUMMYFUNCTION("""COMPUTED_VALUE"""),"GOLIVE")</f>
        <v>GOLIVE</v>
      </c>
      <c r="Y2628" s="229" t="str">
        <f>IFERROR(__xludf.DUMMYFUNCTION("""COMPUTED_VALUE"""),"DONE")</f>
        <v>DONE</v>
      </c>
      <c r="Z2628" s="229" t="str">
        <f>IFERROR(__xludf.DUMMYFUNCTION("""COMPUTED_VALUE"""),"#N/A")</f>
        <v>#N/A</v>
      </c>
      <c r="AA2628" s="229">
        <f>IFERROR(__xludf.DUMMYFUNCTION("""COMPUTED_VALUE"""),2.0)</f>
        <v>2</v>
      </c>
      <c r="AB2628" s="229"/>
      <c r="AC2628" s="229" t="str">
        <f>IFERROR(__xludf.DUMMYFUNCTION("""COMPUTED_VALUE"""),"9117896#9117901")</f>
        <v>9117896#9117901</v>
      </c>
      <c r="AD2628" s="232">
        <f>IFERROR(__xludf.DUMMYFUNCTION("""COMPUTED_VALUE"""),16.0)</f>
        <v>16</v>
      </c>
      <c r="AE2628" s="233">
        <f>IFERROR(__xludf.DUMMYFUNCTION("""COMPUTED_VALUE"""),46070.0)</f>
        <v>46070</v>
      </c>
      <c r="AF2628" s="54"/>
      <c r="AG2628" s="54"/>
      <c r="AH2628" s="54">
        <v>46066.0</v>
      </c>
      <c r="AI2628" s="55">
        <f t="shared" si="239"/>
        <v>-4</v>
      </c>
      <c r="AW2628" s="234"/>
      <c r="BP2628" s="11"/>
      <c r="BQ2628" s="11"/>
      <c r="BV2628" s="158"/>
      <c r="BY2628" s="158"/>
      <c r="CB2628" s="158"/>
    </row>
    <row r="2629" ht="18.0" customHeight="1">
      <c r="A2629" s="222">
        <f>IFERROR(__xludf.DUMMYFUNCTION("""COMPUTED_VALUE"""),2026.0)</f>
        <v>2026</v>
      </c>
      <c r="B2629" s="221">
        <f>IFERROR(__xludf.DUMMYFUNCTION("""COMPUTED_VALUE"""),1.2574563E7)</f>
        <v>12574563</v>
      </c>
      <c r="C2629" s="222" t="str">
        <f>IFERROR(__xludf.DUMMYFUNCTION("""COMPUTED_VALUE"""),"SMB PT3-HRU-FG 250_-73_2539")</f>
        <v>SMB PT3-HRU-FG 250_-73_2539</v>
      </c>
      <c r="D2629" s="222" t="str">
        <f>IFERROR(__xludf.DUMMYFUNCTION("""COMPUTED_VALUE"""),"REGIONAL I")</f>
        <v>REGIONAL I</v>
      </c>
      <c r="E2629" s="222" t="str">
        <f>IFERROR(__xludf.DUMMYFUNCTION("""COMPUTED_VALUE"""),"SUMBAR")</f>
        <v>SUMBAR</v>
      </c>
      <c r="F2629" s="222" t="str">
        <f>IFERROR(__xludf.DUMMYFUNCTION("""COMPUTED_VALUE"""),"HRU")</f>
        <v>HRU</v>
      </c>
      <c r="G2629" s="222" t="str">
        <f>IFERROR(__xludf.DUMMYFUNCTION("""COMPUTED_VALUE"""),"SUMBAGTENG")</f>
        <v>SUMBAGTENG</v>
      </c>
      <c r="H2629" s="222" t="str">
        <f>IFERROR(__xludf.DUMMYFUNCTION("""COMPUTED_VALUE"""),"BUKIT TINGGI")</f>
        <v>BUKIT TINGGI</v>
      </c>
      <c r="I2629" s="222" t="str">
        <f>IFERROR(__xludf.DUMMYFUNCTION("""COMPUTED_VALUE"""),"Batch 3")</f>
        <v>Batch 3</v>
      </c>
      <c r="J2629" s="225">
        <f>IFERROR(__xludf.DUMMYFUNCTION("""COMPUTED_VALUE"""),2.0)</f>
        <v>2</v>
      </c>
      <c r="K2629" s="224">
        <f>IFERROR(__xludf.DUMMYFUNCTION("""COMPUTED_VALUE"""),16.0)</f>
        <v>16</v>
      </c>
      <c r="L2629" s="226">
        <f>IFERROR(__xludf.DUMMYFUNCTION("""COMPUTED_VALUE"""),419596.0)</f>
        <v>419596</v>
      </c>
      <c r="M2629" s="227">
        <f>IFERROR(__xludf.DUMMYFUNCTION("""COMPUTED_VALUE"""),6713524.0)</f>
        <v>6713524</v>
      </c>
      <c r="N2629" s="222" t="str">
        <f>IFERROR(__xludf.DUMMYFUNCTION("""COMPUTED_VALUE"""),"PT RATRI PRIMA MANDIRI")</f>
        <v>PT RATRI PRIMA MANDIRI</v>
      </c>
      <c r="O2629" s="222" t="str">
        <f>IFERROR(__xludf.DUMMYFUNCTION("""COMPUTED_VALUE"""),"0. DROP")</f>
        <v>0. DROP</v>
      </c>
      <c r="P2629" s="222" t="str">
        <f>IFERROR(__xludf.DUMMYFUNCTION("""COMPUTED_VALUE"""),"0.3 Feeder Full")</f>
        <v>0.3 Feeder Full</v>
      </c>
      <c r="Q2629" s="222" t="str">
        <f>IFERROR(__xludf.DUMMYFUNCTION("""COMPUTED_VALUE"""),"(03/02) kendala feeder HRU-FG FULL (29/01) Done aanwijziing  , proses eval")</f>
        <v>(03/02) kendala feeder HRU-FG FULL (29/01) Done aanwijziing  , proses eval</v>
      </c>
      <c r="R2629" s="228"/>
      <c r="S2629" s="11"/>
      <c r="T2629" s="11"/>
      <c r="U2629" s="11"/>
      <c r="V2629" s="229" t="str">
        <f>IFERROR(__xludf.DUMMYFUNCTION("""COMPUTED_VALUE"""),"M. ARIF HAMADI")</f>
        <v>M. ARIF HAMADI</v>
      </c>
      <c r="W2629" s="229" t="str">
        <f>IFERROR(__xludf.DUMMYFUNCTION("""COMPUTED_VALUE"""),"MELKO NARWADI")</f>
        <v>MELKO NARWADI</v>
      </c>
      <c r="X2629" s="229"/>
      <c r="Y2629" s="229"/>
      <c r="Z2629" s="229" t="str">
        <f>IFERROR(__xludf.DUMMYFUNCTION("""COMPUTED_VALUE"""),"#N/A")</f>
        <v>#N/A</v>
      </c>
      <c r="AA2629" s="229"/>
      <c r="AB2629" s="229"/>
      <c r="AC2629" s="229"/>
      <c r="AD2629" s="232"/>
      <c r="AE2629" s="233"/>
      <c r="AF2629" s="54" t="str">
        <f>IFERROR(__xludf.DUMMYFUNCTION("""COMPUTED_VALUE"""),"Draft BA DROP")</f>
        <v>Draft BA DROP</v>
      </c>
      <c r="AG2629" s="54"/>
      <c r="AH2629" s="54"/>
      <c r="AI2629" s="55" t="str">
        <f t="shared" si="239"/>
        <v/>
      </c>
      <c r="AW2629" s="234"/>
      <c r="BP2629" s="11"/>
      <c r="BQ2629" s="11"/>
      <c r="BV2629" s="158"/>
      <c r="BY2629" s="158"/>
      <c r="CB2629" s="158"/>
    </row>
    <row r="2630" ht="18.0" hidden="1" customHeight="1">
      <c r="A2630" s="222">
        <f>IFERROR(__xludf.DUMMYFUNCTION("""COMPUTED_VALUE"""),2026.0)</f>
        <v>2026</v>
      </c>
      <c r="B2630" s="221">
        <f>IFERROR(__xludf.DUMMYFUNCTION("""COMPUTED_VALUE"""),1.2159519E7)</f>
        <v>12159519</v>
      </c>
      <c r="C2630" s="222" t="str">
        <f>IFERROR(__xludf.DUMMYFUNCTION("""COMPUTED_VALUE"""),"LPG PT3 JPP LAMPUNG TENGAH_47535 MET")</f>
        <v>LPG PT3 JPP LAMPUNG TENGAH_47535 MET</v>
      </c>
      <c r="D2630" s="222" t="str">
        <f>IFERROR(__xludf.DUMMYFUNCTION("""COMPUTED_VALUE"""),"REGIONAL I")</f>
        <v>REGIONAL I</v>
      </c>
      <c r="E2630" s="222" t="str">
        <f>IFERROR(__xludf.DUMMYFUNCTION("""COMPUTED_VALUE"""),"LAMPUNG")</f>
        <v>LAMPUNG</v>
      </c>
      <c r="F2630" s="222" t="str">
        <f>IFERROR(__xludf.DUMMYFUNCTION("""COMPUTED_VALUE"""),"MET")</f>
        <v>MET</v>
      </c>
      <c r="G2630" s="222" t="str">
        <f>IFERROR(__xludf.DUMMYFUNCTION("""COMPUTED_VALUE"""),"SUMBAGSEL")</f>
        <v>SUMBAGSEL</v>
      </c>
      <c r="H2630" s="222" t="str">
        <f>IFERROR(__xludf.DUMMYFUNCTION("""COMPUTED_VALUE"""),"LAMPUNG")</f>
        <v>LAMPUNG</v>
      </c>
      <c r="I2630" s="222" t="str">
        <f>IFERROR(__xludf.DUMMYFUNCTION("""COMPUTED_VALUE"""),"Batch 3")</f>
        <v>Batch 3</v>
      </c>
      <c r="J2630" s="225">
        <f>IFERROR(__xludf.DUMMYFUNCTION("""COMPUTED_VALUE"""),3.0)</f>
        <v>3</v>
      </c>
      <c r="K2630" s="224">
        <f>IFERROR(__xludf.DUMMYFUNCTION("""COMPUTED_VALUE"""),24.0)</f>
        <v>24</v>
      </c>
      <c r="L2630" s="226">
        <f>IFERROR(__xludf.DUMMYFUNCTION("""COMPUTED_VALUE"""),418900.0)</f>
        <v>418900</v>
      </c>
      <c r="M2630" s="227">
        <f>IFERROR(__xludf.DUMMYFUNCTION("""COMPUTED_VALUE"""),1.0053581E7)</f>
        <v>10053581</v>
      </c>
      <c r="N2630" s="222" t="str">
        <f>IFERROR(__xludf.DUMMYFUNCTION("""COMPUTED_VALUE"""),"PT FAJAR MITRA KRIDA ABADI")</f>
        <v>PT FAJAR MITRA KRIDA ABADI</v>
      </c>
      <c r="O2630" s="222" t="str">
        <f>IFERROR(__xludf.DUMMYFUNCTION("""COMPUTED_VALUE"""),"0. DROP")</f>
        <v>0. DROP</v>
      </c>
      <c r="P2630" s="222" t="str">
        <f>IFERROR(__xludf.DUMMYFUNCTION("""COMPUTED_VALUE"""),"0.2 Tidak Dapat Izin Warga/Kades/Lurah/Developer")</f>
        <v>0.2 Tidak Dapat Izin Warga/Kades/Lurah/Developer</v>
      </c>
      <c r="Q2630" s="222" t="str">
        <f>IFERROR(__xludf.DUMMYFUNCTION("""COMPUTED_VALUE"""),"6/2 Tidak dapat izin dari lurah")</f>
        <v>6/2 Tidak dapat izin dari lurah</v>
      </c>
      <c r="R2630" s="228"/>
      <c r="S2630" s="11"/>
      <c r="T2630" s="11"/>
      <c r="U2630" s="11"/>
      <c r="V2630" s="229"/>
      <c r="W2630" s="229"/>
      <c r="X2630" s="229"/>
      <c r="Y2630" s="229"/>
      <c r="Z2630" s="229" t="str">
        <f>IFERROR(__xludf.DUMMYFUNCTION("""COMPUTED_VALUE"""),"#N/A")</f>
        <v>#N/A</v>
      </c>
      <c r="AA2630" s="229"/>
      <c r="AB2630" s="229"/>
      <c r="AC2630" s="229"/>
      <c r="AD2630" s="232"/>
      <c r="AE2630" s="233"/>
      <c r="AF2630" s="54" t="str">
        <f>IFERROR(__xludf.DUMMYFUNCTION("""COMPUTED_VALUE"""),"Draft BA DROP")</f>
        <v>Draft BA DROP</v>
      </c>
      <c r="AG2630" s="54"/>
      <c r="AH2630" s="54"/>
      <c r="AI2630" s="55" t="str">
        <f t="shared" si="239"/>
        <v/>
      </c>
      <c r="AW2630" s="234"/>
      <c r="BP2630" s="11"/>
      <c r="BQ2630" s="11"/>
      <c r="BV2630" s="158"/>
      <c r="BY2630" s="158"/>
      <c r="CB2630" s="158"/>
    </row>
    <row r="2631" ht="18.0" customHeight="1">
      <c r="A2631" s="222">
        <f>IFERROR(__xludf.DUMMYFUNCTION("""COMPUTED_VALUE"""),2026.0)</f>
        <v>2026</v>
      </c>
      <c r="B2631" s="221">
        <f>IFERROR(__xludf.DUMMYFUNCTION("""COMPUTED_VALUE"""),1.2797862E7)</f>
        <v>12797862</v>
      </c>
      <c r="C2631" s="222" t="str">
        <f>IFERROR(__xludf.DUMMYFUNCTION("""COMPUTED_VALUE"""),"SMB-PT3-ODC-PAM-FG-PAR_21134 - 7LOP")</f>
        <v>SMB-PT3-ODC-PAM-FG-PAR_21134 - 7LOP</v>
      </c>
      <c r="D2631" s="222" t="str">
        <f>IFERROR(__xludf.DUMMYFUNCTION("""COMPUTED_VALUE"""),"REGIONAL I")</f>
        <v>REGIONAL I</v>
      </c>
      <c r="E2631" s="222" t="str">
        <f>IFERROR(__xludf.DUMMYFUNCTION("""COMPUTED_VALUE"""),"SUMBAR")</f>
        <v>SUMBAR</v>
      </c>
      <c r="F2631" s="222" t="str">
        <f>IFERROR(__xludf.DUMMYFUNCTION("""COMPUTED_VALUE"""),"PAM")</f>
        <v>PAM</v>
      </c>
      <c r="G2631" s="222" t="str">
        <f>IFERROR(__xludf.DUMMYFUNCTION("""COMPUTED_VALUE"""),"SUMBAGTENG")</f>
        <v>SUMBAGTENG</v>
      </c>
      <c r="H2631" s="222" t="str">
        <f>IFERROR(__xludf.DUMMYFUNCTION("""COMPUTED_VALUE"""),"BUKIT TINGGI")</f>
        <v>BUKIT TINGGI</v>
      </c>
      <c r="I2631" s="222" t="str">
        <f>IFERROR(__xludf.DUMMYFUNCTION("""COMPUTED_VALUE"""),"Batch 3")</f>
        <v>Batch 3</v>
      </c>
      <c r="J2631" s="225">
        <f>IFERROR(__xludf.DUMMYFUNCTION("""COMPUTED_VALUE"""),11.0)</f>
        <v>11</v>
      </c>
      <c r="K2631" s="224">
        <f>IFERROR(__xludf.DUMMYFUNCTION("""COMPUTED_VALUE"""),88.0)</f>
        <v>88</v>
      </c>
      <c r="L2631" s="226">
        <f>IFERROR(__xludf.DUMMYFUNCTION("""COMPUTED_VALUE"""),418707.0)</f>
        <v>418707</v>
      </c>
      <c r="M2631" s="227">
        <f>IFERROR(__xludf.DUMMYFUNCTION("""COMPUTED_VALUE"""),3.6846186E7)</f>
        <v>36846186</v>
      </c>
      <c r="N2631" s="222" t="str">
        <f>IFERROR(__xludf.DUMMYFUNCTION("""COMPUTED_VALUE"""),"PT PUTRI JAYA AKSES")</f>
        <v>PT PUTRI JAYA AKSES</v>
      </c>
      <c r="O2631" s="222" t="str">
        <f>IFERROR(__xludf.DUMMYFUNCTION("""COMPUTED_VALUE"""),"8. UJI TERIMA")</f>
        <v>8. UJI TERIMA</v>
      </c>
      <c r="P2631" s="222" t="str">
        <f>IFERROR(__xludf.DUMMYFUNCTION("""COMPUTED_VALUE"""),"8.1 Proses UT")</f>
        <v>8.1 Proses UT</v>
      </c>
      <c r="Q2631" s="222" t="str">
        <f>IFERROR(__xludf.DUMMYFUNCTION("""COMPUTED_VALUE"""),"(18/02) terminasi ODP PLan FI 19/02 (02/02) Proses Create PID (29/01) Done aanwijziing  , proses eval")</f>
        <v>(18/02) terminasi ODP PLan FI 19/02 (02/02) Proses Create PID (29/01) Done aanwijziing  , proses eval</v>
      </c>
      <c r="R2631" s="228">
        <f>IFERROR(__xludf.DUMMYFUNCTION("""COMPUTED_VALUE"""),46067.0)</f>
        <v>46067</v>
      </c>
      <c r="S2631" s="11"/>
      <c r="T2631" s="11"/>
      <c r="U2631" s="11" t="str">
        <f>IFERROR(__xludf.DUMMYFUNCTION("""COMPUTED_VALUE"""),"TIF-3071/2026 26KT03R158-0041")</f>
        <v>TIF-3071/2026 26KT03R158-0041</v>
      </c>
      <c r="V2631" s="229" t="str">
        <f>IFERROR(__xludf.DUMMYFUNCTION("""COMPUTED_VALUE"""),"JANUAR RIZAL")</f>
        <v>JANUAR RIZAL</v>
      </c>
      <c r="W2631" s="229" t="str">
        <f>IFERROR(__xludf.DUMMYFUNCTION("""COMPUTED_VALUE"""),"MELKO NARWADI")</f>
        <v>MELKO NARWADI</v>
      </c>
      <c r="X2631" s="229" t="str">
        <f>IFERROR(__xludf.DUMMYFUNCTION("""COMPUTED_VALUE"""),"GOLIVE")</f>
        <v>GOLIVE</v>
      </c>
      <c r="Y2631" s="229" t="str">
        <f>IFERROR(__xludf.DUMMYFUNCTION("""COMPUTED_VALUE"""),"DONE")</f>
        <v>DONE</v>
      </c>
      <c r="Z2631" s="229" t="str">
        <f>IFERROR(__xludf.DUMMYFUNCTION("""COMPUTED_VALUE"""),"#N/A")</f>
        <v>#N/A</v>
      </c>
      <c r="AA2631" s="229">
        <f>IFERROR(__xludf.DUMMYFUNCTION("""COMPUTED_VALUE"""),10.0)</f>
        <v>10</v>
      </c>
      <c r="AB2631" s="229"/>
      <c r="AC2631" s="229" t="str">
        <f>IFERROR(__xludf.DUMMYFUNCTION("""COMPUTED_VALUE"""),"9137832#9137837")</f>
        <v>9137832#9137837</v>
      </c>
      <c r="AD2631" s="232">
        <f>IFERROR(__xludf.DUMMYFUNCTION("""COMPUTED_VALUE"""),80.0)</f>
        <v>80</v>
      </c>
      <c r="AE2631" s="233">
        <f>IFERROR(__xludf.DUMMYFUNCTION("""COMPUTED_VALUE"""),46077.0)</f>
        <v>46077</v>
      </c>
      <c r="AF2631" s="54"/>
      <c r="AG2631" s="54"/>
      <c r="AH2631" s="54">
        <v>46067.0</v>
      </c>
      <c r="AI2631" s="55">
        <f t="shared" si="239"/>
        <v>-10</v>
      </c>
      <c r="AW2631" s="234"/>
      <c r="BP2631" s="11"/>
      <c r="BQ2631" s="11"/>
      <c r="BV2631" s="158"/>
      <c r="BY2631" s="158"/>
      <c r="CB2631" s="158"/>
    </row>
    <row r="2632" ht="18.0" hidden="1" customHeight="1">
      <c r="A2632" s="222">
        <f>IFERROR(__xludf.DUMMYFUNCTION("""COMPUTED_VALUE"""),2026.0)</f>
        <v>2026</v>
      </c>
      <c r="B2632" s="221">
        <f>IFERROR(__xludf.DUMMYFUNCTION("""COMPUTED_VALUE"""),1.2694024E7)</f>
        <v>12694024</v>
      </c>
      <c r="C2632" s="222" t="str">
        <f>IFERROR(__xludf.DUMMYFUNCTION("""COMPUTED_VALUE"""),"MDN PT3 SKI-FAF 250_1592_1668")</f>
        <v>MDN PT3 SKI-FAF 250_1592_1668</v>
      </c>
      <c r="D2632" s="222" t="str">
        <f>IFERROR(__xludf.DUMMYFUNCTION("""COMPUTED_VALUE"""),"REGIONAL I")</f>
        <v>REGIONAL I</v>
      </c>
      <c r="E2632" s="222" t="str">
        <f>IFERROR(__xludf.DUMMYFUNCTION("""COMPUTED_VALUE"""),"MEDAN")</f>
        <v>MEDAN</v>
      </c>
      <c r="F2632" s="222" t="str">
        <f>IFERROR(__xludf.DUMMYFUNCTION("""COMPUTED_VALUE"""),"SKI")</f>
        <v>SKI</v>
      </c>
      <c r="G2632" s="222" t="str">
        <f>IFERROR(__xludf.DUMMYFUNCTION("""COMPUTED_VALUE"""),"SUMBAGUT")</f>
        <v>SUMBAGUT</v>
      </c>
      <c r="H2632" s="222" t="str">
        <f>IFERROR(__xludf.DUMMYFUNCTION("""COMPUTED_VALUE"""),"MEDAN")</f>
        <v>MEDAN</v>
      </c>
      <c r="I2632" s="222" t="str">
        <f>IFERROR(__xludf.DUMMYFUNCTION("""COMPUTED_VALUE"""),"Batch 3")</f>
        <v>Batch 3</v>
      </c>
      <c r="J2632" s="225">
        <f>IFERROR(__xludf.DUMMYFUNCTION("""COMPUTED_VALUE"""),2.0)</f>
        <v>2</v>
      </c>
      <c r="K2632" s="224">
        <f>IFERROR(__xludf.DUMMYFUNCTION("""COMPUTED_VALUE"""),16.0)</f>
        <v>16</v>
      </c>
      <c r="L2632" s="226">
        <f>IFERROR(__xludf.DUMMYFUNCTION("""COMPUTED_VALUE"""),417324.0)</f>
        <v>417324</v>
      </c>
      <c r="M2632" s="227">
        <f>IFERROR(__xludf.DUMMYFUNCTION("""COMPUTED_VALUE"""),6677176.0)</f>
        <v>6677176</v>
      </c>
      <c r="N2632" s="222" t="str">
        <f>IFERROR(__xludf.DUMMYFUNCTION("""COMPUTED_VALUE"""),"PT UPENTEL INTERNASIONAL")</f>
        <v>PT UPENTEL INTERNASIONAL</v>
      </c>
      <c r="O2632" s="222" t="str">
        <f>IFERROR(__xludf.DUMMYFUNCTION("""COMPUTED_VALUE"""),"8. UJI TERIMA")</f>
        <v>8. UJI TERIMA</v>
      </c>
      <c r="P2632" s="222" t="str">
        <f>IFERROR(__xludf.DUMMYFUNCTION("""COMPUTED_VALUE"""),"8.1 Proses UT")</f>
        <v>8.1 Proses UT</v>
      </c>
      <c r="Q2632" s="222" t="str">
        <f>IFERROR(__xludf.DUMMYFUNCTION("""COMPUTED_VALUE"""),"03/03 penarikan KU 03/02 create PID/ pengambilan manual 20/02 menunggu req material aanwidzing 18/02 Komitmen 23/02")</f>
        <v>03/03 penarikan KU 03/02 create PID/ pengambilan manual 20/02 menunggu req material aanwidzing 18/02 Komitmen 23/02</v>
      </c>
      <c r="R2632" s="228">
        <f>IFERROR(__xludf.DUMMYFUNCTION("""COMPUTED_VALUE"""),46092.0)</f>
        <v>46092</v>
      </c>
      <c r="S2632" s="11" t="str">
        <f>IFERROR(__xludf.DUMMYFUNCTION("""COMPUTED_VALUE"""),"MAR")</f>
        <v>MAR</v>
      </c>
      <c r="T2632" s="11"/>
      <c r="U2632" s="11" t="str">
        <f>IFERROR(__xludf.DUMMYFUNCTION("""COMPUTED_VALUE"""),"FALSE")</f>
        <v>FALSE</v>
      </c>
      <c r="V2632" s="229"/>
      <c r="W2632" s="229" t="str">
        <f>IFERROR(__xludf.DUMMYFUNCTION("""COMPUTED_VALUE"""),"#N/A")</f>
        <v>#N/A</v>
      </c>
      <c r="X2632" s="229" t="str">
        <f>IFERROR(__xludf.DUMMYFUNCTION("""COMPUTED_VALUE"""),"GOLIVE")</f>
        <v>GOLIVE</v>
      </c>
      <c r="Y2632" s="229" t="str">
        <f>IFERROR(__xludf.DUMMYFUNCTION("""COMPUTED_VALUE"""),"DONE")</f>
        <v>DONE</v>
      </c>
      <c r="Z2632" s="229" t="str">
        <f>IFERROR(__xludf.DUMMYFUNCTION("""COMPUTED_VALUE"""),"#N/A")</f>
        <v>#N/A</v>
      </c>
      <c r="AA2632" s="229">
        <f>IFERROR(__xludf.DUMMYFUNCTION("""COMPUTED_VALUE"""),2.0)</f>
        <v>2</v>
      </c>
      <c r="AB2632" s="229"/>
      <c r="AC2632" s="229" t="str">
        <f>IFERROR(__xludf.DUMMYFUNCTION("""COMPUTED_VALUE"""),"9184699#9184704")</f>
        <v>9184699#9184704</v>
      </c>
      <c r="AD2632" s="232">
        <f>IFERROR(__xludf.DUMMYFUNCTION("""COMPUTED_VALUE"""),16.0)</f>
        <v>16</v>
      </c>
      <c r="AE2632" s="233">
        <f>IFERROR(__xludf.DUMMYFUNCTION("""COMPUTED_VALUE"""),46087.0)</f>
        <v>46087</v>
      </c>
      <c r="AF2632" s="54"/>
      <c r="AG2632" s="54"/>
      <c r="AH2632" s="54">
        <v>46092.0</v>
      </c>
      <c r="AI2632" s="55">
        <f t="shared" si="239"/>
        <v>5</v>
      </c>
      <c r="AW2632" s="234"/>
      <c r="BP2632" s="11"/>
      <c r="BQ2632" s="11"/>
      <c r="BV2632" s="158"/>
      <c r="BY2632" s="158"/>
      <c r="CB2632" s="158"/>
    </row>
    <row r="2633" ht="18.0" hidden="1" customHeight="1">
      <c r="A2633" s="222">
        <f>IFERROR(__xludf.DUMMYFUNCTION("""COMPUTED_VALUE"""),2026.0)</f>
        <v>2026</v>
      </c>
      <c r="B2633" s="221">
        <f>IFERROR(__xludf.DUMMYFUNCTION("""COMPUTED_VALUE"""),1.2787242E7)</f>
        <v>12787242</v>
      </c>
      <c r="C2633" s="222" t="str">
        <f>IFERROR(__xludf.DUMMYFUNCTION("""COMPUTED_VALUE"""),"LPG PT3 JPP LAMPUNG TENGAH_852 MET")</f>
        <v>LPG PT3 JPP LAMPUNG TENGAH_852 MET</v>
      </c>
      <c r="D2633" s="222" t="str">
        <f>IFERROR(__xludf.DUMMYFUNCTION("""COMPUTED_VALUE"""),"REGIONAL I")</f>
        <v>REGIONAL I</v>
      </c>
      <c r="E2633" s="222" t="str">
        <f>IFERROR(__xludf.DUMMYFUNCTION("""COMPUTED_VALUE"""),"LAMPUNG")</f>
        <v>LAMPUNG</v>
      </c>
      <c r="F2633" s="222" t="str">
        <f>IFERROR(__xludf.DUMMYFUNCTION("""COMPUTED_VALUE"""),"MET")</f>
        <v>MET</v>
      </c>
      <c r="G2633" s="222" t="str">
        <f>IFERROR(__xludf.DUMMYFUNCTION("""COMPUTED_VALUE"""),"SUMBAGSEL")</f>
        <v>SUMBAGSEL</v>
      </c>
      <c r="H2633" s="222" t="str">
        <f>IFERROR(__xludf.DUMMYFUNCTION("""COMPUTED_VALUE"""),"LAMPUNG")</f>
        <v>LAMPUNG</v>
      </c>
      <c r="I2633" s="222" t="str">
        <f>IFERROR(__xludf.DUMMYFUNCTION("""COMPUTED_VALUE"""),"Batch 3")</f>
        <v>Batch 3</v>
      </c>
      <c r="J2633" s="225">
        <f>IFERROR(__xludf.DUMMYFUNCTION("""COMPUTED_VALUE"""),10.0)</f>
        <v>10</v>
      </c>
      <c r="K2633" s="224">
        <f>IFERROR(__xludf.DUMMYFUNCTION("""COMPUTED_VALUE"""),80.0)</f>
        <v>80</v>
      </c>
      <c r="L2633" s="226">
        <f>IFERROR(__xludf.DUMMYFUNCTION("""COMPUTED_VALUE"""),417156.0)</f>
        <v>417156</v>
      </c>
      <c r="M2633" s="227">
        <f>IFERROR(__xludf.DUMMYFUNCTION("""COMPUTED_VALUE"""),3.3372453E7)</f>
        <v>33372453</v>
      </c>
      <c r="N2633" s="222" t="str">
        <f>IFERROR(__xludf.DUMMYFUNCTION("""COMPUTED_VALUE"""),"PT GARINDO TECHNO MANDIRI")</f>
        <v>PT GARINDO TECHNO MANDIRI</v>
      </c>
      <c r="O2633" s="222" t="str">
        <f>IFERROR(__xludf.DUMMYFUNCTION("""COMPUTED_VALUE"""),"7. GOLIVE")</f>
        <v>7. GOLIVE</v>
      </c>
      <c r="P2633" s="222" t="str">
        <f>IFERROR(__xludf.DUMMYFUNCTION("""COMPUTED_VALUE"""),"7.2 Golive Full / OA / DONE OTB")</f>
        <v>7.2 Golive Full / OA / DONE OTB</v>
      </c>
      <c r="Q2633" s="222" t="str">
        <f>IFERROR(__xludf.DUMMYFUNCTION("""COMPUTED_VALUE"""),"15/4 proses valid 4 15/4, plan golive 15/4 
13/4 Menunggu penambahan port olt di rumbia, TIF hold untuk golive parsial
25/3 PROSES INSTAL ODP (OLT hanya ada 1 port KURANG 2 PORT MODUL OLT RUMBIA  ) 13/3 PROSES INSTAL ODP PLAN FI 4/3  (OLT hanya ada 1 port"&amp;" KURANG 2 PORT MODUL OLT RUMBIA  )
2/3 PROSES INSTAL ODP PLAN FI 4/3  (OLT hanya ada 1 port KURANG 2 PORT MODUL OLT RUMBIA  )
27/2 PROGSER TARIK KABEL 26/2, PLAN GOLIVE 28/2
26/2 plan golive 28/2  25/2 PROGRES TANAM TIANG 28/2,  PLAN GOLIVE 4/3
24/2 prose"&amp;"s gali lubang tanam tiang 
20/2 proses amd budget
 11/2 plan matdel ,15/2 estimasi angkut material dari wh - 16 FEB EMPLOY (9/2)PLAN MATDEL 10 FEB 6/2 plan matdel ,16/2 matdel ,plan fi 24/2
4/2 stok material kosong ,estimasi tiba 07/2 
30/1 plan anwizing "&amp;" 
23/1 plan anwizing tanggal 26/4")</f>
        <v>15/4 proses valid 4 15/4, plan golive 15/4 
13/4 Menunggu penambahan port olt di rumbia, TIF hold untuk golive parsial
25/3 PROSES INSTAL ODP (OLT hanya ada 1 port KURANG 2 PORT MODUL OLT RUMBIA  ) 13/3 PROSES INSTAL ODP PLAN FI 4/3  (OLT hanya ada 1 port KURANG 2 PORT MODUL OLT RUMBIA  )
2/3 PROSES INSTAL ODP PLAN FI 4/3  (OLT hanya ada 1 port KURANG 2 PORT MODUL OLT RUMBIA  )
27/2 PROGSER TARIK KABEL 26/2, PLAN GOLIVE 28/2
26/2 plan golive 28/2  25/2 PROGRES TANAM TIANG 28/2,  PLAN GOLIVE 4/3
24/2 proses gali lubang tanam tiang 
20/2 proses amd budget
 11/2 plan matdel ,15/2 estimasi angkut material dari wh - 16 FEB EMPLOY (9/2)PLAN MATDEL 10 FEB 6/2 plan matdel ,16/2 matdel ,plan fi 24/2
4/2 stok material kosong ,estimasi tiba 07/2 
30/1 plan anwizing  
23/1 plan anwizing tanggal 26/4</v>
      </c>
      <c r="R2633" s="228">
        <f>IFERROR(__xludf.DUMMYFUNCTION("""COMPUTED_VALUE"""),46128.0)</f>
        <v>46128</v>
      </c>
      <c r="S2633" s="11" t="str">
        <f>IFERROR(__xludf.DUMMYFUNCTION("""COMPUTED_VALUE"""),"MAR")</f>
        <v>MAR</v>
      </c>
      <c r="T2633" s="11" t="str">
        <f>IFERROR(__xludf.DUMMYFUNCTION("""COMPUTED_VALUE"""),"P1")</f>
        <v>P1</v>
      </c>
      <c r="U2633" s="11" t="str">
        <f>IFERROR(__xludf.DUMMYFUNCTION("""COMPUTED_VALUE"""),"TIF-3546/2026")</f>
        <v>TIF-3546/2026</v>
      </c>
      <c r="V2633" s="229"/>
      <c r="W2633" s="229"/>
      <c r="X2633" s="229" t="str">
        <f>IFERROR(__xludf.DUMMYFUNCTION("""COMPUTED_VALUE"""),"GOLIVE")</f>
        <v>GOLIVE</v>
      </c>
      <c r="Y2633" s="229" t="str">
        <f>IFERROR(__xludf.DUMMYFUNCTION("""COMPUTED_VALUE"""),"DONE")</f>
        <v>DONE</v>
      </c>
      <c r="Z2633" s="229" t="str">
        <f>IFERROR(__xludf.DUMMYFUNCTION("""COMPUTED_VALUE"""),"#N/A")</f>
        <v>#N/A</v>
      </c>
      <c r="AA2633" s="229">
        <f>IFERROR(__xludf.DUMMYFUNCTION("""COMPUTED_VALUE"""),9.0)</f>
        <v>9</v>
      </c>
      <c r="AB2633" s="229"/>
      <c r="AC2633" s="229" t="str">
        <f>IFERROR(__xludf.DUMMYFUNCTION("""COMPUTED_VALUE"""),"9084498#9084503")</f>
        <v>9084498#9084503</v>
      </c>
      <c r="AD2633" s="232">
        <f>IFERROR(__xludf.DUMMYFUNCTION("""COMPUTED_VALUE"""),72.0)</f>
        <v>72</v>
      </c>
      <c r="AE2633" s="233">
        <f>IFERROR(__xludf.DUMMYFUNCTION("""COMPUTED_VALUE"""),46128.0)</f>
        <v>46128</v>
      </c>
      <c r="AF2633" s="54"/>
      <c r="AG2633" s="54"/>
      <c r="AH2633" s="54"/>
      <c r="AI2633" s="55">
        <f t="shared" si="239"/>
        <v>0</v>
      </c>
      <c r="AW2633" s="234"/>
      <c r="BP2633" s="11"/>
      <c r="BQ2633" s="11"/>
      <c r="BV2633" s="158"/>
      <c r="BY2633" s="158"/>
      <c r="CB2633" s="158"/>
    </row>
    <row r="2634" ht="18.0" hidden="1" customHeight="1">
      <c r="A2634" s="222">
        <f>IFERROR(__xludf.DUMMYFUNCTION("""COMPUTED_VALUE"""),2026.0)</f>
        <v>2026</v>
      </c>
      <c r="B2634" s="221">
        <f>IFERROR(__xludf.DUMMYFUNCTION("""COMPUTED_VALUE"""),1.2679261E7)</f>
        <v>12679261</v>
      </c>
      <c r="C2634" s="222" t="str">
        <f>IFERROR(__xludf.DUMMYFUNCTION("""COMPUTED_VALUE"""),"SMU PT3 GNT-FAB CLUST 250_670_2082")</f>
        <v>SMU PT3 GNT-FAB CLUST 250_670_2082</v>
      </c>
      <c r="D2634" s="222" t="str">
        <f>IFERROR(__xludf.DUMMYFUNCTION("""COMPUTED_VALUE"""),"REGIONAL I")</f>
        <v>REGIONAL I</v>
      </c>
      <c r="E2634" s="222" t="str">
        <f>IFERROR(__xludf.DUMMYFUNCTION("""COMPUTED_VALUE"""),"SUMUT")</f>
        <v>SUMUT</v>
      </c>
      <c r="F2634" s="222" t="str">
        <f>IFERROR(__xludf.DUMMYFUNCTION("""COMPUTED_VALUE"""),"GNT")</f>
        <v>GNT</v>
      </c>
      <c r="G2634" s="222" t="str">
        <f>IFERROR(__xludf.DUMMYFUNCTION("""COMPUTED_VALUE"""),"SUMBAGUT")</f>
        <v>SUMBAGUT</v>
      </c>
      <c r="H2634" s="222" t="str">
        <f>IFERROR(__xludf.DUMMYFUNCTION("""COMPUTED_VALUE"""),"RANTAU PRAPAT")</f>
        <v>RANTAU PRAPAT</v>
      </c>
      <c r="I2634" s="222" t="str">
        <f>IFERROR(__xludf.DUMMYFUNCTION("""COMPUTED_VALUE"""),"Batch 3")</f>
        <v>Batch 3</v>
      </c>
      <c r="J2634" s="225">
        <f>IFERROR(__xludf.DUMMYFUNCTION("""COMPUTED_VALUE"""),14.0)</f>
        <v>14</v>
      </c>
      <c r="K2634" s="224">
        <f>IFERROR(__xludf.DUMMYFUNCTION("""COMPUTED_VALUE"""),112.0)</f>
        <v>112</v>
      </c>
      <c r="L2634" s="226">
        <f>IFERROR(__xludf.DUMMYFUNCTION("""COMPUTED_VALUE"""),413430.0)</f>
        <v>413430</v>
      </c>
      <c r="M2634" s="227">
        <f>IFERROR(__xludf.DUMMYFUNCTION("""COMPUTED_VALUE"""),4.6304137E7)</f>
        <v>46304137</v>
      </c>
      <c r="N2634" s="222" t="str">
        <f>IFERROR(__xludf.DUMMYFUNCTION("""COMPUTED_VALUE"""),"PT MEDCOM SOLUTION")</f>
        <v>PT MEDCOM SOLUTION</v>
      </c>
      <c r="O2634" s="222" t="str">
        <f>IFERROR(__xludf.DUMMYFUNCTION("""COMPUTED_VALUE"""),"4. MATDEL")</f>
        <v>4. MATDEL</v>
      </c>
      <c r="P2634" s="222" t="str">
        <f>IFERROR(__xludf.DUMMYFUNCTION("""COMPUTED_VALUE"""),"4.2 Sudah Request Material (Alista)")</f>
        <v>4.2 Sudah Request Material (Alista)</v>
      </c>
      <c r="Q2634" s="222" t="str">
        <f>IFERROR(__xludf.DUMMYFUNCTION("""COMPUTED_VALUE"""),"24/4 prepair tim untuk pengambilan material, 23/4 prepair tim untuk pengambilan material, 22/4 proses input material di alista, 21/4 plan malam ini mitra mengirim req material, 20/4 mitra blm mengirim req material, 16/4 menunggu mitra req material, 15/4 m"&amp;"itra blm mengirim revisi boq, 14/4 mitra blm mengirim revisi boq, 13/4 mitra blm mengirim revisi boq, 9/4 plan malam ini mengirim revisi boq, 8/4 proses revisi boq kml, 6/4 revisi boq di submit besok 7 april, 5/4 menunggu submit revisi boq survey, 1/4 men"&amp;"unggu submit revisi boq survey, 31/3 menunggu submit boq kml survey, 30/3 menunggu submit boq kml survey, 27/3 menunggu submit boq kml survey,plan minggu 29 maret, 26/3 menunggu submit boq kml survey, 22/3 menunggu submit boq kml survey, 18/3 menunggu sub"&amp;"mit boq kml survey,16/3 plan submit boq kml survey besok 17 maret, 13/3 menunggu boq incloude kebutuhan qe, 11/3 menunggu boq incloude kebutuhan qe, 10/3 menunggu boq incloude kebutuhan qe, 9/3 proses cek cpp, 6/3 menunggu boq kml survey paralel kebutuhan"&amp;" qe,  sisa feeder ada 6 port, 4 core butuh qe, menunggu boq kml incloude kebutuha qe feeder,  5/3 menunggu boq kml survey paralel kebutuhan qe,  sisa feeder ada 6 port, 4 core butuh qe, menunggu boq kml incloude kebutuha qe feeder, 4/3 menunggu boq kml su"&amp;"rvey paralel kebutuhan qe,  sisa feeder ada 6 port, 4 core butuh qe, menunggu boq kml incloude kebutuha qe feeder, 3/3 menunggu boq kml survey paralel kebutuhan qe,  sisa feeder ada 6 port, 4 core butuh qe, menunggu boq kml incloude kebutuha qe feeder, 2/"&amp;"3 menunggu boq kml survey paralel kebutuhan qe,  sisa feeder ada 6 port, 4 core butuh qe, menunggu boq kml incloude kebutuha qe feeder, 27/2 menunggu boq kml survey paralel kebutuhan qe,  sisa feeder ada 6 port, 4 core butuh qe, menunggu boq kml incloude "&amp;"kebutuha qe feeder,   25/2 plan besok submit boq kml survey paralel kebutuhan qe,  sisa feeder ada 6 port, 4 core butuh qe, menunggu boq kml incloude kebutuha qe feeder,   24/2 menunggu boq kml survey paralel kebutuhan qe,  sisa feeder ada 6 port, 4 core "&amp;"butuh qe, menunggu boq kml incloude kebutuha qe feeder,  23/2 menunggu boq kml survey paralel kebutuhan qe,  sisa feeder ada 6 port, 4 core butuh qe, menunggu boq kml incloude kebutuha qe feeder,  22/2 menunggu boq kml survey paralel kebutuhan qe,  sisa f"&amp;"eeder ada 6 port, 4 core butuh qe, menunggu boq kml incloude kebutuha qe feeder, 20/2 sisa feeder ada 6 port, 4 core butuh qe, menunggu boq kml incloude kebutuha qe feeder, 19/2 sisa feeder ada 6 port, 4 core butuh qe, menunggu boq kml incloude kebutuha q"&amp;"e feeder,18/2 menunggu boq kml incloude kebutuha qe feeder, 16/2 menunggu boq kml incloude kebutuha qe feeder, 13/2 prepair team untuk survey est paling lambat 14 feb,  11/2 prepair team untuk survey est paling lambat 14 feb, 10/2 prepair team untuk surve"&amp;"y est paling lambat 14 feb, 9/2 prepair team untuk survey est paling lambat 14 feb, 6/2 prepair team untuk survey est paling lambat 14 feb, 5/2 prepair team untuk survey est paling lambat 14 feb, 3/2 plan survey 5/2 (peralihan dari mitra truputra), 2/2 pe"&amp;"nunjukan mitra ( peralihan dari mitra triputra),  1/2 penunjukan mitra ( peralihan dari mitra triputra), 30/1 penunjukan mitra ( peralihan dari mitra triputra), 28/1 penu jukan mitra ( peralihan dari mitra triputra), 27/1 plan survey tgl 28/1, 26/1 plan s"&amp;"urvey tgl 27/1,23/1 Plan survey tgl 27/1, 22/1 penunjukan mitra, 21/1 penunjukan mitra")</f>
        <v>24/4 prepair tim untuk pengambilan material, 23/4 prepair tim untuk pengambilan material, 22/4 proses input material di alista, 21/4 plan malam ini mitra mengirim req material, 20/4 mitra blm mengirim req material, 16/4 menunggu mitra req material, 15/4 mitra blm mengirim revisi boq, 14/4 mitra blm mengirim revisi boq, 13/4 mitra blm mengirim revisi boq, 9/4 plan malam ini mengirim revisi boq, 8/4 proses revisi boq kml, 6/4 revisi boq di submit besok 7 april, 5/4 menunggu submit revisi boq survey, 1/4 menunggu submit revisi boq survey, 31/3 menunggu submit boq kml survey, 30/3 menunggu submit boq kml survey, 27/3 menunggu submit boq kml survey,plan minggu 29 maret, 26/3 menunggu submit boq kml survey, 22/3 menunggu submit boq kml survey, 18/3 menunggu submit boq kml survey,16/3 plan submit boq kml survey besok 17 maret, 13/3 menunggu boq incloude kebutuhan qe, 11/3 menunggu boq incloude kebutuhan qe, 10/3 menunggu boq incloude kebutuhan qe, 9/3 proses cek cpp, 6/3 menunggu boq kml survey paralel kebutuhan qe,  sisa feeder ada 6 port, 4 core butuh qe, menunggu boq kml incloude kebutuha qe feeder,  5/3 menunggu boq kml survey paralel kebutuhan qe,  sisa feeder ada 6 port, 4 core butuh qe, menunggu boq kml incloude kebutuha qe feeder, 4/3 menunggu boq kml survey paralel kebutuhan qe,  sisa feeder ada 6 port, 4 core butuh qe, menunggu boq kml incloude kebutuha qe feeder, 3/3 menunggu boq kml survey paralel kebutuhan qe,  sisa feeder ada 6 port, 4 core butuh qe, menunggu boq kml incloude kebutuha qe feeder, 2/3 menunggu boq kml survey paralel kebutuhan qe,  sisa feeder ada 6 port, 4 core butuh qe, menunggu boq kml incloude kebutuha qe feeder, 27/2 menunggu boq kml survey paralel kebutuhan qe,  sisa feeder ada 6 port, 4 core butuh qe, menunggu boq kml incloude kebutuha qe feeder,   25/2 plan besok submit boq kml survey paralel kebutuhan qe,  sisa feeder ada 6 port, 4 core butuh qe, menunggu boq kml incloude kebutuha qe feeder,   24/2 menunggu boq kml survey paralel kebutuhan qe,  sisa feeder ada 6 port, 4 core butuh qe, menunggu boq kml incloude kebutuha qe feeder,  23/2 menunggu boq kml survey paralel kebutuhan qe,  sisa feeder ada 6 port, 4 core butuh qe, menunggu boq kml incloude kebutuha qe feeder,  22/2 menunggu boq kml survey paralel kebutuhan qe,  sisa feeder ada 6 port, 4 core butuh qe, menunggu boq kml incloude kebutuha qe feeder, 20/2 sisa feeder ada 6 port, 4 core butuh qe, menunggu boq kml incloude kebutuha qe feeder, 19/2 sisa feeder ada 6 port, 4 core butuh qe, menunggu boq kml incloude kebutuha qe feeder,18/2 menunggu boq kml incloude kebutuha qe feeder, 16/2 menunggu boq kml incloude kebutuha qe feeder, 13/2 prepair team untuk survey est paling lambat 14 feb,  11/2 prepair team untuk survey est paling lambat 14 feb, 10/2 prepair team untuk survey est paling lambat 14 feb, 9/2 prepair team untuk survey est paling lambat 14 feb, 6/2 prepair team untuk survey est paling lambat 14 feb, 5/2 prepair team untuk survey est paling lambat 14 feb, 3/2 plan survey 5/2 (peralihan dari mitra truputra), 2/2 penunjukan mitra ( peralihan dari mitra triputra),  1/2 penunjukan mitra ( peralihan dari mitra triputra), 30/1 penunjukan mitra ( peralihan dari mitra triputra), 28/1 penu jukan mitra ( peralihan dari mitra triputra), 27/1 plan survey tgl 28/1, 26/1 plan survey tgl 27/1,23/1 Plan survey tgl 27/1, 22/1 penunjukan mitra, 21/1 penunjukan mitra</v>
      </c>
      <c r="R2634" s="228"/>
      <c r="S2634" s="11"/>
      <c r="T2634" s="73"/>
      <c r="U2634" s="11" t="str">
        <f>IFERROR(__xludf.DUMMYFUNCTION("""COMPUTED_VALUE"""),"TIF-2048/2026")</f>
        <v>TIF-2048/2026</v>
      </c>
      <c r="V2634" s="229" t="str">
        <f>IFERROR(__xludf.DUMMYFUNCTION("""COMPUTED_VALUE"""),"27/Apr/2026")</f>
        <v>27/Apr/2026</v>
      </c>
      <c r="W2634" s="229"/>
      <c r="X2634" s="229" t="str">
        <f>IFERROR(__xludf.DUMMYFUNCTION("""COMPUTED_VALUE"""),"BELUM GOLIVE")</f>
        <v>BELUM GOLIVE</v>
      </c>
      <c r="Y2634" s="229" t="str">
        <f>IFERROR(__xludf.DUMMYFUNCTION("""COMPUTED_VALUE"""),"QE Feeder")</f>
        <v>QE Feeder</v>
      </c>
      <c r="Z2634" s="229" t="str">
        <f>IFERROR(__xludf.DUMMYFUNCTION("""COMPUTED_VALUE"""),"#N/A")</f>
        <v>#N/A</v>
      </c>
      <c r="AA2634" s="229"/>
      <c r="AB2634" s="229"/>
      <c r="AC2634" s="229"/>
      <c r="AD2634" s="232"/>
      <c r="AE2634" s="233"/>
      <c r="AF2634" s="54"/>
      <c r="AG2634" s="54"/>
      <c r="AH2634" s="54"/>
      <c r="AI2634" s="55" t="str">
        <f t="shared" si="239"/>
        <v/>
      </c>
      <c r="AW2634" s="234"/>
      <c r="BP2634" s="11"/>
      <c r="BQ2634" s="11"/>
      <c r="BV2634" s="158"/>
      <c r="BY2634" s="158"/>
      <c r="CB2634" s="158"/>
    </row>
    <row r="2635" ht="18.0" hidden="1" customHeight="1">
      <c r="A2635" s="222">
        <f>IFERROR(__xludf.DUMMYFUNCTION("""COMPUTED_VALUE"""),2026.0)</f>
        <v>2026</v>
      </c>
      <c r="B2635" s="221">
        <f>IFERROR(__xludf.DUMMYFUNCTION("""COMPUTED_VALUE"""),1.2438482E7)</f>
        <v>12438482</v>
      </c>
      <c r="C2635" s="222" t="str">
        <f>IFERROR(__xludf.DUMMYFUNCTION("""COMPUTED_VALUE"""),"MDN PT3 SKI-FAV SRIKANDI GG.SWADAYA_MD25")</f>
        <v>MDN PT3 SKI-FAV SRIKANDI GG.SWADAYA_MD25</v>
      </c>
      <c r="D2635" s="222" t="str">
        <f>IFERROR(__xludf.DUMMYFUNCTION("""COMPUTED_VALUE"""),"REGIONAL I")</f>
        <v>REGIONAL I</v>
      </c>
      <c r="E2635" s="222" t="str">
        <f>IFERROR(__xludf.DUMMYFUNCTION("""COMPUTED_VALUE"""),"MEDAN")</f>
        <v>MEDAN</v>
      </c>
      <c r="F2635" s="222" t="str">
        <f>IFERROR(__xludf.DUMMYFUNCTION("""COMPUTED_VALUE"""),"SKI")</f>
        <v>SKI</v>
      </c>
      <c r="G2635" s="222" t="str">
        <f>IFERROR(__xludf.DUMMYFUNCTION("""COMPUTED_VALUE"""),"SUMBAGUT")</f>
        <v>SUMBAGUT</v>
      </c>
      <c r="H2635" s="222" t="str">
        <f>IFERROR(__xludf.DUMMYFUNCTION("""COMPUTED_VALUE"""),"MEDAN")</f>
        <v>MEDAN</v>
      </c>
      <c r="I2635" s="222" t="str">
        <f>IFERROR(__xludf.DUMMYFUNCTION("""COMPUTED_VALUE"""),"Batch 3")</f>
        <v>Batch 3</v>
      </c>
      <c r="J2635" s="225">
        <f>IFERROR(__xludf.DUMMYFUNCTION("""COMPUTED_VALUE"""),2.0)</f>
        <v>2</v>
      </c>
      <c r="K2635" s="224">
        <f>IFERROR(__xludf.DUMMYFUNCTION("""COMPUTED_VALUE"""),16.0)</f>
        <v>16</v>
      </c>
      <c r="L2635" s="226">
        <f>IFERROR(__xludf.DUMMYFUNCTION("""COMPUTED_VALUE"""),413318.0)</f>
        <v>413318</v>
      </c>
      <c r="M2635" s="227">
        <f>IFERROR(__xludf.DUMMYFUNCTION("""COMPUTED_VALUE"""),6613082.0)</f>
        <v>6613082</v>
      </c>
      <c r="N2635" s="222" t="str">
        <f>IFERROR(__xludf.DUMMYFUNCTION("""COMPUTED_VALUE"""),"PT UPENTEL INTERNASIONAL")</f>
        <v>PT UPENTEL INTERNASIONAL</v>
      </c>
      <c r="O2635" s="222" t="str">
        <f>IFERROR(__xludf.DUMMYFUNCTION("""COMPUTED_VALUE"""),"2. DONE AANWIJZING")</f>
        <v>2. DONE AANWIJZING</v>
      </c>
      <c r="P2635" s="222" t="str">
        <f>IFERROR(__xludf.DUMMYFUNCTION("""COMPUTED_VALUE"""),"2.10 Kendala - Feeder Rusak")</f>
        <v>2.10 Kendala - Feeder Rusak</v>
      </c>
      <c r="Q2635" s="222" t="str">
        <f>IFERROR(__xludf.DUMMYFUNCTION("""COMPUTED_VALUE"""),"21/04 pengecekan tipus / butuh qe
18/02 Komitmen 23/02")</f>
        <v>21/04 pengecekan tipus / butuh qe
18/02 Komitmen 23/02</v>
      </c>
      <c r="R2635" s="228"/>
      <c r="S2635" s="11"/>
      <c r="T2635" s="11"/>
      <c r="U2635" s="11"/>
      <c r="V2635" s="229"/>
      <c r="W2635" s="229"/>
      <c r="X2635" s="229" t="str">
        <f>IFERROR(__xludf.DUMMYFUNCTION("""COMPUTED_VALUE"""),"BELUM GOLIVE")</f>
        <v>BELUM GOLIVE</v>
      </c>
      <c r="Y2635" s="229"/>
      <c r="Z2635" s="229" t="str">
        <f>IFERROR(__xludf.DUMMYFUNCTION("""COMPUTED_VALUE"""),"#N/A")</f>
        <v>#N/A</v>
      </c>
      <c r="AA2635" s="229"/>
      <c r="AB2635" s="229"/>
      <c r="AC2635" s="229"/>
      <c r="AD2635" s="232"/>
      <c r="AE2635" s="233"/>
      <c r="AF2635" s="54"/>
      <c r="AG2635" s="54"/>
      <c r="AH2635" s="54"/>
      <c r="AI2635" s="55" t="str">
        <f t="shared" si="239"/>
        <v/>
      </c>
      <c r="AW2635" s="234"/>
      <c r="BP2635" s="11"/>
      <c r="BQ2635" s="11"/>
      <c r="BV2635" s="158"/>
      <c r="BY2635" s="158"/>
      <c r="CB2635" s="158"/>
    </row>
    <row r="2636" ht="18.0" customHeight="1">
      <c r="A2636" s="222">
        <f>IFERROR(__xludf.DUMMYFUNCTION("""COMPUTED_VALUE"""),2026.0)</f>
        <v>2026</v>
      </c>
      <c r="B2636" s="221">
        <f>IFERROR(__xludf.DUMMYFUNCTION("""COMPUTED_VALUE"""),1.2858752E7)</f>
        <v>12858752</v>
      </c>
      <c r="C2636" s="222" t="str">
        <f>IFERROR(__xludf.DUMMYFUNCTION("""COMPUTED_VALUE"""),"SMB-PT3-ODC-KOU-FA-250_174_2418")</f>
        <v>SMB-PT3-ODC-KOU-FA-250_174_2418</v>
      </c>
      <c r="D2636" s="222" t="str">
        <f>IFERROR(__xludf.DUMMYFUNCTION("""COMPUTED_VALUE"""),"REGIONAL I")</f>
        <v>REGIONAL I</v>
      </c>
      <c r="E2636" s="222" t="str">
        <f>IFERROR(__xludf.DUMMYFUNCTION("""COMPUTED_VALUE"""),"SUMBAR")</f>
        <v>SUMBAR</v>
      </c>
      <c r="F2636" s="222" t="str">
        <f>IFERROR(__xludf.DUMMYFUNCTION("""COMPUTED_VALUE"""),"KOU")</f>
        <v>KOU</v>
      </c>
      <c r="G2636" s="222" t="str">
        <f>IFERROR(__xludf.DUMMYFUNCTION("""COMPUTED_VALUE"""),"SUMBAGTENG")</f>
        <v>SUMBAGTENG</v>
      </c>
      <c r="H2636" s="222" t="str">
        <f>IFERROR(__xludf.DUMMYFUNCTION("""COMPUTED_VALUE"""),"BUKIT TINGGI")</f>
        <v>BUKIT TINGGI</v>
      </c>
      <c r="I2636" s="222" t="str">
        <f>IFERROR(__xludf.DUMMYFUNCTION("""COMPUTED_VALUE"""),"Batch 3")</f>
        <v>Batch 3</v>
      </c>
      <c r="J2636" s="225">
        <f>IFERROR(__xludf.DUMMYFUNCTION("""COMPUTED_VALUE"""),5.0)</f>
        <v>5</v>
      </c>
      <c r="K2636" s="224">
        <f>IFERROR(__xludf.DUMMYFUNCTION("""COMPUTED_VALUE"""),40.0)</f>
        <v>40</v>
      </c>
      <c r="L2636" s="226">
        <f>IFERROR(__xludf.DUMMYFUNCTION("""COMPUTED_VALUE"""),404108.0)</f>
        <v>404108</v>
      </c>
      <c r="M2636" s="227">
        <f>IFERROR(__xludf.DUMMYFUNCTION("""COMPUTED_VALUE"""),1.6164315E7)</f>
        <v>16164315</v>
      </c>
      <c r="N2636" s="222" t="str">
        <f>IFERROR(__xludf.DUMMYFUNCTION("""COMPUTED_VALUE"""),"PT GARINDO TECHNO MANDIRI")</f>
        <v>PT GARINDO TECHNO MANDIRI</v>
      </c>
      <c r="O2636" s="222" t="str">
        <f>IFERROR(__xludf.DUMMYFUNCTION("""COMPUTED_VALUE"""),"7. GOLIVE")</f>
        <v>7. GOLIVE</v>
      </c>
      <c r="P2636" s="222" t="str">
        <f>IFERROR(__xludf.DUMMYFUNCTION("""COMPUTED_VALUE"""),"7.2 Golive Full / OA / DONE OTB")</f>
        <v>7.2 Golive Full / OA / DONE OTB</v>
      </c>
      <c r="Q2636" s="222" t="str">
        <f>IFERROR(__xludf.DUMMYFUNCTION("""COMPUTED_VALUE"""),"(30/03) ABD done KE SDI, Done UT(16/03) lanjut terminasi, comcase baru selesai (05/03) terminasi ODP, menunggu dana comcase (02/03) penyerahan dana comcase HI, dan lanjut instalasi  (18/02) Terminasi ODP, kendala comcase (05/02) proses tanam tiang (29/01)"&amp;" proses create PID (21/01) proses aanwijziing (07/01) Persiapan")</f>
        <v>(30/03) ABD done KE SDI, Done UT(16/03) lanjut terminasi, comcase baru selesai (05/03) terminasi ODP, menunggu dana comcase (02/03) penyerahan dana comcase HI, dan lanjut instalasi  (18/02) Terminasi ODP, kendala comcase (05/02) proses tanam tiang (29/01) proses create PID (21/01) proses aanwijziing (07/01) Persiapan</v>
      </c>
      <c r="R2636" s="228">
        <f>IFERROR(__xludf.DUMMYFUNCTION("""COMPUTED_VALUE"""),46095.0)</f>
        <v>46095</v>
      </c>
      <c r="S2636" s="11" t="str">
        <f>IFERROR(__xludf.DUMMYFUNCTION("""COMPUTED_VALUE"""),"MAR")</f>
        <v>MAR</v>
      </c>
      <c r="T2636" s="11"/>
      <c r="U2636" s="11" t="str">
        <f>IFERROR(__xludf.DUMMYFUNCTION("""COMPUTED_VALUE"""),"TIF-2384/2026 26KT03R158-0029")</f>
        <v>TIF-2384/2026 26KT03R158-0029</v>
      </c>
      <c r="V2636" s="229" t="str">
        <f>IFERROR(__xludf.DUMMYFUNCTION("""COMPUTED_VALUE"""),"DELPA YANDA")</f>
        <v>DELPA YANDA</v>
      </c>
      <c r="W2636" s="229" t="str">
        <f>IFERROR(__xludf.DUMMYFUNCTION("""COMPUTED_VALUE"""),"MELKO NARWADI")</f>
        <v>MELKO NARWADI</v>
      </c>
      <c r="X2636" s="229" t="str">
        <f>IFERROR(__xludf.DUMMYFUNCTION("""COMPUTED_VALUE"""),"GOLIVE")</f>
        <v>GOLIVE</v>
      </c>
      <c r="Y2636" s="229" t="str">
        <f>IFERROR(__xludf.DUMMYFUNCTION("""COMPUTED_VALUE"""),"DONE")</f>
        <v>DONE</v>
      </c>
      <c r="Z2636" s="229" t="str">
        <f>IFERROR(__xludf.DUMMYFUNCTION("""COMPUTED_VALUE"""),"#N/A")</f>
        <v>#N/A</v>
      </c>
      <c r="AA2636" s="229">
        <f>IFERROR(__xludf.DUMMYFUNCTION("""COMPUTED_VALUE"""),5.0)</f>
        <v>5</v>
      </c>
      <c r="AB2636" s="229"/>
      <c r="AC2636" s="229" t="str">
        <f>IFERROR(__xludf.DUMMYFUNCTION("""COMPUTED_VALUE"""),"9228574#9228579")</f>
        <v>9228574#9228579</v>
      </c>
      <c r="AD2636" s="232">
        <f>IFERROR(__xludf.DUMMYFUNCTION("""COMPUTED_VALUE"""),40.0)</f>
        <v>40</v>
      </c>
      <c r="AE2636" s="233">
        <f>IFERROR(__xludf.DUMMYFUNCTION("""COMPUTED_VALUE"""),46111.0)</f>
        <v>46111</v>
      </c>
      <c r="AF2636" s="54"/>
      <c r="AG2636" s="54"/>
      <c r="AH2636" s="54">
        <v>46095.0</v>
      </c>
      <c r="AI2636" s="55">
        <f>IF(OR(AH2636="",AE2636=""),"",AH2636-AE2636)</f>
        <v>-16</v>
      </c>
      <c r="AW2636" s="234"/>
      <c r="BP2636" s="11"/>
      <c r="BQ2636" s="11"/>
      <c r="BV2636" s="158"/>
      <c r="BY2636" s="158"/>
      <c r="CB2636" s="158"/>
    </row>
    <row r="2637" ht="18.0" customHeight="1">
      <c r="A2637" s="222">
        <f>IFERROR(__xludf.DUMMYFUNCTION("""COMPUTED_VALUE"""),2026.0)</f>
        <v>2026</v>
      </c>
      <c r="B2637" s="221">
        <f>IFERROR(__xludf.DUMMYFUNCTION("""COMPUTED_VALUE"""),1.2555976E7)</f>
        <v>12555976</v>
      </c>
      <c r="C2637" s="222" t="str">
        <f>IFERROR(__xludf.DUMMYFUNCTION("""COMPUTED_VALUE"""),"RKP TSEL PT2 TPI-FAB 250_400_4224")</f>
        <v>RKP TSEL PT2 TPI-FAB 250_400_4224</v>
      </c>
      <c r="D2637" s="222" t="str">
        <f>IFERROR(__xludf.DUMMYFUNCTION("""COMPUTED_VALUE"""),"REGIONAL I")</f>
        <v>REGIONAL I</v>
      </c>
      <c r="E2637" s="222" t="str">
        <f>IFERROR(__xludf.DUMMYFUNCTION("""COMPUTED_VALUE"""),"RIKEP")</f>
        <v>RIKEP</v>
      </c>
      <c r="F2637" s="222" t="str">
        <f>IFERROR(__xludf.DUMMYFUNCTION("""COMPUTED_VALUE"""),"TPI")</f>
        <v>TPI</v>
      </c>
      <c r="G2637" s="222" t="str">
        <f>IFERROR(__xludf.DUMMYFUNCTION("""COMPUTED_VALUE"""),"SUMBAGTENG")</f>
        <v>SUMBAGTENG</v>
      </c>
      <c r="H2637" s="222" t="str">
        <f>IFERROR(__xludf.DUMMYFUNCTION("""COMPUTED_VALUE"""),"BATAM")</f>
        <v>BATAM</v>
      </c>
      <c r="I2637" s="222" t="str">
        <f>IFERROR(__xludf.DUMMYFUNCTION("""COMPUTED_VALUE"""),"Batch 3")</f>
        <v>Batch 3</v>
      </c>
      <c r="J2637" s="225">
        <f>IFERROR(__xludf.DUMMYFUNCTION("""COMPUTED_VALUE"""),1.0)</f>
        <v>1</v>
      </c>
      <c r="K2637" s="224">
        <f>IFERROR(__xludf.DUMMYFUNCTION("""COMPUTED_VALUE"""),8.0)</f>
        <v>8</v>
      </c>
      <c r="L2637" s="226">
        <f>IFERROR(__xludf.DUMMYFUNCTION("""COMPUTED_VALUE"""),402563.0)</f>
        <v>402563</v>
      </c>
      <c r="M2637" s="227">
        <f>IFERROR(__xludf.DUMMYFUNCTION("""COMPUTED_VALUE"""),3220502.0)</f>
        <v>3220502</v>
      </c>
      <c r="N2637" s="222" t="str">
        <f>IFERROR(__xludf.DUMMYFUNCTION("""COMPUTED_VALUE"""),"SWAKELOLA")</f>
        <v>SWAKELOLA</v>
      </c>
      <c r="O2637" s="222" t="str">
        <f>IFERROR(__xludf.DUMMYFUNCTION("""COMPUTED_VALUE"""),"0. DROP")</f>
        <v>0. DROP</v>
      </c>
      <c r="P2637" s="222" t="str">
        <f>IFERROR(__xludf.DUMMYFUNCTION("""COMPUTED_VALUE"""),"0.2 Tidak Dapat Izin Warga/Kades/Lurah/Developer")</f>
        <v>0.2 Tidak Dapat Izin Warga/Kades/Lurah/Developer</v>
      </c>
      <c r="Q2637" s="222" t="str">
        <f>IFERROR(__xludf.DUMMYFUNCTION("""COMPUTED_VALUE"""),"04/03 Space tanam tiang tidak ada lagi karena posisi gang sempit. 
12/02 MP Terbatas di pulau tanjung pinang, tidak bisa komit sampai bulan maret. 09/02 plan anwijzing minggu ini, PIC mitra paralel progres installasi.04/02 Order Batch 3 di survey minggu d"&amp;"epan. 23/01 Plan anwijzing 26 Jan, Order Baru. 22/01 Order baru, proses penunjukan mitra")</f>
        <v>04/03 Space tanam tiang tidak ada lagi karena posisi gang sempit. 
12/02 MP Terbatas di pulau tanjung pinang, tidak bisa komit sampai bulan maret. 09/02 plan anwijzing minggu ini, PIC mitra paralel progres installasi.04/02 Order Batch 3 di survey minggu depan. 23/01 Plan anwijzing 26 Jan, Order Baru. 22/01 Order baru, proses penunjukan mitra</v>
      </c>
      <c r="R2637" s="228"/>
      <c r="S2637" s="11"/>
      <c r="T2637" s="11"/>
      <c r="U2637" s="11"/>
      <c r="V2637" s="229" t="str">
        <f>IFERROR(__xludf.DUMMYFUNCTION("""COMPUTED_VALUE"""),"DEDY IRAWAN")</f>
        <v>DEDY IRAWAN</v>
      </c>
      <c r="W2637" s="229"/>
      <c r="X2637" s="229"/>
      <c r="Y2637" s="229"/>
      <c r="Z2637" s="229" t="str">
        <f>IFERROR(__xludf.DUMMYFUNCTION("""COMPUTED_VALUE"""),"#N/A")</f>
        <v>#N/A</v>
      </c>
      <c r="AA2637" s="229"/>
      <c r="AB2637" s="229"/>
      <c r="AC2637" s="229"/>
      <c r="AD2637" s="232"/>
      <c r="AE2637" s="233"/>
      <c r="AF2637" s="54"/>
      <c r="AG2637" s="54"/>
      <c r="AH2637" s="54"/>
      <c r="AI2637" s="55" t="str">
        <f>IF(OR(R2637="",AE2637=""),"",R2637-AE2637)</f>
        <v/>
      </c>
      <c r="AW2637" s="234"/>
      <c r="BP2637" s="11"/>
      <c r="BQ2637" s="11"/>
      <c r="BV2637" s="158"/>
      <c r="BY2637" s="158"/>
      <c r="CB2637" s="158"/>
    </row>
    <row r="2638" ht="18.0" customHeight="1">
      <c r="A2638" s="222">
        <f>IFERROR(__xludf.DUMMYFUNCTION("""COMPUTED_VALUE"""),2026.0)</f>
        <v>2026</v>
      </c>
      <c r="B2638" s="221">
        <f>IFERROR(__xludf.DUMMYFUNCTION("""COMPUTED_VALUE"""),1.2557868E7)</f>
        <v>12557868</v>
      </c>
      <c r="C2638" s="222" t="str">
        <f>IFERROR(__xludf.DUMMYFUNCTION("""COMPUTED_VALUE"""),"RKP TSEL PT2 TUB-FA 250_470_4123")</f>
        <v>RKP TSEL PT2 TUB-FA 250_470_4123</v>
      </c>
      <c r="D2638" s="222" t="str">
        <f>IFERROR(__xludf.DUMMYFUNCTION("""COMPUTED_VALUE"""),"REGIONAL I")</f>
        <v>REGIONAL I</v>
      </c>
      <c r="E2638" s="222" t="str">
        <f>IFERROR(__xludf.DUMMYFUNCTION("""COMPUTED_VALUE"""),"RIKEP")</f>
        <v>RIKEP</v>
      </c>
      <c r="F2638" s="222" t="str">
        <f>IFERROR(__xludf.DUMMYFUNCTION("""COMPUTED_VALUE"""),"TUB")</f>
        <v>TUB</v>
      </c>
      <c r="G2638" s="222" t="str">
        <f>IFERROR(__xludf.DUMMYFUNCTION("""COMPUTED_VALUE"""),"SUMBAGTENG")</f>
        <v>SUMBAGTENG</v>
      </c>
      <c r="H2638" s="222" t="str">
        <f>IFERROR(__xludf.DUMMYFUNCTION("""COMPUTED_VALUE"""),"BATAM")</f>
        <v>BATAM</v>
      </c>
      <c r="I2638" s="222" t="str">
        <f>IFERROR(__xludf.DUMMYFUNCTION("""COMPUTED_VALUE"""),"Batch 3")</f>
        <v>Batch 3</v>
      </c>
      <c r="J2638" s="225">
        <f>IFERROR(__xludf.DUMMYFUNCTION("""COMPUTED_VALUE"""),1.0)</f>
        <v>1</v>
      </c>
      <c r="K2638" s="224">
        <f>IFERROR(__xludf.DUMMYFUNCTION("""COMPUTED_VALUE"""),8.0)</f>
        <v>8</v>
      </c>
      <c r="L2638" s="226">
        <f>IFERROR(__xludf.DUMMYFUNCTION("""COMPUTED_VALUE"""),402563.0)</f>
        <v>402563</v>
      </c>
      <c r="M2638" s="227">
        <f>IFERROR(__xludf.DUMMYFUNCTION("""COMPUTED_VALUE"""),3220502.0)</f>
        <v>3220502</v>
      </c>
      <c r="N2638" s="222" t="str">
        <f>IFERROR(__xludf.DUMMYFUNCTION("""COMPUTED_VALUE"""),"SWAKELOLA")</f>
        <v>SWAKELOLA</v>
      </c>
      <c r="O2638" s="222" t="str">
        <f>IFERROR(__xludf.DUMMYFUNCTION("""COMPUTED_VALUE"""),"2. DONE AANWIJZING")</f>
        <v>2. DONE AANWIJZING</v>
      </c>
      <c r="P2638" s="222" t="str">
        <f>IFERROR(__xludf.DUMMYFUNCTION("""COMPUTED_VALUE"""),"2.11 Kendala - Feeder Full / Dependensi LOP lain")</f>
        <v>2.11 Kendala - Feeder Full / Dependensi LOP lain</v>
      </c>
      <c r="Q2638" s="222" t="str">
        <f>IFERROR(__xludf.DUMMYFUNCTION("""COMPUTED_VALUE"""),"09/03 feeder Full, ODC gampang gangguan kalau di otak atik. 
05/03 MP Terbatas di pulau tanjung pinang,  plan anwijzing tgl 06/03 
12/02 MP Terbatas di pulau tanjung pinang, tidak bisa komit sampai bulan maret. 09/02 plan anwijzing minggu ini, PIC mitra p"&amp;"aralel progres installasi.04/02 Plan survey minggu depan. 23/01 Plan anwijzing 26 Jan, Order Baru. 22/01 Order baru, proses penunjukan mitra
")</f>
        <v>09/03 feeder Full, ODC gampang gangguan kalau di otak atik. 
05/03 MP Terbatas di pulau tanjung pinang,  plan anwijzing tgl 06/03 
12/02 MP Terbatas di pulau tanjung pinang, tidak bisa komit sampai bulan maret. 09/02 plan anwijzing minggu ini, PIC mitra paralel progres installasi.04/02 Plan survey minggu depan. 23/01 Plan anwijzing 26 Jan, Order Baru. 22/01 Order baru, proses penunjukan mitra
</v>
      </c>
      <c r="R2638" s="228"/>
      <c r="S2638" s="11"/>
      <c r="T2638" s="11"/>
      <c r="U2638" s="11"/>
      <c r="V2638" s="229" t="str">
        <f>IFERROR(__xludf.DUMMYFUNCTION("""COMPUTED_VALUE"""),"DEDY IRAWAN")</f>
        <v>DEDY IRAWAN</v>
      </c>
      <c r="W2638" s="229"/>
      <c r="X2638" s="229"/>
      <c r="Y2638" s="229"/>
      <c r="Z2638" s="229" t="str">
        <f>IFERROR(__xludf.DUMMYFUNCTION("""COMPUTED_VALUE"""),"#N/A")</f>
        <v>#N/A</v>
      </c>
      <c r="AA2638" s="229"/>
      <c r="AB2638" s="229"/>
      <c r="AC2638" s="229"/>
      <c r="AD2638" s="232"/>
      <c r="AE2638" s="233"/>
      <c r="AF2638" s="54"/>
      <c r="AG2638" s="54"/>
      <c r="AH2638" s="54">
        <v>46137.0</v>
      </c>
      <c r="AI2638" s="237">
        <f t="shared" ref="AI2638:AI2639" si="240">AH2638-NOW()</f>
        <v>-3.377989954</v>
      </c>
      <c r="AJ2638" s="229" t="str">
        <f t="shared" ref="AJ2638:AJ2639" si="241">if(AI2638&gt;=0,"In Komitmen","Out Komitmen")</f>
        <v>Out Komitmen</v>
      </c>
      <c r="AW2638" s="234"/>
      <c r="BP2638" s="11"/>
      <c r="BQ2638" s="11"/>
      <c r="BV2638" s="158"/>
      <c r="BY2638" s="158"/>
      <c r="CB2638" s="158"/>
    </row>
    <row r="2639" ht="18.0" customHeight="1">
      <c r="A2639" s="222">
        <f>IFERROR(__xludf.DUMMYFUNCTION("""COMPUTED_VALUE"""),2026.0)</f>
        <v>2026</v>
      </c>
      <c r="B2639" s="221">
        <f>IFERROR(__xludf.DUMMYFUNCTION("""COMPUTED_VALUE"""),1.2557881E7)</f>
        <v>12557881</v>
      </c>
      <c r="C2639" s="222" t="str">
        <f>IFERROR(__xludf.DUMMYFUNCTION("""COMPUTED_VALUE"""),"RKP TSEL PT2 TUB-FJ 250_477_4126")</f>
        <v>RKP TSEL PT2 TUB-FJ 250_477_4126</v>
      </c>
      <c r="D2639" s="222" t="str">
        <f>IFERROR(__xludf.DUMMYFUNCTION("""COMPUTED_VALUE"""),"REGIONAL I")</f>
        <v>REGIONAL I</v>
      </c>
      <c r="E2639" s="222" t="str">
        <f>IFERROR(__xludf.DUMMYFUNCTION("""COMPUTED_VALUE"""),"RIKEP")</f>
        <v>RIKEP</v>
      </c>
      <c r="F2639" s="222" t="str">
        <f>IFERROR(__xludf.DUMMYFUNCTION("""COMPUTED_VALUE"""),"TUB")</f>
        <v>TUB</v>
      </c>
      <c r="G2639" s="222" t="str">
        <f>IFERROR(__xludf.DUMMYFUNCTION("""COMPUTED_VALUE"""),"SUMBAGTENG")</f>
        <v>SUMBAGTENG</v>
      </c>
      <c r="H2639" s="222" t="str">
        <f>IFERROR(__xludf.DUMMYFUNCTION("""COMPUTED_VALUE"""),"BATAM")</f>
        <v>BATAM</v>
      </c>
      <c r="I2639" s="222" t="str">
        <f>IFERROR(__xludf.DUMMYFUNCTION("""COMPUTED_VALUE"""),"Batch 3")</f>
        <v>Batch 3</v>
      </c>
      <c r="J2639" s="225">
        <f>IFERROR(__xludf.DUMMYFUNCTION("""COMPUTED_VALUE"""),1.0)</f>
        <v>1</v>
      </c>
      <c r="K2639" s="224">
        <f>IFERROR(__xludf.DUMMYFUNCTION("""COMPUTED_VALUE"""),8.0)</f>
        <v>8</v>
      </c>
      <c r="L2639" s="226">
        <f>IFERROR(__xludf.DUMMYFUNCTION("""COMPUTED_VALUE"""),402563.0)</f>
        <v>402563</v>
      </c>
      <c r="M2639" s="227">
        <f>IFERROR(__xludf.DUMMYFUNCTION("""COMPUTED_VALUE"""),3220502.0)</f>
        <v>3220502</v>
      </c>
      <c r="N2639" s="222" t="str">
        <f>IFERROR(__xludf.DUMMYFUNCTION("""COMPUTED_VALUE"""),"PT SALTTEK DUMPANG JAYA")</f>
        <v>PT SALTTEK DUMPANG JAYA</v>
      </c>
      <c r="O2639" s="222" t="str">
        <f>IFERROR(__xludf.DUMMYFUNCTION("""COMPUTED_VALUE"""),"4. MATDEL")</f>
        <v>4. MATDEL</v>
      </c>
      <c r="P2639" s="222" t="str">
        <f>IFERROR(__xludf.DUMMYFUNCTION("""COMPUTED_VALUE"""),"4.3 Proses Kirim Mateial Kelokasi")</f>
        <v>4.3 Proses Kirim Mateial Kelokasi</v>
      </c>
      <c r="Q2639" s="222" t="str">
        <f>IFERROR(__xludf.DUMMYFUNCTION("""COMPUTED_VALUE"""),"24/04 tim serial, plan progres di bulan depan.
 21/04 Material kabel PO belum sampai di WH.
17/04  LOP Serial di pulau tanjung uban. Plan installasi tgl 25 Mei, Plan GL 26 Mei. 09/03 Izin OK core OK, MP serial masih mengerjakan LOP lain.
05/03 MP Terbatas"&amp;" di pulau tanjung pinang,  plan anwijzing tgl 06/03 
12/02 MP Terbatas di pulau tanjung pinang, tidak bisa komit sampai bulan maret. 09/02 plan anwijzing minggu ini, PIC mitra paralel progres installasi.04/02 Plan survey minggu depan. 23/01 Plan anwijzing"&amp;" 26 Jan, Order Baru. 22/01 Order baru, proses penunjukan mitra
")</f>
        <v>24/04 tim serial, plan progres di bulan depan.
 21/04 Material kabel PO belum sampai di WH.
17/04  LOP Serial di pulau tanjung uban. Plan installasi tgl 25 Mei, Plan GL 26 Mei. 09/03 Izin OK core OK, MP serial masih mengerjakan LOP lain.
05/03 MP Terbatas di pulau tanjung pinang,  plan anwijzing tgl 06/03 
12/02 MP Terbatas di pulau tanjung pinang, tidak bisa komit sampai bulan maret. 09/02 plan anwijzing minggu ini, PIC mitra paralel progres installasi.04/02 Plan survey minggu depan. 23/01 Plan anwijzing 26 Jan, Order Baru. 22/01 Order baru, proses penunjukan mitra
</v>
      </c>
      <c r="R2639" s="228"/>
      <c r="S2639" s="11"/>
      <c r="T2639" s="11"/>
      <c r="U2639" s="11" t="str">
        <f>IFERROR(__xludf.DUMMYFUNCTION("""COMPUTED_VALUE"""),"W09-283/2026")</f>
        <v>W09-283/2026</v>
      </c>
      <c r="V2639" s="229" t="str">
        <f>IFERROR(__xludf.DUMMYFUNCTION("""COMPUTED_VALUE"""),"DEDY IRAWAN")</f>
        <v>DEDY IRAWAN</v>
      </c>
      <c r="W2639" s="229"/>
      <c r="X2639" s="229"/>
      <c r="Y2639" s="229"/>
      <c r="Z2639" s="229" t="str">
        <f>IFERROR(__xludf.DUMMYFUNCTION("""COMPUTED_VALUE"""),"#N/A")</f>
        <v>#N/A</v>
      </c>
      <c r="AA2639" s="229"/>
      <c r="AB2639" s="229"/>
      <c r="AC2639" s="229"/>
      <c r="AD2639" s="232"/>
      <c r="AE2639" s="233"/>
      <c r="AF2639" s="54"/>
      <c r="AG2639" s="54"/>
      <c r="AH2639" s="54">
        <v>46130.0</v>
      </c>
      <c r="AI2639" s="237">
        <f t="shared" si="240"/>
        <v>-10.37798995</v>
      </c>
      <c r="AJ2639" s="229" t="str">
        <f t="shared" si="241"/>
        <v>Out Komitmen</v>
      </c>
      <c r="AW2639" s="234"/>
      <c r="BP2639" s="11"/>
      <c r="BQ2639" s="11"/>
      <c r="BV2639" s="158"/>
      <c r="BY2639" s="158"/>
      <c r="CB2639" s="158"/>
    </row>
    <row r="2640" ht="18.0" customHeight="1">
      <c r="A2640" s="222">
        <f>IFERROR(__xludf.DUMMYFUNCTION("""COMPUTED_VALUE"""),2026.0)</f>
        <v>2026</v>
      </c>
      <c r="B2640" s="221">
        <f>IFERROR(__xludf.DUMMYFUNCTION("""COMPUTED_VALUE"""),1.252476E7)</f>
        <v>12524760</v>
      </c>
      <c r="C2640" s="222" t="str">
        <f>IFERROR(__xludf.DUMMYFUNCTION("""COMPUTED_VALUE"""),"RKP TSEL PT3 KAI-FT 250_461_4083")</f>
        <v>RKP TSEL PT3 KAI-FT 250_461_4083</v>
      </c>
      <c r="D2640" s="222" t="str">
        <f>IFERROR(__xludf.DUMMYFUNCTION("""COMPUTED_VALUE"""),"REGIONAL I")</f>
        <v>REGIONAL I</v>
      </c>
      <c r="E2640" s="222" t="str">
        <f>IFERROR(__xludf.DUMMYFUNCTION("""COMPUTED_VALUE"""),"RIKEP")</f>
        <v>RIKEP</v>
      </c>
      <c r="F2640" s="222" t="str">
        <f>IFERROR(__xludf.DUMMYFUNCTION("""COMPUTED_VALUE"""),"KAI")</f>
        <v>KAI</v>
      </c>
      <c r="G2640" s="222" t="str">
        <f>IFERROR(__xludf.DUMMYFUNCTION("""COMPUTED_VALUE"""),"SUMBAGTENG")</f>
        <v>SUMBAGTENG</v>
      </c>
      <c r="H2640" s="222" t="str">
        <f>IFERROR(__xludf.DUMMYFUNCTION("""COMPUTED_VALUE"""),"BATAM")</f>
        <v>BATAM</v>
      </c>
      <c r="I2640" s="222" t="str">
        <f>IFERROR(__xludf.DUMMYFUNCTION("""COMPUTED_VALUE"""),"Batch 3")</f>
        <v>Batch 3</v>
      </c>
      <c r="J2640" s="225">
        <f>IFERROR(__xludf.DUMMYFUNCTION("""COMPUTED_VALUE"""),4.0)</f>
        <v>4</v>
      </c>
      <c r="K2640" s="224">
        <f>IFERROR(__xludf.DUMMYFUNCTION("""COMPUTED_VALUE"""),32.0)</f>
        <v>32</v>
      </c>
      <c r="L2640" s="226">
        <f>IFERROR(__xludf.DUMMYFUNCTION("""COMPUTED_VALUE"""),390283.0)</f>
        <v>390283</v>
      </c>
      <c r="M2640" s="227">
        <f>IFERROR(__xludf.DUMMYFUNCTION("""COMPUTED_VALUE"""),1.2489036E7)</f>
        <v>12489036</v>
      </c>
      <c r="N2640" s="222" t="str">
        <f>IFERROR(__xludf.DUMMYFUNCTION("""COMPUTED_VALUE"""),"PT MITRA AKSES INSANI")</f>
        <v>PT MITRA AKSES INSANI</v>
      </c>
      <c r="O2640" s="222" t="str">
        <f>IFERROR(__xludf.DUMMYFUNCTION("""COMPUTED_VALUE"""),"7. GOLIVE")</f>
        <v>7. GOLIVE</v>
      </c>
      <c r="P2640" s="222" t="str">
        <f>IFERROR(__xludf.DUMMYFUNCTION("""COMPUTED_VALUE"""),"7.2 Golive Full / OA / DONE OTB")</f>
        <v>7.2 Golive Full / OA / DONE OTB</v>
      </c>
      <c r="Q2640" s="222" t="str">
        <f>IFERROR(__xludf.DUMMYFUNCTION("""COMPUTED_VALUE"""),"22/04 Plan FI besok 23 Apr.
20/04 Terminasi ODP. 
17/04 Penarikan KU. Plan GL 23 Apr. 
13/04 Proeses REQ Material, tim serial.
07/04 Tim KU dari jawa sampai ke batam tanggal 03 april, plan progres, 14 april, plan GL 16 april.30/03 Plan mitra besok di FU k"&amp;"embali perizinan nya. 03/03 Plan perizinan besok 04 Maret. 16/02 Plan FU perizinan besok 18 Feb.09/02 belum di survey karena, PIC mitra masih fokus di installasi dan LOP butuh percepatan dari Telkomsel. 29/01 Plan survey tanggal 30 karena PIC mitra sdg be"&amp;"rhalangan. 28/01 Plan survey 29 Jan. 22/01 Plan survey 24 Jan ")</f>
        <v>22/04 Plan FI besok 23 Apr.
20/04 Terminasi ODP. 
17/04 Penarikan KU. Plan GL 23 Apr. 
13/04 Proeses REQ Material, tim serial.
07/04 Tim KU dari jawa sampai ke batam tanggal 03 april, plan progres, 14 april, plan GL 16 april.30/03 Plan mitra besok di FU kembali perizinan nya. 03/03 Plan perizinan besok 04 Maret. 16/02 Plan FU perizinan besok 18 Feb.09/02 belum di survey karena, PIC mitra masih fokus di installasi dan LOP butuh percepatan dari Telkomsel. 29/01 Plan survey tanggal 30 karena PIC mitra sdg berhalangan. 28/01 Plan survey 29 Jan. 22/01 Plan survey 24 Jan </v>
      </c>
      <c r="R2640" s="228">
        <f>IFERROR(__xludf.DUMMYFUNCTION("""COMPUTED_VALUE"""),46136.0)</f>
        <v>46136</v>
      </c>
      <c r="S2640" s="11" t="str">
        <f>IFERROR(__xludf.DUMMYFUNCTION("""COMPUTED_VALUE"""),"APR")</f>
        <v>APR</v>
      </c>
      <c r="T2640" s="73"/>
      <c r="U2640" s="11" t="str">
        <f>IFERROR(__xludf.DUMMYFUNCTION("""COMPUTED_VALUE"""),"TIF-7808/2026")</f>
        <v>TIF-7808/2026</v>
      </c>
      <c r="V2640" s="229" t="str">
        <f>IFERROR(__xludf.DUMMYFUNCTION("""COMPUTED_VALUE"""),"GANI PRASTYO")</f>
        <v>GANI PRASTYO</v>
      </c>
      <c r="W2640" s="229" t="str">
        <f>IFERROR(__xludf.DUMMYFUNCTION("""COMPUTED_VALUE"""),"LEVITA INDRIYANI")</f>
        <v>LEVITA INDRIYANI</v>
      </c>
      <c r="X2640" s="229" t="str">
        <f>IFERROR(__xludf.DUMMYFUNCTION("""COMPUTED_VALUE"""),"GOLIVE")</f>
        <v>GOLIVE</v>
      </c>
      <c r="Y2640" s="229" t="str">
        <f>IFERROR(__xludf.DUMMYFUNCTION("""COMPUTED_VALUE"""),"DONE")</f>
        <v>DONE</v>
      </c>
      <c r="Z2640" s="229" t="str">
        <f>IFERROR(__xludf.DUMMYFUNCTION("""COMPUTED_VALUE"""),"#N/A")</f>
        <v>#N/A</v>
      </c>
      <c r="AA2640" s="229">
        <f>IFERROR(__xludf.DUMMYFUNCTION("""COMPUTED_VALUE"""),4.0)</f>
        <v>4</v>
      </c>
      <c r="AB2640" s="229"/>
      <c r="AC2640" s="229" t="str">
        <f>IFERROR(__xludf.DUMMYFUNCTION("""COMPUTED_VALUE"""),"9273394#9273399")</f>
        <v>9273394#9273399</v>
      </c>
      <c r="AD2640" s="232">
        <f>IFERROR(__xludf.DUMMYFUNCTION("""COMPUTED_VALUE"""),32.0)</f>
        <v>32</v>
      </c>
      <c r="AE2640" s="233">
        <f>IFERROR(__xludf.DUMMYFUNCTION("""COMPUTED_VALUE"""),46136.0)</f>
        <v>46136</v>
      </c>
      <c r="AF2640" s="54"/>
      <c r="AG2640" s="54"/>
      <c r="AH2640" s="54">
        <v>46130.0</v>
      </c>
      <c r="AI2640" s="55">
        <f>AH2640-AE2640</f>
        <v>-6</v>
      </c>
      <c r="AJ2640" s="229" t="str">
        <f>if(AI2640&gt;=0,"Gl in Komitmen","Gl out komitmen")</f>
        <v>Gl out komitmen</v>
      </c>
      <c r="AK2640" s="231" t="s">
        <v>199</v>
      </c>
      <c r="AW2640" s="234"/>
      <c r="BP2640" s="11"/>
      <c r="BQ2640" s="11"/>
      <c r="BV2640" s="158"/>
      <c r="BY2640" s="158"/>
      <c r="CB2640" s="158"/>
    </row>
    <row r="2641" ht="18.0" hidden="1" customHeight="1">
      <c r="A2641" s="222">
        <f>IFERROR(__xludf.DUMMYFUNCTION("""COMPUTED_VALUE"""),2026.0)</f>
        <v>2026</v>
      </c>
      <c r="B2641" s="221">
        <f>IFERROR(__xludf.DUMMYFUNCTION("""COMPUTED_VALUE"""),1.2587452E7)</f>
        <v>12587452</v>
      </c>
      <c r="C2641" s="222" t="str">
        <f>IFERROR(__xludf.DUMMYFUNCTION("""COMPUTED_VALUE"""),"MDN PT3 LBP-FB 250_1585_1743")</f>
        <v>MDN PT3 LBP-FB 250_1585_1743</v>
      </c>
      <c r="D2641" s="222" t="str">
        <f>IFERROR(__xludf.DUMMYFUNCTION("""COMPUTED_VALUE"""),"REGIONAL I")</f>
        <v>REGIONAL I</v>
      </c>
      <c r="E2641" s="222" t="str">
        <f>IFERROR(__xludf.DUMMYFUNCTION("""COMPUTED_VALUE"""),"MEDAN")</f>
        <v>MEDAN</v>
      </c>
      <c r="F2641" s="222" t="str">
        <f>IFERROR(__xludf.DUMMYFUNCTION("""COMPUTED_VALUE"""),"LBP")</f>
        <v>LBP</v>
      </c>
      <c r="G2641" s="222" t="str">
        <f>IFERROR(__xludf.DUMMYFUNCTION("""COMPUTED_VALUE"""),"SUMBAGUT")</f>
        <v>SUMBAGUT</v>
      </c>
      <c r="H2641" s="222" t="str">
        <f>IFERROR(__xludf.DUMMYFUNCTION("""COMPUTED_VALUE"""),"MEDAN")</f>
        <v>MEDAN</v>
      </c>
      <c r="I2641" s="222" t="str">
        <f>IFERROR(__xludf.DUMMYFUNCTION("""COMPUTED_VALUE"""),"Batch 3")</f>
        <v>Batch 3</v>
      </c>
      <c r="J2641" s="225">
        <f>IFERROR(__xludf.DUMMYFUNCTION("""COMPUTED_VALUE"""),4.0)</f>
        <v>4</v>
      </c>
      <c r="K2641" s="224">
        <f>IFERROR(__xludf.DUMMYFUNCTION("""COMPUTED_VALUE"""),32.0)</f>
        <v>32</v>
      </c>
      <c r="L2641" s="226">
        <f>IFERROR(__xludf.DUMMYFUNCTION("""COMPUTED_VALUE"""),388650.0)</f>
        <v>388650</v>
      </c>
      <c r="M2641" s="227">
        <f>IFERROR(__xludf.DUMMYFUNCTION("""COMPUTED_VALUE"""),1.2436775E7)</f>
        <v>12436775</v>
      </c>
      <c r="N2641" s="222" t="str">
        <f>IFERROR(__xludf.DUMMYFUNCTION("""COMPUTED_VALUE"""),"PT MEDCOM SOLUTION")</f>
        <v>PT MEDCOM SOLUTION</v>
      </c>
      <c r="O2641" s="222" t="str">
        <f>IFERROR(__xludf.DUMMYFUNCTION("""COMPUTED_VALUE"""),"2. DONE AANWIJZING")</f>
        <v>2. DONE AANWIJZING</v>
      </c>
      <c r="P2641" s="222" t="str">
        <f>IFERROR(__xludf.DUMMYFUNCTION("""COMPUTED_VALUE"""),"2.9 Kendala - Distribusi Penuh / Rusak")</f>
        <v>2.9 Kendala - Distribusi Penuh / Rusak</v>
      </c>
      <c r="Q2641" s="222" t="str">
        <f>IFERROR(__xludf.DUMMYFUNCTION("""COMPUTED_VALUE"""),"20/04 pengecekan ulang 
08/04 distribusi full/penuh
18/01 order mitra")</f>
        <v>20/04 pengecekan ulang 
08/04 distribusi full/penuh
18/01 order mitra</v>
      </c>
      <c r="R2641" s="228"/>
      <c r="S2641" s="11"/>
      <c r="T2641" s="73"/>
      <c r="U2641" s="11"/>
      <c r="V2641" s="229" t="str">
        <f>IFERROR(__xludf.DUMMYFUNCTION("""COMPUTED_VALUE"""),"29/Apr/2026")</f>
        <v>29/Apr/2026</v>
      </c>
      <c r="W2641" s="229"/>
      <c r="X2641" s="229" t="str">
        <f>IFERROR(__xludf.DUMMYFUNCTION("""COMPUTED_VALUE"""),"BELUM GOLIVE")</f>
        <v>BELUM GOLIVE</v>
      </c>
      <c r="Y2641" s="229"/>
      <c r="Z2641" s="229" t="str">
        <f>IFERROR(__xludf.DUMMYFUNCTION("""COMPUTED_VALUE"""),"#N/A")</f>
        <v>#N/A</v>
      </c>
      <c r="AA2641" s="229"/>
      <c r="AB2641" s="229"/>
      <c r="AC2641" s="229"/>
      <c r="AD2641" s="232"/>
      <c r="AE2641" s="233"/>
      <c r="AF2641" s="54"/>
      <c r="AG2641" s="54"/>
      <c r="AH2641" s="54"/>
      <c r="AI2641" s="55" t="str">
        <f t="shared" ref="AI2641:AI2643" si="242">IF(OR(R2641="",AE2641=""),"",R2641-AE2641)</f>
        <v/>
      </c>
      <c r="AW2641" s="234"/>
      <c r="BP2641" s="11"/>
      <c r="BQ2641" s="11"/>
      <c r="BV2641" s="158"/>
      <c r="BY2641" s="158"/>
      <c r="CB2641" s="158"/>
    </row>
    <row r="2642" ht="18.0" hidden="1" customHeight="1">
      <c r="A2642" s="222">
        <f>IFERROR(__xludf.DUMMYFUNCTION("""COMPUTED_VALUE"""),2026.0)</f>
        <v>2026</v>
      </c>
      <c r="B2642" s="221">
        <f>IFERROR(__xludf.DUMMYFUNCTION("""COMPUTED_VALUE"""),1.1535735E7)</f>
        <v>11535735</v>
      </c>
      <c r="C2642" s="222" t="str">
        <f>IFERROR(__xludf.DUMMYFUNCTION("""COMPUTED_VALUE"""),"MDN PT3 SPM-FF JL.PERJUANGAN 2_MD25")</f>
        <v>MDN PT3 SPM-FF JL.PERJUANGAN 2_MD25</v>
      </c>
      <c r="D2642" s="222" t="str">
        <f>IFERROR(__xludf.DUMMYFUNCTION("""COMPUTED_VALUE"""),"REGIONAL I")</f>
        <v>REGIONAL I</v>
      </c>
      <c r="E2642" s="222" t="str">
        <f>IFERROR(__xludf.DUMMYFUNCTION("""COMPUTED_VALUE"""),"MEDAN")</f>
        <v>MEDAN</v>
      </c>
      <c r="F2642" s="222" t="str">
        <f>IFERROR(__xludf.DUMMYFUNCTION("""COMPUTED_VALUE"""),"SPM")</f>
        <v>SPM</v>
      </c>
      <c r="G2642" s="222" t="str">
        <f>IFERROR(__xludf.DUMMYFUNCTION("""COMPUTED_VALUE"""),"SUMBAGUT")</f>
        <v>SUMBAGUT</v>
      </c>
      <c r="H2642" s="222" t="str">
        <f>IFERROR(__xludf.DUMMYFUNCTION("""COMPUTED_VALUE"""),"MEDAN")</f>
        <v>MEDAN</v>
      </c>
      <c r="I2642" s="222" t="str">
        <f>IFERROR(__xludf.DUMMYFUNCTION("""COMPUTED_VALUE"""),"Batch 3")</f>
        <v>Batch 3</v>
      </c>
      <c r="J2642" s="225">
        <f>IFERROR(__xludf.DUMMYFUNCTION("""COMPUTED_VALUE"""),3.0)</f>
        <v>3</v>
      </c>
      <c r="K2642" s="224">
        <f>IFERROR(__xludf.DUMMYFUNCTION("""COMPUTED_VALUE"""),24.0)</f>
        <v>24</v>
      </c>
      <c r="L2642" s="226">
        <f>IFERROR(__xludf.DUMMYFUNCTION("""COMPUTED_VALUE"""),388375.0)</f>
        <v>388375</v>
      </c>
      <c r="M2642" s="227">
        <f>IFERROR(__xludf.DUMMYFUNCTION("""COMPUTED_VALUE"""),9320988.0)</f>
        <v>9320988</v>
      </c>
      <c r="N2642" s="222" t="str">
        <f>IFERROR(__xludf.DUMMYFUNCTION("""COMPUTED_VALUE"""),"PT WALET SOLUSINDO")</f>
        <v>PT WALET SOLUSINDO</v>
      </c>
      <c r="O2642" s="222" t="str">
        <f>IFERROR(__xludf.DUMMYFUNCTION("""COMPUTED_VALUE"""),"2. DONE AANWIJZING")</f>
        <v>2. DONE AANWIJZING</v>
      </c>
      <c r="P2642" s="222" t="str">
        <f>IFERROR(__xludf.DUMMYFUNCTION("""COMPUTED_VALUE"""),"2.10 Kendala - Feeder Rusak")</f>
        <v>2.10 Kendala - Feeder Rusak</v>
      </c>
      <c r="Q2642" s="222" t="str">
        <f>IFERROR(__xludf.DUMMYFUNCTION("""COMPUTED_VALUE"""),"31/03 hasil pengecekan, feeder redti sisa 3 core  27/02 menunggu eval, kenaikan &gt; 10%12/02 Redesign ubah suntikan DS 12/02 Done Order")</f>
        <v>31/03 hasil pengecekan, feeder redti sisa 3 core  27/02 menunggu eval, kenaikan &gt; 10%12/02 Redesign ubah suntikan DS 12/02 Done Order</v>
      </c>
      <c r="R2642" s="228"/>
      <c r="S2642" s="11"/>
      <c r="T2642" s="11"/>
      <c r="U2642" s="11"/>
      <c r="V2642" s="229"/>
      <c r="W2642" s="229"/>
      <c r="X2642" s="229" t="str">
        <f>IFERROR(__xludf.DUMMYFUNCTION("""COMPUTED_VALUE"""),"BELUM GOLIVE")</f>
        <v>BELUM GOLIVE</v>
      </c>
      <c r="Y2642" s="229"/>
      <c r="Z2642" s="229" t="str">
        <f>IFERROR(__xludf.DUMMYFUNCTION("""COMPUTED_VALUE"""),"#N/A")</f>
        <v>#N/A</v>
      </c>
      <c r="AA2642" s="229"/>
      <c r="AB2642" s="229"/>
      <c r="AC2642" s="229"/>
      <c r="AD2642" s="232"/>
      <c r="AE2642" s="233"/>
      <c r="AF2642" s="54"/>
      <c r="AG2642" s="54"/>
      <c r="AH2642" s="54"/>
      <c r="AI2642" s="55" t="str">
        <f t="shared" si="242"/>
        <v/>
      </c>
      <c r="AW2642" s="234"/>
      <c r="BP2642" s="11"/>
      <c r="BQ2642" s="11"/>
      <c r="BV2642" s="158"/>
      <c r="BY2642" s="158"/>
      <c r="CB2642" s="158"/>
    </row>
    <row r="2643" ht="18.0" hidden="1" customHeight="1">
      <c r="A2643" s="222">
        <f>IFERROR(__xludf.DUMMYFUNCTION("""COMPUTED_VALUE"""),2026.0)</f>
        <v>2026</v>
      </c>
      <c r="B2643" s="221">
        <f>IFERROR(__xludf.DUMMYFUNCTION("""COMPUTED_VALUE"""),1.2694267E7)</f>
        <v>12694267</v>
      </c>
      <c r="C2643" s="222" t="str">
        <f>IFERROR(__xludf.DUMMYFUNCTION("""COMPUTED_VALUE"""),"MDN PT3 TJR-FA GG.PROYO 250_1574_1703")</f>
        <v>MDN PT3 TJR-FA GG.PROYO 250_1574_1703</v>
      </c>
      <c r="D2643" s="222" t="str">
        <f>IFERROR(__xludf.DUMMYFUNCTION("""COMPUTED_VALUE"""),"REGIONAL I")</f>
        <v>REGIONAL I</v>
      </c>
      <c r="E2643" s="222" t="str">
        <f>IFERROR(__xludf.DUMMYFUNCTION("""COMPUTED_VALUE"""),"MEDAN")</f>
        <v>MEDAN</v>
      </c>
      <c r="F2643" s="222" t="str">
        <f>IFERROR(__xludf.DUMMYFUNCTION("""COMPUTED_VALUE"""),"TJR")</f>
        <v>TJR</v>
      </c>
      <c r="G2643" s="222" t="str">
        <f>IFERROR(__xludf.DUMMYFUNCTION("""COMPUTED_VALUE"""),"SUMBAGUT")</f>
        <v>SUMBAGUT</v>
      </c>
      <c r="H2643" s="222" t="str">
        <f>IFERROR(__xludf.DUMMYFUNCTION("""COMPUTED_VALUE"""),"MEDAN")</f>
        <v>MEDAN</v>
      </c>
      <c r="I2643" s="222" t="str">
        <f>IFERROR(__xludf.DUMMYFUNCTION("""COMPUTED_VALUE"""),"Batch 3")</f>
        <v>Batch 3</v>
      </c>
      <c r="J2643" s="225">
        <f>IFERROR(__xludf.DUMMYFUNCTION("""COMPUTED_VALUE"""),3.0)</f>
        <v>3</v>
      </c>
      <c r="K2643" s="224">
        <f>IFERROR(__xludf.DUMMYFUNCTION("""COMPUTED_VALUE"""),24.0)</f>
        <v>24</v>
      </c>
      <c r="L2643" s="226">
        <f>IFERROR(__xludf.DUMMYFUNCTION("""COMPUTED_VALUE"""),387595.0)</f>
        <v>387595</v>
      </c>
      <c r="M2643" s="227">
        <f>IFERROR(__xludf.DUMMYFUNCTION("""COMPUTED_VALUE"""),9302262.0)</f>
        <v>9302262</v>
      </c>
      <c r="N2643" s="222" t="str">
        <f>IFERROR(__xludf.DUMMYFUNCTION("""COMPUTED_VALUE"""),"PT UPAYA TEKNIK")</f>
        <v>PT UPAYA TEKNIK</v>
      </c>
      <c r="O2643" s="222" t="str">
        <f>IFERROR(__xludf.DUMMYFUNCTION("""COMPUTED_VALUE"""),"7. GOLIVE")</f>
        <v>7. GOLIVE</v>
      </c>
      <c r="P2643" s="222" t="str">
        <f>IFERROR(__xludf.DUMMYFUNCTION("""COMPUTED_VALUE"""),"7.6 Proses Rekon Volume")</f>
        <v>7.6 Proses Rekon Volume</v>
      </c>
      <c r="Q2643" s="222" t="str">
        <f>IFERROR(__xludf.DUMMYFUNCTION("""COMPUTED_VALUE"""),"18/03 golive sdi
17/03 pengecekan abd mancore
12/03 proses penarikan
05/03 proses matrial
12/02 proses perizinan
10/02 feeder ok")</f>
        <v>18/03 golive sdi
17/03 pengecekan abd mancore
12/03 proses penarikan
05/03 proses matrial
12/02 proses perizinan
10/02 feeder ok</v>
      </c>
      <c r="R2643" s="228">
        <f>IFERROR(__xludf.DUMMYFUNCTION("""COMPUTED_VALUE"""),46097.0)</f>
        <v>46097</v>
      </c>
      <c r="S2643" s="11" t="str">
        <f>IFERROR(__xludf.DUMMYFUNCTION("""COMPUTED_VALUE"""),"MAR")</f>
        <v>MAR</v>
      </c>
      <c r="T2643" s="11"/>
      <c r="U2643" s="11"/>
      <c r="V2643" s="229"/>
      <c r="W2643" s="229" t="str">
        <f>IFERROR(__xludf.DUMMYFUNCTION("""COMPUTED_VALUE"""),"#N/A")</f>
        <v>#N/A</v>
      </c>
      <c r="X2643" s="229" t="str">
        <f>IFERROR(__xludf.DUMMYFUNCTION("""COMPUTED_VALUE"""),"GOLIVE")</f>
        <v>GOLIVE</v>
      </c>
      <c r="Y2643" s="229" t="str">
        <f>IFERROR(__xludf.DUMMYFUNCTION("""COMPUTED_VALUE"""),"DONE")</f>
        <v>DONE</v>
      </c>
      <c r="Z2643" s="229" t="str">
        <f>IFERROR(__xludf.DUMMYFUNCTION("""COMPUTED_VALUE"""),"#N/A")</f>
        <v>#N/A</v>
      </c>
      <c r="AA2643" s="229">
        <f>IFERROR(__xludf.DUMMYFUNCTION("""COMPUTED_VALUE"""),3.0)</f>
        <v>3</v>
      </c>
      <c r="AB2643" s="229"/>
      <c r="AC2643" s="229" t="str">
        <f>IFERROR(__xludf.DUMMYFUNCTION("""COMPUTED_VALUE"""),"9218160#9218165")</f>
        <v>9218160#9218165</v>
      </c>
      <c r="AD2643" s="232">
        <f>IFERROR(__xludf.DUMMYFUNCTION("""COMPUTED_VALUE"""),24.0)</f>
        <v>24</v>
      </c>
      <c r="AE2643" s="233">
        <f>IFERROR(__xludf.DUMMYFUNCTION("""COMPUTED_VALUE"""),46099.0)</f>
        <v>46099</v>
      </c>
      <c r="AF2643" s="54"/>
      <c r="AG2643" s="54"/>
      <c r="AH2643" s="54">
        <v>46097.0</v>
      </c>
      <c r="AI2643" s="55">
        <f t="shared" si="242"/>
        <v>-2</v>
      </c>
      <c r="AW2643" s="234"/>
      <c r="BP2643" s="11"/>
      <c r="BQ2643" s="11"/>
      <c r="BV2643" s="158"/>
      <c r="BY2643" s="158"/>
      <c r="CB2643" s="158"/>
    </row>
    <row r="2644" ht="18.0" hidden="1" customHeight="1">
      <c r="A2644" s="222">
        <f>IFERROR(__xludf.DUMMYFUNCTION("""COMPUTED_VALUE"""),2026.0)</f>
        <v>2026</v>
      </c>
      <c r="B2644" s="221">
        <f>IFERROR(__xludf.DUMMYFUNCTION("""COMPUTED_VALUE"""),1.2694036E7)</f>
        <v>12694036</v>
      </c>
      <c r="C2644" s="222" t="str">
        <f>IFERROR(__xludf.DUMMYFUNCTION("""COMPUTED_VALUE"""),"MDN PT3 BJI-FFC 250_1596_1569")</f>
        <v>MDN PT3 BJI-FFC 250_1596_1569</v>
      </c>
      <c r="D2644" s="222" t="str">
        <f>IFERROR(__xludf.DUMMYFUNCTION("""COMPUTED_VALUE"""),"REGIONAL I")</f>
        <v>REGIONAL I</v>
      </c>
      <c r="E2644" s="222" t="str">
        <f>IFERROR(__xludf.DUMMYFUNCTION("""COMPUTED_VALUE"""),"MEDAN")</f>
        <v>MEDAN</v>
      </c>
      <c r="F2644" s="222" t="str">
        <f>IFERROR(__xludf.DUMMYFUNCTION("""COMPUTED_VALUE"""),"BJI")</f>
        <v>BJI</v>
      </c>
      <c r="G2644" s="222" t="str">
        <f>IFERROR(__xludf.DUMMYFUNCTION("""COMPUTED_VALUE"""),"SUMBAGUT")</f>
        <v>SUMBAGUT</v>
      </c>
      <c r="H2644" s="222" t="str">
        <f>IFERROR(__xludf.DUMMYFUNCTION("""COMPUTED_VALUE"""),"BINJAI")</f>
        <v>BINJAI</v>
      </c>
      <c r="I2644" s="222" t="str">
        <f>IFERROR(__xludf.DUMMYFUNCTION("""COMPUTED_VALUE"""),"Batch 3")</f>
        <v>Batch 3</v>
      </c>
      <c r="J2644" s="225">
        <f>IFERROR(__xludf.DUMMYFUNCTION("""COMPUTED_VALUE"""),6.0)</f>
        <v>6</v>
      </c>
      <c r="K2644" s="224">
        <f>IFERROR(__xludf.DUMMYFUNCTION("""COMPUTED_VALUE"""),48.0)</f>
        <v>48</v>
      </c>
      <c r="L2644" s="226">
        <f>IFERROR(__xludf.DUMMYFUNCTION("""COMPUTED_VALUE"""),380102.0)</f>
        <v>380102</v>
      </c>
      <c r="M2644" s="227">
        <f>IFERROR(__xludf.DUMMYFUNCTION("""COMPUTED_VALUE"""),1.8244896E7)</f>
        <v>18244896</v>
      </c>
      <c r="N2644" s="222" t="str">
        <f>IFERROR(__xludf.DUMMYFUNCTION("""COMPUTED_VALUE"""),"PT KENCANA RAYA INDONESIA")</f>
        <v>PT KENCANA RAYA INDONESIA</v>
      </c>
      <c r="O2644" s="222" t="str">
        <f>IFERROR(__xludf.DUMMYFUNCTION("""COMPUTED_VALUE"""),"2. DONE AANWIJZING")</f>
        <v>2. DONE AANWIJZING</v>
      </c>
      <c r="P2644" s="222" t="str">
        <f>IFERROR(__xludf.DUMMYFUNCTION("""COMPUTED_VALUE"""),"2.10 Kendala - Feeder Rusak")</f>
        <v>2.10 Kendala - Feeder Rusak</v>
      </c>
      <c r="Q2644" s="222" t="str">
        <f>IFERROR(__xludf.DUMMYFUNCTION("""COMPUTED_VALUE"""),"16/02 feeder tidak tembus")</f>
        <v>16/02 feeder tidak tembus</v>
      </c>
      <c r="R2644" s="228"/>
      <c r="S2644" s="11"/>
      <c r="T2644" s="11"/>
      <c r="U2644" s="11"/>
      <c r="V2644" s="229"/>
      <c r="W2644" s="229"/>
      <c r="X2644" s="229" t="str">
        <f>IFERROR(__xludf.DUMMYFUNCTION("""COMPUTED_VALUE"""),"BELUM GOLIVE")</f>
        <v>BELUM GOLIVE</v>
      </c>
      <c r="Y2644" s="229"/>
      <c r="Z2644" s="229" t="str">
        <f>IFERROR(__xludf.DUMMYFUNCTION("""COMPUTED_VALUE"""),"#N/A")</f>
        <v>#N/A</v>
      </c>
      <c r="AA2644" s="229"/>
      <c r="AB2644" s="229"/>
      <c r="AC2644" s="229"/>
      <c r="AD2644" s="232"/>
      <c r="AE2644" s="233"/>
      <c r="AF2644" s="54"/>
      <c r="AG2644" s="54"/>
      <c r="AH2644" s="54">
        <v>46138.0</v>
      </c>
      <c r="AI2644" s="237">
        <f>AH2644-NOW()</f>
        <v>-2.377989954</v>
      </c>
      <c r="AJ2644" s="229" t="str">
        <f>if(AI2644&gt;=0,"In Komitmen","Out Komitmen")</f>
        <v>Out Komitmen</v>
      </c>
      <c r="AK2644" s="229" t="e">
        <v>#N/A</v>
      </c>
      <c r="AW2644" s="234"/>
      <c r="BP2644" s="11"/>
      <c r="BQ2644" s="11"/>
      <c r="BV2644" s="158"/>
      <c r="BY2644" s="158"/>
      <c r="CB2644" s="158"/>
    </row>
    <row r="2645" ht="18.0" customHeight="1">
      <c r="A2645" s="222">
        <f>IFERROR(__xludf.DUMMYFUNCTION("""COMPUTED_VALUE"""),2026.0)</f>
        <v>2026</v>
      </c>
      <c r="B2645" s="221">
        <f>IFERROR(__xludf.DUMMYFUNCTION("""COMPUTED_VALUE"""),1.2530434E7)</f>
        <v>12530434</v>
      </c>
      <c r="C2645" s="222" t="str">
        <f>IFERROR(__xludf.DUMMYFUNCTION("""COMPUTED_VALUE"""),"RKP TSEL PT3 BTC-FQ 250_490_4062")</f>
        <v>RKP TSEL PT3 BTC-FQ 250_490_4062</v>
      </c>
      <c r="D2645" s="222" t="str">
        <f>IFERROR(__xludf.DUMMYFUNCTION("""COMPUTED_VALUE"""),"REGIONAL I")</f>
        <v>REGIONAL I</v>
      </c>
      <c r="E2645" s="222" t="str">
        <f>IFERROR(__xludf.DUMMYFUNCTION("""COMPUTED_VALUE"""),"RIKEP")</f>
        <v>RIKEP</v>
      </c>
      <c r="F2645" s="222" t="str">
        <f>IFERROR(__xludf.DUMMYFUNCTION("""COMPUTED_VALUE"""),"BTC")</f>
        <v>BTC</v>
      </c>
      <c r="G2645" s="222" t="str">
        <f>IFERROR(__xludf.DUMMYFUNCTION("""COMPUTED_VALUE"""),"SUMBAGTENG")</f>
        <v>SUMBAGTENG</v>
      </c>
      <c r="H2645" s="222" t="str">
        <f>IFERROR(__xludf.DUMMYFUNCTION("""COMPUTED_VALUE"""),"BATAM")</f>
        <v>BATAM</v>
      </c>
      <c r="I2645" s="222" t="str">
        <f>IFERROR(__xludf.DUMMYFUNCTION("""COMPUTED_VALUE"""),"Batch 3")</f>
        <v>Batch 3</v>
      </c>
      <c r="J2645" s="225">
        <f>IFERROR(__xludf.DUMMYFUNCTION("""COMPUTED_VALUE"""),3.0)</f>
        <v>3</v>
      </c>
      <c r="K2645" s="224">
        <f>IFERROR(__xludf.DUMMYFUNCTION("""COMPUTED_VALUE"""),24.0)</f>
        <v>24</v>
      </c>
      <c r="L2645" s="226">
        <f>IFERROR(__xludf.DUMMYFUNCTION("""COMPUTED_VALUE"""),377488.0)</f>
        <v>377488</v>
      </c>
      <c r="M2645" s="227">
        <f>IFERROR(__xludf.DUMMYFUNCTION("""COMPUTED_VALUE"""),9059692.0)</f>
        <v>9059692</v>
      </c>
      <c r="N2645" s="222" t="str">
        <f>IFERROR(__xludf.DUMMYFUNCTION("""COMPUTED_VALUE"""),"PT MITRA SETIA INDONESIA")</f>
        <v>PT MITRA SETIA INDONESIA</v>
      </c>
      <c r="O2645" s="222" t="str">
        <f>IFERROR(__xludf.DUMMYFUNCTION("""COMPUTED_VALUE"""),"0. DROP")</f>
        <v>0. DROP</v>
      </c>
      <c r="P2645" s="222" t="str">
        <f>IFERROR(__xludf.DUMMYFUNCTION("""COMPUTED_VALUE"""),"0.2 Tidak Dapat Izin Warga/Kades/Lurah/Developer")</f>
        <v>0.2 Tidak Dapat Izin Warga/Kades/Lurah/Developer</v>
      </c>
      <c r="Q2645" s="222" t="str">
        <f>IFERROR(__xludf.DUMMYFUNCTION("""COMPUTED_VALUE"""),"17/04 Izin di tolak RT. 07/04 Belum ada balasan dari RT. 31/03 FU kembali tg 01 april, sudah janjian dengan RT. 30/03 Izin blm ada balasan dari RT. 
04/03 izin belum ada balasan dari RT. 21/02 Peralihan mitra karena mitra tidak ada MP, dari mitra PT ALTON"&amp;"G ke PT MSI. 09/02 LOP blm di survey PT altong. 28/01 Plan survey HI. 26/01  Mitra PT Altong menolak order alasan MP, peralihan mitra. 21/01 plan fu perizinan tanggal 26 Jan")</f>
        <v>17/04 Izin di tolak RT. 07/04 Belum ada balasan dari RT. 31/03 FU kembali tg 01 april, sudah janjian dengan RT. 30/03 Izin blm ada balasan dari RT. 
04/03 izin belum ada balasan dari RT. 21/02 Peralihan mitra karena mitra tidak ada MP, dari mitra PT ALTONG ke PT MSI. 09/02 LOP blm di survey PT altong. 28/01 Plan survey HI. 26/01  Mitra PT Altong menolak order alasan MP, peralihan mitra. 21/01 plan fu perizinan tanggal 26 Jan</v>
      </c>
      <c r="R2645" s="228"/>
      <c r="S2645" s="11"/>
      <c r="T2645" s="11"/>
      <c r="U2645" s="11"/>
      <c r="V2645" s="229" t="str">
        <f>IFERROR(__xludf.DUMMYFUNCTION("""COMPUTED_VALUE"""),"GANI PRASTYO")</f>
        <v>GANI PRASTYO</v>
      </c>
      <c r="W2645" s="229"/>
      <c r="X2645" s="229"/>
      <c r="Y2645" s="229"/>
      <c r="Z2645" s="229" t="str">
        <f>IFERROR(__xludf.DUMMYFUNCTION("""COMPUTED_VALUE"""),"#N/A")</f>
        <v>#N/A</v>
      </c>
      <c r="AA2645" s="229"/>
      <c r="AB2645" s="229"/>
      <c r="AC2645" s="229"/>
      <c r="AD2645" s="232"/>
      <c r="AE2645" s="233"/>
      <c r="AF2645" s="54"/>
      <c r="AG2645" s="54"/>
      <c r="AH2645" s="54"/>
      <c r="AI2645" s="55" t="str">
        <f t="shared" ref="AI2645:AI2647" si="243">IF(OR(R2645="",AE2645=""),"",R2645-AE2645)</f>
        <v/>
      </c>
      <c r="AW2645" s="234"/>
      <c r="BP2645" s="11"/>
      <c r="BQ2645" s="11"/>
      <c r="BV2645" s="158"/>
      <c r="BY2645" s="158"/>
      <c r="CB2645" s="158"/>
    </row>
    <row r="2646" ht="18.0" customHeight="1">
      <c r="A2646" s="222">
        <f>IFERROR(__xludf.DUMMYFUNCTION("""COMPUTED_VALUE"""),2026.0)</f>
        <v>2026</v>
      </c>
      <c r="B2646" s="221">
        <f>IFERROR(__xludf.DUMMYFUNCTION("""COMPUTED_VALUE"""),1.2555666E7)</f>
        <v>12555666</v>
      </c>
      <c r="C2646" s="222" t="str">
        <f>IFERROR(__xludf.DUMMYFUNCTION("""COMPUTED_VALUE"""),"RKP TSEL PT3 TPI-FD JL BUKIT BARISAN")</f>
        <v>RKP TSEL PT3 TPI-FD JL BUKIT BARISAN</v>
      </c>
      <c r="D2646" s="222" t="str">
        <f>IFERROR(__xludf.DUMMYFUNCTION("""COMPUTED_VALUE"""),"REGIONAL I")</f>
        <v>REGIONAL I</v>
      </c>
      <c r="E2646" s="222" t="str">
        <f>IFERROR(__xludf.DUMMYFUNCTION("""COMPUTED_VALUE"""),"RIKEP")</f>
        <v>RIKEP</v>
      </c>
      <c r="F2646" s="222" t="str">
        <f>IFERROR(__xludf.DUMMYFUNCTION("""COMPUTED_VALUE"""),"TPI")</f>
        <v>TPI</v>
      </c>
      <c r="G2646" s="222" t="str">
        <f>IFERROR(__xludf.DUMMYFUNCTION("""COMPUTED_VALUE"""),"SUMBAGTENG")</f>
        <v>SUMBAGTENG</v>
      </c>
      <c r="H2646" s="222" t="str">
        <f>IFERROR(__xludf.DUMMYFUNCTION("""COMPUTED_VALUE"""),"BATAM")</f>
        <v>BATAM</v>
      </c>
      <c r="I2646" s="222" t="str">
        <f>IFERROR(__xludf.DUMMYFUNCTION("""COMPUTED_VALUE"""),"Batch 3")</f>
        <v>Batch 3</v>
      </c>
      <c r="J2646" s="225">
        <f>IFERROR(__xludf.DUMMYFUNCTION("""COMPUTED_VALUE"""),4.0)</f>
        <v>4</v>
      </c>
      <c r="K2646" s="224">
        <f>IFERROR(__xludf.DUMMYFUNCTION("""COMPUTED_VALUE"""),32.0)</f>
        <v>32</v>
      </c>
      <c r="L2646" s="226">
        <f>IFERROR(__xludf.DUMMYFUNCTION("""COMPUTED_VALUE"""),369775.0)</f>
        <v>369775</v>
      </c>
      <c r="M2646" s="227">
        <f>IFERROR(__xludf.DUMMYFUNCTION("""COMPUTED_VALUE"""),1.1832784E7)</f>
        <v>11832784</v>
      </c>
      <c r="N2646" s="222" t="str">
        <f>IFERROR(__xludf.DUMMYFUNCTION("""COMPUTED_VALUE"""),"PT SALTTEK DUMPANG JAYA")</f>
        <v>PT SALTTEK DUMPANG JAYA</v>
      </c>
      <c r="O2646" s="222" t="str">
        <f>IFERROR(__xludf.DUMMYFUNCTION("""COMPUTED_VALUE"""),"0. DROP")</f>
        <v>0. DROP</v>
      </c>
      <c r="P2646" s="222" t="str">
        <f>IFERROR(__xludf.DUMMYFUNCTION("""COMPUTED_VALUE"""),"0.2 Tidak Dapat Izin Warga/Kades/Lurah/Developer")</f>
        <v>0.2 Tidak Dapat Izin Warga/Kades/Lurah/Developer</v>
      </c>
      <c r="Q2646" s="222" t="str">
        <f>IFERROR(__xludf.DUMMYFUNCTION("""COMPUTED_VALUE"""),"06/02 Feeder rusak imbas gamas. 04/02 Order Batch 3 di survey minggu depan. 23/01 Plan anwijzing 26 Jan, Order Baru. 22/01 Order baru, proses penunjukan mitra")</f>
        <v>06/02 Feeder rusak imbas gamas. 04/02 Order Batch 3 di survey minggu depan. 23/01 Plan anwijzing 26 Jan, Order Baru. 22/01 Order baru, proses penunjukan mitra</v>
      </c>
      <c r="R2646" s="228"/>
      <c r="S2646" s="11"/>
      <c r="T2646" s="11"/>
      <c r="U2646" s="11"/>
      <c r="V2646" s="229" t="str">
        <f>IFERROR(__xludf.DUMMYFUNCTION("""COMPUTED_VALUE"""),"DEDY IRAWAN")</f>
        <v>DEDY IRAWAN</v>
      </c>
      <c r="W2646" s="229"/>
      <c r="X2646" s="229"/>
      <c r="Y2646" s="229"/>
      <c r="Z2646" s="229" t="str">
        <f>IFERROR(__xludf.DUMMYFUNCTION("""COMPUTED_VALUE"""),"#N/A")</f>
        <v>#N/A</v>
      </c>
      <c r="AA2646" s="229"/>
      <c r="AB2646" s="229"/>
      <c r="AC2646" s="229"/>
      <c r="AD2646" s="232"/>
      <c r="AE2646" s="233"/>
      <c r="AF2646" s="54" t="str">
        <f>IFERROR(__xludf.DUMMYFUNCTION("""COMPUTED_VALUE"""),"Draft BA DROP")</f>
        <v>Draft BA DROP</v>
      </c>
      <c r="AG2646" s="54"/>
      <c r="AH2646" s="54"/>
      <c r="AI2646" s="55" t="str">
        <f t="shared" si="243"/>
        <v/>
      </c>
      <c r="AW2646" s="234"/>
      <c r="BP2646" s="11"/>
      <c r="BQ2646" s="11"/>
      <c r="BV2646" s="158"/>
      <c r="BY2646" s="158"/>
      <c r="CB2646" s="158"/>
    </row>
    <row r="2647" ht="18.0" customHeight="1">
      <c r="A2647" s="222">
        <f>IFERROR(__xludf.DUMMYFUNCTION("""COMPUTED_VALUE"""),2026.0)</f>
        <v>2026</v>
      </c>
      <c r="B2647" s="221">
        <f>IFERROR(__xludf.DUMMYFUNCTION("""COMPUTED_VALUE"""),1.255035E7)</f>
        <v>12550350</v>
      </c>
      <c r="C2647" s="222" t="str">
        <f>IFERROR(__xludf.DUMMYFUNCTION("""COMPUTED_VALUE"""),"RKP TSEL PT2 KMS-FAH GANG PL PANDAN")</f>
        <v>RKP TSEL PT2 KMS-FAH GANG PL PANDAN</v>
      </c>
      <c r="D2647" s="222" t="str">
        <f>IFERROR(__xludf.DUMMYFUNCTION("""COMPUTED_VALUE"""),"REGIONAL I")</f>
        <v>REGIONAL I</v>
      </c>
      <c r="E2647" s="222" t="str">
        <f>IFERROR(__xludf.DUMMYFUNCTION("""COMPUTED_VALUE"""),"RIKEP")</f>
        <v>RIKEP</v>
      </c>
      <c r="F2647" s="222" t="str">
        <f>IFERROR(__xludf.DUMMYFUNCTION("""COMPUTED_VALUE"""),"KMS")</f>
        <v>KMS</v>
      </c>
      <c r="G2647" s="222" t="str">
        <f>IFERROR(__xludf.DUMMYFUNCTION("""COMPUTED_VALUE"""),"SUMBAGTENG")</f>
        <v>SUMBAGTENG</v>
      </c>
      <c r="H2647" s="222" t="str">
        <f>IFERROR(__xludf.DUMMYFUNCTION("""COMPUTED_VALUE"""),"BATAM")</f>
        <v>BATAM</v>
      </c>
      <c r="I2647" s="222" t="str">
        <f>IFERROR(__xludf.DUMMYFUNCTION("""COMPUTED_VALUE"""),"Batch 3")</f>
        <v>Batch 3</v>
      </c>
      <c r="J2647" s="225">
        <f>IFERROR(__xludf.DUMMYFUNCTION("""COMPUTED_VALUE"""),2.0)</f>
        <v>2</v>
      </c>
      <c r="K2647" s="224">
        <f>IFERROR(__xludf.DUMMYFUNCTION("""COMPUTED_VALUE"""),16.0)</f>
        <v>16</v>
      </c>
      <c r="L2647" s="226">
        <f>IFERROR(__xludf.DUMMYFUNCTION("""COMPUTED_VALUE"""),368046.0)</f>
        <v>368046</v>
      </c>
      <c r="M2647" s="227">
        <f>IFERROR(__xludf.DUMMYFUNCTION("""COMPUTED_VALUE"""),5888730.0)</f>
        <v>5888730</v>
      </c>
      <c r="N2647" s="222" t="str">
        <f>IFERROR(__xludf.DUMMYFUNCTION("""COMPUTED_VALUE"""),"SWAKELOLA")</f>
        <v>SWAKELOLA</v>
      </c>
      <c r="O2647" s="222" t="str">
        <f>IFERROR(__xludf.DUMMYFUNCTION("""COMPUTED_VALUE"""),"2. DONE AANWIJZING")</f>
        <v>2. DONE AANWIJZING</v>
      </c>
      <c r="P2647" s="222" t="str">
        <f>IFERROR(__xludf.DUMMYFUNCTION("""COMPUTED_VALUE"""),"2.9 Kendala - Distribusi Penuh / Rusak")</f>
        <v>2.9 Kendala - Distribusi Penuh / Rusak</v>
      </c>
      <c r="Q2647" s="222" t="str">
        <f>IFERROR(__xludf.DUMMYFUNCTION("""COMPUTED_VALUE"""),"04/03 core dist sisa 1, putus di ODP closure, selain itu full. 12/02 MP Terbatas di pulau tanjung pinang, tidak bisa komit sampai bulan maret. 09/02 plan anwijzing minggu ini, PIC mitra paralel progres installasi.04/02 Plan survey batch 3 minggu depan. 23"&amp;"/01 Plan anwijzing 26 Jan, Order Baru. 22/01 Order baru, proses penunjukan mitra")</f>
        <v>04/03 core dist sisa 1, putus di ODP closure, selain itu full. 12/02 MP Terbatas di pulau tanjung pinang, tidak bisa komit sampai bulan maret. 09/02 plan anwijzing minggu ini, PIC mitra paralel progres installasi.04/02 Plan survey batch 3 minggu depan. 23/01 Plan anwijzing 26 Jan, Order Baru. 22/01 Order baru, proses penunjukan mitra</v>
      </c>
      <c r="R2647" s="228"/>
      <c r="S2647" s="11"/>
      <c r="T2647" s="11"/>
      <c r="U2647" s="11"/>
      <c r="V2647" s="229" t="str">
        <f>IFERROR(__xludf.DUMMYFUNCTION("""COMPUTED_VALUE"""),"DEDY IRAWAN")</f>
        <v>DEDY IRAWAN</v>
      </c>
      <c r="W2647" s="229"/>
      <c r="X2647" s="229"/>
      <c r="Y2647" s="229"/>
      <c r="Z2647" s="229" t="str">
        <f>IFERROR(__xludf.DUMMYFUNCTION("""COMPUTED_VALUE"""),"#N/A")</f>
        <v>#N/A</v>
      </c>
      <c r="AA2647" s="229"/>
      <c r="AB2647" s="229"/>
      <c r="AC2647" s="229"/>
      <c r="AD2647" s="232"/>
      <c r="AE2647" s="233"/>
      <c r="AF2647" s="54"/>
      <c r="AG2647" s="54"/>
      <c r="AH2647" s="54"/>
      <c r="AI2647" s="55" t="str">
        <f t="shared" si="243"/>
        <v/>
      </c>
      <c r="AW2647" s="234"/>
      <c r="BP2647" s="11"/>
      <c r="BQ2647" s="11"/>
      <c r="BV2647" s="158"/>
      <c r="BY2647" s="158"/>
      <c r="CB2647" s="158"/>
    </row>
    <row r="2648" ht="18.0" customHeight="1">
      <c r="A2648" s="222">
        <f>IFERROR(__xludf.DUMMYFUNCTION("""COMPUTED_VALUE"""),2026.0)</f>
        <v>2026</v>
      </c>
      <c r="B2648" s="221">
        <f>IFERROR(__xludf.DUMMYFUNCTION("""COMPUTED_VALUE"""),1.255124E7)</f>
        <v>12551240</v>
      </c>
      <c r="C2648" s="222" t="str">
        <f>IFERROR(__xludf.DUMMYFUNCTION("""COMPUTED_VALUE"""),"RKP TSEL PT2 KMS-FT JL HANG LEKIR BATU 9")</f>
        <v>RKP TSEL PT2 KMS-FT JL HANG LEKIR BATU 9</v>
      </c>
      <c r="D2648" s="222" t="str">
        <f>IFERROR(__xludf.DUMMYFUNCTION("""COMPUTED_VALUE"""),"REGIONAL I")</f>
        <v>REGIONAL I</v>
      </c>
      <c r="E2648" s="222" t="str">
        <f>IFERROR(__xludf.DUMMYFUNCTION("""COMPUTED_VALUE"""),"RIKEP")</f>
        <v>RIKEP</v>
      </c>
      <c r="F2648" s="222" t="str">
        <f>IFERROR(__xludf.DUMMYFUNCTION("""COMPUTED_VALUE"""),"KMS")</f>
        <v>KMS</v>
      </c>
      <c r="G2648" s="222" t="str">
        <f>IFERROR(__xludf.DUMMYFUNCTION("""COMPUTED_VALUE"""),"SUMBAGTENG")</f>
        <v>SUMBAGTENG</v>
      </c>
      <c r="H2648" s="222" t="str">
        <f>IFERROR(__xludf.DUMMYFUNCTION("""COMPUTED_VALUE"""),"BATAM")</f>
        <v>BATAM</v>
      </c>
      <c r="I2648" s="222" t="str">
        <f>IFERROR(__xludf.DUMMYFUNCTION("""COMPUTED_VALUE"""),"Batch 3")</f>
        <v>Batch 3</v>
      </c>
      <c r="J2648" s="225">
        <f>IFERROR(__xludf.DUMMYFUNCTION("""COMPUTED_VALUE"""),2.0)</f>
        <v>2</v>
      </c>
      <c r="K2648" s="224">
        <f>IFERROR(__xludf.DUMMYFUNCTION("""COMPUTED_VALUE"""),16.0)</f>
        <v>16</v>
      </c>
      <c r="L2648" s="226">
        <f>IFERROR(__xludf.DUMMYFUNCTION("""COMPUTED_VALUE"""),368046.0)</f>
        <v>368046</v>
      </c>
      <c r="M2648" s="227">
        <f>IFERROR(__xludf.DUMMYFUNCTION("""COMPUTED_VALUE"""),5888730.0)</f>
        <v>5888730</v>
      </c>
      <c r="N2648" s="222" t="str">
        <f>IFERROR(__xludf.DUMMYFUNCTION("""COMPUTED_VALUE"""),"PT SALTTEK DUMPANG JAYA")</f>
        <v>PT SALTTEK DUMPANG JAYA</v>
      </c>
      <c r="O2648" s="222" t="str">
        <f>IFERROR(__xludf.DUMMYFUNCTION("""COMPUTED_VALUE"""),"7. GOLIVE")</f>
        <v>7. GOLIVE</v>
      </c>
      <c r="P2648" s="222" t="str">
        <f>IFERROR(__xludf.DUMMYFUNCTION("""COMPUTED_VALUE"""),"7.2 Golive Full / OA / DONE OTB")</f>
        <v>7.2 Golive Full / OA / DONE OTB</v>
      </c>
      <c r="Q2648" s="222" t="str">
        <f>IFERROR(__xludf.DUMMYFUNCTION("""COMPUTED_VALUE"""),"18/02 Terminasi ODP, Plan FI tanggal 19, ABD tanggal 19 Feb.17/02 Terminasi terkendala hujan seharian. 12/02 MP Terbatas di pulau tanjung pinang, tidak bisa komit sampai bulan maret. 09/02 plan anwijzing minggu ini, PIC mitra paralel progres installasi.04"&amp;"/02 Plan survey batch 3 minggu depan. 23/01 Plan anwijzing 26 Jan, Order Baru. 22/01 Order baru, proses penunjukan mitra")</f>
        <v>18/02 Terminasi ODP, Plan FI tanggal 19, ABD tanggal 19 Feb.17/02 Terminasi terkendala hujan seharian. 12/02 MP Terbatas di pulau tanjung pinang, tidak bisa komit sampai bulan maret. 09/02 plan anwijzing minggu ini, PIC mitra paralel progres installasi.04/02 Plan survey batch 3 minggu depan. 23/01 Plan anwijzing 26 Jan, Order Baru. 22/01 Order baru, proses penunjukan mitra</v>
      </c>
      <c r="R2648" s="228">
        <f>IFERROR(__xludf.DUMMYFUNCTION("""COMPUTED_VALUE"""),46073.0)</f>
        <v>46073</v>
      </c>
      <c r="S2648" s="11"/>
      <c r="T2648" s="11"/>
      <c r="U2648" s="11" t="str">
        <f>IFERROR(__xludf.DUMMYFUNCTION("""COMPUTED_VALUE"""),"W09-176/2026")</f>
        <v>W09-176/2026</v>
      </c>
      <c r="V2648" s="229" t="str">
        <f>IFERROR(__xludf.DUMMYFUNCTION("""COMPUTED_VALUE"""),"DEDY IRAWAN")</f>
        <v>DEDY IRAWAN</v>
      </c>
      <c r="W2648" s="229" t="str">
        <f>IFERROR(__xludf.DUMMYFUNCTION("""COMPUTED_VALUE"""),"LEVITA INDRIYANI")</f>
        <v>LEVITA INDRIYANI</v>
      </c>
      <c r="X2648" s="229" t="str">
        <f>IFERROR(__xludf.DUMMYFUNCTION("""COMPUTED_VALUE"""),"GOLIVE")</f>
        <v>GOLIVE</v>
      </c>
      <c r="Y2648" s="229" t="str">
        <f>IFERROR(__xludf.DUMMYFUNCTION("""COMPUTED_VALUE"""),"DONE")</f>
        <v>DONE</v>
      </c>
      <c r="Z2648" s="229" t="str">
        <f>IFERROR(__xludf.DUMMYFUNCTION("""COMPUTED_VALUE"""),"#N/A")</f>
        <v>#N/A</v>
      </c>
      <c r="AA2648" s="229">
        <f>IFERROR(__xludf.DUMMYFUNCTION("""COMPUTED_VALUE"""),2.0)</f>
        <v>2</v>
      </c>
      <c r="AB2648" s="229"/>
      <c r="AC2648" s="229" t="str">
        <f>IFERROR(__xludf.DUMMYFUNCTION("""COMPUTED_VALUE"""),"9128980#9128996")</f>
        <v>9128980#9128996</v>
      </c>
      <c r="AD2648" s="232">
        <f>IFERROR(__xludf.DUMMYFUNCTION("""COMPUTED_VALUE"""),16.0)</f>
        <v>16</v>
      </c>
      <c r="AE2648" s="233">
        <f>IFERROR(__xludf.DUMMYFUNCTION("""COMPUTED_VALUE"""),46073.0)</f>
        <v>46073</v>
      </c>
      <c r="AF2648" s="54"/>
      <c r="AG2648" s="54"/>
      <c r="AH2648" s="54">
        <v>46073.0</v>
      </c>
      <c r="AI2648" s="55">
        <f t="shared" ref="AI2648:AI2649" si="244">IF(OR(AH2648="",AE2648=""),"",AH2648-AE2648)</f>
        <v>0</v>
      </c>
      <c r="AW2648" s="234"/>
      <c r="BP2648" s="11"/>
      <c r="BQ2648" s="11"/>
      <c r="BV2648" s="158"/>
      <c r="BY2648" s="158"/>
      <c r="CB2648" s="158"/>
    </row>
    <row r="2649" ht="18.0" customHeight="1">
      <c r="A2649" s="222">
        <f>IFERROR(__xludf.DUMMYFUNCTION("""COMPUTED_VALUE"""),2026.0)</f>
        <v>2026</v>
      </c>
      <c r="B2649" s="221">
        <f>IFERROR(__xludf.DUMMYFUNCTION("""COMPUTED_VALUE"""),1.2557434E7)</f>
        <v>12557434</v>
      </c>
      <c r="C2649" s="222" t="str">
        <f>IFERROR(__xludf.DUMMYFUNCTION("""COMPUTED_VALUE"""),"RKP TSEL PT2 TPI-FJ 250_412_4233")</f>
        <v>RKP TSEL PT2 TPI-FJ 250_412_4233</v>
      </c>
      <c r="D2649" s="222" t="str">
        <f>IFERROR(__xludf.DUMMYFUNCTION("""COMPUTED_VALUE"""),"REGIONAL I")</f>
        <v>REGIONAL I</v>
      </c>
      <c r="E2649" s="222" t="str">
        <f>IFERROR(__xludf.DUMMYFUNCTION("""COMPUTED_VALUE"""),"RIKEP")</f>
        <v>RIKEP</v>
      </c>
      <c r="F2649" s="222" t="str">
        <f>IFERROR(__xludf.DUMMYFUNCTION("""COMPUTED_VALUE"""),"TPI")</f>
        <v>TPI</v>
      </c>
      <c r="G2649" s="222" t="str">
        <f>IFERROR(__xludf.DUMMYFUNCTION("""COMPUTED_VALUE"""),"SUMBAGTENG")</f>
        <v>SUMBAGTENG</v>
      </c>
      <c r="H2649" s="222" t="str">
        <f>IFERROR(__xludf.DUMMYFUNCTION("""COMPUTED_VALUE"""),"BATAM")</f>
        <v>BATAM</v>
      </c>
      <c r="I2649" s="222" t="str">
        <f>IFERROR(__xludf.DUMMYFUNCTION("""COMPUTED_VALUE"""),"Batch 3")</f>
        <v>Batch 3</v>
      </c>
      <c r="J2649" s="225">
        <f>IFERROR(__xludf.DUMMYFUNCTION("""COMPUTED_VALUE"""),2.0)</f>
        <v>2</v>
      </c>
      <c r="K2649" s="224">
        <f>IFERROR(__xludf.DUMMYFUNCTION("""COMPUTED_VALUE"""),16.0)</f>
        <v>16</v>
      </c>
      <c r="L2649" s="226">
        <f>IFERROR(__xludf.DUMMYFUNCTION("""COMPUTED_VALUE"""),368046.0)</f>
        <v>368046</v>
      </c>
      <c r="M2649" s="227">
        <f>IFERROR(__xludf.DUMMYFUNCTION("""COMPUTED_VALUE"""),5888730.0)</f>
        <v>5888730</v>
      </c>
      <c r="N2649" s="222" t="str">
        <f>IFERROR(__xludf.DUMMYFUNCTION("""COMPUTED_VALUE"""),"PT SALTTEK DUMPANG JAYA")</f>
        <v>PT SALTTEK DUMPANG JAYA</v>
      </c>
      <c r="O2649" s="222" t="str">
        <f>IFERROR(__xludf.DUMMYFUNCTION("""COMPUTED_VALUE"""),"7. GOLIVE")</f>
        <v>7. GOLIVE</v>
      </c>
      <c r="P2649" s="222" t="str">
        <f>IFERROR(__xludf.DUMMYFUNCTION("""COMPUTED_VALUE"""),"7.2 Golive Full / OA / DONE OTB")</f>
        <v>7.2 Golive Full / OA / DONE OTB</v>
      </c>
      <c r="Q2649" s="222" t="str">
        <f>IFERROR(__xludf.DUMMYFUNCTION("""COMPUTED_VALUE"""),"25/02 Order PT2S, menunggu ABD. 12/02 MP Terbatas di pulau tanjung pinang, tidak bisa komit sampai bulan maret. 09/02 plan anwijzing minggu ini, PIC mitra paralel progres installasi.04/02 Order Batch 3 di survey minggu depan. 23/01 Plan anwijzing 26 Jan, "&amp;"Order Baru. 22/01 Order baru, proses penunjukan mitra")</f>
        <v>25/02 Order PT2S, menunggu ABD. 12/02 MP Terbatas di pulau tanjung pinang, tidak bisa komit sampai bulan maret. 09/02 plan anwijzing minggu ini, PIC mitra paralel progres installasi.04/02 Order Batch 3 di survey minggu depan. 23/01 Plan anwijzing 26 Jan, Order Baru. 22/01 Order baru, proses penunjukan mitra</v>
      </c>
      <c r="R2649" s="228">
        <f>IFERROR(__xludf.DUMMYFUNCTION("""COMPUTED_VALUE"""),46079.0)</f>
        <v>46079</v>
      </c>
      <c r="S2649" s="11"/>
      <c r="T2649" s="11"/>
      <c r="U2649" s="11" t="str">
        <f>IFERROR(__xludf.DUMMYFUNCTION("""COMPUTED_VALUE"""),"W09-221/2026")</f>
        <v>W09-221/2026</v>
      </c>
      <c r="V2649" s="229" t="str">
        <f>IFERROR(__xludf.DUMMYFUNCTION("""COMPUTED_VALUE"""),"DEDY IRAWAN")</f>
        <v>DEDY IRAWAN</v>
      </c>
      <c r="W2649" s="229" t="str">
        <f>IFERROR(__xludf.DUMMYFUNCTION("""COMPUTED_VALUE"""),"LEVITA INDRIYANI")</f>
        <v>LEVITA INDRIYANI</v>
      </c>
      <c r="X2649" s="229" t="str">
        <f>IFERROR(__xludf.DUMMYFUNCTION("""COMPUTED_VALUE"""),"GOLIVE")</f>
        <v>GOLIVE</v>
      </c>
      <c r="Y2649" s="229" t="str">
        <f>IFERROR(__xludf.DUMMYFUNCTION("""COMPUTED_VALUE"""),"DONE")</f>
        <v>DONE</v>
      </c>
      <c r="Z2649" s="229" t="str">
        <f>IFERROR(__xludf.DUMMYFUNCTION("""COMPUTED_VALUE"""),"#N/A")</f>
        <v>#N/A</v>
      </c>
      <c r="AA2649" s="229"/>
      <c r="AB2649" s="229">
        <f>IFERROR(__xludf.DUMMYFUNCTION("""COMPUTED_VALUE"""),1.0)</f>
        <v>1</v>
      </c>
      <c r="AC2649" s="229" t="str">
        <f>IFERROR(__xludf.DUMMYFUNCTION("""COMPUTED_VALUE"""),"9148662#9148667")</f>
        <v>9148662#9148667</v>
      </c>
      <c r="AD2649" s="232">
        <f>IFERROR(__xludf.DUMMYFUNCTION("""COMPUTED_VALUE"""),16.0)</f>
        <v>16</v>
      </c>
      <c r="AE2649" s="233">
        <f>IFERROR(__xludf.DUMMYFUNCTION("""COMPUTED_VALUE"""),46079.0)</f>
        <v>46079</v>
      </c>
      <c r="AF2649" s="54"/>
      <c r="AG2649" s="54"/>
      <c r="AH2649" s="54">
        <v>46079.0</v>
      </c>
      <c r="AI2649" s="55">
        <f t="shared" si="244"/>
        <v>0</v>
      </c>
      <c r="AW2649" s="234"/>
      <c r="BP2649" s="11"/>
      <c r="BQ2649" s="11"/>
      <c r="BV2649" s="158"/>
      <c r="BY2649" s="158"/>
      <c r="CB2649" s="158"/>
    </row>
    <row r="2650" ht="18.0" customHeight="1">
      <c r="A2650" s="222">
        <f>IFERROR(__xludf.DUMMYFUNCTION("""COMPUTED_VALUE"""),2026.0)</f>
        <v>2026</v>
      </c>
      <c r="B2650" s="221">
        <f>IFERROR(__xludf.DUMMYFUNCTION("""COMPUTED_VALUE"""),1.2557901E7)</f>
        <v>12557901</v>
      </c>
      <c r="C2650" s="222" t="str">
        <f>IFERROR(__xludf.DUMMYFUNCTION("""COMPUTED_VALUE"""),"RKP TSEL PT2 TUB-FN 250_452_4173")</f>
        <v>RKP TSEL PT2 TUB-FN 250_452_4173</v>
      </c>
      <c r="D2650" s="222" t="str">
        <f>IFERROR(__xludf.DUMMYFUNCTION("""COMPUTED_VALUE"""),"REGIONAL I")</f>
        <v>REGIONAL I</v>
      </c>
      <c r="E2650" s="222" t="str">
        <f>IFERROR(__xludf.DUMMYFUNCTION("""COMPUTED_VALUE"""),"RIKEP")</f>
        <v>RIKEP</v>
      </c>
      <c r="F2650" s="222" t="str">
        <f>IFERROR(__xludf.DUMMYFUNCTION("""COMPUTED_VALUE"""),"TUB")</f>
        <v>TUB</v>
      </c>
      <c r="G2650" s="222" t="str">
        <f>IFERROR(__xludf.DUMMYFUNCTION("""COMPUTED_VALUE"""),"SUMBAGTENG")</f>
        <v>SUMBAGTENG</v>
      </c>
      <c r="H2650" s="222" t="str">
        <f>IFERROR(__xludf.DUMMYFUNCTION("""COMPUTED_VALUE"""),"BATAM")</f>
        <v>BATAM</v>
      </c>
      <c r="I2650" s="222" t="str">
        <f>IFERROR(__xludf.DUMMYFUNCTION("""COMPUTED_VALUE"""),"Batch 3")</f>
        <v>Batch 3</v>
      </c>
      <c r="J2650" s="225">
        <f>IFERROR(__xludf.DUMMYFUNCTION("""COMPUTED_VALUE"""),2.0)</f>
        <v>2</v>
      </c>
      <c r="K2650" s="224">
        <f>IFERROR(__xludf.DUMMYFUNCTION("""COMPUTED_VALUE"""),16.0)</f>
        <v>16</v>
      </c>
      <c r="L2650" s="226">
        <f>IFERROR(__xludf.DUMMYFUNCTION("""COMPUTED_VALUE"""),368046.0)</f>
        <v>368046</v>
      </c>
      <c r="M2650" s="227">
        <f>IFERROR(__xludf.DUMMYFUNCTION("""COMPUTED_VALUE"""),5888730.0)</f>
        <v>5888730</v>
      </c>
      <c r="N2650" s="222" t="str">
        <f>IFERROR(__xludf.DUMMYFUNCTION("""COMPUTED_VALUE"""),"SWAKELOLA")</f>
        <v>SWAKELOLA</v>
      </c>
      <c r="O2650" s="222" t="str">
        <f>IFERROR(__xludf.DUMMYFUNCTION("""COMPUTED_VALUE"""),"2. DONE AANWIJZING")</f>
        <v>2. DONE AANWIJZING</v>
      </c>
      <c r="P2650" s="222" t="str">
        <f>IFERROR(__xludf.DUMMYFUNCTION("""COMPUTED_VALUE"""),"2.10 Kendala - Feeder Rusak")</f>
        <v>2.10 Kendala - Feeder Rusak</v>
      </c>
      <c r="Q2650" s="222" t="str">
        <f>IFERROR(__xludf.DUMMYFUNCTION("""COMPUTED_VALUE"""),"09/03 Feeder Bermasalah, jarak 17km di senter tak tembus, di kasih redaman gak kebaca, di OTDR ada 9 event. 
05/03 mulai progres miggu depan tgl 11/03 di karenakan ada comcase di lokasi
12/02 MP Terbatas di pulau tanjung pinang, tidak bisa komit sampai bu"&amp;"lan maret. 09/02 plan anwijzing minggu ini, PIC mitra paralel progres installasi.04/02 Order Batch 3 di survey minggu depan. 23/01 Plan anwijzing 26 Jan, Order Baru. 22/01 Order baru, proses penunjukan mitra
")</f>
        <v>09/03 Feeder Bermasalah, jarak 17km di senter tak tembus, di kasih redaman gak kebaca, di OTDR ada 9 event. 
05/03 mulai progres miggu depan tgl 11/03 di karenakan ada comcase di lokasi
12/02 MP Terbatas di pulau tanjung pinang, tidak bisa komit sampai bulan maret. 09/02 plan anwijzing minggu ini, PIC mitra paralel progres installasi.04/02 Order Batch 3 di survey minggu depan. 23/01 Plan anwijzing 26 Jan, Order Baru. 22/01 Order baru, proses penunjukan mitra
</v>
      </c>
      <c r="R2650" s="228"/>
      <c r="S2650" s="11"/>
      <c r="T2650" s="11"/>
      <c r="U2650" s="11"/>
      <c r="V2650" s="229" t="str">
        <f>IFERROR(__xludf.DUMMYFUNCTION("""COMPUTED_VALUE"""),"DEDY IRAWAN")</f>
        <v>DEDY IRAWAN</v>
      </c>
      <c r="W2650" s="229"/>
      <c r="X2650" s="229"/>
      <c r="Y2650" s="229"/>
      <c r="Z2650" s="229" t="str">
        <f>IFERROR(__xludf.DUMMYFUNCTION("""COMPUTED_VALUE"""),"#N/A")</f>
        <v>#N/A</v>
      </c>
      <c r="AA2650" s="229"/>
      <c r="AB2650" s="229"/>
      <c r="AC2650" s="229"/>
      <c r="AD2650" s="232"/>
      <c r="AE2650" s="233"/>
      <c r="AF2650" s="54"/>
      <c r="AG2650" s="54"/>
      <c r="AH2650" s="54"/>
      <c r="AI2650" s="55" t="str">
        <f t="shared" ref="AI2650:AI2658" si="245">IF(OR(R2650="",AE2650=""),"",R2650-AE2650)</f>
        <v/>
      </c>
      <c r="AW2650" s="234"/>
      <c r="BP2650" s="11"/>
      <c r="BQ2650" s="11"/>
      <c r="BV2650" s="158"/>
      <c r="BY2650" s="158"/>
      <c r="CB2650" s="158"/>
    </row>
    <row r="2651" ht="18.0" hidden="1" customHeight="1">
      <c r="A2651" s="222">
        <f>IFERROR(__xludf.DUMMYFUNCTION("""COMPUTED_VALUE"""),2026.0)</f>
        <v>2026</v>
      </c>
      <c r="B2651" s="221">
        <f>IFERROR(__xludf.DUMMYFUNCTION("""COMPUTED_VALUE"""),1.2744765E7)</f>
        <v>12744765</v>
      </c>
      <c r="C2651" s="222" t="str">
        <f>IFERROR(__xludf.DUMMYFUNCTION("""COMPUTED_VALUE"""),"LPG PT3 JPP LAMPUNG TIMUR_100793 SKD")</f>
        <v>LPG PT3 JPP LAMPUNG TIMUR_100793 SKD</v>
      </c>
      <c r="D2651" s="222" t="str">
        <f>IFERROR(__xludf.DUMMYFUNCTION("""COMPUTED_VALUE"""),"REGIONAL I")</f>
        <v>REGIONAL I</v>
      </c>
      <c r="E2651" s="222" t="str">
        <f>IFERROR(__xludf.DUMMYFUNCTION("""COMPUTED_VALUE"""),"LAMPUNG")</f>
        <v>LAMPUNG</v>
      </c>
      <c r="F2651" s="222" t="str">
        <f>IFERROR(__xludf.DUMMYFUNCTION("""COMPUTED_VALUE"""),"SKD")</f>
        <v>SKD</v>
      </c>
      <c r="G2651" s="222" t="str">
        <f>IFERROR(__xludf.DUMMYFUNCTION("""COMPUTED_VALUE"""),"SUMBAGSEL")</f>
        <v>SUMBAGSEL</v>
      </c>
      <c r="H2651" s="222" t="str">
        <f>IFERROR(__xludf.DUMMYFUNCTION("""COMPUTED_VALUE"""),"LAMPUNG")</f>
        <v>LAMPUNG</v>
      </c>
      <c r="I2651" s="222" t="str">
        <f>IFERROR(__xludf.DUMMYFUNCTION("""COMPUTED_VALUE"""),"Batch 3")</f>
        <v>Batch 3</v>
      </c>
      <c r="J2651" s="225">
        <f>IFERROR(__xludf.DUMMYFUNCTION("""COMPUTED_VALUE"""),4.0)</f>
        <v>4</v>
      </c>
      <c r="K2651" s="224">
        <f>IFERROR(__xludf.DUMMYFUNCTION("""COMPUTED_VALUE"""),32.0)</f>
        <v>32</v>
      </c>
      <c r="L2651" s="226">
        <f>IFERROR(__xludf.DUMMYFUNCTION("""COMPUTED_VALUE"""),367552.0)</f>
        <v>367552</v>
      </c>
      <c r="M2651" s="227">
        <f>IFERROR(__xludf.DUMMYFUNCTION("""COMPUTED_VALUE"""),1.1761659E7)</f>
        <v>11761659</v>
      </c>
      <c r="N2651" s="222" t="str">
        <f>IFERROR(__xludf.DUMMYFUNCTION("""COMPUTED_VALUE"""),"PT GARINDO TECHNO MANDIRI")</f>
        <v>PT GARINDO TECHNO MANDIRI</v>
      </c>
      <c r="O2651" s="222" t="str">
        <f>IFERROR(__xludf.DUMMYFUNCTION("""COMPUTED_VALUE"""),"0. DROP")</f>
        <v>0. DROP</v>
      </c>
      <c r="P2651" s="222" t="str">
        <f>IFERROR(__xludf.DUMMYFUNCTION("""COMPUTED_VALUE"""),"0.2 Tidak Dapat Izin Warga/Kades/Lurah/Developer")</f>
        <v>0.2 Tidak Dapat Izin Warga/Kades/Lurah/Developer</v>
      </c>
      <c r="Q2651" s="222" t="str">
        <f>IFERROR(__xludf.DUMMYFUNCTION("""COMPUTED_VALUE"""),"6/2 masih case belum dapat jawabn dari kades reda zone , mengukit penanamna tiang eksis minta kopensasi
4/2  on progres perizinan
30/1 plan anwizing 
23/1 plan anwizing tanggal 26/1")</f>
        <v>6/2 masih case belum dapat jawabn dari kades reda zone , mengukit penanamna tiang eksis minta kopensasi
4/2  on progres perizinan
30/1 plan anwizing 
23/1 plan anwizing tanggal 26/1</v>
      </c>
      <c r="R2651" s="228"/>
      <c r="S2651" s="11"/>
      <c r="T2651" s="11"/>
      <c r="U2651" s="11"/>
      <c r="V2651" s="229"/>
      <c r="W2651" s="229"/>
      <c r="X2651" s="229"/>
      <c r="Y2651" s="229"/>
      <c r="Z2651" s="229" t="str">
        <f>IFERROR(__xludf.DUMMYFUNCTION("""COMPUTED_VALUE"""),"#N/A")</f>
        <v>#N/A</v>
      </c>
      <c r="AA2651" s="229"/>
      <c r="AB2651" s="229"/>
      <c r="AC2651" s="229"/>
      <c r="AD2651" s="232"/>
      <c r="AE2651" s="233"/>
      <c r="AF2651" s="54" t="str">
        <f>IFERROR(__xludf.DUMMYFUNCTION("""COMPUTED_VALUE"""),"Draft BA DROP")</f>
        <v>Draft BA DROP</v>
      </c>
      <c r="AG2651" s="54"/>
      <c r="AH2651" s="54"/>
      <c r="AI2651" s="55" t="str">
        <f t="shared" si="245"/>
        <v/>
      </c>
      <c r="AW2651" s="234"/>
      <c r="BP2651" s="11"/>
      <c r="BQ2651" s="11"/>
      <c r="BV2651" s="158"/>
      <c r="BY2651" s="158"/>
      <c r="CB2651" s="158"/>
    </row>
    <row r="2652" ht="18.0" customHeight="1">
      <c r="A2652" s="222">
        <f>IFERROR(__xludf.DUMMYFUNCTION("""COMPUTED_VALUE"""),2026.0)</f>
        <v>2026</v>
      </c>
      <c r="B2652" s="221">
        <f>IFERROR(__xludf.DUMMYFUNCTION("""COMPUTED_VALUE"""),1.2822749E7)</f>
        <v>12822749</v>
      </c>
      <c r="C2652" s="222" t="str">
        <f>IFERROR(__xludf.DUMMYFUNCTION("""COMPUTED_VALUE"""),"RKP TSEL PT3 BDS-FY JL. SEDANAU TIBAN 1")</f>
        <v>RKP TSEL PT3 BDS-FY JL. SEDANAU TIBAN 1</v>
      </c>
      <c r="D2652" s="222" t="str">
        <f>IFERROR(__xludf.DUMMYFUNCTION("""COMPUTED_VALUE"""),"REGIONAL I")</f>
        <v>REGIONAL I</v>
      </c>
      <c r="E2652" s="222" t="str">
        <f>IFERROR(__xludf.DUMMYFUNCTION("""COMPUTED_VALUE"""),"RIKEP")</f>
        <v>RIKEP</v>
      </c>
      <c r="F2652" s="222" t="str">
        <f>IFERROR(__xludf.DUMMYFUNCTION("""COMPUTED_VALUE"""),"BDS")</f>
        <v>BDS</v>
      </c>
      <c r="G2652" s="222" t="str">
        <f>IFERROR(__xludf.DUMMYFUNCTION("""COMPUTED_VALUE"""),"SUMBAGTENG")</f>
        <v>SUMBAGTENG</v>
      </c>
      <c r="H2652" s="222" t="str">
        <f>IFERROR(__xludf.DUMMYFUNCTION("""COMPUTED_VALUE"""),"BATAM")</f>
        <v>BATAM</v>
      </c>
      <c r="I2652" s="222" t="str">
        <f>IFERROR(__xludf.DUMMYFUNCTION("""COMPUTED_VALUE"""),"Batch 3")</f>
        <v>Batch 3</v>
      </c>
      <c r="J2652" s="225">
        <f>IFERROR(__xludf.DUMMYFUNCTION("""COMPUTED_VALUE"""),3.0)</f>
        <v>3</v>
      </c>
      <c r="K2652" s="224">
        <f>IFERROR(__xludf.DUMMYFUNCTION("""COMPUTED_VALUE"""),24.0)</f>
        <v>24</v>
      </c>
      <c r="L2652" s="226">
        <f>IFERROR(__xludf.DUMMYFUNCTION("""COMPUTED_VALUE"""),365717.0)</f>
        <v>365717</v>
      </c>
      <c r="M2652" s="227">
        <f>IFERROR(__xludf.DUMMYFUNCTION("""COMPUTED_VALUE"""),8777207.0)</f>
        <v>8777207</v>
      </c>
      <c r="N2652" s="222" t="str">
        <f>IFERROR(__xludf.DUMMYFUNCTION("""COMPUTED_VALUE"""),"PT MITRA SETIA INDONESIA")</f>
        <v>PT MITRA SETIA INDONESIA</v>
      </c>
      <c r="O2652" s="222" t="str">
        <f>IFERROR(__xludf.DUMMYFUNCTION("""COMPUTED_VALUE"""),"2. DONE AANWIJZING")</f>
        <v>2. DONE AANWIJZING</v>
      </c>
      <c r="P2652" s="222" t="str">
        <f>IFERROR(__xludf.DUMMYFUNCTION("""COMPUTED_VALUE"""),"2.10 Kendala - Feeder Rusak")</f>
        <v>2.10 Kendala - Feeder Rusak</v>
      </c>
      <c r="Q2652" s="222" t="str">
        <f>IFERROR(__xludf.DUMMYFUNCTION("""COMPUTED_VALUE"""),"04/03 Feeder rusak butuh eviden OTDR ulang. 12/02 Feeder butuh QE. 09/02 LOP belum di sruvey. 28/01 Plan survey 29 Jan. 21/01 plan survey minggu depan tgl 26")</f>
        <v>04/03 Feeder rusak butuh eviden OTDR ulang. 12/02 Feeder butuh QE. 09/02 LOP belum di sruvey. 28/01 Plan survey 29 Jan. 21/01 plan survey minggu depan tgl 26</v>
      </c>
      <c r="R2652" s="228"/>
      <c r="S2652" s="11"/>
      <c r="T2652" s="11"/>
      <c r="U2652" s="11"/>
      <c r="V2652" s="229" t="str">
        <f>IFERROR(__xludf.DUMMYFUNCTION("""COMPUTED_VALUE"""),"MUHAMMAD RIDHO FALFO")</f>
        <v>MUHAMMAD RIDHO FALFO</v>
      </c>
      <c r="W2652" s="229"/>
      <c r="X2652" s="229"/>
      <c r="Y2652" s="229"/>
      <c r="Z2652" s="229" t="str">
        <f>IFERROR(__xludf.DUMMYFUNCTION("""COMPUTED_VALUE"""),"#N/A")</f>
        <v>#N/A</v>
      </c>
      <c r="AA2652" s="229"/>
      <c r="AB2652" s="229"/>
      <c r="AC2652" s="229"/>
      <c r="AD2652" s="232"/>
      <c r="AE2652" s="233"/>
      <c r="AF2652" s="54"/>
      <c r="AG2652" s="54"/>
      <c r="AH2652" s="54"/>
      <c r="AI2652" s="55" t="str">
        <f t="shared" si="245"/>
        <v/>
      </c>
      <c r="AW2652" s="234"/>
      <c r="BP2652" s="11"/>
      <c r="BQ2652" s="11"/>
      <c r="BV2652" s="158"/>
      <c r="BY2652" s="158"/>
      <c r="CB2652" s="158"/>
    </row>
    <row r="2653" ht="18.0" customHeight="1">
      <c r="A2653" s="222">
        <f>IFERROR(__xludf.DUMMYFUNCTION("""COMPUTED_VALUE"""),2026.0)</f>
        <v>2026</v>
      </c>
      <c r="B2653" s="221">
        <f>IFERROR(__xludf.DUMMYFUNCTION("""COMPUTED_VALUE"""),1.2557294E7)</f>
        <v>12557294</v>
      </c>
      <c r="C2653" s="222" t="str">
        <f>IFERROR(__xludf.DUMMYFUNCTION("""COMPUTED_VALUE"""),"RKP TSEL PT2 TPI-FR 250_408_4225")</f>
        <v>RKP TSEL PT2 TPI-FR 250_408_4225</v>
      </c>
      <c r="D2653" s="222" t="str">
        <f>IFERROR(__xludf.DUMMYFUNCTION("""COMPUTED_VALUE"""),"REGIONAL I")</f>
        <v>REGIONAL I</v>
      </c>
      <c r="E2653" s="222" t="str">
        <f>IFERROR(__xludf.DUMMYFUNCTION("""COMPUTED_VALUE"""),"RIKEP")</f>
        <v>RIKEP</v>
      </c>
      <c r="F2653" s="222" t="str">
        <f>IFERROR(__xludf.DUMMYFUNCTION("""COMPUTED_VALUE"""),"TPI")</f>
        <v>TPI</v>
      </c>
      <c r="G2653" s="222" t="str">
        <f>IFERROR(__xludf.DUMMYFUNCTION("""COMPUTED_VALUE"""),"SUMBAGTENG")</f>
        <v>SUMBAGTENG</v>
      </c>
      <c r="H2653" s="222" t="str">
        <f>IFERROR(__xludf.DUMMYFUNCTION("""COMPUTED_VALUE"""),"BATAM")</f>
        <v>BATAM</v>
      </c>
      <c r="I2653" s="222" t="str">
        <f>IFERROR(__xludf.DUMMYFUNCTION("""COMPUTED_VALUE"""),"Batch 3")</f>
        <v>Batch 3</v>
      </c>
      <c r="J2653" s="225">
        <f>IFERROR(__xludf.DUMMYFUNCTION("""COMPUTED_VALUE"""),5.0)</f>
        <v>5</v>
      </c>
      <c r="K2653" s="224">
        <f>IFERROR(__xludf.DUMMYFUNCTION("""COMPUTED_VALUE"""),40.0)</f>
        <v>40</v>
      </c>
      <c r="L2653" s="226">
        <f>IFERROR(__xludf.DUMMYFUNCTION("""COMPUTED_VALUE"""),361143.0)</f>
        <v>361143</v>
      </c>
      <c r="M2653" s="227">
        <f>IFERROR(__xludf.DUMMYFUNCTION("""COMPUTED_VALUE"""),1.4445688E7)</f>
        <v>14445688</v>
      </c>
      <c r="N2653" s="222" t="str">
        <f>IFERROR(__xludf.DUMMYFUNCTION("""COMPUTED_VALUE"""),"SWAKELOLA")</f>
        <v>SWAKELOLA</v>
      </c>
      <c r="O2653" s="222" t="str">
        <f>IFERROR(__xludf.DUMMYFUNCTION("""COMPUTED_VALUE"""),"2. DONE AANWIJZING")</f>
        <v>2. DONE AANWIJZING</v>
      </c>
      <c r="P2653" s="222" t="str">
        <f>IFERROR(__xludf.DUMMYFUNCTION("""COMPUTED_VALUE"""),"2.11 Kendala - Feeder Full / Dependensi LOP lain")</f>
        <v>2.11 Kendala - Feeder Full / Dependensi LOP lain</v>
      </c>
      <c r="Q2653" s="222" t="str">
        <f>IFERROR(__xludf.DUMMYFUNCTION("""COMPUTED_VALUE"""),"04/03 Feeder Full. 12/02 MP Terbatas di pulau tanjung pinang, tidak bisa komit sampai bulan maret. 09/02 plan anwijzing minggu ini, PIC mitra paralel progres installasi.04/02 Order Batch 3 di survey minggu depan. 23/01 Plan anwijzing 26 Jan, Order Baru. 2"&amp;"2/01 Order baru, proses penunjukan mitra")</f>
        <v>04/03 Feeder Full. 12/02 MP Terbatas di pulau tanjung pinang, tidak bisa komit sampai bulan maret. 09/02 plan anwijzing minggu ini, PIC mitra paralel progres installasi.04/02 Order Batch 3 di survey minggu depan. 23/01 Plan anwijzing 26 Jan, Order Baru. 22/01 Order baru, proses penunjukan mitra</v>
      </c>
      <c r="R2653" s="228"/>
      <c r="S2653" s="11"/>
      <c r="T2653" s="11"/>
      <c r="U2653" s="11"/>
      <c r="V2653" s="229" t="str">
        <f>IFERROR(__xludf.DUMMYFUNCTION("""COMPUTED_VALUE"""),"DEDY IRAWAN")</f>
        <v>DEDY IRAWAN</v>
      </c>
      <c r="W2653" s="229"/>
      <c r="X2653" s="229"/>
      <c r="Y2653" s="229"/>
      <c r="Z2653" s="229" t="str">
        <f>IFERROR(__xludf.DUMMYFUNCTION("""COMPUTED_VALUE"""),"#N/A")</f>
        <v>#N/A</v>
      </c>
      <c r="AA2653" s="229"/>
      <c r="AB2653" s="229"/>
      <c r="AC2653" s="229"/>
      <c r="AD2653" s="232"/>
      <c r="AE2653" s="233"/>
      <c r="AF2653" s="54"/>
      <c r="AG2653" s="54"/>
      <c r="AH2653" s="54"/>
      <c r="AI2653" s="55" t="str">
        <f t="shared" si="245"/>
        <v/>
      </c>
      <c r="AW2653" s="234"/>
      <c r="BP2653" s="11"/>
      <c r="BQ2653" s="11"/>
      <c r="BV2653" s="158"/>
      <c r="BY2653" s="158"/>
      <c r="CB2653" s="158"/>
    </row>
    <row r="2654" ht="18.0" hidden="1" customHeight="1">
      <c r="A2654" s="222">
        <f>IFERROR(__xludf.DUMMYFUNCTION("""COMPUTED_VALUE"""),2026.0)</f>
        <v>2026</v>
      </c>
      <c r="B2654" s="221">
        <f>IFERROR(__xludf.DUMMYFUNCTION("""COMPUTED_VALUE"""),1.2166066E7)</f>
        <v>12166066</v>
      </c>
      <c r="C2654" s="222" t="str">
        <f>IFERROR(__xludf.DUMMYFUNCTION("""COMPUTED_VALUE"""),"LPG PT3 JPP LAMPUNG SELATAN_118685 SRW")</f>
        <v>LPG PT3 JPP LAMPUNG SELATAN_118685 SRW</v>
      </c>
      <c r="D2654" s="222" t="str">
        <f>IFERROR(__xludf.DUMMYFUNCTION("""COMPUTED_VALUE"""),"REGIONAL I")</f>
        <v>REGIONAL I</v>
      </c>
      <c r="E2654" s="222" t="str">
        <f>IFERROR(__xludf.DUMMYFUNCTION("""COMPUTED_VALUE"""),"LAMPUNG")</f>
        <v>LAMPUNG</v>
      </c>
      <c r="F2654" s="222" t="str">
        <f>IFERROR(__xludf.DUMMYFUNCTION("""COMPUTED_VALUE"""),"SRW")</f>
        <v>SRW</v>
      </c>
      <c r="G2654" s="222" t="str">
        <f>IFERROR(__xludf.DUMMYFUNCTION("""COMPUTED_VALUE"""),"SUMBAGSEL")</f>
        <v>SUMBAGSEL</v>
      </c>
      <c r="H2654" s="222" t="str">
        <f>IFERROR(__xludf.DUMMYFUNCTION("""COMPUTED_VALUE"""),"LAMPUNG")</f>
        <v>LAMPUNG</v>
      </c>
      <c r="I2654" s="222" t="str">
        <f>IFERROR(__xludf.DUMMYFUNCTION("""COMPUTED_VALUE"""),"Batch 3")</f>
        <v>Batch 3</v>
      </c>
      <c r="J2654" s="225">
        <f>IFERROR(__xludf.DUMMYFUNCTION("""COMPUTED_VALUE"""),5.0)</f>
        <v>5</v>
      </c>
      <c r="K2654" s="224">
        <f>IFERROR(__xludf.DUMMYFUNCTION("""COMPUTED_VALUE"""),40.0)</f>
        <v>40</v>
      </c>
      <c r="L2654" s="226">
        <f>IFERROR(__xludf.DUMMYFUNCTION("""COMPUTED_VALUE"""),360075.0)</f>
        <v>360075</v>
      </c>
      <c r="M2654" s="227">
        <f>IFERROR(__xludf.DUMMYFUNCTION("""COMPUTED_VALUE"""),1.4402979E7)</f>
        <v>14402979</v>
      </c>
      <c r="N2654" s="222" t="str">
        <f>IFERROR(__xludf.DUMMYFUNCTION("""COMPUTED_VALUE"""),"PT BANGTELINDO")</f>
        <v>PT BANGTELINDO</v>
      </c>
      <c r="O2654" s="222" t="str">
        <f>IFERROR(__xludf.DUMMYFUNCTION("""COMPUTED_VALUE"""),"7. GOLIVE")</f>
        <v>7. GOLIVE</v>
      </c>
      <c r="P2654" s="222" t="str">
        <f>IFERROR(__xludf.DUMMYFUNCTION("""COMPUTED_VALUE"""),"7.2 Golive Full / OA / DONE OTB")</f>
        <v>7.2 Golive Full / OA / DONE OTB</v>
      </c>
      <c r="Q2654" s="222" t="str">
        <f>IFERROR(__xludf.DUMMYFUNCTION("""COMPUTED_VALUE"""),"4/3 proses golive,,   proses jumper plan fi 5/3  plan abd+valins 6/3 plan golive tnggal 4/3, (msh pengajuan permit masuk site tower )
2/3 proses tanam tiang,, plan FI 2/3 plan abd+valins 3/3 plan golive tnggal 4/3,
27/2   proses tanam tiang,, plan FI 2/3 "&amp;"plan abd+valins 3/3 plan golive tnggal 4/3,,  24/2 plan matdel hari ini
19/2 Proses PR-PO  11/2 perubahan BA Manual pengambilan material 6/2 plan matdel ,estimasi ambil material 10/2 ,plan fi 15/2 
4/2 stok material kosong ,estimasi tiba 07/2 
28/1 plan m"&amp;"atdel 09/2 
23/1 plan anwizing tanggal 26/10")</f>
        <v>4/3 proses golive,,   proses jumper plan fi 5/3  plan abd+valins 6/3 plan golive tnggal 4/3, (msh pengajuan permit masuk site tower )
2/3 proses tanam tiang,, plan FI 2/3 plan abd+valins 3/3 plan golive tnggal 4/3,
27/2   proses tanam tiang,, plan FI 2/3 plan abd+valins 3/3 plan golive tnggal 4/3,,  24/2 plan matdel hari ini
19/2 Proses PR-PO  11/2 perubahan BA Manual pengambilan material 6/2 plan matdel ,estimasi ambil material 10/2 ,plan fi 15/2 
4/2 stok material kosong ,estimasi tiba 07/2 
28/1 plan matdel 09/2 
23/1 plan anwizing tanggal 26/10</v>
      </c>
      <c r="R2654" s="228">
        <f>IFERROR(__xludf.DUMMYFUNCTION("""COMPUTED_VALUE"""),46086.0)</f>
        <v>46086</v>
      </c>
      <c r="S2654" s="11" t="str">
        <f>IFERROR(__xludf.DUMMYFUNCTION("""COMPUTED_VALUE"""),"MAR")</f>
        <v>MAR</v>
      </c>
      <c r="T2654" s="11"/>
      <c r="U2654" s="11" t="str">
        <f>IFERROR(__xludf.DUMMYFUNCTION("""COMPUTED_VALUE"""),"TIF-3425/2026")</f>
        <v>TIF-3425/2026</v>
      </c>
      <c r="V2654" s="229"/>
      <c r="W2654" s="229"/>
      <c r="X2654" s="229" t="str">
        <f>IFERROR(__xludf.DUMMYFUNCTION("""COMPUTED_VALUE"""),"GOLIVE")</f>
        <v>GOLIVE</v>
      </c>
      <c r="Y2654" s="229" t="str">
        <f>IFERROR(__xludf.DUMMYFUNCTION("""COMPUTED_VALUE"""),"DONE")</f>
        <v>DONE</v>
      </c>
      <c r="Z2654" s="229" t="str">
        <f>IFERROR(__xludf.DUMMYFUNCTION("""COMPUTED_VALUE"""),"#N/A")</f>
        <v>#N/A</v>
      </c>
      <c r="AA2654" s="229">
        <f>IFERROR(__xludf.DUMMYFUNCTION("""COMPUTED_VALUE"""),5.0)</f>
        <v>5</v>
      </c>
      <c r="AB2654" s="229"/>
      <c r="AC2654" s="229" t="str">
        <f>IFERROR(__xludf.DUMMYFUNCTION("""COMPUTED_VALUE"""),"9080641#9080646")</f>
        <v>9080641#9080646</v>
      </c>
      <c r="AD2654" s="232">
        <f>IFERROR(__xludf.DUMMYFUNCTION("""COMPUTED_VALUE"""),40.0)</f>
        <v>40</v>
      </c>
      <c r="AE2654" s="233">
        <f>IFERROR(__xludf.DUMMYFUNCTION("""COMPUTED_VALUE"""),46087.0)</f>
        <v>46087</v>
      </c>
      <c r="AF2654" s="54"/>
      <c r="AG2654" s="54"/>
      <c r="AH2654" s="54">
        <v>46086.0</v>
      </c>
      <c r="AI2654" s="55">
        <f t="shared" si="245"/>
        <v>-1</v>
      </c>
      <c r="AW2654" s="234"/>
      <c r="BP2654" s="11"/>
      <c r="BQ2654" s="11"/>
      <c r="BV2654" s="158"/>
      <c r="BY2654" s="158"/>
      <c r="CB2654" s="158"/>
    </row>
    <row r="2655" ht="18.0" hidden="1" customHeight="1">
      <c r="A2655" s="222">
        <f>IFERROR(__xludf.DUMMYFUNCTION("""COMPUTED_VALUE"""),2026.0)</f>
        <v>2026</v>
      </c>
      <c r="B2655" s="221">
        <f>IFERROR(__xludf.DUMMYFUNCTION("""COMPUTED_VALUE"""),1.1490428E7)</f>
        <v>11490428</v>
      </c>
      <c r="C2655" s="222" t="str">
        <f>IFERROR(__xludf.DUMMYFUNCTION("""COMPUTED_VALUE"""),"ACH PT3 LGS-FAK D05 SUNGAI PAUS")</f>
        <v>ACH PT3 LGS-FAK D05 SUNGAI PAUS</v>
      </c>
      <c r="D2655" s="222" t="str">
        <f>IFERROR(__xludf.DUMMYFUNCTION("""COMPUTED_VALUE"""),"REGIONAL I")</f>
        <v>REGIONAL I</v>
      </c>
      <c r="E2655" s="222" t="str">
        <f>IFERROR(__xludf.DUMMYFUNCTION("""COMPUTED_VALUE"""),"ACEH")</f>
        <v>ACEH</v>
      </c>
      <c r="F2655" s="222" t="str">
        <f>IFERROR(__xludf.DUMMYFUNCTION("""COMPUTED_VALUE"""),"LGS")</f>
        <v>LGS</v>
      </c>
      <c r="G2655" s="222" t="str">
        <f>IFERROR(__xludf.DUMMYFUNCTION("""COMPUTED_VALUE"""),"SUMBAGUT")</f>
        <v>SUMBAGUT</v>
      </c>
      <c r="H2655" s="222" t="str">
        <f>IFERROR(__xludf.DUMMYFUNCTION("""COMPUTED_VALUE"""),"BINJAI")</f>
        <v>BINJAI</v>
      </c>
      <c r="I2655" s="222" t="str">
        <f>IFERROR(__xludf.DUMMYFUNCTION("""COMPUTED_VALUE"""),"Batch 3")</f>
        <v>Batch 3</v>
      </c>
      <c r="J2655" s="225">
        <f>IFERROR(__xludf.DUMMYFUNCTION("""COMPUTED_VALUE"""),16.0)</f>
        <v>16</v>
      </c>
      <c r="K2655" s="224">
        <f>IFERROR(__xludf.DUMMYFUNCTION("""COMPUTED_VALUE"""),128.0)</f>
        <v>128</v>
      </c>
      <c r="L2655" s="226">
        <f>IFERROR(__xludf.DUMMYFUNCTION("""COMPUTED_VALUE"""),522625.0)</f>
        <v>522625</v>
      </c>
      <c r="M2655" s="227">
        <f>IFERROR(__xludf.DUMMYFUNCTION("""COMPUTED_VALUE"""),6.6895946E7)</f>
        <v>66895946</v>
      </c>
      <c r="N2655" s="222" t="str">
        <f>IFERROR(__xludf.DUMMYFUNCTION("""COMPUTED_VALUE"""),"PT ARA PAYA INTAN")</f>
        <v>PT ARA PAYA INTAN</v>
      </c>
      <c r="O2655" s="222" t="str">
        <f>IFERROR(__xludf.DUMMYFUNCTION("""COMPUTED_VALUE"""),"7. GOLIVE")</f>
        <v>7. GOLIVE</v>
      </c>
      <c r="P2655" s="222" t="str">
        <f>IFERROR(__xludf.DUMMYFUNCTION("""COMPUTED_VALUE"""),"7.2 Golive Full / OA / DONE OTB")</f>
        <v>7.2 Golive Full / OA / DONE OTB</v>
      </c>
      <c r="Q2655" s="222" t="str">
        <f>IFERROR(__xludf.DUMMYFUNCTION("""COMPUTED_VALUE"""),"(11/02) pastcore belum sampai ke gudang LGS")</f>
        <v>(11/02) pastcore belum sampai ke gudang LGS</v>
      </c>
      <c r="R2655" s="228">
        <f>IFERROR(__xludf.DUMMYFUNCTION("""COMPUTED_VALUE"""),46070.0)</f>
        <v>46070</v>
      </c>
      <c r="S2655" s="11"/>
      <c r="T2655" s="11"/>
      <c r="U2655" s="11"/>
      <c r="V2655" s="229"/>
      <c r="W2655" s="229"/>
      <c r="X2655" s="229" t="str">
        <f>IFERROR(__xludf.DUMMYFUNCTION("""COMPUTED_VALUE"""),"GOLIVE")</f>
        <v>GOLIVE</v>
      </c>
      <c r="Y2655" s="229" t="str">
        <f>IFERROR(__xludf.DUMMYFUNCTION("""COMPUTED_VALUE"""),"DONE")</f>
        <v>DONE</v>
      </c>
      <c r="Z2655" s="229" t="str">
        <f>IFERROR(__xludf.DUMMYFUNCTION("""COMPUTED_VALUE"""),"#N/A")</f>
        <v>#N/A</v>
      </c>
      <c r="AA2655" s="229">
        <f>IFERROR(__xludf.DUMMYFUNCTION("""COMPUTED_VALUE"""),16.0)</f>
        <v>16</v>
      </c>
      <c r="AB2655" s="229"/>
      <c r="AC2655" s="229" t="str">
        <f>IFERROR(__xludf.DUMMYFUNCTION("""COMPUTED_VALUE"""),"8676791#8676796")</f>
        <v>8676791#8676796</v>
      </c>
      <c r="AD2655" s="232">
        <f>IFERROR(__xludf.DUMMYFUNCTION("""COMPUTED_VALUE"""),128.0)</f>
        <v>128</v>
      </c>
      <c r="AE2655" s="233">
        <f>IFERROR(__xludf.DUMMYFUNCTION("""COMPUTED_VALUE"""),46070.0)</f>
        <v>46070</v>
      </c>
      <c r="AF2655" s="54"/>
      <c r="AG2655" s="54"/>
      <c r="AH2655" s="54">
        <v>46070.0</v>
      </c>
      <c r="AI2655" s="55">
        <f t="shared" si="245"/>
        <v>0</v>
      </c>
      <c r="AW2655" s="234"/>
      <c r="BP2655" s="11"/>
      <c r="BQ2655" s="11"/>
      <c r="BV2655" s="158"/>
      <c r="BY2655" s="158"/>
      <c r="CB2655" s="158"/>
    </row>
    <row r="2656" ht="18.0" customHeight="1">
      <c r="A2656" s="222">
        <f>IFERROR(__xludf.DUMMYFUNCTION("""COMPUTED_VALUE"""),2026.0)</f>
        <v>2026</v>
      </c>
      <c r="B2656" s="221">
        <f>IFERROR(__xludf.DUMMYFUNCTION("""COMPUTED_VALUE"""),1.2792515E7)</f>
        <v>12792515</v>
      </c>
      <c r="C2656" s="222" t="str">
        <f>IFERROR(__xludf.DUMMYFUNCTION("""COMPUTED_VALUE"""),"SMB-PT3-ODC-PSB-FA-45544 - 6LOP")</f>
        <v>SMB-PT3-ODC-PSB-FA-45544 - 6LOP</v>
      </c>
      <c r="D2656" s="222" t="str">
        <f>IFERROR(__xludf.DUMMYFUNCTION("""COMPUTED_VALUE"""),"REGIONAL I")</f>
        <v>REGIONAL I</v>
      </c>
      <c r="E2656" s="222" t="str">
        <f>IFERROR(__xludf.DUMMYFUNCTION("""COMPUTED_VALUE"""),"SUMBAR")</f>
        <v>SUMBAR</v>
      </c>
      <c r="F2656" s="222" t="str">
        <f>IFERROR(__xludf.DUMMYFUNCTION("""COMPUTED_VALUE"""),"PSB")</f>
        <v>PSB</v>
      </c>
      <c r="G2656" s="222" t="str">
        <f>IFERROR(__xludf.DUMMYFUNCTION("""COMPUTED_VALUE"""),"SUMBAGTENG")</f>
        <v>SUMBAGTENG</v>
      </c>
      <c r="H2656" s="222" t="str">
        <f>IFERROR(__xludf.DUMMYFUNCTION("""COMPUTED_VALUE"""),"PADANG")</f>
        <v>PADANG</v>
      </c>
      <c r="I2656" s="222" t="str">
        <f>IFERROR(__xludf.DUMMYFUNCTION("""COMPUTED_VALUE"""),"Batch 3")</f>
        <v>Batch 3</v>
      </c>
      <c r="J2656" s="225">
        <f>IFERROR(__xludf.DUMMYFUNCTION("""COMPUTED_VALUE"""),11.0)</f>
        <v>11</v>
      </c>
      <c r="K2656" s="224">
        <f>IFERROR(__xludf.DUMMYFUNCTION("""COMPUTED_VALUE"""),88.0)</f>
        <v>88</v>
      </c>
      <c r="L2656" s="226">
        <f>IFERROR(__xludf.DUMMYFUNCTION("""COMPUTED_VALUE"""),357612.0)</f>
        <v>357612</v>
      </c>
      <c r="M2656" s="227">
        <f>IFERROR(__xludf.DUMMYFUNCTION("""COMPUTED_VALUE"""),3.1469803E7)</f>
        <v>31469803</v>
      </c>
      <c r="N2656" s="222" t="str">
        <f>IFERROR(__xludf.DUMMYFUNCTION("""COMPUTED_VALUE"""),"PT ALAM UTAMA MULIA")</f>
        <v>PT ALAM UTAMA MULIA</v>
      </c>
      <c r="O2656" s="222" t="str">
        <f>IFERROR(__xludf.DUMMYFUNCTION("""COMPUTED_VALUE"""),"8. UJI TERIMA")</f>
        <v>8. UJI TERIMA</v>
      </c>
      <c r="P2656" s="222" t="str">
        <f>IFERROR(__xludf.DUMMYFUNCTION("""COMPUTED_VALUE"""),"8.1 Proses UT")</f>
        <v>8.1 Proses UT</v>
      </c>
      <c r="Q2656" s="222" t="str">
        <f>IFERROR(__xludf.DUMMYFUNCTION("""COMPUTED_VALUE"""),"(18/02) Valins ODP Plan FI 20/02  (04/02) matdel ke site (29/01) Done aanwijziing  , proses eval")</f>
        <v>(18/02) Valins ODP Plan FI 20/02  (04/02) matdel ke site (29/01) Done aanwijziing  , proses eval</v>
      </c>
      <c r="R2656" s="228">
        <f>IFERROR(__xludf.DUMMYFUNCTION("""COMPUTED_VALUE"""),46084.0)</f>
        <v>46084</v>
      </c>
      <c r="S2656" s="11" t="str">
        <f>IFERROR(__xludf.DUMMYFUNCTION("""COMPUTED_VALUE"""),"MAR")</f>
        <v>MAR</v>
      </c>
      <c r="T2656" s="11"/>
      <c r="U2656" s="11" t="str">
        <f>IFERROR(__xludf.DUMMYFUNCTION("""COMPUTED_VALUE"""),"TIF-2627/2026 26KT03R158-0036")</f>
        <v>TIF-2627/2026 26KT03R158-0036</v>
      </c>
      <c r="V2656" s="229" t="str">
        <f>IFERROR(__xludf.DUMMYFUNCTION("""COMPUTED_VALUE"""),"PRAMADIO SEPWILMAN")</f>
        <v>PRAMADIO SEPWILMAN</v>
      </c>
      <c r="W2656" s="229" t="str">
        <f>IFERROR(__xludf.DUMMYFUNCTION("""COMPUTED_VALUE"""),"MELKO NARWADI")</f>
        <v>MELKO NARWADI</v>
      </c>
      <c r="X2656" s="229" t="str">
        <f>IFERROR(__xludf.DUMMYFUNCTION("""COMPUTED_VALUE"""),"GOLIVE")</f>
        <v>GOLIVE</v>
      </c>
      <c r="Y2656" s="229" t="str">
        <f>IFERROR(__xludf.DUMMYFUNCTION("""COMPUTED_VALUE"""),"DONE")</f>
        <v>DONE</v>
      </c>
      <c r="Z2656" s="229" t="str">
        <f>IFERROR(__xludf.DUMMYFUNCTION("""COMPUTED_VALUE"""),"#N/A")</f>
        <v>#N/A</v>
      </c>
      <c r="AA2656" s="229">
        <f>IFERROR(__xludf.DUMMYFUNCTION("""COMPUTED_VALUE"""),11.0)</f>
        <v>11</v>
      </c>
      <c r="AB2656" s="229"/>
      <c r="AC2656" s="229" t="str">
        <f>IFERROR(__xludf.DUMMYFUNCTION("""COMPUTED_VALUE"""),"9152452#9152457")</f>
        <v>9152452#9152457</v>
      </c>
      <c r="AD2656" s="232">
        <f>IFERROR(__xludf.DUMMYFUNCTION("""COMPUTED_VALUE"""),88.0)</f>
        <v>88</v>
      </c>
      <c r="AE2656" s="233">
        <f>IFERROR(__xludf.DUMMYFUNCTION("""COMPUTED_VALUE"""),46083.0)</f>
        <v>46083</v>
      </c>
      <c r="AF2656" s="54"/>
      <c r="AG2656" s="54"/>
      <c r="AH2656" s="54">
        <v>46084.0</v>
      </c>
      <c r="AI2656" s="55">
        <f t="shared" si="245"/>
        <v>1</v>
      </c>
      <c r="AW2656" s="234"/>
      <c r="BP2656" s="11"/>
      <c r="BQ2656" s="11"/>
      <c r="BV2656" s="158"/>
      <c r="BY2656" s="158"/>
      <c r="CB2656" s="158"/>
    </row>
    <row r="2657" ht="18.0" customHeight="1">
      <c r="A2657" s="222">
        <f>IFERROR(__xludf.DUMMYFUNCTION("""COMPUTED_VALUE"""),2026.0)</f>
        <v>2026</v>
      </c>
      <c r="B2657" s="221">
        <f>IFERROR(__xludf.DUMMYFUNCTION("""COMPUTED_VALUE"""),1.255115E7)</f>
        <v>12551150</v>
      </c>
      <c r="C2657" s="222" t="str">
        <f>IFERROR(__xludf.DUMMYFUNCTION("""COMPUTED_VALUE"""),"RKP TSEL PT2 KMS-FAS 250_401_4251")</f>
        <v>RKP TSEL PT2 KMS-FAS 250_401_4251</v>
      </c>
      <c r="D2657" s="222" t="str">
        <f>IFERROR(__xludf.DUMMYFUNCTION("""COMPUTED_VALUE"""),"REGIONAL I")</f>
        <v>REGIONAL I</v>
      </c>
      <c r="E2657" s="222" t="str">
        <f>IFERROR(__xludf.DUMMYFUNCTION("""COMPUTED_VALUE"""),"RIKEP")</f>
        <v>RIKEP</v>
      </c>
      <c r="F2657" s="222" t="str">
        <f>IFERROR(__xludf.DUMMYFUNCTION("""COMPUTED_VALUE"""),"KMS")</f>
        <v>KMS</v>
      </c>
      <c r="G2657" s="222" t="str">
        <f>IFERROR(__xludf.DUMMYFUNCTION("""COMPUTED_VALUE"""),"SUMBAGTENG")</f>
        <v>SUMBAGTENG</v>
      </c>
      <c r="H2657" s="222" t="str">
        <f>IFERROR(__xludf.DUMMYFUNCTION("""COMPUTED_VALUE"""),"BATAM")</f>
        <v>BATAM</v>
      </c>
      <c r="I2657" s="222" t="str">
        <f>IFERROR(__xludf.DUMMYFUNCTION("""COMPUTED_VALUE"""),"Batch 3")</f>
        <v>Batch 3</v>
      </c>
      <c r="J2657" s="225">
        <f>IFERROR(__xludf.DUMMYFUNCTION("""COMPUTED_VALUE"""),3.0)</f>
        <v>3</v>
      </c>
      <c r="K2657" s="224">
        <f>IFERROR(__xludf.DUMMYFUNCTION("""COMPUTED_VALUE"""),24.0)</f>
        <v>24</v>
      </c>
      <c r="L2657" s="226">
        <f>IFERROR(__xludf.DUMMYFUNCTION("""COMPUTED_VALUE"""),356540.0)</f>
        <v>356540</v>
      </c>
      <c r="M2657" s="227">
        <f>IFERROR(__xludf.DUMMYFUNCTION("""COMPUTED_VALUE"""),8556958.0)</f>
        <v>8556958</v>
      </c>
      <c r="N2657" s="222" t="str">
        <f>IFERROR(__xludf.DUMMYFUNCTION("""COMPUTED_VALUE"""),"SWAKELOLA")</f>
        <v>SWAKELOLA</v>
      </c>
      <c r="O2657" s="222" t="str">
        <f>IFERROR(__xludf.DUMMYFUNCTION("""COMPUTED_VALUE"""),"2. DONE AANWIJZING")</f>
        <v>2. DONE AANWIJZING</v>
      </c>
      <c r="P2657" s="222" t="str">
        <f>IFERROR(__xludf.DUMMYFUNCTION("""COMPUTED_VALUE"""),"2.11 Kendala - Feeder Full / Dependensi LOP lain")</f>
        <v>2.11 Kendala - Feeder Full / Dependensi LOP lain</v>
      </c>
      <c r="Q2657" s="222" t="str">
        <f>IFERROR(__xludf.DUMMYFUNCTION("""COMPUTED_VALUE"""),"04/03 Feeder Full. 12/02 MP Terbatas di pulau tanjung pinang, tidak bisa komit sampai bulan maret. 09/02 plan anwijzing minggu ini, PIC mitra paralel progres installasi.04/02 Order Batch 3 di survey minggu depan. 23/01 Plan anwijzing 26 Jan, Order Baru. 2"&amp;"2/01 Order baru, proses penunjukan mitra")</f>
        <v>04/03 Feeder Full. 12/02 MP Terbatas di pulau tanjung pinang, tidak bisa komit sampai bulan maret. 09/02 plan anwijzing minggu ini, PIC mitra paralel progres installasi.04/02 Order Batch 3 di survey minggu depan. 23/01 Plan anwijzing 26 Jan, Order Baru. 22/01 Order baru, proses penunjukan mitra</v>
      </c>
      <c r="R2657" s="228"/>
      <c r="S2657" s="11"/>
      <c r="T2657" s="11"/>
      <c r="U2657" s="11"/>
      <c r="V2657" s="229" t="str">
        <f>IFERROR(__xludf.DUMMYFUNCTION("""COMPUTED_VALUE"""),"DEDY IRAWAN")</f>
        <v>DEDY IRAWAN</v>
      </c>
      <c r="W2657" s="229"/>
      <c r="X2657" s="229"/>
      <c r="Y2657" s="229"/>
      <c r="Z2657" s="229" t="str">
        <f>IFERROR(__xludf.DUMMYFUNCTION("""COMPUTED_VALUE"""),"#N/A")</f>
        <v>#N/A</v>
      </c>
      <c r="AA2657" s="229"/>
      <c r="AB2657" s="229"/>
      <c r="AC2657" s="229"/>
      <c r="AD2657" s="232"/>
      <c r="AE2657" s="233"/>
      <c r="AF2657" s="54"/>
      <c r="AG2657" s="54"/>
      <c r="AH2657" s="54"/>
      <c r="AI2657" s="55" t="str">
        <f t="shared" si="245"/>
        <v/>
      </c>
      <c r="AW2657" s="234"/>
      <c r="BP2657" s="11"/>
      <c r="BQ2657" s="11"/>
      <c r="BV2657" s="158"/>
      <c r="BY2657" s="158"/>
      <c r="CB2657" s="158"/>
    </row>
    <row r="2658" ht="18.0" hidden="1" customHeight="1">
      <c r="A2658" s="222">
        <f>IFERROR(__xludf.DUMMYFUNCTION("""COMPUTED_VALUE"""),2026.0)</f>
        <v>2026</v>
      </c>
      <c r="B2658" s="221">
        <f>IFERROR(__xludf.DUMMYFUNCTION("""COMPUTED_VALUE"""),1.254233E7)</f>
        <v>12542330</v>
      </c>
      <c r="C2658" s="222" t="str">
        <f>IFERROR(__xludf.DUMMYFUNCTION("""COMPUTED_VALUE"""),"250_1586_1609")</f>
        <v>250_1586_1609</v>
      </c>
      <c r="D2658" s="222" t="str">
        <f>IFERROR(__xludf.DUMMYFUNCTION("""COMPUTED_VALUE"""),"REGIONAL I")</f>
        <v>REGIONAL I</v>
      </c>
      <c r="E2658" s="222" t="str">
        <f>IFERROR(__xludf.DUMMYFUNCTION("""COMPUTED_VALUE"""),"MEDAN")</f>
        <v>MEDAN</v>
      </c>
      <c r="F2658" s="222" t="str">
        <f>IFERROR(__xludf.DUMMYFUNCTION("""COMPUTED_VALUE"""),"CTD")</f>
        <v>CTD</v>
      </c>
      <c r="G2658" s="222" t="str">
        <f>IFERROR(__xludf.DUMMYFUNCTION("""COMPUTED_VALUE"""),"SUMBAGUT")</f>
        <v>SUMBAGUT</v>
      </c>
      <c r="H2658" s="222" t="str">
        <f>IFERROR(__xludf.DUMMYFUNCTION("""COMPUTED_VALUE"""),"MEDAN")</f>
        <v>MEDAN</v>
      </c>
      <c r="I2658" s="222" t="str">
        <f>IFERROR(__xludf.DUMMYFUNCTION("""COMPUTED_VALUE"""),"Batch 3")</f>
        <v>Batch 3</v>
      </c>
      <c r="J2658" s="225">
        <f>IFERROR(__xludf.DUMMYFUNCTION("""COMPUTED_VALUE"""),3.0)</f>
        <v>3</v>
      </c>
      <c r="K2658" s="224">
        <f>IFERROR(__xludf.DUMMYFUNCTION("""COMPUTED_VALUE"""),24.0)</f>
        <v>24</v>
      </c>
      <c r="L2658" s="226">
        <f>IFERROR(__xludf.DUMMYFUNCTION("""COMPUTED_VALUE"""),355373.0)</f>
        <v>355373</v>
      </c>
      <c r="M2658" s="227">
        <f>IFERROR(__xludf.DUMMYFUNCTION("""COMPUTED_VALUE"""),8528952.0)</f>
        <v>8528952</v>
      </c>
      <c r="N2658" s="222" t="str">
        <f>IFERROR(__xludf.DUMMYFUNCTION("""COMPUTED_VALUE"""),"PT GLOBAL KARYA WANDA")</f>
        <v>PT GLOBAL KARYA WANDA</v>
      </c>
      <c r="O2658" s="222" t="str">
        <f>IFERROR(__xludf.DUMMYFUNCTION("""COMPUTED_VALUE"""),"2. DONE AANWIJZING")</f>
        <v>2. DONE AANWIJZING</v>
      </c>
      <c r="P2658" s="222" t="str">
        <f>IFERROR(__xludf.DUMMYFUNCTION("""COMPUTED_VALUE"""),"2.10 Kendala - Feeder Rusak")</f>
        <v>2.10 Kendala - Feeder Rusak</v>
      </c>
      <c r="Q2658" s="222" t="str">
        <f>IFERROR(__xludf.DUMMYFUNCTION("""COMPUTED_VALUE"""),"22/04 pengecekan tipus butuh QE
21/02 Feeder REDAMAN TINGGI")</f>
        <v>22/04 pengecekan tipus butuh QE
21/02 Feeder REDAMAN TINGGI</v>
      </c>
      <c r="R2658" s="228"/>
      <c r="S2658" s="11"/>
      <c r="T2658" s="11"/>
      <c r="U2658" s="11"/>
      <c r="V2658" s="229"/>
      <c r="W2658" s="229"/>
      <c r="X2658" s="229" t="str">
        <f>IFERROR(__xludf.DUMMYFUNCTION("""COMPUTED_VALUE"""),"BELUM GOLIVE")</f>
        <v>BELUM GOLIVE</v>
      </c>
      <c r="Y2658" s="229"/>
      <c r="Z2658" s="229" t="str">
        <f>IFERROR(__xludf.DUMMYFUNCTION("""COMPUTED_VALUE"""),"#N/A")</f>
        <v>#N/A</v>
      </c>
      <c r="AA2658" s="229"/>
      <c r="AB2658" s="229"/>
      <c r="AC2658" s="229"/>
      <c r="AD2658" s="232"/>
      <c r="AE2658" s="233"/>
      <c r="AF2658" s="54"/>
      <c r="AG2658" s="54"/>
      <c r="AH2658" s="54"/>
      <c r="AI2658" s="55" t="str">
        <f t="shared" si="245"/>
        <v/>
      </c>
      <c r="AW2658" s="234"/>
      <c r="BP2658" s="11"/>
      <c r="BQ2658" s="11"/>
      <c r="BV2658" s="158"/>
      <c r="BY2658" s="158"/>
      <c r="CB2658" s="158"/>
    </row>
    <row r="2659" ht="18.0" customHeight="1">
      <c r="A2659" s="222">
        <f>IFERROR(__xludf.DUMMYFUNCTION("""COMPUTED_VALUE"""),2026.0)</f>
        <v>2026</v>
      </c>
      <c r="B2659" s="221">
        <f>IFERROR(__xludf.DUMMYFUNCTION("""COMPUTED_VALUE"""),1.2822895E7)</f>
        <v>12822895</v>
      </c>
      <c r="C2659" s="222" t="str">
        <f>IFERROR(__xludf.DUMMYFUNCTION("""COMPUTED_VALUE"""),"RKP TSEL PT3 LBJ-FBF BKG NUSANTARA 1")</f>
        <v>RKP TSEL PT3 LBJ-FBF BKG NUSANTARA 1</v>
      </c>
      <c r="D2659" s="222" t="str">
        <f>IFERROR(__xludf.DUMMYFUNCTION("""COMPUTED_VALUE"""),"REGIONAL I")</f>
        <v>REGIONAL I</v>
      </c>
      <c r="E2659" s="222" t="str">
        <f>IFERROR(__xludf.DUMMYFUNCTION("""COMPUTED_VALUE"""),"RIKEP")</f>
        <v>RIKEP</v>
      </c>
      <c r="F2659" s="222" t="str">
        <f>IFERROR(__xludf.DUMMYFUNCTION("""COMPUTED_VALUE"""),"LBJ")</f>
        <v>LBJ</v>
      </c>
      <c r="G2659" s="222" t="str">
        <f>IFERROR(__xludf.DUMMYFUNCTION("""COMPUTED_VALUE"""),"SUMBAGTENG")</f>
        <v>SUMBAGTENG</v>
      </c>
      <c r="H2659" s="222" t="str">
        <f>IFERROR(__xludf.DUMMYFUNCTION("""COMPUTED_VALUE"""),"BATAM")</f>
        <v>BATAM</v>
      </c>
      <c r="I2659" s="222" t="str">
        <f>IFERROR(__xludf.DUMMYFUNCTION("""COMPUTED_VALUE"""),"Batch 3")</f>
        <v>Batch 3</v>
      </c>
      <c r="J2659" s="225">
        <f>IFERROR(__xludf.DUMMYFUNCTION("""COMPUTED_VALUE"""),3.0)</f>
        <v>3</v>
      </c>
      <c r="K2659" s="224">
        <f>IFERROR(__xludf.DUMMYFUNCTION("""COMPUTED_VALUE"""),24.0)</f>
        <v>24</v>
      </c>
      <c r="L2659" s="226">
        <f>IFERROR(__xludf.DUMMYFUNCTION("""COMPUTED_VALUE"""),355035.0)</f>
        <v>355035</v>
      </c>
      <c r="M2659" s="227">
        <f>IFERROR(__xludf.DUMMYFUNCTION("""COMPUTED_VALUE"""),8520827.0)</f>
        <v>8520827</v>
      </c>
      <c r="N2659" s="222" t="str">
        <f>IFERROR(__xludf.DUMMYFUNCTION("""COMPUTED_VALUE"""),"PT HDUA PUTRA PRAJODA")</f>
        <v>PT HDUA PUTRA PRAJODA</v>
      </c>
      <c r="O2659" s="222" t="str">
        <f>IFERROR(__xludf.DUMMYFUNCTION("""COMPUTED_VALUE"""),"8. UJI TERIMA")</f>
        <v>8. UJI TERIMA</v>
      </c>
      <c r="P2659" s="222" t="str">
        <f>IFERROR(__xludf.DUMMYFUNCTION("""COMPUTED_VALUE"""),"8.3 Penyusunan Foto/ Hasil Ukur menjadi Dokument UT")</f>
        <v>8.3 Penyusunan Foto/ Hasil Ukur menjadi Dokument UT</v>
      </c>
      <c r="Q2659" s="222" t="str">
        <f>IFERROR(__xludf.DUMMYFUNCTION("""COMPUTED_VALUE"""),"26/02 Terminasi ODP dan Jumper FTM. 18/02 Izin di acc dengan catatan haru benjar jaringan eksisting. 16/02 Plan anwijzing 19 Feb. 11/02 Peralihan mitra. 28/01 Mitra tripola belum ada PIC untuk anwijzing. 23/01 Plan anwijzing 26 Jan, pic mitra ada pertangg"&amp;"al 25 jan. 21/01 proses penunjukan mitra 11/02 Peralihan mitra. 28/01 Mitra tripola belum ada PIC untuk anwijzing. 23/01 Plan anwijzing 26 Jan, pic mitra ada pertanggal 25 jan. 21/01 proses penunjukan mitra ")</f>
        <v>26/02 Terminasi ODP dan Jumper FTM. 18/02 Izin di acc dengan catatan haru benjar jaringan eksisting. 16/02 Plan anwijzing 19 Feb. 11/02 Peralihan mitra. 28/01 Mitra tripola belum ada PIC untuk anwijzing. 23/01 Plan anwijzing 26 Jan, pic mitra ada pertanggal 25 jan. 21/01 proses penunjukan mitra 11/02 Peralihan mitra. 28/01 Mitra tripola belum ada PIC untuk anwijzing. 23/01 Plan anwijzing 26 Jan, pic mitra ada pertanggal 25 jan. 21/01 proses penunjukan mitra </v>
      </c>
      <c r="R2659" s="228">
        <f>IFERROR(__xludf.DUMMYFUNCTION("""COMPUTED_VALUE"""),46086.0)</f>
        <v>46086</v>
      </c>
      <c r="S2659" s="11" t="str">
        <f>IFERROR(__xludf.DUMMYFUNCTION("""COMPUTED_VALUE"""),"MAR")</f>
        <v>MAR</v>
      </c>
      <c r="T2659" s="11"/>
      <c r="U2659" s="11" t="str">
        <f>IFERROR(__xludf.DUMMYFUNCTION("""COMPUTED_VALUE"""),"W09-222/2026")</f>
        <v>W09-222/2026</v>
      </c>
      <c r="V2659" s="229" t="str">
        <f>IFERROR(__xludf.DUMMYFUNCTION("""COMPUTED_VALUE"""),"RONALDO LEO INFANTRI")</f>
        <v>RONALDO LEO INFANTRI</v>
      </c>
      <c r="W2659" s="229" t="str">
        <f>IFERROR(__xludf.DUMMYFUNCTION("""COMPUTED_VALUE"""),"LEVITA INDRIYANI")</f>
        <v>LEVITA INDRIYANI</v>
      </c>
      <c r="X2659" s="229" t="str">
        <f>IFERROR(__xludf.DUMMYFUNCTION("""COMPUTED_VALUE"""),"GOLIVE")</f>
        <v>GOLIVE</v>
      </c>
      <c r="Y2659" s="229" t="str">
        <f>IFERROR(__xludf.DUMMYFUNCTION("""COMPUTED_VALUE"""),"DONE")</f>
        <v>DONE</v>
      </c>
      <c r="Z2659" s="229" t="str">
        <f>IFERROR(__xludf.DUMMYFUNCTION("""COMPUTED_VALUE"""),"#N/A")</f>
        <v>#N/A</v>
      </c>
      <c r="AA2659" s="229">
        <f>IFERROR(__xludf.DUMMYFUNCTION("""COMPUTED_VALUE"""),3.0)</f>
        <v>3</v>
      </c>
      <c r="AB2659" s="229"/>
      <c r="AC2659" s="229" t="str">
        <f>IFERROR(__xludf.DUMMYFUNCTION("""COMPUTED_VALUE"""),"9175627#9175632")</f>
        <v>9175627#9175632</v>
      </c>
      <c r="AD2659" s="232">
        <f>IFERROR(__xludf.DUMMYFUNCTION("""COMPUTED_VALUE"""),24.0)</f>
        <v>24</v>
      </c>
      <c r="AE2659" s="233">
        <f>IFERROR(__xludf.DUMMYFUNCTION("""COMPUTED_VALUE"""),46086.0)</f>
        <v>46086</v>
      </c>
      <c r="AF2659" s="54"/>
      <c r="AG2659" s="54"/>
      <c r="AH2659" s="54">
        <v>46086.0</v>
      </c>
      <c r="AI2659" s="55">
        <f>IF(OR(AH2659="",AE2659=""),"",AH2659-AE2659)</f>
        <v>0</v>
      </c>
      <c r="AW2659" s="234"/>
      <c r="BP2659" s="11"/>
      <c r="BQ2659" s="11"/>
      <c r="BV2659" s="158"/>
      <c r="BY2659" s="158"/>
      <c r="CB2659" s="158"/>
    </row>
    <row r="2660" ht="18.0" hidden="1" customHeight="1">
      <c r="A2660" s="222">
        <f>IFERROR(__xludf.DUMMYFUNCTION("""COMPUTED_VALUE"""),2026.0)</f>
        <v>2026</v>
      </c>
      <c r="B2660" s="221">
        <f>IFERROR(__xludf.DUMMYFUNCTION("""COMPUTED_VALUE"""),1.2158407E7)</f>
        <v>12158407</v>
      </c>
      <c r="C2660" s="222" t="str">
        <f>IFERROR(__xludf.DUMMYFUNCTION("""COMPUTED_VALUE"""),"TULANG BAWANG BARAT_74275_H2_2025")</f>
        <v>TULANG BAWANG BARAT_74275_H2_2025</v>
      </c>
      <c r="D2660" s="222" t="str">
        <f>IFERROR(__xludf.DUMMYFUNCTION("""COMPUTED_VALUE"""),"REGIONAL I")</f>
        <v>REGIONAL I</v>
      </c>
      <c r="E2660" s="222" t="str">
        <f>IFERROR(__xludf.DUMMYFUNCTION("""COMPUTED_VALUE"""),"LAMPUNG")</f>
        <v>LAMPUNG</v>
      </c>
      <c r="F2660" s="222" t="str">
        <f>IFERROR(__xludf.DUMMYFUNCTION("""COMPUTED_VALUE"""),"UNT")</f>
        <v>UNT</v>
      </c>
      <c r="G2660" s="222" t="str">
        <f>IFERROR(__xludf.DUMMYFUNCTION("""COMPUTED_VALUE"""),"SUMBAGSEL")</f>
        <v>SUMBAGSEL</v>
      </c>
      <c r="H2660" s="222" t="str">
        <f>IFERROR(__xludf.DUMMYFUNCTION("""COMPUTED_VALUE"""),"LAMPUNG")</f>
        <v>LAMPUNG</v>
      </c>
      <c r="I2660" s="222" t="str">
        <f>IFERROR(__xludf.DUMMYFUNCTION("""COMPUTED_VALUE"""),"Batch 3")</f>
        <v>Batch 3</v>
      </c>
      <c r="J2660" s="225">
        <f>IFERROR(__xludf.DUMMYFUNCTION("""COMPUTED_VALUE"""),2.0)</f>
        <v>2</v>
      </c>
      <c r="K2660" s="224">
        <f>IFERROR(__xludf.DUMMYFUNCTION("""COMPUTED_VALUE"""),16.0)</f>
        <v>16</v>
      </c>
      <c r="L2660" s="226">
        <f>IFERROR(__xludf.DUMMYFUNCTION("""COMPUTED_VALUE"""),354519.0)</f>
        <v>354519</v>
      </c>
      <c r="M2660" s="227">
        <f>IFERROR(__xludf.DUMMYFUNCTION("""COMPUTED_VALUE"""),5672299.0)</f>
        <v>5672299</v>
      </c>
      <c r="N2660" s="222" t="str">
        <f>IFERROR(__xludf.DUMMYFUNCTION("""COMPUTED_VALUE"""),"PT KOPRASI PILAR UTAMA")</f>
        <v>PT KOPRASI PILAR UTAMA</v>
      </c>
      <c r="O2660" s="222" t="str">
        <f>IFERROR(__xludf.DUMMYFUNCTION("""COMPUTED_VALUE"""),"7. GOLIVE")</f>
        <v>7. GOLIVE</v>
      </c>
      <c r="P2660" s="222" t="str">
        <f>IFERROR(__xludf.DUMMYFUNCTION("""COMPUTED_VALUE"""),"7.2 Golive Full / OA / DONE OTB")</f>
        <v>7.2 Golive Full / OA / DONE OTB</v>
      </c>
      <c r="Q2660" s="222" t="str">
        <f>IFERROR(__xludf.DUMMYFUNCTION("""COMPUTED_VALUE"""),"4/3 proses golibve
2/3 proses abd data valid 4 ,golive 3/3
27/2 plan golive  24/2 instalasi odp ,pla golive  28/2
20/2 proses penarikan kabel, plan fi 25/2
18/2 MATDEL 4/2 Slot Modul OLT Penuh 
3/2 on going progres perizinan
23/1 plan anwizing 26/4")</f>
        <v>4/3 proses golibve
2/3 proses abd data valid 4 ,golive 3/3
27/2 plan golive  24/2 instalasi odp ,pla golive  28/2
20/2 proses penarikan kabel, plan fi 25/2
18/2 MATDEL 4/2 Slot Modul OLT Penuh 
3/2 on going progres perizinan
23/1 plan anwizing 26/4</v>
      </c>
      <c r="R2660" s="228">
        <f>IFERROR(__xludf.DUMMYFUNCTION("""COMPUTED_VALUE"""),46087.0)</f>
        <v>46087</v>
      </c>
      <c r="S2660" s="11" t="str">
        <f>IFERROR(__xludf.DUMMYFUNCTION("""COMPUTED_VALUE"""),"MAR")</f>
        <v>MAR</v>
      </c>
      <c r="T2660" s="11"/>
      <c r="U2660" s="11" t="str">
        <f>IFERROR(__xludf.DUMMYFUNCTION("""COMPUTED_VALUE"""),"TIF-4379/2026")</f>
        <v>TIF-4379/2026</v>
      </c>
      <c r="V2660" s="229"/>
      <c r="W2660" s="229"/>
      <c r="X2660" s="229" t="str">
        <f>IFERROR(__xludf.DUMMYFUNCTION("""COMPUTED_VALUE"""),"GOLIVE")</f>
        <v>GOLIVE</v>
      </c>
      <c r="Y2660" s="229" t="str">
        <f>IFERROR(__xludf.DUMMYFUNCTION("""COMPUTED_VALUE"""),"DONE")</f>
        <v>DONE</v>
      </c>
      <c r="Z2660" s="229" t="str">
        <f>IFERROR(__xludf.DUMMYFUNCTION("""COMPUTED_VALUE"""),"#N/A")</f>
        <v>#N/A</v>
      </c>
      <c r="AA2660" s="229">
        <f>IFERROR(__xludf.DUMMYFUNCTION("""COMPUTED_VALUE"""),2.0)</f>
        <v>2</v>
      </c>
      <c r="AB2660" s="229"/>
      <c r="AC2660" s="229" t="str">
        <f>IFERROR(__xludf.DUMMYFUNCTION("""COMPUTED_VALUE"""),"9127464#9127469")</f>
        <v>9127464#9127469</v>
      </c>
      <c r="AD2660" s="232">
        <f>IFERROR(__xludf.DUMMYFUNCTION("""COMPUTED_VALUE"""),16.0)</f>
        <v>16</v>
      </c>
      <c r="AE2660" s="233">
        <f>IFERROR(__xludf.DUMMYFUNCTION("""COMPUTED_VALUE"""),46086.0)</f>
        <v>46086</v>
      </c>
      <c r="AF2660" s="54"/>
      <c r="AG2660" s="54"/>
      <c r="AH2660" s="54">
        <v>46087.0</v>
      </c>
      <c r="AI2660" s="55">
        <f t="shared" ref="AI2660:AI2662" si="246">IF(OR(R2660="",AE2660=""),"",R2660-AE2660)</f>
        <v>1</v>
      </c>
      <c r="AW2660" s="234"/>
      <c r="BP2660" s="11"/>
      <c r="BQ2660" s="11"/>
      <c r="BV2660" s="158"/>
      <c r="BY2660" s="158"/>
      <c r="CB2660" s="158"/>
    </row>
    <row r="2661" ht="18.0" customHeight="1">
      <c r="A2661" s="222">
        <f>IFERROR(__xludf.DUMMYFUNCTION("""COMPUTED_VALUE"""),2026.0)</f>
        <v>2026</v>
      </c>
      <c r="B2661" s="221">
        <f>IFERROR(__xludf.DUMMYFUNCTION("""COMPUTED_VALUE"""),1.1378071E7)</f>
        <v>11378071</v>
      </c>
      <c r="C2661" s="222" t="str">
        <f>IFERROR(__xludf.DUMMYFUNCTION("""COMPUTED_VALUE"""),"SMB P2I2 PESISIR SELATAN_7732")</f>
        <v>SMB P2I2 PESISIR SELATAN_7732</v>
      </c>
      <c r="D2661" s="222" t="str">
        <f>IFERROR(__xludf.DUMMYFUNCTION("""COMPUTED_VALUE"""),"REGIONAL I")</f>
        <v>REGIONAL I</v>
      </c>
      <c r="E2661" s="222" t="str">
        <f>IFERROR(__xludf.DUMMYFUNCTION("""COMPUTED_VALUE"""),"SUMBAR")</f>
        <v>SUMBAR</v>
      </c>
      <c r="F2661" s="222" t="str">
        <f>IFERROR(__xludf.DUMMYFUNCTION("""COMPUTED_VALUE"""),"BLS")</f>
        <v>BLS</v>
      </c>
      <c r="G2661" s="222" t="str">
        <f>IFERROR(__xludf.DUMMYFUNCTION("""COMPUTED_VALUE"""),"SUMBAGTENG")</f>
        <v>SUMBAGTENG</v>
      </c>
      <c r="H2661" s="222" t="str">
        <f>IFERROR(__xludf.DUMMYFUNCTION("""COMPUTED_VALUE"""),"PADANG")</f>
        <v>PADANG</v>
      </c>
      <c r="I2661" s="222" t="str">
        <f>IFERROR(__xludf.DUMMYFUNCTION("""COMPUTED_VALUE"""),"Batch 3")</f>
        <v>Batch 3</v>
      </c>
      <c r="J2661" s="225">
        <f>IFERROR(__xludf.DUMMYFUNCTION("""COMPUTED_VALUE"""),9.0)</f>
        <v>9</v>
      </c>
      <c r="K2661" s="224">
        <f>IFERROR(__xludf.DUMMYFUNCTION("""COMPUTED_VALUE"""),72.0)</f>
        <v>72</v>
      </c>
      <c r="L2661" s="226">
        <f>IFERROR(__xludf.DUMMYFUNCTION("""COMPUTED_VALUE"""),354185.0)</f>
        <v>354185</v>
      </c>
      <c r="M2661" s="227">
        <f>IFERROR(__xludf.DUMMYFUNCTION("""COMPUTED_VALUE"""),2.550126E7)</f>
        <v>25501260</v>
      </c>
      <c r="N2661" s="222" t="str">
        <f>IFERROR(__xludf.DUMMYFUNCTION("""COMPUTED_VALUE"""),"PT ACERO CETHA METALINDO")</f>
        <v>PT ACERO CETHA METALINDO</v>
      </c>
      <c r="O2661" s="222" t="str">
        <f>IFERROR(__xludf.DUMMYFUNCTION("""COMPUTED_VALUE"""),"0. DROP")</f>
        <v>0. DROP</v>
      </c>
      <c r="P2661" s="222" t="str">
        <f>IFERROR(__xludf.DUMMYFUNCTION("""COMPUTED_VALUE"""),"0.1 Double Order")</f>
        <v>0.1 Double Order</v>
      </c>
      <c r="Q2661" s="222" t="str">
        <f>IFERROR(__xludf.DUMMYFUNCTION("""COMPUTED_VALUE"""),"(26/01) Double order dengan SMB MD PESISIR SELATAN_8222-7732-7839")</f>
        <v>(26/01) Double order dengan SMB MD PESISIR SELATAN_8222-7732-7839</v>
      </c>
      <c r="R2661" s="228"/>
      <c r="S2661" s="11"/>
      <c r="T2661" s="11"/>
      <c r="U2661" s="11"/>
      <c r="V2661" s="229"/>
      <c r="W2661" s="229"/>
      <c r="X2661" s="229"/>
      <c r="Y2661" s="229"/>
      <c r="Z2661" s="229" t="str">
        <f>IFERROR(__xludf.DUMMYFUNCTION("""COMPUTED_VALUE"""),"#N/A")</f>
        <v>#N/A</v>
      </c>
      <c r="AA2661" s="229"/>
      <c r="AB2661" s="229"/>
      <c r="AC2661" s="229"/>
      <c r="AD2661" s="232"/>
      <c r="AE2661" s="233"/>
      <c r="AF2661" s="54" t="str">
        <f>IFERROR(__xludf.DUMMYFUNCTION("""COMPUTED_VALUE"""),"Draft BA DROP")</f>
        <v>Draft BA DROP</v>
      </c>
      <c r="AG2661" s="54"/>
      <c r="AH2661" s="54"/>
      <c r="AI2661" s="55" t="str">
        <f t="shared" si="246"/>
        <v/>
      </c>
      <c r="AW2661" s="234"/>
      <c r="BP2661" s="11"/>
      <c r="BQ2661" s="11"/>
      <c r="BV2661" s="158"/>
      <c r="BY2661" s="158"/>
      <c r="CB2661" s="158"/>
    </row>
    <row r="2662" ht="18.0" customHeight="1">
      <c r="A2662" s="222">
        <f>IFERROR(__xludf.DUMMYFUNCTION("""COMPUTED_VALUE"""),2026.0)</f>
        <v>2026</v>
      </c>
      <c r="B2662" s="221">
        <f>IFERROR(__xludf.DUMMYFUNCTION("""COMPUTED_VALUE"""),1.1378081E7)</f>
        <v>11378081</v>
      </c>
      <c r="C2662" s="222" t="str">
        <f>IFERROR(__xludf.DUMMYFUNCTION("""COMPUTED_VALUE"""),"SMB P2I2 PESISIR SELATAN_7839")</f>
        <v>SMB P2I2 PESISIR SELATAN_7839</v>
      </c>
      <c r="D2662" s="222" t="str">
        <f>IFERROR(__xludf.DUMMYFUNCTION("""COMPUTED_VALUE"""),"REGIONAL I")</f>
        <v>REGIONAL I</v>
      </c>
      <c r="E2662" s="222" t="str">
        <f>IFERROR(__xludf.DUMMYFUNCTION("""COMPUTED_VALUE"""),"SUMBAR")</f>
        <v>SUMBAR</v>
      </c>
      <c r="F2662" s="222" t="str">
        <f>IFERROR(__xludf.DUMMYFUNCTION("""COMPUTED_VALUE"""),"BLS")</f>
        <v>BLS</v>
      </c>
      <c r="G2662" s="222" t="str">
        <f>IFERROR(__xludf.DUMMYFUNCTION("""COMPUTED_VALUE"""),"SUMBAGTENG")</f>
        <v>SUMBAGTENG</v>
      </c>
      <c r="H2662" s="222" t="str">
        <f>IFERROR(__xludf.DUMMYFUNCTION("""COMPUTED_VALUE"""),"PADANG")</f>
        <v>PADANG</v>
      </c>
      <c r="I2662" s="222" t="str">
        <f>IFERROR(__xludf.DUMMYFUNCTION("""COMPUTED_VALUE"""),"Batch 3")</f>
        <v>Batch 3</v>
      </c>
      <c r="J2662" s="225">
        <f>IFERROR(__xludf.DUMMYFUNCTION("""COMPUTED_VALUE"""),9.0)</f>
        <v>9</v>
      </c>
      <c r="K2662" s="224">
        <f>IFERROR(__xludf.DUMMYFUNCTION("""COMPUTED_VALUE"""),72.0)</f>
        <v>72</v>
      </c>
      <c r="L2662" s="226">
        <f>IFERROR(__xludf.DUMMYFUNCTION("""COMPUTED_VALUE"""),354185.0)</f>
        <v>354185</v>
      </c>
      <c r="M2662" s="227">
        <f>IFERROR(__xludf.DUMMYFUNCTION("""COMPUTED_VALUE"""),2.550126E7)</f>
        <v>25501260</v>
      </c>
      <c r="N2662" s="222" t="str">
        <f>IFERROR(__xludf.DUMMYFUNCTION("""COMPUTED_VALUE"""),"PT ACERO CETHA METALINDO")</f>
        <v>PT ACERO CETHA METALINDO</v>
      </c>
      <c r="O2662" s="222" t="str">
        <f>IFERROR(__xludf.DUMMYFUNCTION("""COMPUTED_VALUE"""),"0. DROP")</f>
        <v>0. DROP</v>
      </c>
      <c r="P2662" s="222" t="str">
        <f>IFERROR(__xludf.DUMMYFUNCTION("""COMPUTED_VALUE"""),"0.1 Double Order")</f>
        <v>0.1 Double Order</v>
      </c>
      <c r="Q2662" s="222" t="str">
        <f>IFERROR(__xludf.DUMMYFUNCTION("""COMPUTED_VALUE"""),"(26/01) Double order dengan SMB MD PESISIR SELATAN_8222-7732-7839")</f>
        <v>(26/01) Double order dengan SMB MD PESISIR SELATAN_8222-7732-7839</v>
      </c>
      <c r="R2662" s="228"/>
      <c r="S2662" s="11"/>
      <c r="T2662" s="11"/>
      <c r="U2662" s="11"/>
      <c r="V2662" s="229"/>
      <c r="W2662" s="229"/>
      <c r="X2662" s="229"/>
      <c r="Y2662" s="229"/>
      <c r="Z2662" s="229" t="str">
        <f>IFERROR(__xludf.DUMMYFUNCTION("""COMPUTED_VALUE"""),"#N/A")</f>
        <v>#N/A</v>
      </c>
      <c r="AA2662" s="229"/>
      <c r="AB2662" s="229"/>
      <c r="AC2662" s="229"/>
      <c r="AD2662" s="232"/>
      <c r="AE2662" s="233"/>
      <c r="AF2662" s="54" t="str">
        <f>IFERROR(__xludf.DUMMYFUNCTION("""COMPUTED_VALUE"""),"Draft BA DROP")</f>
        <v>Draft BA DROP</v>
      </c>
      <c r="AG2662" s="54"/>
      <c r="AH2662" s="54"/>
      <c r="AI2662" s="55" t="str">
        <f t="shared" si="246"/>
        <v/>
      </c>
      <c r="AW2662" s="234"/>
      <c r="BP2662" s="11"/>
      <c r="BQ2662" s="11"/>
      <c r="BV2662" s="158"/>
      <c r="BY2662" s="158"/>
      <c r="CB2662" s="158"/>
    </row>
    <row r="2663" ht="18.0" customHeight="1">
      <c r="A2663" s="222">
        <f>IFERROR(__xludf.DUMMYFUNCTION("""COMPUTED_VALUE"""),2026.0)</f>
        <v>2026</v>
      </c>
      <c r="B2663" s="221">
        <f>IFERROR(__xludf.DUMMYFUNCTION("""COMPUTED_VALUE"""),1.2678877E7)</f>
        <v>12678877</v>
      </c>
      <c r="C2663" s="222" t="str">
        <f>IFERROR(__xludf.DUMMYFUNCTION("""COMPUTED_VALUE"""),"SMB PT3-SWL-FB KOTA SAWAHLUNTO_93280")</f>
        <v>SMB PT3-SWL-FB KOTA SAWAHLUNTO_93280</v>
      </c>
      <c r="D2663" s="222" t="str">
        <f>IFERROR(__xludf.DUMMYFUNCTION("""COMPUTED_VALUE"""),"REGIONAL I")</f>
        <v>REGIONAL I</v>
      </c>
      <c r="E2663" s="222" t="str">
        <f>IFERROR(__xludf.DUMMYFUNCTION("""COMPUTED_VALUE"""),"SUMBAR")</f>
        <v>SUMBAR</v>
      </c>
      <c r="F2663" s="222" t="str">
        <f>IFERROR(__xludf.DUMMYFUNCTION("""COMPUTED_VALUE"""),"SWL")</f>
        <v>SWL</v>
      </c>
      <c r="G2663" s="222" t="str">
        <f>IFERROR(__xludf.DUMMYFUNCTION("""COMPUTED_VALUE"""),"SUMBAGTENG")</f>
        <v>SUMBAGTENG</v>
      </c>
      <c r="H2663" s="222" t="str">
        <f>IFERROR(__xludf.DUMMYFUNCTION("""COMPUTED_VALUE"""),"PADANG")</f>
        <v>PADANG</v>
      </c>
      <c r="I2663" s="222" t="str">
        <f>IFERROR(__xludf.DUMMYFUNCTION("""COMPUTED_VALUE"""),"Batch 3")</f>
        <v>Batch 3</v>
      </c>
      <c r="J2663" s="225">
        <f>IFERROR(__xludf.DUMMYFUNCTION("""COMPUTED_VALUE"""),6.0)</f>
        <v>6</v>
      </c>
      <c r="K2663" s="224">
        <f>IFERROR(__xludf.DUMMYFUNCTION("""COMPUTED_VALUE"""),48.0)</f>
        <v>48</v>
      </c>
      <c r="L2663" s="226">
        <f>IFERROR(__xludf.DUMMYFUNCTION("""COMPUTED_VALUE"""),351048.0)</f>
        <v>351048</v>
      </c>
      <c r="M2663" s="227">
        <f>IFERROR(__xludf.DUMMYFUNCTION("""COMPUTED_VALUE"""),1.6850295E7)</f>
        <v>16850295</v>
      </c>
      <c r="N2663" s="222" t="str">
        <f>IFERROR(__xludf.DUMMYFUNCTION("""COMPUTED_VALUE"""),"PT TANJUNG PUTRA PRIMA")</f>
        <v>PT TANJUNG PUTRA PRIMA</v>
      </c>
      <c r="O2663" s="222" t="str">
        <f>IFERROR(__xludf.DUMMYFUNCTION("""COMPUTED_VALUE"""),"7. GOLIVE")</f>
        <v>7. GOLIVE</v>
      </c>
      <c r="P2663" s="222" t="str">
        <f>IFERROR(__xludf.DUMMYFUNCTION("""COMPUTED_VALUE"""),"7.2 Golive Full / OA / DONE OTB")</f>
        <v>7.2 Golive Full / OA / DONE OTB</v>
      </c>
      <c r="Q2663" s="222" t="str">
        <f>IFERROR(__xludf.DUMMYFUNCTION("""COMPUTED_VALUE"""),"(05/03) ABD done submit ke sdi   (02/03) ABD OGP submit ke sdi  (18/02) penarikan kabel PLAN FI 22/02 (29/01) proses delivery material  (21/01) proses CReate PID (07/01) Persiapan")</f>
        <v>(05/03) ABD done submit ke sdi   (02/03) ABD OGP submit ke sdi  (18/02) penarikan kabel PLAN FI 22/02 (29/01) proses delivery material  (21/01) proses CReate PID (07/01) Persiapan</v>
      </c>
      <c r="R2663" s="228">
        <f>IFERROR(__xludf.DUMMYFUNCTION("""COMPUTED_VALUE"""),46086.0)</f>
        <v>46086</v>
      </c>
      <c r="S2663" s="11" t="str">
        <f>IFERROR(__xludf.DUMMYFUNCTION("""COMPUTED_VALUE"""),"MAR")</f>
        <v>MAR</v>
      </c>
      <c r="T2663" s="11"/>
      <c r="U2663" s="11" t="str">
        <f>IFERROR(__xludf.DUMMYFUNCTION("""COMPUTED_VALUE"""),"TIF-2446/2026 26KT03R158-0030")</f>
        <v>TIF-2446/2026 26KT03R158-0030</v>
      </c>
      <c r="V2663" s="229" t="str">
        <f>IFERROR(__xludf.DUMMYFUNCTION("""COMPUTED_VALUE"""),"YULIO NOVIKO")</f>
        <v>YULIO NOVIKO</v>
      </c>
      <c r="W2663" s="229" t="str">
        <f>IFERROR(__xludf.DUMMYFUNCTION("""COMPUTED_VALUE"""),"MELKO NARWADI")</f>
        <v>MELKO NARWADI</v>
      </c>
      <c r="X2663" s="229" t="str">
        <f>IFERROR(__xludf.DUMMYFUNCTION("""COMPUTED_VALUE"""),"GOLIVE")</f>
        <v>GOLIVE</v>
      </c>
      <c r="Y2663" s="229" t="str">
        <f>IFERROR(__xludf.DUMMYFUNCTION("""COMPUTED_VALUE"""),"DONE")</f>
        <v>DONE</v>
      </c>
      <c r="Z2663" s="229" t="str">
        <f>IFERROR(__xludf.DUMMYFUNCTION("""COMPUTED_VALUE"""),"#N/A")</f>
        <v>#N/A</v>
      </c>
      <c r="AA2663" s="229">
        <f>IFERROR(__xludf.DUMMYFUNCTION("""COMPUTED_VALUE"""),4.0)</f>
        <v>4</v>
      </c>
      <c r="AB2663" s="229"/>
      <c r="AC2663" s="229" t="str">
        <f>IFERROR(__xludf.DUMMYFUNCTION("""COMPUTED_VALUE"""),"9174563#9174568  ")</f>
        <v>9174563#9174568  </v>
      </c>
      <c r="AD2663" s="232">
        <f>IFERROR(__xludf.DUMMYFUNCTION("""COMPUTED_VALUE"""),32.0)</f>
        <v>32</v>
      </c>
      <c r="AE2663" s="233">
        <f>IFERROR(__xludf.DUMMYFUNCTION("""COMPUTED_VALUE"""),46086.0)</f>
        <v>46086</v>
      </c>
      <c r="AF2663" s="54"/>
      <c r="AG2663" s="54"/>
      <c r="AH2663" s="54">
        <v>46086.0</v>
      </c>
      <c r="AI2663" s="55">
        <f>IF(OR(AH2663="",AE2663=""),"",AH2663-AE2663)</f>
        <v>0</v>
      </c>
      <c r="AW2663" s="234"/>
      <c r="BP2663" s="11"/>
      <c r="BQ2663" s="11"/>
      <c r="BV2663" s="158"/>
      <c r="BY2663" s="158"/>
      <c r="CB2663" s="158"/>
    </row>
    <row r="2664" ht="18.0" customHeight="1">
      <c r="A2664" s="222">
        <f>IFERROR(__xludf.DUMMYFUNCTION("""COMPUTED_VALUE"""),2026.0)</f>
        <v>2026</v>
      </c>
      <c r="B2664" s="221">
        <f>IFERROR(__xludf.DUMMYFUNCTION("""COMPUTED_VALUE"""),1.2872473E7)</f>
        <v>12872473</v>
      </c>
      <c r="C2664" s="222" t="str">
        <f>IFERROR(__xludf.DUMMYFUNCTION("""COMPUTED_VALUE"""),"SMB PT3-SGD-FH 250_-455_2963")</f>
        <v>SMB PT3-SGD-FH 250_-455_2963</v>
      </c>
      <c r="D2664" s="222" t="str">
        <f>IFERROR(__xludf.DUMMYFUNCTION("""COMPUTED_VALUE"""),"REGIONAL I")</f>
        <v>REGIONAL I</v>
      </c>
      <c r="E2664" s="222" t="str">
        <f>IFERROR(__xludf.DUMMYFUNCTION("""COMPUTED_VALUE"""),"SUMBAR")</f>
        <v>SUMBAR</v>
      </c>
      <c r="F2664" s="222" t="str">
        <f>IFERROR(__xludf.DUMMYFUNCTION("""COMPUTED_VALUE"""),"SGD")</f>
        <v>SGD</v>
      </c>
      <c r="G2664" s="222" t="str">
        <f>IFERROR(__xludf.DUMMYFUNCTION("""COMPUTED_VALUE"""),"SUMBAGTENG")</f>
        <v>SUMBAGTENG</v>
      </c>
      <c r="H2664" s="222" t="str">
        <f>IFERROR(__xludf.DUMMYFUNCTION("""COMPUTED_VALUE"""),"PADANG")</f>
        <v>PADANG</v>
      </c>
      <c r="I2664" s="222" t="str">
        <f>IFERROR(__xludf.DUMMYFUNCTION("""COMPUTED_VALUE"""),"Batch 3")</f>
        <v>Batch 3</v>
      </c>
      <c r="J2664" s="225">
        <f>IFERROR(__xludf.DUMMYFUNCTION("""COMPUTED_VALUE"""),5.0)</f>
        <v>5</v>
      </c>
      <c r="K2664" s="224">
        <f>IFERROR(__xludf.DUMMYFUNCTION("""COMPUTED_VALUE"""),40.0)</f>
        <v>40</v>
      </c>
      <c r="L2664" s="226">
        <f>IFERROR(__xludf.DUMMYFUNCTION("""COMPUTED_VALUE"""),349684.0)</f>
        <v>349684</v>
      </c>
      <c r="M2664" s="227">
        <f>IFERROR(__xludf.DUMMYFUNCTION("""COMPUTED_VALUE"""),1.3987358E7)</f>
        <v>13987358</v>
      </c>
      <c r="N2664" s="222" t="str">
        <f>IFERROR(__xludf.DUMMYFUNCTION("""COMPUTED_VALUE"""),"PT TIGA AKSES MANDIRI")</f>
        <v>PT TIGA AKSES MANDIRI</v>
      </c>
      <c r="O2664" s="222" t="str">
        <f>IFERROR(__xludf.DUMMYFUNCTION("""COMPUTED_VALUE"""),"2. DONE AANWIJZING")</f>
        <v>2. DONE AANWIJZING</v>
      </c>
      <c r="P2664" s="222" t="str">
        <f>IFERROR(__xludf.DUMMYFUNCTION("""COMPUTED_VALUE"""),"2.9 Kendala - Distribusi Penuh / Rusak")</f>
        <v>2.9 Kendala - Distribusi Penuh / Rusak</v>
      </c>
      <c r="Q2664" s="222" t="str">
        <f>IFERROR(__xludf.DUMMYFUNCTION("""COMPUTED_VALUE"""),"(03/02) Kendala dist 5 SGD-FH FULL, butuh new dist, kenaikan lebih 10% (29/01) Done aanwijziing  , proses eval")</f>
        <v>(03/02) Kendala dist 5 SGD-FH FULL, butuh new dist, kenaikan lebih 10% (29/01) Done aanwijziing  , proses eval</v>
      </c>
      <c r="R2664" s="228"/>
      <c r="S2664" s="11"/>
      <c r="T2664" s="11"/>
      <c r="U2664" s="11"/>
      <c r="V2664" s="229" t="str">
        <f>IFERROR(__xludf.DUMMYFUNCTION("""COMPUTED_VALUE"""),"YULIO NOVIKO")</f>
        <v>YULIO NOVIKO</v>
      </c>
      <c r="W2664" s="229" t="str">
        <f>IFERROR(__xludf.DUMMYFUNCTION("""COMPUTED_VALUE"""),"MELKO NARWADI")</f>
        <v>MELKO NARWADI</v>
      </c>
      <c r="X2664" s="229"/>
      <c r="Y2664" s="229"/>
      <c r="Z2664" s="229" t="str">
        <f>IFERROR(__xludf.DUMMYFUNCTION("""COMPUTED_VALUE"""),"#N/A")</f>
        <v>#N/A</v>
      </c>
      <c r="AA2664" s="229"/>
      <c r="AB2664" s="229"/>
      <c r="AC2664" s="229"/>
      <c r="AD2664" s="232"/>
      <c r="AE2664" s="233"/>
      <c r="AF2664" s="54"/>
      <c r="AG2664" s="54"/>
      <c r="AH2664" s="54"/>
      <c r="AI2664" s="55" t="str">
        <f>IF(OR(R2664="",AE2664=""),"",R2664-AE2664)</f>
        <v/>
      </c>
      <c r="AW2664" s="234"/>
      <c r="BP2664" s="11"/>
      <c r="BQ2664" s="11"/>
      <c r="BV2664" s="158"/>
      <c r="BY2664" s="158"/>
      <c r="CB2664" s="158"/>
    </row>
    <row r="2665" ht="18.0" customHeight="1">
      <c r="A2665" s="222">
        <f>IFERROR(__xludf.DUMMYFUNCTION("""COMPUTED_VALUE"""),2026.0)</f>
        <v>2026</v>
      </c>
      <c r="B2665" s="221">
        <f>IFERROR(__xludf.DUMMYFUNCTION("""COMPUTED_VALUE"""),1.2872477E7)</f>
        <v>12872477</v>
      </c>
      <c r="C2665" s="222" t="str">
        <f>IFERROR(__xludf.DUMMYFUNCTION("""COMPUTED_VALUE"""),"SMB PT3-SGD-FH 250_-455_2963")</f>
        <v>SMB PT3-SGD-FH 250_-455_2963</v>
      </c>
      <c r="D2665" s="222" t="str">
        <f>IFERROR(__xludf.DUMMYFUNCTION("""COMPUTED_VALUE"""),"REGIONAL I")</f>
        <v>REGIONAL I</v>
      </c>
      <c r="E2665" s="222" t="str">
        <f>IFERROR(__xludf.DUMMYFUNCTION("""COMPUTED_VALUE"""),"SUMBAR")</f>
        <v>SUMBAR</v>
      </c>
      <c r="F2665" s="222" t="str">
        <f>IFERROR(__xludf.DUMMYFUNCTION("""COMPUTED_VALUE"""),"SGD")</f>
        <v>SGD</v>
      </c>
      <c r="G2665" s="222" t="str">
        <f>IFERROR(__xludf.DUMMYFUNCTION("""COMPUTED_VALUE"""),"SUMBAGTENG")</f>
        <v>SUMBAGTENG</v>
      </c>
      <c r="H2665" s="222" t="str">
        <f>IFERROR(__xludf.DUMMYFUNCTION("""COMPUTED_VALUE"""),"PADANG")</f>
        <v>PADANG</v>
      </c>
      <c r="I2665" s="222" t="str">
        <f>IFERROR(__xludf.DUMMYFUNCTION("""COMPUTED_VALUE"""),"Batch 3")</f>
        <v>Batch 3</v>
      </c>
      <c r="J2665" s="225">
        <f>IFERROR(__xludf.DUMMYFUNCTION("""COMPUTED_VALUE"""),5.0)</f>
        <v>5</v>
      </c>
      <c r="K2665" s="224">
        <f>IFERROR(__xludf.DUMMYFUNCTION("""COMPUTED_VALUE"""),40.0)</f>
        <v>40</v>
      </c>
      <c r="L2665" s="226">
        <f>IFERROR(__xludf.DUMMYFUNCTION("""COMPUTED_VALUE"""),349684.0)</f>
        <v>349684</v>
      </c>
      <c r="M2665" s="227">
        <f>IFERROR(__xludf.DUMMYFUNCTION("""COMPUTED_VALUE"""),1.3987358E7)</f>
        <v>13987358</v>
      </c>
      <c r="N2665" s="222" t="str">
        <f>IFERROR(__xludf.DUMMYFUNCTION("""COMPUTED_VALUE"""),"PT TIGA AKSES MANDIRI")</f>
        <v>PT TIGA AKSES MANDIRI</v>
      </c>
      <c r="O2665" s="222" t="str">
        <f>IFERROR(__xludf.DUMMYFUNCTION("""COMPUTED_VALUE"""),"0. DROP")</f>
        <v>0. DROP</v>
      </c>
      <c r="P2665" s="222" t="str">
        <f>IFERROR(__xludf.DUMMYFUNCTION("""COMPUTED_VALUE"""),"0.1 Double Order")</f>
        <v>0.1 Double Order</v>
      </c>
      <c r="Q2665" s="222" t="str">
        <f>IFERROR(__xludf.DUMMYFUNCTION("""COMPUTED_VALUE"""),"(26/01) Drop double order dgn id ihld 12872473 SMB PT3-SGD-FH 250_-455_2963")</f>
        <v>(26/01) Drop double order dgn id ihld 12872473 SMB PT3-SGD-FH 250_-455_2963</v>
      </c>
      <c r="R2665" s="228"/>
      <c r="S2665" s="11"/>
      <c r="T2665" s="11"/>
      <c r="U2665" s="11"/>
      <c r="V2665" s="229"/>
      <c r="W2665" s="229"/>
      <c r="X2665" s="229"/>
      <c r="Y2665" s="229"/>
      <c r="Z2665" s="229" t="str">
        <f>IFERROR(__xludf.DUMMYFUNCTION("""COMPUTED_VALUE"""),"#N/A")</f>
        <v>#N/A</v>
      </c>
      <c r="AA2665" s="229"/>
      <c r="AB2665" s="229"/>
      <c r="AC2665" s="229"/>
      <c r="AD2665" s="232"/>
      <c r="AE2665" s="233"/>
      <c r="AF2665" s="54" t="str">
        <f>IFERROR(__xludf.DUMMYFUNCTION("""COMPUTED_VALUE"""),"Draft BA DROP")</f>
        <v>Draft BA DROP</v>
      </c>
      <c r="AG2665" s="54"/>
      <c r="AH2665" s="54">
        <v>46128.0</v>
      </c>
      <c r="AI2665" s="237">
        <f>AH2665-NOW()</f>
        <v>-12.37798995</v>
      </c>
      <c r="AJ2665" s="229" t="str">
        <f t="shared" ref="AJ2665:AJ2666" si="247">if(AI2665&gt;=0,"In Komitmen","Out Komitmen")</f>
        <v>Out Komitmen</v>
      </c>
      <c r="AW2665" s="234"/>
      <c r="BP2665" s="11"/>
      <c r="BQ2665" s="11"/>
      <c r="BV2665" s="158"/>
      <c r="BY2665" s="158"/>
      <c r="CB2665" s="158"/>
    </row>
    <row r="2666" ht="18.0" customHeight="1">
      <c r="A2666" s="222">
        <f>IFERROR(__xludf.DUMMYFUNCTION("""COMPUTED_VALUE"""),2026.0)</f>
        <v>2026</v>
      </c>
      <c r="B2666" s="221">
        <f>IFERROR(__xludf.DUMMYFUNCTION("""COMPUTED_VALUE"""),1.2791439E7)</f>
        <v>12791439</v>
      </c>
      <c r="C2666" s="222" t="str">
        <f>IFERROR(__xludf.DUMMYFUNCTION("""COMPUTED_VALUE"""),"RKP TSEL PT3 LBJ-FBP 250_517_4039")</f>
        <v>RKP TSEL PT3 LBJ-FBP 250_517_4039</v>
      </c>
      <c r="D2666" s="222" t="str">
        <f>IFERROR(__xludf.DUMMYFUNCTION("""COMPUTED_VALUE"""),"REGIONAL I")</f>
        <v>REGIONAL I</v>
      </c>
      <c r="E2666" s="222" t="str">
        <f>IFERROR(__xludf.DUMMYFUNCTION("""COMPUTED_VALUE"""),"RIKEP")</f>
        <v>RIKEP</v>
      </c>
      <c r="F2666" s="222" t="str">
        <f>IFERROR(__xludf.DUMMYFUNCTION("""COMPUTED_VALUE"""),"LBJ")</f>
        <v>LBJ</v>
      </c>
      <c r="G2666" s="222" t="str">
        <f>IFERROR(__xludf.DUMMYFUNCTION("""COMPUTED_VALUE"""),"SUMBAGTENG")</f>
        <v>SUMBAGTENG</v>
      </c>
      <c r="H2666" s="222" t="str">
        <f>IFERROR(__xludf.DUMMYFUNCTION("""COMPUTED_VALUE"""),"BATAM")</f>
        <v>BATAM</v>
      </c>
      <c r="I2666" s="222" t="str">
        <f>IFERROR(__xludf.DUMMYFUNCTION("""COMPUTED_VALUE"""),"Batch 3")</f>
        <v>Batch 3</v>
      </c>
      <c r="J2666" s="225">
        <f>IFERROR(__xludf.DUMMYFUNCTION("""COMPUTED_VALUE"""),4.0)</f>
        <v>4</v>
      </c>
      <c r="K2666" s="224">
        <f>IFERROR(__xludf.DUMMYFUNCTION("""COMPUTED_VALUE"""),32.0)</f>
        <v>32</v>
      </c>
      <c r="L2666" s="226">
        <f>IFERROR(__xludf.DUMMYFUNCTION("""COMPUTED_VALUE"""),341861.0)</f>
        <v>341861</v>
      </c>
      <c r="M2666" s="227">
        <f>IFERROR(__xludf.DUMMYFUNCTION("""COMPUTED_VALUE"""),1.0939532E7)</f>
        <v>10939532</v>
      </c>
      <c r="N2666" s="222" t="str">
        <f>IFERROR(__xludf.DUMMYFUNCTION("""COMPUTED_VALUE"""),"PT HDUA PUTRA PRAJODA")</f>
        <v>PT HDUA PUTRA PRAJODA</v>
      </c>
      <c r="O2666" s="222" t="str">
        <f>IFERROR(__xludf.DUMMYFUNCTION("""COMPUTED_VALUE"""),"4. MATDEL")</f>
        <v>4. MATDEL</v>
      </c>
      <c r="P2666" s="222" t="str">
        <f>IFERROR(__xludf.DUMMYFUNCTION("""COMPUTED_VALUE"""),"4.3 Proses Kirim Mateial Kelokasi")</f>
        <v>4.3 Proses Kirim Mateial Kelokasi</v>
      </c>
      <c r="Q2666" s="222" t="str">
        <f>IFERROR(__xludf.DUMMYFUNCTION("""COMPUTED_VALUE"""),"20/04 Tim serial masih mengerjakan LOP Lain. feeder redting
13/04 tim serial masih mengerjakan LOP lain. 06/04 Plan Install tanggal 22 april, tanggal GL 30 apr.  30/03 Eval prelim sudah di acc, tim mitra serial mengerjakan LOP lain.  09/10 Mengizinkan den"&amp;"gan catatan kompensasi sebesar 300 ribu. tim progres LOP lain.
05/03 Proses Perizinan
04/03 sisa 1 RT yang belum bisa di jumpai, proses FU kembali tgl 05 maret. 20/02 Perijinan RT 01 / RW 14 Status : on progres • RT 02 / RW 14 Status : Di izinkan • RT 03 "&amp;"/ RW 03 (berunding dengan pak RW)• RT 04 / RW 03 (Berunding dengan pak RW)
16/02 Plan anwijzing 19 Feb. 11/02 Peralihan mitra. 28/01 Mitra tripola belum ada PIC untuk anwijzing. 23/01 Plan anwijzing 26 Jan, pic mitra ada pertanggal 25 jan. 21/01 proses pe"&amp;"nunjukan mitra 11/02 Peralihan mitra. 28/01 Mitra tripola belum ada PIC untuk anwijzing. 23/01 Plan anwijzing 26 Jan, pic mitra ada pertanggal 25 jan. 21/01 proses penunjukan mitra 
")</f>
        <v>20/04 Tim serial masih mengerjakan LOP Lain. feeder redting
13/04 tim serial masih mengerjakan LOP lain. 06/04 Plan Install tanggal 22 april, tanggal GL 30 apr.  30/03 Eval prelim sudah di acc, tim mitra serial mengerjakan LOP lain.  09/10 Mengizinkan dengan catatan kompensasi sebesar 300 ribu. tim progres LOP lain.
05/03 Proses Perizinan
04/03 sisa 1 RT yang belum bisa di jumpai, proses FU kembali tgl 05 maret. 20/02 Perijinan RT 01 / RW 14 Status : on progres • RT 02 / RW 14 Status : Di izinkan • RT 03 / RW 03 (berunding dengan pak RW)• RT 04 / RW 03 (Berunding dengan pak RW)
16/02 Plan anwijzing 19 Feb. 11/02 Peralihan mitra. 28/01 Mitra tripola belum ada PIC untuk anwijzing. 23/01 Plan anwijzing 26 Jan, pic mitra ada pertanggal 25 jan. 21/01 proses penunjukan mitra 11/02 Peralihan mitra. 28/01 Mitra tripola belum ada PIC untuk anwijzing. 23/01 Plan anwijzing 26 Jan, pic mitra ada pertanggal 25 jan. 21/01 proses penunjukan mitra 
</v>
      </c>
      <c r="R2666" s="228">
        <f>IFERROR(__xludf.DUMMYFUNCTION("""COMPUTED_VALUE"""),46142.0)</f>
        <v>46142</v>
      </c>
      <c r="S2666" s="11"/>
      <c r="T2666" s="73"/>
      <c r="U2666" s="11" t="str">
        <f>IFERROR(__xludf.DUMMYFUNCTION("""COMPUTED_VALUE"""),"W09-311/2026")</f>
        <v>W09-311/2026</v>
      </c>
      <c r="V2666" s="229" t="str">
        <f>IFERROR(__xludf.DUMMYFUNCTION("""COMPUTED_VALUE"""),"RONALDO LEO INFANTRI")</f>
        <v>RONALDO LEO INFANTRI</v>
      </c>
      <c r="W2666" s="229" t="str">
        <f>IFERROR(__xludf.DUMMYFUNCTION("""COMPUTED_VALUE"""),"LEVITA INDRIYANI")</f>
        <v>LEVITA INDRIYANI</v>
      </c>
      <c r="X2666" s="229"/>
      <c r="Y2666" s="229"/>
      <c r="Z2666" s="229" t="str">
        <f>IFERROR(__xludf.DUMMYFUNCTION("""COMPUTED_VALUE"""),"#N/A")</f>
        <v>#N/A</v>
      </c>
      <c r="AA2666" s="229"/>
      <c r="AB2666" s="229"/>
      <c r="AC2666" s="229"/>
      <c r="AD2666" s="232"/>
      <c r="AE2666" s="233"/>
      <c r="AF2666" s="54"/>
      <c r="AG2666" s="54"/>
      <c r="AH2666" s="54">
        <v>46128.0</v>
      </c>
      <c r="AI2666" s="55">
        <f>AH2666-TODAY()</f>
        <v>-12</v>
      </c>
      <c r="AJ2666" s="229" t="str">
        <f t="shared" si="247"/>
        <v>Out Komitmen</v>
      </c>
      <c r="AK2666" s="231" t="s">
        <v>199</v>
      </c>
      <c r="AW2666" s="234"/>
      <c r="BP2666" s="11"/>
      <c r="BQ2666" s="11"/>
      <c r="BV2666" s="158"/>
      <c r="BY2666" s="158"/>
      <c r="CB2666" s="158"/>
    </row>
    <row r="2667" ht="18.0" customHeight="1">
      <c r="A2667" s="222">
        <f>IFERROR(__xludf.DUMMYFUNCTION("""COMPUTED_VALUE"""),2026.0)</f>
        <v>2026</v>
      </c>
      <c r="B2667" s="221">
        <f>IFERROR(__xludf.DUMMYFUNCTION("""COMPUTED_VALUE"""),1.2860398E7)</f>
        <v>12860398</v>
      </c>
      <c r="C2667" s="222" t="str">
        <f>IFERROR(__xludf.DUMMYFUNCTION("""COMPUTED_VALUE"""),"SMB-PT3-ODC-LIN-FB-250_179_2563")</f>
        <v>SMB-PT3-ODC-LIN-FB-250_179_2563</v>
      </c>
      <c r="D2667" s="222" t="str">
        <f>IFERROR(__xludf.DUMMYFUNCTION("""COMPUTED_VALUE"""),"REGIONAL I")</f>
        <v>REGIONAL I</v>
      </c>
      <c r="E2667" s="222" t="str">
        <f>IFERROR(__xludf.DUMMYFUNCTION("""COMPUTED_VALUE"""),"SUMBAR")</f>
        <v>SUMBAR</v>
      </c>
      <c r="F2667" s="222" t="str">
        <f>IFERROR(__xludf.DUMMYFUNCTION("""COMPUTED_VALUE"""),"LIN")</f>
        <v>LIN</v>
      </c>
      <c r="G2667" s="222" t="str">
        <f>IFERROR(__xludf.DUMMYFUNCTION("""COMPUTED_VALUE"""),"SUMBAGTENG")</f>
        <v>SUMBAGTENG</v>
      </c>
      <c r="H2667" s="222" t="str">
        <f>IFERROR(__xludf.DUMMYFUNCTION("""COMPUTED_VALUE"""),"BUKIT TINGGI")</f>
        <v>BUKIT TINGGI</v>
      </c>
      <c r="I2667" s="222" t="str">
        <f>IFERROR(__xludf.DUMMYFUNCTION("""COMPUTED_VALUE"""),"Batch 3")</f>
        <v>Batch 3</v>
      </c>
      <c r="J2667" s="225">
        <f>IFERROR(__xludf.DUMMYFUNCTION("""COMPUTED_VALUE"""),2.0)</f>
        <v>2</v>
      </c>
      <c r="K2667" s="224">
        <f>IFERROR(__xludf.DUMMYFUNCTION("""COMPUTED_VALUE"""),16.0)</f>
        <v>16</v>
      </c>
      <c r="L2667" s="226">
        <f>IFERROR(__xludf.DUMMYFUNCTION("""COMPUTED_VALUE"""),336292.0)</f>
        <v>336292</v>
      </c>
      <c r="M2667" s="227">
        <f>IFERROR(__xludf.DUMMYFUNCTION("""COMPUTED_VALUE"""),5380658.0)</f>
        <v>5380658</v>
      </c>
      <c r="N2667" s="222" t="str">
        <f>IFERROR(__xludf.DUMMYFUNCTION("""COMPUTED_VALUE"""),"PT RATRI PRIMA MANDIRI")</f>
        <v>PT RATRI PRIMA MANDIRI</v>
      </c>
      <c r="O2667" s="222" t="str">
        <f>IFERROR(__xludf.DUMMYFUNCTION("""COMPUTED_VALUE"""),"2. DONE AANWIJZING")</f>
        <v>2. DONE AANWIJZING</v>
      </c>
      <c r="P2667" s="222" t="str">
        <f>IFERROR(__xludf.DUMMYFUNCTION("""COMPUTED_VALUE"""),"2.9 Kendala - Distribusi Penuh / Rusak")</f>
        <v>2.9 Kendala - Distribusi Penuh / Rusak</v>
      </c>
      <c r="Q2667" s="222" t="str">
        <f>IFERROR(__xludf.DUMMYFUNCTION("""COMPUTED_VALUE"""),"(03/02) kendala Core dist 3 LIN-FB Full kenaikan lebih 10 % (29/01) Done aanwijziing  , proses eval")</f>
        <v>(03/02) kendala Core dist 3 LIN-FB Full kenaikan lebih 10 % (29/01) Done aanwijziing  , proses eval</v>
      </c>
      <c r="R2667" s="228"/>
      <c r="S2667" s="11"/>
      <c r="T2667" s="11"/>
      <c r="U2667" s="11"/>
      <c r="V2667" s="229" t="str">
        <f>IFERROR(__xludf.DUMMYFUNCTION("""COMPUTED_VALUE"""),"FABIO RAHMAN")</f>
        <v>FABIO RAHMAN</v>
      </c>
      <c r="W2667" s="229" t="str">
        <f>IFERROR(__xludf.DUMMYFUNCTION("""COMPUTED_VALUE"""),"MELKO NARWADI")</f>
        <v>MELKO NARWADI</v>
      </c>
      <c r="X2667" s="229"/>
      <c r="Y2667" s="229"/>
      <c r="Z2667" s="229" t="str">
        <f>IFERROR(__xludf.DUMMYFUNCTION("""COMPUTED_VALUE"""),"#N/A")</f>
        <v>#N/A</v>
      </c>
      <c r="AA2667" s="229"/>
      <c r="AB2667" s="229"/>
      <c r="AC2667" s="229"/>
      <c r="AD2667" s="232"/>
      <c r="AE2667" s="233"/>
      <c r="AF2667" s="54"/>
      <c r="AG2667" s="54"/>
      <c r="AH2667" s="54"/>
      <c r="AI2667" s="55" t="str">
        <f t="shared" ref="AI2667:AI2673" si="248">IF(OR(R2667="",AE2667=""),"",R2667-AE2667)</f>
        <v/>
      </c>
      <c r="AW2667" s="234"/>
      <c r="BP2667" s="11"/>
      <c r="BQ2667" s="11"/>
      <c r="BV2667" s="158"/>
      <c r="BY2667" s="158"/>
      <c r="CB2667" s="158"/>
    </row>
    <row r="2668" ht="18.0" customHeight="1">
      <c r="A2668" s="222">
        <f>IFERROR(__xludf.DUMMYFUNCTION("""COMPUTED_VALUE"""),2026.0)</f>
        <v>2026</v>
      </c>
      <c r="B2668" s="221">
        <f>IFERROR(__xludf.DUMMYFUNCTION("""COMPUTED_VALUE"""),1.1364972E7)</f>
        <v>11364972</v>
      </c>
      <c r="C2668" s="222" t="str">
        <f>IFERROR(__xludf.DUMMYFUNCTION("""COMPUTED_VALUE"""),"SMB P2I2 Ampiang Parak")</f>
        <v>SMB P2I2 Ampiang Parak</v>
      </c>
      <c r="D2668" s="222" t="str">
        <f>IFERROR(__xludf.DUMMYFUNCTION("""COMPUTED_VALUE"""),"REGIONAL I")</f>
        <v>REGIONAL I</v>
      </c>
      <c r="E2668" s="222" t="str">
        <f>IFERROR(__xludf.DUMMYFUNCTION("""COMPUTED_VALUE"""),"SUMBAR")</f>
        <v>SUMBAR</v>
      </c>
      <c r="F2668" s="222" t="str">
        <f>IFERROR(__xludf.DUMMYFUNCTION("""COMPUTED_VALUE"""),"PDC")</f>
        <v>PDC</v>
      </c>
      <c r="G2668" s="222" t="str">
        <f>IFERROR(__xludf.DUMMYFUNCTION("""COMPUTED_VALUE"""),"SUMBAGTENG")</f>
        <v>SUMBAGTENG</v>
      </c>
      <c r="H2668" s="222" t="str">
        <f>IFERROR(__xludf.DUMMYFUNCTION("""COMPUTED_VALUE"""),"PADANG")</f>
        <v>PADANG</v>
      </c>
      <c r="I2668" s="222" t="str">
        <f>IFERROR(__xludf.DUMMYFUNCTION("""COMPUTED_VALUE"""),"Batch 3")</f>
        <v>Batch 3</v>
      </c>
      <c r="J2668" s="225">
        <f>IFERROR(__xludf.DUMMYFUNCTION("""COMPUTED_VALUE"""),3.0)</f>
        <v>3</v>
      </c>
      <c r="K2668" s="224">
        <f>IFERROR(__xludf.DUMMYFUNCTION("""COMPUTED_VALUE"""),24.0)</f>
        <v>24</v>
      </c>
      <c r="L2668" s="226">
        <f>IFERROR(__xludf.DUMMYFUNCTION("""COMPUTED_VALUE"""),334957.0)</f>
        <v>334957</v>
      </c>
      <c r="M2668" s="227">
        <f>IFERROR(__xludf.DUMMYFUNCTION("""COMPUTED_VALUE"""),8038952.0)</f>
        <v>8038952</v>
      </c>
      <c r="N2668" s="222" t="str">
        <f>IFERROR(__xludf.DUMMYFUNCTION("""COMPUTED_VALUE"""),"PT ACERO CETHA METALINDO")</f>
        <v>PT ACERO CETHA METALINDO</v>
      </c>
      <c r="O2668" s="222" t="str">
        <f>IFERROR(__xludf.DUMMYFUNCTION("""COMPUTED_VALUE"""),"8. UJI TERIMA")</f>
        <v>8. UJI TERIMA</v>
      </c>
      <c r="P2668" s="222" t="str">
        <f>IFERROR(__xludf.DUMMYFUNCTION("""COMPUTED_VALUE"""),"8.1 Proses UT")</f>
        <v>8.1 Proses UT</v>
      </c>
      <c r="Q2668" s="222" t="str">
        <f>IFERROR(__xludf.DUMMYFUNCTION("""COMPUTED_VALUE"""),"(29/01) butuh penambahan modul olt STO SRT   21/11 : proses valins  13/11 : proses valins 06/11 : proses valins   23/10 : Terminasi  16/10 : Terminasi  13/10 : Terminasi  09/10 : terminasi ODP  02/10 : terminasi ODP  25/09 :terminasi ODP   19/09 : plan in"&amp;"stalasi 18 sept (data abd 19 sept )  17/09 : plan instalasi 18 sept (data abd 19 sept ) 15/09 : Matdel ke site")</f>
        <v>(29/01) butuh penambahan modul olt STO SRT   21/11 : proses valins  13/11 : proses valins 06/11 : proses valins   23/10 : Terminasi  16/10 : Terminasi  13/10 : Terminasi  09/10 : terminasi ODP  02/10 : terminasi ODP  25/09 :terminasi ODP   19/09 : plan instalasi 18 sept (data abd 19 sept )  17/09 : plan instalasi 18 sept (data abd 19 sept ) 15/09 : Matdel ke site</v>
      </c>
      <c r="R2668" s="228">
        <f>IFERROR(__xludf.DUMMYFUNCTION("""COMPUTED_VALUE"""),46062.0)</f>
        <v>46062</v>
      </c>
      <c r="S2668" s="11"/>
      <c r="T2668" s="11"/>
      <c r="U2668" s="11"/>
      <c r="V2668" s="229" t="str">
        <f>IFERROR(__xludf.DUMMYFUNCTION("""COMPUTED_VALUE"""),"ALDI EFENDI")</f>
        <v>ALDI EFENDI</v>
      </c>
      <c r="W2668" s="229" t="str">
        <f>IFERROR(__xludf.DUMMYFUNCTION("""COMPUTED_VALUE"""),"MELKO NARWADI")</f>
        <v>MELKO NARWADI</v>
      </c>
      <c r="X2668" s="229" t="str">
        <f>IFERROR(__xludf.DUMMYFUNCTION("""COMPUTED_VALUE"""),"GOLIVE")</f>
        <v>GOLIVE</v>
      </c>
      <c r="Y2668" s="229" t="str">
        <f>IFERROR(__xludf.DUMMYFUNCTION("""COMPUTED_VALUE"""),"DONE")</f>
        <v>DONE</v>
      </c>
      <c r="Z2668" s="229" t="str">
        <f>IFERROR(__xludf.DUMMYFUNCTION("""COMPUTED_VALUE"""),"#N/A")</f>
        <v>#N/A</v>
      </c>
      <c r="AA2668" s="229">
        <f>IFERROR(__xludf.DUMMYFUNCTION("""COMPUTED_VALUE"""),3.0)</f>
        <v>3</v>
      </c>
      <c r="AB2668" s="229"/>
      <c r="AC2668" s="229" t="str">
        <f>IFERROR(__xludf.DUMMYFUNCTION("""COMPUTED_VALUE"""),"9084415#9084420")</f>
        <v>9084415#9084420</v>
      </c>
      <c r="AD2668" s="232">
        <f>IFERROR(__xludf.DUMMYFUNCTION("""COMPUTED_VALUE"""),24.0)</f>
        <v>24</v>
      </c>
      <c r="AE2668" s="233">
        <f>IFERROR(__xludf.DUMMYFUNCTION("""COMPUTED_VALUE"""),46064.0)</f>
        <v>46064</v>
      </c>
      <c r="AF2668" s="54"/>
      <c r="AG2668" s="54"/>
      <c r="AH2668" s="54">
        <v>46062.0</v>
      </c>
      <c r="AI2668" s="55">
        <f t="shared" si="248"/>
        <v>-2</v>
      </c>
      <c r="AW2668" s="234"/>
      <c r="BP2668" s="11"/>
      <c r="BQ2668" s="11"/>
      <c r="BV2668" s="158"/>
      <c r="BY2668" s="158"/>
      <c r="CB2668" s="158"/>
    </row>
    <row r="2669" ht="18.0" customHeight="1">
      <c r="A2669" s="222">
        <f>IFERROR(__xludf.DUMMYFUNCTION("""COMPUTED_VALUE"""),2026.0)</f>
        <v>2026</v>
      </c>
      <c r="B2669" s="221">
        <f>IFERROR(__xludf.DUMMYFUNCTION("""COMPUTED_VALUE"""),1.2537656E7)</f>
        <v>12537656</v>
      </c>
      <c r="C2669" s="222" t="str">
        <f>IFERROR(__xludf.DUMMYFUNCTION("""COMPUTED_VALUE"""),"RKP TSEL PT3 SLU-FBV TJ. UNCANG")</f>
        <v>RKP TSEL PT3 SLU-FBV TJ. UNCANG</v>
      </c>
      <c r="D2669" s="222" t="str">
        <f>IFERROR(__xludf.DUMMYFUNCTION("""COMPUTED_VALUE"""),"REGIONAL I")</f>
        <v>REGIONAL I</v>
      </c>
      <c r="E2669" s="222" t="str">
        <f>IFERROR(__xludf.DUMMYFUNCTION("""COMPUTED_VALUE"""),"RIKEP")</f>
        <v>RIKEP</v>
      </c>
      <c r="F2669" s="222" t="str">
        <f>IFERROR(__xludf.DUMMYFUNCTION("""COMPUTED_VALUE"""),"SLU")</f>
        <v>SLU</v>
      </c>
      <c r="G2669" s="222" t="str">
        <f>IFERROR(__xludf.DUMMYFUNCTION("""COMPUTED_VALUE"""),"SUMBAGTENG")</f>
        <v>SUMBAGTENG</v>
      </c>
      <c r="H2669" s="222" t="str">
        <f>IFERROR(__xludf.DUMMYFUNCTION("""COMPUTED_VALUE"""),"BATAM")</f>
        <v>BATAM</v>
      </c>
      <c r="I2669" s="222" t="str">
        <f>IFERROR(__xludf.DUMMYFUNCTION("""COMPUTED_VALUE"""),"Batch 3")</f>
        <v>Batch 3</v>
      </c>
      <c r="J2669" s="225">
        <f>IFERROR(__xludf.DUMMYFUNCTION("""COMPUTED_VALUE"""),1.0)</f>
        <v>1</v>
      </c>
      <c r="K2669" s="224">
        <f>IFERROR(__xludf.DUMMYFUNCTION("""COMPUTED_VALUE"""),8.0)</f>
        <v>8</v>
      </c>
      <c r="L2669" s="226">
        <f>IFERROR(__xludf.DUMMYFUNCTION("""COMPUTED_VALUE"""),326232.0)</f>
        <v>326232</v>
      </c>
      <c r="M2669" s="227">
        <f>IFERROR(__xludf.DUMMYFUNCTION("""COMPUTED_VALUE"""),2609855.0)</f>
        <v>2609855</v>
      </c>
      <c r="N2669" s="222" t="str">
        <f>IFERROR(__xludf.DUMMYFUNCTION("""COMPUTED_VALUE"""),"PT MITRA HOSINDO SEJAHTERA")</f>
        <v>PT MITRA HOSINDO SEJAHTERA</v>
      </c>
      <c r="O2669" s="222" t="str">
        <f>IFERROR(__xludf.DUMMYFUNCTION("""COMPUTED_VALUE"""),"0. DROP")</f>
        <v>0. DROP</v>
      </c>
      <c r="P2669" s="222" t="str">
        <f>IFERROR(__xludf.DUMMYFUNCTION("""COMPUTED_VALUE"""),"0.2 Tidak Dapat Izin Warga/Kades/Lurah/Developer")</f>
        <v>0.2 Tidak Dapat Izin Warga/Kades/Lurah/Developer</v>
      </c>
      <c r="Q2669" s="222" t="str">
        <f>IFERROR(__xludf.DUMMYFUNCTION("""COMPUTED_VALUE"""),"16/02 ODP di titik yang sama sudah 2 pasif, dan masih sisa 6 port, di tambah izin penarikan di dalam dalam kawasan sekolah tidak di izinkan. 13/02 Anwijzing OK, izin belum di kasih kepastian. 12/02 Plan anwijzing besok 13 Feb. 09/02 Plan anwijzing 11 Feb "&amp;"2026.29/01 Plan survey 30 Jan. 23/01 Plan anwijzing 26 Jan, Order Baru. 22/01 Order baru, proses penunjukan mitra")</f>
        <v>16/02 ODP di titik yang sama sudah 2 pasif, dan masih sisa 6 port, di tambah izin penarikan di dalam dalam kawasan sekolah tidak di izinkan. 13/02 Anwijzing OK, izin belum di kasih kepastian. 12/02 Plan anwijzing besok 13 Feb. 09/02 Plan anwijzing 11 Feb 2026.29/01 Plan survey 30 Jan. 23/01 Plan anwijzing 26 Jan, Order Baru. 22/01 Order baru, proses penunjukan mitra</v>
      </c>
      <c r="R2669" s="228"/>
      <c r="S2669" s="11"/>
      <c r="T2669" s="11"/>
      <c r="U2669" s="11"/>
      <c r="V2669" s="229" t="str">
        <f>IFERROR(__xludf.DUMMYFUNCTION("""COMPUTED_VALUE"""),"MUHAMMAD RIDHO FALFO")</f>
        <v>MUHAMMAD RIDHO FALFO</v>
      </c>
      <c r="W2669" s="229"/>
      <c r="X2669" s="229"/>
      <c r="Y2669" s="229"/>
      <c r="Z2669" s="229" t="str">
        <f>IFERROR(__xludf.DUMMYFUNCTION("""COMPUTED_VALUE"""),"#N/A")</f>
        <v>#N/A</v>
      </c>
      <c r="AA2669" s="229"/>
      <c r="AB2669" s="229"/>
      <c r="AC2669" s="229"/>
      <c r="AD2669" s="232"/>
      <c r="AE2669" s="233"/>
      <c r="AF2669" s="54" t="str">
        <f>IFERROR(__xludf.DUMMYFUNCTION("""COMPUTED_VALUE"""),"Draft BA DROP")</f>
        <v>Draft BA DROP</v>
      </c>
      <c r="AG2669" s="54"/>
      <c r="AH2669" s="54"/>
      <c r="AI2669" s="55" t="str">
        <f t="shared" si="248"/>
        <v/>
      </c>
      <c r="AW2669" s="234"/>
      <c r="BP2669" s="11"/>
      <c r="BQ2669" s="11"/>
      <c r="BV2669" s="158"/>
      <c r="BY2669" s="158"/>
      <c r="CB2669" s="158"/>
    </row>
    <row r="2670" ht="18.0" hidden="1" customHeight="1">
      <c r="A2670" s="222">
        <f>IFERROR(__xludf.DUMMYFUNCTION("""COMPUTED_VALUE"""),2026.0)</f>
        <v>2026</v>
      </c>
      <c r="B2670" s="221">
        <f>IFERROR(__xludf.DUMMYFUNCTION("""COMPUTED_VALUE"""),1.2542276E7)</f>
        <v>12542276</v>
      </c>
      <c r="C2670" s="222" t="str">
        <f>IFERROR(__xludf.DUMMYFUNCTION("""COMPUTED_VALUE"""),"250_1585_1614")</f>
        <v>250_1585_1614</v>
      </c>
      <c r="D2670" s="222" t="str">
        <f>IFERROR(__xludf.DUMMYFUNCTION("""COMPUTED_VALUE"""),"REGIONAL I")</f>
        <v>REGIONAL I</v>
      </c>
      <c r="E2670" s="222" t="str">
        <f>IFERROR(__xludf.DUMMYFUNCTION("""COMPUTED_VALUE"""),"MEDAN")</f>
        <v>MEDAN</v>
      </c>
      <c r="F2670" s="222" t="str">
        <f>IFERROR(__xludf.DUMMYFUNCTION("""COMPUTED_VALUE"""),"CTD")</f>
        <v>CTD</v>
      </c>
      <c r="G2670" s="222" t="str">
        <f>IFERROR(__xludf.DUMMYFUNCTION("""COMPUTED_VALUE"""),"SUMBAGUT")</f>
        <v>SUMBAGUT</v>
      </c>
      <c r="H2670" s="222" t="str">
        <f>IFERROR(__xludf.DUMMYFUNCTION("""COMPUTED_VALUE"""),"MEDAN")</f>
        <v>MEDAN</v>
      </c>
      <c r="I2670" s="222" t="str">
        <f>IFERROR(__xludf.DUMMYFUNCTION("""COMPUTED_VALUE"""),"Batch 3")</f>
        <v>Batch 3</v>
      </c>
      <c r="J2670" s="225">
        <f>IFERROR(__xludf.DUMMYFUNCTION("""COMPUTED_VALUE"""),3.0)</f>
        <v>3</v>
      </c>
      <c r="K2670" s="224">
        <f>IFERROR(__xludf.DUMMYFUNCTION("""COMPUTED_VALUE"""),24.0)</f>
        <v>24</v>
      </c>
      <c r="L2670" s="226">
        <f>IFERROR(__xludf.DUMMYFUNCTION("""COMPUTED_VALUE"""),322167.0)</f>
        <v>322167</v>
      </c>
      <c r="M2670" s="227">
        <f>IFERROR(__xludf.DUMMYFUNCTION("""COMPUTED_VALUE"""),7732002.0)</f>
        <v>7732002</v>
      </c>
      <c r="N2670" s="222" t="str">
        <f>IFERROR(__xludf.DUMMYFUNCTION("""COMPUTED_VALUE"""),"PT GLOBAL KARYA WANDA")</f>
        <v>PT GLOBAL KARYA WANDA</v>
      </c>
      <c r="O2670" s="222" t="str">
        <f>IFERROR(__xludf.DUMMYFUNCTION("""COMPUTED_VALUE"""),"2. DONE AANWIJZING")</f>
        <v>2. DONE AANWIJZING</v>
      </c>
      <c r="P2670" s="222" t="str">
        <f>IFERROR(__xludf.DUMMYFUNCTION("""COMPUTED_VALUE"""),"2.10 Kendala - Feeder Rusak")</f>
        <v>2.10 Kendala - Feeder Rusak</v>
      </c>
      <c r="Q2670" s="222" t="str">
        <f>IFERROR(__xludf.DUMMYFUNCTION("""COMPUTED_VALUE"""),"22/04 pengecekan tipus butuh QE
21/02 Feeder REDAMAN TINGGI")</f>
        <v>22/04 pengecekan tipus butuh QE
21/02 Feeder REDAMAN TINGGI</v>
      </c>
      <c r="R2670" s="228"/>
      <c r="S2670" s="11"/>
      <c r="T2670" s="11"/>
      <c r="U2670" s="11"/>
      <c r="V2670" s="229"/>
      <c r="W2670" s="229"/>
      <c r="X2670" s="229" t="str">
        <f>IFERROR(__xludf.DUMMYFUNCTION("""COMPUTED_VALUE"""),"BELUM GOLIVE")</f>
        <v>BELUM GOLIVE</v>
      </c>
      <c r="Y2670" s="229"/>
      <c r="Z2670" s="229" t="str">
        <f>IFERROR(__xludf.DUMMYFUNCTION("""COMPUTED_VALUE"""),"#N/A")</f>
        <v>#N/A</v>
      </c>
      <c r="AA2670" s="229"/>
      <c r="AB2670" s="229"/>
      <c r="AC2670" s="229"/>
      <c r="AD2670" s="232"/>
      <c r="AE2670" s="233"/>
      <c r="AF2670" s="54"/>
      <c r="AG2670" s="54"/>
      <c r="AH2670" s="54"/>
      <c r="AI2670" s="55" t="str">
        <f t="shared" si="248"/>
        <v/>
      </c>
      <c r="AW2670" s="234"/>
      <c r="BP2670" s="11"/>
      <c r="BQ2670" s="11"/>
      <c r="BV2670" s="158"/>
      <c r="BY2670" s="158"/>
      <c r="CB2670" s="158"/>
    </row>
    <row r="2671" ht="18.0" hidden="1" customHeight="1">
      <c r="A2671" s="222">
        <f>IFERROR(__xludf.DUMMYFUNCTION("""COMPUTED_VALUE"""),2026.0)</f>
        <v>2026</v>
      </c>
      <c r="B2671" s="221">
        <f>IFERROR(__xludf.DUMMYFUNCTION("""COMPUTED_VALUE"""),1.2688235E7)</f>
        <v>12688235</v>
      </c>
      <c r="C2671" s="222" t="str">
        <f>IFERROR(__xludf.DUMMYFUNCTION("""COMPUTED_VALUE"""),"250_1573_1634")</f>
        <v>250_1573_1634</v>
      </c>
      <c r="D2671" s="222" t="str">
        <f>IFERROR(__xludf.DUMMYFUNCTION("""COMPUTED_VALUE"""),"REGIONAL I")</f>
        <v>REGIONAL I</v>
      </c>
      <c r="E2671" s="222" t="str">
        <f>IFERROR(__xludf.DUMMYFUNCTION("""COMPUTED_VALUE"""),"MEDAN")</f>
        <v>MEDAN</v>
      </c>
      <c r="F2671" s="222" t="str">
        <f>IFERROR(__xludf.DUMMYFUNCTION("""COMPUTED_VALUE"""),"TTG")</f>
        <v>TTG</v>
      </c>
      <c r="G2671" s="222" t="str">
        <f>IFERROR(__xludf.DUMMYFUNCTION("""COMPUTED_VALUE"""),"SUMBAGUT")</f>
        <v>SUMBAGUT</v>
      </c>
      <c r="H2671" s="222" t="str">
        <f>IFERROR(__xludf.DUMMYFUNCTION("""COMPUTED_VALUE"""),"MEDAN")</f>
        <v>MEDAN</v>
      </c>
      <c r="I2671" s="222" t="str">
        <f>IFERROR(__xludf.DUMMYFUNCTION("""COMPUTED_VALUE"""),"Batch 3")</f>
        <v>Batch 3</v>
      </c>
      <c r="J2671" s="225">
        <f>IFERROR(__xludf.DUMMYFUNCTION("""COMPUTED_VALUE"""),3.0)</f>
        <v>3</v>
      </c>
      <c r="K2671" s="224">
        <f>IFERROR(__xludf.DUMMYFUNCTION("""COMPUTED_VALUE"""),24.0)</f>
        <v>24</v>
      </c>
      <c r="L2671" s="226">
        <f>IFERROR(__xludf.DUMMYFUNCTION("""COMPUTED_VALUE"""),319770.0)</f>
        <v>319770</v>
      </c>
      <c r="M2671" s="227">
        <f>IFERROR(__xludf.DUMMYFUNCTION("""COMPUTED_VALUE"""),7674479.0)</f>
        <v>7674479</v>
      </c>
      <c r="N2671" s="222" t="str">
        <f>IFERROR(__xludf.DUMMYFUNCTION("""COMPUTED_VALUE"""),"SWAKELOLA")</f>
        <v>SWAKELOLA</v>
      </c>
      <c r="O2671" s="222" t="str">
        <f>IFERROR(__xludf.DUMMYFUNCTION("""COMPUTED_VALUE"""),"1. AANWIJZING")</f>
        <v>1. AANWIJZING</v>
      </c>
      <c r="P2671" s="222" t="str">
        <f>IFERROR(__xludf.DUMMYFUNCTION("""COMPUTED_VALUE"""),"1.6 Ongoing Aanwidjzing")</f>
        <v>1.6 Ongoing Aanwidjzing</v>
      </c>
      <c r="Q2671" s="222" t="str">
        <f>IFERROR(__xludf.DUMMYFUNCTION("""COMPUTED_VALUE"""),"20/04 pengecekan ulang core di ODC 03/03 Feeder LOS 26/02 done order")</f>
        <v>20/04 pengecekan ulang core di ODC 03/03 Feeder LOS 26/02 done order</v>
      </c>
      <c r="R2671" s="228"/>
      <c r="S2671" s="11"/>
      <c r="T2671" s="11"/>
      <c r="U2671" s="11"/>
      <c r="V2671" s="229"/>
      <c r="W2671" s="229"/>
      <c r="X2671" s="229" t="str">
        <f>IFERROR(__xludf.DUMMYFUNCTION("""COMPUTED_VALUE"""),"BELUM GOLIVE")</f>
        <v>BELUM GOLIVE</v>
      </c>
      <c r="Y2671" s="229"/>
      <c r="Z2671" s="229" t="str">
        <f>IFERROR(__xludf.DUMMYFUNCTION("""COMPUTED_VALUE"""),"#N/A")</f>
        <v>#N/A</v>
      </c>
      <c r="AA2671" s="229"/>
      <c r="AB2671" s="229"/>
      <c r="AC2671" s="229"/>
      <c r="AD2671" s="232"/>
      <c r="AE2671" s="233"/>
      <c r="AF2671" s="54"/>
      <c r="AG2671" s="54"/>
      <c r="AH2671" s="54"/>
      <c r="AI2671" s="55" t="str">
        <f t="shared" si="248"/>
        <v/>
      </c>
      <c r="AW2671" s="234"/>
      <c r="BP2671" s="11"/>
      <c r="BQ2671" s="11"/>
      <c r="BV2671" s="158"/>
      <c r="BY2671" s="158"/>
      <c r="CB2671" s="158"/>
    </row>
    <row r="2672" ht="18.0" customHeight="1">
      <c r="A2672" s="222">
        <f>IFERROR(__xludf.DUMMYFUNCTION("""COMPUTED_VALUE"""),2026.0)</f>
        <v>2026</v>
      </c>
      <c r="B2672" s="221">
        <f>IFERROR(__xludf.DUMMYFUNCTION("""COMPUTED_VALUE"""),1.2589381E7)</f>
        <v>12589381</v>
      </c>
      <c r="C2672" s="222" t="str">
        <f>IFERROR(__xludf.DUMMYFUNCTION("""COMPUTED_VALUE"""),"SMB PT3-PDC-FY 250_-412_2413")</f>
        <v>SMB PT3-PDC-FY 250_-412_2413</v>
      </c>
      <c r="D2672" s="222" t="str">
        <f>IFERROR(__xludf.DUMMYFUNCTION("""COMPUTED_VALUE"""),"REGIONAL I")</f>
        <v>REGIONAL I</v>
      </c>
      <c r="E2672" s="222" t="str">
        <f>IFERROR(__xludf.DUMMYFUNCTION("""COMPUTED_VALUE"""),"SUMBAR")</f>
        <v>SUMBAR</v>
      </c>
      <c r="F2672" s="222" t="str">
        <f>IFERROR(__xludf.DUMMYFUNCTION("""COMPUTED_VALUE"""),"PDC")</f>
        <v>PDC</v>
      </c>
      <c r="G2672" s="222" t="str">
        <f>IFERROR(__xludf.DUMMYFUNCTION("""COMPUTED_VALUE"""),"SUMBAGTENG")</f>
        <v>SUMBAGTENG</v>
      </c>
      <c r="H2672" s="222" t="str">
        <f>IFERROR(__xludf.DUMMYFUNCTION("""COMPUTED_VALUE"""),"PADANG")</f>
        <v>PADANG</v>
      </c>
      <c r="I2672" s="222" t="str">
        <f>IFERROR(__xludf.DUMMYFUNCTION("""COMPUTED_VALUE"""),"Batch 3")</f>
        <v>Batch 3</v>
      </c>
      <c r="J2672" s="225">
        <f>IFERROR(__xludf.DUMMYFUNCTION("""COMPUTED_VALUE"""),2.0)</f>
        <v>2</v>
      </c>
      <c r="K2672" s="224">
        <f>IFERROR(__xludf.DUMMYFUNCTION("""COMPUTED_VALUE"""),16.0)</f>
        <v>16</v>
      </c>
      <c r="L2672" s="226">
        <f>IFERROR(__xludf.DUMMYFUNCTION("""COMPUTED_VALUE"""),319174.0)</f>
        <v>319174</v>
      </c>
      <c r="M2672" s="227">
        <f>IFERROR(__xludf.DUMMYFUNCTION("""COMPUTED_VALUE"""),5106769.0)</f>
        <v>5106769</v>
      </c>
      <c r="N2672" s="222" t="str">
        <f>IFERROR(__xludf.DUMMYFUNCTION("""COMPUTED_VALUE"""),"PT TRI PENAMAS")</f>
        <v>PT TRI PENAMAS</v>
      </c>
      <c r="O2672" s="222" t="str">
        <f>IFERROR(__xludf.DUMMYFUNCTION("""COMPUTED_VALUE"""),"8. UJI TERIMA")</f>
        <v>8. UJI TERIMA</v>
      </c>
      <c r="P2672" s="222" t="str">
        <f>IFERROR(__xludf.DUMMYFUNCTION("""COMPUTED_VALUE"""),"8.1 Proses UT")</f>
        <v>8.1 Proses UT</v>
      </c>
      <c r="Q2672" s="222" t="str">
        <f>IFERROR(__xludf.DUMMYFUNCTION("""COMPUTED_VALUE"""),"(18/02) Terminasi ODP  (29/01) Proses create PID (29/01) proses aanwijziing  ")</f>
        <v>(18/02) Terminasi ODP  (29/01) Proses create PID (29/01) proses aanwijziing  </v>
      </c>
      <c r="R2672" s="228">
        <f>IFERROR(__xludf.DUMMYFUNCTION("""COMPUTED_VALUE"""),46078.0)</f>
        <v>46078</v>
      </c>
      <c r="S2672" s="11"/>
      <c r="T2672" s="11"/>
      <c r="U2672" s="11" t="str">
        <f>IFERROR(__xludf.DUMMYFUNCTION("""COMPUTED_VALUE"""),"TIF-3057/2026 26KT03R158-0046")</f>
        <v>TIF-3057/2026 26KT03R158-0046</v>
      </c>
      <c r="V2672" s="229" t="str">
        <f>IFERROR(__xludf.DUMMYFUNCTION("""COMPUTED_VALUE"""),"FABIO RAHMAN")</f>
        <v>FABIO RAHMAN</v>
      </c>
      <c r="W2672" s="229" t="str">
        <f>IFERROR(__xludf.DUMMYFUNCTION("""COMPUTED_VALUE"""),"MELKO NARWADI")</f>
        <v>MELKO NARWADI</v>
      </c>
      <c r="X2672" s="229" t="str">
        <f>IFERROR(__xludf.DUMMYFUNCTION("""COMPUTED_VALUE"""),"GOLIVE")</f>
        <v>GOLIVE</v>
      </c>
      <c r="Y2672" s="229" t="str">
        <f>IFERROR(__xludf.DUMMYFUNCTION("""COMPUTED_VALUE"""),"DONE")</f>
        <v>DONE</v>
      </c>
      <c r="Z2672" s="229" t="str">
        <f>IFERROR(__xludf.DUMMYFUNCTION("""COMPUTED_VALUE"""),"#N/A")</f>
        <v>#N/A</v>
      </c>
      <c r="AA2672" s="229">
        <f>IFERROR(__xludf.DUMMYFUNCTION("""COMPUTED_VALUE"""),2.0)</f>
        <v>2</v>
      </c>
      <c r="AB2672" s="229"/>
      <c r="AC2672" s="229" t="str">
        <f>IFERROR(__xludf.DUMMYFUNCTION("""COMPUTED_VALUE"""),"9136806#9136811")</f>
        <v>9136806#9136811</v>
      </c>
      <c r="AD2672" s="232">
        <f>IFERROR(__xludf.DUMMYFUNCTION("""COMPUTED_VALUE"""),16.0)</f>
        <v>16</v>
      </c>
      <c r="AE2672" s="233">
        <f>IFERROR(__xludf.DUMMYFUNCTION("""COMPUTED_VALUE"""),46076.0)</f>
        <v>46076</v>
      </c>
      <c r="AF2672" s="54"/>
      <c r="AG2672" s="54"/>
      <c r="AH2672" s="54">
        <v>46078.0</v>
      </c>
      <c r="AI2672" s="55">
        <f t="shared" si="248"/>
        <v>2</v>
      </c>
      <c r="AW2672" s="234"/>
      <c r="BP2672" s="11"/>
      <c r="BQ2672" s="11"/>
      <c r="BV2672" s="158"/>
      <c r="BY2672" s="158"/>
      <c r="CB2672" s="158"/>
    </row>
    <row r="2673" ht="18.0" customHeight="1">
      <c r="A2673" s="222">
        <f>IFERROR(__xludf.DUMMYFUNCTION("""COMPUTED_VALUE"""),2026.0)</f>
        <v>2026</v>
      </c>
      <c r="B2673" s="221">
        <f>IFERROR(__xludf.DUMMYFUNCTION("""COMPUTED_VALUE"""),1.2726153E7)</f>
        <v>12726153</v>
      </c>
      <c r="C2673" s="222" t="str">
        <f>IFERROR(__xludf.DUMMYFUNCTION("""COMPUTED_VALUE"""),"SMB-PT3-ODC-PNN-FD-FEBY HARDIAN")</f>
        <v>SMB-PT3-ODC-PNN-FD-FEBY HARDIAN</v>
      </c>
      <c r="D2673" s="222" t="str">
        <f>IFERROR(__xludf.DUMMYFUNCTION("""COMPUTED_VALUE"""),"REGIONAL I")</f>
        <v>REGIONAL I</v>
      </c>
      <c r="E2673" s="222" t="str">
        <f>IFERROR(__xludf.DUMMYFUNCTION("""COMPUTED_VALUE"""),"SUMBAR")</f>
        <v>SUMBAR</v>
      </c>
      <c r="F2673" s="222" t="str">
        <f>IFERROR(__xludf.DUMMYFUNCTION("""COMPUTED_VALUE"""),"PNN")</f>
        <v>PNN</v>
      </c>
      <c r="G2673" s="222" t="str">
        <f>IFERROR(__xludf.DUMMYFUNCTION("""COMPUTED_VALUE"""),"SUMBAGTENG")</f>
        <v>SUMBAGTENG</v>
      </c>
      <c r="H2673" s="222" t="str">
        <f>IFERROR(__xludf.DUMMYFUNCTION("""COMPUTED_VALUE"""),"PADANG")</f>
        <v>PADANG</v>
      </c>
      <c r="I2673" s="222" t="str">
        <f>IFERROR(__xludf.DUMMYFUNCTION("""COMPUTED_VALUE"""),"Batch 3")</f>
        <v>Batch 3</v>
      </c>
      <c r="J2673" s="225">
        <f>IFERROR(__xludf.DUMMYFUNCTION("""COMPUTED_VALUE"""),2.0)</f>
        <v>2</v>
      </c>
      <c r="K2673" s="224">
        <f>IFERROR(__xludf.DUMMYFUNCTION("""COMPUTED_VALUE"""),16.0)</f>
        <v>16</v>
      </c>
      <c r="L2673" s="226">
        <f>IFERROR(__xludf.DUMMYFUNCTION("""COMPUTED_VALUE"""),315770.0)</f>
        <v>315770</v>
      </c>
      <c r="M2673" s="227">
        <f>IFERROR(__xludf.DUMMYFUNCTION("""COMPUTED_VALUE"""),5052315.0)</f>
        <v>5052315</v>
      </c>
      <c r="N2673" s="222" t="str">
        <f>IFERROR(__xludf.DUMMYFUNCTION("""COMPUTED_VALUE"""),"PT ACERO CETHA METALINDO")</f>
        <v>PT ACERO CETHA METALINDO</v>
      </c>
      <c r="O2673" s="222" t="str">
        <f>IFERROR(__xludf.DUMMYFUNCTION("""COMPUTED_VALUE"""),"0. DROP")</f>
        <v>0. DROP</v>
      </c>
      <c r="P2673" s="222" t="str">
        <f>IFERROR(__xludf.DUMMYFUNCTION("""COMPUTED_VALUE"""),"0.5 DROP TSEL - Acc ED TIF")</f>
        <v>0.5 DROP TSEL - Acc ED TIF</v>
      </c>
      <c r="Q2673" s="222" t="str">
        <f>IFERROR(__xludf.DUMMYFUNCTION("""COMPUTED_VALUE"""),"(06/03) Proses create PID  (05/03) proses aanwijziing plan selesai 07/03 (02/03) proses aanwijziing (26/01) DROP, permintaan tsel (tidak potensial) ")</f>
        <v>(06/03) Proses create PID  (05/03) proses aanwijziing plan selesai 07/03 (02/03) proses aanwijziing (26/01) DROP, permintaan tsel (tidak potensial) </v>
      </c>
      <c r="R2673" s="228"/>
      <c r="S2673" s="11"/>
      <c r="T2673" s="11"/>
      <c r="U2673" s="11" t="str">
        <f>IFERROR(__xludf.DUMMYFUNCTION("""COMPUTED_VALUE"""),"TIF-5575/2026  26KT03R158-0057 ")</f>
        <v>TIF-5575/2026  26KT03R158-0057 </v>
      </c>
      <c r="V2673" s="229" t="str">
        <f>IFERROR(__xludf.DUMMYFUNCTION("""COMPUTED_VALUE"""),"PRAMADIO SEPWILMAN")</f>
        <v>PRAMADIO SEPWILMAN</v>
      </c>
      <c r="W2673" s="229" t="str">
        <f>IFERROR(__xludf.DUMMYFUNCTION("""COMPUTED_VALUE"""),"MELKO NARWADI")</f>
        <v>MELKO NARWADI</v>
      </c>
      <c r="X2673" s="229"/>
      <c r="Y2673" s="229"/>
      <c r="Z2673" s="229" t="str">
        <f>IFERROR(__xludf.DUMMYFUNCTION("""COMPUTED_VALUE"""),"#N/A")</f>
        <v>#N/A</v>
      </c>
      <c r="AA2673" s="229"/>
      <c r="AB2673" s="229"/>
      <c r="AC2673" s="229"/>
      <c r="AD2673" s="232"/>
      <c r="AE2673" s="233"/>
      <c r="AF2673" s="54"/>
      <c r="AG2673" s="54"/>
      <c r="AH2673" s="54"/>
      <c r="AI2673" s="55" t="str">
        <f t="shared" si="248"/>
        <v/>
      </c>
      <c r="AW2673" s="234"/>
      <c r="BP2673" s="11"/>
      <c r="BQ2673" s="11"/>
      <c r="BV2673" s="158"/>
      <c r="BY2673" s="158"/>
      <c r="CB2673" s="158"/>
    </row>
    <row r="2674" ht="18.0" customHeight="1">
      <c r="A2674" s="222">
        <f>IFERROR(__xludf.DUMMYFUNCTION("""COMPUTED_VALUE"""),2026.0)</f>
        <v>2026</v>
      </c>
      <c r="B2674" s="221">
        <f>IFERROR(__xludf.DUMMYFUNCTION("""COMPUTED_VALUE"""),1.2653639E7)</f>
        <v>12653639</v>
      </c>
      <c r="C2674" s="222" t="str">
        <f>IFERROR(__xludf.DUMMYFUNCTION("""COMPUTED_VALUE"""),"SMB-PT3-ODC-TPN-FB-PESISIR-150518-54764")</f>
        <v>SMB-PT3-ODC-TPN-FB-PESISIR-150518-54764</v>
      </c>
      <c r="D2674" s="222" t="str">
        <f>IFERROR(__xludf.DUMMYFUNCTION("""COMPUTED_VALUE"""),"REGIONAL I")</f>
        <v>REGIONAL I</v>
      </c>
      <c r="E2674" s="222" t="str">
        <f>IFERROR(__xludf.DUMMYFUNCTION("""COMPUTED_VALUE"""),"SUMBAR")</f>
        <v>SUMBAR</v>
      </c>
      <c r="F2674" s="222" t="str">
        <f>IFERROR(__xludf.DUMMYFUNCTION("""COMPUTED_VALUE"""),"TPN")</f>
        <v>TPN</v>
      </c>
      <c r="G2674" s="222" t="str">
        <f>IFERROR(__xludf.DUMMYFUNCTION("""COMPUTED_VALUE"""),"SUMBAGTENG")</f>
        <v>SUMBAGTENG</v>
      </c>
      <c r="H2674" s="222" t="str">
        <f>IFERROR(__xludf.DUMMYFUNCTION("""COMPUTED_VALUE"""),"PADANG")</f>
        <v>PADANG</v>
      </c>
      <c r="I2674" s="222" t="str">
        <f>IFERROR(__xludf.DUMMYFUNCTION("""COMPUTED_VALUE"""),"Batch 3")</f>
        <v>Batch 3</v>
      </c>
      <c r="J2674" s="225">
        <f>IFERROR(__xludf.DUMMYFUNCTION("""COMPUTED_VALUE"""),5.0)</f>
        <v>5</v>
      </c>
      <c r="K2674" s="224">
        <f>IFERROR(__xludf.DUMMYFUNCTION("""COMPUTED_VALUE"""),40.0)</f>
        <v>40</v>
      </c>
      <c r="L2674" s="226">
        <f>IFERROR(__xludf.DUMMYFUNCTION("""COMPUTED_VALUE"""),312789.0)</f>
        <v>312789</v>
      </c>
      <c r="M2674" s="227">
        <f>IFERROR(__xludf.DUMMYFUNCTION("""COMPUTED_VALUE"""),1.251156E7)</f>
        <v>12511560</v>
      </c>
      <c r="N2674" s="222" t="str">
        <f>IFERROR(__xludf.DUMMYFUNCTION("""COMPUTED_VALUE"""),"PT ALAM UTAMA MULIA")</f>
        <v>PT ALAM UTAMA MULIA</v>
      </c>
      <c r="O2674" s="222" t="str">
        <f>IFERROR(__xludf.DUMMYFUNCTION("""COMPUTED_VALUE"""),"7. GOLIVE")</f>
        <v>7. GOLIVE</v>
      </c>
      <c r="P2674" s="222" t="str">
        <f>IFERROR(__xludf.DUMMYFUNCTION("""COMPUTED_VALUE"""),"7.2 Golive Full / OA / DONE OTB")</f>
        <v>7.2 Golive Full / OA / DONE OTB</v>
      </c>
      <c r="Q2674" s="222" t="str">
        <f>IFERROR(__xludf.DUMMYFUNCTION("""COMPUTED_VALUE"""),"(18/02) Terminasi odp PLan FI 18/02 (04/02) matdel ke site (29/01) Done aanwijziing  , proses eval")</f>
        <v>(18/02) Terminasi odp PLan FI 18/02 (04/02) matdel ke site (29/01) Done aanwijziing  , proses eval</v>
      </c>
      <c r="R2674" s="228">
        <f>IFERROR(__xludf.DUMMYFUNCTION("""COMPUTED_VALUE"""),46067.0)</f>
        <v>46067</v>
      </c>
      <c r="S2674" s="11"/>
      <c r="T2674" s="11"/>
      <c r="U2674" s="11" t="str">
        <f>IFERROR(__xludf.DUMMYFUNCTION("""COMPUTED_VALUE"""),"TIF-2626/2026 26KT03R158-0034")</f>
        <v>TIF-2626/2026 26KT03R158-0034</v>
      </c>
      <c r="V2674" s="229" t="str">
        <f>IFERROR(__xludf.DUMMYFUNCTION("""COMPUTED_VALUE"""),"PRAMADIO SEPWILMAN")</f>
        <v>PRAMADIO SEPWILMAN</v>
      </c>
      <c r="W2674" s="229" t="str">
        <f>IFERROR(__xludf.DUMMYFUNCTION("""COMPUTED_VALUE"""),"MELKO NARWADI")</f>
        <v>MELKO NARWADI</v>
      </c>
      <c r="X2674" s="229" t="str">
        <f>IFERROR(__xludf.DUMMYFUNCTION("""COMPUTED_VALUE"""),"GOLIVE")</f>
        <v>GOLIVE</v>
      </c>
      <c r="Y2674" s="229" t="str">
        <f>IFERROR(__xludf.DUMMYFUNCTION("""COMPUTED_VALUE"""),"DONE")</f>
        <v>DONE</v>
      </c>
      <c r="Z2674" s="229" t="str">
        <f>IFERROR(__xludf.DUMMYFUNCTION("""COMPUTED_VALUE"""),"#N/A")</f>
        <v>#N/A</v>
      </c>
      <c r="AA2674" s="229">
        <f>IFERROR(__xludf.DUMMYFUNCTION("""COMPUTED_VALUE"""),5.0)</f>
        <v>5</v>
      </c>
      <c r="AB2674" s="229"/>
      <c r="AC2674" s="229" t="str">
        <f>IFERROR(__xludf.DUMMYFUNCTION("""COMPUTED_VALUE"""),"9147325#9147330")</f>
        <v>9147325#9147330</v>
      </c>
      <c r="AD2674" s="232">
        <f>IFERROR(__xludf.DUMMYFUNCTION("""COMPUTED_VALUE"""),40.0)</f>
        <v>40</v>
      </c>
      <c r="AE2674" s="233">
        <f>IFERROR(__xludf.DUMMYFUNCTION("""COMPUTED_VALUE"""),46079.0)</f>
        <v>46079</v>
      </c>
      <c r="AF2674" s="54"/>
      <c r="AG2674" s="54"/>
      <c r="AH2674" s="54">
        <v>46067.0</v>
      </c>
      <c r="AI2674" s="55">
        <f>IF(OR(AH2674="",AE2674=""),"",AH2674-AE2674)</f>
        <v>-12</v>
      </c>
      <c r="AW2674" s="234"/>
      <c r="BP2674" s="11"/>
      <c r="BQ2674" s="11"/>
      <c r="BV2674" s="158"/>
      <c r="BY2674" s="158"/>
      <c r="CB2674" s="158"/>
    </row>
    <row r="2675" ht="18.0" hidden="1" customHeight="1">
      <c r="A2675" s="222">
        <f>IFERROR(__xludf.DUMMYFUNCTION("""COMPUTED_VALUE"""),2026.0)</f>
        <v>2026</v>
      </c>
      <c r="B2675" s="221">
        <f>IFERROR(__xludf.DUMMYFUNCTION("""COMPUTED_VALUE"""),1.2079228E7)</f>
        <v>12079228</v>
      </c>
      <c r="C2675" s="222" t="str">
        <f>IFERROR(__xludf.DUMMYFUNCTION("""COMPUTED_VALUE"""),"SMU ODC-PMS-FBI D02 25013271826")</f>
        <v>SMU ODC-PMS-FBI D02 25013271826</v>
      </c>
      <c r="D2675" s="222" t="str">
        <f>IFERROR(__xludf.DUMMYFUNCTION("""COMPUTED_VALUE"""),"REGIONAL I")</f>
        <v>REGIONAL I</v>
      </c>
      <c r="E2675" s="222" t="str">
        <f>IFERROR(__xludf.DUMMYFUNCTION("""COMPUTED_VALUE"""),"SUMUT")</f>
        <v>SUMUT</v>
      </c>
      <c r="F2675" s="222" t="str">
        <f>IFERROR(__xludf.DUMMYFUNCTION("""COMPUTED_VALUE"""),"PMS")</f>
        <v>PMS</v>
      </c>
      <c r="G2675" s="222" t="str">
        <f>IFERROR(__xludf.DUMMYFUNCTION("""COMPUTED_VALUE"""),"SUMBAGUT")</f>
        <v>SUMBAGUT</v>
      </c>
      <c r="H2675" s="222" t="str">
        <f>IFERROR(__xludf.DUMMYFUNCTION("""COMPUTED_VALUE"""),"PEMATANG SIANTAR")</f>
        <v>PEMATANG SIANTAR</v>
      </c>
      <c r="I2675" s="222" t="str">
        <f>IFERROR(__xludf.DUMMYFUNCTION("""COMPUTED_VALUE"""),"Batch 3")</f>
        <v>Batch 3</v>
      </c>
      <c r="J2675" s="225">
        <f>IFERROR(__xludf.DUMMYFUNCTION("""COMPUTED_VALUE"""),7.0)</f>
        <v>7</v>
      </c>
      <c r="K2675" s="224">
        <f>IFERROR(__xludf.DUMMYFUNCTION("""COMPUTED_VALUE"""),56.0)</f>
        <v>56</v>
      </c>
      <c r="L2675" s="226">
        <f>IFERROR(__xludf.DUMMYFUNCTION("""COMPUTED_VALUE"""),290373.0)</f>
        <v>290373</v>
      </c>
      <c r="M2675" s="227">
        <f>IFERROR(__xludf.DUMMYFUNCTION("""COMPUTED_VALUE"""),1.6260842E7)</f>
        <v>16260842</v>
      </c>
      <c r="N2675" s="222" t="str">
        <f>IFERROR(__xludf.DUMMYFUNCTION("""COMPUTED_VALUE"""),"SWAKELOLA")</f>
        <v>SWAKELOLA</v>
      </c>
      <c r="O2675" s="222" t="str">
        <f>IFERROR(__xludf.DUMMYFUNCTION("""COMPUTED_VALUE"""),"0. DROP")</f>
        <v>0. DROP</v>
      </c>
      <c r="P2675" s="222" t="str">
        <f>IFERROR(__xludf.DUMMYFUNCTION("""COMPUTED_VALUE"""),"0.1 Double Order")</f>
        <v>0.1 Double Order</v>
      </c>
      <c r="Q2675" s="222" t="str">
        <f>IFERROR(__xludf.DUMMYFUNCTION("""COMPUTED_VALUE"""),"sudah golive di 2025")</f>
        <v>sudah golive di 2025</v>
      </c>
      <c r="R2675" s="228"/>
      <c r="S2675" s="11"/>
      <c r="T2675" s="11"/>
      <c r="U2675" s="11" t="str">
        <f>IFERROR(__xludf.DUMMYFUNCTION("""COMPUTED_VALUE"""),"W03-1645/2025")</f>
        <v>W03-1645/2025</v>
      </c>
      <c r="V2675" s="229"/>
      <c r="W2675" s="229"/>
      <c r="X2675" s="229"/>
      <c r="Y2675" s="229" t="str">
        <f>IFERROR(__xludf.DUMMYFUNCTION("""COMPUTED_VALUE"""),"DONE")</f>
        <v>DONE</v>
      </c>
      <c r="Z2675" s="229" t="str">
        <f>IFERROR(__xludf.DUMMYFUNCTION("""COMPUTED_VALUE"""),"#N/A")</f>
        <v>#N/A</v>
      </c>
      <c r="AA2675" s="229"/>
      <c r="AB2675" s="229"/>
      <c r="AC2675" s="229"/>
      <c r="AD2675" s="232"/>
      <c r="AE2675" s="233"/>
      <c r="AF2675" s="54" t="str">
        <f>IFERROR(__xludf.DUMMYFUNCTION("""COMPUTED_VALUE"""),"Draft BA DROP")</f>
        <v>Draft BA DROP</v>
      </c>
      <c r="AG2675" s="54"/>
      <c r="AH2675" s="54"/>
      <c r="AI2675" s="55" t="str">
        <f>IF(OR(R2675="",AE2675=""),"",R2675-AE2675)</f>
        <v/>
      </c>
      <c r="AW2675" s="234"/>
      <c r="BP2675" s="11"/>
      <c r="BQ2675" s="11"/>
      <c r="BV2675" s="158"/>
      <c r="BY2675" s="158"/>
      <c r="CB2675" s="158"/>
    </row>
    <row r="2676" ht="18.0" customHeight="1">
      <c r="A2676" s="222">
        <f>IFERROR(__xludf.DUMMYFUNCTION("""COMPUTED_VALUE"""),2026.0)</f>
        <v>2026</v>
      </c>
      <c r="B2676" s="221">
        <f>IFERROR(__xludf.DUMMYFUNCTION("""COMPUTED_VALUE"""),1.2792159E7)</f>
        <v>12792159</v>
      </c>
      <c r="C2676" s="222" t="str">
        <f>IFERROR(__xludf.DUMMYFUNCTION("""COMPUTED_VALUE"""),"RKP TSEL PT3 LBJ-FCW 250_519_4039")</f>
        <v>RKP TSEL PT3 LBJ-FCW 250_519_4039</v>
      </c>
      <c r="D2676" s="222" t="str">
        <f>IFERROR(__xludf.DUMMYFUNCTION("""COMPUTED_VALUE"""),"REGIONAL I")</f>
        <v>REGIONAL I</v>
      </c>
      <c r="E2676" s="222" t="str">
        <f>IFERROR(__xludf.DUMMYFUNCTION("""COMPUTED_VALUE"""),"RIKEP")</f>
        <v>RIKEP</v>
      </c>
      <c r="F2676" s="222" t="str">
        <f>IFERROR(__xludf.DUMMYFUNCTION("""COMPUTED_VALUE"""),"LBJ")</f>
        <v>LBJ</v>
      </c>
      <c r="G2676" s="222" t="str">
        <f>IFERROR(__xludf.DUMMYFUNCTION("""COMPUTED_VALUE"""),"SUMBAGTENG")</f>
        <v>SUMBAGTENG</v>
      </c>
      <c r="H2676" s="222" t="str">
        <f>IFERROR(__xludf.DUMMYFUNCTION("""COMPUTED_VALUE"""),"BATAM")</f>
        <v>BATAM</v>
      </c>
      <c r="I2676" s="222" t="str">
        <f>IFERROR(__xludf.DUMMYFUNCTION("""COMPUTED_VALUE"""),"Batch 3")</f>
        <v>Batch 3</v>
      </c>
      <c r="J2676" s="225">
        <f>IFERROR(__xludf.DUMMYFUNCTION("""COMPUTED_VALUE"""),3.0)</f>
        <v>3</v>
      </c>
      <c r="K2676" s="224">
        <f>IFERROR(__xludf.DUMMYFUNCTION("""COMPUTED_VALUE"""),24.0)</f>
        <v>24</v>
      </c>
      <c r="L2676" s="226">
        <f>IFERROR(__xludf.DUMMYFUNCTION("""COMPUTED_VALUE"""),286619.0)</f>
        <v>286619</v>
      </c>
      <c r="M2676" s="227">
        <f>IFERROR(__xludf.DUMMYFUNCTION("""COMPUTED_VALUE"""),6878834.0)</f>
        <v>6878834</v>
      </c>
      <c r="N2676" s="222" t="str">
        <f>IFERROR(__xludf.DUMMYFUNCTION("""COMPUTED_VALUE"""),"PT HDUA PUTRA PRAJODA")</f>
        <v>PT HDUA PUTRA PRAJODA</v>
      </c>
      <c r="O2676" s="222" t="str">
        <f>IFERROR(__xludf.DUMMYFUNCTION("""COMPUTED_VALUE"""),"8. UJI TERIMA")</f>
        <v>8. UJI TERIMA</v>
      </c>
      <c r="P2676" s="222" t="str">
        <f>IFERROR(__xludf.DUMMYFUNCTION("""COMPUTED_VALUE"""),"8.3 Penyusunan Foto/ Hasil Ukur menjadi Dokument UT")</f>
        <v>8.3 Penyusunan Foto/ Hasil Ukur menjadi Dokument UT</v>
      </c>
      <c r="Q2676" s="222" t="str">
        <f>IFERROR(__xludf.DUMMYFUNCTION("""COMPUTED_VALUE"""),"09/03 Terminasi hari ini dan FI hari ini.
04/03 izin OK proses pengecekan core, tim masih serial .19/02 Izin OK. 16/02 Plan anwijzing 19 Feb. 11/02 Peralihan mitra. 28/01 Mitra tripola belum ada PIC untuk anwijzing. 23/01 Plan anwijzing 26 Jan, pic mitra "&amp;"ada pertanggal 25 jan. 21/01 proses penunjukan mitra 11/02 Peralihan mitra. 28/01 Mitra tripola belum ada PIC untuk anwijzing. 23/01 Plan anwijzing 26 Jan, pic mitra ada pertanggal 25 jan. 21/01 proses penunjukan mitra ")</f>
        <v>09/03 Terminasi hari ini dan FI hari ini.
04/03 izin OK proses pengecekan core, tim masih serial .19/02 Izin OK. 16/02 Plan anwijzing 19 Feb. 11/02 Peralihan mitra. 28/01 Mitra tripola belum ada PIC untuk anwijzing. 23/01 Plan anwijzing 26 Jan, pic mitra ada pertanggal 25 jan. 21/01 proses penunjukan mitra 11/02 Peralihan mitra. 28/01 Mitra tripola belum ada PIC untuk anwijzing. 23/01 Plan anwijzing 26 Jan, pic mitra ada pertanggal 25 jan. 21/01 proses penunjukan mitra </v>
      </c>
      <c r="R2676" s="228">
        <f>IFERROR(__xludf.DUMMYFUNCTION("""COMPUTED_VALUE"""),46111.0)</f>
        <v>46111</v>
      </c>
      <c r="S2676" s="11" t="str">
        <f>IFERROR(__xludf.DUMMYFUNCTION("""COMPUTED_VALUE"""),"MAR")</f>
        <v>MAR</v>
      </c>
      <c r="T2676" s="11"/>
      <c r="U2676" s="11" t="str">
        <f>IFERROR(__xludf.DUMMYFUNCTION("""COMPUTED_VALUE"""),"W09-241/2026")</f>
        <v>W09-241/2026</v>
      </c>
      <c r="V2676" s="229" t="str">
        <f>IFERROR(__xludf.DUMMYFUNCTION("""COMPUTED_VALUE"""),"RONALDO LEO INFANTRI")</f>
        <v>RONALDO LEO INFANTRI</v>
      </c>
      <c r="W2676" s="229" t="str">
        <f>IFERROR(__xludf.DUMMYFUNCTION("""COMPUTED_VALUE"""),"LEVITA INDRIYANI")</f>
        <v>LEVITA INDRIYANI</v>
      </c>
      <c r="X2676" s="229" t="str">
        <f>IFERROR(__xludf.DUMMYFUNCTION("""COMPUTED_VALUE"""),"GOLIVE")</f>
        <v>GOLIVE</v>
      </c>
      <c r="Y2676" s="229" t="str">
        <f>IFERROR(__xludf.DUMMYFUNCTION("""COMPUTED_VALUE"""),"DONE")</f>
        <v>DONE</v>
      </c>
      <c r="Z2676" s="229" t="str">
        <f>IFERROR(__xludf.DUMMYFUNCTION("""COMPUTED_VALUE"""),"#N/A")</f>
        <v>#N/A</v>
      </c>
      <c r="AA2676" s="229">
        <f>IFERROR(__xludf.DUMMYFUNCTION("""COMPUTED_VALUE"""),3.0)</f>
        <v>3</v>
      </c>
      <c r="AB2676" s="229"/>
      <c r="AC2676" s="229" t="str">
        <f>IFERROR(__xludf.DUMMYFUNCTION("""COMPUTED_VALUE"""),"9196399#9196404")</f>
        <v>9196399#9196404</v>
      </c>
      <c r="AD2676" s="232">
        <f>IFERROR(__xludf.DUMMYFUNCTION("""COMPUTED_VALUE"""),24.0)</f>
        <v>24</v>
      </c>
      <c r="AE2676" s="233">
        <f>IFERROR(__xludf.DUMMYFUNCTION("""COMPUTED_VALUE"""),46092.0)</f>
        <v>46092</v>
      </c>
      <c r="AF2676" s="54"/>
      <c r="AG2676" s="54"/>
      <c r="AH2676" s="54">
        <v>46111.0</v>
      </c>
      <c r="AI2676" s="55">
        <f t="shared" ref="AI2676:AI2677" si="249">IF(OR(AH2676="",AE2676=""),"",AH2676-AE2676)</f>
        <v>19</v>
      </c>
      <c r="AW2676" s="234"/>
      <c r="BP2676" s="11"/>
      <c r="BQ2676" s="11"/>
      <c r="BV2676" s="158"/>
      <c r="BY2676" s="158"/>
      <c r="CB2676" s="158"/>
    </row>
    <row r="2677" ht="18.0" customHeight="1">
      <c r="A2677" s="222">
        <f>IFERROR(__xludf.DUMMYFUNCTION("""COMPUTED_VALUE"""),2026.0)</f>
        <v>2026</v>
      </c>
      <c r="B2677" s="221">
        <f>IFERROR(__xludf.DUMMYFUNCTION("""COMPUTED_VALUE"""),1.2791086E7)</f>
        <v>12791086</v>
      </c>
      <c r="C2677" s="222" t="str">
        <f>IFERROR(__xludf.DUMMYFUNCTION("""COMPUTED_VALUE"""),"RKP TSEL PT3 BUM-FA 250_520_4032")</f>
        <v>RKP TSEL PT3 BUM-FA 250_520_4032</v>
      </c>
      <c r="D2677" s="222" t="str">
        <f>IFERROR(__xludf.DUMMYFUNCTION("""COMPUTED_VALUE"""),"REGIONAL I")</f>
        <v>REGIONAL I</v>
      </c>
      <c r="E2677" s="222" t="str">
        <f>IFERROR(__xludf.DUMMYFUNCTION("""COMPUTED_VALUE"""),"RIKEP")</f>
        <v>RIKEP</v>
      </c>
      <c r="F2677" s="222" t="str">
        <f>IFERROR(__xludf.DUMMYFUNCTION("""COMPUTED_VALUE"""),"BUM")</f>
        <v>BUM</v>
      </c>
      <c r="G2677" s="222" t="str">
        <f>IFERROR(__xludf.DUMMYFUNCTION("""COMPUTED_VALUE"""),"SUMBAGTENG")</f>
        <v>SUMBAGTENG</v>
      </c>
      <c r="H2677" s="222" t="str">
        <f>IFERROR(__xludf.DUMMYFUNCTION("""COMPUTED_VALUE"""),"BATAM")</f>
        <v>BATAM</v>
      </c>
      <c r="I2677" s="222" t="str">
        <f>IFERROR(__xludf.DUMMYFUNCTION("""COMPUTED_VALUE"""),"Batch 3")</f>
        <v>Batch 3</v>
      </c>
      <c r="J2677" s="225">
        <f>IFERROR(__xludf.DUMMYFUNCTION("""COMPUTED_VALUE"""),3.0)</f>
        <v>3</v>
      </c>
      <c r="K2677" s="224">
        <f>IFERROR(__xludf.DUMMYFUNCTION("""COMPUTED_VALUE"""),24.0)</f>
        <v>24</v>
      </c>
      <c r="L2677" s="226">
        <f>IFERROR(__xludf.DUMMYFUNCTION("""COMPUTED_VALUE"""),285568.0)</f>
        <v>285568</v>
      </c>
      <c r="M2677" s="227">
        <f>IFERROR(__xludf.DUMMYFUNCTION("""COMPUTED_VALUE"""),6853631.0)</f>
        <v>6853631</v>
      </c>
      <c r="N2677" s="222" t="str">
        <f>IFERROR(__xludf.DUMMYFUNCTION("""COMPUTED_VALUE"""),"PT KOPEGTEL BATAM CEMERLANG")</f>
        <v>PT KOPEGTEL BATAM CEMERLANG</v>
      </c>
      <c r="O2677" s="222" t="str">
        <f>IFERROR(__xludf.DUMMYFUNCTION("""COMPUTED_VALUE"""),"7. GOLIVE")</f>
        <v>7. GOLIVE</v>
      </c>
      <c r="P2677" s="222" t="str">
        <f>IFERROR(__xludf.DUMMYFUNCTION("""COMPUTED_VALUE"""),"7.2 Golive Full / OA / DONE OTB")</f>
        <v>7.2 Golive Full / OA / DONE OTB</v>
      </c>
      <c r="Q2677" s="222" t="str">
        <f>IFERROR(__xludf.DUMMYFUNCTION("""COMPUTED_VALUE"""),"23/02 Terminasi ODP dan repair Dist. 18/02 Plan FI 19 Feb, ABD tanggal 20 Feb, LOP masih butuh pengecekan core dist yang rusak. 15/02 Progres tarik kabel. 09/02 sudah anwijzing, izin masih menunggu balasan dari RT, BOQ KML survey sudah di berikan. 06/02 A"&amp;"nwijzing OK, proses periznan. 23/01 Plan anwijzing 26 Jan, Order Baru. 22/01 Order baru, proses penunjukan mitra")</f>
        <v>23/02 Terminasi ODP dan repair Dist. 18/02 Plan FI 19 Feb, ABD tanggal 20 Feb, LOP masih butuh pengecekan core dist yang rusak. 15/02 Progres tarik kabel. 09/02 sudah anwijzing, izin masih menunggu balasan dari RT, BOQ KML survey sudah di berikan. 06/02 Anwijzing OK, proses periznan. 23/01 Plan anwijzing 26 Jan, Order Baru. 22/01 Order baru, proses penunjukan mitra</v>
      </c>
      <c r="R2677" s="228">
        <f>IFERROR(__xludf.DUMMYFUNCTION("""COMPUTED_VALUE"""),46081.0)</f>
        <v>46081</v>
      </c>
      <c r="S2677" s="11"/>
      <c r="T2677" s="11"/>
      <c r="U2677" s="11" t="str">
        <f>IFERROR(__xludf.DUMMYFUNCTION("""COMPUTED_VALUE"""),"W09-172/2026")</f>
        <v>W09-172/2026</v>
      </c>
      <c r="V2677" s="229" t="str">
        <f>IFERROR(__xludf.DUMMYFUNCTION("""COMPUTED_VALUE"""),"RONALDO LEO INFANTRI")</f>
        <v>RONALDO LEO INFANTRI</v>
      </c>
      <c r="W2677" s="229" t="str">
        <f>IFERROR(__xludf.DUMMYFUNCTION("""COMPUTED_VALUE"""),"LEVITA INDRIYANI")</f>
        <v>LEVITA INDRIYANI</v>
      </c>
      <c r="X2677" s="229" t="str">
        <f>IFERROR(__xludf.DUMMYFUNCTION("""COMPUTED_VALUE"""),"GOLIVE")</f>
        <v>GOLIVE</v>
      </c>
      <c r="Y2677" s="229" t="str">
        <f>IFERROR(__xludf.DUMMYFUNCTION("""COMPUTED_VALUE"""),"DONE")</f>
        <v>DONE</v>
      </c>
      <c r="Z2677" s="229" t="str">
        <f>IFERROR(__xludf.DUMMYFUNCTION("""COMPUTED_VALUE"""),"#N/A")</f>
        <v>#N/A</v>
      </c>
      <c r="AA2677" s="229">
        <f>IFERROR(__xludf.DUMMYFUNCTION("""COMPUTED_VALUE"""),3.0)</f>
        <v>3</v>
      </c>
      <c r="AB2677" s="229"/>
      <c r="AC2677" s="229" t="str">
        <f>IFERROR(__xludf.DUMMYFUNCTION("""COMPUTED_VALUE"""),"9145398#9145403")</f>
        <v>9145398#9145403</v>
      </c>
      <c r="AD2677" s="232">
        <f>IFERROR(__xludf.DUMMYFUNCTION("""COMPUTED_VALUE"""),24.0)</f>
        <v>24</v>
      </c>
      <c r="AE2677" s="233">
        <f>IFERROR(__xludf.DUMMYFUNCTION("""COMPUTED_VALUE"""),46081.0)</f>
        <v>46081</v>
      </c>
      <c r="AF2677" s="54"/>
      <c r="AG2677" s="54"/>
      <c r="AH2677" s="54">
        <v>46081.0</v>
      </c>
      <c r="AI2677" s="55">
        <f t="shared" si="249"/>
        <v>0</v>
      </c>
      <c r="AW2677" s="234"/>
      <c r="BP2677" s="11"/>
      <c r="BQ2677" s="11"/>
      <c r="BV2677" s="158"/>
      <c r="BY2677" s="158"/>
      <c r="CB2677" s="158"/>
    </row>
    <row r="2678" ht="18.0" hidden="1" customHeight="1">
      <c r="A2678" s="222">
        <f>IFERROR(__xludf.DUMMYFUNCTION("""COMPUTED_VALUE"""),2026.0)</f>
        <v>2026</v>
      </c>
      <c r="B2678" s="221">
        <f>IFERROR(__xludf.DUMMYFUNCTION("""COMPUTED_VALUE"""),1.2631493E7)</f>
        <v>12631493</v>
      </c>
      <c r="C2678" s="222" t="str">
        <f>IFERROR(__xludf.DUMMYFUNCTION("""COMPUTED_VALUE"""),"250_1592_1672")</f>
        <v>250_1592_1672</v>
      </c>
      <c r="D2678" s="222" t="str">
        <f>IFERROR(__xludf.DUMMYFUNCTION("""COMPUTED_VALUE"""),"REGIONAL I")</f>
        <v>REGIONAL I</v>
      </c>
      <c r="E2678" s="222" t="str">
        <f>IFERROR(__xludf.DUMMYFUNCTION("""COMPUTED_VALUE"""),"MEDAN")</f>
        <v>MEDAN</v>
      </c>
      <c r="F2678" s="222" t="str">
        <f>IFERROR(__xludf.DUMMYFUNCTION("""COMPUTED_VALUE"""),"SKI")</f>
        <v>SKI</v>
      </c>
      <c r="G2678" s="222" t="str">
        <f>IFERROR(__xludf.DUMMYFUNCTION("""COMPUTED_VALUE"""),"SUMBAGUT")</f>
        <v>SUMBAGUT</v>
      </c>
      <c r="H2678" s="222" t="str">
        <f>IFERROR(__xludf.DUMMYFUNCTION("""COMPUTED_VALUE"""),"MEDAN")</f>
        <v>MEDAN</v>
      </c>
      <c r="I2678" s="222" t="str">
        <f>IFERROR(__xludf.DUMMYFUNCTION("""COMPUTED_VALUE"""),"Batch 3")</f>
        <v>Batch 3</v>
      </c>
      <c r="J2678" s="225">
        <f>IFERROR(__xludf.DUMMYFUNCTION("""COMPUTED_VALUE"""),6.0)</f>
        <v>6</v>
      </c>
      <c r="K2678" s="224">
        <f>IFERROR(__xludf.DUMMYFUNCTION("""COMPUTED_VALUE"""),48.0)</f>
        <v>48</v>
      </c>
      <c r="L2678" s="226">
        <f>IFERROR(__xludf.DUMMYFUNCTION("""COMPUTED_VALUE"""),282976.0)</f>
        <v>282976</v>
      </c>
      <c r="M2678" s="227">
        <f>IFERROR(__xludf.DUMMYFUNCTION("""COMPUTED_VALUE"""),1.3582823E7)</f>
        <v>13582823</v>
      </c>
      <c r="N2678" s="222" t="str">
        <f>IFERROR(__xludf.DUMMYFUNCTION("""COMPUTED_VALUE"""),"PT DUL JAYA TAMA")</f>
        <v>PT DUL JAYA TAMA</v>
      </c>
      <c r="O2678" s="222" t="str">
        <f>IFERROR(__xludf.DUMMYFUNCTION("""COMPUTED_VALUE"""),"5. INSTALASI")</f>
        <v>5. INSTALASI</v>
      </c>
      <c r="P2678" s="222" t="str">
        <f>IFERROR(__xludf.DUMMYFUNCTION("""COMPUTED_VALUE"""),"5.9 Proses Pemasangan/Terminasi ODP/OTB")</f>
        <v>5.9 Proses Pemasangan/Terminasi ODP/OTB</v>
      </c>
      <c r="Q2678" s="222" t="str">
        <f>IFERROR(__xludf.DUMMYFUNCTION("""COMPUTED_VALUE"""),"22/04 pemasangan ODP &amp; terminasi
20/04 OGP penarikan
10/04 take over ke mitra djt dari mitra mai
28/03 menunggu req material 12/03 menunggu approval boq naik &gt; 10% 10/03 pengurusan izin ke kadus 08/03 alih mitra done order")</f>
        <v>22/04 pemasangan ODP &amp; terminasi
20/04 OGP penarikan
10/04 take over ke mitra djt dari mitra mai
28/03 menunggu req material 12/03 menunggu approval boq naik &gt; 10% 10/03 pengurusan izin ke kadus 08/03 alih mitra done order</v>
      </c>
      <c r="R2678" s="228">
        <f>IFERROR(__xludf.DUMMYFUNCTION("""COMPUTED_VALUE"""),46138.0)</f>
        <v>46138</v>
      </c>
      <c r="S2678" s="11" t="str">
        <f>IFERROR(__xludf.DUMMYFUNCTION("""COMPUTED_VALUE"""),"APR")</f>
        <v>APR</v>
      </c>
      <c r="T2678" s="73"/>
      <c r="U2678" s="11"/>
      <c r="V2678" s="229" t="str">
        <f>IFERROR(__xludf.DUMMYFUNCTION("""COMPUTED_VALUE"""),"16/Apr/2026")</f>
        <v>16/Apr/2026</v>
      </c>
      <c r="W2678" s="229"/>
      <c r="X2678" s="229" t="str">
        <f>IFERROR(__xludf.DUMMYFUNCTION("""COMPUTED_VALUE"""),"BELUM GOLIVE")</f>
        <v>BELUM GOLIVE</v>
      </c>
      <c r="Y2678" s="229"/>
      <c r="Z2678" s="229" t="str">
        <f>IFERROR(__xludf.DUMMYFUNCTION("""COMPUTED_VALUE"""),"#N/A")</f>
        <v>#N/A</v>
      </c>
      <c r="AA2678" s="229"/>
      <c r="AB2678" s="229"/>
      <c r="AC2678" s="229"/>
      <c r="AD2678" s="232"/>
      <c r="AE2678" s="233"/>
      <c r="AF2678" s="54"/>
      <c r="AG2678" s="54"/>
      <c r="AH2678" s="54">
        <v>46133.0</v>
      </c>
      <c r="AI2678" s="55" t="str">
        <f>IF(OR(R2678="",AE2678=""),"",R2678-AE2678)</f>
        <v/>
      </c>
      <c r="AW2678" s="234"/>
      <c r="BP2678" s="11"/>
      <c r="BQ2678" s="11"/>
      <c r="BV2678" s="158"/>
      <c r="BY2678" s="158"/>
      <c r="CB2678" s="158"/>
    </row>
    <row r="2679" ht="18.0" customHeight="1">
      <c r="A2679" s="222">
        <f>IFERROR(__xludf.DUMMYFUNCTION("""COMPUTED_VALUE"""),2026.0)</f>
        <v>2026</v>
      </c>
      <c r="B2679" s="221">
        <f>IFERROR(__xludf.DUMMYFUNCTION("""COMPUTED_VALUE"""),1.2537645E7)</f>
        <v>12537645</v>
      </c>
      <c r="C2679" s="222" t="str">
        <f>IFERROR(__xludf.DUMMYFUNCTION("""COMPUTED_VALUE"""),"RKP TSEL PT2 SLU-FCV 250_451_4028")</f>
        <v>RKP TSEL PT2 SLU-FCV 250_451_4028</v>
      </c>
      <c r="D2679" s="222" t="str">
        <f>IFERROR(__xludf.DUMMYFUNCTION("""COMPUTED_VALUE"""),"REGIONAL I")</f>
        <v>REGIONAL I</v>
      </c>
      <c r="E2679" s="222" t="str">
        <f>IFERROR(__xludf.DUMMYFUNCTION("""COMPUTED_VALUE"""),"RIKEP")</f>
        <v>RIKEP</v>
      </c>
      <c r="F2679" s="222" t="str">
        <f>IFERROR(__xludf.DUMMYFUNCTION("""COMPUTED_VALUE"""),"SLU")</f>
        <v>SLU</v>
      </c>
      <c r="G2679" s="222" t="str">
        <f>IFERROR(__xludf.DUMMYFUNCTION("""COMPUTED_VALUE"""),"SUMBAGTENG")</f>
        <v>SUMBAGTENG</v>
      </c>
      <c r="H2679" s="222" t="str">
        <f>IFERROR(__xludf.DUMMYFUNCTION("""COMPUTED_VALUE"""),"BATAM")</f>
        <v>BATAM</v>
      </c>
      <c r="I2679" s="222" t="str">
        <f>IFERROR(__xludf.DUMMYFUNCTION("""COMPUTED_VALUE"""),"Batch 3")</f>
        <v>Batch 3</v>
      </c>
      <c r="J2679" s="225">
        <f>IFERROR(__xludf.DUMMYFUNCTION("""COMPUTED_VALUE"""),1.0)</f>
        <v>1</v>
      </c>
      <c r="K2679" s="224">
        <f>IFERROR(__xludf.DUMMYFUNCTION("""COMPUTED_VALUE"""),8.0)</f>
        <v>8</v>
      </c>
      <c r="L2679" s="226">
        <f>IFERROR(__xludf.DUMMYFUNCTION("""COMPUTED_VALUE"""),279216.0)</f>
        <v>279216</v>
      </c>
      <c r="M2679" s="227">
        <f>IFERROR(__xludf.DUMMYFUNCTION("""COMPUTED_VALUE"""),2233727.0)</f>
        <v>2233727</v>
      </c>
      <c r="N2679" s="222" t="str">
        <f>IFERROR(__xludf.DUMMYFUNCTION("""COMPUTED_VALUE"""),"PT MITRA HOSINDO SEJAHTERA")</f>
        <v>PT MITRA HOSINDO SEJAHTERA</v>
      </c>
      <c r="O2679" s="222" t="str">
        <f>IFERROR(__xludf.DUMMYFUNCTION("""COMPUTED_VALUE"""),"7. GOLIVE")</f>
        <v>7. GOLIVE</v>
      </c>
      <c r="P2679" s="222" t="str">
        <f>IFERROR(__xludf.DUMMYFUNCTION("""COMPUTED_VALUE"""),"7.2 Golive Full / OA / DONE OTB")</f>
        <v>7.2 Golive Full / OA / DONE OTB</v>
      </c>
      <c r="Q2679" s="222" t="str">
        <f>IFERROR(__xludf.DUMMYFUNCTION("""COMPUTED_VALUE"""),"16/03 PT2S done, proses ABD. 09/03 Plan progres 11 mar. 05/03 Done req, MP serial. 16/02 Progres Req Material. 13/02 Anwijzing OK, izin belum di beri kepastian. 12/02 Plan anwijzing besok 13 Feb. 09/02 Plan anwijzing 11 Feb 2026. 29/01 Plan survey 30 Jan."&amp;" 23/01 Plan anwijzing 26 Jan, Order Baru. 22/01 Order baru, proses penunjukan mitra")</f>
        <v>16/03 PT2S done, proses ABD. 09/03 Plan progres 11 mar. 05/03 Done req, MP serial. 16/02 Progres Req Material. 13/02 Anwijzing OK, izin belum di beri kepastian. 12/02 Plan anwijzing besok 13 Feb. 09/02 Plan anwijzing 11 Feb 2026. 29/01 Plan survey 30 Jan. 23/01 Plan anwijzing 26 Jan, Order Baru. 22/01 Order baru, proses penunjukan mitra</v>
      </c>
      <c r="R2679" s="228">
        <f>IFERROR(__xludf.DUMMYFUNCTION("""COMPUTED_VALUE"""),46094.0)</f>
        <v>46094</v>
      </c>
      <c r="S2679" s="11" t="str">
        <f>IFERROR(__xludf.DUMMYFUNCTION("""COMPUTED_VALUE"""),"MAR")</f>
        <v>MAR</v>
      </c>
      <c r="T2679" s="11"/>
      <c r="U2679" s="11" t="str">
        <f>IFERROR(__xludf.DUMMYFUNCTION("""COMPUTED_VALUE"""),"W09-168/2026")</f>
        <v>W09-168/2026</v>
      </c>
      <c r="V2679" s="229" t="str">
        <f>IFERROR(__xludf.DUMMYFUNCTION("""COMPUTED_VALUE"""),"MUHAMMAD RIDHO FALFO")</f>
        <v>MUHAMMAD RIDHO FALFO</v>
      </c>
      <c r="W2679" s="229"/>
      <c r="X2679" s="229" t="str">
        <f>IFERROR(__xludf.DUMMYFUNCTION("""COMPUTED_VALUE"""),"GOLIVE")</f>
        <v>GOLIVE</v>
      </c>
      <c r="Y2679" s="229" t="str">
        <f>IFERROR(__xludf.DUMMYFUNCTION("""COMPUTED_VALUE"""),"DONE")</f>
        <v>DONE</v>
      </c>
      <c r="Z2679" s="229" t="str">
        <f>IFERROR(__xludf.DUMMYFUNCTION("""COMPUTED_VALUE"""),"#N/A")</f>
        <v>#N/A</v>
      </c>
      <c r="AA2679" s="229">
        <f>IFERROR(__xludf.DUMMYFUNCTION("""COMPUTED_VALUE"""),1.0)</f>
        <v>1</v>
      </c>
      <c r="AB2679" s="229"/>
      <c r="AC2679" s="229" t="str">
        <f>IFERROR(__xludf.DUMMYFUNCTION("""COMPUTED_VALUE"""),"9146139#9146144")</f>
        <v>9146139#9146144</v>
      </c>
      <c r="AD2679" s="232">
        <f>IFERROR(__xludf.DUMMYFUNCTION("""COMPUTED_VALUE"""),8.0)</f>
        <v>8</v>
      </c>
      <c r="AE2679" s="233">
        <f>IFERROR(__xludf.DUMMYFUNCTION("""COMPUTED_VALUE"""),46107.0)</f>
        <v>46107</v>
      </c>
      <c r="AF2679" s="54"/>
      <c r="AG2679" s="54"/>
      <c r="AH2679" s="54">
        <v>46094.0</v>
      </c>
      <c r="AI2679" s="55">
        <f>IF(OR(AH2679="",AE2679=""),"",AH2679-AE2679)</f>
        <v>-13</v>
      </c>
      <c r="AW2679" s="234"/>
      <c r="BP2679" s="11"/>
      <c r="BQ2679" s="11"/>
      <c r="BV2679" s="158"/>
      <c r="BY2679" s="158"/>
      <c r="CB2679" s="158"/>
    </row>
    <row r="2680" ht="18.0" customHeight="1">
      <c r="A2680" s="222">
        <f>IFERROR(__xludf.DUMMYFUNCTION("""COMPUTED_VALUE"""),2026.0)</f>
        <v>2026</v>
      </c>
      <c r="B2680" s="221">
        <f>IFERROR(__xludf.DUMMYFUNCTION("""COMPUTED_VALUE"""),1.258755E7)</f>
        <v>12587550</v>
      </c>
      <c r="C2680" s="222" t="str">
        <f>IFERROR(__xludf.DUMMYFUNCTION("""COMPUTED_VALUE"""),"SMB PT3-LBY-FC KOTA PADANG_81081")</f>
        <v>SMB PT3-LBY-FC KOTA PADANG_81081</v>
      </c>
      <c r="D2680" s="222" t="str">
        <f>IFERROR(__xludf.DUMMYFUNCTION("""COMPUTED_VALUE"""),"REGIONAL I")</f>
        <v>REGIONAL I</v>
      </c>
      <c r="E2680" s="222" t="str">
        <f>IFERROR(__xludf.DUMMYFUNCTION("""COMPUTED_VALUE"""),"SUMBAR")</f>
        <v>SUMBAR</v>
      </c>
      <c r="F2680" s="222" t="str">
        <f>IFERROR(__xludf.DUMMYFUNCTION("""COMPUTED_VALUE"""),"LBY")</f>
        <v>LBY</v>
      </c>
      <c r="G2680" s="222" t="str">
        <f>IFERROR(__xludf.DUMMYFUNCTION("""COMPUTED_VALUE"""),"SUMBAGTENG")</f>
        <v>SUMBAGTENG</v>
      </c>
      <c r="H2680" s="222" t="str">
        <f>IFERROR(__xludf.DUMMYFUNCTION("""COMPUTED_VALUE"""),"PADANG")</f>
        <v>PADANG</v>
      </c>
      <c r="I2680" s="222" t="str">
        <f>IFERROR(__xludf.DUMMYFUNCTION("""COMPUTED_VALUE"""),"Batch 3")</f>
        <v>Batch 3</v>
      </c>
      <c r="J2680" s="225">
        <f>IFERROR(__xludf.DUMMYFUNCTION("""COMPUTED_VALUE"""),2.0)</f>
        <v>2</v>
      </c>
      <c r="K2680" s="224">
        <f>IFERROR(__xludf.DUMMYFUNCTION("""COMPUTED_VALUE"""),16.0)</f>
        <v>16</v>
      </c>
      <c r="L2680" s="226">
        <f>IFERROR(__xludf.DUMMYFUNCTION("""COMPUTED_VALUE"""),268862.0)</f>
        <v>268862</v>
      </c>
      <c r="M2680" s="227">
        <f>IFERROR(__xludf.DUMMYFUNCTION("""COMPUTED_VALUE"""),4301789.0)</f>
        <v>4301789</v>
      </c>
      <c r="N2680" s="222" t="str">
        <f>IFERROR(__xludf.DUMMYFUNCTION("""COMPUTED_VALUE"""),"PT TRI PENAMAS")</f>
        <v>PT TRI PENAMAS</v>
      </c>
      <c r="O2680" s="222" t="str">
        <f>IFERROR(__xludf.DUMMYFUNCTION("""COMPUTED_VALUE"""),"0. DROP")</f>
        <v>0. DROP</v>
      </c>
      <c r="P2680" s="222" t="str">
        <f>IFERROR(__xludf.DUMMYFUNCTION("""COMPUTED_VALUE"""),"0.3 Feeder Full")</f>
        <v>0.3 Feeder Full</v>
      </c>
      <c r="Q2680" s="222" t="str">
        <f>IFERROR(__xludf.DUMMYFUNCTION("""COMPUTED_VALUE"""),"(30/01) Kendala feeder LBY-FC FULL")</f>
        <v>(30/01) Kendala feeder LBY-FC FULL</v>
      </c>
      <c r="R2680" s="228"/>
      <c r="S2680" s="11"/>
      <c r="T2680" s="11"/>
      <c r="U2680" s="11"/>
      <c r="V2680" s="229" t="str">
        <f>IFERROR(__xludf.DUMMYFUNCTION("""COMPUTED_VALUE"""),"FABIO RAHMAN")</f>
        <v>FABIO RAHMAN</v>
      </c>
      <c r="W2680" s="229" t="str">
        <f>IFERROR(__xludf.DUMMYFUNCTION("""COMPUTED_VALUE"""),"MELKO NARWADI")</f>
        <v>MELKO NARWADI</v>
      </c>
      <c r="X2680" s="229"/>
      <c r="Y2680" s="229"/>
      <c r="Z2680" s="229" t="str">
        <f>IFERROR(__xludf.DUMMYFUNCTION("""COMPUTED_VALUE"""),"#N/A")</f>
        <v>#N/A</v>
      </c>
      <c r="AA2680" s="229"/>
      <c r="AB2680" s="229"/>
      <c r="AC2680" s="229"/>
      <c r="AD2680" s="232"/>
      <c r="AE2680" s="233"/>
      <c r="AF2680" s="54" t="str">
        <f>IFERROR(__xludf.DUMMYFUNCTION("""COMPUTED_VALUE"""),"Draft BA DROP")</f>
        <v>Draft BA DROP</v>
      </c>
      <c r="AG2680" s="54"/>
      <c r="AH2680" s="54"/>
      <c r="AI2680" s="55" t="str">
        <f t="shared" ref="AI2680:AI2692" si="250">IF(OR(R2680="",AE2680=""),"",R2680-AE2680)</f>
        <v/>
      </c>
      <c r="AW2680" s="234"/>
      <c r="BP2680" s="11"/>
      <c r="BQ2680" s="11"/>
      <c r="BV2680" s="158"/>
      <c r="BY2680" s="158"/>
      <c r="CB2680" s="158"/>
    </row>
    <row r="2681" ht="18.0" hidden="1" customHeight="1">
      <c r="A2681" s="222">
        <f>IFERROR(__xludf.DUMMYFUNCTION("""COMPUTED_VALUE"""),2026.0)</f>
        <v>2026</v>
      </c>
      <c r="B2681" s="221">
        <f>IFERROR(__xludf.DUMMYFUNCTION("""COMPUTED_VALUE"""),1.1327039E7)</f>
        <v>11327039</v>
      </c>
      <c r="C2681" s="222" t="str">
        <f>IFERROR(__xludf.DUMMYFUNCTION("""COMPUTED_VALUE"""),"LPG PT3 JPP WAY ARENG LAMTIM LAM")</f>
        <v>LPG PT3 JPP WAY ARENG LAMTIM LAM</v>
      </c>
      <c r="D2681" s="222" t="str">
        <f>IFERROR(__xludf.DUMMYFUNCTION("""COMPUTED_VALUE"""),"REGIONAL I")</f>
        <v>REGIONAL I</v>
      </c>
      <c r="E2681" s="222" t="str">
        <f>IFERROR(__xludf.DUMMYFUNCTION("""COMPUTED_VALUE"""),"LAMPUNG")</f>
        <v>LAMPUNG</v>
      </c>
      <c r="F2681" s="222" t="str">
        <f>IFERROR(__xludf.DUMMYFUNCTION("""COMPUTED_VALUE"""),"LAM")</f>
        <v>LAM</v>
      </c>
      <c r="G2681" s="222" t="str">
        <f>IFERROR(__xludf.DUMMYFUNCTION("""COMPUTED_VALUE"""),"SUMBAGSEL")</f>
        <v>SUMBAGSEL</v>
      </c>
      <c r="H2681" s="222" t="str">
        <f>IFERROR(__xludf.DUMMYFUNCTION("""COMPUTED_VALUE"""),"LAMPUNG")</f>
        <v>LAMPUNG</v>
      </c>
      <c r="I2681" s="222" t="str">
        <f>IFERROR(__xludf.DUMMYFUNCTION("""COMPUTED_VALUE"""),"Batch 3")</f>
        <v>Batch 3</v>
      </c>
      <c r="J2681" s="225">
        <f>IFERROR(__xludf.DUMMYFUNCTION("""COMPUTED_VALUE"""),18.0)</f>
        <v>18</v>
      </c>
      <c r="K2681" s="224">
        <f>IFERROR(__xludf.DUMMYFUNCTION("""COMPUTED_VALUE"""),144.0)</f>
        <v>144</v>
      </c>
      <c r="L2681" s="226">
        <f>IFERROR(__xludf.DUMMYFUNCTION("""COMPUTED_VALUE"""),1987012.0)</f>
        <v>1987012</v>
      </c>
      <c r="M2681" s="227">
        <f>IFERROR(__xludf.DUMMYFUNCTION("""COMPUTED_VALUE"""),2.86129708E8)</f>
        <v>286129708</v>
      </c>
      <c r="N2681" s="222" t="str">
        <f>IFERROR(__xludf.DUMMYFUNCTION("""COMPUTED_VALUE"""),"PT FAJAR MITRA KRIDA ABADI")</f>
        <v>PT FAJAR MITRA KRIDA ABADI</v>
      </c>
      <c r="O2681" s="222" t="str">
        <f>IFERROR(__xludf.DUMMYFUNCTION("""COMPUTED_VALUE"""),"5. INSTALASI")</f>
        <v>5. INSTALASI</v>
      </c>
      <c r="P2681" s="222" t="str">
        <f>IFERROR(__xludf.DUMMYFUNCTION("""COMPUTED_VALUE"""),"5.11 Jumper menunggu CO / Upgrade ODC")</f>
        <v>5.11 Jumper menunggu CO / Upgrade ODC</v>
      </c>
      <c r="Q2681" s="222" t="str">
        <f>IFERROR(__xludf.DUMMYFUNCTION("""COMPUTED_VALUE"""),"22/4 finish co cra crq 17/4 progres validasi ftm to odc cra crq yang baru, 13/4 Proses Validasi dari ODC ke FTM estimas CO di tgl 17 April 2/4 sedang menunggu jadwal co 15/4 
25/3 Validasi CO ODC  13/3 plan FI 14,3 lanjut menunggu plan CO dengan tif,, 9/3"&amp;" proses pembanguan odc new lam fb ,,
2/3 pROGRES PENARIKAN KABEL PALN FI 5/3 MENUNGGU JADWAL CO 
25/2 PROGRES PENARIKAN KABEL, PLAN FI 5/3
23/2 Instalasi tanam tiang, plan fi 5/3
18/2 LOP  PT3 menjadi PT4, CPP nilainya 2,0. karena melewati 5 kelurahan  ni"&amp;"lai  comecase naik. n menunggu Konfirmasi 11/2 menunggu update sitac, plan 16/2 sudah ada info 6/2  6/2 plan matdel ,ambil material 15 /2 plan fi 24/2 
4/2 stok material kosong ,estimasi tiba 07/2 
2/2 menunggu co odc
29/1 plan anwizing  
23/1 plan anwizi"&amp;"ng tanggal 26/1")</f>
        <v>22/4 finish co cra crq 17/4 progres validasi ftm to odc cra crq yang baru, 13/4 Proses Validasi dari ODC ke FTM estimas CO di tgl 17 April 2/4 sedang menunggu jadwal co 15/4 
25/3 Validasi CO ODC  13/3 plan FI 14,3 lanjut menunggu plan CO dengan tif,, 9/3 proses pembanguan odc new lam fb ,,
2/3 pROGRES PENARIKAN KABEL PALN FI 5/3 MENUNGGU JADWAL CO 
25/2 PROGRES PENARIKAN KABEL, PLAN FI 5/3
23/2 Instalasi tanam tiang, plan fi 5/3
18/2 LOP  PT3 menjadi PT4, CPP nilainya 2,0. karena melewati 5 kelurahan  nilai  comecase naik. n menunggu Konfirmasi 11/2 menunggu update sitac, plan 16/2 sudah ada info 6/2  6/2 plan matdel ,ambil material 15 /2 plan fi 24/2 
4/2 stok material kosong ,estimasi tiba 07/2 
2/2 menunggu co odc
29/1 plan anwizing  
23/1 plan anwizing tanggal 26/1</v>
      </c>
      <c r="R2681" s="228">
        <f>IFERROR(__xludf.DUMMYFUNCTION("""COMPUTED_VALUE"""),46142.0)</f>
        <v>46142</v>
      </c>
      <c r="S2681" s="11"/>
      <c r="T2681" s="73" t="str">
        <f>IFERROR(__xludf.DUMMYFUNCTION("""COMPUTED_VALUE"""),"P1")</f>
        <v>P1</v>
      </c>
      <c r="U2681" s="11" t="str">
        <f>IFERROR(__xludf.DUMMYFUNCTION("""COMPUTED_VALUE"""),"W02-210/2025")</f>
        <v>W02-210/2025</v>
      </c>
      <c r="V2681" s="229"/>
      <c r="W2681" s="229"/>
      <c r="X2681" s="229"/>
      <c r="Y2681" s="229"/>
      <c r="Z2681" s="229" t="str">
        <f>IFERROR(__xludf.DUMMYFUNCTION("""COMPUTED_VALUE"""),"#N/A")</f>
        <v>#N/A</v>
      </c>
      <c r="AA2681" s="229"/>
      <c r="AB2681" s="229"/>
      <c r="AC2681" s="229"/>
      <c r="AD2681" s="232"/>
      <c r="AE2681" s="233"/>
      <c r="AF2681" s="54"/>
      <c r="AG2681" s="54"/>
      <c r="AH2681" s="54">
        <v>46130.0</v>
      </c>
      <c r="AI2681" s="55" t="str">
        <f t="shared" si="250"/>
        <v/>
      </c>
      <c r="AW2681" s="234"/>
      <c r="BP2681" s="11"/>
      <c r="BQ2681" s="11"/>
      <c r="BV2681" s="158"/>
      <c r="BY2681" s="158"/>
      <c r="CB2681" s="158"/>
    </row>
    <row r="2682" ht="18.0" hidden="1" customHeight="1">
      <c r="A2682" s="222">
        <f>IFERROR(__xludf.DUMMYFUNCTION("""COMPUTED_VALUE"""),2026.0)</f>
        <v>2026</v>
      </c>
      <c r="B2682" s="221">
        <f>IFERROR(__xludf.DUMMYFUNCTION("""COMPUTED_VALUE"""),1.2108702E7)</f>
        <v>12108702</v>
      </c>
      <c r="C2682" s="222" t="str">
        <f>IFERROR(__xludf.DUMMYFUNCTION("""COMPUTED_VALUE"""),"LPG PT3 JPP JL KOGUB HUTAN KDT")</f>
        <v>LPG PT3 JPP JL KOGUB HUTAN KDT</v>
      </c>
      <c r="D2682" s="222" t="str">
        <f>IFERROR(__xludf.DUMMYFUNCTION("""COMPUTED_VALUE"""),"REGIONAL I")</f>
        <v>REGIONAL I</v>
      </c>
      <c r="E2682" s="222" t="str">
        <f>IFERROR(__xludf.DUMMYFUNCTION("""COMPUTED_VALUE"""),"LAMPUNG")</f>
        <v>LAMPUNG</v>
      </c>
      <c r="F2682" s="222" t="str">
        <f>IFERROR(__xludf.DUMMYFUNCTION("""COMPUTED_VALUE"""),"KDT")</f>
        <v>KDT</v>
      </c>
      <c r="G2682" s="222" t="str">
        <f>IFERROR(__xludf.DUMMYFUNCTION("""COMPUTED_VALUE"""),"SUMBAGSEL")</f>
        <v>SUMBAGSEL</v>
      </c>
      <c r="H2682" s="222" t="str">
        <f>IFERROR(__xludf.DUMMYFUNCTION("""COMPUTED_VALUE"""),"LAMPUNG")</f>
        <v>LAMPUNG</v>
      </c>
      <c r="I2682" s="222" t="str">
        <f>IFERROR(__xludf.DUMMYFUNCTION("""COMPUTED_VALUE"""),"Batch 3")</f>
        <v>Batch 3</v>
      </c>
      <c r="J2682" s="225">
        <f>IFERROR(__xludf.DUMMYFUNCTION("""COMPUTED_VALUE"""),18.0)</f>
        <v>18</v>
      </c>
      <c r="K2682" s="224">
        <f>IFERROR(__xludf.DUMMYFUNCTION("""COMPUTED_VALUE"""),144.0)</f>
        <v>144</v>
      </c>
      <c r="L2682" s="226">
        <f>IFERROR(__xludf.DUMMYFUNCTION("""COMPUTED_VALUE"""),1868654.0)</f>
        <v>1868654</v>
      </c>
      <c r="M2682" s="227">
        <f>IFERROR(__xludf.DUMMYFUNCTION("""COMPUTED_VALUE"""),2.69086154E8)</f>
        <v>269086154</v>
      </c>
      <c r="N2682" s="222" t="str">
        <f>IFERROR(__xludf.DUMMYFUNCTION("""COMPUTED_VALUE"""),"PT BANGTELINDO")</f>
        <v>PT BANGTELINDO</v>
      </c>
      <c r="O2682" s="222" t="str">
        <f>IFERROR(__xludf.DUMMYFUNCTION("""COMPUTED_VALUE"""),"0. DROP")</f>
        <v>0. DROP</v>
      </c>
      <c r="P2682" s="222" t="str">
        <f>IFERROR(__xludf.DUMMYFUNCTION("""COMPUTED_VALUE"""),"0.2 Tidak Dapat Izin Warga/Kades/Lurah/Developer")</f>
        <v>0.2 Tidak Dapat Izin Warga/Kades/Lurah/Developer</v>
      </c>
      <c r="Q2682" s="222" t="str">
        <f>IFERROR(__xludf.DUMMYFUNCTION("""COMPUTED_VALUE"""),"17/4 tidak dapt izin dari lurah dan warga,, 15/4 tidak dapat izin dari lurah &amp; warga, 13/04 Lokasi Butuh izin PERKIM, Proses perizinan Kelurahan 08/04 Perizinan Done Hari ini lanjut PR PO 2/4 perizinan ke lurah belum bisa ditemui 
25/3  perizinan ke lurah"&amp;" belum bisa ditemui 13/3  perizinan ke lurah belum bisa ditemuai
2/3perizinan ke lurah belum bisa ditemuai
27/2 perizinan ke lurah belum bisa ditemuai, 20/2 proses pengecekan core dan perizinan, 8/2 menunggu info dari lurah - karena daerah Redzone 6/2 pla"&amp;"n matdel ,estimasi ambil material 10/2 ,plan fi 15/2 
4/2 lagi diskusi perizinan 
28/1 on progres prizinan 05/2 
23/1 plan anwizing tanggal 26/11")</f>
        <v>17/4 tidak dapt izin dari lurah dan warga,, 15/4 tidak dapat izin dari lurah &amp; warga, 13/04 Lokasi Butuh izin PERKIM, Proses perizinan Kelurahan 08/04 Perizinan Done Hari ini lanjut PR PO 2/4 perizinan ke lurah belum bisa ditemui 
25/3  perizinan ke lurah belum bisa ditemui 13/3  perizinan ke lurah belum bisa ditemuai
2/3perizinan ke lurah belum bisa ditemuai
27/2 perizinan ke lurah belum bisa ditemuai, 20/2 proses pengecekan core dan perizinan, 8/2 menunggu info dari lurah - karena daerah Redzone 6/2 plan matdel ,estimasi ambil material 10/2 ,plan fi 15/2 
4/2 lagi diskusi perizinan 
28/1 on progres prizinan 05/2 
23/1 plan anwizing tanggal 26/11</v>
      </c>
      <c r="R2682" s="228"/>
      <c r="S2682" s="11"/>
      <c r="T2682" s="11" t="str">
        <f>IFERROR(__xludf.DUMMYFUNCTION("""COMPUTED_VALUE"""),"P1")</f>
        <v>P1</v>
      </c>
      <c r="U2682" s="11"/>
      <c r="V2682" s="229"/>
      <c r="W2682" s="229"/>
      <c r="X2682" s="229"/>
      <c r="Y2682" s="229"/>
      <c r="Z2682" s="229" t="str">
        <f>IFERROR(__xludf.DUMMYFUNCTION("""COMPUTED_VALUE"""),"#N/A")</f>
        <v>#N/A</v>
      </c>
      <c r="AA2682" s="229"/>
      <c r="AB2682" s="229"/>
      <c r="AC2682" s="229"/>
      <c r="AD2682" s="232"/>
      <c r="AE2682" s="233"/>
      <c r="AF2682" s="54"/>
      <c r="AG2682" s="54"/>
      <c r="AH2682" s="54"/>
      <c r="AI2682" s="55" t="str">
        <f t="shared" si="250"/>
        <v/>
      </c>
      <c r="AW2682" s="234"/>
      <c r="BP2682" s="11"/>
      <c r="BQ2682" s="11"/>
      <c r="BV2682" s="158"/>
      <c r="BY2682" s="158"/>
      <c r="CB2682" s="158"/>
    </row>
    <row r="2683" ht="18.0" customHeight="1">
      <c r="A2683" s="222">
        <f>IFERROR(__xludf.DUMMYFUNCTION("""COMPUTED_VALUE"""),2026.0)</f>
        <v>2026</v>
      </c>
      <c r="B2683" s="221">
        <f>IFERROR(__xludf.DUMMYFUNCTION("""COMPUTED_VALUE"""),1.2860359E7)</f>
        <v>12860359</v>
      </c>
      <c r="C2683" s="222" t="str">
        <f>IFERROR(__xludf.DUMMYFUNCTION("""COMPUTED_VALUE"""),"SMB-PT3-ODC-LIN-FB-250_177_2568")</f>
        <v>SMB-PT3-ODC-LIN-FB-250_177_2568</v>
      </c>
      <c r="D2683" s="222" t="str">
        <f>IFERROR(__xludf.DUMMYFUNCTION("""COMPUTED_VALUE"""),"REGIONAL I")</f>
        <v>REGIONAL I</v>
      </c>
      <c r="E2683" s="222" t="str">
        <f>IFERROR(__xludf.DUMMYFUNCTION("""COMPUTED_VALUE"""),"SUMBAR")</f>
        <v>SUMBAR</v>
      </c>
      <c r="F2683" s="222" t="str">
        <f>IFERROR(__xludf.DUMMYFUNCTION("""COMPUTED_VALUE"""),"LIN")</f>
        <v>LIN</v>
      </c>
      <c r="G2683" s="222" t="str">
        <f>IFERROR(__xludf.DUMMYFUNCTION("""COMPUTED_VALUE"""),"SUMBAGTENG")</f>
        <v>SUMBAGTENG</v>
      </c>
      <c r="H2683" s="222" t="str">
        <f>IFERROR(__xludf.DUMMYFUNCTION("""COMPUTED_VALUE"""),"BUKIT TINGGI")</f>
        <v>BUKIT TINGGI</v>
      </c>
      <c r="I2683" s="222" t="str">
        <f>IFERROR(__xludf.DUMMYFUNCTION("""COMPUTED_VALUE"""),"Batch 3")</f>
        <v>Batch 3</v>
      </c>
      <c r="J2683" s="225">
        <f>IFERROR(__xludf.DUMMYFUNCTION("""COMPUTED_VALUE"""),3.0)</f>
        <v>3</v>
      </c>
      <c r="K2683" s="224">
        <f>IFERROR(__xludf.DUMMYFUNCTION("""COMPUTED_VALUE"""),24.0)</f>
        <v>24</v>
      </c>
      <c r="L2683" s="226">
        <f>IFERROR(__xludf.DUMMYFUNCTION("""COMPUTED_VALUE"""),266068.0)</f>
        <v>266068</v>
      </c>
      <c r="M2683" s="227">
        <f>IFERROR(__xludf.DUMMYFUNCTION("""COMPUTED_VALUE"""),6385624.0)</f>
        <v>6385624</v>
      </c>
      <c r="N2683" s="222" t="str">
        <f>IFERROR(__xludf.DUMMYFUNCTION("""COMPUTED_VALUE"""),"PT TSUIKA BERKAH RAYA")</f>
        <v>PT TSUIKA BERKAH RAYA</v>
      </c>
      <c r="O2683" s="222" t="str">
        <f>IFERROR(__xludf.DUMMYFUNCTION("""COMPUTED_VALUE"""),"8. UJI TERIMA")</f>
        <v>8. UJI TERIMA</v>
      </c>
      <c r="P2683" s="222" t="str">
        <f>IFERROR(__xludf.DUMMYFUNCTION("""COMPUTED_VALUE"""),"8.1 Proses UT")</f>
        <v>8.1 Proses UT</v>
      </c>
      <c r="Q2683" s="222" t="str">
        <f>IFERROR(__xludf.DUMMYFUNCTION("""COMPUTED_VALUE"""),"(02/03) ABD OGP submit ke sdi  (18/02) material on site PLAN FI 23/02 (03/02) Proses create PID (29/01) Done aanwijziing  , proses eval")</f>
        <v>(02/03) ABD OGP submit ke sdi  (18/02) material on site PLAN FI 23/02 (03/02) Proses create PID (29/01) Done aanwijziing  , proses eval</v>
      </c>
      <c r="R2683" s="228">
        <f>IFERROR(__xludf.DUMMYFUNCTION("""COMPUTED_VALUE"""),46084.0)</f>
        <v>46084</v>
      </c>
      <c r="S2683" s="11" t="str">
        <f>IFERROR(__xludf.DUMMYFUNCTION("""COMPUTED_VALUE"""),"MAR")</f>
        <v>MAR</v>
      </c>
      <c r="T2683" s="11"/>
      <c r="U2683" s="11" t="str">
        <f>IFERROR(__xludf.DUMMYFUNCTION("""COMPUTED_VALUE"""),"TIF-3543/2026 26KT03R107-0010")</f>
        <v>TIF-3543/2026 26KT03R107-0010</v>
      </c>
      <c r="V2683" s="229" t="str">
        <f>IFERROR(__xludf.DUMMYFUNCTION("""COMPUTED_VALUE"""),"M. ARIF HAMADI")</f>
        <v>M. ARIF HAMADI</v>
      </c>
      <c r="W2683" s="229" t="str">
        <f>IFERROR(__xludf.DUMMYFUNCTION("""COMPUTED_VALUE"""),"MELKO NARWADI")</f>
        <v>MELKO NARWADI</v>
      </c>
      <c r="X2683" s="229" t="str">
        <f>IFERROR(__xludf.DUMMYFUNCTION("""COMPUTED_VALUE"""),"GOLIVE")</f>
        <v>GOLIVE</v>
      </c>
      <c r="Y2683" s="229" t="str">
        <f>IFERROR(__xludf.DUMMYFUNCTION("""COMPUTED_VALUE"""),"DONE")</f>
        <v>DONE</v>
      </c>
      <c r="Z2683" s="229" t="str">
        <f>IFERROR(__xludf.DUMMYFUNCTION("""COMPUTED_VALUE"""),"#N/A")</f>
        <v>#N/A</v>
      </c>
      <c r="AA2683" s="229">
        <f>IFERROR(__xludf.DUMMYFUNCTION("""COMPUTED_VALUE"""),2.0)</f>
        <v>2</v>
      </c>
      <c r="AB2683" s="229"/>
      <c r="AC2683" s="229" t="str">
        <f>IFERROR(__xludf.DUMMYFUNCTION("""COMPUTED_VALUE"""),"9169848#9169853")</f>
        <v>9169848#9169853</v>
      </c>
      <c r="AD2683" s="232">
        <f>IFERROR(__xludf.DUMMYFUNCTION("""COMPUTED_VALUE"""),16.0)</f>
        <v>16</v>
      </c>
      <c r="AE2683" s="233">
        <f>IFERROR(__xludf.DUMMYFUNCTION("""COMPUTED_VALUE"""),46085.0)</f>
        <v>46085</v>
      </c>
      <c r="AF2683" s="54"/>
      <c r="AG2683" s="54"/>
      <c r="AH2683" s="54">
        <v>46084.0</v>
      </c>
      <c r="AI2683" s="55">
        <f t="shared" si="250"/>
        <v>-1</v>
      </c>
      <c r="AW2683" s="234"/>
      <c r="BP2683" s="11"/>
      <c r="BQ2683" s="11"/>
      <c r="BV2683" s="158"/>
      <c r="BY2683" s="158"/>
      <c r="CB2683" s="158"/>
    </row>
    <row r="2684" ht="18.0" customHeight="1">
      <c r="A2684" s="222">
        <f>IFERROR(__xludf.DUMMYFUNCTION("""COMPUTED_VALUE"""),2026.0)</f>
        <v>2026</v>
      </c>
      <c r="B2684" s="221">
        <f>IFERROR(__xludf.DUMMYFUNCTION("""COMPUTED_VALUE"""),1.2791376E7)</f>
        <v>12791376</v>
      </c>
      <c r="C2684" s="222" t="str">
        <f>IFERROR(__xludf.DUMMYFUNCTION("""COMPUTED_VALUE"""),"SMB-PT3-ODC-PSB-FC-8472-150369-81413")</f>
        <v>SMB-PT3-ODC-PSB-FC-8472-150369-81413</v>
      </c>
      <c r="D2684" s="222" t="str">
        <f>IFERROR(__xludf.DUMMYFUNCTION("""COMPUTED_VALUE"""),"REGIONAL I")</f>
        <v>REGIONAL I</v>
      </c>
      <c r="E2684" s="222" t="str">
        <f>IFERROR(__xludf.DUMMYFUNCTION("""COMPUTED_VALUE"""),"SUMBAR")</f>
        <v>SUMBAR</v>
      </c>
      <c r="F2684" s="222" t="str">
        <f>IFERROR(__xludf.DUMMYFUNCTION("""COMPUTED_VALUE"""),"PSB")</f>
        <v>PSB</v>
      </c>
      <c r="G2684" s="222" t="str">
        <f>IFERROR(__xludf.DUMMYFUNCTION("""COMPUTED_VALUE"""),"SUMBAGTENG")</f>
        <v>SUMBAGTENG</v>
      </c>
      <c r="H2684" s="222" t="str">
        <f>IFERROR(__xludf.DUMMYFUNCTION("""COMPUTED_VALUE"""),"PADANG")</f>
        <v>PADANG</v>
      </c>
      <c r="I2684" s="222" t="str">
        <f>IFERROR(__xludf.DUMMYFUNCTION("""COMPUTED_VALUE"""),"Batch 3")</f>
        <v>Batch 3</v>
      </c>
      <c r="J2684" s="225">
        <f>IFERROR(__xludf.DUMMYFUNCTION("""COMPUTED_VALUE"""),4.0)</f>
        <v>4</v>
      </c>
      <c r="K2684" s="224">
        <f>IFERROR(__xludf.DUMMYFUNCTION("""COMPUTED_VALUE"""),32.0)</f>
        <v>32</v>
      </c>
      <c r="L2684" s="226">
        <f>IFERROR(__xludf.DUMMYFUNCTION("""COMPUTED_VALUE"""),265394.0)</f>
        <v>265394</v>
      </c>
      <c r="M2684" s="227">
        <f>IFERROR(__xludf.DUMMYFUNCTION("""COMPUTED_VALUE"""),8492578.0)</f>
        <v>8492578</v>
      </c>
      <c r="N2684" s="222" t="str">
        <f>IFERROR(__xludf.DUMMYFUNCTION("""COMPUTED_VALUE"""),"PT ALAM UTAMA MULIA")</f>
        <v>PT ALAM UTAMA MULIA</v>
      </c>
      <c r="O2684" s="222" t="str">
        <f>IFERROR(__xludf.DUMMYFUNCTION("""COMPUTED_VALUE"""),"8. UJI TERIMA")</f>
        <v>8. UJI TERIMA</v>
      </c>
      <c r="P2684" s="222" t="str">
        <f>IFERROR(__xludf.DUMMYFUNCTION("""COMPUTED_VALUE"""),"8.1 Proses UT")</f>
        <v>8.1 Proses UT</v>
      </c>
      <c r="Q2684" s="222" t="str">
        <f>IFERROR(__xludf.DUMMYFUNCTION("""COMPUTED_VALUE"""),"(18/02) Valins ODP Plan FI 20/02 (18/02) Terminasi ODP (04/02) matdel ke site (29/01) Done aanwijziing  , proses eval")</f>
        <v>(18/02) Valins ODP Plan FI 20/02 (18/02) Terminasi ODP (04/02) matdel ke site (29/01) Done aanwijziing  , proses eval</v>
      </c>
      <c r="R2684" s="228">
        <f>IFERROR(__xludf.DUMMYFUNCTION("""COMPUTED_VALUE"""),46078.0)</f>
        <v>46078</v>
      </c>
      <c r="S2684" s="11"/>
      <c r="T2684" s="11"/>
      <c r="U2684" s="11" t="str">
        <f>IFERROR(__xludf.DUMMYFUNCTION("""COMPUTED_VALUE"""),"TIF-2631/2026 26KT03R158-0035")</f>
        <v>TIF-2631/2026 26KT03R158-0035</v>
      </c>
      <c r="V2684" s="229" t="str">
        <f>IFERROR(__xludf.DUMMYFUNCTION("""COMPUTED_VALUE"""),"PRAMADIO SEPWILMAN")</f>
        <v>PRAMADIO SEPWILMAN</v>
      </c>
      <c r="W2684" s="229" t="str">
        <f>IFERROR(__xludf.DUMMYFUNCTION("""COMPUTED_VALUE"""),"MELKO NARWADI")</f>
        <v>MELKO NARWADI</v>
      </c>
      <c r="X2684" s="229" t="str">
        <f>IFERROR(__xludf.DUMMYFUNCTION("""COMPUTED_VALUE"""),"GOLIVE")</f>
        <v>GOLIVE</v>
      </c>
      <c r="Y2684" s="229" t="str">
        <f>IFERROR(__xludf.DUMMYFUNCTION("""COMPUTED_VALUE"""),"DONE")</f>
        <v>DONE</v>
      </c>
      <c r="Z2684" s="229" t="str">
        <f>IFERROR(__xludf.DUMMYFUNCTION("""COMPUTED_VALUE"""),"#N/A")</f>
        <v>#N/A</v>
      </c>
      <c r="AA2684" s="229">
        <f>IFERROR(__xludf.DUMMYFUNCTION("""COMPUTED_VALUE"""),2.0)</f>
        <v>2</v>
      </c>
      <c r="AB2684" s="229"/>
      <c r="AC2684" s="229" t="str">
        <f>IFERROR(__xludf.DUMMYFUNCTION("""COMPUTED_VALUE"""),"9143064#9143069")</f>
        <v>9143064#9143069</v>
      </c>
      <c r="AD2684" s="232">
        <f>IFERROR(__xludf.DUMMYFUNCTION("""COMPUTED_VALUE"""),16.0)</f>
        <v>16</v>
      </c>
      <c r="AE2684" s="233">
        <f>IFERROR(__xludf.DUMMYFUNCTION("""COMPUTED_VALUE"""),46078.0)</f>
        <v>46078</v>
      </c>
      <c r="AF2684" s="54"/>
      <c r="AG2684" s="54"/>
      <c r="AH2684" s="54">
        <v>46078.0</v>
      </c>
      <c r="AI2684" s="55">
        <f t="shared" si="250"/>
        <v>0</v>
      </c>
      <c r="AW2684" s="234"/>
      <c r="BP2684" s="11"/>
      <c r="BQ2684" s="11"/>
      <c r="BV2684" s="158"/>
      <c r="BY2684" s="158"/>
      <c r="CB2684" s="158"/>
    </row>
    <row r="2685" ht="18.0" hidden="1" customHeight="1">
      <c r="A2685" s="222">
        <f>IFERROR(__xludf.DUMMYFUNCTION("""COMPUTED_VALUE"""),2026.0)</f>
        <v>2026</v>
      </c>
      <c r="B2685" s="221">
        <f>IFERROR(__xludf.DUMMYFUNCTION("""COMPUTED_VALUE"""),1.1535968E7)</f>
        <v>11535968</v>
      </c>
      <c r="C2685" s="222" t="str">
        <f>IFERROR(__xludf.DUMMYFUNCTION("""COMPUTED_VALUE"""),"MDN PT3 TJR-FH GG.FLAMBOYAN-TAMORA_MD25")</f>
        <v>MDN PT3 TJR-FH GG.FLAMBOYAN-TAMORA_MD25</v>
      </c>
      <c r="D2685" s="222" t="str">
        <f>IFERROR(__xludf.DUMMYFUNCTION("""COMPUTED_VALUE"""),"REGIONAL I")</f>
        <v>REGIONAL I</v>
      </c>
      <c r="E2685" s="222" t="str">
        <f>IFERROR(__xludf.DUMMYFUNCTION("""COMPUTED_VALUE"""),"MEDAN")</f>
        <v>MEDAN</v>
      </c>
      <c r="F2685" s="222" t="str">
        <f>IFERROR(__xludf.DUMMYFUNCTION("""COMPUTED_VALUE"""),"TJR")</f>
        <v>TJR</v>
      </c>
      <c r="G2685" s="222" t="str">
        <f>IFERROR(__xludf.DUMMYFUNCTION("""COMPUTED_VALUE"""),"SUMBAGUT")</f>
        <v>SUMBAGUT</v>
      </c>
      <c r="H2685" s="222" t="str">
        <f>IFERROR(__xludf.DUMMYFUNCTION("""COMPUTED_VALUE"""),"MEDAN")</f>
        <v>MEDAN</v>
      </c>
      <c r="I2685" s="222" t="str">
        <f>IFERROR(__xludf.DUMMYFUNCTION("""COMPUTED_VALUE"""),"Batch 3")</f>
        <v>Batch 3</v>
      </c>
      <c r="J2685" s="225">
        <f>IFERROR(__xludf.DUMMYFUNCTION("""COMPUTED_VALUE"""),5.0)</f>
        <v>5</v>
      </c>
      <c r="K2685" s="224">
        <f>IFERROR(__xludf.DUMMYFUNCTION("""COMPUTED_VALUE"""),40.0)</f>
        <v>40</v>
      </c>
      <c r="L2685" s="226">
        <f>IFERROR(__xludf.DUMMYFUNCTION("""COMPUTED_VALUE"""),233608.0)</f>
        <v>233608</v>
      </c>
      <c r="M2685" s="227">
        <f>IFERROR(__xludf.DUMMYFUNCTION("""COMPUTED_VALUE"""),9344311.0)</f>
        <v>9344311</v>
      </c>
      <c r="N2685" s="222" t="str">
        <f>IFERROR(__xludf.DUMMYFUNCTION("""COMPUTED_VALUE"""),"PT MEDCOM SOLUTION")</f>
        <v>PT MEDCOM SOLUTION</v>
      </c>
      <c r="O2685" s="222" t="str">
        <f>IFERROR(__xludf.DUMMYFUNCTION("""COMPUTED_VALUE"""),"2. DONE AANWIJZING")</f>
        <v>2. DONE AANWIJZING</v>
      </c>
      <c r="P2685" s="222" t="str">
        <f>IFERROR(__xludf.DUMMYFUNCTION("""COMPUTED_VALUE"""),"2.9 Kendala - Distribusi Penuh / Rusak")</f>
        <v>2.9 Kendala - Distribusi Penuh / Rusak</v>
      </c>
      <c r="Q2685" s="222" t="str">
        <f>IFERROR(__xludf.DUMMYFUNCTION("""COMPUTED_VALUE"""),"21/04 dist full perlu redisgn
08/04 kabel D06 full/penuh
15/01 order mitra")</f>
        <v>21/04 dist full perlu redisgn
08/04 kabel D06 full/penuh
15/01 order mitra</v>
      </c>
      <c r="R2685" s="228"/>
      <c r="S2685" s="11"/>
      <c r="T2685" s="73"/>
      <c r="U2685" s="11"/>
      <c r="V2685" s="229" t="str">
        <f>IFERROR(__xludf.DUMMYFUNCTION("""COMPUTED_VALUE"""),"29/Apr/2026")</f>
        <v>29/Apr/2026</v>
      </c>
      <c r="W2685" s="229"/>
      <c r="X2685" s="229" t="str">
        <f>IFERROR(__xludf.DUMMYFUNCTION("""COMPUTED_VALUE"""),"BELUM GOLIVE")</f>
        <v>BELUM GOLIVE</v>
      </c>
      <c r="Y2685" s="229"/>
      <c r="Z2685" s="229" t="str">
        <f>IFERROR(__xludf.DUMMYFUNCTION("""COMPUTED_VALUE"""),"#N/A")</f>
        <v>#N/A</v>
      </c>
      <c r="AA2685" s="229"/>
      <c r="AB2685" s="229"/>
      <c r="AC2685" s="229"/>
      <c r="AD2685" s="232"/>
      <c r="AE2685" s="233"/>
      <c r="AF2685" s="54"/>
      <c r="AG2685" s="54"/>
      <c r="AH2685" s="54"/>
      <c r="AI2685" s="55" t="str">
        <f t="shared" si="250"/>
        <v/>
      </c>
      <c r="AW2685" s="234"/>
      <c r="BP2685" s="11"/>
      <c r="BQ2685" s="11"/>
      <c r="BV2685" s="158"/>
      <c r="BY2685" s="158"/>
      <c r="CB2685" s="158"/>
    </row>
    <row r="2686" ht="18.0" customHeight="1">
      <c r="A2686" s="222">
        <f>IFERROR(__xludf.DUMMYFUNCTION("""COMPUTED_VALUE"""),2026.0)</f>
        <v>2026</v>
      </c>
      <c r="B2686" s="221">
        <f>IFERROR(__xludf.DUMMYFUNCTION("""COMPUTED_VALUE"""),1.282341E7)</f>
        <v>12823410</v>
      </c>
      <c r="C2686" s="222" t="str">
        <f>IFERROR(__xludf.DUMMYFUNCTION("""COMPUTED_VALUE"""),"SMB-PT3-ODC-PYK-FN-TANAH DATAR-168103")</f>
        <v>SMB-PT3-ODC-PYK-FN-TANAH DATAR-168103</v>
      </c>
      <c r="D2686" s="222" t="str">
        <f>IFERROR(__xludf.DUMMYFUNCTION("""COMPUTED_VALUE"""),"REGIONAL I")</f>
        <v>REGIONAL I</v>
      </c>
      <c r="E2686" s="222" t="str">
        <f>IFERROR(__xludf.DUMMYFUNCTION("""COMPUTED_VALUE"""),"SUMBAR")</f>
        <v>SUMBAR</v>
      </c>
      <c r="F2686" s="222" t="str">
        <f>IFERROR(__xludf.DUMMYFUNCTION("""COMPUTED_VALUE"""),"PYK")</f>
        <v>PYK</v>
      </c>
      <c r="G2686" s="222" t="str">
        <f>IFERROR(__xludf.DUMMYFUNCTION("""COMPUTED_VALUE"""),"SUMBAGTENG")</f>
        <v>SUMBAGTENG</v>
      </c>
      <c r="H2686" s="222" t="str">
        <f>IFERROR(__xludf.DUMMYFUNCTION("""COMPUTED_VALUE"""),"BUKIT TINGGI")</f>
        <v>BUKIT TINGGI</v>
      </c>
      <c r="I2686" s="222" t="str">
        <f>IFERROR(__xludf.DUMMYFUNCTION("""COMPUTED_VALUE"""),"Batch 3")</f>
        <v>Batch 3</v>
      </c>
      <c r="J2686" s="225">
        <f>IFERROR(__xludf.DUMMYFUNCTION("""COMPUTED_VALUE"""),2.0)</f>
        <v>2</v>
      </c>
      <c r="K2686" s="224">
        <f>IFERROR(__xludf.DUMMYFUNCTION("""COMPUTED_VALUE"""),16.0)</f>
        <v>16</v>
      </c>
      <c r="L2686" s="226">
        <f>IFERROR(__xludf.DUMMYFUNCTION("""COMPUTED_VALUE"""),226821.0)</f>
        <v>226821</v>
      </c>
      <c r="M2686" s="227">
        <f>IFERROR(__xludf.DUMMYFUNCTION("""COMPUTED_VALUE"""),3629131.0)</f>
        <v>3629131</v>
      </c>
      <c r="N2686" s="222" t="str">
        <f>IFERROR(__xludf.DUMMYFUNCTION("""COMPUTED_VALUE"""),"PT RATRI PRIMA MANDIRI")</f>
        <v>PT RATRI PRIMA MANDIRI</v>
      </c>
      <c r="O2686" s="222" t="str">
        <f>IFERROR(__xludf.DUMMYFUNCTION("""COMPUTED_VALUE"""),"8. UJI TERIMA")</f>
        <v>8. UJI TERIMA</v>
      </c>
      <c r="P2686" s="222" t="str">
        <f>IFERROR(__xludf.DUMMYFUNCTION("""COMPUTED_VALUE"""),"8.1 Proses UT")</f>
        <v>8.1 Proses UT</v>
      </c>
      <c r="Q2686" s="222" t="str">
        <f>IFERROR(__xludf.DUMMYFUNCTION("""COMPUTED_VALUE"""),"(02/03) ABD OGP submit ke sdi  (18/02) material on site PLAN Instal 19/02, PLAN FI 19/02 (03/02) Proses create PID (29/01) Done aanwijziing  , proses eval")</f>
        <v>(02/03) ABD OGP submit ke sdi  (18/02) material on site PLAN Instal 19/02, PLAN FI 19/02 (03/02) Proses create PID (29/01) Done aanwijziing  , proses eval</v>
      </c>
      <c r="R2686" s="228">
        <f>IFERROR(__xludf.DUMMYFUNCTION("""COMPUTED_VALUE"""),46088.0)</f>
        <v>46088</v>
      </c>
      <c r="S2686" s="11" t="str">
        <f>IFERROR(__xludf.DUMMYFUNCTION("""COMPUTED_VALUE"""),"MAR")</f>
        <v>MAR</v>
      </c>
      <c r="T2686" s="11"/>
      <c r="U2686" s="11" t="str">
        <f>IFERROR(__xludf.DUMMYFUNCTION("""COMPUTED_VALUE"""),"TIF-3513/2026 26KT03R107-0013")</f>
        <v>TIF-3513/2026 26KT03R107-0013</v>
      </c>
      <c r="V2686" s="229" t="str">
        <f>IFERROR(__xludf.DUMMYFUNCTION("""COMPUTED_VALUE"""),"M. ARIF HAMADI")</f>
        <v>M. ARIF HAMADI</v>
      </c>
      <c r="W2686" s="229" t="str">
        <f>IFERROR(__xludf.DUMMYFUNCTION("""COMPUTED_VALUE"""),"MELKO NARWADI")</f>
        <v>MELKO NARWADI</v>
      </c>
      <c r="X2686" s="229" t="str">
        <f>IFERROR(__xludf.DUMMYFUNCTION("""COMPUTED_VALUE"""),"GOLIVE")</f>
        <v>GOLIVE</v>
      </c>
      <c r="Y2686" s="229" t="str">
        <f>IFERROR(__xludf.DUMMYFUNCTION("""COMPUTED_VALUE"""),"DONE")</f>
        <v>DONE</v>
      </c>
      <c r="Z2686" s="229" t="str">
        <f>IFERROR(__xludf.DUMMYFUNCTION("""COMPUTED_VALUE"""),"#N/A")</f>
        <v>#N/A</v>
      </c>
      <c r="AA2686" s="229">
        <f>IFERROR(__xludf.DUMMYFUNCTION("""COMPUTED_VALUE"""),1.0)</f>
        <v>1</v>
      </c>
      <c r="AB2686" s="229"/>
      <c r="AC2686" s="229" t="str">
        <f>IFERROR(__xludf.DUMMYFUNCTION("""COMPUTED_VALUE"""),"9170669#9170674")</f>
        <v>9170669#9170674</v>
      </c>
      <c r="AD2686" s="232">
        <f>IFERROR(__xludf.DUMMYFUNCTION("""COMPUTED_VALUE"""),8.0)</f>
        <v>8</v>
      </c>
      <c r="AE2686" s="233">
        <f>IFERROR(__xludf.DUMMYFUNCTION("""COMPUTED_VALUE"""),46085.0)</f>
        <v>46085</v>
      </c>
      <c r="AF2686" s="54"/>
      <c r="AG2686" s="54"/>
      <c r="AH2686" s="54">
        <v>46088.0</v>
      </c>
      <c r="AI2686" s="55">
        <f t="shared" si="250"/>
        <v>3</v>
      </c>
      <c r="AW2686" s="234"/>
      <c r="BP2686" s="11"/>
      <c r="BQ2686" s="11"/>
      <c r="BV2686" s="158"/>
      <c r="BY2686" s="158"/>
      <c r="CB2686" s="158"/>
    </row>
    <row r="2687" ht="18.0" customHeight="1">
      <c r="A2687" s="222">
        <f>IFERROR(__xludf.DUMMYFUNCTION("""COMPUTED_VALUE"""),2026.0)</f>
        <v>2026</v>
      </c>
      <c r="B2687" s="221">
        <f>IFERROR(__xludf.DUMMYFUNCTION("""COMPUTED_VALUE"""),1.2829474E7)</f>
        <v>12829474</v>
      </c>
      <c r="C2687" s="222" t="str">
        <f>IFERROR(__xludf.DUMMYFUNCTION("""COMPUTED_VALUE"""),"SMB-PT3-ODC-SPE-FB-PASAMAN BARAT_73501")</f>
        <v>SMB-PT3-ODC-SPE-FB-PASAMAN BARAT_73501</v>
      </c>
      <c r="D2687" s="222" t="str">
        <f>IFERROR(__xludf.DUMMYFUNCTION("""COMPUTED_VALUE"""),"REGIONAL I")</f>
        <v>REGIONAL I</v>
      </c>
      <c r="E2687" s="222" t="str">
        <f>IFERROR(__xludf.DUMMYFUNCTION("""COMPUTED_VALUE"""),"SUMBAR")</f>
        <v>SUMBAR</v>
      </c>
      <c r="F2687" s="222" t="str">
        <f>IFERROR(__xludf.DUMMYFUNCTION("""COMPUTED_VALUE"""),"SPE")</f>
        <v>SPE</v>
      </c>
      <c r="G2687" s="222" t="str">
        <f>IFERROR(__xludf.DUMMYFUNCTION("""COMPUTED_VALUE"""),"SUMBAGTENG")</f>
        <v>SUMBAGTENG</v>
      </c>
      <c r="H2687" s="222" t="str">
        <f>IFERROR(__xludf.DUMMYFUNCTION("""COMPUTED_VALUE"""),"BUKIT TINGGI")</f>
        <v>BUKIT TINGGI</v>
      </c>
      <c r="I2687" s="222" t="str">
        <f>IFERROR(__xludf.DUMMYFUNCTION("""COMPUTED_VALUE"""),"Batch 3")</f>
        <v>Batch 3</v>
      </c>
      <c r="J2687" s="225">
        <f>IFERROR(__xludf.DUMMYFUNCTION("""COMPUTED_VALUE"""),2.0)</f>
        <v>2</v>
      </c>
      <c r="K2687" s="224">
        <f>IFERROR(__xludf.DUMMYFUNCTION("""COMPUTED_VALUE"""),16.0)</f>
        <v>16</v>
      </c>
      <c r="L2687" s="226">
        <f>IFERROR(__xludf.DUMMYFUNCTION("""COMPUTED_VALUE"""),226821.0)</f>
        <v>226821</v>
      </c>
      <c r="M2687" s="227">
        <f>IFERROR(__xludf.DUMMYFUNCTION("""COMPUTED_VALUE"""),3629131.0)</f>
        <v>3629131</v>
      </c>
      <c r="N2687" s="222" t="str">
        <f>IFERROR(__xludf.DUMMYFUNCTION("""COMPUTED_VALUE"""),"PT TIGA AKSES MANDIRI")</f>
        <v>PT TIGA AKSES MANDIRI</v>
      </c>
      <c r="O2687" s="222" t="str">
        <f>IFERROR(__xludf.DUMMYFUNCTION("""COMPUTED_VALUE"""),"0. DROP")</f>
        <v>0. DROP</v>
      </c>
      <c r="P2687" s="222" t="str">
        <f>IFERROR(__xludf.DUMMYFUNCTION("""COMPUTED_VALUE"""),"0.3 Feeder Full")</f>
        <v>0.3 Feeder Full</v>
      </c>
      <c r="Q2687" s="222" t="str">
        <f>IFERROR(__xludf.DUMMYFUNCTION("""COMPUTED_VALUE"""),"(02/03) Kendala feedeer SPE-FB FULL")</f>
        <v>(02/03) Kendala feedeer SPE-FB FULL</v>
      </c>
      <c r="R2687" s="228"/>
      <c r="S2687" s="11"/>
      <c r="T2687" s="11"/>
      <c r="U2687" s="11"/>
      <c r="V2687" s="229" t="str">
        <f>IFERROR(__xludf.DUMMYFUNCTION("""COMPUTED_VALUE"""),"JANUAR RIZAL")</f>
        <v>JANUAR RIZAL</v>
      </c>
      <c r="W2687" s="229" t="str">
        <f>IFERROR(__xludf.DUMMYFUNCTION("""COMPUTED_VALUE"""),"MELKO NARWADI")</f>
        <v>MELKO NARWADI</v>
      </c>
      <c r="X2687" s="229"/>
      <c r="Y2687" s="229"/>
      <c r="Z2687" s="229" t="str">
        <f>IFERROR(__xludf.DUMMYFUNCTION("""COMPUTED_VALUE"""),"#N/A")</f>
        <v>#N/A</v>
      </c>
      <c r="AA2687" s="229"/>
      <c r="AB2687" s="229"/>
      <c r="AC2687" s="229"/>
      <c r="AD2687" s="232"/>
      <c r="AE2687" s="233"/>
      <c r="AF2687" s="54" t="str">
        <f>IFERROR(__xludf.DUMMYFUNCTION("""COMPUTED_VALUE"""),"Draft BA DROP")</f>
        <v>Draft BA DROP</v>
      </c>
      <c r="AG2687" s="54"/>
      <c r="AH2687" s="54"/>
      <c r="AI2687" s="55" t="str">
        <f t="shared" si="250"/>
        <v/>
      </c>
      <c r="AW2687" s="234"/>
      <c r="BP2687" s="11"/>
      <c r="BQ2687" s="11"/>
      <c r="BV2687" s="158"/>
      <c r="BY2687" s="158"/>
      <c r="CB2687" s="158"/>
    </row>
    <row r="2688" ht="18.0" customHeight="1">
      <c r="A2688" s="222">
        <f>IFERROR(__xludf.DUMMYFUNCTION("""COMPUTED_VALUE"""),2026.0)</f>
        <v>2026</v>
      </c>
      <c r="B2688" s="221">
        <f>IFERROR(__xludf.DUMMYFUNCTION("""COMPUTED_VALUE"""),1.2860452E7)</f>
        <v>12860452</v>
      </c>
      <c r="C2688" s="222" t="str">
        <f>IFERROR(__xludf.DUMMYFUNCTION("""COMPUTED_VALUE"""),"SMB-PT3-ODC-LIN-FC-250_227_2603")</f>
        <v>SMB-PT3-ODC-LIN-FC-250_227_2603</v>
      </c>
      <c r="D2688" s="222" t="str">
        <f>IFERROR(__xludf.DUMMYFUNCTION("""COMPUTED_VALUE"""),"REGIONAL I")</f>
        <v>REGIONAL I</v>
      </c>
      <c r="E2688" s="222" t="str">
        <f>IFERROR(__xludf.DUMMYFUNCTION("""COMPUTED_VALUE"""),"SUMBAR")</f>
        <v>SUMBAR</v>
      </c>
      <c r="F2688" s="222" t="str">
        <f>IFERROR(__xludf.DUMMYFUNCTION("""COMPUTED_VALUE"""),"LIN")</f>
        <v>LIN</v>
      </c>
      <c r="G2688" s="222" t="str">
        <f>IFERROR(__xludf.DUMMYFUNCTION("""COMPUTED_VALUE"""),"SUMBAGTENG")</f>
        <v>SUMBAGTENG</v>
      </c>
      <c r="H2688" s="222" t="str">
        <f>IFERROR(__xludf.DUMMYFUNCTION("""COMPUTED_VALUE"""),"BUKIT TINGGI")</f>
        <v>BUKIT TINGGI</v>
      </c>
      <c r="I2688" s="222" t="str">
        <f>IFERROR(__xludf.DUMMYFUNCTION("""COMPUTED_VALUE"""),"Batch 3")</f>
        <v>Batch 3</v>
      </c>
      <c r="J2688" s="225">
        <f>IFERROR(__xludf.DUMMYFUNCTION("""COMPUTED_VALUE"""),2.0)</f>
        <v>2</v>
      </c>
      <c r="K2688" s="224">
        <f>IFERROR(__xludf.DUMMYFUNCTION("""COMPUTED_VALUE"""),16.0)</f>
        <v>16</v>
      </c>
      <c r="L2688" s="226">
        <f>IFERROR(__xludf.DUMMYFUNCTION("""COMPUTED_VALUE"""),226821.0)</f>
        <v>226821</v>
      </c>
      <c r="M2688" s="227">
        <f>IFERROR(__xludf.DUMMYFUNCTION("""COMPUTED_VALUE"""),3629131.0)</f>
        <v>3629131</v>
      </c>
      <c r="N2688" s="222" t="str">
        <f>IFERROR(__xludf.DUMMYFUNCTION("""COMPUTED_VALUE"""),"PT TSUIKA BERKAH RAYA")</f>
        <v>PT TSUIKA BERKAH RAYA</v>
      </c>
      <c r="O2688" s="222" t="str">
        <f>IFERROR(__xludf.DUMMYFUNCTION("""COMPUTED_VALUE"""),"8. UJI TERIMA")</f>
        <v>8. UJI TERIMA</v>
      </c>
      <c r="P2688" s="222" t="str">
        <f>IFERROR(__xludf.DUMMYFUNCTION("""COMPUTED_VALUE"""),"8.1 Proses UT")</f>
        <v>8.1 Proses UT</v>
      </c>
      <c r="Q2688" s="222" t="str">
        <f>IFERROR(__xludf.DUMMYFUNCTION("""COMPUTED_VALUE"""),"(18/02) material on site PLAN FI 23/02   (03/02) Proses create PID (29/01) Done aanwijziing  , proses eval")</f>
        <v>(18/02) material on site PLAN FI 23/02   (03/02) Proses create PID (29/01) Done aanwijziing  , proses eval</v>
      </c>
      <c r="R2688" s="228">
        <f>IFERROR(__xludf.DUMMYFUNCTION("""COMPUTED_VALUE"""),46066.0)</f>
        <v>46066</v>
      </c>
      <c r="S2688" s="11"/>
      <c r="T2688" s="11"/>
      <c r="U2688" s="11" t="str">
        <f>IFERROR(__xludf.DUMMYFUNCTION("""COMPUTED_VALUE"""),"TIF-3547/2026 26KT03R107-0009")</f>
        <v>TIF-3547/2026 26KT03R107-0009</v>
      </c>
      <c r="V2688" s="229" t="str">
        <f>IFERROR(__xludf.DUMMYFUNCTION("""COMPUTED_VALUE"""),"M. ARIF HAMADI")</f>
        <v>M. ARIF HAMADI</v>
      </c>
      <c r="W2688" s="229" t="str">
        <f>IFERROR(__xludf.DUMMYFUNCTION("""COMPUTED_VALUE"""),"MELKO NARWADI")</f>
        <v>MELKO NARWADI</v>
      </c>
      <c r="X2688" s="229" t="str">
        <f>IFERROR(__xludf.DUMMYFUNCTION("""COMPUTED_VALUE"""),"GOLIVE")</f>
        <v>GOLIVE</v>
      </c>
      <c r="Y2688" s="229" t="str">
        <f>IFERROR(__xludf.DUMMYFUNCTION("""COMPUTED_VALUE"""),"DONE")</f>
        <v>DONE</v>
      </c>
      <c r="Z2688" s="229" t="str">
        <f>IFERROR(__xludf.DUMMYFUNCTION("""COMPUTED_VALUE"""),"#N/A")</f>
        <v>#N/A</v>
      </c>
      <c r="AA2688" s="229">
        <f>IFERROR(__xludf.DUMMYFUNCTION("""COMPUTED_VALUE"""),2.0)</f>
        <v>2</v>
      </c>
      <c r="AB2688" s="229"/>
      <c r="AC2688" s="229" t="str">
        <f>IFERROR(__xludf.DUMMYFUNCTION("""COMPUTED_VALUE"""),"9154273#9154278")</f>
        <v>9154273#9154278</v>
      </c>
      <c r="AD2688" s="232">
        <f>IFERROR(__xludf.DUMMYFUNCTION("""COMPUTED_VALUE"""),16.0)</f>
        <v>16</v>
      </c>
      <c r="AE2688" s="233">
        <f>IFERROR(__xludf.DUMMYFUNCTION("""COMPUTED_VALUE"""),46080.0)</f>
        <v>46080</v>
      </c>
      <c r="AF2688" s="54"/>
      <c r="AG2688" s="54"/>
      <c r="AH2688" s="54">
        <v>46066.0</v>
      </c>
      <c r="AI2688" s="55">
        <f t="shared" si="250"/>
        <v>-14</v>
      </c>
      <c r="AW2688" s="234"/>
      <c r="BP2688" s="11"/>
      <c r="BQ2688" s="11"/>
      <c r="BV2688" s="158"/>
      <c r="BY2688" s="158"/>
      <c r="CB2688" s="158"/>
    </row>
    <row r="2689" ht="18.0" customHeight="1">
      <c r="A2689" s="222">
        <f>IFERROR(__xludf.DUMMYFUNCTION("""COMPUTED_VALUE"""),2026.0)</f>
        <v>2026</v>
      </c>
      <c r="B2689" s="221">
        <f>IFERROR(__xludf.DUMMYFUNCTION("""COMPUTED_VALUE"""),1.2816803E7)</f>
        <v>12816803</v>
      </c>
      <c r="C2689" s="222" t="str">
        <f>IFERROR(__xludf.DUMMYFUNCTION("""COMPUTED_VALUE"""),"SMB-PT2-ODC-PUK-FA-PAR-136334 - 3 LOP")</f>
        <v>SMB-PT2-ODC-PUK-FA-PAR-136334 - 3 LOP</v>
      </c>
      <c r="D2689" s="222" t="str">
        <f>IFERROR(__xludf.DUMMYFUNCTION("""COMPUTED_VALUE"""),"REGIONAL I")</f>
        <v>REGIONAL I</v>
      </c>
      <c r="E2689" s="222" t="str">
        <f>IFERROR(__xludf.DUMMYFUNCTION("""COMPUTED_VALUE"""),"SUMBAR")</f>
        <v>SUMBAR</v>
      </c>
      <c r="F2689" s="222" t="str">
        <f>IFERROR(__xludf.DUMMYFUNCTION("""COMPUTED_VALUE"""),"PUK")</f>
        <v>PUK</v>
      </c>
      <c r="G2689" s="222" t="str">
        <f>IFERROR(__xludf.DUMMYFUNCTION("""COMPUTED_VALUE"""),"SUMBAGTENG")</f>
        <v>SUMBAGTENG</v>
      </c>
      <c r="H2689" s="222" t="str">
        <f>IFERROR(__xludf.DUMMYFUNCTION("""COMPUTED_VALUE"""),"BUKIT TINGGI")</f>
        <v>BUKIT TINGGI</v>
      </c>
      <c r="I2689" s="222" t="str">
        <f>IFERROR(__xludf.DUMMYFUNCTION("""COMPUTED_VALUE"""),"Batch 3")</f>
        <v>Batch 3</v>
      </c>
      <c r="J2689" s="225">
        <f>IFERROR(__xludf.DUMMYFUNCTION("""COMPUTED_VALUE"""),4.0)</f>
        <v>4</v>
      </c>
      <c r="K2689" s="224">
        <f>IFERROR(__xludf.DUMMYFUNCTION("""COMPUTED_VALUE"""),32.0)</f>
        <v>32</v>
      </c>
      <c r="L2689" s="226">
        <f>IFERROR(__xludf.DUMMYFUNCTION("""COMPUTED_VALUE"""),213687.0)</f>
        <v>213687</v>
      </c>
      <c r="M2689" s="227">
        <f>IFERROR(__xludf.DUMMYFUNCTION("""COMPUTED_VALUE"""),6837961.0)</f>
        <v>6837961</v>
      </c>
      <c r="N2689" s="222" t="str">
        <f>IFERROR(__xludf.DUMMYFUNCTION("""COMPUTED_VALUE"""),"PT PUTRI JAYA AKSES")</f>
        <v>PT PUTRI JAYA AKSES</v>
      </c>
      <c r="O2689" s="222" t="str">
        <f>IFERROR(__xludf.DUMMYFUNCTION("""COMPUTED_VALUE"""),"8. UJI TERIMA")</f>
        <v>8. UJI TERIMA</v>
      </c>
      <c r="P2689" s="222" t="str">
        <f>IFERROR(__xludf.DUMMYFUNCTION("""COMPUTED_VALUE"""),"8.1 Proses UT")</f>
        <v>8.1 Proses UT</v>
      </c>
      <c r="Q2689" s="222" t="str">
        <f>IFERROR(__xludf.DUMMYFUNCTION("""COMPUTED_VALUE"""),"(18/02) abd submit HI ke SDI, UT 18/02 (02/02) Proses Create PID (29/01) Done aanwijziing  , proses eval")</f>
        <v>(18/02) abd submit HI ke SDI, UT 18/02 (02/02) Proses Create PID (29/01) Done aanwijziing  , proses eval</v>
      </c>
      <c r="R2689" s="228">
        <f>IFERROR(__xludf.DUMMYFUNCTION("""COMPUTED_VALUE"""),46065.0)</f>
        <v>46065</v>
      </c>
      <c r="S2689" s="11"/>
      <c r="T2689" s="11"/>
      <c r="U2689" s="11" t="str">
        <f>IFERROR(__xludf.DUMMYFUNCTION("""COMPUTED_VALUE"""),"TIF-3073/2026 26KT03R158-0040")</f>
        <v>TIF-3073/2026 26KT03R158-0040</v>
      </c>
      <c r="V2689" s="229" t="str">
        <f>IFERROR(__xludf.DUMMYFUNCTION("""COMPUTED_VALUE"""),"JANUAR RIZAL")</f>
        <v>JANUAR RIZAL</v>
      </c>
      <c r="W2689" s="229" t="str">
        <f>IFERROR(__xludf.DUMMYFUNCTION("""COMPUTED_VALUE"""),"MELKO NARWADI")</f>
        <v>MELKO NARWADI</v>
      </c>
      <c r="X2689" s="229" t="str">
        <f>IFERROR(__xludf.DUMMYFUNCTION("""COMPUTED_VALUE"""),"GOLIVE")</f>
        <v>GOLIVE</v>
      </c>
      <c r="Y2689" s="229" t="str">
        <f>IFERROR(__xludf.DUMMYFUNCTION("""COMPUTED_VALUE"""),"DONE")</f>
        <v>DONE</v>
      </c>
      <c r="Z2689" s="229" t="str">
        <f>IFERROR(__xludf.DUMMYFUNCTION("""COMPUTED_VALUE"""),"#N/A")</f>
        <v>#N/A</v>
      </c>
      <c r="AA2689" s="229">
        <f>IFERROR(__xludf.DUMMYFUNCTION("""COMPUTED_VALUE"""),2.0)</f>
        <v>2</v>
      </c>
      <c r="AB2689" s="229"/>
      <c r="AC2689" s="229" t="str">
        <f>IFERROR(__xludf.DUMMYFUNCTION("""COMPUTED_VALUE"""),"9130551#9130556")</f>
        <v>9130551#9130556</v>
      </c>
      <c r="AD2689" s="232">
        <f>IFERROR(__xludf.DUMMYFUNCTION("""COMPUTED_VALUE"""),16.0)</f>
        <v>16</v>
      </c>
      <c r="AE2689" s="233">
        <f>IFERROR(__xludf.DUMMYFUNCTION("""COMPUTED_VALUE"""),46075.0)</f>
        <v>46075</v>
      </c>
      <c r="AF2689" s="54"/>
      <c r="AG2689" s="54"/>
      <c r="AH2689" s="54">
        <v>46065.0</v>
      </c>
      <c r="AI2689" s="55">
        <f t="shared" si="250"/>
        <v>-10</v>
      </c>
      <c r="AW2689" s="234"/>
      <c r="BP2689" s="11"/>
      <c r="BQ2689" s="11"/>
      <c r="BV2689" s="158"/>
      <c r="BY2689" s="158"/>
      <c r="CB2689" s="158"/>
    </row>
    <row r="2690" ht="18.0" hidden="1" customHeight="1">
      <c r="A2690" s="222">
        <f>IFERROR(__xludf.DUMMYFUNCTION("""COMPUTED_VALUE"""),2026.0)</f>
        <v>2026</v>
      </c>
      <c r="B2690" s="221">
        <f>IFERROR(__xludf.DUMMYFUNCTION("""COMPUTED_VALUE"""),1.2213828E7)</f>
        <v>12213828</v>
      </c>
      <c r="C2690" s="222" t="str">
        <f>IFERROR(__xludf.DUMMYFUNCTION("""COMPUTED_VALUE"""),"SMS P3I4 PT3 BLT FE D03 SUMBERHARJO EXPN")</f>
        <v>SMS P3I4 PT3 BLT FE D03 SUMBERHARJO EXPN</v>
      </c>
      <c r="D2690" s="222" t="str">
        <f>IFERROR(__xludf.DUMMYFUNCTION("""COMPUTED_VALUE"""),"REGIONAL I")</f>
        <v>REGIONAL I</v>
      </c>
      <c r="E2690" s="222" t="str">
        <f>IFERROR(__xludf.DUMMYFUNCTION("""COMPUTED_VALUE"""),"SUMSEL")</f>
        <v>SUMSEL</v>
      </c>
      <c r="F2690" s="222" t="str">
        <f>IFERROR(__xludf.DUMMYFUNCTION("""COMPUTED_VALUE"""),"BLT")</f>
        <v>BLT</v>
      </c>
      <c r="G2690" s="222" t="str">
        <f>IFERROR(__xludf.DUMMYFUNCTION("""COMPUTED_VALUE"""),"SUMBAGSEL")</f>
        <v>SUMBAGSEL</v>
      </c>
      <c r="H2690" s="222" t="str">
        <f>IFERROR(__xludf.DUMMYFUNCTION("""COMPUTED_VALUE"""),"PALEMBANG")</f>
        <v>PALEMBANG</v>
      </c>
      <c r="I2690" s="222" t="str">
        <f>IFERROR(__xludf.DUMMYFUNCTION("""COMPUTED_VALUE"""),"Batch 3")</f>
        <v>Batch 3</v>
      </c>
      <c r="J2690" s="225">
        <f>IFERROR(__xludf.DUMMYFUNCTION("""COMPUTED_VALUE"""),3.0)</f>
        <v>3</v>
      </c>
      <c r="K2690" s="224">
        <f>IFERROR(__xludf.DUMMYFUNCTION("""COMPUTED_VALUE"""),24.0)</f>
        <v>24</v>
      </c>
      <c r="L2690" s="226">
        <f>IFERROR(__xludf.DUMMYFUNCTION("""COMPUTED_VALUE"""),1710911.0)</f>
        <v>1710911</v>
      </c>
      <c r="M2690" s="227">
        <f>IFERROR(__xludf.DUMMYFUNCTION("""COMPUTED_VALUE"""),4.106185E7)</f>
        <v>41061850</v>
      </c>
      <c r="N2690" s="222" t="str">
        <f>IFERROR(__xludf.DUMMYFUNCTION("""COMPUTED_VALUE"""),"PT GARINDO TECHNO MANDIRI")</f>
        <v>PT GARINDO TECHNO MANDIRI</v>
      </c>
      <c r="O2690" s="222" t="str">
        <f>IFERROR(__xludf.DUMMYFUNCTION("""COMPUTED_VALUE"""),"3. PERIZINAN")</f>
        <v>3. PERIZINAN</v>
      </c>
      <c r="P2690" s="222" t="str">
        <f>IFERROR(__xludf.DUMMYFUNCTION("""COMPUTED_VALUE"""),"3.9 Izin Kades / Lurah / RTRW")</f>
        <v>3.9 Izin Kades / Lurah / RTRW</v>
      </c>
      <c r="Q2690" s="222" t="str">
        <f>IFERROR(__xludf.DUMMYFUNCTION("""COMPUTED_VALUE"""),"27/04 BELUM ADA UPDATE DARI MITRA TERKAIT PERIZINAN KADES DAN FEEDER RETI - SDH DI FU TERUS, 24/04 KENDALA PERIZINAN KADES UTK TANAM TIANG DAN FEEDER RETI, 23/04 SUDAH AANWIDJZING - KENDALA PERIZINAN KADES UTK PENANAMAN TIANG, 21/04 sdh d tunjuk mitra bar"&amp;"u, dan d survey ulang dan izin ulang ada kenaikan nilai cocase, lgi d cek ulang nilai boq dan berkoordinasi dg tif untuk aproval nya, 10/04 dari mitra erikson tidak sanggup untuk lanjut pekerjaan (surat ketidaksanggupan sdh ada), proses penunjukan mitra b"&amp;"aru, 09/04 proses perizinan dengan kades  08/04 MITRA INGIN MELAKUKAN AANWDJZING DAN PERIZINAN ULANG, 01/04 KOORDINASI DG MITRA TERKAIT PERIZINAN, 30/03 MASIH KOORDINASI DG MITRA TERKAIT PERIZINAN DAN PARALEL INPUT ULANG MATERIAL, 27/03 PROSES PERIZINAN K"&amp;"ADES PARAREL INPUT ULANG MATERIAL 25/03 INPUT ULANG MATERIAL - MSIH KOORDINASI DG MITRA, 21/03 DONE PR PO - EST TGL 1 APRIL AMBIL MATERIAL 13/03 MENUNGGU PR PO, 12/03 SDH TTD DRM, MENUNGGU PR PO, 10/03 MENUNGGU PR PO, 09/03 MSH KOORDINASI DG MITRA 06/03 E"&amp;"ST 09 MAR DRM KRNA MAU KOORDINASI DG MITRA DULU, 05/03 MASIH KOORDINASI DG MITRA, 04/03 OGP DRM, 03/03 HASIL REVIEW TIF LANJUT, 04/02 DONE EVAL, HOLD, KARENA ADA KENAIKAN BOQ SEBESAR 53% DAN CPP 1,5 JT, KARENA DI LOKASI PERUBAHAN DARI DIST 3 MENJADI KE DI"&amp;"ST 1 DAN PENAMBAHAN ODP DRI 3 KE 5 04/02 DONE EVAL, HOLD, KARENA ADA KENAIKAN BOQ SEBESAR 53% DAN CPP 1,5 JT, KARENA DI LOKASI PERUBAHAN DARI DIST 3 MENJADI KE DIST 1 DAN PENAMBAHAN ODP DRI 3 KE 5, 03/02 PROSES AANWIDJZING DAN PERIZINAN, 28/01 Erikson set"&amp;"uju 
 27/01 penunjukan oleh procurement ke erikson
 (14/11)HOLD- tidak masuk target Optimis 2025 ((11/11) Penunjukkan MITRA oleh Procurement")</f>
        <v>27/04 BELUM ADA UPDATE DARI MITRA TERKAIT PERIZINAN KADES DAN FEEDER RETI - SDH DI FU TERUS, 24/04 KENDALA PERIZINAN KADES UTK TANAM TIANG DAN FEEDER RETI, 23/04 SUDAH AANWIDJZING - KENDALA PERIZINAN KADES UTK PENANAMAN TIANG, 21/04 sdh d tunjuk mitra baru, dan d survey ulang dan izin ulang ada kenaikan nilai cocase, lgi d cek ulang nilai boq dan berkoordinasi dg tif untuk aproval nya, 10/04 dari mitra erikson tidak sanggup untuk lanjut pekerjaan (surat ketidaksanggupan sdh ada), proses penunjukan mitra baru, 09/04 proses perizinan dengan kades  08/04 MITRA INGIN MELAKUKAN AANWDJZING DAN PERIZINAN ULANG, 01/04 KOORDINASI DG MITRA TERKAIT PERIZINAN, 30/03 MASIH KOORDINASI DG MITRA TERKAIT PERIZINAN DAN PARALEL INPUT ULANG MATERIAL, 27/03 PROSES PERIZINAN KADES PARAREL INPUT ULANG MATERIAL 25/03 INPUT ULANG MATERIAL - MSIH KOORDINASI DG MITRA, 21/03 DONE PR PO - EST TGL 1 APRIL AMBIL MATERIAL 13/03 MENUNGGU PR PO, 12/03 SDH TTD DRM, MENUNGGU PR PO, 10/03 MENUNGGU PR PO, 09/03 MSH KOORDINASI DG MITRA 06/03 EST 09 MAR DRM KRNA MAU KOORDINASI DG MITRA DULU, 05/03 MASIH KOORDINASI DG MITRA, 04/03 OGP DRM, 03/03 HASIL REVIEW TIF LANJUT, 04/02 DONE EVAL, HOLD, KARENA ADA KENAIKAN BOQ SEBESAR 53% DAN CPP 1,5 JT, KARENA DI LOKASI PERUBAHAN DARI DIST 3 MENJADI KE DIST 1 DAN PENAMBAHAN ODP DRI 3 KE 5 04/02 DONE EVAL, HOLD, KARENA ADA KENAIKAN BOQ SEBESAR 53% DAN CPP 1,5 JT, KARENA DI LOKASI PERUBAHAN DARI DIST 3 MENJADI KE DIST 1 DAN PENAMBAHAN ODP DRI 3 KE 5, 03/02 PROSES AANWIDJZING DAN PERIZINAN, 28/01 Erikson setuju 
 27/01 penunjukan oleh procurement ke erikson
 (14/11)HOLD- tidak masuk target Optimis 2025 ((11/11) Penunjukkan MITRA oleh Procurement</v>
      </c>
      <c r="R2690" s="228"/>
      <c r="S2690" s="11"/>
      <c r="T2690" s="11" t="str">
        <f>IFERROR(__xludf.DUMMYFUNCTION("""COMPUTED_VALUE"""),"P1")</f>
        <v>P1</v>
      </c>
      <c r="U2690" s="11"/>
      <c r="V2690" s="229" t="str">
        <f>IFERROR(__xludf.DUMMYFUNCTION("""COMPUTED_VALUE"""),"RENALDO")</f>
        <v>RENALDO</v>
      </c>
      <c r="W2690" s="229"/>
      <c r="X2690" s="229"/>
      <c r="Y2690" s="229"/>
      <c r="Z2690" s="229" t="str">
        <f>IFERROR(__xludf.DUMMYFUNCTION("""COMPUTED_VALUE"""),"#N/A")</f>
        <v>#N/A</v>
      </c>
      <c r="AA2690" s="229"/>
      <c r="AB2690" s="229"/>
      <c r="AC2690" s="229"/>
      <c r="AD2690" s="232"/>
      <c r="AE2690" s="233"/>
      <c r="AF2690" s="54"/>
      <c r="AG2690" s="54"/>
      <c r="AH2690" s="54"/>
      <c r="AI2690" s="55" t="str">
        <f t="shared" si="250"/>
        <v/>
      </c>
      <c r="AW2690" s="234"/>
      <c r="BP2690" s="11"/>
      <c r="BQ2690" s="11"/>
      <c r="BV2690" s="158"/>
      <c r="BY2690" s="158"/>
      <c r="CB2690" s="158"/>
    </row>
    <row r="2691" ht="18.0" hidden="1" customHeight="1">
      <c r="A2691" s="222">
        <f>IFERROR(__xludf.DUMMYFUNCTION("""COMPUTED_VALUE"""),2026.0)</f>
        <v>2026</v>
      </c>
      <c r="B2691" s="221">
        <f>IFERROR(__xludf.DUMMYFUNCTION("""COMPUTED_VALUE"""),1.2213863E7)</f>
        <v>12213863</v>
      </c>
      <c r="C2691" s="222" t="str">
        <f>IFERROR(__xludf.DUMMYFUNCTION("""COMPUTED_VALUE"""),"SMS P3I4 PT3 BLT FF D01 DADIREJO EXPAND")</f>
        <v>SMS P3I4 PT3 BLT FF D01 DADIREJO EXPAND</v>
      </c>
      <c r="D2691" s="222" t="str">
        <f>IFERROR(__xludf.DUMMYFUNCTION("""COMPUTED_VALUE"""),"REGIONAL I")</f>
        <v>REGIONAL I</v>
      </c>
      <c r="E2691" s="222" t="str">
        <f>IFERROR(__xludf.DUMMYFUNCTION("""COMPUTED_VALUE"""),"SUMSEL")</f>
        <v>SUMSEL</v>
      </c>
      <c r="F2691" s="222" t="str">
        <f>IFERROR(__xludf.DUMMYFUNCTION("""COMPUTED_VALUE"""),"BLT")</f>
        <v>BLT</v>
      </c>
      <c r="G2691" s="222" t="str">
        <f>IFERROR(__xludf.DUMMYFUNCTION("""COMPUTED_VALUE"""),"SUMBAGSEL")</f>
        <v>SUMBAGSEL</v>
      </c>
      <c r="H2691" s="222" t="str">
        <f>IFERROR(__xludf.DUMMYFUNCTION("""COMPUTED_VALUE"""),"PALEMBANG")</f>
        <v>PALEMBANG</v>
      </c>
      <c r="I2691" s="222" t="str">
        <f>IFERROR(__xludf.DUMMYFUNCTION("""COMPUTED_VALUE"""),"Batch 3")</f>
        <v>Batch 3</v>
      </c>
      <c r="J2691" s="225">
        <f>IFERROR(__xludf.DUMMYFUNCTION("""COMPUTED_VALUE"""),5.0)</f>
        <v>5</v>
      </c>
      <c r="K2691" s="224">
        <f>IFERROR(__xludf.DUMMYFUNCTION("""COMPUTED_VALUE"""),40.0)</f>
        <v>40</v>
      </c>
      <c r="L2691" s="226">
        <f>IFERROR(__xludf.DUMMYFUNCTION("""COMPUTED_VALUE"""),1802141.0)</f>
        <v>1802141</v>
      </c>
      <c r="M2691" s="227">
        <f>IFERROR(__xludf.DUMMYFUNCTION("""COMPUTED_VALUE"""),7.2085612E7)</f>
        <v>72085612</v>
      </c>
      <c r="N2691" s="222" t="str">
        <f>IFERROR(__xludf.DUMMYFUNCTION("""COMPUTED_VALUE"""),"PT GARINDO TECHNO MANDIRI")</f>
        <v>PT GARINDO TECHNO MANDIRI</v>
      </c>
      <c r="O2691" s="222" t="str">
        <f>IFERROR(__xludf.DUMMYFUNCTION("""COMPUTED_VALUE"""),"2. DONE AANWIJZING")</f>
        <v>2. DONE AANWIJZING</v>
      </c>
      <c r="P2691" s="222" t="str">
        <f>IFERROR(__xludf.DUMMYFUNCTION("""COMPUTED_VALUE"""),"2.5 Proses Create PID")</f>
        <v>2.5 Proses Create PID</v>
      </c>
      <c r="Q2691" s="222" t="str">
        <f>IFERROR(__xludf.DUMMYFUNCTION("""COMPUTED_VALUE"""),"27/04 MENUNGGU TTD DRM MITRA, 24/04 PROSES DRM MITRA, 23/04 MENUNGGU INFO TIF TERKAIT KENAIKAN BOQ KARENA ADA COMCASE, 22/04 LANJUT EVAL DGN TIF, 21/04 sdh d tunjuk mitra baru, dan d survey ulang dan izin ulang ada kenaikan nilai cocase, lgi d cek ulang n"&amp;"ilai boq dan berkoordinasi dg tif untuk aproval nya, 10/04 dari mitra erikson tidak sanggup untuk lanjut pekerjaan (surat ketidaksanggupan sdh ada), proses penunjukan mitra baru, 09/04 proses perizinan dengan kades  08/04 MITRA INGIN MELAKUKAN AANWDJZING "&amp;"DAN PERIZINAN ULANG, 01/04 KOORDINASI DG MITRA TERKAIT PERIZINAN, 30/03 MASIH KOORDINASI DG MITRA TERKAIT PERIZINAN DAN PARALEL INPUT ULANG MATERIAL, 27/03 PROSES PERIZINAN KADES PARAREL INPUT ULANG MATERIAL  25/03 INPUT ULANG MATERIAL - MSIH KOORDINASI D"&amp;"G MITRA, 21/03 DONE PR PO - EST TGL 1 APRIL AMBIL MATERIAL 13/03 MENUNGGU PR PO, 12/03 SDH TTD DRM, MENUNGGU PR PO, 10/03 MENUNGGU PR PO, 09/03 MSH KOORDINASI DG MITRA 06/03 EST 09 MAR DRM KRNA MAU KOORDINASI DG MITRA DULU, 05/03 MASIH KOORDINASI DG MITRA"&amp;", 04/03 OGP DRM, 03/03 HASIL REVIEW TIF LANJUT, 24/02 MASIH HOLD KRNA BOQ NAIK, 22/2 BOQ naik dari plan 11/2 kades setuju, menunggu jadwal aanwizing ulang  bersama waspang  06/02 hasil review tsel butuh konfirm tsel ke ed karena cpp nya 1,8 jt,  04/02 DON"&amp;"E EVAL, HOLD KARENA ADA KENAIKAN BOQ SEBESAT 0,2 % DARI PLAN DAN CPP DRI AWAL PLAN UDAH 1,8 JT, 04/02 DONE EVAL, HOLD KARENA ADA KENAIKAN BOQ SEBESAT 0,2 % DARI PLAN DAN CPP DRI AWAL PLAN UDAH 1,8 JT, 03/02 PROSES AANWIDJZING DAN PERIZINAN, 28/01 Erikson "&amp;"setuju 
 27/01 penunjukan oleh procurement ke erikson
 (14/11)HOLD- tidak masuk target Optimis 2025 ((11/11) Penunjukkan MITRA oleh Procurement")</f>
        <v>27/04 MENUNGGU TTD DRM MITRA, 24/04 PROSES DRM MITRA, 23/04 MENUNGGU INFO TIF TERKAIT KENAIKAN BOQ KARENA ADA COMCASE, 22/04 LANJUT EVAL DGN TIF, 21/04 sdh d tunjuk mitra baru, dan d survey ulang dan izin ulang ada kenaikan nilai cocase, lgi d cek ulang nilai boq dan berkoordinasi dg tif untuk aproval nya, 10/04 dari mitra erikson tidak sanggup untuk lanjut pekerjaan (surat ketidaksanggupan sdh ada), proses penunjukan mitra baru, 09/04 proses perizinan dengan kades  08/04 MITRA INGIN MELAKUKAN AANWDJZING DAN PERIZINAN ULANG, 01/04 KOORDINASI DG MITRA TERKAIT PERIZINAN, 30/03 MASIH KOORDINASI DG MITRA TERKAIT PERIZINAN DAN PARALEL INPUT ULANG MATERIAL, 27/03 PROSES PERIZINAN KADES PARAREL INPUT ULANG MATERIAL  25/03 INPUT ULANG MATERIAL - MSIH KOORDINASI DG MITRA, 21/03 DONE PR PO - EST TGL 1 APRIL AMBIL MATERIAL 13/03 MENUNGGU PR PO, 12/03 SDH TTD DRM, MENUNGGU PR PO, 10/03 MENUNGGU PR PO, 09/03 MSH KOORDINASI DG MITRA 06/03 EST 09 MAR DRM KRNA MAU KOORDINASI DG MITRA DULU, 05/03 MASIH KOORDINASI DG MITRA, 04/03 OGP DRM, 03/03 HASIL REVIEW TIF LANJUT, 24/02 MASIH HOLD KRNA BOQ NAIK, 22/2 BOQ naik dari plan 11/2 kades setuju, menunggu jadwal aanwizing ulang  bersama waspang  06/02 hasil review tsel butuh konfirm tsel ke ed karena cpp nya 1,8 jt,  04/02 DONE EVAL, HOLD KARENA ADA KENAIKAN BOQ SEBESAT 0,2 % DARI PLAN DAN CPP DRI AWAL PLAN UDAH 1,8 JT, 04/02 DONE EVAL, HOLD KARENA ADA KENAIKAN BOQ SEBESAT 0,2 % DARI PLAN DAN CPP DRI AWAL PLAN UDAH 1,8 JT, 03/02 PROSES AANWIDJZING DAN PERIZINAN, 28/01 Erikson setuju 
 27/01 penunjukan oleh procurement ke erikson
 (14/11)HOLD- tidak masuk target Optimis 2025 ((11/11) Penunjukkan MITRA oleh Procurement</v>
      </c>
      <c r="R2691" s="228"/>
      <c r="S2691" s="11"/>
      <c r="T2691" s="11" t="str">
        <f>IFERROR(__xludf.DUMMYFUNCTION("""COMPUTED_VALUE"""),"P1")</f>
        <v>P1</v>
      </c>
      <c r="U2691" s="11"/>
      <c r="V2691" s="229" t="str">
        <f>IFERROR(__xludf.DUMMYFUNCTION("""COMPUTED_VALUE"""),"RENALDO")</f>
        <v>RENALDO</v>
      </c>
      <c r="W2691" s="229"/>
      <c r="X2691" s="229"/>
      <c r="Y2691" s="229"/>
      <c r="Z2691" s="229" t="str">
        <f>IFERROR(__xludf.DUMMYFUNCTION("""COMPUTED_VALUE"""),"#N/A")</f>
        <v>#N/A</v>
      </c>
      <c r="AA2691" s="229"/>
      <c r="AB2691" s="229"/>
      <c r="AC2691" s="229"/>
      <c r="AD2691" s="232"/>
      <c r="AE2691" s="233"/>
      <c r="AF2691" s="54"/>
      <c r="AG2691" s="54"/>
      <c r="AH2691" s="54"/>
      <c r="AI2691" s="55" t="str">
        <f t="shared" si="250"/>
        <v/>
      </c>
      <c r="AW2691" s="234"/>
      <c r="BP2691" s="11"/>
      <c r="BQ2691" s="11"/>
      <c r="BV2691" s="158"/>
      <c r="BY2691" s="158"/>
      <c r="CB2691" s="158"/>
    </row>
    <row r="2692" ht="18.0" hidden="1" customHeight="1">
      <c r="A2692" s="222">
        <f>IFERROR(__xludf.DUMMYFUNCTION("""COMPUTED_VALUE"""),2026.0)</f>
        <v>2026</v>
      </c>
      <c r="B2692" s="221">
        <f>IFERROR(__xludf.DUMMYFUNCTION("""COMPUTED_VALUE"""),1.2213811E7)</f>
        <v>12213811</v>
      </c>
      <c r="C2692" s="222" t="str">
        <f>IFERROR(__xludf.DUMMYFUNCTION("""COMPUTED_VALUE"""),"SMS P3I4 PT3 BLT FC D01 SIDORAHAYU EXPN")</f>
        <v>SMS P3I4 PT3 BLT FC D01 SIDORAHAYU EXPN</v>
      </c>
      <c r="D2692" s="222" t="str">
        <f>IFERROR(__xludf.DUMMYFUNCTION("""COMPUTED_VALUE"""),"REGIONAL I")</f>
        <v>REGIONAL I</v>
      </c>
      <c r="E2692" s="222" t="str">
        <f>IFERROR(__xludf.DUMMYFUNCTION("""COMPUTED_VALUE"""),"SUMSEL")</f>
        <v>SUMSEL</v>
      </c>
      <c r="F2692" s="222" t="str">
        <f>IFERROR(__xludf.DUMMYFUNCTION("""COMPUTED_VALUE"""),"BLT")</f>
        <v>BLT</v>
      </c>
      <c r="G2692" s="222" t="str">
        <f>IFERROR(__xludf.DUMMYFUNCTION("""COMPUTED_VALUE"""),"SUMBAGSEL")</f>
        <v>SUMBAGSEL</v>
      </c>
      <c r="H2692" s="222" t="str">
        <f>IFERROR(__xludf.DUMMYFUNCTION("""COMPUTED_VALUE"""),"PALEMBANG")</f>
        <v>PALEMBANG</v>
      </c>
      <c r="I2692" s="222" t="str">
        <f>IFERROR(__xludf.DUMMYFUNCTION("""COMPUTED_VALUE"""),"Batch 3")</f>
        <v>Batch 3</v>
      </c>
      <c r="J2692" s="225">
        <f>IFERROR(__xludf.DUMMYFUNCTION("""COMPUTED_VALUE"""),2.0)</f>
        <v>2</v>
      </c>
      <c r="K2692" s="224">
        <f>IFERROR(__xludf.DUMMYFUNCTION("""COMPUTED_VALUE"""),16.0)</f>
        <v>16</v>
      </c>
      <c r="L2692" s="226">
        <f>IFERROR(__xludf.DUMMYFUNCTION("""COMPUTED_VALUE"""),1754998.0)</f>
        <v>1754998</v>
      </c>
      <c r="M2692" s="227">
        <f>IFERROR(__xludf.DUMMYFUNCTION("""COMPUTED_VALUE"""),2.8079965E7)</f>
        <v>28079965</v>
      </c>
      <c r="N2692" s="222" t="str">
        <f>IFERROR(__xludf.DUMMYFUNCTION("""COMPUTED_VALUE"""),"PT. ERIKSON PROFESIONAL INDONESIA")</f>
        <v>PT. ERIKSON PROFESIONAL INDONESIA</v>
      </c>
      <c r="O2692" s="222" t="str">
        <f>IFERROR(__xludf.DUMMYFUNCTION("""COMPUTED_VALUE"""),"0. DROP")</f>
        <v>0. DROP</v>
      </c>
      <c r="P2692" s="222" t="str">
        <f>IFERROR(__xludf.DUMMYFUNCTION("""COMPUTED_VALUE"""),"0.4 CPP Tinggi Acc ED TIF")</f>
        <v>0.4 CPP Tinggi Acc ED TIF</v>
      </c>
      <c r="Q2692" s="222" t="str">
        <f>IFERROR(__xludf.DUMMYFUNCTION("""COMPUTED_VALUE"""),"04/03 DROP CPP 2JT DAN DEVIASI 17%, 24/02 BUTUH REDESAIN DI LAPANGAN KARENA NILAI BOQ NAIK 17% DAN CPP 2 JT DAN ADA PRELIM DG KADES SETEMPAT - SDH ADA BA DROP, 06/02 HASIL REVIEW TSEL DROP, REDESAIN UNTKU LANJUT ORDER SELANJUTNYA, 04/02 DONE EVAL, HOLD, K"&amp;"ARENA ADA KENAIKAN BOQ SEBESAR 17% DAN CPP 2,046 JT, DAN ADA PRELIM SEBESAR 4 JT UNTUK KADES SETEMPAT 04/02 DONE EVAL, HOLD, KARENA ADA KENAIKAN BOQ SEBESAR 17% DAN CPP 2,046 JT, DAN ADA PRELIM SEBESAR 4 JT UNTUK KADES SETEMPAT, 04/02 PROSES AANWIDJZING, "&amp;"30/01 MENUNGGU JADWAL AANWIJDZING, 27/01 penunjukan oleh procurement ke erikson
 (14/11)HOLD- tidak masuk target Optimis 2025 ((11/11) Penunjukkan MITRA oleh Procurement")</f>
        <v>04/03 DROP CPP 2JT DAN DEVIASI 17%, 24/02 BUTUH REDESAIN DI LAPANGAN KARENA NILAI BOQ NAIK 17% DAN CPP 2 JT DAN ADA PRELIM DG KADES SETEMPAT - SDH ADA BA DROP, 06/02 HASIL REVIEW TSEL DROP, REDESAIN UNTKU LANJUT ORDER SELANJUTNYA, 04/02 DONE EVAL, HOLD, KARENA ADA KENAIKAN BOQ SEBESAR 17% DAN CPP 2,046 JT, DAN ADA PRELIM SEBESAR 4 JT UNTUK KADES SETEMPAT 04/02 DONE EVAL, HOLD, KARENA ADA KENAIKAN BOQ SEBESAR 17% DAN CPP 2,046 JT, DAN ADA PRELIM SEBESAR 4 JT UNTUK KADES SETEMPAT, 04/02 PROSES AANWIDJZING, 30/01 MENUNGGU JADWAL AANWIJDZING, 27/01 penunjukan oleh procurement ke erikson
 (14/11)HOLD- tidak masuk target Optimis 2025 ((11/11) Penunjukkan MITRA oleh Procurement</v>
      </c>
      <c r="R2692" s="228"/>
      <c r="S2692" s="11"/>
      <c r="T2692" s="11"/>
      <c r="U2692" s="11"/>
      <c r="V2692" s="229" t="str">
        <f>IFERROR(__xludf.DUMMYFUNCTION("""COMPUTED_VALUE"""),"RENALDO")</f>
        <v>RENALDO</v>
      </c>
      <c r="W2692" s="229"/>
      <c r="X2692" s="229"/>
      <c r="Y2692" s="229"/>
      <c r="Z2692" s="229" t="str">
        <f>IFERROR(__xludf.DUMMYFUNCTION("""COMPUTED_VALUE"""),"#N/A")</f>
        <v>#N/A</v>
      </c>
      <c r="AA2692" s="229"/>
      <c r="AB2692" s="229"/>
      <c r="AC2692" s="229"/>
      <c r="AD2692" s="232"/>
      <c r="AE2692" s="233"/>
      <c r="AF2692" s="54" t="str">
        <f>IFERROR(__xludf.DUMMYFUNCTION("""COMPUTED_VALUE"""),"Draft BA DROP")</f>
        <v>Draft BA DROP</v>
      </c>
      <c r="AG2692" s="54"/>
      <c r="AH2692" s="54"/>
      <c r="AI2692" s="55" t="str">
        <f t="shared" si="250"/>
        <v/>
      </c>
      <c r="AW2692" s="234"/>
      <c r="BP2692" s="11"/>
      <c r="BQ2692" s="11"/>
      <c r="BV2692" s="158"/>
      <c r="BY2692" s="158"/>
      <c r="CB2692" s="158"/>
    </row>
    <row r="2693" ht="18.0" customHeight="1">
      <c r="A2693" s="222">
        <f>IFERROR(__xludf.DUMMYFUNCTION("""COMPUTED_VALUE"""),2026.0)</f>
        <v>2026</v>
      </c>
      <c r="B2693" s="221">
        <f>IFERROR(__xludf.DUMMYFUNCTION("""COMPUTED_VALUE"""),1.2551223E7)</f>
        <v>12551223</v>
      </c>
      <c r="C2693" s="222" t="str">
        <f>IFERROR(__xludf.DUMMYFUNCTION("""COMPUTED_VALUE"""),"RKP TSEL PT2 KMS-FAQ 250_402_4247")</f>
        <v>RKP TSEL PT2 KMS-FAQ 250_402_4247</v>
      </c>
      <c r="D2693" s="222" t="str">
        <f>IFERROR(__xludf.DUMMYFUNCTION("""COMPUTED_VALUE"""),"REGIONAL I")</f>
        <v>REGIONAL I</v>
      </c>
      <c r="E2693" s="222" t="str">
        <f>IFERROR(__xludf.DUMMYFUNCTION("""COMPUTED_VALUE"""),"RIKEP")</f>
        <v>RIKEP</v>
      </c>
      <c r="F2693" s="222" t="str">
        <f>IFERROR(__xludf.DUMMYFUNCTION("""COMPUTED_VALUE"""),"KMS")</f>
        <v>KMS</v>
      </c>
      <c r="G2693" s="222" t="str">
        <f>IFERROR(__xludf.DUMMYFUNCTION("""COMPUTED_VALUE"""),"SUMBAGTENG")</f>
        <v>SUMBAGTENG</v>
      </c>
      <c r="H2693" s="222" t="str">
        <f>IFERROR(__xludf.DUMMYFUNCTION("""COMPUTED_VALUE"""),"BATAM")</f>
        <v>BATAM</v>
      </c>
      <c r="I2693" s="222" t="str">
        <f>IFERROR(__xludf.DUMMYFUNCTION("""COMPUTED_VALUE"""),"Batch 3")</f>
        <v>Batch 3</v>
      </c>
      <c r="J2693" s="225">
        <f>IFERROR(__xludf.DUMMYFUNCTION("""COMPUTED_VALUE"""),3.0)</f>
        <v>3</v>
      </c>
      <c r="K2693" s="224">
        <f>IFERROR(__xludf.DUMMYFUNCTION("""COMPUTED_VALUE"""),24.0)</f>
        <v>24</v>
      </c>
      <c r="L2693" s="226">
        <f>IFERROR(__xludf.DUMMYFUNCTION("""COMPUTED_VALUE"""),193666.0)</f>
        <v>193666</v>
      </c>
      <c r="M2693" s="227">
        <f>IFERROR(__xludf.DUMMYFUNCTION("""COMPUTED_VALUE"""),4647966.0)</f>
        <v>4647966</v>
      </c>
      <c r="N2693" s="222" t="str">
        <f>IFERROR(__xludf.DUMMYFUNCTION("""COMPUTED_VALUE"""),"PT SALTTEK DUMPANG JAYA")</f>
        <v>PT SALTTEK DUMPANG JAYA</v>
      </c>
      <c r="O2693" s="222" t="str">
        <f>IFERROR(__xludf.DUMMYFUNCTION("""COMPUTED_VALUE"""),"7. GOLIVE")</f>
        <v>7. GOLIVE</v>
      </c>
      <c r="P2693" s="222" t="str">
        <f>IFERROR(__xludf.DUMMYFUNCTION("""COMPUTED_VALUE"""),"7.2 Golive Full / OA / DONE OTB")</f>
        <v>7.2 Golive Full / OA / DONE OTB</v>
      </c>
      <c r="Q2693" s="222" t="str">
        <f>IFERROR(__xludf.DUMMYFUNCTION("""COMPUTED_VALUE"""),"24/04 kenaikan nilai karena ada repair odp eksisting yang sudah tidak layak.
04/03 ABD mitra. 12/02 MP Terbatas di pulau tanjung pinang, tidak bisa komit sampai bulan maret. 09/02 plan anwijzing minggu ini, PIC mitra paralel progres installasi.04/02 Order"&amp;" Batch 3 di survey minggu depan. 23/01 Plan anwijzing 26 Jan, Order Baru. 22/01 Order baru, proses penunjukan mitra")</f>
        <v>24/04 kenaikan nilai karena ada repair odp eksisting yang sudah tidak layak.
04/03 ABD mitra. 12/02 MP Terbatas di pulau tanjung pinang, tidak bisa komit sampai bulan maret. 09/02 plan anwijzing minggu ini, PIC mitra paralel progres installasi.04/02 Order Batch 3 di survey minggu depan. 23/01 Plan anwijzing 26 Jan, Order Baru. 22/01 Order baru, proses penunjukan mitra</v>
      </c>
      <c r="R2693" s="228">
        <f>IFERROR(__xludf.DUMMYFUNCTION("""COMPUTED_VALUE"""),46089.0)</f>
        <v>46089</v>
      </c>
      <c r="S2693" s="11" t="str">
        <f>IFERROR(__xludf.DUMMYFUNCTION("""COMPUTED_VALUE"""),"MAR")</f>
        <v>MAR</v>
      </c>
      <c r="T2693" s="11"/>
      <c r="U2693" s="11" t="str">
        <f>IFERROR(__xludf.DUMMYFUNCTION("""COMPUTED_VALUE"""),"W09-223/2026")</f>
        <v>W09-223/2026</v>
      </c>
      <c r="V2693" s="229" t="str">
        <f>IFERROR(__xludf.DUMMYFUNCTION("""COMPUTED_VALUE"""),"DEDY IRAWAN")</f>
        <v>DEDY IRAWAN</v>
      </c>
      <c r="W2693" s="229" t="str">
        <f>IFERROR(__xludf.DUMMYFUNCTION("""COMPUTED_VALUE"""),"LEVITA INDRIYANI")</f>
        <v>LEVITA INDRIYANI</v>
      </c>
      <c r="X2693" s="229" t="str">
        <f>IFERROR(__xludf.DUMMYFUNCTION("""COMPUTED_VALUE"""),"GOLIVE")</f>
        <v>GOLIVE</v>
      </c>
      <c r="Y2693" s="229" t="str">
        <f>IFERROR(__xludf.DUMMYFUNCTION("""COMPUTED_VALUE"""),"DONE")</f>
        <v>DONE</v>
      </c>
      <c r="Z2693" s="229" t="str">
        <f>IFERROR(__xludf.DUMMYFUNCTION("""COMPUTED_VALUE"""),"#N/A")</f>
        <v>#N/A</v>
      </c>
      <c r="AA2693" s="229">
        <f>IFERROR(__xludf.DUMMYFUNCTION("""COMPUTED_VALUE"""),1.0)</f>
        <v>1</v>
      </c>
      <c r="AB2693" s="229"/>
      <c r="AC2693" s="229" t="str">
        <f>IFERROR(__xludf.DUMMYFUNCTION("""COMPUTED_VALUE"""),"9177956#9177962")</f>
        <v>9177956#9177962</v>
      </c>
      <c r="AD2693" s="232">
        <f>IFERROR(__xludf.DUMMYFUNCTION("""COMPUTED_VALUE"""),24.0)</f>
        <v>24</v>
      </c>
      <c r="AE2693" s="233">
        <f>IFERROR(__xludf.DUMMYFUNCTION("""COMPUTED_VALUE"""),46090.0)</f>
        <v>46090</v>
      </c>
      <c r="AF2693" s="54"/>
      <c r="AG2693" s="54"/>
      <c r="AH2693" s="54">
        <v>46089.0</v>
      </c>
      <c r="AI2693" s="55">
        <f t="shared" ref="AI2693:AI2694" si="251">IF(OR(AH2693="",AE2693=""),"",AH2693-AE2693)</f>
        <v>-1</v>
      </c>
      <c r="AW2693" s="234"/>
      <c r="BP2693" s="11"/>
      <c r="BQ2693" s="11"/>
      <c r="BV2693" s="158"/>
      <c r="BY2693" s="158"/>
      <c r="CB2693" s="158"/>
    </row>
    <row r="2694" ht="18.0" customHeight="1">
      <c r="A2694" s="222">
        <f>IFERROR(__xludf.DUMMYFUNCTION("""COMPUTED_VALUE"""),2026.0)</f>
        <v>2026</v>
      </c>
      <c r="B2694" s="221">
        <f>IFERROR(__xludf.DUMMYFUNCTION("""COMPUTED_VALUE"""),1.1279904E7)</f>
        <v>11279904</v>
      </c>
      <c r="C2694" s="222" t="str">
        <f>IFERROR(__xludf.DUMMYFUNCTION("""COMPUTED_VALUE"""),"RDR DUM PT3 P2I2 PDAM BUKIT TIMAH")</f>
        <v>RDR DUM PT3 P2I2 PDAM BUKIT TIMAH</v>
      </c>
      <c r="D2694" s="222" t="str">
        <f>IFERROR(__xludf.DUMMYFUNCTION("""COMPUTED_VALUE"""),"REGIONAL I")</f>
        <v>REGIONAL I</v>
      </c>
      <c r="E2694" s="222" t="str">
        <f>IFERROR(__xludf.DUMMYFUNCTION("""COMPUTED_VALUE"""),"RIDAR")</f>
        <v>RIDAR</v>
      </c>
      <c r="F2694" s="222" t="str">
        <f>IFERROR(__xludf.DUMMYFUNCTION("""COMPUTED_VALUE"""),"DUM")</f>
        <v>DUM</v>
      </c>
      <c r="G2694" s="222" t="str">
        <f>IFERROR(__xludf.DUMMYFUNCTION("""COMPUTED_VALUE"""),"SUMBAGTENG")</f>
        <v>SUMBAGTENG</v>
      </c>
      <c r="H2694" s="222" t="str">
        <f>IFERROR(__xludf.DUMMYFUNCTION("""COMPUTED_VALUE"""),"DUMAI")</f>
        <v>DUMAI</v>
      </c>
      <c r="I2694" s="222" t="str">
        <f>IFERROR(__xludf.DUMMYFUNCTION("""COMPUTED_VALUE"""),"Batch 3")</f>
        <v>Batch 3</v>
      </c>
      <c r="J2694" s="225">
        <f>IFERROR(__xludf.DUMMYFUNCTION("""COMPUTED_VALUE"""),13.0)</f>
        <v>13</v>
      </c>
      <c r="K2694" s="224">
        <f>IFERROR(__xludf.DUMMYFUNCTION("""COMPUTED_VALUE"""),104.0)</f>
        <v>104</v>
      </c>
      <c r="L2694" s="226">
        <f>IFERROR(__xludf.DUMMYFUNCTION("""COMPUTED_VALUE"""),2288747.0)</f>
        <v>2288747</v>
      </c>
      <c r="M2694" s="227">
        <f>IFERROR(__xludf.DUMMYFUNCTION("""COMPUTED_VALUE"""),2.38029613E8)</f>
        <v>238029613</v>
      </c>
      <c r="N2694" s="222" t="str">
        <f>IFERROR(__xludf.DUMMYFUNCTION("""COMPUTED_VALUE"""),"PT PASIFIK MORA TAMA")</f>
        <v>PT PASIFIK MORA TAMA</v>
      </c>
      <c r="O2694" s="222" t="str">
        <f>IFERROR(__xludf.DUMMYFUNCTION("""COMPUTED_VALUE"""),"7. GOLIVE")</f>
        <v>7. GOLIVE</v>
      </c>
      <c r="P2694" s="222" t="str">
        <f>IFERROR(__xludf.DUMMYFUNCTION("""COMPUTED_VALUE"""),"7.2 Golive Full / OA / DONE OTB")</f>
        <v>7.2 Golive Full / OA / DONE OTB</v>
      </c>
      <c r="Q2694" s="222" t="str">
        <f>IFERROR(__xludf.DUMMYFUNCTION("""COMPUTED_VALUE"""),"22/01 Proses Golive")</f>
        <v>22/01 Proses Golive</v>
      </c>
      <c r="R2694" s="228"/>
      <c r="S2694" s="11"/>
      <c r="T2694" s="11"/>
      <c r="U2694" s="11"/>
      <c r="V2694" s="229" t="str">
        <f>IFERROR(__xludf.DUMMYFUNCTION("""COMPUTED_VALUE"""),"FIRDAUS ZULKARNAIEN")</f>
        <v>FIRDAUS ZULKARNAIEN</v>
      </c>
      <c r="W2694" s="229" t="str">
        <f>IFERROR(__xludf.DUMMYFUNCTION("""COMPUTED_VALUE"""),"ANZALA SAKINAH")</f>
        <v>ANZALA SAKINAH</v>
      </c>
      <c r="X2694" s="229" t="str">
        <f>IFERROR(__xludf.DUMMYFUNCTION("""COMPUTED_VALUE"""),"GOLIVE")</f>
        <v>GOLIVE</v>
      </c>
      <c r="Y2694" s="229" t="str">
        <f>IFERROR(__xludf.DUMMYFUNCTION("""COMPUTED_VALUE"""),"DONE")</f>
        <v>DONE</v>
      </c>
      <c r="Z2694" s="229" t="str">
        <f>IFERROR(__xludf.DUMMYFUNCTION("""COMPUTED_VALUE"""),"#N/A")</f>
        <v>#N/A</v>
      </c>
      <c r="AA2694" s="229">
        <f>IFERROR(__xludf.DUMMYFUNCTION("""COMPUTED_VALUE"""),13.0)</f>
        <v>13</v>
      </c>
      <c r="AB2694" s="229"/>
      <c r="AC2694" s="229" t="str">
        <f>IFERROR(__xludf.DUMMYFUNCTION("""COMPUTED_VALUE"""),"9003281#9003291")</f>
        <v>9003281#9003291</v>
      </c>
      <c r="AD2694" s="232">
        <f>IFERROR(__xludf.DUMMYFUNCTION("""COMPUTED_VALUE"""),104.0)</f>
        <v>104</v>
      </c>
      <c r="AE2694" s="233">
        <f>IFERROR(__xludf.DUMMYFUNCTION("""COMPUTED_VALUE"""),46044.0)</f>
        <v>46044</v>
      </c>
      <c r="AF2694" s="54"/>
      <c r="AG2694" s="54"/>
      <c r="AH2694" s="54"/>
      <c r="AI2694" s="55" t="str">
        <f t="shared" si="251"/>
        <v/>
      </c>
      <c r="AW2694" s="234"/>
      <c r="BP2694" s="11"/>
      <c r="BQ2694" s="11"/>
      <c r="BV2694" s="158"/>
      <c r="BY2694" s="158"/>
      <c r="CB2694" s="158"/>
    </row>
    <row r="2695" hidden="1">
      <c r="A2695" s="222">
        <f>IFERROR(__xludf.DUMMYFUNCTION("""COMPUTED_VALUE"""),2026.0)</f>
        <v>2026</v>
      </c>
      <c r="B2695" s="221">
        <f>IFERROR(__xludf.DUMMYFUNCTION("""COMPUTED_VALUE"""),1.1140213E7)</f>
        <v>11140213</v>
      </c>
      <c r="C2695" s="222" t="str">
        <f>IFERROR(__xludf.DUMMYFUNCTION("""COMPUTED_VALUE"""),"SMU ODC-PMS-FBM D06 PER MANUTUR INDAH 1")</f>
        <v>SMU ODC-PMS-FBM D06 PER MANUTUR INDAH 1</v>
      </c>
      <c r="D2695" s="222" t="str">
        <f>IFERROR(__xludf.DUMMYFUNCTION("""COMPUTED_VALUE"""),"REGIONAL I")</f>
        <v>REGIONAL I</v>
      </c>
      <c r="E2695" s="222" t="str">
        <f>IFERROR(__xludf.DUMMYFUNCTION("""COMPUTED_VALUE"""),"SUMUT")</f>
        <v>SUMUT</v>
      </c>
      <c r="F2695" s="222" t="str">
        <f>IFERROR(__xludf.DUMMYFUNCTION("""COMPUTED_VALUE"""),"PMS")</f>
        <v>PMS</v>
      </c>
      <c r="G2695" s="222" t="str">
        <f>IFERROR(__xludf.DUMMYFUNCTION("""COMPUTED_VALUE"""),"SUMBAGUT")</f>
        <v>SUMBAGUT</v>
      </c>
      <c r="H2695" s="222" t="str">
        <f>IFERROR(__xludf.DUMMYFUNCTION("""COMPUTED_VALUE"""),"PEMATANG SIANTAR")</f>
        <v>PEMATANG SIANTAR</v>
      </c>
      <c r="I2695" s="222" t="str">
        <f>IFERROR(__xludf.DUMMYFUNCTION("""COMPUTED_VALUE"""),"Batch 4a")</f>
        <v>Batch 4a</v>
      </c>
      <c r="J2695" s="225">
        <f>IFERROR(__xludf.DUMMYFUNCTION("""COMPUTED_VALUE"""),8.0)</f>
        <v>8</v>
      </c>
      <c r="K2695" s="224">
        <f>IFERROR(__xludf.DUMMYFUNCTION("""COMPUTED_VALUE"""),64.0)</f>
        <v>64</v>
      </c>
      <c r="L2695" s="226">
        <f>IFERROR(__xludf.DUMMYFUNCTION("""COMPUTED_VALUE"""),1440808.0)</f>
        <v>1440808</v>
      </c>
      <c r="M2695" s="227">
        <f>IFERROR(__xludf.DUMMYFUNCTION("""COMPUTED_VALUE"""),9.2211717E7)</f>
        <v>92211717</v>
      </c>
      <c r="N2695" s="222" t="str">
        <f>IFERROR(__xludf.DUMMYFUNCTION("""COMPUTED_VALUE"""),"PT FIBERHOME TECHNOLOGIES INDONESIA")</f>
        <v>PT FIBERHOME TECHNOLOGIES INDONESIA</v>
      </c>
      <c r="O2695" s="222" t="str">
        <f>IFERROR(__xludf.DUMMYFUNCTION("""COMPUTED_VALUE"""),"1. AANWIJZING")</f>
        <v>1. AANWIJZING</v>
      </c>
      <c r="P2695" s="222" t="str">
        <f>IFERROR(__xludf.DUMMYFUNCTION("""COMPUTED_VALUE"""),"1.5 Belum Aanwidjzing")</f>
        <v>1.5 Belum Aanwidjzing</v>
      </c>
      <c r="Q2695" s="222" t="str">
        <f>IFERROR(__xludf.DUMMYFUNCTION("""COMPUTED_VALUE"""),"27/4 lop sudah pernah di drop kndala  pihak developer meminta internet gratis &amp; tidak ada space tanam tiang krna melewati jalan bypass &amp; jalan tol, ( plan pengajuan penambahan odp dan redesign),  23/4 lop sudah pernah di drop kndala  pihak developer memin"&amp;"ta internet gratis &amp; tidak ada space tanam tiang krna melewati jalan bypass &amp; jalan tol, ( plan pengajuan penambahan odp dan redesign),  1. PERSIAPAN")</f>
        <v>27/4 lop sudah pernah di drop kndala  pihak developer meminta internet gratis &amp; tidak ada space tanam tiang krna melewati jalan bypass &amp; jalan tol, ( plan pengajuan penambahan odp dan redesign),  23/4 lop sudah pernah di drop kndala  pihak developer meminta internet gratis &amp; tidak ada space tanam tiang krna melewati jalan bypass &amp; jalan tol, ( plan pengajuan penambahan odp dan redesign),  1. PERSIAPAN</v>
      </c>
      <c r="R2695" s="228"/>
      <c r="S2695" s="11"/>
      <c r="T2695" s="73"/>
      <c r="U2695" s="11"/>
      <c r="V2695" s="229" t="str">
        <f>IFERROR(__xludf.DUMMYFUNCTION("""COMPUTED_VALUE"""),"30/Apr/2026")</f>
        <v>30/Apr/2026</v>
      </c>
      <c r="W2695" s="229"/>
      <c r="X2695" s="229"/>
      <c r="Y2695" s="229"/>
      <c r="Z2695" s="229"/>
      <c r="AA2695" s="229"/>
      <c r="AB2695" s="229"/>
      <c r="AC2695" s="229"/>
      <c r="AD2695" s="232"/>
      <c r="AE2695" s="233"/>
      <c r="AF2695" s="54"/>
      <c r="AG2695" s="54"/>
      <c r="AH2695" s="54">
        <v>46115.0</v>
      </c>
      <c r="AI2695" s="237">
        <f>AH2695-NOW()</f>
        <v>-25.37798997</v>
      </c>
      <c r="AJ2695" s="229" t="str">
        <f>if(AI2695&gt;=0,"in Komitmen","Out komitmen")</f>
        <v>Out komitmen</v>
      </c>
      <c r="AK2695" s="229" t="s">
        <v>199</v>
      </c>
      <c r="AW2695" s="234"/>
      <c r="BP2695" s="11"/>
      <c r="BQ2695" s="11"/>
      <c r="BV2695" s="158"/>
      <c r="BY2695" s="158"/>
      <c r="CB2695" s="158"/>
    </row>
    <row r="2696">
      <c r="A2696" s="222">
        <f>IFERROR(__xludf.DUMMYFUNCTION("""COMPUTED_VALUE"""),2026.0)</f>
        <v>2026</v>
      </c>
      <c r="B2696" s="221">
        <f>IFERROR(__xludf.DUMMYFUNCTION("""COMPUTED_VALUE"""),1.0573728E7)</f>
        <v>10573728</v>
      </c>
      <c r="C2696" s="222" t="str">
        <f>IFERROR(__xludf.DUMMYFUNCTION("""COMPUTED_VALUE"""),"RDR JPP TSEL P2I2 CEMARA SUITES")</f>
        <v>RDR JPP TSEL P2I2 CEMARA SUITES</v>
      </c>
      <c r="D2696" s="222" t="str">
        <f>IFERROR(__xludf.DUMMYFUNCTION("""COMPUTED_VALUE"""),"REGIONAL I")</f>
        <v>REGIONAL I</v>
      </c>
      <c r="E2696" s="222" t="str">
        <f>IFERROR(__xludf.DUMMYFUNCTION("""COMPUTED_VALUE"""),"RIDAR")</f>
        <v>RIDAR</v>
      </c>
      <c r="F2696" s="222" t="str">
        <f>IFERROR(__xludf.DUMMYFUNCTION("""COMPUTED_VALUE"""),"ARK")</f>
        <v>ARK</v>
      </c>
      <c r="G2696" s="222" t="str">
        <f>IFERROR(__xludf.DUMMYFUNCTION("""COMPUTED_VALUE"""),"SUMBAGTENG")</f>
        <v>SUMBAGTENG</v>
      </c>
      <c r="H2696" s="222" t="str">
        <f>IFERROR(__xludf.DUMMYFUNCTION("""COMPUTED_VALUE"""),"PEKANBARU")</f>
        <v>PEKANBARU</v>
      </c>
      <c r="I2696" s="222" t="str">
        <f>IFERROR(__xludf.DUMMYFUNCTION("""COMPUTED_VALUE"""),"Batch 4a")</f>
        <v>Batch 4a</v>
      </c>
      <c r="J2696" s="225">
        <f>IFERROR(__xludf.DUMMYFUNCTION("""COMPUTED_VALUE"""),13.0)</f>
        <v>13</v>
      </c>
      <c r="K2696" s="224">
        <f>IFERROR(__xludf.DUMMYFUNCTION("""COMPUTED_VALUE"""),104.0)</f>
        <v>104</v>
      </c>
      <c r="L2696" s="226">
        <f>IFERROR(__xludf.DUMMYFUNCTION("""COMPUTED_VALUE"""),1611379.0)</f>
        <v>1611379</v>
      </c>
      <c r="M2696" s="227">
        <f>IFERROR(__xludf.DUMMYFUNCTION("""COMPUTED_VALUE"""),1.67583456E8)</f>
        <v>167583456</v>
      </c>
      <c r="N2696" s="222" t="str">
        <f>IFERROR(__xludf.DUMMYFUNCTION("""COMPUTED_VALUE"""),"PT ACERO CETHA METALINDO")</f>
        <v>PT ACERO CETHA METALINDO</v>
      </c>
      <c r="O2696" s="222" t="str">
        <f>IFERROR(__xludf.DUMMYFUNCTION("""COMPUTED_VALUE"""),"7. GOLIVE")</f>
        <v>7. GOLIVE</v>
      </c>
      <c r="P2696" s="222" t="str">
        <f>IFERROR(__xludf.DUMMYFUNCTION("""COMPUTED_VALUE"""),"7.2 Golive Full / OA / DONE OTB")</f>
        <v>7.2 Golive Full / OA / DONE OTB</v>
      </c>
      <c r="Q2696" s="222" t="str">
        <f>IFERROR(__xludf.DUMMYFUNCTION("""COMPUTED_VALUE"""),"7. GOLIVE")</f>
        <v>7. GOLIVE</v>
      </c>
      <c r="R2696" s="228">
        <f>IFERROR(__xludf.DUMMYFUNCTION("""COMPUTED_VALUE"""),46115.0)</f>
        <v>46115</v>
      </c>
      <c r="S2696" s="11"/>
      <c r="T2696" s="73"/>
      <c r="U2696" s="11"/>
      <c r="V2696" s="229" t="str">
        <f>IFERROR(__xludf.DUMMYFUNCTION("""COMPUTED_VALUE"""),"ONDI EKA SAPUTRA")</f>
        <v>ONDI EKA SAPUTRA</v>
      </c>
      <c r="W2696" s="229"/>
      <c r="X2696" s="229" t="str">
        <f>IFERROR(__xludf.DUMMYFUNCTION("""COMPUTED_VALUE"""),"GOLIVE")</f>
        <v>GOLIVE</v>
      </c>
      <c r="Y2696" s="229" t="str">
        <f>IFERROR(__xludf.DUMMYFUNCTION("""COMPUTED_VALUE"""),"DONE")</f>
        <v>DONE</v>
      </c>
      <c r="Z2696" s="229"/>
      <c r="AA2696" s="229">
        <f>IFERROR(__xludf.DUMMYFUNCTION("""COMPUTED_VALUE"""),13.0)</f>
        <v>13</v>
      </c>
      <c r="AB2696" s="229"/>
      <c r="AC2696" s="229" t="str">
        <f>IFERROR(__xludf.DUMMYFUNCTION("""COMPUTED_VALUE"""),"8654252#8654257")</f>
        <v>8654252#8654257</v>
      </c>
      <c r="AD2696" s="232">
        <f>IFERROR(__xludf.DUMMYFUNCTION("""COMPUTED_VALUE"""),104.0)</f>
        <v>104</v>
      </c>
      <c r="AE2696" s="233">
        <f>IFERROR(__xludf.DUMMYFUNCTION("""COMPUTED_VALUE"""),46115.0)</f>
        <v>46115</v>
      </c>
      <c r="AF2696" s="54"/>
      <c r="AG2696" s="54"/>
      <c r="AH2696" s="54">
        <v>46115.0</v>
      </c>
      <c r="AI2696" s="55">
        <f>IF(OR(AH2696="",AE2696=""),"",AH2696-AE2696)</f>
        <v>0</v>
      </c>
      <c r="AJ2696" s="229" t="str">
        <f>if(AI2696&gt;=0,"Gl in Komitmen","Gl out komitmen")</f>
        <v>Gl in Komitmen</v>
      </c>
      <c r="AK2696" s="231" t="s">
        <v>199</v>
      </c>
      <c r="AW2696" s="234"/>
      <c r="BP2696" s="11"/>
      <c r="BQ2696" s="11"/>
      <c r="BV2696" s="158"/>
      <c r="BY2696" s="158"/>
      <c r="CB2696" s="158"/>
    </row>
    <row r="2697" hidden="1">
      <c r="A2697" s="222">
        <f>IFERROR(__xludf.DUMMYFUNCTION("""COMPUTED_VALUE"""),2026.0)</f>
        <v>2026</v>
      </c>
      <c r="B2697" s="221">
        <f>IFERROR(__xludf.DUMMYFUNCTION("""COMPUTED_VALUE"""),1.218737E7)</f>
        <v>12187370</v>
      </c>
      <c r="C2697" s="222" t="str">
        <f>IFERROR(__xludf.DUMMYFUNCTION("""COMPUTED_VALUE"""),"MDN PT3 CTD-FBU ROYAL AVENUE SPBT_MD25")</f>
        <v>MDN PT3 CTD-FBU ROYAL AVENUE SPBT_MD25</v>
      </c>
      <c r="D2697" s="222" t="str">
        <f>IFERROR(__xludf.DUMMYFUNCTION("""COMPUTED_VALUE"""),"REGIONAL I")</f>
        <v>REGIONAL I</v>
      </c>
      <c r="E2697" s="222" t="str">
        <f>IFERROR(__xludf.DUMMYFUNCTION("""COMPUTED_VALUE"""),"MEDAN")</f>
        <v>MEDAN</v>
      </c>
      <c r="F2697" s="222" t="str">
        <f>IFERROR(__xludf.DUMMYFUNCTION("""COMPUTED_VALUE"""),"CTD")</f>
        <v>CTD</v>
      </c>
      <c r="G2697" s="222" t="str">
        <f>IFERROR(__xludf.DUMMYFUNCTION("""COMPUTED_VALUE"""),"SUMBAGUT")</f>
        <v>SUMBAGUT</v>
      </c>
      <c r="H2697" s="222" t="str">
        <f>IFERROR(__xludf.DUMMYFUNCTION("""COMPUTED_VALUE"""),"MEDAN")</f>
        <v>MEDAN</v>
      </c>
      <c r="I2697" s="222" t="str">
        <f>IFERROR(__xludf.DUMMYFUNCTION("""COMPUTED_VALUE"""),"Batch 4a")</f>
        <v>Batch 4a</v>
      </c>
      <c r="J2697" s="225">
        <f>IFERROR(__xludf.DUMMYFUNCTION("""COMPUTED_VALUE"""),3.0)</f>
        <v>3</v>
      </c>
      <c r="K2697" s="224">
        <f>IFERROR(__xludf.DUMMYFUNCTION("""COMPUTED_VALUE"""),24.0)</f>
        <v>24</v>
      </c>
      <c r="L2697" s="226">
        <f>IFERROR(__xludf.DUMMYFUNCTION("""COMPUTED_VALUE"""),1647753.0)</f>
        <v>1647753</v>
      </c>
      <c r="M2697" s="227">
        <f>IFERROR(__xludf.DUMMYFUNCTION("""COMPUTED_VALUE"""),3.9546074E7)</f>
        <v>39546074</v>
      </c>
      <c r="N2697" s="222" t="str">
        <f>IFERROR(__xludf.DUMMYFUNCTION("""COMPUTED_VALUE"""),"PT FIBERHOME TECHNOLOGIES INDONESIA")</f>
        <v>PT FIBERHOME TECHNOLOGIES INDONESIA</v>
      </c>
      <c r="O2697" s="222" t="str">
        <f>IFERROR(__xludf.DUMMYFUNCTION("""COMPUTED_VALUE"""),"1. AANWIJZING")</f>
        <v>1. AANWIJZING</v>
      </c>
      <c r="P2697" s="222" t="str">
        <f>IFERROR(__xludf.DUMMYFUNCTION("""COMPUTED_VALUE"""),"1.5 Belum Aanwidjzing")</f>
        <v>1.5 Belum Aanwidjzing</v>
      </c>
      <c r="Q2697" s="222" t="str">
        <f>IFERROR(__xludf.DUMMYFUNCTION("""COMPUTED_VALUE"""),"1. PERSIAPAN")</f>
        <v>1. PERSIAPAN</v>
      </c>
      <c r="R2697" s="228"/>
      <c r="S2697" s="11"/>
      <c r="T2697" s="73"/>
      <c r="U2697" s="11"/>
      <c r="V2697" s="229" t="str">
        <f>IFERROR(__xludf.DUMMYFUNCTION("""COMPUTED_VALUE"""),"30/Apr/2026")</f>
        <v>30/Apr/2026</v>
      </c>
      <c r="W2697" s="229"/>
      <c r="X2697" s="229"/>
      <c r="Y2697" s="229"/>
      <c r="Z2697" s="229"/>
      <c r="AA2697" s="229"/>
      <c r="AB2697" s="229"/>
      <c r="AC2697" s="229"/>
      <c r="AD2697" s="232"/>
      <c r="AE2697" s="233"/>
      <c r="AF2697" s="54"/>
      <c r="AG2697" s="54"/>
      <c r="AH2697" s="54"/>
      <c r="AI2697" s="55" t="str">
        <f>IF(OR(R2697="",AE2697=""),"",R2697-AE2697)</f>
        <v/>
      </c>
      <c r="AW2697" s="234"/>
      <c r="BP2697" s="11"/>
      <c r="BQ2697" s="11"/>
      <c r="BV2697" s="158"/>
      <c r="BY2697" s="158"/>
      <c r="CB2697" s="158"/>
    </row>
    <row r="2698" hidden="1">
      <c r="A2698" s="222">
        <f>IFERROR(__xludf.DUMMYFUNCTION("""COMPUTED_VALUE"""),2026.0)</f>
        <v>2026</v>
      </c>
      <c r="B2698" s="221">
        <f>IFERROR(__xludf.DUMMYFUNCTION("""COMPUTED_VALUE"""),1.1026068E7)</f>
        <v>11026068</v>
      </c>
      <c r="C2698" s="222" t="str">
        <f>IFERROR(__xludf.DUMMYFUNCTION("""COMPUTED_VALUE"""),"JBI-PT3-MRO-FC-JAMBI_Harapan Residence 3")</f>
        <v>JBI-PT3-MRO-FC-JAMBI_Harapan Residence 3</v>
      </c>
      <c r="D2698" s="222" t="str">
        <f>IFERROR(__xludf.DUMMYFUNCTION("""COMPUTED_VALUE"""),"REGIONAL I")</f>
        <v>REGIONAL I</v>
      </c>
      <c r="E2698" s="222" t="str">
        <f>IFERROR(__xludf.DUMMYFUNCTION("""COMPUTED_VALUE"""),"JAMBI")</f>
        <v>JAMBI</v>
      </c>
      <c r="F2698" s="222" t="str">
        <f>IFERROR(__xludf.DUMMYFUNCTION("""COMPUTED_VALUE"""),"MRO")</f>
        <v>MRO</v>
      </c>
      <c r="G2698" s="222" t="str">
        <f>IFERROR(__xludf.DUMMYFUNCTION("""COMPUTED_VALUE"""),"SUMBAGSEL")</f>
        <v>SUMBAGSEL</v>
      </c>
      <c r="H2698" s="222" t="str">
        <f>IFERROR(__xludf.DUMMYFUNCTION("""COMPUTED_VALUE"""),"JAMBI")</f>
        <v>JAMBI</v>
      </c>
      <c r="I2698" s="222" t="str">
        <f>IFERROR(__xludf.DUMMYFUNCTION("""COMPUTED_VALUE"""),"Batch 4a")</f>
        <v>Batch 4a</v>
      </c>
      <c r="J2698" s="225">
        <f>IFERROR(__xludf.DUMMYFUNCTION("""COMPUTED_VALUE"""),5.0)</f>
        <v>5</v>
      </c>
      <c r="K2698" s="224">
        <f>IFERROR(__xludf.DUMMYFUNCTION("""COMPUTED_VALUE"""),40.0)</f>
        <v>40</v>
      </c>
      <c r="L2698" s="226">
        <f>IFERROR(__xludf.DUMMYFUNCTION("""COMPUTED_VALUE"""),1677820.0)</f>
        <v>1677820</v>
      </c>
      <c r="M2698" s="227">
        <f>IFERROR(__xludf.DUMMYFUNCTION("""COMPUTED_VALUE"""),6.7112816E7)</f>
        <v>67112816</v>
      </c>
      <c r="N2698" s="222" t="str">
        <f>IFERROR(__xludf.DUMMYFUNCTION("""COMPUTED_VALUE"""),"PT ANGSO DUO TELEKOMUNIKASI")</f>
        <v>PT ANGSO DUO TELEKOMUNIKASI</v>
      </c>
      <c r="O2698" s="222" t="str">
        <f>IFERROR(__xludf.DUMMYFUNCTION("""COMPUTED_VALUE"""),"4. MATDEL")</f>
        <v>4. MATDEL</v>
      </c>
      <c r="P2698" s="222" t="str">
        <f>IFERROR(__xludf.DUMMYFUNCTION("""COMPUTED_VALUE"""),"4.2 Sudah Request Material (Alista)")</f>
        <v>4.2 Sudah Request Material (Alista)</v>
      </c>
      <c r="Q2698" s="222" t="str">
        <f>IFERROR(__xludf.DUMMYFUNCTION("""COMPUTED_VALUE"""),"25/4 plan 27 APR kirim material 22/04 Input material 13/4 Anwijdzing done, lanjut DRM 11/04 Proses aanwijzing 06/04 Mapping Mitra")</f>
        <v>25/4 plan 27 APR kirim material 22/04 Input material 13/4 Anwijdzing done, lanjut DRM 11/04 Proses aanwijzing 06/04 Mapping Mitra</v>
      </c>
      <c r="R2698" s="228"/>
      <c r="S2698" s="11"/>
      <c r="T2698" s="11"/>
      <c r="U2698" s="11"/>
      <c r="V2698" s="229"/>
      <c r="W2698" s="229"/>
      <c r="X2698" s="229"/>
      <c r="Y2698" s="229"/>
      <c r="Z2698" s="229"/>
      <c r="AA2698" s="229"/>
      <c r="AB2698" s="229"/>
      <c r="AC2698" s="229"/>
      <c r="AD2698" s="232"/>
      <c r="AE2698" s="233"/>
      <c r="AF2698" s="54"/>
      <c r="AG2698" s="54"/>
      <c r="AH2698" s="54">
        <v>46137.0</v>
      </c>
      <c r="AI2698" s="237">
        <f>AH2698-NOW()</f>
        <v>-3.377990764</v>
      </c>
      <c r="AJ2698" s="229" t="str">
        <f>if(AI2698&gt;=0,"In Komitmen","Out Komitmen")</f>
        <v>Out Komitmen</v>
      </c>
      <c r="AK2698" s="229" t="e">
        <v>#N/A</v>
      </c>
      <c r="AW2698" s="234"/>
      <c r="BP2698" s="11"/>
      <c r="BQ2698" s="11"/>
      <c r="BV2698" s="158"/>
      <c r="BY2698" s="158"/>
      <c r="CB2698" s="158"/>
    </row>
    <row r="2699">
      <c r="A2699" s="222">
        <f>IFERROR(__xludf.DUMMYFUNCTION("""COMPUTED_VALUE"""),2026.0)</f>
        <v>2026</v>
      </c>
      <c r="B2699" s="221">
        <f>IFERROR(__xludf.DUMMYFUNCTION("""COMPUTED_VALUE"""),1.293294E7)</f>
        <v>12932940</v>
      </c>
      <c r="C2699" s="222" t="str">
        <f>IFERROR(__xludf.DUMMYFUNCTION("""COMPUTED_VALUE"""),"RDR JPP PT3 APC Arwana Residence")</f>
        <v>RDR JPP PT3 APC Arwana Residence</v>
      </c>
      <c r="D2699" s="222" t="str">
        <f>IFERROR(__xludf.DUMMYFUNCTION("""COMPUTED_VALUE"""),"REGIONAL I")</f>
        <v>REGIONAL I</v>
      </c>
      <c r="E2699" s="222" t="str">
        <f>IFERROR(__xludf.DUMMYFUNCTION("""COMPUTED_VALUE"""),"RIDAR")</f>
        <v>RIDAR</v>
      </c>
      <c r="F2699" s="222" t="str">
        <f>IFERROR(__xludf.DUMMYFUNCTION("""COMPUTED_VALUE"""),"ARK")</f>
        <v>ARK</v>
      </c>
      <c r="G2699" s="222" t="str">
        <f>IFERROR(__xludf.DUMMYFUNCTION("""COMPUTED_VALUE"""),"SUMBAGTENG")</f>
        <v>SUMBAGTENG</v>
      </c>
      <c r="H2699" s="222" t="str">
        <f>IFERROR(__xludf.DUMMYFUNCTION("""COMPUTED_VALUE"""),"PEKANBARU")</f>
        <v>PEKANBARU</v>
      </c>
      <c r="I2699" s="222" t="str">
        <f>IFERROR(__xludf.DUMMYFUNCTION("""COMPUTED_VALUE"""),"Batch 4a")</f>
        <v>Batch 4a</v>
      </c>
      <c r="J2699" s="225">
        <f>IFERROR(__xludf.DUMMYFUNCTION("""COMPUTED_VALUE"""),5.0)</f>
        <v>5</v>
      </c>
      <c r="K2699" s="224">
        <f>IFERROR(__xludf.DUMMYFUNCTION("""COMPUTED_VALUE"""),40.0)</f>
        <v>40</v>
      </c>
      <c r="L2699" s="226">
        <f>IFERROR(__xludf.DUMMYFUNCTION("""COMPUTED_VALUE"""),920797.0)</f>
        <v>920797</v>
      </c>
      <c r="M2699" s="227">
        <f>IFERROR(__xludf.DUMMYFUNCTION("""COMPUTED_VALUE"""),3.6831871E7)</f>
        <v>36831871</v>
      </c>
      <c r="N2699" s="222" t="str">
        <f>IFERROR(__xludf.DUMMYFUNCTION("""COMPUTED_VALUE"""),"PT TIGA AKSES MANDIRI")</f>
        <v>PT TIGA AKSES MANDIRI</v>
      </c>
      <c r="O2699" s="222" t="str">
        <f>IFERROR(__xludf.DUMMYFUNCTION("""COMPUTED_VALUE"""),"7. GOLIVE")</f>
        <v>7. GOLIVE</v>
      </c>
      <c r="P2699" s="222" t="str">
        <f>IFERROR(__xludf.DUMMYFUNCTION("""COMPUTED_VALUE"""),"7.2 Golive Full / OA / DONE OTB")</f>
        <v>7.2 Golive Full / OA / DONE OTB</v>
      </c>
      <c r="Q2699" s="222" t="str">
        <f>IFERROR(__xludf.DUMMYFUNCTION("""COMPUTED_VALUE"""),"20/04 Pengiriman material ke Lokasi 13/04 Menunggu jadwal review 08/04 Sudah Survey, menunggu jadwal review 06/04 Ogp Survey")</f>
        <v>20/04 Pengiriman material ke Lokasi 13/04 Menunggu jadwal review 08/04 Sudah Survey, menunggu jadwal review 06/04 Ogp Survey</v>
      </c>
      <c r="R2699" s="228">
        <f>IFERROR(__xludf.DUMMYFUNCTION("""COMPUTED_VALUE"""),46141.0)</f>
        <v>46141</v>
      </c>
      <c r="S2699" s="11"/>
      <c r="T2699" s="11"/>
      <c r="U2699" s="11"/>
      <c r="V2699" s="229" t="str">
        <f>IFERROR(__xludf.DUMMYFUNCTION("""COMPUTED_VALUE"""),"PIKI NOFRI SAPUTRA")</f>
        <v>PIKI NOFRI SAPUTRA</v>
      </c>
      <c r="W2699" s="229"/>
      <c r="X2699" s="229" t="str">
        <f>IFERROR(__xludf.DUMMYFUNCTION("""COMPUTED_VALUE"""),"GOLIVE")</f>
        <v>GOLIVE</v>
      </c>
      <c r="Y2699" s="229" t="str">
        <f>IFERROR(__xludf.DUMMYFUNCTION("""COMPUTED_VALUE"""),"DONE")</f>
        <v>DONE</v>
      </c>
      <c r="Z2699" s="229"/>
      <c r="AA2699" s="229">
        <f>IFERROR(__xludf.DUMMYFUNCTION("""COMPUTED_VALUE"""),7.0)</f>
        <v>7</v>
      </c>
      <c r="AB2699" s="229"/>
      <c r="AC2699" s="229" t="str">
        <f>IFERROR(__xludf.DUMMYFUNCTION("""COMPUTED_VALUE"""),"9312527#9312532")</f>
        <v>9312527#9312532</v>
      </c>
      <c r="AD2699" s="232">
        <f>IFERROR(__xludf.DUMMYFUNCTION("""COMPUTED_VALUE"""),56.0)</f>
        <v>56</v>
      </c>
      <c r="AE2699" s="233">
        <f>IFERROR(__xludf.DUMMYFUNCTION("""COMPUTED_VALUE"""),46137.0)</f>
        <v>46137</v>
      </c>
      <c r="AF2699" s="54"/>
      <c r="AG2699" s="54"/>
      <c r="AH2699" s="54">
        <v>46154.0</v>
      </c>
      <c r="AI2699" s="55">
        <f t="shared" ref="AI2699:AI2740" si="252">IF(OR(R2699="",AE2699=""),"",R2699-AE2699)</f>
        <v>4</v>
      </c>
      <c r="AW2699" s="234"/>
      <c r="BP2699" s="11"/>
      <c r="BQ2699" s="11"/>
      <c r="BV2699" s="158"/>
      <c r="BY2699" s="158"/>
      <c r="CB2699" s="158"/>
    </row>
    <row r="2700">
      <c r="A2700" s="222">
        <f>IFERROR(__xludf.DUMMYFUNCTION("""COMPUTED_VALUE"""),2026.0)</f>
        <v>2026</v>
      </c>
      <c r="B2700" s="221">
        <f>IFERROR(__xludf.DUMMYFUNCTION("""COMPUTED_VALUE"""),1.1200068E7)</f>
        <v>11200068</v>
      </c>
      <c r="C2700" s="222" t="str">
        <f>IFERROR(__xludf.DUMMYFUNCTION("""COMPUTED_VALUE"""),"RKP PT3 TSEL SLU-FT PERUM. EDOFA GARDEN")</f>
        <v>RKP PT3 TSEL SLU-FT PERUM. EDOFA GARDEN</v>
      </c>
      <c r="D2700" s="222" t="str">
        <f>IFERROR(__xludf.DUMMYFUNCTION("""COMPUTED_VALUE"""),"REGIONAL I")</f>
        <v>REGIONAL I</v>
      </c>
      <c r="E2700" s="222" t="str">
        <f>IFERROR(__xludf.DUMMYFUNCTION("""COMPUTED_VALUE"""),"RIKEP")</f>
        <v>RIKEP</v>
      </c>
      <c r="F2700" s="222" t="str">
        <f>IFERROR(__xludf.DUMMYFUNCTION("""COMPUTED_VALUE"""),"SLU")</f>
        <v>SLU</v>
      </c>
      <c r="G2700" s="222" t="str">
        <f>IFERROR(__xludf.DUMMYFUNCTION("""COMPUTED_VALUE"""),"SUMBAGTENG")</f>
        <v>SUMBAGTENG</v>
      </c>
      <c r="H2700" s="222" t="str">
        <f>IFERROR(__xludf.DUMMYFUNCTION("""COMPUTED_VALUE"""),"BATAM")</f>
        <v>BATAM</v>
      </c>
      <c r="I2700" s="222" t="str">
        <f>IFERROR(__xludf.DUMMYFUNCTION("""COMPUTED_VALUE"""),"Batch 4a")</f>
        <v>Batch 4a</v>
      </c>
      <c r="J2700" s="225">
        <f>IFERROR(__xludf.DUMMYFUNCTION("""COMPUTED_VALUE"""),3.0)</f>
        <v>3</v>
      </c>
      <c r="K2700" s="224">
        <f>IFERROR(__xludf.DUMMYFUNCTION("""COMPUTED_VALUE"""),24.0)</f>
        <v>24</v>
      </c>
      <c r="L2700" s="226">
        <f>IFERROR(__xludf.DUMMYFUNCTION("""COMPUTED_VALUE"""),1437041.0)</f>
        <v>1437041</v>
      </c>
      <c r="M2700" s="227">
        <f>IFERROR(__xludf.DUMMYFUNCTION("""COMPUTED_VALUE"""),3.4488988E7)</f>
        <v>34488988</v>
      </c>
      <c r="N2700" s="222" t="str">
        <f>IFERROR(__xludf.DUMMYFUNCTION("""COMPUTED_VALUE"""),"PT FIBERHOME TECHNOLOGIES INDONESIA")</f>
        <v>PT FIBERHOME TECHNOLOGIES INDONESIA</v>
      </c>
      <c r="O2700" s="222" t="str">
        <f>IFERROR(__xludf.DUMMYFUNCTION("""COMPUTED_VALUE"""),"1. AANWIJZING")</f>
        <v>1. AANWIJZING</v>
      </c>
      <c r="P2700" s="222" t="str">
        <f>IFERROR(__xludf.DUMMYFUNCTION("""COMPUTED_VALUE"""),"1.5 Belum Aanwidjzing")</f>
        <v>1.5 Belum Aanwidjzing</v>
      </c>
      <c r="Q2700" s="222" t="str">
        <f>IFERROR(__xludf.DUMMYFUNCTION("""COMPUTED_VALUE"""),"24/04 FU kembali by TSEL")</f>
        <v>24/04 FU kembali by TSEL</v>
      </c>
      <c r="R2700" s="228"/>
      <c r="S2700" s="11"/>
      <c r="T2700" s="11"/>
      <c r="U2700" s="11"/>
      <c r="V2700" s="229" t="str">
        <f>IFERROR(__xludf.DUMMYFUNCTION("""COMPUTED_VALUE"""),"MUHAMMAD RIDHO FALFO")</f>
        <v>MUHAMMAD RIDHO FALFO</v>
      </c>
      <c r="W2700" s="229"/>
      <c r="X2700" s="229"/>
      <c r="Y2700" s="229"/>
      <c r="Z2700" s="229"/>
      <c r="AA2700" s="229"/>
      <c r="AB2700" s="229"/>
      <c r="AC2700" s="229"/>
      <c r="AD2700" s="232"/>
      <c r="AE2700" s="233"/>
      <c r="AF2700" s="54"/>
      <c r="AG2700" s="54"/>
      <c r="AH2700" s="54"/>
      <c r="AI2700" s="55" t="str">
        <f t="shared" si="252"/>
        <v/>
      </c>
      <c r="AW2700" s="234"/>
      <c r="BP2700" s="11"/>
      <c r="BQ2700" s="11"/>
      <c r="BV2700" s="158"/>
      <c r="BY2700" s="158"/>
      <c r="CB2700" s="158"/>
    </row>
    <row r="2701">
      <c r="A2701" s="222">
        <f>IFERROR(__xludf.DUMMYFUNCTION("""COMPUTED_VALUE"""),2026.0)</f>
        <v>2026</v>
      </c>
      <c r="B2701" s="221">
        <f>IFERROR(__xludf.DUMMYFUNCTION("""COMPUTED_VALUE"""),1.1242177E7)</f>
        <v>11242177</v>
      </c>
      <c r="C2701" s="222" t="str">
        <f>IFERROR(__xludf.DUMMYFUNCTION("""COMPUTED_VALUE"""),"RKP PT3 TSEL SLU-FAE TAMAN ANUGRAH")</f>
        <v>RKP PT3 TSEL SLU-FAE TAMAN ANUGRAH</v>
      </c>
      <c r="D2701" s="222" t="str">
        <f>IFERROR(__xludf.DUMMYFUNCTION("""COMPUTED_VALUE"""),"REGIONAL I")</f>
        <v>REGIONAL I</v>
      </c>
      <c r="E2701" s="222" t="str">
        <f>IFERROR(__xludf.DUMMYFUNCTION("""COMPUTED_VALUE"""),"RIKEP")</f>
        <v>RIKEP</v>
      </c>
      <c r="F2701" s="222" t="str">
        <f>IFERROR(__xludf.DUMMYFUNCTION("""COMPUTED_VALUE"""),"SLU")</f>
        <v>SLU</v>
      </c>
      <c r="G2701" s="222" t="str">
        <f>IFERROR(__xludf.DUMMYFUNCTION("""COMPUTED_VALUE"""),"SUMBAGTENG")</f>
        <v>SUMBAGTENG</v>
      </c>
      <c r="H2701" s="222" t="str">
        <f>IFERROR(__xludf.DUMMYFUNCTION("""COMPUTED_VALUE"""),"BATAM")</f>
        <v>BATAM</v>
      </c>
      <c r="I2701" s="222" t="str">
        <f>IFERROR(__xludf.DUMMYFUNCTION("""COMPUTED_VALUE"""),"Batch 4a")</f>
        <v>Batch 4a</v>
      </c>
      <c r="J2701" s="225">
        <f>IFERROR(__xludf.DUMMYFUNCTION("""COMPUTED_VALUE"""),4.0)</f>
        <v>4</v>
      </c>
      <c r="K2701" s="224">
        <f>IFERROR(__xludf.DUMMYFUNCTION("""COMPUTED_VALUE"""),32.0)</f>
        <v>32</v>
      </c>
      <c r="L2701" s="226">
        <f>IFERROR(__xludf.DUMMYFUNCTION("""COMPUTED_VALUE"""),1391696.0)</f>
        <v>1391696</v>
      </c>
      <c r="M2701" s="227">
        <f>IFERROR(__xludf.DUMMYFUNCTION("""COMPUTED_VALUE"""),4.4534283E7)</f>
        <v>44534283</v>
      </c>
      <c r="N2701" s="222" t="str">
        <f>IFERROR(__xludf.DUMMYFUNCTION("""COMPUTED_VALUE"""),"PT FIBERHOME TECHNOLOGIES INDONESIA")</f>
        <v>PT FIBERHOME TECHNOLOGIES INDONESIA</v>
      </c>
      <c r="O2701" s="222" t="str">
        <f>IFERROR(__xludf.DUMMYFUNCTION("""COMPUTED_VALUE"""),"1. AANWIJZING")</f>
        <v>1. AANWIJZING</v>
      </c>
      <c r="P2701" s="222" t="str">
        <f>IFERROR(__xludf.DUMMYFUNCTION("""COMPUTED_VALUE"""),"1.5 Belum Aanwidjzing")</f>
        <v>1.5 Belum Aanwidjzing</v>
      </c>
      <c r="Q2701" s="222" t="str">
        <f>IFERROR(__xludf.DUMMYFUNCTION("""COMPUTED_VALUE"""),"24/04 FU kembali by TSEL")</f>
        <v>24/04 FU kembali by TSEL</v>
      </c>
      <c r="R2701" s="228"/>
      <c r="S2701" s="11"/>
      <c r="T2701" s="11"/>
      <c r="U2701" s="11"/>
      <c r="V2701" s="229" t="str">
        <f>IFERROR(__xludf.DUMMYFUNCTION("""COMPUTED_VALUE"""),"MUHAMMAD RIDHO FALFO")</f>
        <v>MUHAMMAD RIDHO FALFO</v>
      </c>
      <c r="W2701" s="229"/>
      <c r="X2701" s="229"/>
      <c r="Y2701" s="229"/>
      <c r="Z2701" s="229"/>
      <c r="AA2701" s="229"/>
      <c r="AB2701" s="229"/>
      <c r="AC2701" s="229"/>
      <c r="AD2701" s="232"/>
      <c r="AE2701" s="233"/>
      <c r="AF2701" s="54"/>
      <c r="AG2701" s="54"/>
      <c r="AH2701" s="54"/>
      <c r="AI2701" s="55" t="str">
        <f t="shared" si="252"/>
        <v/>
      </c>
      <c r="AW2701" s="234"/>
      <c r="BP2701" s="11"/>
      <c r="BQ2701" s="11"/>
      <c r="BV2701" s="158"/>
      <c r="BY2701" s="158"/>
      <c r="CB2701" s="158"/>
    </row>
    <row r="2702" hidden="1">
      <c r="A2702" s="222">
        <f>IFERROR(__xludf.DUMMYFUNCTION("""COMPUTED_VALUE"""),2026.0)</f>
        <v>2026</v>
      </c>
      <c r="B2702" s="221">
        <f>IFERROR(__xludf.DUMMYFUNCTION("""COMPUTED_VALUE"""),1.1587052E7)</f>
        <v>11587052</v>
      </c>
      <c r="C2702" s="222" t="str">
        <f>IFERROR(__xludf.DUMMYFUNCTION("""COMPUTED_VALUE"""),"SMS P3I1 PT3 SGB FCD D02 PERMATA REGENCY")</f>
        <v>SMS P3I1 PT3 SGB FCD D02 PERMATA REGENCY</v>
      </c>
      <c r="D2702" s="222" t="str">
        <f>IFERROR(__xludf.DUMMYFUNCTION("""COMPUTED_VALUE"""),"REGIONAL I")</f>
        <v>REGIONAL I</v>
      </c>
      <c r="E2702" s="222" t="str">
        <f>IFERROR(__xludf.DUMMYFUNCTION("""COMPUTED_VALUE"""),"SUMSEL")</f>
        <v>SUMSEL</v>
      </c>
      <c r="F2702" s="222" t="str">
        <f>IFERROR(__xludf.DUMMYFUNCTION("""COMPUTED_VALUE"""),"SGB")</f>
        <v>SGB</v>
      </c>
      <c r="G2702" s="222" t="str">
        <f>IFERROR(__xludf.DUMMYFUNCTION("""COMPUTED_VALUE"""),"SUMBAGSEL")</f>
        <v>SUMBAGSEL</v>
      </c>
      <c r="H2702" s="222" t="str">
        <f>IFERROR(__xludf.DUMMYFUNCTION("""COMPUTED_VALUE"""),"PALEMBANG")</f>
        <v>PALEMBANG</v>
      </c>
      <c r="I2702" s="222" t="str">
        <f>IFERROR(__xludf.DUMMYFUNCTION("""COMPUTED_VALUE"""),"Batch 4a")</f>
        <v>Batch 4a</v>
      </c>
      <c r="J2702" s="225">
        <f>IFERROR(__xludf.DUMMYFUNCTION("""COMPUTED_VALUE"""),6.0)</f>
        <v>6</v>
      </c>
      <c r="K2702" s="224">
        <f>IFERROR(__xludf.DUMMYFUNCTION("""COMPUTED_VALUE"""),48.0)</f>
        <v>48</v>
      </c>
      <c r="L2702" s="226">
        <f>IFERROR(__xludf.DUMMYFUNCTION("""COMPUTED_VALUE"""),1357762.0)</f>
        <v>1357762</v>
      </c>
      <c r="M2702" s="227">
        <f>IFERROR(__xludf.DUMMYFUNCTION("""COMPUTED_VALUE"""),6.5172579E7)</f>
        <v>65172579</v>
      </c>
      <c r="N2702" s="222" t="str">
        <f>IFERROR(__xludf.DUMMYFUNCTION("""COMPUTED_VALUE"""),"PT FIBERHOME TECHNOLOGIES INDONESIA")</f>
        <v>PT FIBERHOME TECHNOLOGIES INDONESIA</v>
      </c>
      <c r="O2702" s="222" t="str">
        <f>IFERROR(__xludf.DUMMYFUNCTION("""COMPUTED_VALUE"""),"1. AANWIJZING")</f>
        <v>1. AANWIJZING</v>
      </c>
      <c r="P2702" s="222" t="str">
        <f>IFERROR(__xludf.DUMMYFUNCTION("""COMPUTED_VALUE"""),"1.5 Belum Aanwidjzing")</f>
        <v>1.5 Belum Aanwidjzing</v>
      </c>
      <c r="Q2702" s="222" t="str">
        <f>IFERROR(__xludf.DUMMYFUNCTION("""COMPUTED_VALUE"""),"27/04 MASUK BATCH 4A, 06/03 DROP - TDK ADA SPACE UTK TANAM TIANG, 06/02 HASIL REVIEW TSEL DROP - PERIZINAN LURAH, 24/02 DROP - TDK ADA SPACE UTK TANAM TIANG, 06/02 HASIL REVIEW TSEL DROP - PERIZINAN LURAH, 27/01 DROP dilokasi tdk ada space tanam tiang dan"&amp;" tidak mendapatkan izin dari ketua komplek, 07/01 DROP tidak dpt izin dari ketua komplek 27/01 DROP (20/01) DONE AANWIDJZING - TIDAK ADA SPACE UNTUK TANAM TIANG, (15/1) ORDER DITERIMA 14/1, PLAN AANWIJDZING 19 JAN 26 (06/01)order JPP batch-2 2026 ((18/11)"&amp;" tidak masuk target optimis 2025 (18/11 masih kendala perizinan, 17/11 tidak dapat izin dari ketua perumahan, (15/11) sudah jumpa korlpa perumahan a/n tamrin 088743705617 , tunggu info selanjutnya dari beliau (5/11) menunggu jadwal aanwidzjing 23/10 penun"&amp;"jukan mitra
 14/01 penunjukan mitra oleh procurement")</f>
        <v>27/04 MASUK BATCH 4A, 06/03 DROP - TDK ADA SPACE UTK TANAM TIANG, 06/02 HASIL REVIEW TSEL DROP - PERIZINAN LURAH, 24/02 DROP - TDK ADA SPACE UTK TANAM TIANG, 06/02 HASIL REVIEW TSEL DROP - PERIZINAN LURAH, 27/01 DROP dilokasi tdk ada space tanam tiang dan tidak mendapatkan izin dari ketua komplek, 07/01 DROP tidak dpt izin dari ketua komplek 27/01 DROP (20/01) DONE AANWIDJZING - TIDAK ADA SPACE UNTUK TANAM TIANG, (15/1) ORDER DITERIMA 14/1, PLAN AANWIJDZING 19 JAN 26 (06/01)order JPP batch-2 2026 ((18/11) tidak masuk target optimis 2025 (18/11 masih kendala perizinan, 17/11 tidak dapat izin dari ketua perumahan, (15/11) sudah jumpa korlpa perumahan a/n tamrin 088743705617 , tunggu info selanjutnya dari beliau (5/11) menunggu jadwal aanwidzjing 23/10 penunjukan mitra
 14/01 penunjukan mitra oleh procurement</v>
      </c>
      <c r="R2702" s="228"/>
      <c r="S2702" s="11"/>
      <c r="T2702" s="11"/>
      <c r="U2702" s="11"/>
      <c r="V2702" s="229"/>
      <c r="W2702" s="229"/>
      <c r="X2702" s="229"/>
      <c r="Y2702" s="229"/>
      <c r="Z2702" s="229"/>
      <c r="AA2702" s="229"/>
      <c r="AB2702" s="229"/>
      <c r="AC2702" s="229"/>
      <c r="AD2702" s="232"/>
      <c r="AE2702" s="233"/>
      <c r="AF2702" s="54"/>
      <c r="AG2702" s="54"/>
      <c r="AH2702" s="54"/>
      <c r="AI2702" s="55" t="str">
        <f t="shared" si="252"/>
        <v/>
      </c>
      <c r="AW2702" s="234"/>
      <c r="BP2702" s="11"/>
      <c r="BQ2702" s="11"/>
      <c r="BV2702" s="158"/>
      <c r="BY2702" s="158"/>
      <c r="CB2702" s="158"/>
    </row>
    <row r="2703">
      <c r="A2703" s="222">
        <f>IFERROR(__xludf.DUMMYFUNCTION("""COMPUTED_VALUE"""),2026.0)</f>
        <v>2026</v>
      </c>
      <c r="B2703" s="221">
        <f>IFERROR(__xludf.DUMMYFUNCTION("""COMPUTED_VALUE"""),1.1015093E7)</f>
        <v>11015093</v>
      </c>
      <c r="C2703" s="222" t="str">
        <f>IFERROR(__xludf.DUMMYFUNCTION("""COMPUTED_VALUE"""),"RKP PT3 JPPTSEL SLU-FEA YAFINDO THP 4")</f>
        <v>RKP PT3 JPPTSEL SLU-FEA YAFINDO THP 4</v>
      </c>
      <c r="D2703" s="222" t="str">
        <f>IFERROR(__xludf.DUMMYFUNCTION("""COMPUTED_VALUE"""),"REGIONAL I")</f>
        <v>REGIONAL I</v>
      </c>
      <c r="E2703" s="222" t="str">
        <f>IFERROR(__xludf.DUMMYFUNCTION("""COMPUTED_VALUE"""),"RIKEP")</f>
        <v>RIKEP</v>
      </c>
      <c r="F2703" s="222" t="str">
        <f>IFERROR(__xludf.DUMMYFUNCTION("""COMPUTED_VALUE"""),"SLU")</f>
        <v>SLU</v>
      </c>
      <c r="G2703" s="222" t="str">
        <f>IFERROR(__xludf.DUMMYFUNCTION("""COMPUTED_VALUE"""),"SUMBAGTENG")</f>
        <v>SUMBAGTENG</v>
      </c>
      <c r="H2703" s="222" t="str">
        <f>IFERROR(__xludf.DUMMYFUNCTION("""COMPUTED_VALUE"""),"BATAM")</f>
        <v>BATAM</v>
      </c>
      <c r="I2703" s="222" t="str">
        <f>IFERROR(__xludf.DUMMYFUNCTION("""COMPUTED_VALUE"""),"Batch 4a")</f>
        <v>Batch 4a</v>
      </c>
      <c r="J2703" s="225">
        <f>IFERROR(__xludf.DUMMYFUNCTION("""COMPUTED_VALUE"""),6.0)</f>
        <v>6</v>
      </c>
      <c r="K2703" s="224">
        <f>IFERROR(__xludf.DUMMYFUNCTION("""COMPUTED_VALUE"""),48.0)</f>
        <v>48</v>
      </c>
      <c r="L2703" s="226">
        <f>IFERROR(__xludf.DUMMYFUNCTION("""COMPUTED_VALUE"""),1351892.0)</f>
        <v>1351892</v>
      </c>
      <c r="M2703" s="227">
        <f>IFERROR(__xludf.DUMMYFUNCTION("""COMPUTED_VALUE"""),6.4890835E7)</f>
        <v>64890835</v>
      </c>
      <c r="N2703" s="222" t="str">
        <f>IFERROR(__xludf.DUMMYFUNCTION("""COMPUTED_VALUE"""),"PT FIBERHOME TECHNOLOGIES INDONESIA")</f>
        <v>PT FIBERHOME TECHNOLOGIES INDONESIA</v>
      </c>
      <c r="O2703" s="222" t="str">
        <f>IFERROR(__xludf.DUMMYFUNCTION("""COMPUTED_VALUE"""),"1. AANWIJZING")</f>
        <v>1. AANWIJZING</v>
      </c>
      <c r="P2703" s="222" t="str">
        <f>IFERROR(__xludf.DUMMYFUNCTION("""COMPUTED_VALUE"""),"1.5 Belum Aanwidjzing")</f>
        <v>1.5 Belum Aanwidjzing</v>
      </c>
      <c r="Q2703" s="222" t="str">
        <f>IFERROR(__xludf.DUMMYFUNCTION("""COMPUTED_VALUE"""),"24/04 FU kembali by TSEL")</f>
        <v>24/04 FU kembali by TSEL</v>
      </c>
      <c r="R2703" s="228"/>
      <c r="S2703" s="11"/>
      <c r="T2703" s="11"/>
      <c r="U2703" s="11"/>
      <c r="V2703" s="229" t="str">
        <f>IFERROR(__xludf.DUMMYFUNCTION("""COMPUTED_VALUE"""),"MUHAMMAD RIDHO FALFO")</f>
        <v>MUHAMMAD RIDHO FALFO</v>
      </c>
      <c r="W2703" s="229"/>
      <c r="X2703" s="229"/>
      <c r="Y2703" s="229"/>
      <c r="Z2703" s="229"/>
      <c r="AA2703" s="229"/>
      <c r="AB2703" s="229"/>
      <c r="AC2703" s="229"/>
      <c r="AD2703" s="232"/>
      <c r="AE2703" s="233"/>
      <c r="AF2703" s="54"/>
      <c r="AG2703" s="54"/>
      <c r="AH2703" s="54"/>
      <c r="AI2703" s="55" t="str">
        <f t="shared" si="252"/>
        <v/>
      </c>
      <c r="AW2703" s="234"/>
      <c r="BP2703" s="11"/>
      <c r="BQ2703" s="11"/>
      <c r="BV2703" s="158"/>
      <c r="BY2703" s="158"/>
      <c r="CB2703" s="158"/>
    </row>
    <row r="2704">
      <c r="A2704" s="222">
        <f>IFERROR(__xludf.DUMMYFUNCTION("""COMPUTED_VALUE"""),2026.0)</f>
        <v>2026</v>
      </c>
      <c r="B2704" s="221">
        <f>IFERROR(__xludf.DUMMYFUNCTION("""COMPUTED_VALUE"""),1.1442433E7)</f>
        <v>11442433</v>
      </c>
      <c r="C2704" s="222" t="str">
        <f>IFERROR(__xludf.DUMMYFUNCTION("""COMPUTED_VALUE"""),"RKP PT3 TSEL SLU-FCZ CLUSTER DAHLIA")</f>
        <v>RKP PT3 TSEL SLU-FCZ CLUSTER DAHLIA</v>
      </c>
      <c r="D2704" s="222" t="str">
        <f>IFERROR(__xludf.DUMMYFUNCTION("""COMPUTED_VALUE"""),"REGIONAL I")</f>
        <v>REGIONAL I</v>
      </c>
      <c r="E2704" s="222" t="str">
        <f>IFERROR(__xludf.DUMMYFUNCTION("""COMPUTED_VALUE"""),"RIKEP")</f>
        <v>RIKEP</v>
      </c>
      <c r="F2704" s="222" t="str">
        <f>IFERROR(__xludf.DUMMYFUNCTION("""COMPUTED_VALUE"""),"SLU")</f>
        <v>SLU</v>
      </c>
      <c r="G2704" s="222" t="str">
        <f>IFERROR(__xludf.DUMMYFUNCTION("""COMPUTED_VALUE"""),"SUMBAGTENG")</f>
        <v>SUMBAGTENG</v>
      </c>
      <c r="H2704" s="222" t="str">
        <f>IFERROR(__xludf.DUMMYFUNCTION("""COMPUTED_VALUE"""),"BATAM")</f>
        <v>BATAM</v>
      </c>
      <c r="I2704" s="222" t="str">
        <f>IFERROR(__xludf.DUMMYFUNCTION("""COMPUTED_VALUE"""),"Batch 4a")</f>
        <v>Batch 4a</v>
      </c>
      <c r="J2704" s="225">
        <f>IFERROR(__xludf.DUMMYFUNCTION("""COMPUTED_VALUE"""),10.0)</f>
        <v>10</v>
      </c>
      <c r="K2704" s="224">
        <f>IFERROR(__xludf.DUMMYFUNCTION("""COMPUTED_VALUE"""),80.0)</f>
        <v>80</v>
      </c>
      <c r="L2704" s="226">
        <f>IFERROR(__xludf.DUMMYFUNCTION("""COMPUTED_VALUE"""),1327839.0)</f>
        <v>1327839</v>
      </c>
      <c r="M2704" s="227">
        <f>IFERROR(__xludf.DUMMYFUNCTION("""COMPUTED_VALUE"""),1.06227104E8)</f>
        <v>106227104</v>
      </c>
      <c r="N2704" s="222" t="str">
        <f>IFERROR(__xludf.DUMMYFUNCTION("""COMPUTED_VALUE"""),"PT FIBERHOME TECHNOLOGIES INDONESIA")</f>
        <v>PT FIBERHOME TECHNOLOGIES INDONESIA</v>
      </c>
      <c r="O2704" s="222" t="str">
        <f>IFERROR(__xludf.DUMMYFUNCTION("""COMPUTED_VALUE"""),"1. AANWIJZING")</f>
        <v>1. AANWIJZING</v>
      </c>
      <c r="P2704" s="222" t="str">
        <f>IFERROR(__xludf.DUMMYFUNCTION("""COMPUTED_VALUE"""),"1.5 Belum Aanwidjzing")</f>
        <v>1.5 Belum Aanwidjzing</v>
      </c>
      <c r="Q2704" s="222" t="str">
        <f>IFERROR(__xludf.DUMMYFUNCTION("""COMPUTED_VALUE"""),"24/04 FU kembali by TSEL")</f>
        <v>24/04 FU kembali by TSEL</v>
      </c>
      <c r="R2704" s="228"/>
      <c r="S2704" s="11"/>
      <c r="T2704" s="11"/>
      <c r="U2704" s="11"/>
      <c r="V2704" s="229" t="str">
        <f>IFERROR(__xludf.DUMMYFUNCTION("""COMPUTED_VALUE"""),"MUHAMMAD RIDHO FALFO")</f>
        <v>MUHAMMAD RIDHO FALFO</v>
      </c>
      <c r="W2704" s="229"/>
      <c r="X2704" s="229"/>
      <c r="Y2704" s="229"/>
      <c r="Z2704" s="229"/>
      <c r="AA2704" s="229"/>
      <c r="AB2704" s="229"/>
      <c r="AC2704" s="229"/>
      <c r="AD2704" s="232"/>
      <c r="AE2704" s="233"/>
      <c r="AF2704" s="54"/>
      <c r="AG2704" s="54"/>
      <c r="AH2704" s="54"/>
      <c r="AI2704" s="55" t="str">
        <f t="shared" si="252"/>
        <v/>
      </c>
      <c r="AW2704" s="234"/>
      <c r="BP2704" s="11"/>
      <c r="BQ2704" s="11"/>
      <c r="BV2704" s="158"/>
      <c r="BY2704" s="158"/>
      <c r="CB2704" s="158"/>
    </row>
    <row r="2705" hidden="1">
      <c r="A2705" s="222">
        <f>IFERROR(__xludf.DUMMYFUNCTION("""COMPUTED_VALUE"""),2026.0)</f>
        <v>2026</v>
      </c>
      <c r="B2705" s="221">
        <f>IFERROR(__xludf.DUMMYFUNCTION("""COMPUTED_VALUE"""),1.2429905E7)</f>
        <v>12429905</v>
      </c>
      <c r="C2705" s="222" t="str">
        <f>IFERROR(__xludf.DUMMYFUNCTION("""COMPUTED_VALUE"""),"SMS P4I4 PT3 KAG FB D07 GRIYA BARU 2 NEW")</f>
        <v>SMS P4I4 PT3 KAG FB D07 GRIYA BARU 2 NEW</v>
      </c>
      <c r="D2705" s="222" t="str">
        <f>IFERROR(__xludf.DUMMYFUNCTION("""COMPUTED_VALUE"""),"REGIONAL I")</f>
        <v>REGIONAL I</v>
      </c>
      <c r="E2705" s="222" t="str">
        <f>IFERROR(__xludf.DUMMYFUNCTION("""COMPUTED_VALUE"""),"SUMSEL")</f>
        <v>SUMSEL</v>
      </c>
      <c r="F2705" s="222" t="str">
        <f>IFERROR(__xludf.DUMMYFUNCTION("""COMPUTED_VALUE"""),"KAG")</f>
        <v>KAG</v>
      </c>
      <c r="G2705" s="222" t="str">
        <f>IFERROR(__xludf.DUMMYFUNCTION("""COMPUTED_VALUE"""),"SUMBAGSEL")</f>
        <v>SUMBAGSEL</v>
      </c>
      <c r="H2705" s="222" t="str">
        <f>IFERROR(__xludf.DUMMYFUNCTION("""COMPUTED_VALUE"""),"PALEMBANG")</f>
        <v>PALEMBANG</v>
      </c>
      <c r="I2705" s="222" t="str">
        <f>IFERROR(__xludf.DUMMYFUNCTION("""COMPUTED_VALUE"""),"Batch 4a")</f>
        <v>Batch 4a</v>
      </c>
      <c r="J2705" s="225">
        <f>IFERROR(__xludf.DUMMYFUNCTION("""COMPUTED_VALUE"""),2.0)</f>
        <v>2</v>
      </c>
      <c r="K2705" s="224">
        <f>IFERROR(__xludf.DUMMYFUNCTION("""COMPUTED_VALUE"""),16.0)</f>
        <v>16</v>
      </c>
      <c r="L2705" s="226">
        <f>IFERROR(__xludf.DUMMYFUNCTION("""COMPUTED_VALUE"""),1232019.0)</f>
        <v>1232019</v>
      </c>
      <c r="M2705" s="227">
        <f>IFERROR(__xludf.DUMMYFUNCTION("""COMPUTED_VALUE"""),1.9712303E7)</f>
        <v>19712303</v>
      </c>
      <c r="N2705" s="222" t="str">
        <f>IFERROR(__xludf.DUMMYFUNCTION("""COMPUTED_VALUE"""),"PT FIBERHOME TECHNOLOGIES INDONESIA")</f>
        <v>PT FIBERHOME TECHNOLOGIES INDONESIA</v>
      </c>
      <c r="O2705" s="222" t="str">
        <f>IFERROR(__xludf.DUMMYFUNCTION("""COMPUTED_VALUE"""),"1. AANWIJZING")</f>
        <v>1. AANWIJZING</v>
      </c>
      <c r="P2705" s="222" t="str">
        <f>IFERROR(__xludf.DUMMYFUNCTION("""COMPUTED_VALUE"""),"1.5 Belum Aanwidjzing")</f>
        <v>1.5 Belum Aanwidjzing</v>
      </c>
      <c r="Q2705" s="222" t="str">
        <f>IFERROR(__xludf.DUMMYFUNCTION("""COMPUTED_VALUE"""),"27/04 MASUK BATCH 4A, 24/02 DROP - TDK DPT IZIN RT, 30/01 DROP, KARENA DARI PIHAK DEPLOVER TIDAK MEMBERIKAN IZIN PEMBANGUNAN JARINGAN TELKOM, 27/01 Done aanwizjing, order dri tahun 2024, setelah d temuin kembali dri pihak deplover tdk memberi izin untuk a"&amp;"da nya pembangunan jaringan telkom 30/01 DROP, KARENA DARI PIHAK DEPLOVER TIDAK MEMBERIKAN IZIN PEMBANGUNAN JARINGAN TELKOM, 25/01 DROP ORDER SUDAH DARI TAHUN 2024 DAN TIDAK PERNAH DAPAT IZIN DARI DEVELOPER DAN WARGA, (21/01) HI aanwjizng ke lokasi, (15/1"&amp;") ORDER DITERIMA 14/1, PLAN AANWIJDZING 22 JAN 26(06/01)order JPP batch-2 2026 ((14/11)HOLD- tidak masuk target Optimis 2025 (
 14/01 penunjukan mitra oleh procurement")</f>
        <v>27/04 MASUK BATCH 4A, 24/02 DROP - TDK DPT IZIN RT, 30/01 DROP, KARENA DARI PIHAK DEPLOVER TIDAK MEMBERIKAN IZIN PEMBANGUNAN JARINGAN TELKOM, 27/01 Done aanwizjing, order dri tahun 2024, setelah d temuin kembali dri pihak deplover tdk memberi izin untuk ada nya pembangunan jaringan telkom 30/01 DROP, KARENA DARI PIHAK DEPLOVER TIDAK MEMBERIKAN IZIN PEMBANGUNAN JARINGAN TELKOM, 25/01 DROP ORDER SUDAH DARI TAHUN 2024 DAN TIDAK PERNAH DAPAT IZIN DARI DEVELOPER DAN WARGA, (21/01) HI aanwjizng ke lokasi, (15/1) ORDER DITERIMA 14/1, PLAN AANWIJDZING 22 JAN 26(06/01)order JPP batch-2 2026 ((14/11)HOLD- tidak masuk target Optimis 2025 (
 14/01 penunjukan mitra oleh procurement</v>
      </c>
      <c r="R2705" s="228"/>
      <c r="S2705" s="11"/>
      <c r="T2705" s="11"/>
      <c r="U2705" s="11"/>
      <c r="V2705" s="229"/>
      <c r="W2705" s="229"/>
      <c r="X2705" s="229"/>
      <c r="Y2705" s="229"/>
      <c r="Z2705" s="229"/>
      <c r="AA2705" s="229"/>
      <c r="AB2705" s="229"/>
      <c r="AC2705" s="229"/>
      <c r="AD2705" s="232"/>
      <c r="AE2705" s="233"/>
      <c r="AF2705" s="54"/>
      <c r="AG2705" s="54"/>
      <c r="AH2705" s="54"/>
      <c r="AI2705" s="55" t="str">
        <f t="shared" si="252"/>
        <v/>
      </c>
      <c r="AW2705" s="234"/>
      <c r="BP2705" s="11"/>
      <c r="BQ2705" s="11"/>
      <c r="BV2705" s="158"/>
      <c r="BY2705" s="158"/>
      <c r="CB2705" s="158"/>
    </row>
    <row r="2706">
      <c r="A2706" s="222">
        <f>IFERROR(__xludf.DUMMYFUNCTION("""COMPUTED_VALUE"""),2026.0)</f>
        <v>2026</v>
      </c>
      <c r="B2706" s="221">
        <f>IFERROR(__xludf.DUMMYFUNCTION("""COMPUTED_VALUE"""),1.1093257E7)</f>
        <v>11093257</v>
      </c>
      <c r="C2706" s="222" t="str">
        <f>IFERROR(__xludf.DUMMYFUNCTION("""COMPUTED_VALUE"""),"RKP PT3 JPPTSEL SLU-FQ CLUSTER AYANA")</f>
        <v>RKP PT3 JPPTSEL SLU-FQ CLUSTER AYANA</v>
      </c>
      <c r="D2706" s="222" t="str">
        <f>IFERROR(__xludf.DUMMYFUNCTION("""COMPUTED_VALUE"""),"REGIONAL I")</f>
        <v>REGIONAL I</v>
      </c>
      <c r="E2706" s="222" t="str">
        <f>IFERROR(__xludf.DUMMYFUNCTION("""COMPUTED_VALUE"""),"RIKEP")</f>
        <v>RIKEP</v>
      </c>
      <c r="F2706" s="222" t="str">
        <f>IFERROR(__xludf.DUMMYFUNCTION("""COMPUTED_VALUE"""),"SLU")</f>
        <v>SLU</v>
      </c>
      <c r="G2706" s="222" t="str">
        <f>IFERROR(__xludf.DUMMYFUNCTION("""COMPUTED_VALUE"""),"SUMBAGTENG")</f>
        <v>SUMBAGTENG</v>
      </c>
      <c r="H2706" s="222" t="str">
        <f>IFERROR(__xludf.DUMMYFUNCTION("""COMPUTED_VALUE"""),"BATAM")</f>
        <v>BATAM</v>
      </c>
      <c r="I2706" s="222" t="str">
        <f>IFERROR(__xludf.DUMMYFUNCTION("""COMPUTED_VALUE"""),"Batch 4a")</f>
        <v>Batch 4a</v>
      </c>
      <c r="J2706" s="225">
        <f>IFERROR(__xludf.DUMMYFUNCTION("""COMPUTED_VALUE"""),11.0)</f>
        <v>11</v>
      </c>
      <c r="K2706" s="224">
        <f>IFERROR(__xludf.DUMMYFUNCTION("""COMPUTED_VALUE"""),88.0)</f>
        <v>88</v>
      </c>
      <c r="L2706" s="226">
        <f>IFERROR(__xludf.DUMMYFUNCTION("""COMPUTED_VALUE"""),1230338.0)</f>
        <v>1230338</v>
      </c>
      <c r="M2706" s="227">
        <f>IFERROR(__xludf.DUMMYFUNCTION("""COMPUTED_VALUE"""),1.08269736E8)</f>
        <v>108269736</v>
      </c>
      <c r="N2706" s="222" t="str">
        <f>IFERROR(__xludf.DUMMYFUNCTION("""COMPUTED_VALUE"""),"PT FIBERHOME TECHNOLOGIES INDONESIA")</f>
        <v>PT FIBERHOME TECHNOLOGIES INDONESIA</v>
      </c>
      <c r="O2706" s="222" t="str">
        <f>IFERROR(__xludf.DUMMYFUNCTION("""COMPUTED_VALUE"""),"1. AANWIJZING")</f>
        <v>1. AANWIJZING</v>
      </c>
      <c r="P2706" s="222" t="str">
        <f>IFERROR(__xludf.DUMMYFUNCTION("""COMPUTED_VALUE"""),"1.5 Belum Aanwidjzing")</f>
        <v>1.5 Belum Aanwidjzing</v>
      </c>
      <c r="Q2706" s="222" t="str">
        <f>IFERROR(__xludf.DUMMYFUNCTION("""COMPUTED_VALUE"""),"24/04 FU kembali by TSEL")</f>
        <v>24/04 FU kembali by TSEL</v>
      </c>
      <c r="R2706" s="228"/>
      <c r="S2706" s="11"/>
      <c r="T2706" s="11"/>
      <c r="U2706" s="11"/>
      <c r="V2706" s="229" t="str">
        <f>IFERROR(__xludf.DUMMYFUNCTION("""COMPUTED_VALUE"""),"MUHAMMAD RIDHO FALFO")</f>
        <v>MUHAMMAD RIDHO FALFO</v>
      </c>
      <c r="W2706" s="229"/>
      <c r="X2706" s="229"/>
      <c r="Y2706" s="229"/>
      <c r="Z2706" s="229"/>
      <c r="AA2706" s="229"/>
      <c r="AB2706" s="229"/>
      <c r="AC2706" s="229"/>
      <c r="AD2706" s="232"/>
      <c r="AE2706" s="233"/>
      <c r="AF2706" s="54"/>
      <c r="AG2706" s="54"/>
      <c r="AH2706" s="54"/>
      <c r="AI2706" s="55" t="str">
        <f t="shared" si="252"/>
        <v/>
      </c>
      <c r="AW2706" s="234"/>
      <c r="BP2706" s="11"/>
      <c r="BQ2706" s="11"/>
      <c r="BV2706" s="158"/>
      <c r="BY2706" s="158"/>
      <c r="CB2706" s="158"/>
    </row>
    <row r="2707">
      <c r="A2707" s="222">
        <f>IFERROR(__xludf.DUMMYFUNCTION("""COMPUTED_VALUE"""),2026.0)</f>
        <v>2026</v>
      </c>
      <c r="B2707" s="221">
        <f>IFERROR(__xludf.DUMMYFUNCTION("""COMPUTED_VALUE"""),1.1438191E7)</f>
        <v>11438191</v>
      </c>
      <c r="C2707" s="222" t="str">
        <f>IFERROR(__xludf.DUMMYFUNCTION("""COMPUTED_VALUE"""),"RKP PT3 TSEL SLU-FBL RIAU BERTUAH 1")</f>
        <v>RKP PT3 TSEL SLU-FBL RIAU BERTUAH 1</v>
      </c>
      <c r="D2707" s="222" t="str">
        <f>IFERROR(__xludf.DUMMYFUNCTION("""COMPUTED_VALUE"""),"REGIONAL I")</f>
        <v>REGIONAL I</v>
      </c>
      <c r="E2707" s="222" t="str">
        <f>IFERROR(__xludf.DUMMYFUNCTION("""COMPUTED_VALUE"""),"RIKEP")</f>
        <v>RIKEP</v>
      </c>
      <c r="F2707" s="222" t="str">
        <f>IFERROR(__xludf.DUMMYFUNCTION("""COMPUTED_VALUE"""),"SLU")</f>
        <v>SLU</v>
      </c>
      <c r="G2707" s="222" t="str">
        <f>IFERROR(__xludf.DUMMYFUNCTION("""COMPUTED_VALUE"""),"SUMBAGTENG")</f>
        <v>SUMBAGTENG</v>
      </c>
      <c r="H2707" s="222" t="str">
        <f>IFERROR(__xludf.DUMMYFUNCTION("""COMPUTED_VALUE"""),"BATAM")</f>
        <v>BATAM</v>
      </c>
      <c r="I2707" s="222" t="str">
        <f>IFERROR(__xludf.DUMMYFUNCTION("""COMPUTED_VALUE"""),"Batch 4a")</f>
        <v>Batch 4a</v>
      </c>
      <c r="J2707" s="225">
        <f>IFERROR(__xludf.DUMMYFUNCTION("""COMPUTED_VALUE"""),3.0)</f>
        <v>3</v>
      </c>
      <c r="K2707" s="224">
        <f>IFERROR(__xludf.DUMMYFUNCTION("""COMPUTED_VALUE"""),24.0)</f>
        <v>24</v>
      </c>
      <c r="L2707" s="226">
        <f>IFERROR(__xludf.DUMMYFUNCTION("""COMPUTED_VALUE"""),1190262.0)</f>
        <v>1190262</v>
      </c>
      <c r="M2707" s="227">
        <f>IFERROR(__xludf.DUMMYFUNCTION("""COMPUTED_VALUE"""),2.8566278E7)</f>
        <v>28566278</v>
      </c>
      <c r="N2707" s="222" t="str">
        <f>IFERROR(__xludf.DUMMYFUNCTION("""COMPUTED_VALUE"""),"PT FIBERHOME TECHNOLOGIES INDONESIA")</f>
        <v>PT FIBERHOME TECHNOLOGIES INDONESIA</v>
      </c>
      <c r="O2707" s="222" t="str">
        <f>IFERROR(__xludf.DUMMYFUNCTION("""COMPUTED_VALUE"""),"1. AANWIJZING")</f>
        <v>1. AANWIJZING</v>
      </c>
      <c r="P2707" s="222" t="str">
        <f>IFERROR(__xludf.DUMMYFUNCTION("""COMPUTED_VALUE"""),"1.5 Belum Aanwidjzing")</f>
        <v>1.5 Belum Aanwidjzing</v>
      </c>
      <c r="Q2707" s="222" t="str">
        <f>IFERROR(__xludf.DUMMYFUNCTION("""COMPUTED_VALUE"""),"24/04 FU kembali by TSEL")</f>
        <v>24/04 FU kembali by TSEL</v>
      </c>
      <c r="R2707" s="228"/>
      <c r="S2707" s="11"/>
      <c r="T2707" s="11"/>
      <c r="U2707" s="11"/>
      <c r="V2707" s="229" t="str">
        <f>IFERROR(__xludf.DUMMYFUNCTION("""COMPUTED_VALUE"""),"MUHAMMAD RIDHO FALFO")</f>
        <v>MUHAMMAD RIDHO FALFO</v>
      </c>
      <c r="W2707" s="229"/>
      <c r="X2707" s="229"/>
      <c r="Y2707" s="229"/>
      <c r="Z2707" s="229"/>
      <c r="AA2707" s="229"/>
      <c r="AB2707" s="229"/>
      <c r="AC2707" s="229"/>
      <c r="AD2707" s="232"/>
      <c r="AE2707" s="233"/>
      <c r="AF2707" s="54"/>
      <c r="AG2707" s="54"/>
      <c r="AH2707" s="54"/>
      <c r="AI2707" s="55" t="str">
        <f t="shared" si="252"/>
        <v/>
      </c>
      <c r="AW2707" s="234"/>
      <c r="BP2707" s="11"/>
      <c r="BQ2707" s="11"/>
      <c r="BV2707" s="158"/>
      <c r="BY2707" s="158"/>
      <c r="CB2707" s="158"/>
    </row>
    <row r="2708" hidden="1">
      <c r="A2708" s="222">
        <f>IFERROR(__xludf.DUMMYFUNCTION("""COMPUTED_VALUE"""),2026.0)</f>
        <v>2026</v>
      </c>
      <c r="B2708" s="221">
        <f>IFERROR(__xludf.DUMMYFUNCTION("""COMPUTED_VALUE"""),1.1404644E7)</f>
        <v>11404644</v>
      </c>
      <c r="C2708" s="222" t="str">
        <f>IFERROR(__xludf.DUMMYFUNCTION("""COMPUTED_VALUE"""),"LPG PT3 JPP GRAHA ASRI LEMPASING TJK")</f>
        <v>LPG PT3 JPP GRAHA ASRI LEMPASING TJK</v>
      </c>
      <c r="D2708" s="222" t="str">
        <f>IFERROR(__xludf.DUMMYFUNCTION("""COMPUTED_VALUE"""),"REGIONAL I")</f>
        <v>REGIONAL I</v>
      </c>
      <c r="E2708" s="222" t="str">
        <f>IFERROR(__xludf.DUMMYFUNCTION("""COMPUTED_VALUE"""),"LAMPUNG")</f>
        <v>LAMPUNG</v>
      </c>
      <c r="F2708" s="222" t="str">
        <f>IFERROR(__xludf.DUMMYFUNCTION("""COMPUTED_VALUE"""),"TJK")</f>
        <v>TJK</v>
      </c>
      <c r="G2708" s="222" t="str">
        <f>IFERROR(__xludf.DUMMYFUNCTION("""COMPUTED_VALUE"""),"SUMBAGSEL")</f>
        <v>SUMBAGSEL</v>
      </c>
      <c r="H2708" s="222" t="str">
        <f>IFERROR(__xludf.DUMMYFUNCTION("""COMPUTED_VALUE"""),"LAMPUNG")</f>
        <v>LAMPUNG</v>
      </c>
      <c r="I2708" s="222" t="str">
        <f>IFERROR(__xludf.DUMMYFUNCTION("""COMPUTED_VALUE"""),"Batch 4a")</f>
        <v>Batch 4a</v>
      </c>
      <c r="J2708" s="225">
        <f>IFERROR(__xludf.DUMMYFUNCTION("""COMPUTED_VALUE"""),4.0)</f>
        <v>4</v>
      </c>
      <c r="K2708" s="224">
        <f>IFERROR(__xludf.DUMMYFUNCTION("""COMPUTED_VALUE"""),32.0)</f>
        <v>32</v>
      </c>
      <c r="L2708" s="226">
        <f>IFERROR(__xludf.DUMMYFUNCTION("""COMPUTED_VALUE"""),1164125.0)</f>
        <v>1164125</v>
      </c>
      <c r="M2708" s="227">
        <f>IFERROR(__xludf.DUMMYFUNCTION("""COMPUTED_VALUE"""),3.7252011E7)</f>
        <v>37252011</v>
      </c>
      <c r="N2708" s="222" t="str">
        <f>IFERROR(__xludf.DUMMYFUNCTION("""COMPUTED_VALUE"""),"PT FIBERHOME TECHNOLOGIES INDONESIA")</f>
        <v>PT FIBERHOME TECHNOLOGIES INDONESIA</v>
      </c>
      <c r="O2708" s="222" t="str">
        <f>IFERROR(__xludf.DUMMYFUNCTION("""COMPUTED_VALUE"""),"1. AANWIJZING")</f>
        <v>1. AANWIJZING</v>
      </c>
      <c r="P2708" s="222" t="str">
        <f>IFERROR(__xludf.DUMMYFUNCTION("""COMPUTED_VALUE"""),"1.5 Belum Aanwidjzing")</f>
        <v>1.5 Belum Aanwidjzing</v>
      </c>
      <c r="Q2708" s="222" t="str">
        <f>IFERROR(__xludf.DUMMYFUNCTION("""COMPUTED_VALUE"""),"X. DROP")</f>
        <v>X. DROP</v>
      </c>
      <c r="R2708" s="228"/>
      <c r="S2708" s="11"/>
      <c r="T2708" s="11"/>
      <c r="U2708" s="11"/>
      <c r="V2708" s="229"/>
      <c r="W2708" s="229"/>
      <c r="X2708" s="229"/>
      <c r="Y2708" s="229"/>
      <c r="Z2708" s="229"/>
      <c r="AA2708" s="229"/>
      <c r="AB2708" s="229"/>
      <c r="AC2708" s="229"/>
      <c r="AD2708" s="232"/>
      <c r="AE2708" s="233"/>
      <c r="AF2708" s="54"/>
      <c r="AG2708" s="54"/>
      <c r="AH2708" s="54"/>
      <c r="AI2708" s="55" t="str">
        <f t="shared" si="252"/>
        <v/>
      </c>
      <c r="AW2708" s="234"/>
      <c r="BP2708" s="11"/>
      <c r="BQ2708" s="11"/>
      <c r="BV2708" s="158"/>
      <c r="BY2708" s="158"/>
      <c r="CB2708" s="158"/>
    </row>
    <row r="2709">
      <c r="A2709" s="222">
        <f>IFERROR(__xludf.DUMMYFUNCTION("""COMPUTED_VALUE"""),2026.0)</f>
        <v>2026</v>
      </c>
      <c r="B2709" s="221">
        <f>IFERROR(__xludf.DUMMYFUNCTION("""COMPUTED_VALUE"""),1.1242097E7)</f>
        <v>11242097</v>
      </c>
      <c r="C2709" s="222" t="str">
        <f>IFERROR(__xludf.DUMMYFUNCTION("""COMPUTED_VALUE"""),"RKP PT3 TSEL BTC-FEJ GESYA RESIDENCE")</f>
        <v>RKP PT3 TSEL BTC-FEJ GESYA RESIDENCE</v>
      </c>
      <c r="D2709" s="222" t="str">
        <f>IFERROR(__xludf.DUMMYFUNCTION("""COMPUTED_VALUE"""),"REGIONAL I")</f>
        <v>REGIONAL I</v>
      </c>
      <c r="E2709" s="222" t="str">
        <f>IFERROR(__xludf.DUMMYFUNCTION("""COMPUTED_VALUE"""),"RIKEP")</f>
        <v>RIKEP</v>
      </c>
      <c r="F2709" s="222" t="str">
        <f>IFERROR(__xludf.DUMMYFUNCTION("""COMPUTED_VALUE"""),"BTC")</f>
        <v>BTC</v>
      </c>
      <c r="G2709" s="222" t="str">
        <f>IFERROR(__xludf.DUMMYFUNCTION("""COMPUTED_VALUE"""),"SUMBAGTENG")</f>
        <v>SUMBAGTENG</v>
      </c>
      <c r="H2709" s="222" t="str">
        <f>IFERROR(__xludf.DUMMYFUNCTION("""COMPUTED_VALUE"""),"BATAM")</f>
        <v>BATAM</v>
      </c>
      <c r="I2709" s="222" t="str">
        <f>IFERROR(__xludf.DUMMYFUNCTION("""COMPUTED_VALUE"""),"Batch 4a")</f>
        <v>Batch 4a</v>
      </c>
      <c r="J2709" s="225">
        <f>IFERROR(__xludf.DUMMYFUNCTION("""COMPUTED_VALUE"""),6.0)</f>
        <v>6</v>
      </c>
      <c r="K2709" s="224">
        <f>IFERROR(__xludf.DUMMYFUNCTION("""COMPUTED_VALUE"""),48.0)</f>
        <v>48</v>
      </c>
      <c r="L2709" s="226">
        <f>IFERROR(__xludf.DUMMYFUNCTION("""COMPUTED_VALUE"""),1163177.0)</f>
        <v>1163177</v>
      </c>
      <c r="M2709" s="227">
        <f>IFERROR(__xludf.DUMMYFUNCTION("""COMPUTED_VALUE"""),5.5832482E7)</f>
        <v>55832482</v>
      </c>
      <c r="N2709" s="222" t="str">
        <f>IFERROR(__xludf.DUMMYFUNCTION("""COMPUTED_VALUE"""),"PT FIBERHOME TECHNOLOGIES INDONESIA")</f>
        <v>PT FIBERHOME TECHNOLOGIES INDONESIA</v>
      </c>
      <c r="O2709" s="222" t="str">
        <f>IFERROR(__xludf.DUMMYFUNCTION("""COMPUTED_VALUE"""),"1. AANWIJZING")</f>
        <v>1. AANWIJZING</v>
      </c>
      <c r="P2709" s="222" t="str">
        <f>IFERROR(__xludf.DUMMYFUNCTION("""COMPUTED_VALUE"""),"1.5 Belum Aanwidjzing")</f>
        <v>1.5 Belum Aanwidjzing</v>
      </c>
      <c r="Q2709" s="222" t="str">
        <f>IFERROR(__xludf.DUMMYFUNCTION("""COMPUTED_VALUE"""),"24/04 FU kembali by TSEL")</f>
        <v>24/04 FU kembali by TSEL</v>
      </c>
      <c r="R2709" s="228"/>
      <c r="S2709" s="11"/>
      <c r="T2709" s="11"/>
      <c r="U2709" s="11"/>
      <c r="V2709" s="229" t="str">
        <f>IFERROR(__xludf.DUMMYFUNCTION("""COMPUTED_VALUE"""),"GANI PRASTYO")</f>
        <v>GANI PRASTYO</v>
      </c>
      <c r="W2709" s="229"/>
      <c r="X2709" s="229"/>
      <c r="Y2709" s="229"/>
      <c r="Z2709" s="229"/>
      <c r="AA2709" s="229"/>
      <c r="AB2709" s="229"/>
      <c r="AC2709" s="229"/>
      <c r="AD2709" s="232"/>
      <c r="AE2709" s="233"/>
      <c r="AF2709" s="54"/>
      <c r="AG2709" s="54"/>
      <c r="AH2709" s="54"/>
      <c r="AI2709" s="55" t="str">
        <f t="shared" si="252"/>
        <v/>
      </c>
      <c r="AW2709" s="234"/>
      <c r="BP2709" s="11"/>
      <c r="BQ2709" s="11"/>
      <c r="BV2709" s="158"/>
      <c r="BY2709" s="158"/>
      <c r="CB2709" s="158"/>
    </row>
    <row r="2710" hidden="1">
      <c r="A2710" s="222">
        <f>IFERROR(__xludf.DUMMYFUNCTION("""COMPUTED_VALUE"""),2026.0)</f>
        <v>2026</v>
      </c>
      <c r="B2710" s="221">
        <f>IFERROR(__xludf.DUMMYFUNCTION("""COMPUTED_VALUE"""),1.1626098E7)</f>
        <v>11626098</v>
      </c>
      <c r="C2710" s="222" t="str">
        <f>IFERROR(__xludf.DUMMYFUNCTION("""COMPUTED_VALUE"""),"SMS P3I1 PT3 SBU FBE D04 PER LIVERPOOL 1")</f>
        <v>SMS P3I1 PT3 SBU FBE D04 PER LIVERPOOL 1</v>
      </c>
      <c r="D2710" s="222" t="str">
        <f>IFERROR(__xludf.DUMMYFUNCTION("""COMPUTED_VALUE"""),"REGIONAL I")</f>
        <v>REGIONAL I</v>
      </c>
      <c r="E2710" s="222" t="str">
        <f>IFERROR(__xludf.DUMMYFUNCTION("""COMPUTED_VALUE"""),"SUMSEL")</f>
        <v>SUMSEL</v>
      </c>
      <c r="F2710" s="222" t="str">
        <f>IFERROR(__xludf.DUMMYFUNCTION("""COMPUTED_VALUE"""),"SBU")</f>
        <v>SBU</v>
      </c>
      <c r="G2710" s="222" t="str">
        <f>IFERROR(__xludf.DUMMYFUNCTION("""COMPUTED_VALUE"""),"SUMBAGSEL")</f>
        <v>SUMBAGSEL</v>
      </c>
      <c r="H2710" s="222" t="str">
        <f>IFERROR(__xludf.DUMMYFUNCTION("""COMPUTED_VALUE"""),"PALEMBANG")</f>
        <v>PALEMBANG</v>
      </c>
      <c r="I2710" s="222" t="str">
        <f>IFERROR(__xludf.DUMMYFUNCTION("""COMPUTED_VALUE"""),"Batch 4a")</f>
        <v>Batch 4a</v>
      </c>
      <c r="J2710" s="225">
        <f>IFERROR(__xludf.DUMMYFUNCTION("""COMPUTED_VALUE"""),3.0)</f>
        <v>3</v>
      </c>
      <c r="K2710" s="224">
        <f>IFERROR(__xludf.DUMMYFUNCTION("""COMPUTED_VALUE"""),24.0)</f>
        <v>24</v>
      </c>
      <c r="L2710" s="226">
        <f>IFERROR(__xludf.DUMMYFUNCTION("""COMPUTED_VALUE"""),1145927.0)</f>
        <v>1145927</v>
      </c>
      <c r="M2710" s="227">
        <f>IFERROR(__xludf.DUMMYFUNCTION("""COMPUTED_VALUE"""),2.7502248E7)</f>
        <v>27502248</v>
      </c>
      <c r="N2710" s="222" t="str">
        <f>IFERROR(__xludf.DUMMYFUNCTION("""COMPUTED_VALUE"""),"PT FIBERHOME TECHNOLOGIES INDONESIA")</f>
        <v>PT FIBERHOME TECHNOLOGIES INDONESIA</v>
      </c>
      <c r="O2710" s="222" t="str">
        <f>IFERROR(__xludf.DUMMYFUNCTION("""COMPUTED_VALUE"""),"1. AANWIJZING")</f>
        <v>1. AANWIJZING</v>
      </c>
      <c r="P2710" s="222" t="str">
        <f>IFERROR(__xludf.DUMMYFUNCTION("""COMPUTED_VALUE"""),"1.5 Belum Aanwidjzing")</f>
        <v>1.5 Belum Aanwidjzing</v>
      </c>
      <c r="Q2710" s="222" t="str">
        <f>IFERROR(__xludf.DUMMYFUNCTION("""COMPUTED_VALUE"""),"27/04 MASUK BATCH 4A, 06/02 HASIL REVIEW TSEL - SALES KONFIRM KE SALES SENIN 07/01 DROP tidak dpt izin dari RT (21/01) DROP, tidak dpt izin dari RT, (15/1) ORDER DITERIMA MITRA 14/1, plan Aanwijdzing 19 Jan (06/01)order JPP batch-2 2026 ((18/11) tidak mas"&amp;"uk target optimis 2025 (18/11 propose DROP karena tidak dapat izin dari RT, 17/11 propose DROP karena tidak dapat izin dari RT, (5/11 )menunggu jadwal aanwidzjing 23/10 penunjukan mitra")</f>
        <v>27/04 MASUK BATCH 4A, 06/02 HASIL REVIEW TSEL - SALES KONFIRM KE SALES SENIN 07/01 DROP tidak dpt izin dari RT (21/01) DROP, tidak dpt izin dari RT, (15/1) ORDER DITERIMA MITRA 14/1, plan Aanwijdzing 19 Jan (06/01)order JPP batch-2 2026 ((18/11) tidak masuk target optimis 2025 (18/11 propose DROP karena tidak dapat izin dari RT, 17/11 propose DROP karena tidak dapat izin dari RT, (5/11 )menunggu jadwal aanwidzjing 23/10 penunjukan mitra</v>
      </c>
      <c r="R2710" s="228"/>
      <c r="S2710" s="11"/>
      <c r="T2710" s="11"/>
      <c r="U2710" s="11"/>
      <c r="V2710" s="229"/>
      <c r="W2710" s="229"/>
      <c r="X2710" s="229"/>
      <c r="Y2710" s="229"/>
      <c r="Z2710" s="229"/>
      <c r="AA2710" s="229"/>
      <c r="AB2710" s="229"/>
      <c r="AC2710" s="229"/>
      <c r="AD2710" s="232"/>
      <c r="AE2710" s="233"/>
      <c r="AF2710" s="54"/>
      <c r="AG2710" s="54"/>
      <c r="AH2710" s="54"/>
      <c r="AI2710" s="55" t="str">
        <f t="shared" si="252"/>
        <v/>
      </c>
      <c r="AW2710" s="234"/>
      <c r="BP2710" s="11"/>
      <c r="BQ2710" s="11"/>
      <c r="BV2710" s="158"/>
      <c r="BY2710" s="158"/>
      <c r="CB2710" s="158"/>
    </row>
    <row r="2711" hidden="1">
      <c r="A2711" s="222">
        <f>IFERROR(__xludf.DUMMYFUNCTION("""COMPUTED_VALUE"""),2026.0)</f>
        <v>2026</v>
      </c>
      <c r="B2711" s="221">
        <f>IFERROR(__xludf.DUMMYFUNCTION("""COMPUTED_VALUE"""),1.2323005E7)</f>
        <v>12323005</v>
      </c>
      <c r="C2711" s="222" t="str">
        <f>IFERROR(__xludf.DUMMYFUNCTION("""COMPUTED_VALUE"""),"LPG PT4 JPP PERUM DIANDRA HAJIMENA KDT")</f>
        <v>LPG PT4 JPP PERUM DIANDRA HAJIMENA KDT</v>
      </c>
      <c r="D2711" s="222" t="str">
        <f>IFERROR(__xludf.DUMMYFUNCTION("""COMPUTED_VALUE"""),"REGIONAL I")</f>
        <v>REGIONAL I</v>
      </c>
      <c r="E2711" s="222" t="str">
        <f>IFERROR(__xludf.DUMMYFUNCTION("""COMPUTED_VALUE"""),"LAMPUNG")</f>
        <v>LAMPUNG</v>
      </c>
      <c r="F2711" s="222" t="str">
        <f>IFERROR(__xludf.DUMMYFUNCTION("""COMPUTED_VALUE"""),"KDT")</f>
        <v>KDT</v>
      </c>
      <c r="G2711" s="222" t="str">
        <f>IFERROR(__xludf.DUMMYFUNCTION("""COMPUTED_VALUE"""),"SUMBAGSEL")</f>
        <v>SUMBAGSEL</v>
      </c>
      <c r="H2711" s="222" t="str">
        <f>IFERROR(__xludf.DUMMYFUNCTION("""COMPUTED_VALUE"""),"LAMPUNG")</f>
        <v>LAMPUNG</v>
      </c>
      <c r="I2711" s="222" t="str">
        <f>IFERROR(__xludf.DUMMYFUNCTION("""COMPUTED_VALUE"""),"Batch 4a")</f>
        <v>Batch 4a</v>
      </c>
      <c r="J2711" s="225">
        <f>IFERROR(__xludf.DUMMYFUNCTION("""COMPUTED_VALUE"""),15.0)</f>
        <v>15</v>
      </c>
      <c r="K2711" s="224">
        <f>IFERROR(__xludf.DUMMYFUNCTION("""COMPUTED_VALUE"""),120.0)</f>
        <v>120</v>
      </c>
      <c r="L2711" s="226">
        <f>IFERROR(__xludf.DUMMYFUNCTION("""COMPUTED_VALUE"""),1135943.0)</f>
        <v>1135943</v>
      </c>
      <c r="M2711" s="227">
        <f>IFERROR(__xludf.DUMMYFUNCTION("""COMPUTED_VALUE"""),1.36313126E8)</f>
        <v>136313126</v>
      </c>
      <c r="N2711" s="222" t="str">
        <f>IFERROR(__xludf.DUMMYFUNCTION("""COMPUTED_VALUE"""),"PT FIBERHOME TECHNOLOGIES INDONESIA")</f>
        <v>PT FIBERHOME TECHNOLOGIES INDONESIA</v>
      </c>
      <c r="O2711" s="222" t="str">
        <f>IFERROR(__xludf.DUMMYFUNCTION("""COMPUTED_VALUE"""),"1. AANWIJZING")</f>
        <v>1. AANWIJZING</v>
      </c>
      <c r="P2711" s="222" t="str">
        <f>IFERROR(__xludf.DUMMYFUNCTION("""COMPUTED_VALUE"""),"1.5 Belum Aanwidjzing")</f>
        <v>1.5 Belum Aanwidjzing</v>
      </c>
      <c r="Q2711" s="222" t="str">
        <f>IFERROR(__xludf.DUMMYFUNCTION("""COMPUTED_VALUE"""),"X. DROP")</f>
        <v>X. DROP</v>
      </c>
      <c r="R2711" s="228"/>
      <c r="S2711" s="11"/>
      <c r="T2711" s="11"/>
      <c r="U2711" s="11"/>
      <c r="V2711" s="229"/>
      <c r="W2711" s="229"/>
      <c r="X2711" s="229"/>
      <c r="Y2711" s="229"/>
      <c r="Z2711" s="229"/>
      <c r="AA2711" s="229"/>
      <c r="AB2711" s="229"/>
      <c r="AC2711" s="229"/>
      <c r="AD2711" s="232"/>
      <c r="AE2711" s="233"/>
      <c r="AF2711" s="54"/>
      <c r="AG2711" s="54"/>
      <c r="AH2711" s="54"/>
      <c r="AI2711" s="55" t="str">
        <f t="shared" si="252"/>
        <v/>
      </c>
      <c r="AW2711" s="234"/>
      <c r="BP2711" s="11"/>
      <c r="BQ2711" s="11"/>
      <c r="BV2711" s="158"/>
      <c r="BY2711" s="158"/>
      <c r="CB2711" s="158"/>
    </row>
    <row r="2712">
      <c r="A2712" s="222">
        <f>IFERROR(__xludf.DUMMYFUNCTION("""COMPUTED_VALUE"""),2026.0)</f>
        <v>2026</v>
      </c>
      <c r="B2712" s="221">
        <f>IFERROR(__xludf.DUMMYFUNCTION("""COMPUTED_VALUE"""),1.1242141E7)</f>
        <v>11242141</v>
      </c>
      <c r="C2712" s="222" t="str">
        <f>IFERROR(__xludf.DUMMYFUNCTION("""COMPUTED_VALUE"""),"RKP PT3 TSEL BTC-FEJ CLUSTER SAFRON")</f>
        <v>RKP PT3 TSEL BTC-FEJ CLUSTER SAFRON</v>
      </c>
      <c r="D2712" s="222" t="str">
        <f>IFERROR(__xludf.DUMMYFUNCTION("""COMPUTED_VALUE"""),"REGIONAL I")</f>
        <v>REGIONAL I</v>
      </c>
      <c r="E2712" s="222" t="str">
        <f>IFERROR(__xludf.DUMMYFUNCTION("""COMPUTED_VALUE"""),"RIKEP")</f>
        <v>RIKEP</v>
      </c>
      <c r="F2712" s="222" t="str">
        <f>IFERROR(__xludf.DUMMYFUNCTION("""COMPUTED_VALUE"""),"BTC")</f>
        <v>BTC</v>
      </c>
      <c r="G2712" s="222" t="str">
        <f>IFERROR(__xludf.DUMMYFUNCTION("""COMPUTED_VALUE"""),"SUMBAGTENG")</f>
        <v>SUMBAGTENG</v>
      </c>
      <c r="H2712" s="222" t="str">
        <f>IFERROR(__xludf.DUMMYFUNCTION("""COMPUTED_VALUE"""),"BATAM")</f>
        <v>BATAM</v>
      </c>
      <c r="I2712" s="222" t="str">
        <f>IFERROR(__xludf.DUMMYFUNCTION("""COMPUTED_VALUE"""),"Batch 4a")</f>
        <v>Batch 4a</v>
      </c>
      <c r="J2712" s="225">
        <f>IFERROR(__xludf.DUMMYFUNCTION("""COMPUTED_VALUE"""),3.0)</f>
        <v>3</v>
      </c>
      <c r="K2712" s="224">
        <f>IFERROR(__xludf.DUMMYFUNCTION("""COMPUTED_VALUE"""),24.0)</f>
        <v>24</v>
      </c>
      <c r="L2712" s="226">
        <f>IFERROR(__xludf.DUMMYFUNCTION("""COMPUTED_VALUE"""),1108646.0)</f>
        <v>1108646</v>
      </c>
      <c r="M2712" s="227">
        <f>IFERROR(__xludf.DUMMYFUNCTION("""COMPUTED_VALUE"""),2.6607501E7)</f>
        <v>26607501</v>
      </c>
      <c r="N2712" s="222" t="str">
        <f>IFERROR(__xludf.DUMMYFUNCTION("""COMPUTED_VALUE"""),"PT FIBERHOME TECHNOLOGIES INDONESIA")</f>
        <v>PT FIBERHOME TECHNOLOGIES INDONESIA</v>
      </c>
      <c r="O2712" s="222" t="str">
        <f>IFERROR(__xludf.DUMMYFUNCTION("""COMPUTED_VALUE"""),"1. AANWIJZING")</f>
        <v>1. AANWIJZING</v>
      </c>
      <c r="P2712" s="222" t="str">
        <f>IFERROR(__xludf.DUMMYFUNCTION("""COMPUTED_VALUE"""),"1.5 Belum Aanwidjzing")</f>
        <v>1.5 Belum Aanwidjzing</v>
      </c>
      <c r="Q2712" s="222" t="str">
        <f>IFERROR(__xludf.DUMMYFUNCTION("""COMPUTED_VALUE"""),"24/04 FU kembali by TSEL")</f>
        <v>24/04 FU kembali by TSEL</v>
      </c>
      <c r="R2712" s="228"/>
      <c r="S2712" s="11"/>
      <c r="T2712" s="11"/>
      <c r="U2712" s="11"/>
      <c r="V2712" s="229" t="str">
        <f>IFERROR(__xludf.DUMMYFUNCTION("""COMPUTED_VALUE"""),"GANI PRASTYO")</f>
        <v>GANI PRASTYO</v>
      </c>
      <c r="W2712" s="229"/>
      <c r="X2712" s="229"/>
      <c r="Y2712" s="229"/>
      <c r="Z2712" s="229"/>
      <c r="AA2712" s="229"/>
      <c r="AB2712" s="229"/>
      <c r="AC2712" s="229"/>
      <c r="AD2712" s="232"/>
      <c r="AE2712" s="233"/>
      <c r="AF2712" s="54"/>
      <c r="AG2712" s="54"/>
      <c r="AH2712" s="54"/>
      <c r="AI2712" s="55" t="str">
        <f t="shared" si="252"/>
        <v/>
      </c>
      <c r="AW2712" s="234"/>
      <c r="BP2712" s="11"/>
      <c r="BQ2712" s="11"/>
      <c r="BV2712" s="158"/>
      <c r="BY2712" s="158"/>
      <c r="CB2712" s="158"/>
    </row>
    <row r="2713" hidden="1">
      <c r="A2713" s="222">
        <f>IFERROR(__xludf.DUMMYFUNCTION("""COMPUTED_VALUE"""),2026.0)</f>
        <v>2026</v>
      </c>
      <c r="B2713" s="221">
        <f>IFERROR(__xludf.DUMMYFUNCTION("""COMPUTED_VALUE"""),1.2128061E7)</f>
        <v>12128061</v>
      </c>
      <c r="C2713" s="222" t="str">
        <f>IFERROR(__xludf.DUMMYFUNCTION("""COMPUTED_VALUE"""),"LPG PT3 JPP Villa Sumber Agung LKP")</f>
        <v>LPG PT3 JPP Villa Sumber Agung LKP</v>
      </c>
      <c r="D2713" s="222" t="str">
        <f>IFERROR(__xludf.DUMMYFUNCTION("""COMPUTED_VALUE"""),"REGIONAL I")</f>
        <v>REGIONAL I</v>
      </c>
      <c r="E2713" s="222" t="str">
        <f>IFERROR(__xludf.DUMMYFUNCTION("""COMPUTED_VALUE"""),"LAMPUNG")</f>
        <v>LAMPUNG</v>
      </c>
      <c r="F2713" s="222" t="str">
        <f>IFERROR(__xludf.DUMMYFUNCTION("""COMPUTED_VALUE"""),"LKP")</f>
        <v>LKP</v>
      </c>
      <c r="G2713" s="222" t="str">
        <f>IFERROR(__xludf.DUMMYFUNCTION("""COMPUTED_VALUE"""),"SUMBAGSEL")</f>
        <v>SUMBAGSEL</v>
      </c>
      <c r="H2713" s="222" t="str">
        <f>IFERROR(__xludf.DUMMYFUNCTION("""COMPUTED_VALUE"""),"LAMPUNG")</f>
        <v>LAMPUNG</v>
      </c>
      <c r="I2713" s="222" t="str">
        <f>IFERROR(__xludf.DUMMYFUNCTION("""COMPUTED_VALUE"""),"Batch 4a")</f>
        <v>Batch 4a</v>
      </c>
      <c r="J2713" s="225">
        <f>IFERROR(__xludf.DUMMYFUNCTION("""COMPUTED_VALUE"""),8.0)</f>
        <v>8</v>
      </c>
      <c r="K2713" s="224">
        <f>IFERROR(__xludf.DUMMYFUNCTION("""COMPUTED_VALUE"""),64.0)</f>
        <v>64</v>
      </c>
      <c r="L2713" s="226">
        <f>IFERROR(__xludf.DUMMYFUNCTION("""COMPUTED_VALUE"""),1073922.0)</f>
        <v>1073922</v>
      </c>
      <c r="M2713" s="227">
        <f>IFERROR(__xludf.DUMMYFUNCTION("""COMPUTED_VALUE"""),6.8731031E7)</f>
        <v>68731031</v>
      </c>
      <c r="N2713" s="222" t="str">
        <f>IFERROR(__xludf.DUMMYFUNCTION("""COMPUTED_VALUE"""),"PT FIBERHOME TECHNOLOGIES INDONESIA")</f>
        <v>PT FIBERHOME TECHNOLOGIES INDONESIA</v>
      </c>
      <c r="O2713" s="222" t="str">
        <f>IFERROR(__xludf.DUMMYFUNCTION("""COMPUTED_VALUE"""),"1. AANWIJZING")</f>
        <v>1. AANWIJZING</v>
      </c>
      <c r="P2713" s="222" t="str">
        <f>IFERROR(__xludf.DUMMYFUNCTION("""COMPUTED_VALUE"""),"1.5 Belum Aanwidjzing")</f>
        <v>1.5 Belum Aanwidjzing</v>
      </c>
      <c r="Q2713" s="222" t="str">
        <f>IFERROR(__xludf.DUMMYFUNCTION("""COMPUTED_VALUE"""),"X. DROP")</f>
        <v>X. DROP</v>
      </c>
      <c r="R2713" s="228"/>
      <c r="S2713" s="11"/>
      <c r="T2713" s="11"/>
      <c r="U2713" s="11"/>
      <c r="V2713" s="229"/>
      <c r="W2713" s="229"/>
      <c r="X2713" s="229"/>
      <c r="Y2713" s="229"/>
      <c r="Z2713" s="229"/>
      <c r="AA2713" s="229"/>
      <c r="AB2713" s="229"/>
      <c r="AC2713" s="229"/>
      <c r="AD2713" s="232"/>
      <c r="AE2713" s="233"/>
      <c r="AF2713" s="54"/>
      <c r="AG2713" s="54"/>
      <c r="AH2713" s="54"/>
      <c r="AI2713" s="55" t="str">
        <f t="shared" si="252"/>
        <v/>
      </c>
      <c r="AW2713" s="234"/>
      <c r="BP2713" s="11"/>
      <c r="BQ2713" s="11"/>
      <c r="BV2713" s="158"/>
      <c r="BY2713" s="158"/>
      <c r="CB2713" s="158"/>
    </row>
    <row r="2714">
      <c r="A2714" s="222">
        <f>IFERROR(__xludf.DUMMYFUNCTION("""COMPUTED_VALUE"""),2026.0)</f>
        <v>2026</v>
      </c>
      <c r="B2714" s="221">
        <f>IFERROR(__xludf.DUMMYFUNCTION("""COMPUTED_VALUE"""),1.1043068E7)</f>
        <v>11043068</v>
      </c>
      <c r="C2714" s="222" t="str">
        <f>IFERROR(__xludf.DUMMYFUNCTION("""COMPUTED_VALUE"""),"RKP PT3 JPPTSEL NGS-FAC DEVELYN RESIDENCE")</f>
        <v>RKP PT3 JPPTSEL NGS-FAC DEVELYN RESIDENCE</v>
      </c>
      <c r="D2714" s="222" t="str">
        <f>IFERROR(__xludf.DUMMYFUNCTION("""COMPUTED_VALUE"""),"REGIONAL I")</f>
        <v>REGIONAL I</v>
      </c>
      <c r="E2714" s="222" t="str">
        <f>IFERROR(__xludf.DUMMYFUNCTION("""COMPUTED_VALUE"""),"RIKEP")</f>
        <v>RIKEP</v>
      </c>
      <c r="F2714" s="222" t="str">
        <f>IFERROR(__xludf.DUMMYFUNCTION("""COMPUTED_VALUE"""),"NGS")</f>
        <v>NGS</v>
      </c>
      <c r="G2714" s="222" t="str">
        <f>IFERROR(__xludf.DUMMYFUNCTION("""COMPUTED_VALUE"""),"SUMBAGTENG")</f>
        <v>SUMBAGTENG</v>
      </c>
      <c r="H2714" s="222" t="str">
        <f>IFERROR(__xludf.DUMMYFUNCTION("""COMPUTED_VALUE"""),"BATAM")</f>
        <v>BATAM</v>
      </c>
      <c r="I2714" s="222" t="str">
        <f>IFERROR(__xludf.DUMMYFUNCTION("""COMPUTED_VALUE"""),"Batch 4a")</f>
        <v>Batch 4a</v>
      </c>
      <c r="J2714" s="225">
        <f>IFERROR(__xludf.DUMMYFUNCTION("""COMPUTED_VALUE"""),20.0)</f>
        <v>20</v>
      </c>
      <c r="K2714" s="224">
        <f>IFERROR(__xludf.DUMMYFUNCTION("""COMPUTED_VALUE"""),160.0)</f>
        <v>160</v>
      </c>
      <c r="L2714" s="226">
        <f>IFERROR(__xludf.DUMMYFUNCTION("""COMPUTED_VALUE"""),1033169.0)</f>
        <v>1033169</v>
      </c>
      <c r="M2714" s="227">
        <f>IFERROR(__xludf.DUMMYFUNCTION("""COMPUTED_VALUE"""),1.65307104E8)</f>
        <v>165307104</v>
      </c>
      <c r="N2714" s="222" t="str">
        <f>IFERROR(__xludf.DUMMYFUNCTION("""COMPUTED_VALUE"""),"PT FIBERHOME TECHNOLOGIES INDONESIA")</f>
        <v>PT FIBERHOME TECHNOLOGIES INDONESIA</v>
      </c>
      <c r="O2714" s="222" t="str">
        <f>IFERROR(__xludf.DUMMYFUNCTION("""COMPUTED_VALUE"""),"1. AANWIJZING")</f>
        <v>1. AANWIJZING</v>
      </c>
      <c r="P2714" s="222" t="str">
        <f>IFERROR(__xludf.DUMMYFUNCTION("""COMPUTED_VALUE"""),"1.5 Belum Aanwidjzing")</f>
        <v>1.5 Belum Aanwidjzing</v>
      </c>
      <c r="Q2714" s="222" t="str">
        <f>IFERROR(__xludf.DUMMYFUNCTION("""COMPUTED_VALUE"""),"24/04 FU kembali by TSEL")</f>
        <v>24/04 FU kembali by TSEL</v>
      </c>
      <c r="R2714" s="228"/>
      <c r="S2714" s="11"/>
      <c r="T2714" s="11"/>
      <c r="U2714" s="11"/>
      <c r="V2714" s="229" t="str">
        <f>IFERROR(__xludf.DUMMYFUNCTION("""COMPUTED_VALUE"""),"GANI PRASTYO")</f>
        <v>GANI PRASTYO</v>
      </c>
      <c r="W2714" s="229"/>
      <c r="X2714" s="229"/>
      <c r="Y2714" s="229"/>
      <c r="Z2714" s="229"/>
      <c r="AA2714" s="229"/>
      <c r="AB2714" s="229"/>
      <c r="AC2714" s="229"/>
      <c r="AD2714" s="232"/>
      <c r="AE2714" s="233"/>
      <c r="AF2714" s="54"/>
      <c r="AG2714" s="54"/>
      <c r="AH2714" s="54"/>
      <c r="AI2714" s="55" t="str">
        <f t="shared" si="252"/>
        <v/>
      </c>
      <c r="AW2714" s="234"/>
      <c r="BP2714" s="11"/>
      <c r="BQ2714" s="11"/>
      <c r="BV2714" s="158"/>
      <c r="BY2714" s="158"/>
      <c r="CB2714" s="158"/>
    </row>
    <row r="2715" hidden="1">
      <c r="A2715" s="222">
        <f>IFERROR(__xludf.DUMMYFUNCTION("""COMPUTED_VALUE"""),2026.0)</f>
        <v>2026</v>
      </c>
      <c r="B2715" s="221">
        <f>IFERROR(__xludf.DUMMYFUNCTION("""COMPUTED_VALUE"""),1.2128852E7)</f>
        <v>12128852</v>
      </c>
      <c r="C2715" s="222" t="str">
        <f>IFERROR(__xludf.DUMMYFUNCTION("""COMPUTED_VALUE"""),"LPG PT3 JPP PERUM ASKA RESIDENCE KDT")</f>
        <v>LPG PT3 JPP PERUM ASKA RESIDENCE KDT</v>
      </c>
      <c r="D2715" s="222" t="str">
        <f>IFERROR(__xludf.DUMMYFUNCTION("""COMPUTED_VALUE"""),"REGIONAL I")</f>
        <v>REGIONAL I</v>
      </c>
      <c r="E2715" s="222" t="str">
        <f>IFERROR(__xludf.DUMMYFUNCTION("""COMPUTED_VALUE"""),"LAMPUNG")</f>
        <v>LAMPUNG</v>
      </c>
      <c r="F2715" s="222" t="str">
        <f>IFERROR(__xludf.DUMMYFUNCTION("""COMPUTED_VALUE"""),"KDT")</f>
        <v>KDT</v>
      </c>
      <c r="G2715" s="222" t="str">
        <f>IFERROR(__xludf.DUMMYFUNCTION("""COMPUTED_VALUE"""),"SUMBAGSEL")</f>
        <v>SUMBAGSEL</v>
      </c>
      <c r="H2715" s="222" t="str">
        <f>IFERROR(__xludf.DUMMYFUNCTION("""COMPUTED_VALUE"""),"LAMPUNG")</f>
        <v>LAMPUNG</v>
      </c>
      <c r="I2715" s="222" t="str">
        <f>IFERROR(__xludf.DUMMYFUNCTION("""COMPUTED_VALUE"""),"Batch 4a")</f>
        <v>Batch 4a</v>
      </c>
      <c r="J2715" s="225">
        <f>IFERROR(__xludf.DUMMYFUNCTION("""COMPUTED_VALUE"""),4.0)</f>
        <v>4</v>
      </c>
      <c r="K2715" s="224">
        <f>IFERROR(__xludf.DUMMYFUNCTION("""COMPUTED_VALUE"""),32.0)</f>
        <v>32</v>
      </c>
      <c r="L2715" s="226">
        <f>IFERROR(__xludf.DUMMYFUNCTION("""COMPUTED_VALUE"""),946576.0)</f>
        <v>946576</v>
      </c>
      <c r="M2715" s="227">
        <f>IFERROR(__xludf.DUMMYFUNCTION("""COMPUTED_VALUE"""),3.0290445E7)</f>
        <v>30290445</v>
      </c>
      <c r="N2715" s="222" t="str">
        <f>IFERROR(__xludf.DUMMYFUNCTION("""COMPUTED_VALUE"""),"PT FIBERHOME TECHNOLOGIES INDONESIA")</f>
        <v>PT FIBERHOME TECHNOLOGIES INDONESIA</v>
      </c>
      <c r="O2715" s="222" t="str">
        <f>IFERROR(__xludf.DUMMYFUNCTION("""COMPUTED_VALUE"""),"1. AANWIJZING")</f>
        <v>1. AANWIJZING</v>
      </c>
      <c r="P2715" s="222" t="str">
        <f>IFERROR(__xludf.DUMMYFUNCTION("""COMPUTED_VALUE"""),"1.5 Belum Aanwidjzing")</f>
        <v>1.5 Belum Aanwidjzing</v>
      </c>
      <c r="Q2715" s="222" t="str">
        <f>IFERROR(__xludf.DUMMYFUNCTION("""COMPUTED_VALUE"""),"X. DROP")</f>
        <v>X. DROP</v>
      </c>
      <c r="R2715" s="228"/>
      <c r="S2715" s="11"/>
      <c r="T2715" s="11"/>
      <c r="U2715" s="11"/>
      <c r="V2715" s="229"/>
      <c r="W2715" s="229"/>
      <c r="X2715" s="229"/>
      <c r="Y2715" s="229"/>
      <c r="Z2715" s="229"/>
      <c r="AA2715" s="229"/>
      <c r="AB2715" s="229"/>
      <c r="AC2715" s="229"/>
      <c r="AD2715" s="232"/>
      <c r="AE2715" s="233"/>
      <c r="AF2715" s="54"/>
      <c r="AG2715" s="54"/>
      <c r="AH2715" s="54"/>
      <c r="AI2715" s="55" t="str">
        <f t="shared" si="252"/>
        <v/>
      </c>
      <c r="AW2715" s="234"/>
      <c r="BP2715" s="11"/>
      <c r="BQ2715" s="11"/>
      <c r="BV2715" s="158"/>
      <c r="BY2715" s="158"/>
      <c r="CB2715" s="158"/>
    </row>
    <row r="2716" hidden="1">
      <c r="A2716" s="222">
        <f>IFERROR(__xludf.DUMMYFUNCTION("""COMPUTED_VALUE"""),2026.0)</f>
        <v>2026</v>
      </c>
      <c r="B2716" s="221">
        <f>IFERROR(__xludf.DUMMYFUNCTION("""COMPUTED_VALUE"""),1.1580306E7)</f>
        <v>11580306</v>
      </c>
      <c r="C2716" s="222" t="str">
        <f>IFERROR(__xludf.DUMMYFUNCTION("""COMPUTED_VALUE"""),"SMS P3I1 PT3 BKS FAG D04 ANTAPURA ASRI")</f>
        <v>SMS P3I1 PT3 BKS FAG D04 ANTAPURA ASRI</v>
      </c>
      <c r="D2716" s="222" t="str">
        <f>IFERROR(__xludf.DUMMYFUNCTION("""COMPUTED_VALUE"""),"REGIONAL I")</f>
        <v>REGIONAL I</v>
      </c>
      <c r="E2716" s="222" t="str">
        <f>IFERROR(__xludf.DUMMYFUNCTION("""COMPUTED_VALUE"""),"SUMSEL")</f>
        <v>SUMSEL</v>
      </c>
      <c r="F2716" s="222" t="str">
        <f>IFERROR(__xludf.DUMMYFUNCTION("""COMPUTED_VALUE"""),"BKS")</f>
        <v>BKS</v>
      </c>
      <c r="G2716" s="222" t="str">
        <f>IFERROR(__xludf.DUMMYFUNCTION("""COMPUTED_VALUE"""),"SUMBAGSEL")</f>
        <v>SUMBAGSEL</v>
      </c>
      <c r="H2716" s="222" t="str">
        <f>IFERROR(__xludf.DUMMYFUNCTION("""COMPUTED_VALUE"""),"PALEMBANG")</f>
        <v>PALEMBANG</v>
      </c>
      <c r="I2716" s="222" t="str">
        <f>IFERROR(__xludf.DUMMYFUNCTION("""COMPUTED_VALUE"""),"Batch 4a")</f>
        <v>Batch 4a</v>
      </c>
      <c r="J2716" s="225">
        <f>IFERROR(__xludf.DUMMYFUNCTION("""COMPUTED_VALUE"""),2.0)</f>
        <v>2</v>
      </c>
      <c r="K2716" s="224">
        <f>IFERROR(__xludf.DUMMYFUNCTION("""COMPUTED_VALUE"""),16.0)</f>
        <v>16</v>
      </c>
      <c r="L2716" s="226">
        <f>IFERROR(__xludf.DUMMYFUNCTION("""COMPUTED_VALUE"""),914530.0)</f>
        <v>914530</v>
      </c>
      <c r="M2716" s="227">
        <f>IFERROR(__xludf.DUMMYFUNCTION("""COMPUTED_VALUE"""),1.4632487E7)</f>
        <v>14632487</v>
      </c>
      <c r="N2716" s="222" t="str">
        <f>IFERROR(__xludf.DUMMYFUNCTION("""COMPUTED_VALUE"""),"PT FIBERHOME TECHNOLOGIES INDONESIA")</f>
        <v>PT FIBERHOME TECHNOLOGIES INDONESIA</v>
      </c>
      <c r="O2716" s="222" t="str">
        <f>IFERROR(__xludf.DUMMYFUNCTION("""COMPUTED_VALUE"""),"1. AANWIJZING")</f>
        <v>1. AANWIJZING</v>
      </c>
      <c r="P2716" s="222" t="str">
        <f>IFERROR(__xludf.DUMMYFUNCTION("""COMPUTED_VALUE"""),"1.5 Belum Aanwidjzing")</f>
        <v>1.5 Belum Aanwidjzing</v>
      </c>
      <c r="Q2716" s="222" t="str">
        <f>IFERROR(__xludf.DUMMYFUNCTION("""COMPUTED_VALUE"""),"27/04 MASUK BATCH 4A, 06/02 HASIL REVIEW TSEL DROP - TDK DPT IZIN, 15/01 DROP, tidak dpt izin dari warga (21/01) DROP, karena tidak mendapatkan izin dari warga, (06/01)order JPP batch-2 2026 (16/12 DROP, (07/12)tidak da[at izin warga , material proses rfr"&amp;" (24/11) kendala tidak dapat izin pihak perumahan , konfirm dengan tim sales tidak berani kelokasi ,kemungkina drop (18/11) kemarin pihak mandor nelpon ketua komplek tapi dari ketua komplek ditahan dulu jangan di progress karena mau meminta persetujuan da"&amp;"ri warga jg, 13/11 INPUT MATERIAL KENDALA OVER BUDGET, (07/11) INPUT MATERIAL KENDALA OVER BUDGET(5/11) menunggu jadwal aanwidzjing 3/11 penunjukan mitra alexa")</f>
        <v>27/04 MASUK BATCH 4A, 06/02 HASIL REVIEW TSEL DROP - TDK DPT IZIN, 15/01 DROP, tidak dpt izin dari warga (21/01) DROP, karena tidak mendapatkan izin dari warga, (06/01)order JPP batch-2 2026 (16/12 DROP, (07/12)tidak da[at izin warga , material proses rfr (24/11) kendala tidak dapat izin pihak perumahan , konfirm dengan tim sales tidak berani kelokasi ,kemungkina drop (18/11) kemarin pihak mandor nelpon ketua komplek tapi dari ketua komplek ditahan dulu jangan di progress karena mau meminta persetujuan dari warga jg, 13/11 INPUT MATERIAL KENDALA OVER BUDGET, (07/11) INPUT MATERIAL KENDALA OVER BUDGET(5/11) menunggu jadwal aanwidzjing 3/11 penunjukan mitra alexa</v>
      </c>
      <c r="R2716" s="228"/>
      <c r="S2716" s="11"/>
      <c r="T2716" s="11"/>
      <c r="U2716" s="11"/>
      <c r="V2716" s="229"/>
      <c r="W2716" s="229"/>
      <c r="X2716" s="229"/>
      <c r="Y2716" s="229"/>
      <c r="Z2716" s="229"/>
      <c r="AA2716" s="229"/>
      <c r="AB2716" s="229"/>
      <c r="AC2716" s="229"/>
      <c r="AD2716" s="232"/>
      <c r="AE2716" s="233"/>
      <c r="AF2716" s="54"/>
      <c r="AG2716" s="54"/>
      <c r="AH2716" s="54"/>
      <c r="AI2716" s="55" t="str">
        <f t="shared" si="252"/>
        <v/>
      </c>
      <c r="AW2716" s="234"/>
      <c r="BP2716" s="11"/>
      <c r="BQ2716" s="11"/>
      <c r="BV2716" s="158"/>
      <c r="BY2716" s="158"/>
      <c r="CB2716" s="158"/>
    </row>
    <row r="2717" hidden="1">
      <c r="A2717" s="222">
        <f>IFERROR(__xludf.DUMMYFUNCTION("""COMPUTED_VALUE"""),2026.0)</f>
        <v>2026</v>
      </c>
      <c r="B2717" s="221">
        <f>IFERROR(__xludf.DUMMYFUNCTION("""COMPUTED_VALUE"""),1.1530234E7)</f>
        <v>11530234</v>
      </c>
      <c r="C2717" s="222" t="str">
        <f>IFERROR(__xludf.DUMMYFUNCTION("""COMPUTED_VALUE"""),"BNK-PT3-BNC-JPPTSEL- BENTIRING PERMAI 2")</f>
        <v>BNK-PT3-BNC-JPPTSEL- BENTIRING PERMAI 2</v>
      </c>
      <c r="D2717" s="222" t="str">
        <f>IFERROR(__xludf.DUMMYFUNCTION("""COMPUTED_VALUE"""),"REGIONAL I")</f>
        <v>REGIONAL I</v>
      </c>
      <c r="E2717" s="222" t="str">
        <f>IFERROR(__xludf.DUMMYFUNCTION("""COMPUTED_VALUE"""),"BENGKULU")</f>
        <v>BENGKULU</v>
      </c>
      <c r="F2717" s="222" t="str">
        <f>IFERROR(__xludf.DUMMYFUNCTION("""COMPUTED_VALUE"""),"BNC")</f>
        <v>BNC</v>
      </c>
      <c r="G2717" s="222" t="str">
        <f>IFERROR(__xludf.DUMMYFUNCTION("""COMPUTED_VALUE"""),"SUMBAGSEL")</f>
        <v>SUMBAGSEL</v>
      </c>
      <c r="H2717" s="222" t="str">
        <f>IFERROR(__xludf.DUMMYFUNCTION("""COMPUTED_VALUE"""),"BENGKULU")</f>
        <v>BENGKULU</v>
      </c>
      <c r="I2717" s="222" t="str">
        <f>IFERROR(__xludf.DUMMYFUNCTION("""COMPUTED_VALUE"""),"Batch 4a")</f>
        <v>Batch 4a</v>
      </c>
      <c r="J2717" s="225">
        <f>IFERROR(__xludf.DUMMYFUNCTION("""COMPUTED_VALUE"""),10.0)</f>
        <v>10</v>
      </c>
      <c r="K2717" s="224">
        <f>IFERROR(__xludf.DUMMYFUNCTION("""COMPUTED_VALUE"""),80.0)</f>
        <v>80</v>
      </c>
      <c r="L2717" s="226">
        <f>IFERROR(__xludf.DUMMYFUNCTION("""COMPUTED_VALUE"""),802318.0)</f>
        <v>802318</v>
      </c>
      <c r="M2717" s="227">
        <f>IFERROR(__xludf.DUMMYFUNCTION("""COMPUTED_VALUE"""),6.4185409E7)</f>
        <v>64185409</v>
      </c>
      <c r="N2717" s="222" t="str">
        <f>IFERROR(__xludf.DUMMYFUNCTION("""COMPUTED_VALUE"""),"PT FIBERHOME TECHNOLOGIES INDONESIA")</f>
        <v>PT FIBERHOME TECHNOLOGIES INDONESIA</v>
      </c>
      <c r="O2717" s="222" t="str">
        <f>IFERROR(__xludf.DUMMYFUNCTION("""COMPUTED_VALUE"""),"0. DROP")</f>
        <v>0. DROP</v>
      </c>
      <c r="P2717" s="222" t="str">
        <f>IFERROR(__xludf.DUMMYFUNCTION("""COMPUTED_VALUE"""),"0.2 Tidak Dapat Izin Warga/Kades/Lurah/Developer")</f>
        <v>0.2 Tidak Dapat Izin Warga/Kades/Lurah/Developer</v>
      </c>
      <c r="Q2717" s="222" t="str">
        <f>IFERROR(__xludf.DUMMYFUNCTION("""COMPUTED_VALUE"""),"10/04: Tidak di izinkan oleh RT, karena pihak warga menolak adanya penanaman tiang dan penarikan kabel")</f>
        <v>10/04: Tidak di izinkan oleh RT, karena pihak warga menolak adanya penanaman tiang dan penarikan kabel</v>
      </c>
      <c r="R2717" s="228"/>
      <c r="S2717" s="11"/>
      <c r="T2717" s="11"/>
      <c r="U2717" s="11"/>
      <c r="V2717" s="229"/>
      <c r="W2717" s="229"/>
      <c r="X2717" s="229"/>
      <c r="Y2717" s="229"/>
      <c r="Z2717" s="229"/>
      <c r="AA2717" s="229"/>
      <c r="AB2717" s="229"/>
      <c r="AC2717" s="229"/>
      <c r="AD2717" s="232"/>
      <c r="AE2717" s="233"/>
      <c r="AF2717" s="54"/>
      <c r="AG2717" s="54"/>
      <c r="AH2717" s="54"/>
      <c r="AI2717" s="55" t="str">
        <f t="shared" si="252"/>
        <v/>
      </c>
      <c r="AW2717" s="234"/>
      <c r="BP2717" s="11"/>
      <c r="BQ2717" s="11"/>
      <c r="BV2717" s="158"/>
      <c r="BY2717" s="158"/>
      <c r="CB2717" s="158"/>
    </row>
    <row r="2718">
      <c r="A2718" s="222">
        <f>IFERROR(__xludf.DUMMYFUNCTION("""COMPUTED_VALUE"""),2026.0)</f>
        <v>2026</v>
      </c>
      <c r="B2718" s="221">
        <f>IFERROR(__xludf.DUMMYFUNCTION("""COMPUTED_VALUE"""),1.1111633E7)</f>
        <v>11111633</v>
      </c>
      <c r="C2718" s="222" t="str">
        <f>IFERROR(__xludf.DUMMYFUNCTION("""COMPUTED_VALUE"""),"RKP PT3 JPP SLU-FQ NEW CLUSTER AYANA")</f>
        <v>RKP PT3 JPP SLU-FQ NEW CLUSTER AYANA</v>
      </c>
      <c r="D2718" s="222" t="str">
        <f>IFERROR(__xludf.DUMMYFUNCTION("""COMPUTED_VALUE"""),"REGIONAL I")</f>
        <v>REGIONAL I</v>
      </c>
      <c r="E2718" s="222" t="str">
        <f>IFERROR(__xludf.DUMMYFUNCTION("""COMPUTED_VALUE"""),"RIKEP")</f>
        <v>RIKEP</v>
      </c>
      <c r="F2718" s="222" t="str">
        <f>IFERROR(__xludf.DUMMYFUNCTION("""COMPUTED_VALUE"""),"SLU")</f>
        <v>SLU</v>
      </c>
      <c r="G2718" s="222" t="str">
        <f>IFERROR(__xludf.DUMMYFUNCTION("""COMPUTED_VALUE"""),"SUMBAGTENG")</f>
        <v>SUMBAGTENG</v>
      </c>
      <c r="H2718" s="222" t="str">
        <f>IFERROR(__xludf.DUMMYFUNCTION("""COMPUTED_VALUE"""),"BATAM")</f>
        <v>BATAM</v>
      </c>
      <c r="I2718" s="222" t="str">
        <f>IFERROR(__xludf.DUMMYFUNCTION("""COMPUTED_VALUE"""),"Batch 4a")</f>
        <v>Batch 4a</v>
      </c>
      <c r="J2718" s="225">
        <f>IFERROR(__xludf.DUMMYFUNCTION("""COMPUTED_VALUE"""),2.0)</f>
        <v>2</v>
      </c>
      <c r="K2718" s="224">
        <f>IFERROR(__xludf.DUMMYFUNCTION("""COMPUTED_VALUE"""),16.0)</f>
        <v>16</v>
      </c>
      <c r="L2718" s="226">
        <f>IFERROR(__xludf.DUMMYFUNCTION("""COMPUTED_VALUE"""),757735.0)</f>
        <v>757735</v>
      </c>
      <c r="M2718" s="227">
        <f>IFERROR(__xludf.DUMMYFUNCTION("""COMPUTED_VALUE"""),1.2123755E7)</f>
        <v>12123755</v>
      </c>
      <c r="N2718" s="222" t="str">
        <f>IFERROR(__xludf.DUMMYFUNCTION("""COMPUTED_VALUE"""),"PT FIBERHOME TECHNOLOGIES INDONESIA")</f>
        <v>PT FIBERHOME TECHNOLOGIES INDONESIA</v>
      </c>
      <c r="O2718" s="222" t="str">
        <f>IFERROR(__xludf.DUMMYFUNCTION("""COMPUTED_VALUE"""),"1. AANWIJZING")</f>
        <v>1. AANWIJZING</v>
      </c>
      <c r="P2718" s="222" t="str">
        <f>IFERROR(__xludf.DUMMYFUNCTION("""COMPUTED_VALUE"""),"1.5 Belum Aanwidjzing")</f>
        <v>1.5 Belum Aanwidjzing</v>
      </c>
      <c r="Q2718" s="222" t="str">
        <f>IFERROR(__xludf.DUMMYFUNCTION("""COMPUTED_VALUE"""),"24/04 FU kembali by TSEL")</f>
        <v>24/04 FU kembali by TSEL</v>
      </c>
      <c r="R2718" s="228"/>
      <c r="S2718" s="11"/>
      <c r="T2718" s="11"/>
      <c r="U2718" s="11"/>
      <c r="V2718" s="229" t="str">
        <f>IFERROR(__xludf.DUMMYFUNCTION("""COMPUTED_VALUE"""),"MUHAMMAD RIDHO FALFO")</f>
        <v>MUHAMMAD RIDHO FALFO</v>
      </c>
      <c r="W2718" s="229"/>
      <c r="X2718" s="229"/>
      <c r="Y2718" s="229"/>
      <c r="Z2718" s="229"/>
      <c r="AA2718" s="229"/>
      <c r="AB2718" s="229"/>
      <c r="AC2718" s="229"/>
      <c r="AD2718" s="232"/>
      <c r="AE2718" s="233"/>
      <c r="AF2718" s="54"/>
      <c r="AG2718" s="54"/>
      <c r="AH2718" s="54"/>
      <c r="AI2718" s="55" t="str">
        <f t="shared" si="252"/>
        <v/>
      </c>
      <c r="AW2718" s="234"/>
      <c r="BP2718" s="11"/>
      <c r="BQ2718" s="11"/>
      <c r="BV2718" s="158"/>
      <c r="BY2718" s="158"/>
      <c r="CB2718" s="158"/>
    </row>
    <row r="2719">
      <c r="A2719" s="222">
        <f>IFERROR(__xludf.DUMMYFUNCTION("""COMPUTED_VALUE"""),2026.0)</f>
        <v>2026</v>
      </c>
      <c r="B2719" s="221">
        <f>IFERROR(__xludf.DUMMYFUNCTION("""COMPUTED_VALUE"""),1.125704E7)</f>
        <v>11257040</v>
      </c>
      <c r="C2719" s="222" t="str">
        <f>IFERROR(__xludf.DUMMYFUNCTION("""COMPUTED_VALUE"""),"RKP PT3 TSEL BDS-FS SUB BEACH PALACE")</f>
        <v>RKP PT3 TSEL BDS-FS SUB BEACH PALACE</v>
      </c>
      <c r="D2719" s="222" t="str">
        <f>IFERROR(__xludf.DUMMYFUNCTION("""COMPUTED_VALUE"""),"REGIONAL I")</f>
        <v>REGIONAL I</v>
      </c>
      <c r="E2719" s="222" t="str">
        <f>IFERROR(__xludf.DUMMYFUNCTION("""COMPUTED_VALUE"""),"RIKEP")</f>
        <v>RIKEP</v>
      </c>
      <c r="F2719" s="222" t="str">
        <f>IFERROR(__xludf.DUMMYFUNCTION("""COMPUTED_VALUE"""),"DGS")</f>
        <v>DGS</v>
      </c>
      <c r="G2719" s="222" t="str">
        <f>IFERROR(__xludf.DUMMYFUNCTION("""COMPUTED_VALUE"""),"SUMBAGTENG")</f>
        <v>SUMBAGTENG</v>
      </c>
      <c r="H2719" s="222" t="str">
        <f>IFERROR(__xludf.DUMMYFUNCTION("""COMPUTED_VALUE"""),"BATAM")</f>
        <v>BATAM</v>
      </c>
      <c r="I2719" s="222" t="str">
        <f>IFERROR(__xludf.DUMMYFUNCTION("""COMPUTED_VALUE"""),"Batch 4a")</f>
        <v>Batch 4a</v>
      </c>
      <c r="J2719" s="225">
        <f>IFERROR(__xludf.DUMMYFUNCTION("""COMPUTED_VALUE"""),4.0)</f>
        <v>4</v>
      </c>
      <c r="K2719" s="224">
        <f>IFERROR(__xludf.DUMMYFUNCTION("""COMPUTED_VALUE"""),32.0)</f>
        <v>32</v>
      </c>
      <c r="L2719" s="226">
        <f>IFERROR(__xludf.DUMMYFUNCTION("""COMPUTED_VALUE"""),695148.0)</f>
        <v>695148</v>
      </c>
      <c r="M2719" s="227">
        <f>IFERROR(__xludf.DUMMYFUNCTION("""COMPUTED_VALUE"""),2.2244746E7)</f>
        <v>22244746</v>
      </c>
      <c r="N2719" s="222" t="str">
        <f>IFERROR(__xludf.DUMMYFUNCTION("""COMPUTED_VALUE"""),"PT FIBERHOME TECHNOLOGIES INDONESIA")</f>
        <v>PT FIBERHOME TECHNOLOGIES INDONESIA</v>
      </c>
      <c r="O2719" s="222" t="str">
        <f>IFERROR(__xludf.DUMMYFUNCTION("""COMPUTED_VALUE"""),"1. AANWIJZING")</f>
        <v>1. AANWIJZING</v>
      </c>
      <c r="P2719" s="222" t="str">
        <f>IFERROR(__xludf.DUMMYFUNCTION("""COMPUTED_VALUE"""),"1.5 Belum Aanwidjzing")</f>
        <v>1.5 Belum Aanwidjzing</v>
      </c>
      <c r="Q2719" s="222" t="str">
        <f>IFERROR(__xludf.DUMMYFUNCTION("""COMPUTED_VALUE"""),"24/04 FU kembali by TSEL")</f>
        <v>24/04 FU kembali by TSEL</v>
      </c>
      <c r="R2719" s="228"/>
      <c r="S2719" s="11"/>
      <c r="T2719" s="11"/>
      <c r="U2719" s="11"/>
      <c r="V2719" s="229" t="str">
        <f>IFERROR(__xludf.DUMMYFUNCTION("""COMPUTED_VALUE"""),"GANI PRASTYO")</f>
        <v>GANI PRASTYO</v>
      </c>
      <c r="W2719" s="229"/>
      <c r="X2719" s="229"/>
      <c r="Y2719" s="229"/>
      <c r="Z2719" s="229"/>
      <c r="AA2719" s="229"/>
      <c r="AB2719" s="229"/>
      <c r="AC2719" s="229"/>
      <c r="AD2719" s="232"/>
      <c r="AE2719" s="233"/>
      <c r="AF2719" s="54"/>
      <c r="AG2719" s="54"/>
      <c r="AH2719" s="54"/>
      <c r="AI2719" s="55" t="str">
        <f t="shared" si="252"/>
        <v/>
      </c>
      <c r="AW2719" s="234"/>
      <c r="BP2719" s="11"/>
      <c r="BQ2719" s="11"/>
      <c r="BV2719" s="158"/>
      <c r="BY2719" s="158"/>
      <c r="CB2719" s="158"/>
    </row>
    <row r="2720" hidden="1">
      <c r="A2720" s="222">
        <f>IFERROR(__xludf.DUMMYFUNCTION("""COMPUTED_VALUE"""),2026.0)</f>
        <v>2026</v>
      </c>
      <c r="B2720" s="221">
        <f>IFERROR(__xludf.DUMMYFUNCTION("""COMPUTED_VALUE"""),1.1861931E7)</f>
        <v>11861931</v>
      </c>
      <c r="C2720" s="222" t="str">
        <f>IFERROR(__xludf.DUMMYFUNCTION("""COMPUTED_VALUE"""),"LPG PT3 JPP AL-KAHFI 4 KEDAUNG LKP")</f>
        <v>LPG PT3 JPP AL-KAHFI 4 KEDAUNG LKP</v>
      </c>
      <c r="D2720" s="222" t="str">
        <f>IFERROR(__xludf.DUMMYFUNCTION("""COMPUTED_VALUE"""),"REGIONAL I")</f>
        <v>REGIONAL I</v>
      </c>
      <c r="E2720" s="222" t="str">
        <f>IFERROR(__xludf.DUMMYFUNCTION("""COMPUTED_VALUE"""),"LAMPUNG")</f>
        <v>LAMPUNG</v>
      </c>
      <c r="F2720" s="222" t="str">
        <f>IFERROR(__xludf.DUMMYFUNCTION("""COMPUTED_VALUE"""),"LKP")</f>
        <v>LKP</v>
      </c>
      <c r="G2720" s="222" t="str">
        <f>IFERROR(__xludf.DUMMYFUNCTION("""COMPUTED_VALUE"""),"SUMBAGSEL")</f>
        <v>SUMBAGSEL</v>
      </c>
      <c r="H2720" s="222" t="str">
        <f>IFERROR(__xludf.DUMMYFUNCTION("""COMPUTED_VALUE"""),"LAMPUNG")</f>
        <v>LAMPUNG</v>
      </c>
      <c r="I2720" s="222" t="str">
        <f>IFERROR(__xludf.DUMMYFUNCTION("""COMPUTED_VALUE"""),"Batch 4a")</f>
        <v>Batch 4a</v>
      </c>
      <c r="J2720" s="225">
        <f>IFERROR(__xludf.DUMMYFUNCTION("""COMPUTED_VALUE"""),5.0)</f>
        <v>5</v>
      </c>
      <c r="K2720" s="224">
        <f>IFERROR(__xludf.DUMMYFUNCTION("""COMPUTED_VALUE"""),40.0)</f>
        <v>40</v>
      </c>
      <c r="L2720" s="226">
        <f>IFERROR(__xludf.DUMMYFUNCTION("""COMPUTED_VALUE"""),645384.0)</f>
        <v>645384</v>
      </c>
      <c r="M2720" s="227">
        <f>IFERROR(__xludf.DUMMYFUNCTION("""COMPUTED_VALUE"""),2.5815367E7)</f>
        <v>25815367</v>
      </c>
      <c r="N2720" s="222" t="str">
        <f>IFERROR(__xludf.DUMMYFUNCTION("""COMPUTED_VALUE"""),"PT FIBERHOME TECHNOLOGIES INDONESIA")</f>
        <v>PT FIBERHOME TECHNOLOGIES INDONESIA</v>
      </c>
      <c r="O2720" s="222" t="str">
        <f>IFERROR(__xludf.DUMMYFUNCTION("""COMPUTED_VALUE"""),"1. AANWIJZING")</f>
        <v>1. AANWIJZING</v>
      </c>
      <c r="P2720" s="222" t="str">
        <f>IFERROR(__xludf.DUMMYFUNCTION("""COMPUTED_VALUE"""),"1.5 Belum Aanwidjzing")</f>
        <v>1.5 Belum Aanwidjzing</v>
      </c>
      <c r="Q2720" s="222" t="str">
        <f>IFERROR(__xludf.DUMMYFUNCTION("""COMPUTED_VALUE"""),"X. DROP")</f>
        <v>X. DROP</v>
      </c>
      <c r="R2720" s="228"/>
      <c r="S2720" s="11"/>
      <c r="T2720" s="11"/>
      <c r="U2720" s="11"/>
      <c r="V2720" s="229"/>
      <c r="W2720" s="229"/>
      <c r="X2720" s="229"/>
      <c r="Y2720" s="229"/>
      <c r="Z2720" s="229"/>
      <c r="AA2720" s="229"/>
      <c r="AB2720" s="229"/>
      <c r="AC2720" s="229"/>
      <c r="AD2720" s="232"/>
      <c r="AE2720" s="233"/>
      <c r="AF2720" s="54"/>
      <c r="AG2720" s="54"/>
      <c r="AH2720" s="54"/>
      <c r="AI2720" s="55" t="str">
        <f t="shared" si="252"/>
        <v/>
      </c>
      <c r="AW2720" s="234"/>
      <c r="BP2720" s="11"/>
      <c r="BQ2720" s="11"/>
      <c r="BV2720" s="158"/>
      <c r="BY2720" s="158"/>
      <c r="CB2720" s="158"/>
    </row>
    <row r="2721">
      <c r="A2721" s="222">
        <f>IFERROR(__xludf.DUMMYFUNCTION("""COMPUTED_VALUE"""),2026.0)</f>
        <v>2026</v>
      </c>
      <c r="B2721" s="221">
        <f>IFERROR(__xludf.DUMMYFUNCTION("""COMPUTED_VALUE"""),1.1422932E7)</f>
        <v>11422932</v>
      </c>
      <c r="C2721" s="222" t="str">
        <f>IFERROR(__xludf.DUMMYFUNCTION("""COMPUTED_VALUE"""),"RKP PT3 TSEL SLU-FBH CLUSTER JASMINE")</f>
        <v>RKP PT3 TSEL SLU-FBH CLUSTER JASMINE</v>
      </c>
      <c r="D2721" s="222" t="str">
        <f>IFERROR(__xludf.DUMMYFUNCTION("""COMPUTED_VALUE"""),"REGIONAL I")</f>
        <v>REGIONAL I</v>
      </c>
      <c r="E2721" s="222" t="str">
        <f>IFERROR(__xludf.DUMMYFUNCTION("""COMPUTED_VALUE"""),"RIKEP")</f>
        <v>RIKEP</v>
      </c>
      <c r="F2721" s="222" t="str">
        <f>IFERROR(__xludf.DUMMYFUNCTION("""COMPUTED_VALUE"""),"SLU")</f>
        <v>SLU</v>
      </c>
      <c r="G2721" s="222" t="str">
        <f>IFERROR(__xludf.DUMMYFUNCTION("""COMPUTED_VALUE"""),"SUMBAGTENG")</f>
        <v>SUMBAGTENG</v>
      </c>
      <c r="H2721" s="222" t="str">
        <f>IFERROR(__xludf.DUMMYFUNCTION("""COMPUTED_VALUE"""),"BATAM")</f>
        <v>BATAM</v>
      </c>
      <c r="I2721" s="222" t="str">
        <f>IFERROR(__xludf.DUMMYFUNCTION("""COMPUTED_VALUE"""),"Batch 4a")</f>
        <v>Batch 4a</v>
      </c>
      <c r="J2721" s="225">
        <f>IFERROR(__xludf.DUMMYFUNCTION("""COMPUTED_VALUE"""),4.0)</f>
        <v>4</v>
      </c>
      <c r="K2721" s="224">
        <f>IFERROR(__xludf.DUMMYFUNCTION("""COMPUTED_VALUE"""),32.0)</f>
        <v>32</v>
      </c>
      <c r="L2721" s="226">
        <f>IFERROR(__xludf.DUMMYFUNCTION("""COMPUTED_VALUE"""),1324852.0)</f>
        <v>1324852</v>
      </c>
      <c r="M2721" s="227">
        <f>IFERROR(__xludf.DUMMYFUNCTION("""COMPUTED_VALUE"""),4.2395267E7)</f>
        <v>42395267</v>
      </c>
      <c r="N2721" s="222" t="str">
        <f>IFERROR(__xludf.DUMMYFUNCTION("""COMPUTED_VALUE"""),"PT FIBERHOME TECHNOLOGIES INDONESIA")</f>
        <v>PT FIBERHOME TECHNOLOGIES INDONESIA</v>
      </c>
      <c r="O2721" s="222" t="str">
        <f>IFERROR(__xludf.DUMMYFUNCTION("""COMPUTED_VALUE"""),"1. AANWIJZING")</f>
        <v>1. AANWIJZING</v>
      </c>
      <c r="P2721" s="222" t="str">
        <f>IFERROR(__xludf.DUMMYFUNCTION("""COMPUTED_VALUE"""),"1.5 Belum Aanwidjzing")</f>
        <v>1.5 Belum Aanwidjzing</v>
      </c>
      <c r="Q2721" s="222" t="str">
        <f>IFERROR(__xludf.DUMMYFUNCTION("""COMPUTED_VALUE"""),"24/04 FU kembali by TSEL")</f>
        <v>24/04 FU kembali by TSEL</v>
      </c>
      <c r="R2721" s="228"/>
      <c r="S2721" s="11"/>
      <c r="T2721" s="11"/>
      <c r="U2721" s="11"/>
      <c r="V2721" s="229" t="str">
        <f>IFERROR(__xludf.DUMMYFUNCTION("""COMPUTED_VALUE"""),"MUHAMMAD RIDHO FALFO")</f>
        <v>MUHAMMAD RIDHO FALFO</v>
      </c>
      <c r="W2721" s="229"/>
      <c r="X2721" s="229"/>
      <c r="Y2721" s="229"/>
      <c r="Z2721" s="229"/>
      <c r="AA2721" s="229"/>
      <c r="AB2721" s="229"/>
      <c r="AC2721" s="229"/>
      <c r="AD2721" s="232"/>
      <c r="AE2721" s="233"/>
      <c r="AF2721" s="54"/>
      <c r="AG2721" s="54"/>
      <c r="AH2721" s="54"/>
      <c r="AI2721" s="55" t="str">
        <f t="shared" si="252"/>
        <v/>
      </c>
      <c r="AW2721" s="234"/>
      <c r="BP2721" s="11"/>
      <c r="BQ2721" s="11"/>
      <c r="BV2721" s="158"/>
      <c r="BY2721" s="158"/>
      <c r="CB2721" s="158"/>
    </row>
    <row r="2722">
      <c r="A2722" s="222">
        <f>IFERROR(__xludf.DUMMYFUNCTION("""COMPUTED_VALUE"""),2026.0)</f>
        <v>2026</v>
      </c>
      <c r="B2722" s="221">
        <f>IFERROR(__xludf.DUMMYFUNCTION("""COMPUTED_VALUE"""),1.1315186E7)</f>
        <v>11315186</v>
      </c>
      <c r="C2722" s="222" t="str">
        <f>IFERROR(__xludf.DUMMYFUNCTION("""COMPUTED_VALUE"""),"RKP PT3 TSEL SLU-FCY RENGGALI ASOKA")</f>
        <v>RKP PT3 TSEL SLU-FCY RENGGALI ASOKA</v>
      </c>
      <c r="D2722" s="222" t="str">
        <f>IFERROR(__xludf.DUMMYFUNCTION("""COMPUTED_VALUE"""),"REGIONAL I")</f>
        <v>REGIONAL I</v>
      </c>
      <c r="E2722" s="222" t="str">
        <f>IFERROR(__xludf.DUMMYFUNCTION("""COMPUTED_VALUE"""),"RIKEP")</f>
        <v>RIKEP</v>
      </c>
      <c r="F2722" s="222" t="str">
        <f>IFERROR(__xludf.DUMMYFUNCTION("""COMPUTED_VALUE"""),"SLU")</f>
        <v>SLU</v>
      </c>
      <c r="G2722" s="222" t="str">
        <f>IFERROR(__xludf.DUMMYFUNCTION("""COMPUTED_VALUE"""),"SUMBAGTENG")</f>
        <v>SUMBAGTENG</v>
      </c>
      <c r="H2722" s="222" t="str">
        <f>IFERROR(__xludf.DUMMYFUNCTION("""COMPUTED_VALUE"""),"BATAM")</f>
        <v>BATAM</v>
      </c>
      <c r="I2722" s="222" t="str">
        <f>IFERROR(__xludf.DUMMYFUNCTION("""COMPUTED_VALUE"""),"Batch 4a")</f>
        <v>Batch 4a</v>
      </c>
      <c r="J2722" s="225">
        <f>IFERROR(__xludf.DUMMYFUNCTION("""COMPUTED_VALUE"""),2.0)</f>
        <v>2</v>
      </c>
      <c r="K2722" s="224">
        <f>IFERROR(__xludf.DUMMYFUNCTION("""COMPUTED_VALUE"""),16.0)</f>
        <v>16</v>
      </c>
      <c r="L2722" s="226">
        <f>IFERROR(__xludf.DUMMYFUNCTION("""COMPUTED_VALUE"""),622791.0)</f>
        <v>622791</v>
      </c>
      <c r="M2722" s="227">
        <f>IFERROR(__xludf.DUMMYFUNCTION("""COMPUTED_VALUE"""),9964654.0)</f>
        <v>9964654</v>
      </c>
      <c r="N2722" s="222" t="str">
        <f>IFERROR(__xludf.DUMMYFUNCTION("""COMPUTED_VALUE"""),"PT FIBERHOME TECHNOLOGIES INDONESIA")</f>
        <v>PT FIBERHOME TECHNOLOGIES INDONESIA</v>
      </c>
      <c r="O2722" s="222" t="str">
        <f>IFERROR(__xludf.DUMMYFUNCTION("""COMPUTED_VALUE"""),"1. AANWIJZING")</f>
        <v>1. AANWIJZING</v>
      </c>
      <c r="P2722" s="222" t="str">
        <f>IFERROR(__xludf.DUMMYFUNCTION("""COMPUTED_VALUE"""),"1.5 Belum Aanwidjzing")</f>
        <v>1.5 Belum Aanwidjzing</v>
      </c>
      <c r="Q2722" s="222" t="str">
        <f>IFERROR(__xludf.DUMMYFUNCTION("""COMPUTED_VALUE"""),"24/04 FU kembali by TSEL")</f>
        <v>24/04 FU kembali by TSEL</v>
      </c>
      <c r="R2722" s="228"/>
      <c r="S2722" s="11"/>
      <c r="T2722" s="11"/>
      <c r="U2722" s="11"/>
      <c r="V2722" s="229" t="str">
        <f>IFERROR(__xludf.DUMMYFUNCTION("""COMPUTED_VALUE"""),"MUHAMMAD RIDHO FALFO")</f>
        <v>MUHAMMAD RIDHO FALFO</v>
      </c>
      <c r="W2722" s="229"/>
      <c r="X2722" s="229"/>
      <c r="Y2722" s="229"/>
      <c r="Z2722" s="229"/>
      <c r="AA2722" s="229"/>
      <c r="AB2722" s="229"/>
      <c r="AC2722" s="229"/>
      <c r="AD2722" s="232"/>
      <c r="AE2722" s="233"/>
      <c r="AF2722" s="54"/>
      <c r="AG2722" s="54"/>
      <c r="AH2722" s="54"/>
      <c r="AI2722" s="55" t="str">
        <f t="shared" si="252"/>
        <v/>
      </c>
      <c r="AW2722" s="234"/>
      <c r="BP2722" s="11"/>
      <c r="BQ2722" s="11"/>
      <c r="BV2722" s="158"/>
      <c r="BY2722" s="158"/>
      <c r="CB2722" s="158"/>
    </row>
    <row r="2723">
      <c r="A2723" s="222">
        <f>IFERROR(__xludf.DUMMYFUNCTION("""COMPUTED_VALUE"""),2026.0)</f>
        <v>2026</v>
      </c>
      <c r="B2723" s="221">
        <f>IFERROR(__xludf.DUMMYFUNCTION("""COMPUTED_VALUE"""),1.0742728E7)</f>
        <v>10742728</v>
      </c>
      <c r="C2723" s="222" t="str">
        <f>IFERROR(__xludf.DUMMYFUNCTION("""COMPUTED_VALUE"""),"SMB P7I1 MGM Semanggi Residence")</f>
        <v>SMB P7I1 MGM Semanggi Residence</v>
      </c>
      <c r="D2723" s="222" t="str">
        <f>IFERROR(__xludf.DUMMYFUNCTION("""COMPUTED_VALUE"""),"REGIONAL I")</f>
        <v>REGIONAL I</v>
      </c>
      <c r="E2723" s="222" t="str">
        <f>IFERROR(__xludf.DUMMYFUNCTION("""COMPUTED_VALUE"""),"SUMBAR")</f>
        <v>SUMBAR</v>
      </c>
      <c r="F2723" s="222" t="str">
        <f>IFERROR(__xludf.DUMMYFUNCTION("""COMPUTED_VALUE"""),"BDT")</f>
        <v>BDT</v>
      </c>
      <c r="G2723" s="222" t="str">
        <f>IFERROR(__xludf.DUMMYFUNCTION("""COMPUTED_VALUE"""),"SUMBAGTENG")</f>
        <v>SUMBAGTENG</v>
      </c>
      <c r="H2723" s="222" t="str">
        <f>IFERROR(__xludf.DUMMYFUNCTION("""COMPUTED_VALUE"""),"PADANG")</f>
        <v>PADANG</v>
      </c>
      <c r="I2723" s="222" t="str">
        <f>IFERROR(__xludf.DUMMYFUNCTION("""COMPUTED_VALUE"""),"Batch 4a")</f>
        <v>Batch 4a</v>
      </c>
      <c r="J2723" s="225">
        <f>IFERROR(__xludf.DUMMYFUNCTION("""COMPUTED_VALUE"""),13.0)</f>
        <v>13</v>
      </c>
      <c r="K2723" s="224">
        <f>IFERROR(__xludf.DUMMYFUNCTION("""COMPUTED_VALUE"""),104.0)</f>
        <v>104</v>
      </c>
      <c r="L2723" s="226">
        <f>IFERROR(__xludf.DUMMYFUNCTION("""COMPUTED_VALUE"""),622229.0)</f>
        <v>622229</v>
      </c>
      <c r="M2723" s="227">
        <f>IFERROR(__xludf.DUMMYFUNCTION("""COMPUTED_VALUE"""),6.4711867E7)</f>
        <v>64711867</v>
      </c>
      <c r="N2723" s="222" t="str">
        <f>IFERROR(__xludf.DUMMYFUNCTION("""COMPUTED_VALUE"""),"PT FIBERHOME TECHNOLOGIES INDONESIA")</f>
        <v>PT FIBERHOME TECHNOLOGIES INDONESIA</v>
      </c>
      <c r="O2723" s="222" t="str">
        <f>IFERROR(__xludf.DUMMYFUNCTION("""COMPUTED_VALUE"""),"2. DONE AANWIJZING")</f>
        <v>2. DONE AANWIJZING</v>
      </c>
      <c r="P2723" s="222" t="str">
        <f>IFERROR(__xludf.DUMMYFUNCTION("""COMPUTED_VALUE"""),"2.3 Sudah Aanwidjzing - Tunggu hasil Eval")</f>
        <v>2.3 Sudah Aanwidjzing - Tunggu hasil Eval</v>
      </c>
      <c r="Q2723" s="222" t="str">
        <f>IFERROR(__xludf.DUMMYFUNCTION("""COMPUTED_VALUE"""),"(13/04) : perumahan belum selesai, developer meminta menunggu perumahan selesai dan baru di izinkan pembangunan jaringan (07/04) : perumahan belum selesai, developer meminta menunggu perumahan selesai dan baru di izinkan pembangunan jaringan")</f>
        <v>(13/04) : perumahan belum selesai, developer meminta menunggu perumahan selesai dan baru di izinkan pembangunan jaringan (07/04) : perumahan belum selesai, developer meminta menunggu perumahan selesai dan baru di izinkan pembangunan jaringan</v>
      </c>
      <c r="R2723" s="228"/>
      <c r="S2723" s="11"/>
      <c r="T2723" s="11"/>
      <c r="U2723" s="11"/>
      <c r="V2723" s="229"/>
      <c r="W2723" s="229"/>
      <c r="X2723" s="229"/>
      <c r="Y2723" s="229"/>
      <c r="Z2723" s="229"/>
      <c r="AA2723" s="229"/>
      <c r="AB2723" s="229"/>
      <c r="AC2723" s="229"/>
      <c r="AD2723" s="232"/>
      <c r="AE2723" s="233"/>
      <c r="AF2723" s="54"/>
      <c r="AG2723" s="54"/>
      <c r="AH2723" s="54"/>
      <c r="AI2723" s="55" t="str">
        <f t="shared" si="252"/>
        <v/>
      </c>
      <c r="AW2723" s="234"/>
      <c r="BP2723" s="11"/>
      <c r="BQ2723" s="11"/>
      <c r="BV2723" s="158"/>
      <c r="BY2723" s="158"/>
      <c r="CB2723" s="158"/>
    </row>
    <row r="2724" hidden="1">
      <c r="A2724" s="222">
        <f>IFERROR(__xludf.DUMMYFUNCTION("""COMPUTED_VALUE"""),2026.0)</f>
        <v>2026</v>
      </c>
      <c r="B2724" s="221">
        <f>IFERROR(__xludf.DUMMYFUNCTION("""COMPUTED_VALUE"""),1.2128022E7)</f>
        <v>12128022</v>
      </c>
      <c r="C2724" s="222" t="str">
        <f>IFERROR(__xludf.DUMMYFUNCTION("""COMPUTED_VALUE"""),"LPG PT3 JPP BAITI JANNATI III LKP")</f>
        <v>LPG PT3 JPP BAITI JANNATI III LKP</v>
      </c>
      <c r="D2724" s="222" t="str">
        <f>IFERROR(__xludf.DUMMYFUNCTION("""COMPUTED_VALUE"""),"REGIONAL I")</f>
        <v>REGIONAL I</v>
      </c>
      <c r="E2724" s="222" t="str">
        <f>IFERROR(__xludf.DUMMYFUNCTION("""COMPUTED_VALUE"""),"LAMPUNG")</f>
        <v>LAMPUNG</v>
      </c>
      <c r="F2724" s="222" t="str">
        <f>IFERROR(__xludf.DUMMYFUNCTION("""COMPUTED_VALUE"""),"LKP")</f>
        <v>LKP</v>
      </c>
      <c r="G2724" s="222" t="str">
        <f>IFERROR(__xludf.DUMMYFUNCTION("""COMPUTED_VALUE"""),"SUMBAGSEL")</f>
        <v>SUMBAGSEL</v>
      </c>
      <c r="H2724" s="222" t="str">
        <f>IFERROR(__xludf.DUMMYFUNCTION("""COMPUTED_VALUE"""),"LAMPUNG")</f>
        <v>LAMPUNG</v>
      </c>
      <c r="I2724" s="222" t="str">
        <f>IFERROR(__xludf.DUMMYFUNCTION("""COMPUTED_VALUE"""),"Batch 4a")</f>
        <v>Batch 4a</v>
      </c>
      <c r="J2724" s="225">
        <f>IFERROR(__xludf.DUMMYFUNCTION("""COMPUTED_VALUE"""),10.0)</f>
        <v>10</v>
      </c>
      <c r="K2724" s="224">
        <f>IFERROR(__xludf.DUMMYFUNCTION("""COMPUTED_VALUE"""),80.0)</f>
        <v>80</v>
      </c>
      <c r="L2724" s="226">
        <f>IFERROR(__xludf.DUMMYFUNCTION("""COMPUTED_VALUE"""),601835.0)</f>
        <v>601835</v>
      </c>
      <c r="M2724" s="227">
        <f>IFERROR(__xludf.DUMMYFUNCTION("""COMPUTED_VALUE"""),4.8146838E7)</f>
        <v>48146838</v>
      </c>
      <c r="N2724" s="222" t="str">
        <f>IFERROR(__xludf.DUMMYFUNCTION("""COMPUTED_VALUE"""),"PT FIBERHOME TECHNOLOGIES INDONESIA")</f>
        <v>PT FIBERHOME TECHNOLOGIES INDONESIA</v>
      </c>
      <c r="O2724" s="222" t="str">
        <f>IFERROR(__xludf.DUMMYFUNCTION("""COMPUTED_VALUE"""),"1. AANWIJZING")</f>
        <v>1. AANWIJZING</v>
      </c>
      <c r="P2724" s="222" t="str">
        <f>IFERROR(__xludf.DUMMYFUNCTION("""COMPUTED_VALUE"""),"1.5 Belum Aanwidjzing")</f>
        <v>1.5 Belum Aanwidjzing</v>
      </c>
      <c r="Q2724" s="222" t="str">
        <f>IFERROR(__xludf.DUMMYFUNCTION("""COMPUTED_VALUE"""),"X. DROP")</f>
        <v>X. DROP</v>
      </c>
      <c r="R2724" s="228"/>
      <c r="S2724" s="11"/>
      <c r="T2724" s="11"/>
      <c r="U2724" s="11"/>
      <c r="V2724" s="229"/>
      <c r="W2724" s="229"/>
      <c r="X2724" s="229"/>
      <c r="Y2724" s="229"/>
      <c r="Z2724" s="229"/>
      <c r="AA2724" s="229"/>
      <c r="AB2724" s="229"/>
      <c r="AC2724" s="229"/>
      <c r="AD2724" s="232"/>
      <c r="AE2724" s="233"/>
      <c r="AF2724" s="54"/>
      <c r="AG2724" s="54"/>
      <c r="AH2724" s="54"/>
      <c r="AI2724" s="55" t="str">
        <f t="shared" si="252"/>
        <v/>
      </c>
      <c r="AW2724" s="234"/>
      <c r="BP2724" s="11"/>
      <c r="BQ2724" s="11"/>
      <c r="BV2724" s="158"/>
      <c r="BY2724" s="158"/>
      <c r="CB2724" s="158"/>
    </row>
    <row r="2725">
      <c r="A2725" s="222">
        <f>IFERROR(__xludf.DUMMYFUNCTION("""COMPUTED_VALUE"""),2026.0)</f>
        <v>2026</v>
      </c>
      <c r="B2725" s="221">
        <f>IFERROR(__xludf.DUMMYFUNCTION("""COMPUTED_VALUE"""),1.1554204E7)</f>
        <v>11554204</v>
      </c>
      <c r="C2725" s="222" t="str">
        <f>IFERROR(__xludf.DUMMYFUNCTION("""COMPUTED_VALUE"""),"RKP TSEL PT3 SLU-FB CLUSTER LAVENDER")</f>
        <v>RKP TSEL PT3 SLU-FB CLUSTER LAVENDER</v>
      </c>
      <c r="D2725" s="222" t="str">
        <f>IFERROR(__xludf.DUMMYFUNCTION("""COMPUTED_VALUE"""),"REGIONAL I")</f>
        <v>REGIONAL I</v>
      </c>
      <c r="E2725" s="222" t="str">
        <f>IFERROR(__xludf.DUMMYFUNCTION("""COMPUTED_VALUE"""),"RIKEP")</f>
        <v>RIKEP</v>
      </c>
      <c r="F2725" s="222" t="str">
        <f>IFERROR(__xludf.DUMMYFUNCTION("""COMPUTED_VALUE"""),"SLU")</f>
        <v>SLU</v>
      </c>
      <c r="G2725" s="222" t="str">
        <f>IFERROR(__xludf.DUMMYFUNCTION("""COMPUTED_VALUE"""),"SUMBAGTENG")</f>
        <v>SUMBAGTENG</v>
      </c>
      <c r="H2725" s="222" t="str">
        <f>IFERROR(__xludf.DUMMYFUNCTION("""COMPUTED_VALUE"""),"BATAM")</f>
        <v>BATAM</v>
      </c>
      <c r="I2725" s="222" t="str">
        <f>IFERROR(__xludf.DUMMYFUNCTION("""COMPUTED_VALUE"""),"Batch 4a")</f>
        <v>Batch 4a</v>
      </c>
      <c r="J2725" s="225">
        <f>IFERROR(__xludf.DUMMYFUNCTION("""COMPUTED_VALUE"""),4.0)</f>
        <v>4</v>
      </c>
      <c r="K2725" s="224">
        <f>IFERROR(__xludf.DUMMYFUNCTION("""COMPUTED_VALUE"""),32.0)</f>
        <v>32</v>
      </c>
      <c r="L2725" s="226">
        <f>IFERROR(__xludf.DUMMYFUNCTION("""COMPUTED_VALUE"""),1360294.0)</f>
        <v>1360294</v>
      </c>
      <c r="M2725" s="227">
        <f>IFERROR(__xludf.DUMMYFUNCTION("""COMPUTED_VALUE"""),4.3529411E7)</f>
        <v>43529411</v>
      </c>
      <c r="N2725" s="222" t="str">
        <f>IFERROR(__xludf.DUMMYFUNCTION("""COMPUTED_VALUE"""),"PT FIBERHOME TECHNOLOGIES INDONESIA")</f>
        <v>PT FIBERHOME TECHNOLOGIES INDONESIA</v>
      </c>
      <c r="O2725" s="222" t="str">
        <f>IFERROR(__xludf.DUMMYFUNCTION("""COMPUTED_VALUE"""),"1. AANWIJZING")</f>
        <v>1. AANWIJZING</v>
      </c>
      <c r="P2725" s="222" t="str">
        <f>IFERROR(__xludf.DUMMYFUNCTION("""COMPUTED_VALUE"""),"1.5 Belum Aanwidjzing")</f>
        <v>1.5 Belum Aanwidjzing</v>
      </c>
      <c r="Q2725" s="222" t="str">
        <f>IFERROR(__xludf.DUMMYFUNCTION("""COMPUTED_VALUE"""),"24/04 FU kembali by TSEL")</f>
        <v>24/04 FU kembali by TSEL</v>
      </c>
      <c r="R2725" s="228"/>
      <c r="S2725" s="11"/>
      <c r="T2725" s="11"/>
      <c r="U2725" s="11"/>
      <c r="V2725" s="229" t="str">
        <f>IFERROR(__xludf.DUMMYFUNCTION("""COMPUTED_VALUE"""),"MUHAMMAD RIDHO FALFO")</f>
        <v>MUHAMMAD RIDHO FALFO</v>
      </c>
      <c r="W2725" s="229"/>
      <c r="X2725" s="229"/>
      <c r="Y2725" s="229"/>
      <c r="Z2725" s="229"/>
      <c r="AA2725" s="229"/>
      <c r="AB2725" s="229"/>
      <c r="AC2725" s="229"/>
      <c r="AD2725" s="232"/>
      <c r="AE2725" s="233"/>
      <c r="AF2725" s="54"/>
      <c r="AG2725" s="54"/>
      <c r="AH2725" s="54"/>
      <c r="AI2725" s="55" t="str">
        <f t="shared" si="252"/>
        <v/>
      </c>
      <c r="AW2725" s="234"/>
      <c r="BP2725" s="11"/>
      <c r="BQ2725" s="11"/>
      <c r="BV2725" s="158"/>
      <c r="BY2725" s="158"/>
      <c r="CB2725" s="158"/>
    </row>
    <row r="2726" hidden="1">
      <c r="A2726" s="222">
        <f>IFERROR(__xludf.DUMMYFUNCTION("""COMPUTED_VALUE"""),2026.0)</f>
        <v>2026</v>
      </c>
      <c r="B2726" s="221">
        <f>IFERROR(__xludf.DUMMYFUNCTION("""COMPUTED_VALUE"""),1.2133461E7)</f>
        <v>12133461</v>
      </c>
      <c r="C2726" s="222" t="str">
        <f>IFERROR(__xludf.DUMMYFUNCTION("""COMPUTED_VALUE"""),"LPG PT3 JPP Perum Grand Artha - Esha KDT")</f>
        <v>LPG PT3 JPP Perum Grand Artha - Esha KDT</v>
      </c>
      <c r="D2726" s="222" t="str">
        <f>IFERROR(__xludf.DUMMYFUNCTION("""COMPUTED_VALUE"""),"REGIONAL I")</f>
        <v>REGIONAL I</v>
      </c>
      <c r="E2726" s="222" t="str">
        <f>IFERROR(__xludf.DUMMYFUNCTION("""COMPUTED_VALUE"""),"LAMPUNG")</f>
        <v>LAMPUNG</v>
      </c>
      <c r="F2726" s="222" t="str">
        <f>IFERROR(__xludf.DUMMYFUNCTION("""COMPUTED_VALUE"""),"KDT")</f>
        <v>KDT</v>
      </c>
      <c r="G2726" s="222" t="str">
        <f>IFERROR(__xludf.DUMMYFUNCTION("""COMPUTED_VALUE"""),"SUMBAGSEL")</f>
        <v>SUMBAGSEL</v>
      </c>
      <c r="H2726" s="222" t="str">
        <f>IFERROR(__xludf.DUMMYFUNCTION("""COMPUTED_VALUE"""),"LAMPUNG")</f>
        <v>LAMPUNG</v>
      </c>
      <c r="I2726" s="222" t="str">
        <f>IFERROR(__xludf.DUMMYFUNCTION("""COMPUTED_VALUE"""),"Batch 4a")</f>
        <v>Batch 4a</v>
      </c>
      <c r="J2726" s="225">
        <f>IFERROR(__xludf.DUMMYFUNCTION("""COMPUTED_VALUE"""),6.0)</f>
        <v>6</v>
      </c>
      <c r="K2726" s="224">
        <f>IFERROR(__xludf.DUMMYFUNCTION("""COMPUTED_VALUE"""),48.0)</f>
        <v>48</v>
      </c>
      <c r="L2726" s="226">
        <f>IFERROR(__xludf.DUMMYFUNCTION("""COMPUTED_VALUE"""),462705.0)</f>
        <v>462705</v>
      </c>
      <c r="M2726" s="227">
        <f>IFERROR(__xludf.DUMMYFUNCTION("""COMPUTED_VALUE"""),2.220985E7)</f>
        <v>22209850</v>
      </c>
      <c r="N2726" s="222" t="str">
        <f>IFERROR(__xludf.DUMMYFUNCTION("""COMPUTED_VALUE"""),"PT FIBERHOME TECHNOLOGIES INDONESIA")</f>
        <v>PT FIBERHOME TECHNOLOGIES INDONESIA</v>
      </c>
      <c r="O2726" s="222" t="str">
        <f>IFERROR(__xludf.DUMMYFUNCTION("""COMPUTED_VALUE"""),"1. AANWIJZING")</f>
        <v>1. AANWIJZING</v>
      </c>
      <c r="P2726" s="222" t="str">
        <f>IFERROR(__xludf.DUMMYFUNCTION("""COMPUTED_VALUE"""),"1.5 Belum Aanwidjzing")</f>
        <v>1.5 Belum Aanwidjzing</v>
      </c>
      <c r="Q2726" s="222" t="str">
        <f>IFERROR(__xludf.DUMMYFUNCTION("""COMPUTED_VALUE"""),"X. DROP")</f>
        <v>X. DROP</v>
      </c>
      <c r="R2726" s="228"/>
      <c r="S2726" s="11"/>
      <c r="T2726" s="11"/>
      <c r="U2726" s="11"/>
      <c r="V2726" s="229"/>
      <c r="W2726" s="229"/>
      <c r="X2726" s="229"/>
      <c r="Y2726" s="229"/>
      <c r="Z2726" s="229"/>
      <c r="AA2726" s="229"/>
      <c r="AB2726" s="229"/>
      <c r="AC2726" s="229"/>
      <c r="AD2726" s="232"/>
      <c r="AE2726" s="233"/>
      <c r="AF2726" s="54"/>
      <c r="AG2726" s="54"/>
      <c r="AH2726" s="54"/>
      <c r="AI2726" s="55" t="str">
        <f t="shared" si="252"/>
        <v/>
      </c>
      <c r="AW2726" s="234"/>
      <c r="BP2726" s="11"/>
      <c r="BQ2726" s="11"/>
      <c r="BV2726" s="158"/>
      <c r="BY2726" s="158"/>
      <c r="CB2726" s="158"/>
    </row>
    <row r="2727">
      <c r="A2727" s="222">
        <f>IFERROR(__xludf.DUMMYFUNCTION("""COMPUTED_VALUE"""),2026.0)</f>
        <v>2026</v>
      </c>
      <c r="B2727" s="221">
        <f>IFERROR(__xludf.DUMMYFUNCTION("""COMPUTED_VALUE"""),1.159015E7)</f>
        <v>11590150</v>
      </c>
      <c r="C2727" s="222" t="str">
        <f>IFERROR(__xludf.DUMMYFUNCTION("""COMPUTED_VALUE"""),"RKP TSEL PT3 SLU-FCM GRAND VICTORIA")</f>
        <v>RKP TSEL PT3 SLU-FCM GRAND VICTORIA</v>
      </c>
      <c r="D2727" s="222" t="str">
        <f>IFERROR(__xludf.DUMMYFUNCTION("""COMPUTED_VALUE"""),"REGIONAL I")</f>
        <v>REGIONAL I</v>
      </c>
      <c r="E2727" s="222" t="str">
        <f>IFERROR(__xludf.DUMMYFUNCTION("""COMPUTED_VALUE"""),"RIKEP")</f>
        <v>RIKEP</v>
      </c>
      <c r="F2727" s="222" t="str">
        <f>IFERROR(__xludf.DUMMYFUNCTION("""COMPUTED_VALUE"""),"SLU")</f>
        <v>SLU</v>
      </c>
      <c r="G2727" s="222" t="str">
        <f>IFERROR(__xludf.DUMMYFUNCTION("""COMPUTED_VALUE"""),"SUMBAGTENG")</f>
        <v>SUMBAGTENG</v>
      </c>
      <c r="H2727" s="222" t="str">
        <f>IFERROR(__xludf.DUMMYFUNCTION("""COMPUTED_VALUE"""),"BATAM")</f>
        <v>BATAM</v>
      </c>
      <c r="I2727" s="222" t="str">
        <f>IFERROR(__xludf.DUMMYFUNCTION("""COMPUTED_VALUE"""),"Batch 4a")</f>
        <v>Batch 4a</v>
      </c>
      <c r="J2727" s="225">
        <f>IFERROR(__xludf.DUMMYFUNCTION("""COMPUTED_VALUE"""),1.0)</f>
        <v>1</v>
      </c>
      <c r="K2727" s="224">
        <f>IFERROR(__xludf.DUMMYFUNCTION("""COMPUTED_VALUE"""),8.0)</f>
        <v>8</v>
      </c>
      <c r="L2727" s="226">
        <f>IFERROR(__xludf.DUMMYFUNCTION("""COMPUTED_VALUE"""),1026638.0)</f>
        <v>1026638</v>
      </c>
      <c r="M2727" s="227">
        <f>IFERROR(__xludf.DUMMYFUNCTION("""COMPUTED_VALUE"""),8213102.0)</f>
        <v>8213102</v>
      </c>
      <c r="N2727" s="222" t="str">
        <f>IFERROR(__xludf.DUMMYFUNCTION("""COMPUTED_VALUE"""),"PT FIBERHOME TECHNOLOGIES INDONESIA")</f>
        <v>PT FIBERHOME TECHNOLOGIES INDONESIA</v>
      </c>
      <c r="O2727" s="222" t="str">
        <f>IFERROR(__xludf.DUMMYFUNCTION("""COMPUTED_VALUE"""),"1. AANWIJZING")</f>
        <v>1. AANWIJZING</v>
      </c>
      <c r="P2727" s="222" t="str">
        <f>IFERROR(__xludf.DUMMYFUNCTION("""COMPUTED_VALUE"""),"1.5 Belum Aanwidjzing")</f>
        <v>1.5 Belum Aanwidjzing</v>
      </c>
      <c r="Q2727" s="222" t="str">
        <f>IFERROR(__xludf.DUMMYFUNCTION("""COMPUTED_VALUE"""),"24/04 FU kembali by TSEL")</f>
        <v>24/04 FU kembali by TSEL</v>
      </c>
      <c r="R2727" s="228"/>
      <c r="S2727" s="11"/>
      <c r="T2727" s="11"/>
      <c r="U2727" s="11"/>
      <c r="V2727" s="229" t="str">
        <f>IFERROR(__xludf.DUMMYFUNCTION("""COMPUTED_VALUE"""),"MUHAMMAD RIDHO FALFO")</f>
        <v>MUHAMMAD RIDHO FALFO</v>
      </c>
      <c r="W2727" s="229"/>
      <c r="X2727" s="229"/>
      <c r="Y2727" s="229"/>
      <c r="Z2727" s="229"/>
      <c r="AA2727" s="229"/>
      <c r="AB2727" s="229"/>
      <c r="AC2727" s="229"/>
      <c r="AD2727" s="232"/>
      <c r="AE2727" s="233"/>
      <c r="AF2727" s="54"/>
      <c r="AG2727" s="54"/>
      <c r="AH2727" s="54"/>
      <c r="AI2727" s="55" t="str">
        <f t="shared" si="252"/>
        <v/>
      </c>
      <c r="AW2727" s="234"/>
      <c r="BP2727" s="11"/>
      <c r="BQ2727" s="11"/>
      <c r="BV2727" s="158"/>
      <c r="BY2727" s="158"/>
      <c r="CB2727" s="158"/>
    </row>
    <row r="2728">
      <c r="A2728" s="222">
        <f>IFERROR(__xludf.DUMMYFUNCTION("""COMPUTED_VALUE"""),2026.0)</f>
        <v>2026</v>
      </c>
      <c r="B2728" s="221">
        <f>IFERROR(__xludf.DUMMYFUNCTION("""COMPUTED_VALUE"""),1.1677564E7)</f>
        <v>11677564</v>
      </c>
      <c r="C2728" s="222" t="str">
        <f>IFERROR(__xludf.DUMMYFUNCTION("""COMPUTED_VALUE"""),"SMB PDC PT3-PT4 Batang Arau Pembayan P")</f>
        <v>SMB PDC PT3-PT4 Batang Arau Pembayan P</v>
      </c>
      <c r="D2728" s="222" t="str">
        <f>IFERROR(__xludf.DUMMYFUNCTION("""COMPUTED_VALUE"""),"REGIONAL I")</f>
        <v>REGIONAL I</v>
      </c>
      <c r="E2728" s="222" t="str">
        <f>IFERROR(__xludf.DUMMYFUNCTION("""COMPUTED_VALUE"""),"SUMBAR")</f>
        <v>SUMBAR</v>
      </c>
      <c r="F2728" s="222" t="str">
        <f>IFERROR(__xludf.DUMMYFUNCTION("""COMPUTED_VALUE"""),"PDC")</f>
        <v>PDC</v>
      </c>
      <c r="G2728" s="222" t="str">
        <f>IFERROR(__xludf.DUMMYFUNCTION("""COMPUTED_VALUE"""),"SUMBAGTENG")</f>
        <v>SUMBAGTENG</v>
      </c>
      <c r="H2728" s="222" t="str">
        <f>IFERROR(__xludf.DUMMYFUNCTION("""COMPUTED_VALUE"""),"PADANG")</f>
        <v>PADANG</v>
      </c>
      <c r="I2728" s="222" t="str">
        <f>IFERROR(__xludf.DUMMYFUNCTION("""COMPUTED_VALUE"""),"Batch 4a")</f>
        <v>Batch 4a</v>
      </c>
      <c r="J2728" s="225">
        <f>IFERROR(__xludf.DUMMYFUNCTION("""COMPUTED_VALUE"""),3.0)</f>
        <v>3</v>
      </c>
      <c r="K2728" s="224">
        <f>IFERROR(__xludf.DUMMYFUNCTION("""COMPUTED_VALUE"""),24.0)</f>
        <v>24</v>
      </c>
      <c r="L2728" s="226">
        <f>IFERROR(__xludf.DUMMYFUNCTION("""COMPUTED_VALUE"""),369918.0)</f>
        <v>369918</v>
      </c>
      <c r="M2728" s="227">
        <f>IFERROR(__xludf.DUMMYFUNCTION("""COMPUTED_VALUE"""),8878026.0)</f>
        <v>8878026</v>
      </c>
      <c r="N2728" s="222" t="str">
        <f>IFERROR(__xludf.DUMMYFUNCTION("""COMPUTED_VALUE"""),"PT FIBERHOME TECHNOLOGIES INDONESIA")</f>
        <v>PT FIBERHOME TECHNOLOGIES INDONESIA</v>
      </c>
      <c r="O2728" s="222" t="str">
        <f>IFERROR(__xludf.DUMMYFUNCTION("""COMPUTED_VALUE"""),"2. DONE AANWIJZING")</f>
        <v>2. DONE AANWIJZING</v>
      </c>
      <c r="P2728" s="222" t="str">
        <f>IFERROR(__xludf.DUMMYFUNCTION("""COMPUTED_VALUE"""),"2.3 Sudah Aanwidjzing - Tunggu hasil Eval")</f>
        <v>2.3 Sudah Aanwidjzing - Tunggu hasil Eval</v>
      </c>
      <c r="Q2728" s="222" t="str">
        <f>IFERROR(__xludf.DUMMYFUNCTION("""COMPUTED_VALUE"""),"(20/04) sudah aanwijziing, proses eval  (10/04) Proses aanwijziing   X. DROP")</f>
        <v>(20/04) sudah aanwijziing, proses eval  (10/04) Proses aanwijziing   X. DROP</v>
      </c>
      <c r="R2728" s="228"/>
      <c r="S2728" s="11"/>
      <c r="T2728" s="11"/>
      <c r="U2728" s="11"/>
      <c r="V2728" s="229"/>
      <c r="W2728" s="229"/>
      <c r="X2728" s="229"/>
      <c r="Y2728" s="229"/>
      <c r="Z2728" s="229"/>
      <c r="AA2728" s="229"/>
      <c r="AB2728" s="229"/>
      <c r="AC2728" s="229"/>
      <c r="AD2728" s="232"/>
      <c r="AE2728" s="233"/>
      <c r="AF2728" s="54"/>
      <c r="AG2728" s="54"/>
      <c r="AH2728" s="54"/>
      <c r="AI2728" s="55" t="str">
        <f t="shared" si="252"/>
        <v/>
      </c>
      <c r="AW2728" s="234"/>
      <c r="BP2728" s="11"/>
      <c r="BQ2728" s="11"/>
      <c r="BV2728" s="158"/>
      <c r="BY2728" s="158"/>
      <c r="CB2728" s="158"/>
    </row>
    <row r="2729" hidden="1">
      <c r="A2729" s="222">
        <f>IFERROR(__xludf.DUMMYFUNCTION("""COMPUTED_VALUE"""),2026.0)</f>
        <v>2026</v>
      </c>
      <c r="B2729" s="221">
        <f>IFERROR(__xludf.DUMMYFUNCTION("""COMPUTED_VALUE"""),1.214968E7)</f>
        <v>12149680</v>
      </c>
      <c r="C2729" s="222" t="str">
        <f>IFERROR(__xludf.DUMMYFUNCTION("""COMPUTED_VALUE"""),"BNK-PDW-JPPTSEL-PERUM PUTRA RESIDENCE")</f>
        <v>BNK-PDW-JPPTSEL-PERUM PUTRA RESIDENCE</v>
      </c>
      <c r="D2729" s="222" t="str">
        <f>IFERROR(__xludf.DUMMYFUNCTION("""COMPUTED_VALUE"""),"REGIONAL I")</f>
        <v>REGIONAL I</v>
      </c>
      <c r="E2729" s="222" t="str">
        <f>IFERROR(__xludf.DUMMYFUNCTION("""COMPUTED_VALUE"""),"BENGKULU")</f>
        <v>BENGKULU</v>
      </c>
      <c r="F2729" s="222" t="str">
        <f>IFERROR(__xludf.DUMMYFUNCTION("""COMPUTED_VALUE"""),"PDW")</f>
        <v>PDW</v>
      </c>
      <c r="G2729" s="222" t="str">
        <f>IFERROR(__xludf.DUMMYFUNCTION("""COMPUTED_VALUE"""),"SUMBAGSEL")</f>
        <v>SUMBAGSEL</v>
      </c>
      <c r="H2729" s="222" t="str">
        <f>IFERROR(__xludf.DUMMYFUNCTION("""COMPUTED_VALUE"""),"BENGKULU")</f>
        <v>BENGKULU</v>
      </c>
      <c r="I2729" s="222" t="str">
        <f>IFERROR(__xludf.DUMMYFUNCTION("""COMPUTED_VALUE"""),"Batch 4a")</f>
        <v>Batch 4a</v>
      </c>
      <c r="J2729" s="225">
        <f>IFERROR(__xludf.DUMMYFUNCTION("""COMPUTED_VALUE"""),6.0)</f>
        <v>6</v>
      </c>
      <c r="K2729" s="224">
        <f>IFERROR(__xludf.DUMMYFUNCTION("""COMPUTED_VALUE"""),48.0)</f>
        <v>48</v>
      </c>
      <c r="L2729" s="226">
        <f>IFERROR(__xludf.DUMMYFUNCTION("""COMPUTED_VALUE"""),425626.0)</f>
        <v>425626</v>
      </c>
      <c r="M2729" s="227">
        <f>IFERROR(__xludf.DUMMYFUNCTION("""COMPUTED_VALUE"""),2.0430058E7)</f>
        <v>20430058</v>
      </c>
      <c r="N2729" s="222" t="str">
        <f>IFERROR(__xludf.DUMMYFUNCTION("""COMPUTED_VALUE"""),"PT FIBERHOME TECHNOLOGIES INDONESIA")</f>
        <v>PT FIBERHOME TECHNOLOGIES INDONESIA</v>
      </c>
      <c r="O2729" s="222" t="str">
        <f>IFERROR(__xludf.DUMMYFUNCTION("""COMPUTED_VALUE"""),"0. DROP")</f>
        <v>0. DROP</v>
      </c>
      <c r="P2729" s="222" t="str">
        <f>IFERROR(__xludf.DUMMYFUNCTION("""COMPUTED_VALUE"""),"0.3 Feeder Full")</f>
        <v>0.3 Feeder Full</v>
      </c>
      <c r="Q2729" s="222" t="str">
        <f>IFERROR(__xludf.DUMMYFUNCTION("""COMPUTED_VALUE"""),"10/04: FEEDER FULL")</f>
        <v>10/04: FEEDER FULL</v>
      </c>
      <c r="R2729" s="228"/>
      <c r="S2729" s="11"/>
      <c r="T2729" s="11"/>
      <c r="U2729" s="11"/>
      <c r="V2729" s="229"/>
      <c r="W2729" s="229"/>
      <c r="X2729" s="229"/>
      <c r="Y2729" s="229"/>
      <c r="Z2729" s="229"/>
      <c r="AA2729" s="229"/>
      <c r="AB2729" s="229"/>
      <c r="AC2729" s="229"/>
      <c r="AD2729" s="232"/>
      <c r="AE2729" s="233"/>
      <c r="AF2729" s="54"/>
      <c r="AG2729" s="54"/>
      <c r="AH2729" s="54"/>
      <c r="AI2729" s="55" t="str">
        <f t="shared" si="252"/>
        <v/>
      </c>
      <c r="AW2729" s="234"/>
      <c r="BP2729" s="11"/>
      <c r="BQ2729" s="11"/>
      <c r="BV2729" s="158"/>
      <c r="BY2729" s="158"/>
      <c r="CB2729" s="158"/>
    </row>
    <row r="2730">
      <c r="A2730" s="222">
        <f>IFERROR(__xludf.DUMMYFUNCTION("""COMPUTED_VALUE"""),2026.0)</f>
        <v>2026</v>
      </c>
      <c r="B2730" s="221">
        <f>IFERROR(__xludf.DUMMYFUNCTION("""COMPUTED_VALUE"""),1.207967E7)</f>
        <v>12079670</v>
      </c>
      <c r="C2730" s="222" t="str">
        <f>IFERROR(__xludf.DUMMYFUNCTION("""COMPUTED_VALUE"""),"RKP TSEL PT3 SLU-FCK DDREAMLAND SQUARE")</f>
        <v>RKP TSEL PT3 SLU-FCK DDREAMLAND SQUARE</v>
      </c>
      <c r="D2730" s="222" t="str">
        <f>IFERROR(__xludf.DUMMYFUNCTION("""COMPUTED_VALUE"""),"REGIONAL I")</f>
        <v>REGIONAL I</v>
      </c>
      <c r="E2730" s="222" t="str">
        <f>IFERROR(__xludf.DUMMYFUNCTION("""COMPUTED_VALUE"""),"RIKEP")</f>
        <v>RIKEP</v>
      </c>
      <c r="F2730" s="222" t="str">
        <f>IFERROR(__xludf.DUMMYFUNCTION("""COMPUTED_VALUE"""),"SLU")</f>
        <v>SLU</v>
      </c>
      <c r="G2730" s="222" t="str">
        <f>IFERROR(__xludf.DUMMYFUNCTION("""COMPUTED_VALUE"""),"SUMBAGTENG")</f>
        <v>SUMBAGTENG</v>
      </c>
      <c r="H2730" s="222" t="str">
        <f>IFERROR(__xludf.DUMMYFUNCTION("""COMPUTED_VALUE"""),"BATAM")</f>
        <v>BATAM</v>
      </c>
      <c r="I2730" s="222" t="str">
        <f>IFERROR(__xludf.DUMMYFUNCTION("""COMPUTED_VALUE"""),"Batch 4a")</f>
        <v>Batch 4a</v>
      </c>
      <c r="J2730" s="225">
        <f>IFERROR(__xludf.DUMMYFUNCTION("""COMPUTED_VALUE"""),1.0)</f>
        <v>1</v>
      </c>
      <c r="K2730" s="224">
        <f>IFERROR(__xludf.DUMMYFUNCTION("""COMPUTED_VALUE"""),8.0)</f>
        <v>8</v>
      </c>
      <c r="L2730" s="226">
        <f>IFERROR(__xludf.DUMMYFUNCTION("""COMPUTED_VALUE"""),351047.0)</f>
        <v>351047</v>
      </c>
      <c r="M2730" s="227">
        <f>IFERROR(__xludf.DUMMYFUNCTION("""COMPUTED_VALUE"""),2808374.0)</f>
        <v>2808374</v>
      </c>
      <c r="N2730" s="222" t="str">
        <f>IFERROR(__xludf.DUMMYFUNCTION("""COMPUTED_VALUE"""),"PT FIBERHOME TECHNOLOGIES INDONESIA")</f>
        <v>PT FIBERHOME TECHNOLOGIES INDONESIA</v>
      </c>
      <c r="O2730" s="222" t="str">
        <f>IFERROR(__xludf.DUMMYFUNCTION("""COMPUTED_VALUE"""),"1. AANWIJZING")</f>
        <v>1. AANWIJZING</v>
      </c>
      <c r="P2730" s="222" t="str">
        <f>IFERROR(__xludf.DUMMYFUNCTION("""COMPUTED_VALUE"""),"1.5 Belum Aanwidjzing")</f>
        <v>1.5 Belum Aanwidjzing</v>
      </c>
      <c r="Q2730" s="222" t="str">
        <f>IFERROR(__xludf.DUMMYFUNCTION("""COMPUTED_VALUE"""),"24/04 FU kembali by TSEL")</f>
        <v>24/04 FU kembali by TSEL</v>
      </c>
      <c r="R2730" s="228"/>
      <c r="S2730" s="11"/>
      <c r="T2730" s="11"/>
      <c r="U2730" s="11"/>
      <c r="V2730" s="229" t="str">
        <f>IFERROR(__xludf.DUMMYFUNCTION("""COMPUTED_VALUE"""),"MUHAMMAD RIDHO FALFO")</f>
        <v>MUHAMMAD RIDHO FALFO</v>
      </c>
      <c r="W2730" s="229"/>
      <c r="X2730" s="229"/>
      <c r="Y2730" s="229"/>
      <c r="Z2730" s="229"/>
      <c r="AA2730" s="229"/>
      <c r="AB2730" s="229"/>
      <c r="AC2730" s="229"/>
      <c r="AD2730" s="232"/>
      <c r="AE2730" s="233"/>
      <c r="AF2730" s="54"/>
      <c r="AG2730" s="54"/>
      <c r="AH2730" s="54"/>
      <c r="AI2730" s="55" t="str">
        <f t="shared" si="252"/>
        <v/>
      </c>
      <c r="AW2730" s="234"/>
      <c r="BP2730" s="11"/>
      <c r="BQ2730" s="11"/>
      <c r="BV2730" s="158"/>
      <c r="BY2730" s="158"/>
      <c r="CB2730" s="158"/>
    </row>
    <row r="2731">
      <c r="A2731" s="222">
        <f>IFERROR(__xludf.DUMMYFUNCTION("""COMPUTED_VALUE"""),2026.0)</f>
        <v>2026</v>
      </c>
      <c r="B2731" s="221">
        <f>IFERROR(__xludf.DUMMYFUNCTION("""COMPUTED_VALUE"""),1.1506422E7)</f>
        <v>11506422</v>
      </c>
      <c r="C2731" s="222" t="str">
        <f>IFERROR(__xludf.DUMMYFUNCTION("""COMPUTED_VALUE"""),"RKP PT3 TSEL BTC-FEJ CLUSTER SAFRON (2)")</f>
        <v>RKP PT3 TSEL BTC-FEJ CLUSTER SAFRON (2)</v>
      </c>
      <c r="D2731" s="222" t="str">
        <f>IFERROR(__xludf.DUMMYFUNCTION("""COMPUTED_VALUE"""),"REGIONAL I")</f>
        <v>REGIONAL I</v>
      </c>
      <c r="E2731" s="222" t="str">
        <f>IFERROR(__xludf.DUMMYFUNCTION("""COMPUTED_VALUE"""),"RIKEP")</f>
        <v>RIKEP</v>
      </c>
      <c r="F2731" s="222" t="str">
        <f>IFERROR(__xludf.DUMMYFUNCTION("""COMPUTED_VALUE"""),"BTC")</f>
        <v>BTC</v>
      </c>
      <c r="G2731" s="222" t="str">
        <f>IFERROR(__xludf.DUMMYFUNCTION("""COMPUTED_VALUE"""),"SUMBAGTENG")</f>
        <v>SUMBAGTENG</v>
      </c>
      <c r="H2731" s="222" t="str">
        <f>IFERROR(__xludf.DUMMYFUNCTION("""COMPUTED_VALUE"""),"BATAM")</f>
        <v>BATAM</v>
      </c>
      <c r="I2731" s="222" t="str">
        <f>IFERROR(__xludf.DUMMYFUNCTION("""COMPUTED_VALUE"""),"Batch 4a")</f>
        <v>Batch 4a</v>
      </c>
      <c r="J2731" s="225">
        <f>IFERROR(__xludf.DUMMYFUNCTION("""COMPUTED_VALUE"""),3.0)</f>
        <v>3</v>
      </c>
      <c r="K2731" s="224">
        <f>IFERROR(__xludf.DUMMYFUNCTION("""COMPUTED_VALUE"""),24.0)</f>
        <v>24</v>
      </c>
      <c r="L2731" s="226">
        <f>IFERROR(__xludf.DUMMYFUNCTION("""COMPUTED_VALUE"""),1485984.0)</f>
        <v>1485984</v>
      </c>
      <c r="M2731" s="227">
        <f>IFERROR(__xludf.DUMMYFUNCTION("""COMPUTED_VALUE"""),3.5663617E7)</f>
        <v>35663617</v>
      </c>
      <c r="N2731" s="222" t="str">
        <f>IFERROR(__xludf.DUMMYFUNCTION("""COMPUTED_VALUE"""),"PT FIBERHOME TECHNOLOGIES INDONESIA")</f>
        <v>PT FIBERHOME TECHNOLOGIES INDONESIA</v>
      </c>
      <c r="O2731" s="222" t="str">
        <f>IFERROR(__xludf.DUMMYFUNCTION("""COMPUTED_VALUE"""),"1. AANWIJZING")</f>
        <v>1. AANWIJZING</v>
      </c>
      <c r="P2731" s="222" t="str">
        <f>IFERROR(__xludf.DUMMYFUNCTION("""COMPUTED_VALUE"""),"1.5 Belum Aanwidjzing")</f>
        <v>1.5 Belum Aanwidjzing</v>
      </c>
      <c r="Q2731" s="222" t="str">
        <f>IFERROR(__xludf.DUMMYFUNCTION("""COMPUTED_VALUE"""),"24/04 FU kembali by TSEL")</f>
        <v>24/04 FU kembali by TSEL</v>
      </c>
      <c r="R2731" s="228"/>
      <c r="S2731" s="11"/>
      <c r="T2731" s="11"/>
      <c r="U2731" s="11"/>
      <c r="V2731" s="229" t="str">
        <f>IFERROR(__xludf.DUMMYFUNCTION("""COMPUTED_VALUE"""),"GANI PRASTYO")</f>
        <v>GANI PRASTYO</v>
      </c>
      <c r="W2731" s="229"/>
      <c r="X2731" s="229"/>
      <c r="Y2731" s="229"/>
      <c r="Z2731" s="229"/>
      <c r="AA2731" s="229"/>
      <c r="AB2731" s="229"/>
      <c r="AC2731" s="229"/>
      <c r="AD2731" s="232"/>
      <c r="AE2731" s="233"/>
      <c r="AF2731" s="54"/>
      <c r="AG2731" s="54"/>
      <c r="AH2731" s="54"/>
      <c r="AI2731" s="55" t="str">
        <f t="shared" si="252"/>
        <v/>
      </c>
      <c r="AW2731" s="234"/>
      <c r="BP2731" s="11"/>
      <c r="BQ2731" s="11"/>
      <c r="BV2731" s="158"/>
      <c r="BY2731" s="158"/>
      <c r="CB2731" s="158"/>
    </row>
    <row r="2732" hidden="1">
      <c r="A2732" s="222">
        <f>IFERROR(__xludf.DUMMYFUNCTION("""COMPUTED_VALUE"""),2026.0)</f>
        <v>2026</v>
      </c>
      <c r="B2732" s="221">
        <f>IFERROR(__xludf.DUMMYFUNCTION("""COMPUTED_VALUE"""),1.2127623E7)</f>
        <v>12127623</v>
      </c>
      <c r="C2732" s="222" t="str">
        <f>IFERROR(__xludf.DUMMYFUNCTION("""COMPUTED_VALUE"""),"LPG PT3 JPP Melana Residence LKP")</f>
        <v>LPG PT3 JPP Melana Residence LKP</v>
      </c>
      <c r="D2732" s="222" t="str">
        <f>IFERROR(__xludf.DUMMYFUNCTION("""COMPUTED_VALUE"""),"REGIONAL I")</f>
        <v>REGIONAL I</v>
      </c>
      <c r="E2732" s="222" t="str">
        <f>IFERROR(__xludf.DUMMYFUNCTION("""COMPUTED_VALUE"""),"LAMPUNG")</f>
        <v>LAMPUNG</v>
      </c>
      <c r="F2732" s="222" t="str">
        <f>IFERROR(__xludf.DUMMYFUNCTION("""COMPUTED_VALUE"""),"LKP")</f>
        <v>LKP</v>
      </c>
      <c r="G2732" s="222" t="str">
        <f>IFERROR(__xludf.DUMMYFUNCTION("""COMPUTED_VALUE"""),"SUMBAGSEL")</f>
        <v>SUMBAGSEL</v>
      </c>
      <c r="H2732" s="222" t="str">
        <f>IFERROR(__xludf.DUMMYFUNCTION("""COMPUTED_VALUE"""),"LAMPUNG")</f>
        <v>LAMPUNG</v>
      </c>
      <c r="I2732" s="222" t="str">
        <f>IFERROR(__xludf.DUMMYFUNCTION("""COMPUTED_VALUE"""),"Batch 4a")</f>
        <v>Batch 4a</v>
      </c>
      <c r="J2732" s="225">
        <f>IFERROR(__xludf.DUMMYFUNCTION("""COMPUTED_VALUE"""),12.0)</f>
        <v>12</v>
      </c>
      <c r="K2732" s="224">
        <f>IFERROR(__xludf.DUMMYFUNCTION("""COMPUTED_VALUE"""),96.0)</f>
        <v>96</v>
      </c>
      <c r="L2732" s="226">
        <f>IFERROR(__xludf.DUMMYFUNCTION("""COMPUTED_VALUE"""),1680896.0)</f>
        <v>1680896</v>
      </c>
      <c r="M2732" s="227">
        <f>IFERROR(__xludf.DUMMYFUNCTION("""COMPUTED_VALUE"""),1.61365973E8)</f>
        <v>161365973</v>
      </c>
      <c r="N2732" s="222" t="str">
        <f>IFERROR(__xludf.DUMMYFUNCTION("""COMPUTED_VALUE"""),"PT FIBERHOME TECHNOLOGIES INDONESIA")</f>
        <v>PT FIBERHOME TECHNOLOGIES INDONESIA</v>
      </c>
      <c r="O2732" s="222" t="str">
        <f>IFERROR(__xludf.DUMMYFUNCTION("""COMPUTED_VALUE"""),"1. AANWIJZING")</f>
        <v>1. AANWIJZING</v>
      </c>
      <c r="P2732" s="222" t="str">
        <f>IFERROR(__xludf.DUMMYFUNCTION("""COMPUTED_VALUE"""),"1.5 Belum Aanwidjzing")</f>
        <v>1.5 Belum Aanwidjzing</v>
      </c>
      <c r="Q2732" s="222" t="str">
        <f>IFERROR(__xludf.DUMMYFUNCTION("""COMPUTED_VALUE"""),"X. DROP")</f>
        <v>X. DROP</v>
      </c>
      <c r="R2732" s="228"/>
      <c r="S2732" s="11"/>
      <c r="T2732" s="11"/>
      <c r="U2732" s="11"/>
      <c r="V2732" s="229"/>
      <c r="W2732" s="229"/>
      <c r="X2732" s="229"/>
      <c r="Y2732" s="229"/>
      <c r="Z2732" s="229"/>
      <c r="AA2732" s="229"/>
      <c r="AB2732" s="229"/>
      <c r="AC2732" s="229"/>
      <c r="AD2732" s="232"/>
      <c r="AE2732" s="233"/>
      <c r="AF2732" s="54"/>
      <c r="AG2732" s="54"/>
      <c r="AH2732" s="54"/>
      <c r="AI2732" s="55" t="str">
        <f t="shared" si="252"/>
        <v/>
      </c>
      <c r="AW2732" s="234"/>
      <c r="BP2732" s="11"/>
      <c r="BQ2732" s="11"/>
      <c r="BV2732" s="158"/>
      <c r="BY2732" s="158"/>
      <c r="CB2732" s="158"/>
    </row>
    <row r="2733" hidden="1">
      <c r="A2733" s="222">
        <f>IFERROR(__xludf.DUMMYFUNCTION("""COMPUTED_VALUE"""),2026.0)</f>
        <v>2026</v>
      </c>
      <c r="B2733" s="221">
        <f>IFERROR(__xludf.DUMMYFUNCTION("""COMPUTED_VALUE"""),1.1785143E7)</f>
        <v>11785143</v>
      </c>
      <c r="C2733" s="222" t="str">
        <f>IFERROR(__xludf.DUMMYFUNCTION("""COMPUTED_VALUE"""),"LPG PT3 JPP PERUM TKBM TAHAP 2 SRW")</f>
        <v>LPG PT3 JPP PERUM TKBM TAHAP 2 SRW</v>
      </c>
      <c r="D2733" s="222" t="str">
        <f>IFERROR(__xludf.DUMMYFUNCTION("""COMPUTED_VALUE"""),"REGIONAL I")</f>
        <v>REGIONAL I</v>
      </c>
      <c r="E2733" s="222" t="str">
        <f>IFERROR(__xludf.DUMMYFUNCTION("""COMPUTED_VALUE"""),"LAMPUNG")</f>
        <v>LAMPUNG</v>
      </c>
      <c r="F2733" s="222" t="str">
        <f>IFERROR(__xludf.DUMMYFUNCTION("""COMPUTED_VALUE"""),"SRW")</f>
        <v>SRW</v>
      </c>
      <c r="G2733" s="222" t="str">
        <f>IFERROR(__xludf.DUMMYFUNCTION("""COMPUTED_VALUE"""),"SUMBAGSEL")</f>
        <v>SUMBAGSEL</v>
      </c>
      <c r="H2733" s="222" t="str">
        <f>IFERROR(__xludf.DUMMYFUNCTION("""COMPUTED_VALUE"""),"LAMPUNG")</f>
        <v>LAMPUNG</v>
      </c>
      <c r="I2733" s="222" t="str">
        <f>IFERROR(__xludf.DUMMYFUNCTION("""COMPUTED_VALUE"""),"Batch 4a")</f>
        <v>Batch 4a</v>
      </c>
      <c r="J2733" s="225">
        <f>IFERROR(__xludf.DUMMYFUNCTION("""COMPUTED_VALUE"""),4.0)</f>
        <v>4</v>
      </c>
      <c r="K2733" s="224">
        <f>IFERROR(__xludf.DUMMYFUNCTION("""COMPUTED_VALUE"""),32.0)</f>
        <v>32</v>
      </c>
      <c r="L2733" s="226">
        <f>IFERROR(__xludf.DUMMYFUNCTION("""COMPUTED_VALUE"""),312326.0)</f>
        <v>312326</v>
      </c>
      <c r="M2733" s="227">
        <f>IFERROR(__xludf.DUMMYFUNCTION("""COMPUTED_VALUE"""),9994445.0)</f>
        <v>9994445</v>
      </c>
      <c r="N2733" s="222" t="str">
        <f>IFERROR(__xludf.DUMMYFUNCTION("""COMPUTED_VALUE"""),"PT FIBERHOME TECHNOLOGIES INDONESIA")</f>
        <v>PT FIBERHOME TECHNOLOGIES INDONESIA</v>
      </c>
      <c r="O2733" s="222" t="str">
        <f>IFERROR(__xludf.DUMMYFUNCTION("""COMPUTED_VALUE"""),"1. AANWIJZING")</f>
        <v>1. AANWIJZING</v>
      </c>
      <c r="P2733" s="222" t="str">
        <f>IFERROR(__xludf.DUMMYFUNCTION("""COMPUTED_VALUE"""),"1.5 Belum Aanwidjzing")</f>
        <v>1.5 Belum Aanwidjzing</v>
      </c>
      <c r="Q2733" s="222" t="str">
        <f>IFERROR(__xludf.DUMMYFUNCTION("""COMPUTED_VALUE"""),"X. DROP")</f>
        <v>X. DROP</v>
      </c>
      <c r="R2733" s="228"/>
      <c r="S2733" s="11"/>
      <c r="T2733" s="11"/>
      <c r="U2733" s="11"/>
      <c r="V2733" s="229"/>
      <c r="W2733" s="229"/>
      <c r="X2733" s="229"/>
      <c r="Y2733" s="229"/>
      <c r="Z2733" s="229"/>
      <c r="AA2733" s="229"/>
      <c r="AB2733" s="229"/>
      <c r="AC2733" s="229"/>
      <c r="AD2733" s="232"/>
      <c r="AE2733" s="233"/>
      <c r="AF2733" s="54"/>
      <c r="AG2733" s="54"/>
      <c r="AH2733" s="54"/>
      <c r="AI2733" s="55" t="str">
        <f t="shared" si="252"/>
        <v/>
      </c>
      <c r="AW2733" s="234"/>
      <c r="BP2733" s="11"/>
      <c r="BQ2733" s="11"/>
      <c r="BV2733" s="158"/>
      <c r="BY2733" s="158"/>
      <c r="CB2733" s="158"/>
    </row>
    <row r="2734" hidden="1">
      <c r="A2734" s="222">
        <f>IFERROR(__xludf.DUMMYFUNCTION("""COMPUTED_VALUE"""),2026.0)</f>
        <v>2026</v>
      </c>
      <c r="B2734" s="221">
        <f>IFERROR(__xludf.DUMMYFUNCTION("""COMPUTED_VALUE"""),1.1289381E7)</f>
        <v>11289381</v>
      </c>
      <c r="C2734" s="222" t="str">
        <f>IFERROR(__xludf.DUMMYFUNCTION("""COMPUTED_VALUE"""),"MDN PT4 DLT-FK KOMP ANAGATA HAUS Part 2")</f>
        <v>MDN PT4 DLT-FK KOMP ANAGATA HAUS Part 2</v>
      </c>
      <c r="D2734" s="222" t="str">
        <f>IFERROR(__xludf.DUMMYFUNCTION("""COMPUTED_VALUE"""),"REGIONAL I")</f>
        <v>REGIONAL I</v>
      </c>
      <c r="E2734" s="222" t="str">
        <f>IFERROR(__xludf.DUMMYFUNCTION("""COMPUTED_VALUE"""),"MEDAN")</f>
        <v>MEDAN</v>
      </c>
      <c r="F2734" s="222" t="str">
        <f>IFERROR(__xludf.DUMMYFUNCTION("""COMPUTED_VALUE"""),"DLT")</f>
        <v>DLT</v>
      </c>
      <c r="G2734" s="222" t="str">
        <f>IFERROR(__xludf.DUMMYFUNCTION("""COMPUTED_VALUE"""),"SUMBAGUT")</f>
        <v>SUMBAGUT</v>
      </c>
      <c r="H2734" s="222" t="str">
        <f>IFERROR(__xludf.DUMMYFUNCTION("""COMPUTED_VALUE"""),"MEDAN")</f>
        <v>MEDAN</v>
      </c>
      <c r="I2734" s="222" t="str">
        <f>IFERROR(__xludf.DUMMYFUNCTION("""COMPUTED_VALUE"""),"Batch 4a")</f>
        <v>Batch 4a</v>
      </c>
      <c r="J2734" s="225">
        <f>IFERROR(__xludf.DUMMYFUNCTION("""COMPUTED_VALUE"""),4.0)</f>
        <v>4</v>
      </c>
      <c r="K2734" s="224">
        <f>IFERROR(__xludf.DUMMYFUNCTION("""COMPUTED_VALUE"""),32.0)</f>
        <v>32</v>
      </c>
      <c r="L2734" s="226">
        <f>IFERROR(__xludf.DUMMYFUNCTION("""COMPUTED_VALUE"""),5739842.0)</f>
        <v>5739842</v>
      </c>
      <c r="M2734" s="227">
        <f>IFERROR(__xludf.DUMMYFUNCTION("""COMPUTED_VALUE"""),1.8367493E8)</f>
        <v>183674930</v>
      </c>
      <c r="N2734" s="222" t="str">
        <f>IFERROR(__xludf.DUMMYFUNCTION("""COMPUTED_VALUE"""),"PT FIBERHOME TECHNOLOGIES INDONESIA")</f>
        <v>PT FIBERHOME TECHNOLOGIES INDONESIA</v>
      </c>
      <c r="O2734" s="222" t="str">
        <f>IFERROR(__xludf.DUMMYFUNCTION("""COMPUTED_VALUE"""),"1. AANWIJZING")</f>
        <v>1. AANWIJZING</v>
      </c>
      <c r="P2734" s="222" t="str">
        <f>IFERROR(__xludf.DUMMYFUNCTION("""COMPUTED_VALUE"""),"1.5 Belum Aanwidjzing")</f>
        <v>1.5 Belum Aanwidjzing</v>
      </c>
      <c r="Q2734" s="222" t="str">
        <f>IFERROR(__xludf.DUMMYFUNCTION("""COMPUTED_VALUE"""),"1. PERSIAPAN")</f>
        <v>1. PERSIAPAN</v>
      </c>
      <c r="R2734" s="228"/>
      <c r="S2734" s="11"/>
      <c r="T2734" s="11"/>
      <c r="U2734" s="11"/>
      <c r="V2734" s="229"/>
      <c r="W2734" s="229"/>
      <c r="X2734" s="229"/>
      <c r="Y2734" s="229"/>
      <c r="Z2734" s="229"/>
      <c r="AA2734" s="229"/>
      <c r="AB2734" s="229"/>
      <c r="AC2734" s="229"/>
      <c r="AD2734" s="232"/>
      <c r="AE2734" s="233"/>
      <c r="AF2734" s="54"/>
      <c r="AG2734" s="54"/>
      <c r="AH2734" s="54"/>
      <c r="AI2734" s="55" t="str">
        <f t="shared" si="252"/>
        <v/>
      </c>
      <c r="AW2734" s="234"/>
      <c r="BP2734" s="11"/>
      <c r="BQ2734" s="11"/>
      <c r="BV2734" s="158"/>
      <c r="BY2734" s="158"/>
      <c r="CB2734" s="158"/>
    </row>
    <row r="2735" hidden="1">
      <c r="A2735" s="222">
        <f>IFERROR(__xludf.DUMMYFUNCTION("""COMPUTED_VALUE"""),2026.0)</f>
        <v>2026</v>
      </c>
      <c r="B2735" s="221">
        <f>IFERROR(__xludf.DUMMYFUNCTION("""COMPUTED_VALUE"""),1.2431366E7)</f>
        <v>12431366</v>
      </c>
      <c r="C2735" s="222" t="str">
        <f>IFERROR(__xludf.DUMMYFUNCTION("""COMPUTED_VALUE"""),"MDN PT4 PUB-FCB KOMP METRO PALACE")</f>
        <v>MDN PT4 PUB-FCB KOMP METRO PALACE</v>
      </c>
      <c r="D2735" s="222" t="str">
        <f>IFERROR(__xludf.DUMMYFUNCTION("""COMPUTED_VALUE"""),"REGIONAL I")</f>
        <v>REGIONAL I</v>
      </c>
      <c r="E2735" s="222" t="str">
        <f>IFERROR(__xludf.DUMMYFUNCTION("""COMPUTED_VALUE"""),"MEDAN")</f>
        <v>MEDAN</v>
      </c>
      <c r="F2735" s="222" t="str">
        <f>IFERROR(__xludf.DUMMYFUNCTION("""COMPUTED_VALUE"""),"PUB")</f>
        <v>PUB</v>
      </c>
      <c r="G2735" s="222" t="str">
        <f>IFERROR(__xludf.DUMMYFUNCTION("""COMPUTED_VALUE"""),"SUMBAGUT")</f>
        <v>SUMBAGUT</v>
      </c>
      <c r="H2735" s="222" t="str">
        <f>IFERROR(__xludf.DUMMYFUNCTION("""COMPUTED_VALUE"""),"MEDAN")</f>
        <v>MEDAN</v>
      </c>
      <c r="I2735" s="222" t="str">
        <f>IFERROR(__xludf.DUMMYFUNCTION("""COMPUTED_VALUE"""),"Batch 4a")</f>
        <v>Batch 4a</v>
      </c>
      <c r="J2735" s="225">
        <f>IFERROR(__xludf.DUMMYFUNCTION("""COMPUTED_VALUE"""),4.0)</f>
        <v>4</v>
      </c>
      <c r="K2735" s="224">
        <f>IFERROR(__xludf.DUMMYFUNCTION("""COMPUTED_VALUE"""),32.0)</f>
        <v>32</v>
      </c>
      <c r="L2735" s="226">
        <f>IFERROR(__xludf.DUMMYFUNCTION("""COMPUTED_VALUE"""),5766767.0)</f>
        <v>5766767</v>
      </c>
      <c r="M2735" s="227">
        <f>IFERROR(__xludf.DUMMYFUNCTION("""COMPUTED_VALUE"""),1.84536537E8)</f>
        <v>184536537</v>
      </c>
      <c r="N2735" s="222" t="str">
        <f>IFERROR(__xludf.DUMMYFUNCTION("""COMPUTED_VALUE"""),"PT FIBERHOME TECHNOLOGIES INDONESIA")</f>
        <v>PT FIBERHOME TECHNOLOGIES INDONESIA</v>
      </c>
      <c r="O2735" s="222" t="str">
        <f>IFERROR(__xludf.DUMMYFUNCTION("""COMPUTED_VALUE"""),"1. AANWIJZING")</f>
        <v>1. AANWIJZING</v>
      </c>
      <c r="P2735" s="222" t="str">
        <f>IFERROR(__xludf.DUMMYFUNCTION("""COMPUTED_VALUE"""),"1.5 Belum Aanwidjzing")</f>
        <v>1.5 Belum Aanwidjzing</v>
      </c>
      <c r="Q2735" s="222" t="str">
        <f>IFERROR(__xludf.DUMMYFUNCTION("""COMPUTED_VALUE"""),"1. PERSIAPAN")</f>
        <v>1. PERSIAPAN</v>
      </c>
      <c r="R2735" s="228"/>
      <c r="S2735" s="11"/>
      <c r="T2735" s="11"/>
      <c r="U2735" s="11"/>
      <c r="V2735" s="229"/>
      <c r="W2735" s="229"/>
      <c r="X2735" s="229"/>
      <c r="Y2735" s="229"/>
      <c r="Z2735" s="229"/>
      <c r="AA2735" s="229"/>
      <c r="AB2735" s="229"/>
      <c r="AC2735" s="229"/>
      <c r="AD2735" s="232"/>
      <c r="AE2735" s="233"/>
      <c r="AF2735" s="54"/>
      <c r="AG2735" s="54"/>
      <c r="AH2735" s="54"/>
      <c r="AI2735" s="55" t="str">
        <f t="shared" si="252"/>
        <v/>
      </c>
      <c r="AW2735" s="234"/>
      <c r="BP2735" s="11"/>
      <c r="BQ2735" s="11"/>
      <c r="BV2735" s="158"/>
      <c r="BY2735" s="158"/>
      <c r="CB2735" s="158"/>
    </row>
    <row r="2736">
      <c r="A2736" s="222">
        <f>IFERROR(__xludf.DUMMYFUNCTION("""COMPUTED_VALUE"""),2026.0)</f>
        <v>2026</v>
      </c>
      <c r="B2736" s="221">
        <f>IFERROR(__xludf.DUMMYFUNCTION("""COMPUTED_VALUE"""),1.1098823E7)</f>
        <v>11098823</v>
      </c>
      <c r="C2736" s="222" t="str">
        <f>IFERROR(__xludf.DUMMYFUNCTION("""COMPUTED_VALUE"""),"RKP PT3 JPPTSEL NGS-FM KING_SELEBRITY 2")</f>
        <v>RKP PT3 JPPTSEL NGS-FM KING_SELEBRITY 2</v>
      </c>
      <c r="D2736" s="222" t="str">
        <f>IFERROR(__xludf.DUMMYFUNCTION("""COMPUTED_VALUE"""),"REGIONAL I")</f>
        <v>REGIONAL I</v>
      </c>
      <c r="E2736" s="222" t="str">
        <f>IFERROR(__xludf.DUMMYFUNCTION("""COMPUTED_VALUE"""),"RIKEP")</f>
        <v>RIKEP</v>
      </c>
      <c r="F2736" s="222" t="str">
        <f>IFERROR(__xludf.DUMMYFUNCTION("""COMPUTED_VALUE"""),"NGS")</f>
        <v>NGS</v>
      </c>
      <c r="G2736" s="222" t="str">
        <f>IFERROR(__xludf.DUMMYFUNCTION("""COMPUTED_VALUE"""),"SUMBAGTENG")</f>
        <v>SUMBAGTENG</v>
      </c>
      <c r="H2736" s="222" t="str">
        <f>IFERROR(__xludf.DUMMYFUNCTION("""COMPUTED_VALUE"""),"BATAM")</f>
        <v>BATAM</v>
      </c>
      <c r="I2736" s="222" t="str">
        <f>IFERROR(__xludf.DUMMYFUNCTION("""COMPUTED_VALUE"""),"Batch 4a")</f>
        <v>Batch 4a</v>
      </c>
      <c r="J2736" s="225">
        <f>IFERROR(__xludf.DUMMYFUNCTION("""COMPUTED_VALUE"""),7.0)</f>
        <v>7</v>
      </c>
      <c r="K2736" s="224">
        <f>IFERROR(__xludf.DUMMYFUNCTION("""COMPUTED_VALUE"""),56.0)</f>
        <v>56</v>
      </c>
      <c r="L2736" s="226">
        <f>IFERROR(__xludf.DUMMYFUNCTION("""COMPUTED_VALUE"""),2465781.0)</f>
        <v>2465781</v>
      </c>
      <c r="M2736" s="227">
        <f>IFERROR(__xludf.DUMMYFUNCTION("""COMPUTED_VALUE"""),1.38083751E8)</f>
        <v>138083751</v>
      </c>
      <c r="N2736" s="222" t="str">
        <f>IFERROR(__xludf.DUMMYFUNCTION("""COMPUTED_VALUE"""),"PT FIBERHOME TECHNOLOGIES INDONESIA")</f>
        <v>PT FIBERHOME TECHNOLOGIES INDONESIA</v>
      </c>
      <c r="O2736" s="222" t="str">
        <f>IFERROR(__xludf.DUMMYFUNCTION("""COMPUTED_VALUE"""),"1. AANWIJZING")</f>
        <v>1. AANWIJZING</v>
      </c>
      <c r="P2736" s="222" t="str">
        <f>IFERROR(__xludf.DUMMYFUNCTION("""COMPUTED_VALUE"""),"1.5 Belum Aanwidjzing")</f>
        <v>1.5 Belum Aanwidjzing</v>
      </c>
      <c r="Q2736" s="222" t="str">
        <f>IFERROR(__xludf.DUMMYFUNCTION("""COMPUTED_VALUE"""),"24/04 Penunjukan mitra")</f>
        <v>24/04 Penunjukan mitra</v>
      </c>
      <c r="R2736" s="228"/>
      <c r="S2736" s="11"/>
      <c r="T2736" s="11"/>
      <c r="U2736" s="11"/>
      <c r="V2736" s="229" t="str">
        <f>IFERROR(__xludf.DUMMYFUNCTION("""COMPUTED_VALUE"""),"GANI PRASTYO")</f>
        <v>GANI PRASTYO</v>
      </c>
      <c r="W2736" s="229"/>
      <c r="X2736" s="229"/>
      <c r="Y2736" s="229"/>
      <c r="Z2736" s="229"/>
      <c r="AA2736" s="229"/>
      <c r="AB2736" s="229"/>
      <c r="AC2736" s="229"/>
      <c r="AD2736" s="232"/>
      <c r="AE2736" s="233"/>
      <c r="AF2736" s="54"/>
      <c r="AG2736" s="54"/>
      <c r="AH2736" s="54"/>
      <c r="AI2736" s="55" t="str">
        <f t="shared" si="252"/>
        <v/>
      </c>
      <c r="AW2736" s="234"/>
      <c r="BP2736" s="11"/>
      <c r="BQ2736" s="11"/>
      <c r="BV2736" s="158"/>
      <c r="BY2736" s="158"/>
      <c r="CB2736" s="158"/>
    </row>
    <row r="2737">
      <c r="A2737" s="222">
        <f>IFERROR(__xludf.DUMMYFUNCTION("""COMPUTED_VALUE"""),2026.0)</f>
        <v>2026</v>
      </c>
      <c r="B2737" s="221">
        <f>IFERROR(__xludf.DUMMYFUNCTION("""COMPUTED_VALUE"""),1.2533413E7)</f>
        <v>12533413</v>
      </c>
      <c r="C2737" s="222" t="str">
        <f>IFERROR(__xludf.DUMMYFUNCTION("""COMPUTED_VALUE"""),"RKP TSEL PT3 PNI-FJ VILLA_PANBIL")</f>
        <v>RKP TSEL PT3 PNI-FJ VILLA_PANBIL</v>
      </c>
      <c r="D2737" s="222" t="str">
        <f>IFERROR(__xludf.DUMMYFUNCTION("""COMPUTED_VALUE"""),"REGIONAL I")</f>
        <v>REGIONAL I</v>
      </c>
      <c r="E2737" s="222" t="str">
        <f>IFERROR(__xludf.DUMMYFUNCTION("""COMPUTED_VALUE"""),"RIKEP")</f>
        <v>RIKEP</v>
      </c>
      <c r="F2737" s="222" t="str">
        <f>IFERROR(__xludf.DUMMYFUNCTION("""COMPUTED_VALUE"""),"PNI")</f>
        <v>PNI</v>
      </c>
      <c r="G2737" s="222" t="str">
        <f>IFERROR(__xludf.DUMMYFUNCTION("""COMPUTED_VALUE"""),"SUMBAGTENG")</f>
        <v>SUMBAGTENG</v>
      </c>
      <c r="H2737" s="222" t="str">
        <f>IFERROR(__xludf.DUMMYFUNCTION("""COMPUTED_VALUE"""),"BATAM")</f>
        <v>BATAM</v>
      </c>
      <c r="I2737" s="222" t="str">
        <f>IFERROR(__xludf.DUMMYFUNCTION("""COMPUTED_VALUE"""),"Batch 4a")</f>
        <v>Batch 4a</v>
      </c>
      <c r="J2737" s="225">
        <f>IFERROR(__xludf.DUMMYFUNCTION("""COMPUTED_VALUE"""),3.0)</f>
        <v>3</v>
      </c>
      <c r="K2737" s="224">
        <f>IFERROR(__xludf.DUMMYFUNCTION("""COMPUTED_VALUE"""),24.0)</f>
        <v>24</v>
      </c>
      <c r="L2737" s="226">
        <f>IFERROR(__xludf.DUMMYFUNCTION("""COMPUTED_VALUE"""),2602333.0)</f>
        <v>2602333</v>
      </c>
      <c r="M2737" s="227">
        <f>IFERROR(__xludf.DUMMYFUNCTION("""COMPUTED_VALUE"""),6.2455998E7)</f>
        <v>62455998</v>
      </c>
      <c r="N2737" s="222" t="str">
        <f>IFERROR(__xludf.DUMMYFUNCTION("""COMPUTED_VALUE"""),"PT FIBERHOME TECHNOLOGIES INDONESIA")</f>
        <v>PT FIBERHOME TECHNOLOGIES INDONESIA</v>
      </c>
      <c r="O2737" s="222" t="str">
        <f>IFERROR(__xludf.DUMMYFUNCTION("""COMPUTED_VALUE"""),"1. AANWIJZING")</f>
        <v>1. AANWIJZING</v>
      </c>
      <c r="P2737" s="222" t="str">
        <f>IFERROR(__xludf.DUMMYFUNCTION("""COMPUTED_VALUE"""),"1.5 Belum Aanwidjzing")</f>
        <v>1.5 Belum Aanwidjzing</v>
      </c>
      <c r="Q2737" s="222" t="str">
        <f>IFERROR(__xludf.DUMMYFUNCTION("""COMPUTED_VALUE"""),"24/04 Penunjukan mitra")</f>
        <v>24/04 Penunjukan mitra</v>
      </c>
      <c r="R2737" s="228"/>
      <c r="S2737" s="11"/>
      <c r="T2737" s="11"/>
      <c r="U2737" s="11"/>
      <c r="V2737" s="229" t="str">
        <f>IFERROR(__xludf.DUMMYFUNCTION("""COMPUTED_VALUE"""),"GANI PRASTYO")</f>
        <v>GANI PRASTYO</v>
      </c>
      <c r="W2737" s="229"/>
      <c r="X2737" s="229"/>
      <c r="Y2737" s="229"/>
      <c r="Z2737" s="229"/>
      <c r="AA2737" s="229"/>
      <c r="AB2737" s="229"/>
      <c r="AC2737" s="229"/>
      <c r="AD2737" s="232"/>
      <c r="AE2737" s="233"/>
      <c r="AF2737" s="54"/>
      <c r="AG2737" s="54"/>
      <c r="AH2737" s="54"/>
      <c r="AI2737" s="55" t="str">
        <f t="shared" si="252"/>
        <v/>
      </c>
      <c r="AW2737" s="234"/>
      <c r="BP2737" s="11"/>
      <c r="BQ2737" s="11"/>
      <c r="BV2737" s="158"/>
      <c r="BY2737" s="158"/>
      <c r="CB2737" s="158"/>
    </row>
    <row r="2738" hidden="1">
      <c r="A2738" s="222">
        <f>IFERROR(__xludf.DUMMYFUNCTION("""COMPUTED_VALUE"""),2026.0)</f>
        <v>2026</v>
      </c>
      <c r="B2738" s="221">
        <f>IFERROR(__xludf.DUMMYFUNCTION("""COMPUTED_VALUE"""),1.1199301E7)</f>
        <v>11199301</v>
      </c>
      <c r="C2738" s="222" t="str">
        <f>IFERROR(__xludf.DUMMYFUNCTION("""COMPUTED_VALUE"""),"BNK-PT4-PDW-JPPTSEL-PESONA GRAND")</f>
        <v>BNK-PT4-PDW-JPPTSEL-PESONA GRAND</v>
      </c>
      <c r="D2738" s="222" t="str">
        <f>IFERROR(__xludf.DUMMYFUNCTION("""COMPUTED_VALUE"""),"REGIONAL I")</f>
        <v>REGIONAL I</v>
      </c>
      <c r="E2738" s="222" t="str">
        <f>IFERROR(__xludf.DUMMYFUNCTION("""COMPUTED_VALUE"""),"BENGKULU")</f>
        <v>BENGKULU</v>
      </c>
      <c r="F2738" s="222" t="str">
        <f>IFERROR(__xludf.DUMMYFUNCTION("""COMPUTED_VALUE"""),"PDW")</f>
        <v>PDW</v>
      </c>
      <c r="G2738" s="222" t="str">
        <f>IFERROR(__xludf.DUMMYFUNCTION("""COMPUTED_VALUE"""),"SUMBAGSEL")</f>
        <v>SUMBAGSEL</v>
      </c>
      <c r="H2738" s="222" t="str">
        <f>IFERROR(__xludf.DUMMYFUNCTION("""COMPUTED_VALUE"""),"BENGKULU")</f>
        <v>BENGKULU</v>
      </c>
      <c r="I2738" s="222" t="str">
        <f>IFERROR(__xludf.DUMMYFUNCTION("""COMPUTED_VALUE"""),"Batch 4a")</f>
        <v>Batch 4a</v>
      </c>
      <c r="J2738" s="225">
        <f>IFERROR(__xludf.DUMMYFUNCTION("""COMPUTED_VALUE"""),22.0)</f>
        <v>22</v>
      </c>
      <c r="K2738" s="224">
        <f>IFERROR(__xludf.DUMMYFUNCTION("""COMPUTED_VALUE"""),176.0)</f>
        <v>176</v>
      </c>
      <c r="L2738" s="226">
        <f>IFERROR(__xludf.DUMMYFUNCTION("""COMPUTED_VALUE"""),2363171.0)</f>
        <v>2363171</v>
      </c>
      <c r="M2738" s="227">
        <f>IFERROR(__xludf.DUMMYFUNCTION("""COMPUTED_VALUE"""),4.15918114E8)</f>
        <v>415918114</v>
      </c>
      <c r="N2738" s="222" t="str">
        <f>IFERROR(__xludf.DUMMYFUNCTION("""COMPUTED_VALUE"""),"PT FIBERHOME TECHNOLOGIES INDONESIA")</f>
        <v>PT FIBERHOME TECHNOLOGIES INDONESIA</v>
      </c>
      <c r="O2738" s="222" t="str">
        <f>IFERROR(__xludf.DUMMYFUNCTION("""COMPUTED_VALUE"""),"0. DROP")</f>
        <v>0. DROP</v>
      </c>
      <c r="P2738" s="222" t="str">
        <f>IFERROR(__xludf.DUMMYFUNCTION("""COMPUTED_VALUE"""),"0.1 Double Order")</f>
        <v>0.1 Double Order</v>
      </c>
      <c r="Q2738" s="222" t="str">
        <f>IFERROR(__xludf.DUMMYFUNCTION("""COMPUTED_VALUE"""),"06/04 duplikat order  BNK-PT4-PDW-JPPTSEL- PADANG SERAI
ID IHLD : 11438176 Penujukan mitra &amp; mapping  data eksisting  1. PERSIAPAN")</f>
        <v>06/04 duplikat order  BNK-PT4-PDW-JPPTSEL- PADANG SERAI
ID IHLD : 11438176 Penujukan mitra &amp; mapping  data eksisting  1. PERSIAPAN</v>
      </c>
      <c r="R2738" s="228"/>
      <c r="S2738" s="11"/>
      <c r="T2738" s="11"/>
      <c r="U2738" s="11"/>
      <c r="V2738" s="229"/>
      <c r="W2738" s="229"/>
      <c r="X2738" s="229"/>
      <c r="Y2738" s="229"/>
      <c r="Z2738" s="229"/>
      <c r="AA2738" s="229"/>
      <c r="AB2738" s="229"/>
      <c r="AC2738" s="229"/>
      <c r="AD2738" s="232"/>
      <c r="AE2738" s="233"/>
      <c r="AF2738" s="54"/>
      <c r="AG2738" s="54"/>
      <c r="AH2738" s="54"/>
      <c r="AI2738" s="55" t="str">
        <f t="shared" si="252"/>
        <v/>
      </c>
      <c r="AW2738" s="234"/>
      <c r="BP2738" s="11"/>
      <c r="BQ2738" s="11"/>
      <c r="BV2738" s="158"/>
      <c r="BY2738" s="158"/>
      <c r="CB2738" s="158"/>
    </row>
    <row r="2739" hidden="1">
      <c r="A2739" s="222">
        <f>IFERROR(__xludf.DUMMYFUNCTION("""COMPUTED_VALUE"""),2026.0)</f>
        <v>2026</v>
      </c>
      <c r="B2739" s="221">
        <f>IFERROR(__xludf.DUMMYFUNCTION("""COMPUTED_VALUE"""),1.2934068E7)</f>
        <v>12934068</v>
      </c>
      <c r="C2739" s="222" t="str">
        <f>IFERROR(__xludf.DUMMYFUNCTION("""COMPUTED_VALUE"""),"JPP-PT4 UP ODC-MAB-FK-LANGIT RESIDENCE")</f>
        <v>JPP-PT4 UP ODC-MAB-FK-LANGIT RESIDENCE</v>
      </c>
      <c r="D2739" s="222" t="str">
        <f>IFERROR(__xludf.DUMMYFUNCTION("""COMPUTED_VALUE"""),"REGIONAL I")</f>
        <v>REGIONAL I</v>
      </c>
      <c r="E2739" s="222" t="str">
        <f>IFERROR(__xludf.DUMMYFUNCTION("""COMPUTED_VALUE"""),"JAMBI")</f>
        <v>JAMBI</v>
      </c>
      <c r="F2739" s="222" t="str">
        <f>IFERROR(__xludf.DUMMYFUNCTION("""COMPUTED_VALUE"""),"MAB")</f>
        <v>MAB</v>
      </c>
      <c r="G2739" s="222" t="str">
        <f>IFERROR(__xludf.DUMMYFUNCTION("""COMPUTED_VALUE"""),"SUMBAGSEL")</f>
        <v>SUMBAGSEL</v>
      </c>
      <c r="H2739" s="222" t="str">
        <f>IFERROR(__xludf.DUMMYFUNCTION("""COMPUTED_VALUE"""),"JAMBI")</f>
        <v>JAMBI</v>
      </c>
      <c r="I2739" s="222" t="str">
        <f>IFERROR(__xludf.DUMMYFUNCTION("""COMPUTED_VALUE"""),"Batch 4a")</f>
        <v>Batch 4a</v>
      </c>
      <c r="J2739" s="225">
        <f>IFERROR(__xludf.DUMMYFUNCTION("""COMPUTED_VALUE"""),6.0)</f>
        <v>6</v>
      </c>
      <c r="K2739" s="224">
        <f>IFERROR(__xludf.DUMMYFUNCTION("""COMPUTED_VALUE"""),48.0)</f>
        <v>48</v>
      </c>
      <c r="L2739" s="226">
        <f>IFERROR(__xludf.DUMMYFUNCTION("""COMPUTED_VALUE"""),3460560.0)</f>
        <v>3460560</v>
      </c>
      <c r="M2739" s="227">
        <f>IFERROR(__xludf.DUMMYFUNCTION("""COMPUTED_VALUE"""),1.66106882E8)</f>
        <v>166106882</v>
      </c>
      <c r="N2739" s="222" t="str">
        <f>IFERROR(__xludf.DUMMYFUNCTION("""COMPUTED_VALUE"""),"PT ANGSO DUO TELEKOMUNIKASI")</f>
        <v>PT ANGSO DUO TELEKOMUNIKASI</v>
      </c>
      <c r="O2739" s="222" t="str">
        <f>IFERROR(__xludf.DUMMYFUNCTION("""COMPUTED_VALUE"""),"3. PERIZINAN")</f>
        <v>3. PERIZINAN</v>
      </c>
      <c r="P2739" s="222" t="str">
        <f>IFERROR(__xludf.DUMMYFUNCTION("""COMPUTED_VALUE"""),"3.1 Submit permohon ke PU")</f>
        <v>3.1 Submit permohon ke PU</v>
      </c>
      <c r="Q2739" s="222" t="str">
        <f>IFERROR(__xludf.DUMMYFUNCTION("""COMPUTED_VALUE"""),"13/4 aanwijdzing done, masuk perizinan PU NAS 11/04 Proses aanwijzing galian feeder kena Perizinan PU Nasional 2.7 Km  06/04 Mapping Mitra")</f>
        <v>13/4 aanwijdzing done, masuk perizinan PU NAS 11/04 Proses aanwijzing galian feeder kena Perizinan PU Nasional 2.7 Km  06/04 Mapping Mitra</v>
      </c>
      <c r="R2739" s="228"/>
      <c r="S2739" s="11"/>
      <c r="T2739" s="11"/>
      <c r="U2739" s="11"/>
      <c r="V2739" s="229"/>
      <c r="W2739" s="229"/>
      <c r="X2739" s="229"/>
      <c r="Y2739" s="229"/>
      <c r="Z2739" s="229"/>
      <c r="AA2739" s="229"/>
      <c r="AB2739" s="229"/>
      <c r="AC2739" s="229"/>
      <c r="AD2739" s="232"/>
      <c r="AE2739" s="233"/>
      <c r="AF2739" s="54"/>
      <c r="AG2739" s="54"/>
      <c r="AH2739" s="54"/>
      <c r="AI2739" s="55" t="str">
        <f t="shared" si="252"/>
        <v/>
      </c>
      <c r="AW2739" s="234"/>
      <c r="BP2739" s="11"/>
      <c r="BQ2739" s="11"/>
      <c r="BV2739" s="158"/>
      <c r="BY2739" s="158"/>
      <c r="CB2739" s="158"/>
    </row>
    <row r="2740">
      <c r="A2740" s="222"/>
      <c r="B2740" s="221"/>
      <c r="C2740" s="222"/>
      <c r="D2740" s="222"/>
      <c r="E2740" s="222"/>
      <c r="F2740" s="222"/>
      <c r="G2740" s="222"/>
      <c r="H2740" s="222"/>
      <c r="I2740" s="222"/>
      <c r="J2740" s="223"/>
      <c r="K2740" s="223"/>
      <c r="L2740" s="222"/>
      <c r="M2740" s="222"/>
      <c r="N2740" s="222"/>
      <c r="O2740" s="222"/>
      <c r="P2740" s="222"/>
      <c r="Q2740" s="222"/>
      <c r="R2740" s="271"/>
      <c r="S2740" s="11"/>
      <c r="T2740" s="11"/>
      <c r="U2740" s="11"/>
      <c r="AF2740" s="20"/>
      <c r="AG2740" s="20"/>
      <c r="AH2740" s="20"/>
      <c r="AI2740" s="55" t="str">
        <f t="shared" si="252"/>
        <v/>
      </c>
      <c r="AW2740" s="234"/>
      <c r="BP2740" s="11"/>
      <c r="BQ2740" s="11"/>
      <c r="BV2740" s="158"/>
      <c r="BY2740" s="158"/>
      <c r="CB2740" s="158"/>
    </row>
    <row r="2741">
      <c r="A2741" s="222"/>
      <c r="B2741" s="221"/>
      <c r="C2741" s="222"/>
      <c r="D2741" s="222"/>
      <c r="E2741" s="222"/>
      <c r="F2741" s="222"/>
      <c r="G2741" s="222"/>
      <c r="H2741" s="222"/>
      <c r="I2741" s="222"/>
      <c r="J2741" s="223"/>
      <c r="K2741" s="223"/>
      <c r="L2741" s="222"/>
      <c r="M2741" s="222"/>
      <c r="N2741" s="222"/>
      <c r="O2741" s="222"/>
      <c r="P2741" s="222"/>
      <c r="Q2741" s="222"/>
      <c r="R2741" s="271"/>
      <c r="S2741" s="11"/>
      <c r="T2741" s="11"/>
      <c r="U2741" s="11"/>
      <c r="AW2741" s="234"/>
      <c r="BP2741" s="11"/>
      <c r="BQ2741" s="11"/>
      <c r="BV2741" s="158"/>
      <c r="BY2741" s="158"/>
      <c r="CB2741" s="158"/>
    </row>
    <row r="2742">
      <c r="A2742" s="222"/>
      <c r="B2742" s="221"/>
      <c r="C2742" s="222"/>
      <c r="D2742" s="222"/>
      <c r="E2742" s="222"/>
      <c r="F2742" s="222"/>
      <c r="G2742" s="222"/>
      <c r="H2742" s="222"/>
      <c r="I2742" s="222"/>
      <c r="J2742" s="223"/>
      <c r="K2742" s="223"/>
      <c r="L2742" s="222"/>
      <c r="M2742" s="222"/>
      <c r="N2742" s="222"/>
      <c r="O2742" s="222"/>
      <c r="P2742" s="222"/>
      <c r="Q2742" s="222"/>
      <c r="R2742" s="271"/>
      <c r="S2742" s="11"/>
      <c r="T2742" s="11"/>
      <c r="U2742" s="11"/>
      <c r="AW2742" s="234"/>
      <c r="BP2742" s="11"/>
      <c r="BQ2742" s="11"/>
      <c r="BV2742" s="158"/>
      <c r="BY2742" s="158"/>
      <c r="CB2742" s="158"/>
    </row>
    <row r="2743">
      <c r="A2743" s="222"/>
      <c r="B2743" s="221"/>
      <c r="C2743" s="222"/>
      <c r="D2743" s="222"/>
      <c r="E2743" s="222"/>
      <c r="F2743" s="222"/>
      <c r="G2743" s="222"/>
      <c r="H2743" s="222"/>
      <c r="I2743" s="222"/>
      <c r="J2743" s="223"/>
      <c r="K2743" s="223"/>
      <c r="L2743" s="222"/>
      <c r="M2743" s="222"/>
      <c r="N2743" s="222"/>
      <c r="O2743" s="222"/>
      <c r="P2743" s="222"/>
      <c r="Q2743" s="222"/>
      <c r="R2743" s="271"/>
      <c r="S2743" s="11"/>
      <c r="T2743" s="11"/>
      <c r="U2743" s="11"/>
      <c r="AW2743" s="234"/>
      <c r="BP2743" s="11"/>
      <c r="BQ2743" s="11"/>
      <c r="BV2743" s="158"/>
      <c r="BY2743" s="158"/>
      <c r="CB2743" s="158"/>
    </row>
    <row r="2744">
      <c r="A2744" s="222"/>
      <c r="B2744" s="221"/>
      <c r="C2744" s="222"/>
      <c r="D2744" s="222"/>
      <c r="E2744" s="222"/>
      <c r="F2744" s="222"/>
      <c r="G2744" s="222"/>
      <c r="H2744" s="222"/>
      <c r="I2744" s="222"/>
      <c r="J2744" s="223"/>
      <c r="K2744" s="223"/>
      <c r="L2744" s="222"/>
      <c r="M2744" s="222"/>
      <c r="N2744" s="222"/>
      <c r="O2744" s="222"/>
      <c r="P2744" s="222"/>
      <c r="Q2744" s="222"/>
      <c r="R2744" s="271"/>
      <c r="S2744" s="11"/>
      <c r="T2744" s="11"/>
      <c r="U2744" s="11"/>
      <c r="AW2744" s="234"/>
      <c r="BP2744" s="11"/>
      <c r="BQ2744" s="11"/>
      <c r="BV2744" s="158"/>
      <c r="BY2744" s="158"/>
      <c r="CB2744" s="158"/>
    </row>
    <row r="2745">
      <c r="A2745" s="222"/>
      <c r="B2745" s="221"/>
      <c r="C2745" s="222"/>
      <c r="D2745" s="222"/>
      <c r="E2745" s="222"/>
      <c r="F2745" s="222"/>
      <c r="G2745" s="222"/>
      <c r="H2745" s="222"/>
      <c r="I2745" s="222"/>
      <c r="J2745" s="223"/>
      <c r="K2745" s="223"/>
      <c r="L2745" s="222"/>
      <c r="M2745" s="222"/>
      <c r="N2745" s="222"/>
      <c r="O2745" s="222"/>
      <c r="P2745" s="222"/>
      <c r="Q2745" s="222"/>
      <c r="R2745" s="271"/>
      <c r="S2745" s="11"/>
      <c r="T2745" s="11"/>
      <c r="U2745" s="11"/>
      <c r="AW2745" s="234"/>
      <c r="BP2745" s="11"/>
      <c r="BQ2745" s="11"/>
      <c r="BV2745" s="158"/>
      <c r="BY2745" s="158"/>
      <c r="CB2745" s="158"/>
    </row>
    <row r="2746">
      <c r="A2746" s="222"/>
      <c r="B2746" s="221"/>
      <c r="C2746" s="222"/>
      <c r="D2746" s="222"/>
      <c r="E2746" s="222"/>
      <c r="F2746" s="222"/>
      <c r="G2746" s="222"/>
      <c r="H2746" s="222"/>
      <c r="I2746" s="222"/>
      <c r="J2746" s="223"/>
      <c r="K2746" s="223"/>
      <c r="L2746" s="222"/>
      <c r="M2746" s="222"/>
      <c r="N2746" s="222"/>
      <c r="O2746" s="222"/>
      <c r="P2746" s="222"/>
      <c r="Q2746" s="222"/>
      <c r="R2746" s="271"/>
      <c r="S2746" s="11"/>
      <c r="T2746" s="11"/>
      <c r="U2746" s="11"/>
      <c r="AW2746" s="234"/>
      <c r="BP2746" s="11"/>
      <c r="BQ2746" s="11"/>
      <c r="BV2746" s="158"/>
      <c r="BY2746" s="158"/>
      <c r="CB2746" s="158"/>
    </row>
    <row r="2747">
      <c r="A2747" s="222"/>
      <c r="B2747" s="221"/>
      <c r="C2747" s="222"/>
      <c r="D2747" s="222"/>
      <c r="E2747" s="222"/>
      <c r="F2747" s="222"/>
      <c r="G2747" s="222"/>
      <c r="H2747" s="222"/>
      <c r="I2747" s="222"/>
      <c r="J2747" s="223"/>
      <c r="K2747" s="223"/>
      <c r="L2747" s="222"/>
      <c r="M2747" s="222"/>
      <c r="N2747" s="222"/>
      <c r="O2747" s="222"/>
      <c r="P2747" s="222"/>
      <c r="Q2747" s="222"/>
      <c r="R2747" s="271"/>
      <c r="S2747" s="11"/>
      <c r="T2747" s="11"/>
      <c r="U2747" s="11"/>
      <c r="AW2747" s="234"/>
      <c r="BP2747" s="11"/>
      <c r="BQ2747" s="11"/>
      <c r="BV2747" s="158"/>
      <c r="BY2747" s="158"/>
      <c r="CB2747" s="158"/>
    </row>
    <row r="2748">
      <c r="A2748" s="222"/>
      <c r="B2748" s="221"/>
      <c r="C2748" s="222"/>
      <c r="D2748" s="222"/>
      <c r="E2748" s="222"/>
      <c r="F2748" s="222"/>
      <c r="G2748" s="222"/>
      <c r="H2748" s="222"/>
      <c r="I2748" s="222"/>
      <c r="J2748" s="223"/>
      <c r="K2748" s="223"/>
      <c r="L2748" s="222"/>
      <c r="M2748" s="222"/>
      <c r="N2748" s="222"/>
      <c r="O2748" s="222"/>
      <c r="P2748" s="222"/>
      <c r="Q2748" s="222"/>
      <c r="R2748" s="271"/>
      <c r="S2748" s="11"/>
      <c r="T2748" s="11"/>
      <c r="U2748" s="11"/>
      <c r="AW2748" s="234"/>
      <c r="BP2748" s="11"/>
      <c r="BQ2748" s="11"/>
      <c r="BV2748" s="158"/>
      <c r="BY2748" s="158"/>
      <c r="CB2748" s="158"/>
    </row>
    <row r="2749">
      <c r="A2749" s="222"/>
      <c r="B2749" s="221"/>
      <c r="C2749" s="222"/>
      <c r="D2749" s="222"/>
      <c r="E2749" s="222"/>
      <c r="F2749" s="222"/>
      <c r="G2749" s="222"/>
      <c r="H2749" s="222"/>
      <c r="I2749" s="222"/>
      <c r="J2749" s="223"/>
      <c r="K2749" s="223"/>
      <c r="L2749" s="222"/>
      <c r="M2749" s="222"/>
      <c r="N2749" s="222"/>
      <c r="O2749" s="222"/>
      <c r="P2749" s="222"/>
      <c r="Q2749" s="222"/>
      <c r="R2749" s="271"/>
      <c r="S2749" s="11"/>
      <c r="T2749" s="11"/>
      <c r="U2749" s="11"/>
      <c r="AW2749" s="234"/>
      <c r="BP2749" s="11"/>
      <c r="BQ2749" s="11"/>
      <c r="BV2749" s="158"/>
      <c r="BY2749" s="158"/>
      <c r="CB2749" s="158"/>
    </row>
    <row r="2750">
      <c r="A2750" s="222"/>
      <c r="B2750" s="221"/>
      <c r="C2750" s="222"/>
      <c r="D2750" s="222"/>
      <c r="E2750" s="222"/>
      <c r="F2750" s="222"/>
      <c r="G2750" s="222"/>
      <c r="H2750" s="222"/>
      <c r="I2750" s="222"/>
      <c r="J2750" s="223"/>
      <c r="K2750" s="223"/>
      <c r="L2750" s="222"/>
      <c r="M2750" s="222"/>
      <c r="N2750" s="222"/>
      <c r="O2750" s="222"/>
      <c r="P2750" s="222"/>
      <c r="Q2750" s="222"/>
      <c r="R2750" s="271"/>
      <c r="S2750" s="11"/>
      <c r="T2750" s="11"/>
      <c r="U2750" s="11"/>
      <c r="AW2750" s="234"/>
      <c r="BP2750" s="11"/>
      <c r="BQ2750" s="11"/>
      <c r="BV2750" s="158"/>
      <c r="BY2750" s="158"/>
      <c r="CB2750" s="158"/>
    </row>
    <row r="2751">
      <c r="A2751" s="222"/>
      <c r="B2751" s="221"/>
      <c r="C2751" s="222"/>
      <c r="D2751" s="222"/>
      <c r="E2751" s="222"/>
      <c r="F2751" s="222"/>
      <c r="G2751" s="222"/>
      <c r="H2751" s="222"/>
      <c r="I2751" s="222"/>
      <c r="J2751" s="223"/>
      <c r="K2751" s="223"/>
      <c r="L2751" s="222"/>
      <c r="M2751" s="222"/>
      <c r="N2751" s="222"/>
      <c r="O2751" s="222"/>
      <c r="P2751" s="222"/>
      <c r="Q2751" s="222"/>
      <c r="R2751" s="271"/>
      <c r="S2751" s="11"/>
      <c r="T2751" s="11"/>
      <c r="U2751" s="11"/>
      <c r="AW2751" s="234"/>
      <c r="BP2751" s="11"/>
      <c r="BQ2751" s="11"/>
      <c r="BV2751" s="158"/>
      <c r="BY2751" s="158"/>
      <c r="CB2751" s="158"/>
    </row>
    <row r="2752">
      <c r="A2752" s="222"/>
      <c r="B2752" s="221"/>
      <c r="C2752" s="222"/>
      <c r="D2752" s="222"/>
      <c r="E2752" s="222"/>
      <c r="F2752" s="222"/>
      <c r="G2752" s="222"/>
      <c r="H2752" s="222"/>
      <c r="I2752" s="222"/>
      <c r="J2752" s="223"/>
      <c r="K2752" s="223"/>
      <c r="L2752" s="222"/>
      <c r="M2752" s="222"/>
      <c r="N2752" s="222"/>
      <c r="O2752" s="222"/>
      <c r="P2752" s="222"/>
      <c r="Q2752" s="222"/>
      <c r="R2752" s="271"/>
      <c r="S2752" s="11"/>
      <c r="T2752" s="11"/>
      <c r="U2752" s="11"/>
      <c r="AW2752" s="234"/>
      <c r="BP2752" s="11"/>
      <c r="BQ2752" s="11"/>
      <c r="BV2752" s="158"/>
      <c r="BY2752" s="158"/>
      <c r="CB2752" s="158"/>
    </row>
    <row r="2753">
      <c r="A2753" s="222"/>
      <c r="B2753" s="221"/>
      <c r="C2753" s="222"/>
      <c r="D2753" s="222"/>
      <c r="E2753" s="222"/>
      <c r="F2753" s="222"/>
      <c r="G2753" s="222"/>
      <c r="H2753" s="222"/>
      <c r="I2753" s="222"/>
      <c r="J2753" s="223"/>
      <c r="K2753" s="223"/>
      <c r="L2753" s="222"/>
      <c r="M2753" s="222"/>
      <c r="N2753" s="222"/>
      <c r="O2753" s="222"/>
      <c r="P2753" s="222"/>
      <c r="Q2753" s="222"/>
      <c r="R2753" s="271"/>
      <c r="S2753" s="11"/>
      <c r="T2753" s="11"/>
      <c r="U2753" s="11"/>
      <c r="AW2753" s="234"/>
      <c r="BP2753" s="11"/>
      <c r="BQ2753" s="11"/>
      <c r="BV2753" s="158"/>
      <c r="BY2753" s="158"/>
      <c r="CB2753" s="158"/>
    </row>
    <row r="2754">
      <c r="A2754" s="222"/>
      <c r="B2754" s="221"/>
      <c r="C2754" s="222"/>
      <c r="D2754" s="222"/>
      <c r="E2754" s="222"/>
      <c r="F2754" s="222"/>
      <c r="G2754" s="222"/>
      <c r="H2754" s="222"/>
      <c r="I2754" s="222"/>
      <c r="J2754" s="223"/>
      <c r="K2754" s="223"/>
      <c r="L2754" s="222"/>
      <c r="M2754" s="222"/>
      <c r="N2754" s="222"/>
      <c r="O2754" s="222"/>
      <c r="P2754" s="222"/>
      <c r="Q2754" s="222"/>
      <c r="R2754" s="271"/>
      <c r="S2754" s="11"/>
      <c r="T2754" s="11"/>
      <c r="U2754" s="11"/>
      <c r="AW2754" s="234"/>
      <c r="BP2754" s="11"/>
      <c r="BQ2754" s="11"/>
      <c r="BV2754" s="158"/>
      <c r="BY2754" s="158"/>
      <c r="CB2754" s="158"/>
    </row>
    <row r="2755">
      <c r="A2755" s="222"/>
      <c r="B2755" s="221"/>
      <c r="C2755" s="222"/>
      <c r="D2755" s="222"/>
      <c r="E2755" s="222"/>
      <c r="F2755" s="222"/>
      <c r="G2755" s="222"/>
      <c r="H2755" s="222"/>
      <c r="I2755" s="222"/>
      <c r="J2755" s="223"/>
      <c r="K2755" s="223"/>
      <c r="L2755" s="222"/>
      <c r="M2755" s="222"/>
      <c r="N2755" s="222"/>
      <c r="O2755" s="222"/>
      <c r="P2755" s="222"/>
      <c r="Q2755" s="222"/>
      <c r="R2755" s="271"/>
      <c r="S2755" s="11"/>
      <c r="T2755" s="11"/>
      <c r="U2755" s="11"/>
      <c r="AW2755" s="234"/>
      <c r="BP2755" s="11"/>
      <c r="BQ2755" s="11"/>
      <c r="BV2755" s="158"/>
      <c r="BY2755" s="158"/>
      <c r="CB2755" s="158"/>
    </row>
    <row r="2756">
      <c r="A2756" s="222"/>
      <c r="B2756" s="221"/>
      <c r="C2756" s="222"/>
      <c r="D2756" s="222"/>
      <c r="E2756" s="222"/>
      <c r="F2756" s="222"/>
      <c r="G2756" s="222"/>
      <c r="H2756" s="222"/>
      <c r="I2756" s="222"/>
      <c r="J2756" s="223"/>
      <c r="K2756" s="223"/>
      <c r="L2756" s="222"/>
      <c r="M2756" s="222"/>
      <c r="N2756" s="222"/>
      <c r="O2756" s="222"/>
      <c r="P2756" s="222"/>
      <c r="Q2756" s="222"/>
      <c r="R2756" s="271"/>
      <c r="S2756" s="11"/>
      <c r="T2756" s="11"/>
      <c r="U2756" s="11"/>
      <c r="AW2756" s="234"/>
      <c r="BP2756" s="11"/>
      <c r="BQ2756" s="11"/>
      <c r="BV2756" s="158"/>
      <c r="BY2756" s="158"/>
      <c r="CB2756" s="158"/>
    </row>
    <row r="2757">
      <c r="A2757" s="222"/>
      <c r="B2757" s="221"/>
      <c r="C2757" s="222"/>
      <c r="D2757" s="222"/>
      <c r="E2757" s="222"/>
      <c r="F2757" s="222"/>
      <c r="G2757" s="222"/>
      <c r="H2757" s="222"/>
      <c r="I2757" s="222"/>
      <c r="J2757" s="223"/>
      <c r="K2757" s="223"/>
      <c r="L2757" s="222"/>
      <c r="M2757" s="222"/>
      <c r="N2757" s="222"/>
      <c r="O2757" s="222"/>
      <c r="P2757" s="222"/>
      <c r="Q2757" s="222"/>
      <c r="R2757" s="271"/>
      <c r="S2757" s="11"/>
      <c r="T2757" s="11"/>
      <c r="U2757" s="11"/>
      <c r="AW2757" s="234"/>
      <c r="BP2757" s="11"/>
      <c r="BQ2757" s="11"/>
      <c r="BV2757" s="158"/>
      <c r="BY2757" s="158"/>
      <c r="CB2757" s="158"/>
    </row>
    <row r="2758">
      <c r="A2758" s="222"/>
      <c r="B2758" s="221"/>
      <c r="C2758" s="222"/>
      <c r="D2758" s="222"/>
      <c r="E2758" s="222"/>
      <c r="F2758" s="222"/>
      <c r="G2758" s="222"/>
      <c r="H2758" s="222"/>
      <c r="I2758" s="222"/>
      <c r="J2758" s="223"/>
      <c r="K2758" s="223"/>
      <c r="L2758" s="222"/>
      <c r="M2758" s="222"/>
      <c r="N2758" s="222"/>
      <c r="O2758" s="222"/>
      <c r="P2758" s="222"/>
      <c r="Q2758" s="222"/>
      <c r="R2758" s="271"/>
      <c r="S2758" s="11"/>
      <c r="T2758" s="11"/>
      <c r="U2758" s="11"/>
      <c r="AW2758" s="234"/>
      <c r="BP2758" s="11"/>
      <c r="BQ2758" s="11"/>
      <c r="BV2758" s="158"/>
      <c r="BY2758" s="158"/>
      <c r="CB2758" s="158"/>
    </row>
    <row r="2759">
      <c r="A2759" s="222"/>
      <c r="B2759" s="221"/>
      <c r="C2759" s="222"/>
      <c r="D2759" s="222"/>
      <c r="E2759" s="222"/>
      <c r="F2759" s="222"/>
      <c r="G2759" s="222"/>
      <c r="H2759" s="222"/>
      <c r="I2759" s="222"/>
      <c r="J2759" s="223"/>
      <c r="K2759" s="223"/>
      <c r="L2759" s="222"/>
      <c r="M2759" s="222"/>
      <c r="N2759" s="222"/>
      <c r="O2759" s="222"/>
      <c r="P2759" s="222"/>
      <c r="Q2759" s="222"/>
      <c r="R2759" s="271"/>
      <c r="S2759" s="11"/>
      <c r="T2759" s="11"/>
      <c r="U2759" s="11"/>
      <c r="AW2759" s="234"/>
      <c r="BP2759" s="11"/>
      <c r="BQ2759" s="11"/>
      <c r="BV2759" s="158"/>
      <c r="BY2759" s="158"/>
      <c r="CB2759" s="158"/>
    </row>
    <row r="2760">
      <c r="A2760" s="222"/>
      <c r="B2760" s="221"/>
      <c r="C2760" s="222"/>
      <c r="D2760" s="222"/>
      <c r="E2760" s="222"/>
      <c r="F2760" s="222"/>
      <c r="G2760" s="222"/>
      <c r="H2760" s="222"/>
      <c r="I2760" s="222"/>
      <c r="J2760" s="223"/>
      <c r="K2760" s="223"/>
      <c r="L2760" s="222"/>
      <c r="M2760" s="222"/>
      <c r="N2760" s="222"/>
      <c r="O2760" s="222"/>
      <c r="P2760" s="222"/>
      <c r="Q2760" s="222"/>
      <c r="R2760" s="271"/>
      <c r="S2760" s="11"/>
      <c r="T2760" s="11"/>
      <c r="U2760" s="11"/>
      <c r="AW2760" s="234"/>
      <c r="BP2760" s="11"/>
      <c r="BQ2760" s="11"/>
      <c r="BV2760" s="158"/>
      <c r="BY2760" s="158"/>
      <c r="CB2760" s="158"/>
    </row>
    <row r="2761">
      <c r="A2761" s="222"/>
      <c r="B2761" s="221"/>
      <c r="C2761" s="222"/>
      <c r="D2761" s="222"/>
      <c r="E2761" s="222"/>
      <c r="F2761" s="222"/>
      <c r="G2761" s="222"/>
      <c r="H2761" s="222"/>
      <c r="I2761" s="222"/>
      <c r="J2761" s="223"/>
      <c r="K2761" s="223"/>
      <c r="L2761" s="222"/>
      <c r="M2761" s="222"/>
      <c r="N2761" s="222"/>
      <c r="O2761" s="222"/>
      <c r="P2761" s="222"/>
      <c r="Q2761" s="222"/>
      <c r="R2761" s="271"/>
      <c r="S2761" s="11"/>
      <c r="T2761" s="11"/>
      <c r="U2761" s="11"/>
      <c r="AW2761" s="234"/>
      <c r="BP2761" s="11"/>
      <c r="BQ2761" s="11"/>
      <c r="BV2761" s="158"/>
      <c r="BY2761" s="158"/>
      <c r="CB2761" s="158"/>
    </row>
    <row r="2762">
      <c r="A2762" s="222"/>
      <c r="B2762" s="221"/>
      <c r="C2762" s="222"/>
      <c r="D2762" s="222"/>
      <c r="E2762" s="222"/>
      <c r="F2762" s="222"/>
      <c r="G2762" s="222"/>
      <c r="H2762" s="222"/>
      <c r="I2762" s="222"/>
      <c r="J2762" s="223"/>
      <c r="K2762" s="223"/>
      <c r="L2762" s="222"/>
      <c r="M2762" s="222"/>
      <c r="N2762" s="222"/>
      <c r="O2762" s="222"/>
      <c r="P2762" s="222"/>
      <c r="Q2762" s="222"/>
      <c r="R2762" s="271"/>
      <c r="S2762" s="11"/>
      <c r="T2762" s="11"/>
      <c r="U2762" s="11"/>
      <c r="AW2762" s="234"/>
      <c r="BP2762" s="11"/>
      <c r="BQ2762" s="11"/>
      <c r="BV2762" s="158"/>
      <c r="BY2762" s="158"/>
      <c r="CB2762" s="158"/>
    </row>
    <row r="2763">
      <c r="A2763" s="222"/>
      <c r="B2763" s="221"/>
      <c r="C2763" s="222"/>
      <c r="D2763" s="222"/>
      <c r="E2763" s="222"/>
      <c r="F2763" s="222"/>
      <c r="G2763" s="222"/>
      <c r="H2763" s="222"/>
      <c r="I2763" s="222"/>
      <c r="J2763" s="223"/>
      <c r="K2763" s="223"/>
      <c r="L2763" s="222"/>
      <c r="M2763" s="222"/>
      <c r="N2763" s="222"/>
      <c r="O2763" s="222"/>
      <c r="P2763" s="222"/>
      <c r="Q2763" s="222"/>
      <c r="R2763" s="271"/>
      <c r="S2763" s="11"/>
      <c r="T2763" s="11"/>
      <c r="U2763" s="11"/>
      <c r="AW2763" s="234"/>
      <c r="BP2763" s="11"/>
      <c r="BQ2763" s="11"/>
      <c r="BV2763" s="158"/>
      <c r="BY2763" s="158"/>
      <c r="CB2763" s="158"/>
    </row>
    <row r="2764">
      <c r="A2764" s="222"/>
      <c r="B2764" s="221"/>
      <c r="C2764" s="222"/>
      <c r="D2764" s="222"/>
      <c r="E2764" s="222"/>
      <c r="F2764" s="222"/>
      <c r="G2764" s="222"/>
      <c r="H2764" s="222"/>
      <c r="I2764" s="222"/>
      <c r="J2764" s="223"/>
      <c r="K2764" s="223"/>
      <c r="L2764" s="222"/>
      <c r="M2764" s="222"/>
      <c r="N2764" s="222"/>
      <c r="O2764" s="222"/>
      <c r="P2764" s="222"/>
      <c r="Q2764" s="222"/>
      <c r="R2764" s="271"/>
      <c r="S2764" s="11"/>
      <c r="T2764" s="11"/>
      <c r="U2764" s="11"/>
      <c r="AW2764" s="234"/>
      <c r="BP2764" s="11"/>
      <c r="BQ2764" s="11"/>
      <c r="BV2764" s="158"/>
      <c r="BY2764" s="158"/>
      <c r="CB2764" s="158"/>
    </row>
    <row r="2765">
      <c r="A2765" s="222"/>
      <c r="B2765" s="221"/>
      <c r="C2765" s="222"/>
      <c r="D2765" s="222"/>
      <c r="E2765" s="222"/>
      <c r="F2765" s="222"/>
      <c r="G2765" s="222"/>
      <c r="H2765" s="222"/>
      <c r="I2765" s="222"/>
      <c r="J2765" s="223"/>
      <c r="K2765" s="223"/>
      <c r="L2765" s="222"/>
      <c r="M2765" s="222"/>
      <c r="N2765" s="222"/>
      <c r="O2765" s="222"/>
      <c r="P2765" s="222"/>
      <c r="Q2765" s="222"/>
      <c r="R2765" s="271"/>
      <c r="S2765" s="11"/>
      <c r="T2765" s="11"/>
      <c r="U2765" s="11"/>
      <c r="AW2765" s="234"/>
      <c r="BP2765" s="11"/>
      <c r="BQ2765" s="11"/>
      <c r="BV2765" s="158"/>
      <c r="BY2765" s="158"/>
      <c r="CB2765" s="158"/>
    </row>
    <row r="2766">
      <c r="A2766" s="222"/>
      <c r="B2766" s="221"/>
      <c r="C2766" s="222"/>
      <c r="D2766" s="222"/>
      <c r="E2766" s="222"/>
      <c r="F2766" s="222"/>
      <c r="G2766" s="222"/>
      <c r="H2766" s="222"/>
      <c r="I2766" s="222"/>
      <c r="J2766" s="223"/>
      <c r="K2766" s="223"/>
      <c r="L2766" s="222"/>
      <c r="M2766" s="222"/>
      <c r="N2766" s="222"/>
      <c r="O2766" s="222"/>
      <c r="P2766" s="222"/>
      <c r="Q2766" s="222"/>
      <c r="R2766" s="271"/>
      <c r="S2766" s="11"/>
      <c r="T2766" s="11"/>
      <c r="U2766" s="11"/>
      <c r="AW2766" s="234"/>
      <c r="BP2766" s="11"/>
      <c r="BQ2766" s="11"/>
      <c r="BV2766" s="158"/>
      <c r="BY2766" s="158"/>
      <c r="CB2766" s="158"/>
    </row>
    <row r="2767">
      <c r="A2767" s="222"/>
      <c r="B2767" s="221"/>
      <c r="C2767" s="222"/>
      <c r="D2767" s="222"/>
      <c r="E2767" s="222"/>
      <c r="F2767" s="222"/>
      <c r="G2767" s="222"/>
      <c r="H2767" s="222"/>
      <c r="I2767" s="222"/>
      <c r="J2767" s="223"/>
      <c r="K2767" s="223"/>
      <c r="L2767" s="222"/>
      <c r="M2767" s="222"/>
      <c r="N2767" s="222"/>
      <c r="O2767" s="222"/>
      <c r="P2767" s="222"/>
      <c r="Q2767" s="222"/>
      <c r="R2767" s="271"/>
      <c r="S2767" s="11"/>
      <c r="T2767" s="11"/>
      <c r="U2767" s="11"/>
      <c r="AW2767" s="234"/>
      <c r="BP2767" s="11"/>
      <c r="BQ2767" s="11"/>
      <c r="BV2767" s="158"/>
      <c r="BY2767" s="158"/>
      <c r="CB2767" s="158"/>
    </row>
    <row r="2768">
      <c r="A2768" s="222"/>
      <c r="B2768" s="221"/>
      <c r="C2768" s="222"/>
      <c r="D2768" s="222"/>
      <c r="E2768" s="222"/>
      <c r="F2768" s="222"/>
      <c r="G2768" s="222"/>
      <c r="H2768" s="222"/>
      <c r="I2768" s="222"/>
      <c r="J2768" s="223"/>
      <c r="K2768" s="223"/>
      <c r="L2768" s="222"/>
      <c r="M2768" s="222"/>
      <c r="N2768" s="222"/>
      <c r="O2768" s="222"/>
      <c r="P2768" s="222"/>
      <c r="Q2768" s="222"/>
      <c r="R2768" s="271"/>
      <c r="S2768" s="11"/>
      <c r="T2768" s="11"/>
      <c r="U2768" s="11"/>
      <c r="AW2768" s="234"/>
      <c r="BP2768" s="11"/>
      <c r="BQ2768" s="11"/>
      <c r="BV2768" s="158"/>
      <c r="BY2768" s="158"/>
      <c r="CB2768" s="158"/>
    </row>
    <row r="2769">
      <c r="A2769" s="222"/>
      <c r="B2769" s="221"/>
      <c r="C2769" s="222"/>
      <c r="D2769" s="222"/>
      <c r="E2769" s="222"/>
      <c r="F2769" s="222"/>
      <c r="G2769" s="222"/>
      <c r="H2769" s="222"/>
      <c r="I2769" s="222"/>
      <c r="J2769" s="223"/>
      <c r="K2769" s="223"/>
      <c r="L2769" s="222"/>
      <c r="M2769" s="222"/>
      <c r="N2769" s="222"/>
      <c r="O2769" s="222"/>
      <c r="P2769" s="222"/>
      <c r="Q2769" s="222"/>
      <c r="R2769" s="271"/>
      <c r="S2769" s="11"/>
      <c r="T2769" s="11"/>
      <c r="U2769" s="11"/>
      <c r="AW2769" s="234"/>
      <c r="BP2769" s="11"/>
      <c r="BQ2769" s="11"/>
      <c r="BV2769" s="158"/>
      <c r="BY2769" s="158"/>
      <c r="CB2769" s="158"/>
    </row>
    <row r="2770">
      <c r="A2770" s="222"/>
      <c r="B2770" s="221"/>
      <c r="C2770" s="222"/>
      <c r="D2770" s="222"/>
      <c r="E2770" s="222"/>
      <c r="F2770" s="222"/>
      <c r="G2770" s="222"/>
      <c r="H2770" s="222"/>
      <c r="I2770" s="222"/>
      <c r="J2770" s="223"/>
      <c r="K2770" s="223"/>
      <c r="L2770" s="222"/>
      <c r="M2770" s="222"/>
      <c r="N2770" s="222"/>
      <c r="O2770" s="222"/>
      <c r="P2770" s="222"/>
      <c r="Q2770" s="222"/>
      <c r="R2770" s="271"/>
      <c r="S2770" s="11"/>
      <c r="T2770" s="11"/>
      <c r="U2770" s="11"/>
      <c r="AW2770" s="234"/>
      <c r="BP2770" s="11"/>
      <c r="BQ2770" s="11"/>
      <c r="BV2770" s="158"/>
      <c r="BY2770" s="158"/>
      <c r="CB2770" s="158"/>
    </row>
    <row r="2771">
      <c r="A2771" s="222"/>
      <c r="B2771" s="221"/>
      <c r="C2771" s="222"/>
      <c r="D2771" s="222"/>
      <c r="E2771" s="222"/>
      <c r="F2771" s="222"/>
      <c r="G2771" s="222"/>
      <c r="H2771" s="222"/>
      <c r="I2771" s="222"/>
      <c r="J2771" s="223"/>
      <c r="K2771" s="223"/>
      <c r="L2771" s="222"/>
      <c r="M2771" s="222"/>
      <c r="N2771" s="222"/>
      <c r="O2771" s="222"/>
      <c r="P2771" s="222"/>
      <c r="Q2771" s="222"/>
      <c r="R2771" s="271"/>
      <c r="S2771" s="11"/>
      <c r="T2771" s="11"/>
      <c r="U2771" s="11"/>
      <c r="AW2771" s="234"/>
      <c r="BP2771" s="11"/>
      <c r="BQ2771" s="11"/>
      <c r="BV2771" s="158"/>
      <c r="BY2771" s="158"/>
      <c r="CB2771" s="158"/>
    </row>
    <row r="2772">
      <c r="A2772" s="222"/>
      <c r="B2772" s="221"/>
      <c r="C2772" s="222"/>
      <c r="D2772" s="222"/>
      <c r="E2772" s="222"/>
      <c r="F2772" s="222"/>
      <c r="G2772" s="222"/>
      <c r="H2772" s="222"/>
      <c r="I2772" s="222"/>
      <c r="J2772" s="223"/>
      <c r="K2772" s="223"/>
      <c r="L2772" s="222"/>
      <c r="M2772" s="222"/>
      <c r="N2772" s="222"/>
      <c r="O2772" s="222"/>
      <c r="P2772" s="222"/>
      <c r="Q2772" s="222"/>
      <c r="R2772" s="271"/>
      <c r="S2772" s="11"/>
      <c r="T2772" s="11"/>
      <c r="U2772" s="11"/>
      <c r="AW2772" s="234"/>
      <c r="BP2772" s="11"/>
      <c r="BQ2772" s="11"/>
      <c r="BV2772" s="158"/>
      <c r="BY2772" s="158"/>
      <c r="CB2772" s="158"/>
    </row>
    <row r="2773">
      <c r="A2773" s="222"/>
      <c r="B2773" s="221"/>
      <c r="C2773" s="222"/>
      <c r="D2773" s="222"/>
      <c r="E2773" s="222"/>
      <c r="F2773" s="222"/>
      <c r="G2773" s="222"/>
      <c r="H2773" s="222"/>
      <c r="I2773" s="222"/>
      <c r="J2773" s="223"/>
      <c r="K2773" s="223"/>
      <c r="L2773" s="222"/>
      <c r="M2773" s="222"/>
      <c r="N2773" s="222"/>
      <c r="O2773" s="222"/>
      <c r="P2773" s="222"/>
      <c r="Q2773" s="222"/>
      <c r="R2773" s="271"/>
      <c r="S2773" s="11"/>
      <c r="T2773" s="11"/>
      <c r="U2773" s="11"/>
      <c r="AW2773" s="234"/>
      <c r="BP2773" s="11"/>
      <c r="BQ2773" s="11"/>
      <c r="BV2773" s="158"/>
      <c r="BY2773" s="158"/>
      <c r="CB2773" s="158"/>
    </row>
    <row r="2774">
      <c r="A2774" s="222"/>
      <c r="B2774" s="221"/>
      <c r="C2774" s="222"/>
      <c r="D2774" s="222"/>
      <c r="E2774" s="222"/>
      <c r="F2774" s="222"/>
      <c r="G2774" s="222"/>
      <c r="H2774" s="222"/>
      <c r="I2774" s="222"/>
      <c r="J2774" s="223"/>
      <c r="K2774" s="223"/>
      <c r="L2774" s="222"/>
      <c r="M2774" s="222"/>
      <c r="N2774" s="222"/>
      <c r="O2774" s="222"/>
      <c r="P2774" s="222"/>
      <c r="Q2774" s="222"/>
      <c r="R2774" s="271"/>
      <c r="S2774" s="11"/>
      <c r="T2774" s="11"/>
      <c r="U2774" s="11"/>
      <c r="AW2774" s="234"/>
      <c r="BP2774" s="11"/>
      <c r="BQ2774" s="11"/>
      <c r="BV2774" s="158"/>
      <c r="BY2774" s="158"/>
      <c r="CB2774" s="158"/>
    </row>
    <row r="2775">
      <c r="A2775" s="222"/>
      <c r="B2775" s="221"/>
      <c r="C2775" s="222"/>
      <c r="D2775" s="222"/>
      <c r="E2775" s="222"/>
      <c r="F2775" s="222"/>
      <c r="G2775" s="222"/>
      <c r="H2775" s="222"/>
      <c r="I2775" s="222"/>
      <c r="J2775" s="223"/>
      <c r="K2775" s="223"/>
      <c r="L2775" s="222"/>
      <c r="M2775" s="222"/>
      <c r="N2775" s="222"/>
      <c r="O2775" s="222"/>
      <c r="P2775" s="222"/>
      <c r="Q2775" s="222"/>
      <c r="R2775" s="271"/>
      <c r="S2775" s="11"/>
      <c r="T2775" s="11"/>
      <c r="U2775" s="11"/>
      <c r="AW2775" s="234"/>
      <c r="BP2775" s="11"/>
      <c r="BQ2775" s="11"/>
      <c r="BV2775" s="158"/>
      <c r="BY2775" s="158"/>
      <c r="CB2775" s="158"/>
    </row>
    <row r="2776">
      <c r="A2776" s="222"/>
      <c r="B2776" s="221"/>
      <c r="C2776" s="222"/>
      <c r="D2776" s="222"/>
      <c r="E2776" s="222"/>
      <c r="F2776" s="222"/>
      <c r="G2776" s="222"/>
      <c r="H2776" s="222"/>
      <c r="I2776" s="222"/>
      <c r="J2776" s="223"/>
      <c r="K2776" s="223"/>
      <c r="L2776" s="222"/>
      <c r="M2776" s="222"/>
      <c r="N2776" s="222"/>
      <c r="O2776" s="222"/>
      <c r="P2776" s="222"/>
      <c r="Q2776" s="222"/>
      <c r="R2776" s="271"/>
      <c r="S2776" s="11"/>
      <c r="T2776" s="11"/>
      <c r="U2776" s="11"/>
      <c r="AW2776" s="234"/>
      <c r="BP2776" s="11"/>
      <c r="BQ2776" s="11"/>
      <c r="BV2776" s="158"/>
      <c r="BY2776" s="158"/>
      <c r="CB2776" s="158"/>
    </row>
    <row r="2777">
      <c r="A2777" s="222"/>
      <c r="B2777" s="221"/>
      <c r="C2777" s="222"/>
      <c r="D2777" s="222"/>
      <c r="E2777" s="222"/>
      <c r="F2777" s="222"/>
      <c r="G2777" s="222"/>
      <c r="H2777" s="222"/>
      <c r="I2777" s="222"/>
      <c r="J2777" s="223"/>
      <c r="K2777" s="223"/>
      <c r="L2777" s="222"/>
      <c r="M2777" s="222"/>
      <c r="N2777" s="222"/>
      <c r="O2777" s="222"/>
      <c r="P2777" s="222"/>
      <c r="Q2777" s="222"/>
      <c r="R2777" s="271"/>
      <c r="S2777" s="11"/>
      <c r="T2777" s="11"/>
      <c r="U2777" s="11"/>
      <c r="AW2777" s="234"/>
      <c r="BP2777" s="11"/>
      <c r="BQ2777" s="11"/>
      <c r="BV2777" s="158"/>
      <c r="BY2777" s="158"/>
      <c r="CB2777" s="158"/>
    </row>
    <row r="2778">
      <c r="A2778" s="222"/>
      <c r="B2778" s="221"/>
      <c r="C2778" s="222"/>
      <c r="D2778" s="222"/>
      <c r="E2778" s="222"/>
      <c r="F2778" s="222"/>
      <c r="G2778" s="222"/>
      <c r="H2778" s="222"/>
      <c r="I2778" s="222"/>
      <c r="J2778" s="223"/>
      <c r="K2778" s="223"/>
      <c r="L2778" s="222"/>
      <c r="M2778" s="222"/>
      <c r="N2778" s="222"/>
      <c r="O2778" s="222"/>
      <c r="P2778" s="222"/>
      <c r="Q2778" s="222"/>
      <c r="R2778" s="271"/>
      <c r="S2778" s="11"/>
      <c r="T2778" s="11"/>
      <c r="U2778" s="11"/>
      <c r="AW2778" s="234"/>
      <c r="BP2778" s="11"/>
      <c r="BQ2778" s="11"/>
      <c r="BV2778" s="158"/>
      <c r="BY2778" s="158"/>
      <c r="CB2778" s="158"/>
    </row>
    <row r="2779">
      <c r="A2779" s="222"/>
      <c r="B2779" s="221"/>
      <c r="C2779" s="222"/>
      <c r="D2779" s="222"/>
      <c r="E2779" s="222"/>
      <c r="F2779" s="222"/>
      <c r="G2779" s="222"/>
      <c r="H2779" s="222"/>
      <c r="I2779" s="222"/>
      <c r="J2779" s="223"/>
      <c r="K2779" s="223"/>
      <c r="L2779" s="222"/>
      <c r="M2779" s="222"/>
      <c r="N2779" s="222"/>
      <c r="O2779" s="222"/>
      <c r="P2779" s="222"/>
      <c r="Q2779" s="222"/>
      <c r="R2779" s="271"/>
      <c r="S2779" s="11"/>
      <c r="T2779" s="11"/>
      <c r="U2779" s="11"/>
      <c r="AW2779" s="234"/>
      <c r="BP2779" s="11"/>
      <c r="BQ2779" s="11"/>
      <c r="BV2779" s="158"/>
      <c r="BY2779" s="158"/>
      <c r="CB2779" s="158"/>
    </row>
    <row r="2780">
      <c r="A2780" s="222"/>
      <c r="B2780" s="221"/>
      <c r="C2780" s="222"/>
      <c r="D2780" s="222"/>
      <c r="E2780" s="222"/>
      <c r="F2780" s="222"/>
      <c r="G2780" s="222"/>
      <c r="H2780" s="222"/>
      <c r="I2780" s="222"/>
      <c r="J2780" s="223"/>
      <c r="K2780" s="223"/>
      <c r="L2780" s="222"/>
      <c r="M2780" s="222"/>
      <c r="N2780" s="222"/>
      <c r="O2780" s="222"/>
      <c r="P2780" s="222"/>
      <c r="Q2780" s="222"/>
      <c r="R2780" s="271"/>
      <c r="S2780" s="11"/>
      <c r="T2780" s="11"/>
      <c r="U2780" s="11"/>
      <c r="AW2780" s="234"/>
      <c r="BP2780" s="11"/>
      <c r="BQ2780" s="11"/>
      <c r="BV2780" s="158"/>
      <c r="BY2780" s="158"/>
      <c r="CB2780" s="158"/>
    </row>
    <row r="2781">
      <c r="A2781" s="222"/>
      <c r="B2781" s="221"/>
      <c r="C2781" s="222"/>
      <c r="D2781" s="222"/>
      <c r="E2781" s="222"/>
      <c r="F2781" s="222"/>
      <c r="G2781" s="222"/>
      <c r="H2781" s="222"/>
      <c r="I2781" s="222"/>
      <c r="J2781" s="223"/>
      <c r="K2781" s="223"/>
      <c r="L2781" s="222"/>
      <c r="M2781" s="222"/>
      <c r="N2781" s="222"/>
      <c r="O2781" s="222"/>
      <c r="P2781" s="222"/>
      <c r="Q2781" s="222"/>
      <c r="R2781" s="271"/>
      <c r="S2781" s="11"/>
      <c r="T2781" s="11"/>
      <c r="U2781" s="11"/>
      <c r="AW2781" s="234"/>
      <c r="BP2781" s="11"/>
      <c r="BQ2781" s="11"/>
      <c r="BV2781" s="158"/>
      <c r="BY2781" s="158"/>
      <c r="CB2781" s="158"/>
    </row>
    <row r="2782">
      <c r="A2782" s="222"/>
      <c r="B2782" s="221"/>
      <c r="C2782" s="222"/>
      <c r="D2782" s="222"/>
      <c r="E2782" s="222"/>
      <c r="F2782" s="222"/>
      <c r="G2782" s="222"/>
      <c r="H2782" s="222"/>
      <c r="I2782" s="222"/>
      <c r="J2782" s="223"/>
      <c r="K2782" s="223"/>
      <c r="L2782" s="222"/>
      <c r="M2782" s="222"/>
      <c r="N2782" s="222"/>
      <c r="O2782" s="222"/>
      <c r="P2782" s="222"/>
      <c r="Q2782" s="222"/>
      <c r="R2782" s="271"/>
      <c r="S2782" s="11"/>
      <c r="T2782" s="11"/>
      <c r="U2782" s="11"/>
      <c r="AW2782" s="234"/>
      <c r="BP2782" s="11"/>
      <c r="BQ2782" s="11"/>
      <c r="BV2782" s="158"/>
      <c r="BY2782" s="158"/>
      <c r="CB2782" s="158"/>
    </row>
    <row r="2783">
      <c r="A2783" s="222"/>
      <c r="B2783" s="221"/>
      <c r="C2783" s="222"/>
      <c r="D2783" s="222"/>
      <c r="E2783" s="222"/>
      <c r="F2783" s="222"/>
      <c r="G2783" s="222"/>
      <c r="H2783" s="222"/>
      <c r="I2783" s="222"/>
      <c r="J2783" s="223"/>
      <c r="K2783" s="223"/>
      <c r="L2783" s="222"/>
      <c r="M2783" s="222"/>
      <c r="N2783" s="222"/>
      <c r="O2783" s="222"/>
      <c r="P2783" s="222"/>
      <c r="Q2783" s="222"/>
      <c r="R2783" s="271"/>
      <c r="S2783" s="11"/>
      <c r="T2783" s="11"/>
      <c r="U2783" s="11"/>
      <c r="AW2783" s="234"/>
      <c r="BP2783" s="11"/>
      <c r="BQ2783" s="11"/>
      <c r="BV2783" s="158"/>
      <c r="BY2783" s="158"/>
      <c r="CB2783" s="158"/>
    </row>
    <row r="2784">
      <c r="A2784" s="222"/>
      <c r="B2784" s="221"/>
      <c r="C2784" s="222"/>
      <c r="D2784" s="222"/>
      <c r="E2784" s="222"/>
      <c r="F2784" s="222"/>
      <c r="G2784" s="222"/>
      <c r="H2784" s="222"/>
      <c r="I2784" s="222"/>
      <c r="J2784" s="223"/>
      <c r="K2784" s="223"/>
      <c r="L2784" s="222"/>
      <c r="M2784" s="222"/>
      <c r="N2784" s="222"/>
      <c r="O2784" s="222"/>
      <c r="P2784" s="222"/>
      <c r="Q2784" s="222"/>
      <c r="R2784" s="271"/>
      <c r="S2784" s="11"/>
      <c r="T2784" s="11"/>
      <c r="U2784" s="11"/>
      <c r="AW2784" s="234"/>
      <c r="BP2784" s="11"/>
      <c r="BQ2784" s="11"/>
      <c r="BV2784" s="158"/>
      <c r="BY2784" s="158"/>
      <c r="CB2784" s="158"/>
    </row>
    <row r="2785">
      <c r="A2785" s="222"/>
      <c r="B2785" s="221"/>
      <c r="C2785" s="222"/>
      <c r="D2785" s="222"/>
      <c r="E2785" s="222"/>
      <c r="F2785" s="222"/>
      <c r="G2785" s="222"/>
      <c r="H2785" s="222"/>
      <c r="I2785" s="222"/>
      <c r="J2785" s="223"/>
      <c r="K2785" s="223"/>
      <c r="L2785" s="222"/>
      <c r="M2785" s="222"/>
      <c r="N2785" s="222"/>
      <c r="O2785" s="222"/>
      <c r="P2785" s="222"/>
      <c r="Q2785" s="222"/>
      <c r="R2785" s="271"/>
      <c r="S2785" s="11"/>
      <c r="T2785" s="11"/>
      <c r="U2785" s="11"/>
      <c r="AW2785" s="234"/>
      <c r="BP2785" s="11"/>
      <c r="BQ2785" s="11"/>
      <c r="BV2785" s="158"/>
      <c r="BY2785" s="158"/>
      <c r="CB2785" s="158"/>
    </row>
    <row r="2786">
      <c r="A2786" s="222"/>
      <c r="B2786" s="221"/>
      <c r="C2786" s="222"/>
      <c r="D2786" s="222"/>
      <c r="E2786" s="222"/>
      <c r="F2786" s="222"/>
      <c r="G2786" s="222"/>
      <c r="H2786" s="222"/>
      <c r="I2786" s="222"/>
      <c r="J2786" s="223"/>
      <c r="K2786" s="223"/>
      <c r="L2786" s="222"/>
      <c r="M2786" s="222"/>
      <c r="N2786" s="222"/>
      <c r="O2786" s="222"/>
      <c r="P2786" s="222"/>
      <c r="Q2786" s="222"/>
      <c r="R2786" s="271"/>
      <c r="S2786" s="11"/>
      <c r="T2786" s="11"/>
      <c r="U2786" s="11"/>
      <c r="AW2786" s="234"/>
      <c r="BP2786" s="11"/>
      <c r="BQ2786" s="11"/>
      <c r="BV2786" s="158"/>
      <c r="BY2786" s="158"/>
      <c r="CB2786" s="158"/>
    </row>
    <row r="2787">
      <c r="A2787" s="222"/>
      <c r="B2787" s="221"/>
      <c r="C2787" s="222"/>
      <c r="D2787" s="222"/>
      <c r="E2787" s="222"/>
      <c r="F2787" s="222"/>
      <c r="G2787" s="222"/>
      <c r="H2787" s="222"/>
      <c r="I2787" s="222"/>
      <c r="J2787" s="223"/>
      <c r="K2787" s="223"/>
      <c r="L2787" s="222"/>
      <c r="M2787" s="222"/>
      <c r="N2787" s="222"/>
      <c r="O2787" s="222"/>
      <c r="P2787" s="222"/>
      <c r="Q2787" s="222"/>
      <c r="R2787" s="271"/>
      <c r="S2787" s="11"/>
      <c r="T2787" s="11"/>
      <c r="U2787" s="11"/>
      <c r="AW2787" s="234"/>
      <c r="BP2787" s="11"/>
      <c r="BQ2787" s="11"/>
      <c r="BV2787" s="158"/>
      <c r="BY2787" s="158"/>
      <c r="CB2787" s="158"/>
    </row>
    <row r="2788">
      <c r="A2788" s="222"/>
      <c r="B2788" s="221"/>
      <c r="C2788" s="222"/>
      <c r="D2788" s="222"/>
      <c r="E2788" s="222"/>
      <c r="F2788" s="222"/>
      <c r="G2788" s="222"/>
      <c r="H2788" s="222"/>
      <c r="I2788" s="222"/>
      <c r="J2788" s="223"/>
      <c r="K2788" s="223"/>
      <c r="L2788" s="222"/>
      <c r="M2788" s="222"/>
      <c r="N2788" s="222"/>
      <c r="O2788" s="222"/>
      <c r="P2788" s="222"/>
      <c r="Q2788" s="222"/>
      <c r="R2788" s="271"/>
      <c r="S2788" s="11"/>
      <c r="T2788" s="11"/>
      <c r="U2788" s="11"/>
      <c r="AW2788" s="234"/>
      <c r="BP2788" s="11"/>
      <c r="BQ2788" s="11"/>
      <c r="BV2788" s="158"/>
      <c r="BY2788" s="158"/>
      <c r="CB2788" s="158"/>
    </row>
    <row r="2789">
      <c r="A2789" s="222"/>
      <c r="B2789" s="221"/>
      <c r="C2789" s="222"/>
      <c r="D2789" s="222"/>
      <c r="E2789" s="222"/>
      <c r="F2789" s="222"/>
      <c r="G2789" s="222"/>
      <c r="H2789" s="222"/>
      <c r="I2789" s="222"/>
      <c r="J2789" s="223"/>
      <c r="K2789" s="223"/>
      <c r="L2789" s="222"/>
      <c r="M2789" s="222"/>
      <c r="N2789" s="222"/>
      <c r="O2789" s="222"/>
      <c r="P2789" s="222"/>
      <c r="Q2789" s="222"/>
      <c r="R2789" s="271"/>
      <c r="S2789" s="11"/>
      <c r="T2789" s="11"/>
      <c r="U2789" s="11"/>
      <c r="AW2789" s="234"/>
      <c r="BP2789" s="11"/>
      <c r="BQ2789" s="11"/>
      <c r="BV2789" s="158"/>
      <c r="BY2789" s="158"/>
      <c r="CB2789" s="158"/>
    </row>
    <row r="2790">
      <c r="A2790" s="222"/>
      <c r="B2790" s="221"/>
      <c r="C2790" s="222"/>
      <c r="D2790" s="222"/>
      <c r="E2790" s="222"/>
      <c r="F2790" s="222"/>
      <c r="G2790" s="222"/>
      <c r="H2790" s="222"/>
      <c r="I2790" s="222"/>
      <c r="J2790" s="223"/>
      <c r="K2790" s="223"/>
      <c r="L2790" s="222"/>
      <c r="M2790" s="222"/>
      <c r="N2790" s="222"/>
      <c r="O2790" s="222"/>
      <c r="P2790" s="222"/>
      <c r="Q2790" s="222"/>
      <c r="R2790" s="271"/>
      <c r="S2790" s="11"/>
      <c r="T2790" s="11"/>
      <c r="U2790" s="11"/>
      <c r="AW2790" s="234"/>
      <c r="BP2790" s="11"/>
      <c r="BQ2790" s="11"/>
      <c r="BV2790" s="158"/>
      <c r="BY2790" s="158"/>
      <c r="CB2790" s="158"/>
    </row>
    <row r="2791">
      <c r="A2791" s="222"/>
      <c r="B2791" s="221"/>
      <c r="C2791" s="222"/>
      <c r="D2791" s="222"/>
      <c r="E2791" s="222"/>
      <c r="F2791" s="222"/>
      <c r="G2791" s="222"/>
      <c r="H2791" s="222"/>
      <c r="I2791" s="222"/>
      <c r="J2791" s="223"/>
      <c r="K2791" s="223"/>
      <c r="L2791" s="222"/>
      <c r="M2791" s="222"/>
      <c r="N2791" s="222"/>
      <c r="O2791" s="222"/>
      <c r="P2791" s="222"/>
      <c r="Q2791" s="222"/>
      <c r="R2791" s="271"/>
      <c r="S2791" s="11"/>
      <c r="T2791" s="11"/>
      <c r="U2791" s="11"/>
      <c r="AW2791" s="234"/>
      <c r="BP2791" s="11"/>
      <c r="BQ2791" s="11"/>
      <c r="BV2791" s="158"/>
      <c r="BY2791" s="158"/>
      <c r="CB2791" s="158"/>
    </row>
    <row r="2792">
      <c r="A2792" s="222"/>
      <c r="B2792" s="221"/>
      <c r="C2792" s="222"/>
      <c r="D2792" s="222"/>
      <c r="E2792" s="222"/>
      <c r="F2792" s="222"/>
      <c r="G2792" s="222"/>
      <c r="H2792" s="222"/>
      <c r="I2792" s="222"/>
      <c r="J2792" s="223"/>
      <c r="K2792" s="223"/>
      <c r="L2792" s="222"/>
      <c r="M2792" s="222"/>
      <c r="N2792" s="222"/>
      <c r="O2792" s="222"/>
      <c r="P2792" s="222"/>
      <c r="Q2792" s="222"/>
      <c r="R2792" s="271"/>
      <c r="S2792" s="11"/>
      <c r="T2792" s="11"/>
      <c r="U2792" s="11"/>
      <c r="AW2792" s="234"/>
      <c r="BP2792" s="11"/>
      <c r="BQ2792" s="11"/>
      <c r="BV2792" s="158"/>
      <c r="BY2792" s="158"/>
      <c r="CB2792" s="158"/>
    </row>
    <row r="2793">
      <c r="A2793" s="222"/>
      <c r="B2793" s="221"/>
      <c r="C2793" s="222"/>
      <c r="D2793" s="222"/>
      <c r="E2793" s="222"/>
      <c r="F2793" s="222"/>
      <c r="G2793" s="222"/>
      <c r="H2793" s="222"/>
      <c r="I2793" s="222"/>
      <c r="J2793" s="223"/>
      <c r="K2793" s="223"/>
      <c r="L2793" s="222"/>
      <c r="M2793" s="222"/>
      <c r="N2793" s="222"/>
      <c r="O2793" s="222"/>
      <c r="P2793" s="222"/>
      <c r="Q2793" s="222"/>
      <c r="R2793" s="271"/>
      <c r="S2793" s="11"/>
      <c r="T2793" s="11"/>
      <c r="U2793" s="11"/>
      <c r="AW2793" s="234"/>
      <c r="BP2793" s="11"/>
      <c r="BQ2793" s="11"/>
      <c r="BV2793" s="158"/>
      <c r="BY2793" s="158"/>
      <c r="CB2793" s="158"/>
    </row>
    <row r="2794">
      <c r="A2794" s="222"/>
      <c r="B2794" s="221"/>
      <c r="C2794" s="222"/>
      <c r="D2794" s="222"/>
      <c r="E2794" s="222"/>
      <c r="F2794" s="222"/>
      <c r="G2794" s="222"/>
      <c r="H2794" s="222"/>
      <c r="I2794" s="222"/>
      <c r="J2794" s="223"/>
      <c r="K2794" s="223"/>
      <c r="L2794" s="222"/>
      <c r="M2794" s="222"/>
      <c r="N2794" s="222"/>
      <c r="O2794" s="222"/>
      <c r="P2794" s="222"/>
      <c r="Q2794" s="222"/>
      <c r="R2794" s="271"/>
      <c r="S2794" s="11"/>
      <c r="T2794" s="11"/>
      <c r="U2794" s="11"/>
      <c r="AW2794" s="234"/>
      <c r="BP2794" s="11"/>
      <c r="BQ2794" s="11"/>
      <c r="BV2794" s="158"/>
      <c r="BY2794" s="158"/>
      <c r="CB2794" s="158"/>
    </row>
    <row r="2795">
      <c r="A2795" s="222"/>
      <c r="B2795" s="221"/>
      <c r="C2795" s="222"/>
      <c r="D2795" s="222"/>
      <c r="E2795" s="222"/>
      <c r="F2795" s="222"/>
      <c r="G2795" s="222"/>
      <c r="H2795" s="222"/>
      <c r="I2795" s="222"/>
      <c r="J2795" s="223"/>
      <c r="K2795" s="223"/>
      <c r="L2795" s="222"/>
      <c r="M2795" s="222"/>
      <c r="N2795" s="222"/>
      <c r="O2795" s="222"/>
      <c r="P2795" s="222"/>
      <c r="Q2795" s="222"/>
      <c r="R2795" s="271"/>
      <c r="S2795" s="11"/>
      <c r="T2795" s="11"/>
      <c r="U2795" s="11"/>
      <c r="AW2795" s="234"/>
      <c r="BP2795" s="11"/>
      <c r="BQ2795" s="11"/>
      <c r="BV2795" s="158"/>
      <c r="BY2795" s="158"/>
      <c r="CB2795" s="158"/>
    </row>
    <row r="2796">
      <c r="A2796" s="222"/>
      <c r="B2796" s="221"/>
      <c r="C2796" s="222"/>
      <c r="D2796" s="222"/>
      <c r="E2796" s="222"/>
      <c r="F2796" s="222"/>
      <c r="G2796" s="222"/>
      <c r="H2796" s="222"/>
      <c r="I2796" s="222"/>
      <c r="J2796" s="223"/>
      <c r="K2796" s="223"/>
      <c r="L2796" s="222"/>
      <c r="M2796" s="222"/>
      <c r="N2796" s="222"/>
      <c r="O2796" s="222"/>
      <c r="P2796" s="222"/>
      <c r="Q2796" s="222"/>
      <c r="R2796" s="271"/>
      <c r="S2796" s="11"/>
      <c r="T2796" s="11"/>
      <c r="U2796" s="11"/>
      <c r="AW2796" s="234"/>
      <c r="BP2796" s="11"/>
      <c r="BQ2796" s="11"/>
      <c r="BV2796" s="158"/>
      <c r="BY2796" s="158"/>
      <c r="CB2796" s="158"/>
    </row>
    <row r="2797">
      <c r="A2797" s="222"/>
      <c r="B2797" s="221"/>
      <c r="C2797" s="222"/>
      <c r="D2797" s="222"/>
      <c r="E2797" s="222"/>
      <c r="F2797" s="222"/>
      <c r="G2797" s="222"/>
      <c r="H2797" s="222"/>
      <c r="I2797" s="222"/>
      <c r="J2797" s="223"/>
      <c r="K2797" s="223"/>
      <c r="L2797" s="222"/>
      <c r="M2797" s="222"/>
      <c r="N2797" s="222"/>
      <c r="O2797" s="222"/>
      <c r="P2797" s="222"/>
      <c r="Q2797" s="222"/>
      <c r="R2797" s="271"/>
      <c r="S2797" s="11"/>
      <c r="T2797" s="11"/>
      <c r="U2797" s="11"/>
      <c r="AW2797" s="234"/>
      <c r="BP2797" s="11"/>
      <c r="BQ2797" s="11"/>
      <c r="BV2797" s="158"/>
      <c r="BY2797" s="158"/>
      <c r="CB2797" s="158"/>
    </row>
    <row r="2798">
      <c r="A2798" s="222"/>
      <c r="B2798" s="221"/>
      <c r="C2798" s="222"/>
      <c r="D2798" s="222"/>
      <c r="E2798" s="222"/>
      <c r="F2798" s="222"/>
      <c r="G2798" s="222"/>
      <c r="H2798" s="222"/>
      <c r="I2798" s="222"/>
      <c r="J2798" s="223"/>
      <c r="K2798" s="223"/>
      <c r="L2798" s="222"/>
      <c r="M2798" s="222"/>
      <c r="N2798" s="222"/>
      <c r="O2798" s="222"/>
      <c r="P2798" s="222"/>
      <c r="Q2798" s="222"/>
      <c r="R2798" s="271"/>
      <c r="S2798" s="11"/>
      <c r="T2798" s="11"/>
      <c r="U2798" s="11"/>
      <c r="AW2798" s="234"/>
      <c r="BP2798" s="11"/>
      <c r="BQ2798" s="11"/>
      <c r="BV2798" s="158"/>
      <c r="BY2798" s="158"/>
      <c r="CB2798" s="158"/>
    </row>
    <row r="2799">
      <c r="A2799" s="222"/>
      <c r="B2799" s="221"/>
      <c r="C2799" s="222"/>
      <c r="D2799" s="222"/>
      <c r="E2799" s="222"/>
      <c r="F2799" s="222"/>
      <c r="G2799" s="222"/>
      <c r="H2799" s="222"/>
      <c r="I2799" s="222"/>
      <c r="J2799" s="223"/>
      <c r="K2799" s="223"/>
      <c r="L2799" s="222"/>
      <c r="M2799" s="222"/>
      <c r="N2799" s="222"/>
      <c r="O2799" s="222"/>
      <c r="P2799" s="222"/>
      <c r="Q2799" s="222"/>
      <c r="R2799" s="271"/>
      <c r="S2799" s="11"/>
      <c r="T2799" s="11"/>
      <c r="U2799" s="11"/>
      <c r="AW2799" s="234"/>
      <c r="BP2799" s="11"/>
      <c r="BQ2799" s="11"/>
      <c r="BV2799" s="158"/>
      <c r="BY2799" s="158"/>
      <c r="CB2799" s="158"/>
    </row>
    <row r="2800">
      <c r="A2800" s="222"/>
      <c r="B2800" s="221"/>
      <c r="C2800" s="222"/>
      <c r="D2800" s="222"/>
      <c r="E2800" s="222"/>
      <c r="F2800" s="222"/>
      <c r="G2800" s="222"/>
      <c r="H2800" s="222"/>
      <c r="I2800" s="222"/>
      <c r="J2800" s="223"/>
      <c r="K2800" s="223"/>
      <c r="L2800" s="222"/>
      <c r="M2800" s="222"/>
      <c r="N2800" s="222"/>
      <c r="O2800" s="222"/>
      <c r="P2800" s="222"/>
      <c r="Q2800" s="222"/>
      <c r="R2800" s="271"/>
      <c r="S2800" s="11"/>
      <c r="T2800" s="11"/>
      <c r="U2800" s="11"/>
      <c r="AW2800" s="234"/>
      <c r="BP2800" s="11"/>
      <c r="BQ2800" s="11"/>
      <c r="BV2800" s="158"/>
      <c r="BY2800" s="158"/>
      <c r="CB2800" s="158"/>
    </row>
    <row r="2801">
      <c r="A2801" s="222"/>
      <c r="B2801" s="221"/>
      <c r="C2801" s="222"/>
      <c r="D2801" s="222"/>
      <c r="E2801" s="222"/>
      <c r="F2801" s="222"/>
      <c r="G2801" s="222"/>
      <c r="H2801" s="222"/>
      <c r="I2801" s="222"/>
      <c r="J2801" s="223"/>
      <c r="K2801" s="223"/>
      <c r="L2801" s="222"/>
      <c r="M2801" s="222"/>
      <c r="N2801" s="222"/>
      <c r="O2801" s="222"/>
      <c r="P2801" s="222"/>
      <c r="Q2801" s="222"/>
      <c r="R2801" s="271"/>
      <c r="S2801" s="11"/>
      <c r="T2801" s="11"/>
      <c r="U2801" s="11"/>
      <c r="AW2801" s="234"/>
      <c r="BP2801" s="11"/>
      <c r="BQ2801" s="11"/>
      <c r="BV2801" s="158"/>
      <c r="BY2801" s="158"/>
      <c r="CB2801" s="158"/>
    </row>
    <row r="2802">
      <c r="A2802" s="222"/>
      <c r="B2802" s="221"/>
      <c r="C2802" s="222"/>
      <c r="D2802" s="222"/>
      <c r="E2802" s="222"/>
      <c r="F2802" s="222"/>
      <c r="G2802" s="222"/>
      <c r="H2802" s="222"/>
      <c r="I2802" s="222"/>
      <c r="J2802" s="223"/>
      <c r="K2802" s="223"/>
      <c r="L2802" s="222"/>
      <c r="M2802" s="222"/>
      <c r="N2802" s="222"/>
      <c r="O2802" s="222"/>
      <c r="P2802" s="222"/>
      <c r="Q2802" s="222"/>
      <c r="R2802" s="271"/>
      <c r="S2802" s="11"/>
      <c r="T2802" s="11"/>
      <c r="U2802" s="11"/>
      <c r="AW2802" s="234"/>
      <c r="BP2802" s="11"/>
      <c r="BQ2802" s="11"/>
      <c r="BV2802" s="158"/>
      <c r="BY2802" s="158"/>
      <c r="CB2802" s="158"/>
    </row>
    <row r="2803">
      <c r="A2803" s="222"/>
      <c r="B2803" s="221"/>
      <c r="C2803" s="222"/>
      <c r="D2803" s="222"/>
      <c r="E2803" s="222"/>
      <c r="F2803" s="222"/>
      <c r="G2803" s="222"/>
      <c r="H2803" s="222"/>
      <c r="I2803" s="222"/>
      <c r="J2803" s="223"/>
      <c r="K2803" s="223"/>
      <c r="L2803" s="222"/>
      <c r="M2803" s="222"/>
      <c r="N2803" s="222"/>
      <c r="O2803" s="222"/>
      <c r="P2803" s="222"/>
      <c r="Q2803" s="222"/>
      <c r="R2803" s="271"/>
      <c r="S2803" s="11"/>
      <c r="T2803" s="11"/>
      <c r="U2803" s="11"/>
      <c r="AW2803" s="234"/>
      <c r="BP2803" s="11"/>
      <c r="BQ2803" s="11"/>
      <c r="BV2803" s="158"/>
      <c r="BY2803" s="158"/>
      <c r="CB2803" s="158"/>
    </row>
    <row r="2804">
      <c r="A2804" s="222"/>
      <c r="B2804" s="221"/>
      <c r="C2804" s="222"/>
      <c r="D2804" s="222"/>
      <c r="E2804" s="222"/>
      <c r="F2804" s="222"/>
      <c r="G2804" s="222"/>
      <c r="H2804" s="222"/>
      <c r="I2804" s="222"/>
      <c r="J2804" s="223"/>
      <c r="K2804" s="223"/>
      <c r="L2804" s="222"/>
      <c r="M2804" s="222"/>
      <c r="N2804" s="222"/>
      <c r="O2804" s="222"/>
      <c r="P2804" s="222"/>
      <c r="Q2804" s="222"/>
      <c r="R2804" s="271"/>
      <c r="S2804" s="11"/>
      <c r="T2804" s="11"/>
      <c r="U2804" s="11"/>
      <c r="AW2804" s="234"/>
      <c r="BP2804" s="11"/>
      <c r="BQ2804" s="11"/>
      <c r="BV2804" s="158"/>
      <c r="BY2804" s="158"/>
      <c r="CB2804" s="158"/>
    </row>
    <row r="2805">
      <c r="A2805" s="222"/>
      <c r="B2805" s="221"/>
      <c r="C2805" s="222"/>
      <c r="D2805" s="222"/>
      <c r="E2805" s="222"/>
      <c r="F2805" s="222"/>
      <c r="G2805" s="222"/>
      <c r="H2805" s="222"/>
      <c r="I2805" s="222"/>
      <c r="J2805" s="223"/>
      <c r="K2805" s="223"/>
      <c r="L2805" s="222"/>
      <c r="M2805" s="222"/>
      <c r="N2805" s="222"/>
      <c r="O2805" s="222"/>
      <c r="P2805" s="222"/>
      <c r="Q2805" s="222"/>
      <c r="R2805" s="271"/>
      <c r="S2805" s="11"/>
      <c r="T2805" s="11"/>
      <c r="U2805" s="11"/>
      <c r="AW2805" s="234"/>
      <c r="BP2805" s="11"/>
      <c r="BQ2805" s="11"/>
      <c r="BV2805" s="158"/>
      <c r="BY2805" s="158"/>
      <c r="CB2805" s="158"/>
    </row>
    <row r="2806">
      <c r="A2806" s="222"/>
      <c r="B2806" s="221"/>
      <c r="C2806" s="222"/>
      <c r="D2806" s="222"/>
      <c r="E2806" s="222"/>
      <c r="F2806" s="222"/>
      <c r="G2806" s="222"/>
      <c r="H2806" s="222"/>
      <c r="I2806" s="222"/>
      <c r="J2806" s="223"/>
      <c r="K2806" s="223"/>
      <c r="L2806" s="222"/>
      <c r="M2806" s="222"/>
      <c r="N2806" s="222"/>
      <c r="O2806" s="222"/>
      <c r="P2806" s="222"/>
      <c r="Q2806" s="222"/>
      <c r="R2806" s="271"/>
      <c r="S2806" s="11"/>
      <c r="T2806" s="11"/>
      <c r="U2806" s="11"/>
      <c r="AW2806" s="234"/>
      <c r="BP2806" s="11"/>
      <c r="BQ2806" s="11"/>
      <c r="BV2806" s="158"/>
      <c r="BY2806" s="158"/>
      <c r="CB2806" s="158"/>
    </row>
    <row r="2807">
      <c r="A2807" s="222"/>
      <c r="B2807" s="221"/>
      <c r="C2807" s="222"/>
      <c r="D2807" s="222"/>
      <c r="E2807" s="222"/>
      <c r="F2807" s="222"/>
      <c r="G2807" s="222"/>
      <c r="H2807" s="222"/>
      <c r="I2807" s="222"/>
      <c r="J2807" s="223"/>
      <c r="K2807" s="223"/>
      <c r="L2807" s="222"/>
      <c r="M2807" s="222"/>
      <c r="N2807" s="222"/>
      <c r="O2807" s="222"/>
      <c r="P2807" s="222"/>
      <c r="Q2807" s="222"/>
      <c r="R2807" s="271"/>
      <c r="S2807" s="11"/>
      <c r="T2807" s="11"/>
      <c r="U2807" s="11"/>
      <c r="AW2807" s="234"/>
      <c r="BP2807" s="11"/>
      <c r="BQ2807" s="11"/>
      <c r="BV2807" s="158"/>
      <c r="BY2807" s="158"/>
      <c r="CB2807" s="158"/>
    </row>
    <row r="2808">
      <c r="A2808" s="222"/>
      <c r="B2808" s="221"/>
      <c r="C2808" s="222"/>
      <c r="D2808" s="222"/>
      <c r="E2808" s="222"/>
      <c r="F2808" s="222"/>
      <c r="G2808" s="222"/>
      <c r="H2808" s="222"/>
      <c r="I2808" s="222"/>
      <c r="J2808" s="223"/>
      <c r="K2808" s="223"/>
      <c r="L2808" s="222"/>
      <c r="M2808" s="222"/>
      <c r="N2808" s="222"/>
      <c r="O2808" s="222"/>
      <c r="P2808" s="222"/>
      <c r="Q2808" s="222"/>
      <c r="R2808" s="271"/>
      <c r="S2808" s="11"/>
      <c r="T2808" s="11"/>
      <c r="U2808" s="11"/>
      <c r="AW2808" s="234"/>
      <c r="BP2808" s="11"/>
      <c r="BQ2808" s="11"/>
      <c r="BV2808" s="158"/>
      <c r="BY2808" s="158"/>
      <c r="CB2808" s="158"/>
    </row>
    <row r="2809">
      <c r="A2809" s="222"/>
      <c r="B2809" s="221"/>
      <c r="C2809" s="222"/>
      <c r="D2809" s="222"/>
      <c r="E2809" s="222"/>
      <c r="F2809" s="222"/>
      <c r="G2809" s="222"/>
      <c r="H2809" s="222"/>
      <c r="I2809" s="222"/>
      <c r="J2809" s="223"/>
      <c r="K2809" s="223"/>
      <c r="L2809" s="222"/>
      <c r="M2809" s="222"/>
      <c r="N2809" s="222"/>
      <c r="O2809" s="222"/>
      <c r="P2809" s="222"/>
      <c r="Q2809" s="222"/>
      <c r="R2809" s="271"/>
      <c r="S2809" s="11"/>
      <c r="T2809" s="11"/>
      <c r="U2809" s="11"/>
      <c r="AW2809" s="234"/>
      <c r="BP2809" s="11"/>
      <c r="BQ2809" s="11"/>
      <c r="BV2809" s="158"/>
      <c r="BY2809" s="158"/>
      <c r="CB2809" s="158"/>
    </row>
    <row r="2810">
      <c r="A2810" s="222"/>
      <c r="B2810" s="221"/>
      <c r="C2810" s="222"/>
      <c r="D2810" s="222"/>
      <c r="E2810" s="222"/>
      <c r="F2810" s="222"/>
      <c r="G2810" s="222"/>
      <c r="H2810" s="222"/>
      <c r="I2810" s="222"/>
      <c r="J2810" s="223"/>
      <c r="K2810" s="223"/>
      <c r="L2810" s="222"/>
      <c r="M2810" s="222"/>
      <c r="N2810" s="222"/>
      <c r="O2810" s="222"/>
      <c r="P2810" s="222"/>
      <c r="Q2810" s="222"/>
      <c r="R2810" s="271"/>
      <c r="S2810" s="11"/>
      <c r="T2810" s="11"/>
      <c r="U2810" s="11"/>
      <c r="AW2810" s="234"/>
      <c r="BP2810" s="11"/>
      <c r="BQ2810" s="11"/>
      <c r="BV2810" s="158"/>
      <c r="BY2810" s="158"/>
      <c r="CB2810" s="158"/>
    </row>
    <row r="2811">
      <c r="A2811" s="222"/>
      <c r="B2811" s="221"/>
      <c r="C2811" s="222"/>
      <c r="D2811" s="222"/>
      <c r="E2811" s="222"/>
      <c r="F2811" s="222"/>
      <c r="G2811" s="222"/>
      <c r="H2811" s="222"/>
      <c r="I2811" s="222"/>
      <c r="J2811" s="223"/>
      <c r="K2811" s="223"/>
      <c r="L2811" s="222"/>
      <c r="M2811" s="222"/>
      <c r="N2811" s="222"/>
      <c r="O2811" s="222"/>
      <c r="P2811" s="222"/>
      <c r="Q2811" s="222"/>
      <c r="R2811" s="271"/>
      <c r="S2811" s="11"/>
      <c r="T2811" s="11"/>
      <c r="U2811" s="11"/>
      <c r="AW2811" s="234"/>
      <c r="BP2811" s="11"/>
      <c r="BQ2811" s="11"/>
      <c r="BV2811" s="158"/>
      <c r="BY2811" s="158"/>
      <c r="CB2811" s="158"/>
    </row>
    <row r="2812">
      <c r="A2812" s="222"/>
      <c r="B2812" s="221"/>
      <c r="C2812" s="222"/>
      <c r="D2812" s="222"/>
      <c r="E2812" s="222"/>
      <c r="F2812" s="222"/>
      <c r="G2812" s="222"/>
      <c r="H2812" s="222"/>
      <c r="I2812" s="222"/>
      <c r="J2812" s="223"/>
      <c r="K2812" s="223"/>
      <c r="L2812" s="222"/>
      <c r="M2812" s="222"/>
      <c r="N2812" s="222"/>
      <c r="O2812" s="222"/>
      <c r="P2812" s="222"/>
      <c r="Q2812" s="222"/>
      <c r="R2812" s="271"/>
      <c r="S2812" s="11"/>
      <c r="T2812" s="11"/>
      <c r="U2812" s="11"/>
      <c r="AW2812" s="234"/>
      <c r="BP2812" s="11"/>
      <c r="BQ2812" s="11"/>
      <c r="BV2812" s="158"/>
      <c r="BY2812" s="158"/>
      <c r="CB2812" s="158"/>
    </row>
    <row r="2813">
      <c r="A2813" s="222"/>
      <c r="B2813" s="221"/>
      <c r="C2813" s="222"/>
      <c r="D2813" s="222"/>
      <c r="E2813" s="222"/>
      <c r="F2813" s="222"/>
      <c r="G2813" s="222"/>
      <c r="H2813" s="222"/>
      <c r="I2813" s="222"/>
      <c r="J2813" s="223"/>
      <c r="K2813" s="223"/>
      <c r="L2813" s="222"/>
      <c r="M2813" s="222"/>
      <c r="N2813" s="222"/>
      <c r="O2813" s="222"/>
      <c r="P2813" s="222"/>
      <c r="Q2813" s="222"/>
      <c r="R2813" s="271"/>
      <c r="S2813" s="11"/>
      <c r="T2813" s="11"/>
      <c r="U2813" s="11"/>
      <c r="AW2813" s="234"/>
      <c r="BP2813" s="11"/>
      <c r="BQ2813" s="11"/>
      <c r="BV2813" s="158"/>
      <c r="BY2813" s="158"/>
      <c r="CB2813" s="158"/>
    </row>
    <row r="2814">
      <c r="A2814" s="222"/>
      <c r="B2814" s="221"/>
      <c r="C2814" s="222"/>
      <c r="D2814" s="222"/>
      <c r="E2814" s="222"/>
      <c r="F2814" s="222"/>
      <c r="G2814" s="222"/>
      <c r="H2814" s="222"/>
      <c r="I2814" s="222"/>
      <c r="J2814" s="223"/>
      <c r="K2814" s="223"/>
      <c r="L2814" s="222"/>
      <c r="M2814" s="222"/>
      <c r="N2814" s="222"/>
      <c r="O2814" s="222"/>
      <c r="P2814" s="222"/>
      <c r="Q2814" s="222"/>
      <c r="R2814" s="271"/>
      <c r="S2814" s="11"/>
      <c r="T2814" s="11"/>
      <c r="U2814" s="11"/>
      <c r="AW2814" s="234"/>
      <c r="BP2814" s="11"/>
      <c r="BQ2814" s="11"/>
      <c r="BV2814" s="158"/>
      <c r="BY2814" s="158"/>
      <c r="CB2814" s="158"/>
    </row>
    <row r="2815">
      <c r="A2815" s="222"/>
      <c r="B2815" s="221"/>
      <c r="C2815" s="222"/>
      <c r="D2815" s="222"/>
      <c r="E2815" s="222"/>
      <c r="F2815" s="222"/>
      <c r="G2815" s="222"/>
      <c r="H2815" s="222"/>
      <c r="I2815" s="222"/>
      <c r="J2815" s="223"/>
      <c r="K2815" s="223"/>
      <c r="L2815" s="222"/>
      <c r="M2815" s="222"/>
      <c r="N2815" s="222"/>
      <c r="O2815" s="222"/>
      <c r="P2815" s="222"/>
      <c r="Q2815" s="222"/>
      <c r="R2815" s="271"/>
      <c r="S2815" s="11"/>
      <c r="T2815" s="11"/>
      <c r="U2815" s="11"/>
      <c r="AW2815" s="234"/>
      <c r="BP2815" s="11"/>
      <c r="BQ2815" s="11"/>
      <c r="BV2815" s="158"/>
      <c r="BY2815" s="158"/>
      <c r="CB2815" s="158"/>
    </row>
    <row r="2816">
      <c r="A2816" s="222"/>
      <c r="B2816" s="221"/>
      <c r="C2816" s="222"/>
      <c r="D2816" s="222"/>
      <c r="E2816" s="222"/>
      <c r="F2816" s="222"/>
      <c r="G2816" s="222"/>
      <c r="H2816" s="222"/>
      <c r="I2816" s="222"/>
      <c r="J2816" s="223"/>
      <c r="K2816" s="223"/>
      <c r="L2816" s="222"/>
      <c r="M2816" s="222"/>
      <c r="N2816" s="222"/>
      <c r="O2816" s="222"/>
      <c r="P2816" s="222"/>
      <c r="Q2816" s="222"/>
      <c r="R2816" s="271"/>
      <c r="S2816" s="11"/>
      <c r="T2816" s="11"/>
      <c r="U2816" s="11"/>
      <c r="AW2816" s="234"/>
      <c r="BP2816" s="11"/>
      <c r="BQ2816" s="11"/>
      <c r="BV2816" s="158"/>
      <c r="BY2816" s="158"/>
      <c r="CB2816" s="158"/>
    </row>
    <row r="2817">
      <c r="A2817" s="222"/>
      <c r="B2817" s="221"/>
      <c r="C2817" s="222"/>
      <c r="D2817" s="222"/>
      <c r="E2817" s="222"/>
      <c r="F2817" s="222"/>
      <c r="G2817" s="222"/>
      <c r="H2817" s="222"/>
      <c r="I2817" s="222"/>
      <c r="J2817" s="223"/>
      <c r="K2817" s="223"/>
      <c r="L2817" s="222"/>
      <c r="M2817" s="222"/>
      <c r="N2817" s="222"/>
      <c r="O2817" s="222"/>
      <c r="P2817" s="222"/>
      <c r="Q2817" s="222"/>
      <c r="R2817" s="271"/>
      <c r="S2817" s="11"/>
      <c r="T2817" s="11"/>
      <c r="U2817" s="11"/>
      <c r="AW2817" s="234"/>
      <c r="BP2817" s="11"/>
      <c r="BQ2817" s="11"/>
      <c r="BV2817" s="158"/>
      <c r="BY2817" s="158"/>
      <c r="CB2817" s="158"/>
    </row>
    <row r="2818">
      <c r="A2818" s="222"/>
      <c r="B2818" s="221"/>
      <c r="C2818" s="222"/>
      <c r="D2818" s="222"/>
      <c r="E2818" s="222"/>
      <c r="F2818" s="222"/>
      <c r="G2818" s="222"/>
      <c r="H2818" s="222"/>
      <c r="I2818" s="222"/>
      <c r="J2818" s="223"/>
      <c r="K2818" s="223"/>
      <c r="L2818" s="222"/>
      <c r="M2818" s="222"/>
      <c r="N2818" s="222"/>
      <c r="O2818" s="222"/>
      <c r="P2818" s="222"/>
      <c r="Q2818" s="222"/>
      <c r="R2818" s="271"/>
      <c r="S2818" s="11"/>
      <c r="T2818" s="11"/>
      <c r="U2818" s="11"/>
      <c r="AW2818" s="234"/>
      <c r="BP2818" s="11"/>
      <c r="BQ2818" s="11"/>
      <c r="BV2818" s="158"/>
      <c r="BY2818" s="158"/>
      <c r="CB2818" s="158"/>
    </row>
    <row r="2819">
      <c r="A2819" s="222"/>
      <c r="B2819" s="221"/>
      <c r="C2819" s="222"/>
      <c r="D2819" s="222"/>
      <c r="E2819" s="222"/>
      <c r="F2819" s="222"/>
      <c r="G2819" s="222"/>
      <c r="H2819" s="222"/>
      <c r="I2819" s="222"/>
      <c r="J2819" s="223"/>
      <c r="K2819" s="223"/>
      <c r="L2819" s="222"/>
      <c r="M2819" s="222"/>
      <c r="N2819" s="222"/>
      <c r="O2819" s="222"/>
      <c r="P2819" s="222"/>
      <c r="Q2819" s="222"/>
      <c r="R2819" s="271"/>
      <c r="S2819" s="11"/>
      <c r="T2819" s="11"/>
      <c r="U2819" s="11"/>
      <c r="AW2819" s="234"/>
      <c r="BP2819" s="11"/>
      <c r="BQ2819" s="11"/>
      <c r="BV2819" s="158"/>
      <c r="BY2819" s="158"/>
      <c r="CB2819" s="158"/>
    </row>
    <row r="2820">
      <c r="A2820" s="222"/>
      <c r="B2820" s="221"/>
      <c r="C2820" s="222"/>
      <c r="D2820" s="222"/>
      <c r="E2820" s="222"/>
      <c r="F2820" s="222"/>
      <c r="G2820" s="222"/>
      <c r="H2820" s="222"/>
      <c r="I2820" s="222"/>
      <c r="J2820" s="223"/>
      <c r="K2820" s="223"/>
      <c r="L2820" s="222"/>
      <c r="M2820" s="222"/>
      <c r="N2820" s="222"/>
      <c r="O2820" s="222"/>
      <c r="P2820" s="222"/>
      <c r="Q2820" s="222"/>
      <c r="R2820" s="271"/>
      <c r="S2820" s="11"/>
      <c r="T2820" s="11"/>
      <c r="U2820" s="11"/>
      <c r="AW2820" s="234"/>
      <c r="BP2820" s="11"/>
      <c r="BQ2820" s="11"/>
      <c r="BV2820" s="158"/>
      <c r="BY2820" s="158"/>
      <c r="CB2820" s="158"/>
    </row>
    <row r="2821">
      <c r="A2821" s="222"/>
      <c r="B2821" s="221"/>
      <c r="C2821" s="222"/>
      <c r="D2821" s="222"/>
      <c r="E2821" s="222"/>
      <c r="F2821" s="222"/>
      <c r="G2821" s="222"/>
      <c r="H2821" s="222"/>
      <c r="I2821" s="222"/>
      <c r="J2821" s="223"/>
      <c r="K2821" s="223"/>
      <c r="L2821" s="222"/>
      <c r="M2821" s="222"/>
      <c r="N2821" s="222"/>
      <c r="O2821" s="222"/>
      <c r="P2821" s="222"/>
      <c r="Q2821" s="222"/>
      <c r="R2821" s="271"/>
      <c r="S2821" s="11"/>
      <c r="T2821" s="11"/>
      <c r="U2821" s="11"/>
      <c r="AW2821" s="234"/>
      <c r="BP2821" s="11"/>
      <c r="BQ2821" s="11"/>
      <c r="BV2821" s="158"/>
      <c r="BY2821" s="158"/>
      <c r="CB2821" s="158"/>
    </row>
    <row r="2822">
      <c r="A2822" s="222"/>
      <c r="B2822" s="221"/>
      <c r="C2822" s="222"/>
      <c r="D2822" s="222"/>
      <c r="E2822" s="222"/>
      <c r="F2822" s="222"/>
      <c r="G2822" s="222"/>
      <c r="H2822" s="222"/>
      <c r="I2822" s="222"/>
      <c r="J2822" s="223"/>
      <c r="K2822" s="223"/>
      <c r="L2822" s="222"/>
      <c r="M2822" s="222"/>
      <c r="N2822" s="222"/>
      <c r="O2822" s="222"/>
      <c r="P2822" s="222"/>
      <c r="Q2822" s="222"/>
      <c r="R2822" s="271"/>
      <c r="S2822" s="11"/>
      <c r="T2822" s="11"/>
      <c r="U2822" s="11"/>
      <c r="AW2822" s="234"/>
      <c r="BP2822" s="11"/>
      <c r="BQ2822" s="11"/>
      <c r="BV2822" s="158"/>
      <c r="BY2822" s="158"/>
      <c r="CB2822" s="158"/>
    </row>
    <row r="2823">
      <c r="A2823" s="222"/>
      <c r="B2823" s="221"/>
      <c r="C2823" s="222"/>
      <c r="D2823" s="222"/>
      <c r="E2823" s="222"/>
      <c r="F2823" s="222"/>
      <c r="G2823" s="222"/>
      <c r="H2823" s="222"/>
      <c r="I2823" s="222"/>
      <c r="J2823" s="223"/>
      <c r="K2823" s="223"/>
      <c r="L2823" s="222"/>
      <c r="M2823" s="222"/>
      <c r="N2823" s="222"/>
      <c r="O2823" s="222"/>
      <c r="P2823" s="222"/>
      <c r="Q2823" s="222"/>
      <c r="R2823" s="271"/>
      <c r="S2823" s="11"/>
      <c r="T2823" s="11"/>
      <c r="U2823" s="11"/>
      <c r="AW2823" s="234"/>
      <c r="BP2823" s="11"/>
      <c r="BQ2823" s="11"/>
      <c r="BV2823" s="158"/>
      <c r="BY2823" s="158"/>
      <c r="CB2823" s="158"/>
    </row>
    <row r="2824">
      <c r="A2824" s="222"/>
      <c r="B2824" s="221"/>
      <c r="C2824" s="222"/>
      <c r="D2824" s="222"/>
      <c r="E2824" s="222"/>
      <c r="F2824" s="222"/>
      <c r="G2824" s="222"/>
      <c r="H2824" s="222"/>
      <c r="I2824" s="222"/>
      <c r="J2824" s="223"/>
      <c r="K2824" s="223"/>
      <c r="L2824" s="222"/>
      <c r="M2824" s="222"/>
      <c r="N2824" s="222"/>
      <c r="O2824" s="222"/>
      <c r="P2824" s="222"/>
      <c r="Q2824" s="222"/>
      <c r="R2824" s="271"/>
      <c r="S2824" s="11"/>
      <c r="T2824" s="11"/>
      <c r="U2824" s="11"/>
      <c r="AW2824" s="234"/>
      <c r="BP2824" s="11"/>
      <c r="BQ2824" s="11"/>
      <c r="BV2824" s="158"/>
      <c r="BY2824" s="158"/>
      <c r="CB2824" s="158"/>
    </row>
    <row r="2825">
      <c r="A2825" s="222"/>
      <c r="B2825" s="221"/>
      <c r="C2825" s="222"/>
      <c r="D2825" s="222"/>
      <c r="E2825" s="222"/>
      <c r="F2825" s="222"/>
      <c r="G2825" s="222"/>
      <c r="H2825" s="222"/>
      <c r="I2825" s="222"/>
      <c r="J2825" s="223"/>
      <c r="K2825" s="223"/>
      <c r="L2825" s="222"/>
      <c r="M2825" s="222"/>
      <c r="N2825" s="222"/>
      <c r="O2825" s="222"/>
      <c r="P2825" s="222"/>
      <c r="Q2825" s="222"/>
      <c r="R2825" s="271"/>
      <c r="S2825" s="11"/>
      <c r="T2825" s="11"/>
      <c r="U2825" s="11"/>
      <c r="AW2825" s="234"/>
      <c r="BP2825" s="11"/>
      <c r="BQ2825" s="11"/>
      <c r="BV2825" s="158"/>
      <c r="BY2825" s="158"/>
      <c r="CB2825" s="158"/>
    </row>
    <row r="2826">
      <c r="A2826" s="222"/>
      <c r="B2826" s="221"/>
      <c r="C2826" s="222"/>
      <c r="D2826" s="222"/>
      <c r="E2826" s="222"/>
      <c r="F2826" s="222"/>
      <c r="G2826" s="222"/>
      <c r="H2826" s="222"/>
      <c r="I2826" s="222"/>
      <c r="J2826" s="223"/>
      <c r="K2826" s="223"/>
      <c r="L2826" s="222"/>
      <c r="M2826" s="222"/>
      <c r="N2826" s="222"/>
      <c r="O2826" s="222"/>
      <c r="P2826" s="222"/>
      <c r="Q2826" s="222"/>
      <c r="R2826" s="271"/>
      <c r="S2826" s="11"/>
      <c r="T2826" s="11"/>
      <c r="U2826" s="11"/>
      <c r="AW2826" s="234"/>
      <c r="BP2826" s="11"/>
      <c r="BQ2826" s="11"/>
      <c r="BV2826" s="158"/>
      <c r="BY2826" s="158"/>
      <c r="CB2826" s="158"/>
    </row>
    <row r="2827">
      <c r="A2827" s="222"/>
      <c r="B2827" s="221"/>
      <c r="C2827" s="222"/>
      <c r="D2827" s="222"/>
      <c r="E2827" s="222"/>
      <c r="F2827" s="222"/>
      <c r="G2827" s="222"/>
      <c r="H2827" s="222"/>
      <c r="I2827" s="222"/>
      <c r="J2827" s="223"/>
      <c r="K2827" s="223"/>
      <c r="L2827" s="222"/>
      <c r="M2827" s="222"/>
      <c r="N2827" s="222"/>
      <c r="O2827" s="222"/>
      <c r="P2827" s="222"/>
      <c r="Q2827" s="222"/>
      <c r="R2827" s="271"/>
      <c r="S2827" s="11"/>
      <c r="T2827" s="11"/>
      <c r="U2827" s="11"/>
      <c r="AW2827" s="234"/>
      <c r="BP2827" s="11"/>
      <c r="BQ2827" s="11"/>
      <c r="BV2827" s="158"/>
      <c r="BY2827" s="158"/>
      <c r="CB2827" s="158"/>
    </row>
    <row r="2828">
      <c r="A2828" s="222"/>
      <c r="B2828" s="221"/>
      <c r="C2828" s="222"/>
      <c r="D2828" s="222"/>
      <c r="E2828" s="222"/>
      <c r="F2828" s="222"/>
      <c r="G2828" s="222"/>
      <c r="H2828" s="222"/>
      <c r="I2828" s="222"/>
      <c r="J2828" s="223"/>
      <c r="K2828" s="223"/>
      <c r="L2828" s="222"/>
      <c r="M2828" s="222"/>
      <c r="N2828" s="222"/>
      <c r="O2828" s="222"/>
      <c r="P2828" s="222"/>
      <c r="Q2828" s="222"/>
      <c r="R2828" s="271"/>
      <c r="S2828" s="11"/>
      <c r="T2828" s="11"/>
      <c r="U2828" s="11"/>
      <c r="AW2828" s="234"/>
      <c r="BP2828" s="11"/>
      <c r="BQ2828" s="11"/>
      <c r="BV2828" s="158"/>
      <c r="BY2828" s="158"/>
      <c r="CB2828" s="158"/>
    </row>
    <row r="2829">
      <c r="A2829" s="222"/>
      <c r="B2829" s="221"/>
      <c r="C2829" s="222"/>
      <c r="D2829" s="222"/>
      <c r="E2829" s="222"/>
      <c r="F2829" s="222"/>
      <c r="G2829" s="222"/>
      <c r="H2829" s="222"/>
      <c r="I2829" s="222"/>
      <c r="J2829" s="223"/>
      <c r="K2829" s="223"/>
      <c r="L2829" s="222"/>
      <c r="M2829" s="222"/>
      <c r="N2829" s="222"/>
      <c r="O2829" s="222"/>
      <c r="P2829" s="222"/>
      <c r="Q2829" s="222"/>
      <c r="R2829" s="271"/>
      <c r="S2829" s="11"/>
      <c r="T2829" s="11"/>
      <c r="U2829" s="11"/>
      <c r="AW2829" s="234"/>
      <c r="BP2829" s="11"/>
      <c r="BQ2829" s="11"/>
      <c r="BV2829" s="158"/>
      <c r="BY2829" s="158"/>
      <c r="CB2829" s="158"/>
    </row>
    <row r="2830">
      <c r="A2830" s="222"/>
      <c r="B2830" s="221"/>
      <c r="C2830" s="222"/>
      <c r="D2830" s="222"/>
      <c r="E2830" s="222"/>
      <c r="F2830" s="222"/>
      <c r="G2830" s="222"/>
      <c r="H2830" s="222"/>
      <c r="I2830" s="222"/>
      <c r="J2830" s="223"/>
      <c r="K2830" s="223"/>
      <c r="L2830" s="222"/>
      <c r="M2830" s="222"/>
      <c r="N2830" s="222"/>
      <c r="O2830" s="222"/>
      <c r="P2830" s="222"/>
      <c r="Q2830" s="222"/>
      <c r="R2830" s="271"/>
      <c r="S2830" s="11"/>
      <c r="T2830" s="11"/>
      <c r="U2830" s="11"/>
      <c r="AW2830" s="234"/>
      <c r="BP2830" s="11"/>
      <c r="BQ2830" s="11"/>
      <c r="BV2830" s="158"/>
      <c r="BY2830" s="158"/>
      <c r="CB2830" s="158"/>
    </row>
    <row r="2831">
      <c r="A2831" s="222"/>
      <c r="B2831" s="221"/>
      <c r="C2831" s="222"/>
      <c r="D2831" s="222"/>
      <c r="E2831" s="222"/>
      <c r="F2831" s="222"/>
      <c r="G2831" s="222"/>
      <c r="H2831" s="222"/>
      <c r="I2831" s="222"/>
      <c r="J2831" s="223"/>
      <c r="K2831" s="223"/>
      <c r="L2831" s="222"/>
      <c r="M2831" s="222"/>
      <c r="N2831" s="222"/>
      <c r="O2831" s="222"/>
      <c r="P2831" s="222"/>
      <c r="Q2831" s="222"/>
      <c r="R2831" s="271"/>
      <c r="S2831" s="11"/>
      <c r="T2831" s="11"/>
      <c r="U2831" s="11"/>
      <c r="AW2831" s="234"/>
      <c r="BP2831" s="11"/>
      <c r="BQ2831" s="11"/>
      <c r="BV2831" s="158"/>
      <c r="BY2831" s="158"/>
      <c r="CB2831" s="158"/>
    </row>
    <row r="2832">
      <c r="A2832" s="222"/>
      <c r="B2832" s="221"/>
      <c r="C2832" s="222"/>
      <c r="D2832" s="222"/>
      <c r="E2832" s="222"/>
      <c r="F2832" s="222"/>
      <c r="G2832" s="222"/>
      <c r="H2832" s="222"/>
      <c r="I2832" s="222"/>
      <c r="J2832" s="223"/>
      <c r="K2832" s="223"/>
      <c r="L2832" s="222"/>
      <c r="M2832" s="222"/>
      <c r="N2832" s="222"/>
      <c r="O2832" s="222"/>
      <c r="P2832" s="222"/>
      <c r="Q2832" s="222"/>
      <c r="R2832" s="271"/>
      <c r="S2832" s="11"/>
      <c r="T2832" s="11"/>
      <c r="U2832" s="11"/>
      <c r="AW2832" s="234"/>
      <c r="BP2832" s="11"/>
      <c r="BQ2832" s="11"/>
      <c r="BV2832" s="158"/>
      <c r="BY2832" s="158"/>
      <c r="CB2832" s="158"/>
    </row>
    <row r="2833">
      <c r="A2833" s="222"/>
      <c r="B2833" s="221"/>
      <c r="C2833" s="222"/>
      <c r="D2833" s="222"/>
      <c r="E2833" s="222"/>
      <c r="F2833" s="222"/>
      <c r="G2833" s="222"/>
      <c r="H2833" s="222"/>
      <c r="I2833" s="222"/>
      <c r="J2833" s="223"/>
      <c r="K2833" s="223"/>
      <c r="L2833" s="222"/>
      <c r="M2833" s="222"/>
      <c r="N2833" s="222"/>
      <c r="O2833" s="222"/>
      <c r="P2833" s="222"/>
      <c r="Q2833" s="222"/>
      <c r="R2833" s="271"/>
      <c r="S2833" s="11"/>
      <c r="T2833" s="11"/>
      <c r="U2833" s="11"/>
      <c r="AW2833" s="234"/>
      <c r="BP2833" s="11"/>
      <c r="BQ2833" s="11"/>
      <c r="BV2833" s="158"/>
      <c r="BY2833" s="158"/>
      <c r="CB2833" s="158"/>
    </row>
    <row r="2834">
      <c r="A2834" s="222"/>
      <c r="B2834" s="221"/>
      <c r="C2834" s="222"/>
      <c r="D2834" s="222"/>
      <c r="E2834" s="222"/>
      <c r="F2834" s="222"/>
      <c r="G2834" s="222"/>
      <c r="H2834" s="222"/>
      <c r="I2834" s="222"/>
      <c r="J2834" s="223"/>
      <c r="K2834" s="223"/>
      <c r="L2834" s="222"/>
      <c r="M2834" s="222"/>
      <c r="N2834" s="222"/>
      <c r="O2834" s="222"/>
      <c r="P2834" s="222"/>
      <c r="Q2834" s="222"/>
      <c r="R2834" s="271"/>
      <c r="S2834" s="11"/>
      <c r="T2834" s="11"/>
      <c r="U2834" s="11"/>
      <c r="AW2834" s="234"/>
      <c r="BP2834" s="11"/>
      <c r="BQ2834" s="11"/>
      <c r="BV2834" s="158"/>
      <c r="BY2834" s="158"/>
      <c r="CB2834" s="158"/>
    </row>
    <row r="2835">
      <c r="A2835" s="222"/>
      <c r="B2835" s="221"/>
      <c r="C2835" s="222"/>
      <c r="D2835" s="222"/>
      <c r="E2835" s="222"/>
      <c r="F2835" s="222"/>
      <c r="G2835" s="222"/>
      <c r="H2835" s="222"/>
      <c r="I2835" s="222"/>
      <c r="J2835" s="223"/>
      <c r="K2835" s="223"/>
      <c r="L2835" s="222"/>
      <c r="M2835" s="222"/>
      <c r="N2835" s="222"/>
      <c r="O2835" s="222"/>
      <c r="P2835" s="222"/>
      <c r="Q2835" s="222"/>
      <c r="R2835" s="271"/>
      <c r="S2835" s="11"/>
      <c r="T2835" s="11"/>
      <c r="U2835" s="11"/>
      <c r="AW2835" s="234"/>
      <c r="BP2835" s="11"/>
      <c r="BQ2835" s="11"/>
      <c r="BV2835" s="158"/>
      <c r="BY2835" s="158"/>
      <c r="CB2835" s="158"/>
    </row>
    <row r="2836">
      <c r="A2836" s="222"/>
      <c r="B2836" s="221"/>
      <c r="C2836" s="222"/>
      <c r="D2836" s="222"/>
      <c r="E2836" s="222"/>
      <c r="F2836" s="222"/>
      <c r="G2836" s="222"/>
      <c r="H2836" s="222"/>
      <c r="I2836" s="222"/>
      <c r="J2836" s="223"/>
      <c r="K2836" s="223"/>
      <c r="L2836" s="222"/>
      <c r="M2836" s="222"/>
      <c r="N2836" s="222"/>
      <c r="O2836" s="222"/>
      <c r="P2836" s="222"/>
      <c r="Q2836" s="222"/>
      <c r="R2836" s="271"/>
      <c r="S2836" s="11"/>
      <c r="T2836" s="11"/>
      <c r="U2836" s="11"/>
      <c r="AW2836" s="234"/>
      <c r="BP2836" s="11"/>
      <c r="BQ2836" s="11"/>
      <c r="BV2836" s="158"/>
      <c r="BY2836" s="158"/>
      <c r="CB2836" s="158"/>
    </row>
    <row r="2837">
      <c r="A2837" s="222"/>
      <c r="B2837" s="221"/>
      <c r="C2837" s="222"/>
      <c r="D2837" s="222"/>
      <c r="E2837" s="222"/>
      <c r="F2837" s="222"/>
      <c r="G2837" s="222"/>
      <c r="H2837" s="222"/>
      <c r="I2837" s="222"/>
      <c r="J2837" s="223"/>
      <c r="K2837" s="223"/>
      <c r="L2837" s="222"/>
      <c r="M2837" s="222"/>
      <c r="N2837" s="222"/>
      <c r="O2837" s="222"/>
      <c r="P2837" s="222"/>
      <c r="Q2837" s="222"/>
      <c r="R2837" s="271"/>
      <c r="S2837" s="11"/>
      <c r="T2837" s="11"/>
      <c r="U2837" s="11"/>
      <c r="AW2837" s="234"/>
      <c r="BP2837" s="11"/>
      <c r="BQ2837" s="11"/>
      <c r="BV2837" s="158"/>
      <c r="BY2837" s="158"/>
      <c r="CB2837" s="158"/>
    </row>
    <row r="2838">
      <c r="A2838" s="222"/>
      <c r="B2838" s="221"/>
      <c r="C2838" s="222"/>
      <c r="D2838" s="222"/>
      <c r="E2838" s="222"/>
      <c r="F2838" s="222"/>
      <c r="G2838" s="222"/>
      <c r="H2838" s="222"/>
      <c r="I2838" s="222"/>
      <c r="J2838" s="223"/>
      <c r="K2838" s="223"/>
      <c r="L2838" s="222"/>
      <c r="M2838" s="222"/>
      <c r="N2838" s="222"/>
      <c r="O2838" s="222"/>
      <c r="P2838" s="222"/>
      <c r="Q2838" s="222"/>
      <c r="R2838" s="271"/>
      <c r="S2838" s="11"/>
      <c r="T2838" s="11"/>
      <c r="U2838" s="11"/>
      <c r="AW2838" s="234"/>
      <c r="BP2838" s="11"/>
      <c r="BQ2838" s="11"/>
      <c r="BV2838" s="158"/>
      <c r="BY2838" s="158"/>
      <c r="CB2838" s="158"/>
    </row>
    <row r="2839">
      <c r="A2839" s="222"/>
      <c r="B2839" s="221"/>
      <c r="C2839" s="222"/>
      <c r="D2839" s="222"/>
      <c r="E2839" s="222"/>
      <c r="F2839" s="222"/>
      <c r="G2839" s="222"/>
      <c r="H2839" s="222"/>
      <c r="I2839" s="222"/>
      <c r="J2839" s="223"/>
      <c r="K2839" s="223"/>
      <c r="L2839" s="222"/>
      <c r="M2839" s="222"/>
      <c r="N2839" s="222"/>
      <c r="O2839" s="222"/>
      <c r="P2839" s="222"/>
      <c r="Q2839" s="222"/>
      <c r="R2839" s="271"/>
      <c r="S2839" s="11"/>
      <c r="T2839" s="11"/>
      <c r="U2839" s="11"/>
      <c r="AW2839" s="234"/>
      <c r="BP2839" s="11"/>
      <c r="BQ2839" s="11"/>
      <c r="BV2839" s="158"/>
      <c r="BY2839" s="158"/>
      <c r="CB2839" s="158"/>
    </row>
    <row r="2840">
      <c r="A2840" s="222"/>
      <c r="B2840" s="221"/>
      <c r="C2840" s="222"/>
      <c r="D2840" s="222"/>
      <c r="E2840" s="222"/>
      <c r="F2840" s="222"/>
      <c r="G2840" s="222"/>
      <c r="H2840" s="222"/>
      <c r="I2840" s="222"/>
      <c r="J2840" s="223"/>
      <c r="K2840" s="223"/>
      <c r="L2840" s="222"/>
      <c r="M2840" s="222"/>
      <c r="N2840" s="222"/>
      <c r="O2840" s="222"/>
      <c r="P2840" s="222"/>
      <c r="Q2840" s="222"/>
      <c r="R2840" s="271"/>
      <c r="S2840" s="11"/>
      <c r="T2840" s="11"/>
      <c r="U2840" s="11"/>
      <c r="AW2840" s="234"/>
      <c r="BP2840" s="11"/>
      <c r="BQ2840" s="11"/>
      <c r="BV2840" s="158"/>
      <c r="BY2840" s="158"/>
      <c r="CB2840" s="158"/>
    </row>
    <row r="2841">
      <c r="A2841" s="222"/>
      <c r="B2841" s="221"/>
      <c r="C2841" s="222"/>
      <c r="D2841" s="222"/>
      <c r="E2841" s="222"/>
      <c r="F2841" s="222"/>
      <c r="G2841" s="222"/>
      <c r="H2841" s="222"/>
      <c r="I2841" s="222"/>
      <c r="J2841" s="223"/>
      <c r="K2841" s="223"/>
      <c r="L2841" s="222"/>
      <c r="M2841" s="222"/>
      <c r="N2841" s="222"/>
      <c r="O2841" s="222"/>
      <c r="P2841" s="222"/>
      <c r="Q2841" s="222"/>
      <c r="R2841" s="271"/>
      <c r="S2841" s="11"/>
      <c r="T2841" s="11"/>
      <c r="U2841" s="11"/>
      <c r="AW2841" s="234"/>
      <c r="BP2841" s="11"/>
      <c r="BQ2841" s="11"/>
      <c r="BV2841" s="158"/>
      <c r="BY2841" s="158"/>
      <c r="CB2841" s="158"/>
    </row>
    <row r="2842">
      <c r="A2842" s="222"/>
      <c r="B2842" s="221"/>
      <c r="C2842" s="222"/>
      <c r="D2842" s="222"/>
      <c r="E2842" s="222"/>
      <c r="F2842" s="222"/>
      <c r="G2842" s="222"/>
      <c r="H2842" s="222"/>
      <c r="I2842" s="222"/>
      <c r="J2842" s="223"/>
      <c r="K2842" s="223"/>
      <c r="L2842" s="222"/>
      <c r="M2842" s="222"/>
      <c r="N2842" s="222"/>
      <c r="O2842" s="222"/>
      <c r="P2842" s="222"/>
      <c r="Q2842" s="222"/>
      <c r="R2842" s="271"/>
      <c r="S2842" s="11"/>
      <c r="T2842" s="11"/>
      <c r="U2842" s="11"/>
      <c r="AW2842" s="234"/>
      <c r="BP2842" s="11"/>
      <c r="BQ2842" s="11"/>
      <c r="BV2842" s="158"/>
      <c r="BY2842" s="158"/>
      <c r="CB2842" s="158"/>
    </row>
    <row r="2843">
      <c r="A2843" s="222"/>
      <c r="B2843" s="221"/>
      <c r="C2843" s="222"/>
      <c r="D2843" s="222"/>
      <c r="E2843" s="222"/>
      <c r="F2843" s="222"/>
      <c r="G2843" s="222"/>
      <c r="H2843" s="222"/>
      <c r="I2843" s="222"/>
      <c r="J2843" s="223"/>
      <c r="K2843" s="223"/>
      <c r="L2843" s="222"/>
      <c r="M2843" s="222"/>
      <c r="N2843" s="222"/>
      <c r="O2843" s="222"/>
      <c r="P2843" s="222"/>
      <c r="Q2843" s="222"/>
      <c r="R2843" s="271"/>
      <c r="S2843" s="11"/>
      <c r="T2843" s="11"/>
      <c r="U2843" s="11"/>
      <c r="AW2843" s="234"/>
      <c r="BP2843" s="11"/>
      <c r="BQ2843" s="11"/>
      <c r="BV2843" s="158"/>
      <c r="BY2843" s="158"/>
      <c r="CB2843" s="158"/>
    </row>
    <row r="2844">
      <c r="A2844" s="222"/>
      <c r="B2844" s="221"/>
      <c r="C2844" s="222"/>
      <c r="D2844" s="222"/>
      <c r="E2844" s="222"/>
      <c r="F2844" s="222"/>
      <c r="G2844" s="222"/>
      <c r="H2844" s="222"/>
      <c r="I2844" s="222"/>
      <c r="J2844" s="223"/>
      <c r="K2844" s="223"/>
      <c r="L2844" s="222"/>
      <c r="M2844" s="222"/>
      <c r="N2844" s="222"/>
      <c r="O2844" s="222"/>
      <c r="P2844" s="222"/>
      <c r="Q2844" s="222"/>
      <c r="R2844" s="271"/>
      <c r="S2844" s="11"/>
      <c r="T2844" s="11"/>
      <c r="U2844" s="11"/>
      <c r="AW2844" s="234"/>
      <c r="BP2844" s="11"/>
      <c r="BQ2844" s="11"/>
      <c r="BV2844" s="158"/>
      <c r="BY2844" s="158"/>
      <c r="CB2844" s="158"/>
    </row>
    <row r="2845">
      <c r="A2845" s="222"/>
      <c r="B2845" s="221"/>
      <c r="C2845" s="222"/>
      <c r="D2845" s="222"/>
      <c r="E2845" s="222"/>
      <c r="F2845" s="222"/>
      <c r="G2845" s="222"/>
      <c r="H2845" s="222"/>
      <c r="I2845" s="222"/>
      <c r="J2845" s="223"/>
      <c r="K2845" s="223"/>
      <c r="L2845" s="222"/>
      <c r="M2845" s="222"/>
      <c r="N2845" s="222"/>
      <c r="O2845" s="222"/>
      <c r="P2845" s="222"/>
      <c r="Q2845" s="222"/>
      <c r="R2845" s="271"/>
      <c r="S2845" s="11"/>
      <c r="T2845" s="11"/>
      <c r="U2845" s="11"/>
      <c r="AW2845" s="234"/>
      <c r="BP2845" s="11"/>
      <c r="BQ2845" s="11"/>
      <c r="BV2845" s="158"/>
      <c r="BY2845" s="158"/>
      <c r="CB2845" s="158"/>
    </row>
    <row r="2846">
      <c r="A2846" s="222"/>
      <c r="B2846" s="221"/>
      <c r="C2846" s="222"/>
      <c r="D2846" s="222"/>
      <c r="E2846" s="222"/>
      <c r="F2846" s="222"/>
      <c r="G2846" s="222"/>
      <c r="H2846" s="222"/>
      <c r="I2846" s="222"/>
      <c r="J2846" s="223"/>
      <c r="K2846" s="223"/>
      <c r="L2846" s="222"/>
      <c r="M2846" s="222"/>
      <c r="N2846" s="222"/>
      <c r="O2846" s="222"/>
      <c r="P2846" s="222"/>
      <c r="Q2846" s="222"/>
      <c r="R2846" s="271"/>
      <c r="S2846" s="11"/>
      <c r="T2846" s="11"/>
      <c r="U2846" s="11"/>
      <c r="AW2846" s="234"/>
      <c r="BP2846" s="11"/>
      <c r="BQ2846" s="11"/>
      <c r="BV2846" s="158"/>
      <c r="BY2846" s="158"/>
      <c r="CB2846" s="158"/>
    </row>
    <row r="2847">
      <c r="A2847" s="222"/>
      <c r="B2847" s="221"/>
      <c r="C2847" s="222"/>
      <c r="D2847" s="222"/>
      <c r="E2847" s="222"/>
      <c r="F2847" s="222"/>
      <c r="G2847" s="222"/>
      <c r="H2847" s="222"/>
      <c r="I2847" s="222"/>
      <c r="J2847" s="223"/>
      <c r="K2847" s="223"/>
      <c r="L2847" s="222"/>
      <c r="M2847" s="222"/>
      <c r="N2847" s="222"/>
      <c r="O2847" s="222"/>
      <c r="P2847" s="222"/>
      <c r="Q2847" s="222"/>
      <c r="R2847" s="271"/>
      <c r="S2847" s="11"/>
      <c r="T2847" s="11"/>
      <c r="U2847" s="11"/>
      <c r="AW2847" s="234"/>
      <c r="BP2847" s="11"/>
      <c r="BQ2847" s="11"/>
      <c r="BV2847" s="158"/>
      <c r="BY2847" s="158"/>
      <c r="CB2847" s="158"/>
    </row>
    <row r="2848">
      <c r="A2848" s="222"/>
      <c r="B2848" s="221"/>
      <c r="C2848" s="222"/>
      <c r="D2848" s="222"/>
      <c r="E2848" s="222"/>
      <c r="F2848" s="222"/>
      <c r="G2848" s="222"/>
      <c r="H2848" s="222"/>
      <c r="I2848" s="222"/>
      <c r="J2848" s="223"/>
      <c r="K2848" s="223"/>
      <c r="L2848" s="222"/>
      <c r="M2848" s="222"/>
      <c r="N2848" s="222"/>
      <c r="O2848" s="222"/>
      <c r="P2848" s="222"/>
      <c r="Q2848" s="222"/>
      <c r="R2848" s="271"/>
      <c r="S2848" s="11"/>
      <c r="T2848" s="11"/>
      <c r="U2848" s="11"/>
      <c r="AW2848" s="234"/>
      <c r="BP2848" s="11"/>
      <c r="BQ2848" s="11"/>
      <c r="BV2848" s="158"/>
      <c r="BY2848" s="158"/>
      <c r="CB2848" s="158"/>
    </row>
    <row r="2849">
      <c r="A2849" s="222"/>
      <c r="B2849" s="221"/>
      <c r="C2849" s="222"/>
      <c r="D2849" s="222"/>
      <c r="E2849" s="222"/>
      <c r="F2849" s="222"/>
      <c r="G2849" s="222"/>
      <c r="H2849" s="222"/>
      <c r="I2849" s="222"/>
      <c r="J2849" s="223"/>
      <c r="K2849" s="223"/>
      <c r="L2849" s="222"/>
      <c r="M2849" s="222"/>
      <c r="N2849" s="222"/>
      <c r="O2849" s="222"/>
      <c r="P2849" s="222"/>
      <c r="Q2849" s="222"/>
      <c r="R2849" s="271"/>
      <c r="S2849" s="11"/>
      <c r="T2849" s="11"/>
      <c r="U2849" s="11"/>
      <c r="AW2849" s="234"/>
      <c r="BP2849" s="11"/>
      <c r="BQ2849" s="11"/>
      <c r="BV2849" s="158"/>
      <c r="BY2849" s="158"/>
      <c r="CB2849" s="158"/>
    </row>
    <row r="2850">
      <c r="A2850" s="222"/>
      <c r="B2850" s="221"/>
      <c r="C2850" s="222"/>
      <c r="D2850" s="222"/>
      <c r="E2850" s="222"/>
      <c r="F2850" s="222"/>
      <c r="G2850" s="222"/>
      <c r="H2850" s="222"/>
      <c r="I2850" s="222"/>
      <c r="J2850" s="223"/>
      <c r="K2850" s="223"/>
      <c r="L2850" s="222"/>
      <c r="M2850" s="222"/>
      <c r="N2850" s="222"/>
      <c r="O2850" s="222"/>
      <c r="P2850" s="222"/>
      <c r="Q2850" s="222"/>
      <c r="R2850" s="271"/>
      <c r="S2850" s="11"/>
      <c r="T2850" s="11"/>
      <c r="U2850" s="11"/>
      <c r="AW2850" s="234"/>
      <c r="BP2850" s="11"/>
      <c r="BQ2850" s="11"/>
      <c r="BV2850" s="158"/>
      <c r="BY2850" s="158"/>
      <c r="CB2850" s="158"/>
    </row>
    <row r="2851">
      <c r="A2851" s="222"/>
      <c r="B2851" s="221"/>
      <c r="C2851" s="222"/>
      <c r="D2851" s="222"/>
      <c r="E2851" s="222"/>
      <c r="F2851" s="222"/>
      <c r="G2851" s="222"/>
      <c r="H2851" s="222"/>
      <c r="I2851" s="222"/>
      <c r="J2851" s="223"/>
      <c r="K2851" s="223"/>
      <c r="L2851" s="222"/>
      <c r="M2851" s="222"/>
      <c r="N2851" s="222"/>
      <c r="O2851" s="222"/>
      <c r="P2851" s="222"/>
      <c r="Q2851" s="222"/>
      <c r="R2851" s="271"/>
      <c r="S2851" s="11"/>
      <c r="T2851" s="11"/>
      <c r="U2851" s="11"/>
      <c r="AW2851" s="234"/>
      <c r="BP2851" s="11"/>
      <c r="BQ2851" s="11"/>
      <c r="BV2851" s="158"/>
      <c r="BY2851" s="158"/>
      <c r="CB2851" s="158"/>
    </row>
    <row r="2852">
      <c r="A2852" s="222"/>
      <c r="B2852" s="221"/>
      <c r="C2852" s="222"/>
      <c r="D2852" s="222"/>
      <c r="E2852" s="222"/>
      <c r="F2852" s="222"/>
      <c r="G2852" s="222"/>
      <c r="H2852" s="222"/>
      <c r="I2852" s="222"/>
      <c r="J2852" s="223"/>
      <c r="K2852" s="223"/>
      <c r="L2852" s="222"/>
      <c r="M2852" s="222"/>
      <c r="N2852" s="222"/>
      <c r="O2852" s="222"/>
      <c r="P2852" s="222"/>
      <c r="Q2852" s="222"/>
      <c r="R2852" s="271"/>
      <c r="S2852" s="11"/>
      <c r="T2852" s="11"/>
      <c r="U2852" s="11"/>
      <c r="AW2852" s="234"/>
      <c r="BP2852" s="11"/>
      <c r="BQ2852" s="11"/>
      <c r="BV2852" s="158"/>
      <c r="BY2852" s="158"/>
      <c r="CB2852" s="158"/>
    </row>
    <row r="2853">
      <c r="A2853" s="222"/>
      <c r="B2853" s="221"/>
      <c r="C2853" s="222"/>
      <c r="D2853" s="222"/>
      <c r="E2853" s="222"/>
      <c r="F2853" s="222"/>
      <c r="G2853" s="222"/>
      <c r="H2853" s="222"/>
      <c r="I2853" s="222"/>
      <c r="J2853" s="223"/>
      <c r="K2853" s="223"/>
      <c r="L2853" s="222"/>
      <c r="M2853" s="222"/>
      <c r="N2853" s="222"/>
      <c r="O2853" s="222"/>
      <c r="P2853" s="222"/>
      <c r="Q2853" s="222"/>
      <c r="R2853" s="271"/>
      <c r="S2853" s="11"/>
      <c r="T2853" s="11"/>
      <c r="U2853" s="11"/>
      <c r="AW2853" s="234"/>
      <c r="BP2853" s="11"/>
      <c r="BQ2853" s="11"/>
      <c r="BV2853" s="158"/>
      <c r="BY2853" s="158"/>
      <c r="CB2853" s="158"/>
    </row>
    <row r="2854">
      <c r="A2854" s="222"/>
      <c r="B2854" s="221"/>
      <c r="C2854" s="222"/>
      <c r="D2854" s="222"/>
      <c r="E2854" s="222"/>
      <c r="F2854" s="222"/>
      <c r="G2854" s="222"/>
      <c r="H2854" s="222"/>
      <c r="I2854" s="222"/>
      <c r="J2854" s="223"/>
      <c r="K2854" s="223"/>
      <c r="L2854" s="222"/>
      <c r="M2854" s="222"/>
      <c r="N2854" s="222"/>
      <c r="O2854" s="222"/>
      <c r="P2854" s="222"/>
      <c r="Q2854" s="222"/>
      <c r="R2854" s="271"/>
      <c r="S2854" s="11"/>
      <c r="T2854" s="11"/>
      <c r="U2854" s="11"/>
      <c r="AW2854" s="234"/>
      <c r="BP2854" s="11"/>
      <c r="BQ2854" s="11"/>
      <c r="BV2854" s="158"/>
      <c r="BY2854" s="158"/>
      <c r="CB2854" s="158"/>
    </row>
    <row r="2855">
      <c r="A2855" s="222"/>
      <c r="B2855" s="221"/>
      <c r="C2855" s="222"/>
      <c r="D2855" s="222"/>
      <c r="E2855" s="222"/>
      <c r="F2855" s="222"/>
      <c r="G2855" s="222"/>
      <c r="H2855" s="222"/>
      <c r="I2855" s="222"/>
      <c r="J2855" s="223"/>
      <c r="K2855" s="223"/>
      <c r="L2855" s="222"/>
      <c r="M2855" s="222"/>
      <c r="N2855" s="222"/>
      <c r="O2855" s="222"/>
      <c r="P2855" s="222"/>
      <c r="Q2855" s="222"/>
      <c r="R2855" s="271"/>
      <c r="S2855" s="11"/>
      <c r="T2855" s="11"/>
      <c r="U2855" s="11"/>
      <c r="AW2855" s="234"/>
      <c r="BP2855" s="11"/>
      <c r="BQ2855" s="11"/>
      <c r="BV2855" s="158"/>
      <c r="BY2855" s="158"/>
      <c r="CB2855" s="158"/>
    </row>
    <row r="2856">
      <c r="A2856" s="222"/>
      <c r="B2856" s="221"/>
      <c r="C2856" s="222"/>
      <c r="D2856" s="222"/>
      <c r="E2856" s="222"/>
      <c r="F2856" s="222"/>
      <c r="G2856" s="222"/>
      <c r="H2856" s="222"/>
      <c r="I2856" s="222"/>
      <c r="J2856" s="223"/>
      <c r="K2856" s="223"/>
      <c r="L2856" s="222"/>
      <c r="M2856" s="222"/>
      <c r="N2856" s="222"/>
      <c r="O2856" s="222"/>
      <c r="P2856" s="222"/>
      <c r="Q2856" s="222"/>
      <c r="R2856" s="271"/>
      <c r="S2856" s="11"/>
      <c r="T2856" s="11"/>
      <c r="U2856" s="11"/>
      <c r="AW2856" s="234"/>
      <c r="BP2856" s="11"/>
      <c r="BQ2856" s="11"/>
      <c r="BV2856" s="158"/>
      <c r="BY2856" s="158"/>
      <c r="CB2856" s="158"/>
    </row>
    <row r="2857">
      <c r="A2857" s="222"/>
      <c r="B2857" s="221"/>
      <c r="C2857" s="222"/>
      <c r="D2857" s="222"/>
      <c r="E2857" s="222"/>
      <c r="F2857" s="222"/>
      <c r="G2857" s="222"/>
      <c r="H2857" s="222"/>
      <c r="I2857" s="222"/>
      <c r="J2857" s="223"/>
      <c r="K2857" s="223"/>
      <c r="L2857" s="222"/>
      <c r="M2857" s="222"/>
      <c r="N2857" s="222"/>
      <c r="O2857" s="222"/>
      <c r="P2857" s="222"/>
      <c r="Q2857" s="222"/>
      <c r="R2857" s="271"/>
      <c r="S2857" s="11"/>
      <c r="T2857" s="11"/>
      <c r="U2857" s="11"/>
      <c r="AW2857" s="234"/>
      <c r="BP2857" s="11"/>
      <c r="BQ2857" s="11"/>
      <c r="BV2857" s="158"/>
      <c r="BY2857" s="158"/>
      <c r="CB2857" s="158"/>
    </row>
    <row r="2858">
      <c r="A2858" s="222"/>
      <c r="B2858" s="221"/>
      <c r="C2858" s="222"/>
      <c r="D2858" s="222"/>
      <c r="E2858" s="222"/>
      <c r="F2858" s="222"/>
      <c r="G2858" s="222"/>
      <c r="H2858" s="222"/>
      <c r="I2858" s="222"/>
      <c r="J2858" s="223"/>
      <c r="K2858" s="223"/>
      <c r="L2858" s="222"/>
      <c r="M2858" s="222"/>
      <c r="N2858" s="222"/>
      <c r="O2858" s="222"/>
      <c r="P2858" s="222"/>
      <c r="Q2858" s="222"/>
      <c r="R2858" s="271"/>
      <c r="S2858" s="11"/>
      <c r="T2858" s="11"/>
      <c r="U2858" s="11"/>
      <c r="AW2858" s="234"/>
      <c r="BP2858" s="11"/>
      <c r="BQ2858" s="11"/>
      <c r="BV2858" s="158"/>
      <c r="BY2858" s="158"/>
      <c r="CB2858" s="158"/>
    </row>
    <row r="2859">
      <c r="A2859" s="222"/>
      <c r="B2859" s="221"/>
      <c r="C2859" s="222"/>
      <c r="D2859" s="222"/>
      <c r="E2859" s="222"/>
      <c r="F2859" s="222"/>
      <c r="G2859" s="222"/>
      <c r="H2859" s="222"/>
      <c r="I2859" s="222"/>
      <c r="J2859" s="223"/>
      <c r="K2859" s="223"/>
      <c r="L2859" s="222"/>
      <c r="M2859" s="222"/>
      <c r="N2859" s="222"/>
      <c r="O2859" s="222"/>
      <c r="P2859" s="222"/>
      <c r="Q2859" s="222"/>
      <c r="R2859" s="271"/>
      <c r="S2859" s="11"/>
      <c r="T2859" s="11"/>
      <c r="U2859" s="11"/>
      <c r="AW2859" s="234"/>
      <c r="BP2859" s="11"/>
      <c r="BQ2859" s="11"/>
      <c r="BV2859" s="158"/>
      <c r="BY2859" s="158"/>
      <c r="CB2859" s="158"/>
    </row>
    <row r="2860">
      <c r="A2860" s="222"/>
      <c r="B2860" s="221"/>
      <c r="C2860" s="222"/>
      <c r="D2860" s="222"/>
      <c r="E2860" s="222"/>
      <c r="F2860" s="222"/>
      <c r="G2860" s="222"/>
      <c r="H2860" s="222"/>
      <c r="I2860" s="222"/>
      <c r="J2860" s="223"/>
      <c r="K2860" s="223"/>
      <c r="L2860" s="222"/>
      <c r="M2860" s="222"/>
      <c r="N2860" s="222"/>
      <c r="O2860" s="222"/>
      <c r="P2860" s="222"/>
      <c r="Q2860" s="222"/>
      <c r="R2860" s="271"/>
      <c r="S2860" s="11"/>
      <c r="T2860" s="11"/>
      <c r="U2860" s="11"/>
      <c r="AW2860" s="234"/>
      <c r="BP2860" s="11"/>
      <c r="BQ2860" s="11"/>
      <c r="BV2860" s="158"/>
      <c r="BY2860" s="158"/>
      <c r="CB2860" s="158"/>
    </row>
    <row r="2861">
      <c r="A2861" s="222"/>
      <c r="B2861" s="221"/>
      <c r="C2861" s="222"/>
      <c r="D2861" s="222"/>
      <c r="E2861" s="222"/>
      <c r="F2861" s="222"/>
      <c r="G2861" s="222"/>
      <c r="H2861" s="222"/>
      <c r="I2861" s="222"/>
      <c r="J2861" s="223"/>
      <c r="K2861" s="223"/>
      <c r="L2861" s="222"/>
      <c r="M2861" s="222"/>
      <c r="N2861" s="222"/>
      <c r="O2861" s="222"/>
      <c r="P2861" s="222"/>
      <c r="Q2861" s="222"/>
      <c r="R2861" s="271"/>
      <c r="S2861" s="11"/>
      <c r="T2861" s="11"/>
      <c r="U2861" s="11"/>
      <c r="AW2861" s="234"/>
      <c r="BP2861" s="11"/>
      <c r="BQ2861" s="11"/>
      <c r="BV2861" s="158"/>
      <c r="BY2861" s="158"/>
      <c r="CB2861" s="158"/>
    </row>
    <row r="2862">
      <c r="A2862" s="222"/>
      <c r="B2862" s="221"/>
      <c r="C2862" s="222"/>
      <c r="D2862" s="222"/>
      <c r="E2862" s="222"/>
      <c r="F2862" s="222"/>
      <c r="G2862" s="222"/>
      <c r="H2862" s="222"/>
      <c r="I2862" s="222"/>
      <c r="J2862" s="223"/>
      <c r="K2862" s="223"/>
      <c r="L2862" s="222"/>
      <c r="M2862" s="222"/>
      <c r="N2862" s="222"/>
      <c r="O2862" s="222"/>
      <c r="P2862" s="222"/>
      <c r="Q2862" s="222"/>
      <c r="R2862" s="271"/>
      <c r="S2862" s="11"/>
      <c r="T2862" s="11"/>
      <c r="U2862" s="11"/>
      <c r="AW2862" s="234"/>
      <c r="BP2862" s="11"/>
      <c r="BQ2862" s="11"/>
      <c r="BV2862" s="158"/>
      <c r="BY2862" s="158"/>
      <c r="CB2862" s="158"/>
    </row>
    <row r="2863">
      <c r="A2863" s="222"/>
      <c r="B2863" s="221"/>
      <c r="C2863" s="222"/>
      <c r="D2863" s="222"/>
      <c r="E2863" s="222"/>
      <c r="F2863" s="222"/>
      <c r="G2863" s="222"/>
      <c r="H2863" s="222"/>
      <c r="I2863" s="222"/>
      <c r="J2863" s="223"/>
      <c r="K2863" s="223"/>
      <c r="L2863" s="222"/>
      <c r="M2863" s="222"/>
      <c r="N2863" s="222"/>
      <c r="O2863" s="222"/>
      <c r="P2863" s="222"/>
      <c r="Q2863" s="222"/>
      <c r="R2863" s="271"/>
      <c r="S2863" s="11"/>
      <c r="T2863" s="11"/>
      <c r="U2863" s="11"/>
      <c r="AW2863" s="234"/>
      <c r="BP2863" s="11"/>
      <c r="BQ2863" s="11"/>
      <c r="BV2863" s="158"/>
      <c r="BY2863" s="158"/>
      <c r="CB2863" s="158"/>
    </row>
    <row r="2864">
      <c r="A2864" s="222"/>
      <c r="B2864" s="221"/>
      <c r="C2864" s="222"/>
      <c r="D2864" s="222"/>
      <c r="E2864" s="222"/>
      <c r="F2864" s="222"/>
      <c r="G2864" s="222"/>
      <c r="H2864" s="222"/>
      <c r="I2864" s="222"/>
      <c r="J2864" s="223"/>
      <c r="K2864" s="223"/>
      <c r="L2864" s="222"/>
      <c r="M2864" s="222"/>
      <c r="N2864" s="222"/>
      <c r="O2864" s="222"/>
      <c r="P2864" s="222"/>
      <c r="Q2864" s="222"/>
      <c r="R2864" s="271"/>
      <c r="S2864" s="11"/>
      <c r="T2864" s="11"/>
      <c r="U2864" s="11"/>
      <c r="AW2864" s="234"/>
      <c r="BP2864" s="11"/>
      <c r="BQ2864" s="11"/>
      <c r="BV2864" s="158"/>
      <c r="BY2864" s="158"/>
      <c r="CB2864" s="158"/>
    </row>
    <row r="2865">
      <c r="A2865" s="222"/>
      <c r="B2865" s="221"/>
      <c r="C2865" s="222"/>
      <c r="D2865" s="222"/>
      <c r="E2865" s="222"/>
      <c r="F2865" s="222"/>
      <c r="G2865" s="222"/>
      <c r="H2865" s="222"/>
      <c r="I2865" s="222"/>
      <c r="J2865" s="223"/>
      <c r="K2865" s="223"/>
      <c r="L2865" s="222"/>
      <c r="M2865" s="222"/>
      <c r="N2865" s="222"/>
      <c r="O2865" s="222"/>
      <c r="P2865" s="222"/>
      <c r="Q2865" s="222"/>
      <c r="R2865" s="271"/>
      <c r="S2865" s="11"/>
      <c r="T2865" s="11"/>
      <c r="U2865" s="11"/>
      <c r="AW2865" s="234"/>
      <c r="BP2865" s="11"/>
      <c r="BQ2865" s="11"/>
      <c r="BV2865" s="158"/>
      <c r="BY2865" s="158"/>
      <c r="CB2865" s="158"/>
    </row>
    <row r="2866">
      <c r="A2866" s="222"/>
      <c r="B2866" s="221"/>
      <c r="C2866" s="222"/>
      <c r="D2866" s="222"/>
      <c r="E2866" s="222"/>
      <c r="F2866" s="222"/>
      <c r="G2866" s="222"/>
      <c r="H2866" s="222"/>
      <c r="I2866" s="222"/>
      <c r="J2866" s="223"/>
      <c r="K2866" s="223"/>
      <c r="L2866" s="222"/>
      <c r="M2866" s="222"/>
      <c r="N2866" s="222"/>
      <c r="O2866" s="222"/>
      <c r="P2866" s="222"/>
      <c r="Q2866" s="222"/>
      <c r="R2866" s="271"/>
      <c r="S2866" s="11"/>
      <c r="T2866" s="11"/>
      <c r="U2866" s="11"/>
      <c r="AW2866" s="234"/>
      <c r="BP2866" s="11"/>
      <c r="BQ2866" s="11"/>
      <c r="BV2866" s="158"/>
      <c r="BY2866" s="158"/>
      <c r="CB2866" s="158"/>
    </row>
    <row r="2867">
      <c r="A2867" s="222"/>
      <c r="B2867" s="221"/>
      <c r="C2867" s="222"/>
      <c r="D2867" s="222"/>
      <c r="E2867" s="222"/>
      <c r="F2867" s="222"/>
      <c r="G2867" s="222"/>
      <c r="H2867" s="222"/>
      <c r="I2867" s="222"/>
      <c r="J2867" s="223"/>
      <c r="K2867" s="223"/>
      <c r="L2867" s="222"/>
      <c r="M2867" s="222"/>
      <c r="N2867" s="222"/>
      <c r="O2867" s="222"/>
      <c r="P2867" s="222"/>
      <c r="Q2867" s="222"/>
      <c r="R2867" s="271"/>
      <c r="S2867" s="11"/>
      <c r="T2867" s="11"/>
      <c r="U2867" s="11"/>
      <c r="AW2867" s="234"/>
      <c r="BP2867" s="11"/>
      <c r="BQ2867" s="11"/>
      <c r="BV2867" s="158"/>
      <c r="BY2867" s="158"/>
      <c r="CB2867" s="158"/>
    </row>
    <row r="2868">
      <c r="A2868" s="222"/>
      <c r="B2868" s="221"/>
      <c r="C2868" s="222"/>
      <c r="D2868" s="222"/>
      <c r="E2868" s="222"/>
      <c r="F2868" s="222"/>
      <c r="G2868" s="222"/>
      <c r="H2868" s="222"/>
      <c r="I2868" s="222"/>
      <c r="J2868" s="223"/>
      <c r="K2868" s="223"/>
      <c r="L2868" s="222"/>
      <c r="M2868" s="222"/>
      <c r="N2868" s="222"/>
      <c r="O2868" s="222"/>
      <c r="P2868" s="222"/>
      <c r="Q2868" s="222"/>
      <c r="R2868" s="271"/>
      <c r="S2868" s="11"/>
      <c r="T2868" s="11"/>
      <c r="U2868" s="11"/>
      <c r="AW2868" s="234"/>
      <c r="BP2868" s="11"/>
      <c r="BQ2868" s="11"/>
      <c r="BV2868" s="158"/>
      <c r="BY2868" s="158"/>
      <c r="CB2868" s="158"/>
    </row>
    <row r="2869">
      <c r="A2869" s="222"/>
      <c r="B2869" s="221"/>
      <c r="C2869" s="222"/>
      <c r="D2869" s="222"/>
      <c r="E2869" s="222"/>
      <c r="F2869" s="222"/>
      <c r="G2869" s="222"/>
      <c r="H2869" s="222"/>
      <c r="I2869" s="222"/>
      <c r="J2869" s="223"/>
      <c r="K2869" s="223"/>
      <c r="L2869" s="222"/>
      <c r="M2869" s="222"/>
      <c r="N2869" s="222"/>
      <c r="O2869" s="222"/>
      <c r="P2869" s="222"/>
      <c r="Q2869" s="222"/>
      <c r="R2869" s="271"/>
      <c r="S2869" s="11"/>
      <c r="T2869" s="11"/>
      <c r="U2869" s="11"/>
      <c r="AW2869" s="234"/>
      <c r="BP2869" s="11"/>
      <c r="BQ2869" s="11"/>
      <c r="BV2869" s="158"/>
      <c r="BY2869" s="158"/>
      <c r="CB2869" s="158"/>
    </row>
    <row r="2870">
      <c r="A2870" s="222"/>
      <c r="B2870" s="221"/>
      <c r="C2870" s="222"/>
      <c r="D2870" s="222"/>
      <c r="E2870" s="222"/>
      <c r="F2870" s="222"/>
      <c r="G2870" s="222"/>
      <c r="H2870" s="222"/>
      <c r="I2870" s="222"/>
      <c r="J2870" s="223"/>
      <c r="K2870" s="223"/>
      <c r="L2870" s="222"/>
      <c r="M2870" s="222"/>
      <c r="N2870" s="222"/>
      <c r="O2870" s="222"/>
      <c r="P2870" s="222"/>
      <c r="Q2870" s="222"/>
      <c r="R2870" s="271"/>
      <c r="S2870" s="11"/>
      <c r="T2870" s="11"/>
      <c r="U2870" s="11"/>
      <c r="AW2870" s="234"/>
      <c r="BP2870" s="11"/>
      <c r="BQ2870" s="11"/>
      <c r="BV2870" s="158"/>
      <c r="BY2870" s="158"/>
      <c r="CB2870" s="158"/>
    </row>
    <row r="2871">
      <c r="A2871" s="222"/>
      <c r="B2871" s="221"/>
      <c r="C2871" s="222"/>
      <c r="D2871" s="222"/>
      <c r="E2871" s="222"/>
      <c r="F2871" s="222"/>
      <c r="G2871" s="222"/>
      <c r="H2871" s="222"/>
      <c r="I2871" s="222"/>
      <c r="J2871" s="223"/>
      <c r="K2871" s="223"/>
      <c r="L2871" s="222"/>
      <c r="M2871" s="222"/>
      <c r="N2871" s="222"/>
      <c r="O2871" s="222"/>
      <c r="P2871" s="222"/>
      <c r="Q2871" s="222"/>
      <c r="R2871" s="271"/>
      <c r="S2871" s="11"/>
      <c r="T2871" s="11"/>
      <c r="U2871" s="11"/>
      <c r="AW2871" s="234"/>
      <c r="BP2871" s="11"/>
      <c r="BQ2871" s="11"/>
      <c r="BV2871" s="158"/>
      <c r="BY2871" s="158"/>
      <c r="CB2871" s="158"/>
    </row>
    <row r="2872">
      <c r="A2872" s="222"/>
      <c r="B2872" s="221"/>
      <c r="C2872" s="222"/>
      <c r="D2872" s="222"/>
      <c r="E2872" s="222"/>
      <c r="F2872" s="222"/>
      <c r="G2872" s="222"/>
      <c r="H2872" s="222"/>
      <c r="I2872" s="222"/>
      <c r="J2872" s="223"/>
      <c r="K2872" s="223"/>
      <c r="L2872" s="222"/>
      <c r="M2872" s="222"/>
      <c r="N2872" s="222"/>
      <c r="O2872" s="222"/>
      <c r="P2872" s="222"/>
      <c r="Q2872" s="222"/>
      <c r="R2872" s="271"/>
      <c r="S2872" s="11"/>
      <c r="T2872" s="11"/>
      <c r="U2872" s="11"/>
      <c r="AW2872" s="234"/>
      <c r="BP2872" s="11"/>
      <c r="BQ2872" s="11"/>
      <c r="BV2872" s="158"/>
      <c r="BY2872" s="158"/>
      <c r="CB2872" s="158"/>
    </row>
    <row r="2873">
      <c r="A2873" s="222"/>
      <c r="B2873" s="221"/>
      <c r="C2873" s="222"/>
      <c r="D2873" s="222"/>
      <c r="E2873" s="222"/>
      <c r="F2873" s="222"/>
      <c r="G2873" s="222"/>
      <c r="H2873" s="222"/>
      <c r="I2873" s="222"/>
      <c r="J2873" s="223"/>
      <c r="K2873" s="223"/>
      <c r="L2873" s="222"/>
      <c r="M2873" s="222"/>
      <c r="N2873" s="222"/>
      <c r="O2873" s="222"/>
      <c r="P2873" s="222"/>
      <c r="Q2873" s="222"/>
      <c r="R2873" s="271"/>
      <c r="S2873" s="11"/>
      <c r="T2873" s="11"/>
      <c r="U2873" s="11"/>
      <c r="AW2873" s="234"/>
      <c r="BP2873" s="11"/>
      <c r="BQ2873" s="11"/>
      <c r="BV2873" s="158"/>
      <c r="BY2873" s="158"/>
      <c r="CB2873" s="158"/>
    </row>
    <row r="2874">
      <c r="A2874" s="222"/>
      <c r="B2874" s="221"/>
      <c r="C2874" s="222"/>
      <c r="D2874" s="222"/>
      <c r="E2874" s="222"/>
      <c r="F2874" s="222"/>
      <c r="G2874" s="222"/>
      <c r="H2874" s="222"/>
      <c r="I2874" s="222"/>
      <c r="J2874" s="223"/>
      <c r="K2874" s="223"/>
      <c r="L2874" s="222"/>
      <c r="M2874" s="222"/>
      <c r="N2874" s="222"/>
      <c r="O2874" s="222"/>
      <c r="P2874" s="222"/>
      <c r="Q2874" s="222"/>
      <c r="R2874" s="271"/>
      <c r="S2874" s="11"/>
      <c r="T2874" s="11"/>
      <c r="U2874" s="11"/>
      <c r="AW2874" s="234"/>
      <c r="BP2874" s="11"/>
      <c r="BQ2874" s="11"/>
      <c r="BV2874" s="158"/>
      <c r="BY2874" s="158"/>
      <c r="CB2874" s="158"/>
    </row>
    <row r="2875">
      <c r="A2875" s="222"/>
      <c r="B2875" s="221"/>
      <c r="C2875" s="222"/>
      <c r="D2875" s="222"/>
      <c r="E2875" s="222"/>
      <c r="F2875" s="222"/>
      <c r="G2875" s="222"/>
      <c r="H2875" s="222"/>
      <c r="I2875" s="222"/>
      <c r="J2875" s="223"/>
      <c r="K2875" s="223"/>
      <c r="L2875" s="222"/>
      <c r="M2875" s="222"/>
      <c r="N2875" s="222"/>
      <c r="O2875" s="222"/>
      <c r="P2875" s="222"/>
      <c r="Q2875" s="222"/>
      <c r="R2875" s="271"/>
      <c r="S2875" s="11"/>
      <c r="T2875" s="11"/>
      <c r="U2875" s="11"/>
      <c r="AW2875" s="234"/>
      <c r="BP2875" s="11"/>
      <c r="BQ2875" s="11"/>
      <c r="BV2875" s="158"/>
      <c r="BY2875" s="158"/>
      <c r="CB2875" s="158"/>
    </row>
    <row r="2876">
      <c r="A2876" s="222"/>
      <c r="B2876" s="221"/>
      <c r="C2876" s="222"/>
      <c r="D2876" s="222"/>
      <c r="E2876" s="222"/>
      <c r="F2876" s="222"/>
      <c r="G2876" s="222"/>
      <c r="H2876" s="222"/>
      <c r="I2876" s="222"/>
      <c r="J2876" s="223"/>
      <c r="K2876" s="223"/>
      <c r="L2876" s="222"/>
      <c r="M2876" s="222"/>
      <c r="N2876" s="222"/>
      <c r="O2876" s="222"/>
      <c r="P2876" s="222"/>
      <c r="Q2876" s="222"/>
      <c r="R2876" s="271"/>
      <c r="S2876" s="11"/>
      <c r="T2876" s="11"/>
      <c r="U2876" s="11"/>
      <c r="AW2876" s="234"/>
      <c r="BP2876" s="11"/>
      <c r="BQ2876" s="11"/>
      <c r="BV2876" s="158"/>
      <c r="BY2876" s="158"/>
      <c r="CB2876" s="158"/>
    </row>
    <row r="2877">
      <c r="A2877" s="222"/>
      <c r="B2877" s="221"/>
      <c r="C2877" s="222"/>
      <c r="D2877" s="222"/>
      <c r="E2877" s="222"/>
      <c r="F2877" s="222"/>
      <c r="G2877" s="222"/>
      <c r="H2877" s="222"/>
      <c r="I2877" s="222"/>
      <c r="J2877" s="223"/>
      <c r="K2877" s="223"/>
      <c r="L2877" s="222"/>
      <c r="M2877" s="222"/>
      <c r="N2877" s="222"/>
      <c r="O2877" s="222"/>
      <c r="P2877" s="222"/>
      <c r="Q2877" s="222"/>
      <c r="R2877" s="271"/>
      <c r="S2877" s="11"/>
      <c r="T2877" s="11"/>
      <c r="U2877" s="11"/>
      <c r="AW2877" s="234"/>
      <c r="BP2877" s="11"/>
      <c r="BQ2877" s="11"/>
      <c r="BV2877" s="158"/>
      <c r="BY2877" s="158"/>
      <c r="CB2877" s="158"/>
    </row>
    <row r="2878">
      <c r="A2878" s="222"/>
      <c r="B2878" s="221"/>
      <c r="C2878" s="222"/>
      <c r="D2878" s="222"/>
      <c r="E2878" s="222"/>
      <c r="F2878" s="222"/>
      <c r="G2878" s="222"/>
      <c r="H2878" s="222"/>
      <c r="I2878" s="222"/>
      <c r="J2878" s="223"/>
      <c r="K2878" s="223"/>
      <c r="L2878" s="222"/>
      <c r="M2878" s="222"/>
      <c r="N2878" s="222"/>
      <c r="O2878" s="222"/>
      <c r="P2878" s="222"/>
      <c r="Q2878" s="222"/>
      <c r="R2878" s="271"/>
      <c r="S2878" s="11"/>
      <c r="T2878" s="11"/>
      <c r="U2878" s="11"/>
      <c r="AW2878" s="234"/>
      <c r="BP2878" s="11"/>
      <c r="BQ2878" s="11"/>
      <c r="BV2878" s="158"/>
      <c r="BY2878" s="158"/>
      <c r="CB2878" s="158"/>
    </row>
    <row r="2879">
      <c r="A2879" s="222"/>
      <c r="B2879" s="221"/>
      <c r="C2879" s="222"/>
      <c r="D2879" s="222"/>
      <c r="E2879" s="222"/>
      <c r="F2879" s="222"/>
      <c r="G2879" s="222"/>
      <c r="H2879" s="222"/>
      <c r="I2879" s="222"/>
      <c r="J2879" s="223"/>
      <c r="K2879" s="223"/>
      <c r="L2879" s="222"/>
      <c r="M2879" s="222"/>
      <c r="N2879" s="222"/>
      <c r="O2879" s="222"/>
      <c r="P2879" s="222"/>
      <c r="Q2879" s="222"/>
      <c r="R2879" s="271"/>
      <c r="S2879" s="11"/>
      <c r="T2879" s="11"/>
      <c r="U2879" s="11"/>
      <c r="AW2879" s="234"/>
      <c r="BP2879" s="11"/>
      <c r="BQ2879" s="11"/>
      <c r="BV2879" s="158"/>
      <c r="BY2879" s="158"/>
      <c r="CB2879" s="158"/>
    </row>
    <row r="2880">
      <c r="A2880" s="222"/>
      <c r="B2880" s="221"/>
      <c r="C2880" s="222"/>
      <c r="D2880" s="222"/>
      <c r="E2880" s="222"/>
      <c r="F2880" s="222"/>
      <c r="G2880" s="222"/>
      <c r="H2880" s="222"/>
      <c r="I2880" s="222"/>
      <c r="J2880" s="223"/>
      <c r="K2880" s="223"/>
      <c r="L2880" s="222"/>
      <c r="M2880" s="222"/>
      <c r="N2880" s="222"/>
      <c r="O2880" s="222"/>
      <c r="P2880" s="222"/>
      <c r="Q2880" s="222"/>
      <c r="R2880" s="271"/>
      <c r="S2880" s="11"/>
      <c r="T2880" s="11"/>
      <c r="U2880" s="11"/>
      <c r="AW2880" s="234"/>
      <c r="BP2880" s="11"/>
      <c r="BQ2880" s="11"/>
      <c r="BV2880" s="158"/>
      <c r="BY2880" s="158"/>
      <c r="CB2880" s="158"/>
    </row>
    <row r="2881">
      <c r="A2881" s="222"/>
      <c r="B2881" s="221"/>
      <c r="C2881" s="222"/>
      <c r="D2881" s="222"/>
      <c r="E2881" s="222"/>
      <c r="F2881" s="222"/>
      <c r="G2881" s="222"/>
      <c r="H2881" s="222"/>
      <c r="I2881" s="222"/>
      <c r="J2881" s="223"/>
      <c r="K2881" s="223"/>
      <c r="L2881" s="222"/>
      <c r="M2881" s="222"/>
      <c r="N2881" s="222"/>
      <c r="O2881" s="222"/>
      <c r="P2881" s="222"/>
      <c r="Q2881" s="222"/>
      <c r="R2881" s="271"/>
      <c r="S2881" s="11"/>
      <c r="T2881" s="11"/>
      <c r="U2881" s="11"/>
      <c r="AW2881" s="234"/>
      <c r="BP2881" s="11"/>
      <c r="BQ2881" s="11"/>
      <c r="BV2881" s="158"/>
      <c r="BY2881" s="158"/>
      <c r="CB2881" s="158"/>
    </row>
    <row r="2882">
      <c r="A2882" s="222"/>
      <c r="B2882" s="221"/>
      <c r="C2882" s="222"/>
      <c r="D2882" s="222"/>
      <c r="E2882" s="222"/>
      <c r="F2882" s="222"/>
      <c r="G2882" s="222"/>
      <c r="H2882" s="222"/>
      <c r="I2882" s="222"/>
      <c r="J2882" s="223"/>
      <c r="K2882" s="223"/>
      <c r="L2882" s="222"/>
      <c r="M2882" s="222"/>
      <c r="N2882" s="222"/>
      <c r="O2882" s="222"/>
      <c r="P2882" s="222"/>
      <c r="Q2882" s="222"/>
      <c r="R2882" s="271"/>
      <c r="S2882" s="11"/>
      <c r="T2882" s="11"/>
      <c r="U2882" s="11"/>
      <c r="AW2882" s="234"/>
      <c r="BP2882" s="11"/>
      <c r="BQ2882" s="11"/>
      <c r="BV2882" s="158"/>
      <c r="BY2882" s="158"/>
      <c r="CB2882" s="158"/>
    </row>
    <row r="2883">
      <c r="A2883" s="222"/>
      <c r="B2883" s="221"/>
      <c r="C2883" s="222"/>
      <c r="D2883" s="222"/>
      <c r="E2883" s="222"/>
      <c r="F2883" s="222"/>
      <c r="G2883" s="222"/>
      <c r="H2883" s="222"/>
      <c r="I2883" s="222"/>
      <c r="J2883" s="223"/>
      <c r="K2883" s="223"/>
      <c r="L2883" s="222"/>
      <c r="M2883" s="222"/>
      <c r="N2883" s="222"/>
      <c r="O2883" s="222"/>
      <c r="P2883" s="222"/>
      <c r="Q2883" s="222"/>
      <c r="R2883" s="271"/>
      <c r="S2883" s="11"/>
      <c r="T2883" s="11"/>
      <c r="U2883" s="11"/>
      <c r="AW2883" s="234"/>
      <c r="BP2883" s="11"/>
      <c r="BQ2883" s="11"/>
      <c r="BV2883" s="158"/>
      <c r="BY2883" s="158"/>
      <c r="CB2883" s="158"/>
    </row>
    <row r="2884">
      <c r="A2884" s="222"/>
      <c r="B2884" s="221"/>
      <c r="C2884" s="222"/>
      <c r="D2884" s="222"/>
      <c r="E2884" s="222"/>
      <c r="F2884" s="222"/>
      <c r="G2884" s="222"/>
      <c r="H2884" s="222"/>
      <c r="I2884" s="222"/>
      <c r="J2884" s="223"/>
      <c r="K2884" s="223"/>
      <c r="L2884" s="222"/>
      <c r="M2884" s="222"/>
      <c r="N2884" s="222"/>
      <c r="O2884" s="222"/>
      <c r="P2884" s="222"/>
      <c r="Q2884" s="222"/>
      <c r="R2884" s="271"/>
      <c r="S2884" s="11"/>
      <c r="T2884" s="11"/>
      <c r="U2884" s="11"/>
      <c r="AW2884" s="234"/>
      <c r="BP2884" s="11"/>
      <c r="BQ2884" s="11"/>
      <c r="BV2884" s="158"/>
      <c r="BY2884" s="158"/>
      <c r="CB2884" s="158"/>
    </row>
    <row r="2885">
      <c r="A2885" s="222"/>
      <c r="B2885" s="221"/>
      <c r="C2885" s="222"/>
      <c r="D2885" s="222"/>
      <c r="E2885" s="222"/>
      <c r="F2885" s="222"/>
      <c r="G2885" s="222"/>
      <c r="H2885" s="222"/>
      <c r="I2885" s="222"/>
      <c r="J2885" s="223"/>
      <c r="K2885" s="223"/>
      <c r="L2885" s="222"/>
      <c r="M2885" s="222"/>
      <c r="N2885" s="222"/>
      <c r="O2885" s="222"/>
      <c r="P2885" s="222"/>
      <c r="Q2885" s="222"/>
      <c r="R2885" s="271"/>
      <c r="S2885" s="11"/>
      <c r="T2885" s="11"/>
      <c r="U2885" s="11"/>
      <c r="AW2885" s="234"/>
      <c r="BP2885" s="11"/>
      <c r="BQ2885" s="11"/>
      <c r="BV2885" s="158"/>
      <c r="BY2885" s="158"/>
      <c r="CB2885" s="158"/>
    </row>
    <row r="2886">
      <c r="A2886" s="222"/>
      <c r="B2886" s="221"/>
      <c r="C2886" s="222"/>
      <c r="D2886" s="222"/>
      <c r="E2886" s="222"/>
      <c r="F2886" s="222"/>
      <c r="G2886" s="222"/>
      <c r="H2886" s="222"/>
      <c r="I2886" s="222"/>
      <c r="J2886" s="223"/>
      <c r="K2886" s="223"/>
      <c r="L2886" s="222"/>
      <c r="M2886" s="222"/>
      <c r="N2886" s="222"/>
      <c r="O2886" s="222"/>
      <c r="P2886" s="222"/>
      <c r="Q2886" s="222"/>
      <c r="R2886" s="271"/>
      <c r="S2886" s="11"/>
      <c r="T2886" s="11"/>
      <c r="U2886" s="11"/>
      <c r="AW2886" s="234"/>
      <c r="BP2886" s="11"/>
      <c r="BQ2886" s="11"/>
      <c r="BV2886" s="158"/>
      <c r="BY2886" s="158"/>
      <c r="CB2886" s="158"/>
    </row>
    <row r="2887">
      <c r="A2887" s="222"/>
      <c r="B2887" s="221"/>
      <c r="C2887" s="222"/>
      <c r="D2887" s="222"/>
      <c r="E2887" s="222"/>
      <c r="F2887" s="222"/>
      <c r="G2887" s="222"/>
      <c r="H2887" s="222"/>
      <c r="I2887" s="222"/>
      <c r="J2887" s="223"/>
      <c r="K2887" s="223"/>
      <c r="L2887" s="222"/>
      <c r="M2887" s="222"/>
      <c r="N2887" s="222"/>
      <c r="O2887" s="222"/>
      <c r="P2887" s="222"/>
      <c r="Q2887" s="222"/>
      <c r="R2887" s="271"/>
      <c r="S2887" s="11"/>
      <c r="T2887" s="11"/>
      <c r="U2887" s="11"/>
      <c r="AW2887" s="234"/>
      <c r="BP2887" s="11"/>
      <c r="BQ2887" s="11"/>
      <c r="BV2887" s="158"/>
      <c r="BY2887" s="158"/>
      <c r="CB2887" s="158"/>
    </row>
    <row r="2888">
      <c r="A2888" s="222"/>
      <c r="B2888" s="221"/>
      <c r="C2888" s="222"/>
      <c r="D2888" s="222"/>
      <c r="E2888" s="222"/>
      <c r="F2888" s="222"/>
      <c r="G2888" s="222"/>
      <c r="H2888" s="222"/>
      <c r="I2888" s="222"/>
      <c r="J2888" s="223"/>
      <c r="K2888" s="223"/>
      <c r="L2888" s="222"/>
      <c r="M2888" s="222"/>
      <c r="N2888" s="222"/>
      <c r="O2888" s="222"/>
      <c r="P2888" s="222"/>
      <c r="Q2888" s="222"/>
      <c r="R2888" s="271"/>
      <c r="S2888" s="11"/>
      <c r="T2888" s="11"/>
      <c r="U2888" s="11"/>
      <c r="AW2888" s="234"/>
      <c r="BP2888" s="11"/>
      <c r="BQ2888" s="11"/>
      <c r="BV2888" s="158"/>
      <c r="BY2888" s="158"/>
      <c r="CB2888" s="158"/>
    </row>
    <row r="2889">
      <c r="A2889" s="222"/>
      <c r="B2889" s="221"/>
      <c r="C2889" s="222"/>
      <c r="D2889" s="222"/>
      <c r="E2889" s="222"/>
      <c r="F2889" s="222"/>
      <c r="G2889" s="222"/>
      <c r="H2889" s="222"/>
      <c r="I2889" s="222"/>
      <c r="J2889" s="223"/>
      <c r="K2889" s="223"/>
      <c r="L2889" s="222"/>
      <c r="M2889" s="222"/>
      <c r="N2889" s="222"/>
      <c r="O2889" s="222"/>
      <c r="P2889" s="222"/>
      <c r="Q2889" s="222"/>
      <c r="R2889" s="271"/>
      <c r="S2889" s="11"/>
      <c r="T2889" s="11"/>
      <c r="U2889" s="11"/>
      <c r="AW2889" s="234"/>
      <c r="BP2889" s="11"/>
      <c r="BQ2889" s="11"/>
      <c r="BV2889" s="158"/>
      <c r="BY2889" s="158"/>
      <c r="CB2889" s="158"/>
    </row>
    <row r="2890">
      <c r="A2890" s="222"/>
      <c r="B2890" s="221"/>
      <c r="C2890" s="222"/>
      <c r="D2890" s="222"/>
      <c r="E2890" s="222"/>
      <c r="F2890" s="222"/>
      <c r="G2890" s="222"/>
      <c r="H2890" s="222"/>
      <c r="I2890" s="222"/>
      <c r="J2890" s="223"/>
      <c r="K2890" s="223"/>
      <c r="L2890" s="222"/>
      <c r="M2890" s="222"/>
      <c r="N2890" s="222"/>
      <c r="O2890" s="222"/>
      <c r="P2890" s="222"/>
      <c r="Q2890" s="222"/>
      <c r="R2890" s="271"/>
      <c r="S2890" s="11"/>
      <c r="T2890" s="11"/>
      <c r="U2890" s="11"/>
      <c r="AW2890" s="234"/>
      <c r="BP2890" s="11"/>
      <c r="BQ2890" s="11"/>
      <c r="BV2890" s="158"/>
      <c r="BY2890" s="158"/>
      <c r="CB2890" s="158"/>
    </row>
    <row r="2891">
      <c r="A2891" s="222"/>
      <c r="B2891" s="221"/>
      <c r="C2891" s="222"/>
      <c r="D2891" s="222"/>
      <c r="E2891" s="222"/>
      <c r="F2891" s="222"/>
      <c r="G2891" s="222"/>
      <c r="H2891" s="222"/>
      <c r="I2891" s="222"/>
      <c r="J2891" s="223"/>
      <c r="K2891" s="223"/>
      <c r="L2891" s="222"/>
      <c r="M2891" s="222"/>
      <c r="N2891" s="222"/>
      <c r="O2891" s="222"/>
      <c r="P2891" s="222"/>
      <c r="Q2891" s="222"/>
      <c r="R2891" s="271"/>
      <c r="S2891" s="11"/>
      <c r="T2891" s="11"/>
      <c r="U2891" s="11"/>
      <c r="AW2891" s="234"/>
      <c r="BP2891" s="11"/>
      <c r="BQ2891" s="11"/>
      <c r="BV2891" s="158"/>
      <c r="BY2891" s="158"/>
      <c r="CB2891" s="158"/>
    </row>
    <row r="2892">
      <c r="A2892" s="222"/>
      <c r="B2892" s="221"/>
      <c r="C2892" s="222"/>
      <c r="D2892" s="222"/>
      <c r="E2892" s="222"/>
      <c r="F2892" s="222"/>
      <c r="G2892" s="222"/>
      <c r="H2892" s="222"/>
      <c r="I2892" s="222"/>
      <c r="J2892" s="223"/>
      <c r="K2892" s="223"/>
      <c r="L2892" s="222"/>
      <c r="M2892" s="222"/>
      <c r="N2892" s="222"/>
      <c r="O2892" s="222"/>
      <c r="P2892" s="222"/>
      <c r="Q2892" s="222"/>
      <c r="R2892" s="271"/>
      <c r="S2892" s="11"/>
      <c r="T2892" s="11"/>
      <c r="U2892" s="11"/>
      <c r="AW2892" s="234"/>
      <c r="BP2892" s="11"/>
      <c r="BQ2892" s="11"/>
      <c r="BV2892" s="158"/>
      <c r="BY2892" s="158"/>
      <c r="CB2892" s="158"/>
    </row>
    <row r="2893">
      <c r="A2893" s="222"/>
      <c r="B2893" s="221"/>
      <c r="C2893" s="222"/>
      <c r="D2893" s="222"/>
      <c r="E2893" s="222"/>
      <c r="F2893" s="222"/>
      <c r="G2893" s="222"/>
      <c r="H2893" s="222"/>
      <c r="I2893" s="222"/>
      <c r="J2893" s="223"/>
      <c r="K2893" s="223"/>
      <c r="L2893" s="222"/>
      <c r="M2893" s="222"/>
      <c r="N2893" s="222"/>
      <c r="O2893" s="222"/>
      <c r="P2893" s="222"/>
      <c r="Q2893" s="222"/>
      <c r="R2893" s="271"/>
      <c r="S2893" s="11"/>
      <c r="T2893" s="11"/>
      <c r="U2893" s="11"/>
      <c r="AW2893" s="234"/>
      <c r="BP2893" s="11"/>
      <c r="BQ2893" s="11"/>
      <c r="BV2893" s="158"/>
      <c r="BY2893" s="158"/>
      <c r="CB2893" s="158"/>
    </row>
    <row r="2894">
      <c r="A2894" s="222"/>
      <c r="B2894" s="221"/>
      <c r="C2894" s="222"/>
      <c r="D2894" s="222"/>
      <c r="E2894" s="222"/>
      <c r="F2894" s="222"/>
      <c r="G2894" s="222"/>
      <c r="H2894" s="222"/>
      <c r="I2894" s="222"/>
      <c r="J2894" s="223"/>
      <c r="K2894" s="223"/>
      <c r="L2894" s="222"/>
      <c r="M2894" s="222"/>
      <c r="N2894" s="222"/>
      <c r="O2894" s="222"/>
      <c r="P2894" s="222"/>
      <c r="Q2894" s="222"/>
      <c r="R2894" s="271"/>
      <c r="S2894" s="11"/>
      <c r="T2894" s="11"/>
      <c r="U2894" s="11"/>
      <c r="AW2894" s="234"/>
      <c r="BP2894" s="11"/>
      <c r="BQ2894" s="11"/>
      <c r="BV2894" s="158"/>
      <c r="BY2894" s="158"/>
      <c r="CB2894" s="158"/>
    </row>
    <row r="2895">
      <c r="A2895" s="222"/>
      <c r="B2895" s="221"/>
      <c r="C2895" s="222"/>
      <c r="D2895" s="222"/>
      <c r="E2895" s="222"/>
      <c r="F2895" s="222"/>
      <c r="G2895" s="222"/>
      <c r="H2895" s="222"/>
      <c r="I2895" s="222"/>
      <c r="J2895" s="223"/>
      <c r="K2895" s="223"/>
      <c r="L2895" s="222"/>
      <c r="M2895" s="222"/>
      <c r="N2895" s="222"/>
      <c r="O2895" s="222"/>
      <c r="P2895" s="222"/>
      <c r="Q2895" s="222"/>
      <c r="R2895" s="271"/>
      <c r="S2895" s="11"/>
      <c r="T2895" s="11"/>
      <c r="U2895" s="11"/>
      <c r="AW2895" s="234"/>
      <c r="BP2895" s="11"/>
      <c r="BQ2895" s="11"/>
      <c r="BV2895" s="158"/>
      <c r="BY2895" s="158"/>
      <c r="CB2895" s="158"/>
    </row>
    <row r="2896">
      <c r="A2896" s="222"/>
      <c r="B2896" s="221"/>
      <c r="C2896" s="222"/>
      <c r="D2896" s="222"/>
      <c r="E2896" s="222"/>
      <c r="F2896" s="222"/>
      <c r="G2896" s="222"/>
      <c r="H2896" s="222"/>
      <c r="I2896" s="222"/>
      <c r="J2896" s="223"/>
      <c r="K2896" s="223"/>
      <c r="L2896" s="222"/>
      <c r="M2896" s="222"/>
      <c r="N2896" s="222"/>
      <c r="O2896" s="222"/>
      <c r="P2896" s="222"/>
      <c r="Q2896" s="222"/>
      <c r="R2896" s="271"/>
      <c r="S2896" s="11"/>
      <c r="T2896" s="11"/>
      <c r="U2896" s="11"/>
      <c r="AW2896" s="234"/>
      <c r="BP2896" s="11"/>
      <c r="BQ2896" s="11"/>
      <c r="BV2896" s="158"/>
      <c r="BY2896" s="158"/>
      <c r="CB2896" s="158"/>
    </row>
    <row r="2897">
      <c r="A2897" s="222"/>
      <c r="B2897" s="221"/>
      <c r="C2897" s="222"/>
      <c r="D2897" s="222"/>
      <c r="E2897" s="222"/>
      <c r="F2897" s="222"/>
      <c r="G2897" s="222"/>
      <c r="H2897" s="222"/>
      <c r="I2897" s="222"/>
      <c r="J2897" s="223"/>
      <c r="K2897" s="223"/>
      <c r="L2897" s="222"/>
      <c r="M2897" s="222"/>
      <c r="N2897" s="222"/>
      <c r="O2897" s="222"/>
      <c r="P2897" s="222"/>
      <c r="Q2897" s="222"/>
      <c r="R2897" s="271"/>
      <c r="S2897" s="11"/>
      <c r="T2897" s="11"/>
      <c r="U2897" s="11"/>
      <c r="AW2897" s="234"/>
      <c r="BP2897" s="11"/>
      <c r="BQ2897" s="11"/>
      <c r="BV2897" s="158"/>
      <c r="BY2897" s="158"/>
      <c r="CB2897" s="158"/>
    </row>
    <row r="2898">
      <c r="A2898" s="222"/>
      <c r="B2898" s="221"/>
      <c r="C2898" s="222"/>
      <c r="D2898" s="222"/>
      <c r="E2898" s="222"/>
      <c r="F2898" s="222"/>
      <c r="G2898" s="222"/>
      <c r="H2898" s="222"/>
      <c r="I2898" s="222"/>
      <c r="J2898" s="223"/>
      <c r="K2898" s="223"/>
      <c r="L2898" s="222"/>
      <c r="M2898" s="222"/>
      <c r="N2898" s="222"/>
      <c r="O2898" s="222"/>
      <c r="P2898" s="222"/>
      <c r="Q2898" s="222"/>
      <c r="R2898" s="271"/>
      <c r="S2898" s="11"/>
      <c r="T2898" s="11"/>
      <c r="U2898" s="11"/>
      <c r="AW2898" s="234"/>
      <c r="BP2898" s="11"/>
      <c r="BQ2898" s="11"/>
      <c r="BV2898" s="158"/>
      <c r="BY2898" s="158"/>
      <c r="CB2898" s="158"/>
    </row>
    <row r="2899">
      <c r="A2899" s="222"/>
      <c r="B2899" s="221"/>
      <c r="C2899" s="222"/>
      <c r="D2899" s="222"/>
      <c r="E2899" s="222"/>
      <c r="F2899" s="222"/>
      <c r="G2899" s="222"/>
      <c r="H2899" s="222"/>
      <c r="I2899" s="222"/>
      <c r="J2899" s="223"/>
      <c r="K2899" s="223"/>
      <c r="L2899" s="222"/>
      <c r="M2899" s="222"/>
      <c r="N2899" s="222"/>
      <c r="O2899" s="222"/>
      <c r="P2899" s="222"/>
      <c r="Q2899" s="222"/>
      <c r="R2899" s="271"/>
      <c r="S2899" s="11"/>
      <c r="T2899" s="11"/>
      <c r="U2899" s="11"/>
      <c r="AW2899" s="234"/>
      <c r="BP2899" s="11"/>
      <c r="BQ2899" s="11"/>
      <c r="BV2899" s="158"/>
      <c r="BY2899" s="158"/>
      <c r="CB2899" s="158"/>
    </row>
    <row r="2900">
      <c r="A2900" s="222"/>
      <c r="B2900" s="221"/>
      <c r="C2900" s="222"/>
      <c r="D2900" s="222"/>
      <c r="E2900" s="222"/>
      <c r="F2900" s="222"/>
      <c r="G2900" s="222"/>
      <c r="H2900" s="222"/>
      <c r="I2900" s="222"/>
      <c r="J2900" s="223"/>
      <c r="K2900" s="223"/>
      <c r="L2900" s="222"/>
      <c r="M2900" s="222"/>
      <c r="N2900" s="222"/>
      <c r="O2900" s="222"/>
      <c r="P2900" s="222"/>
      <c r="Q2900" s="222"/>
      <c r="R2900" s="271"/>
      <c r="S2900" s="11"/>
      <c r="T2900" s="11"/>
      <c r="U2900" s="11"/>
      <c r="AW2900" s="234"/>
      <c r="BP2900" s="11"/>
      <c r="BQ2900" s="11"/>
      <c r="BV2900" s="158"/>
      <c r="BY2900" s="158"/>
      <c r="CB2900" s="158"/>
    </row>
    <row r="2901">
      <c r="A2901" s="222"/>
      <c r="B2901" s="221"/>
      <c r="C2901" s="222"/>
      <c r="D2901" s="222"/>
      <c r="E2901" s="222"/>
      <c r="F2901" s="222"/>
      <c r="G2901" s="222"/>
      <c r="H2901" s="222"/>
      <c r="I2901" s="222"/>
      <c r="J2901" s="223"/>
      <c r="K2901" s="223"/>
      <c r="L2901" s="222"/>
      <c r="M2901" s="222"/>
      <c r="N2901" s="222"/>
      <c r="O2901" s="222"/>
      <c r="P2901" s="222"/>
      <c r="Q2901" s="222"/>
      <c r="R2901" s="271"/>
      <c r="S2901" s="11"/>
      <c r="T2901" s="11"/>
      <c r="U2901" s="11"/>
      <c r="AW2901" s="234"/>
      <c r="BP2901" s="11"/>
      <c r="BQ2901" s="11"/>
      <c r="BV2901" s="158"/>
      <c r="BY2901" s="158"/>
      <c r="CB2901" s="158"/>
    </row>
    <row r="2902">
      <c r="A2902" s="222"/>
      <c r="B2902" s="221"/>
      <c r="C2902" s="222"/>
      <c r="D2902" s="222"/>
      <c r="E2902" s="222"/>
      <c r="F2902" s="222"/>
      <c r="G2902" s="222"/>
      <c r="H2902" s="222"/>
      <c r="I2902" s="222"/>
      <c r="J2902" s="223"/>
      <c r="K2902" s="223"/>
      <c r="L2902" s="222"/>
      <c r="M2902" s="222"/>
      <c r="N2902" s="222"/>
      <c r="O2902" s="222"/>
      <c r="P2902" s="222"/>
      <c r="Q2902" s="222"/>
      <c r="R2902" s="271"/>
      <c r="S2902" s="11"/>
      <c r="T2902" s="11"/>
      <c r="U2902" s="11"/>
      <c r="AW2902" s="234"/>
      <c r="BP2902" s="11"/>
      <c r="BQ2902" s="11"/>
      <c r="BV2902" s="158"/>
      <c r="BY2902" s="158"/>
      <c r="CB2902" s="158"/>
    </row>
    <row r="2903">
      <c r="A2903" s="222"/>
      <c r="B2903" s="221"/>
      <c r="C2903" s="222"/>
      <c r="D2903" s="222"/>
      <c r="E2903" s="222"/>
      <c r="F2903" s="222"/>
      <c r="G2903" s="222"/>
      <c r="H2903" s="222"/>
      <c r="I2903" s="222"/>
      <c r="J2903" s="223"/>
      <c r="K2903" s="223"/>
      <c r="L2903" s="222"/>
      <c r="M2903" s="222"/>
      <c r="N2903" s="222"/>
      <c r="O2903" s="222"/>
      <c r="P2903" s="222"/>
      <c r="Q2903" s="222"/>
      <c r="R2903" s="271"/>
      <c r="S2903" s="11"/>
      <c r="T2903" s="11"/>
      <c r="U2903" s="11"/>
      <c r="AW2903" s="234"/>
      <c r="BP2903" s="11"/>
      <c r="BQ2903" s="11"/>
      <c r="BV2903" s="158"/>
      <c r="BY2903" s="158"/>
      <c r="CB2903" s="158"/>
    </row>
    <row r="2904">
      <c r="A2904" s="222"/>
      <c r="B2904" s="221"/>
      <c r="C2904" s="222"/>
      <c r="D2904" s="222"/>
      <c r="E2904" s="222"/>
      <c r="F2904" s="222"/>
      <c r="G2904" s="222"/>
      <c r="H2904" s="222"/>
      <c r="I2904" s="222"/>
      <c r="J2904" s="223"/>
      <c r="K2904" s="223"/>
      <c r="L2904" s="222"/>
      <c r="M2904" s="222"/>
      <c r="N2904" s="222"/>
      <c r="O2904" s="222"/>
      <c r="P2904" s="222"/>
      <c r="Q2904" s="222"/>
      <c r="R2904" s="271"/>
      <c r="S2904" s="11"/>
      <c r="T2904" s="11"/>
      <c r="U2904" s="11"/>
      <c r="AW2904" s="234"/>
      <c r="BP2904" s="11"/>
      <c r="BQ2904" s="11"/>
      <c r="BV2904" s="158"/>
      <c r="BY2904" s="158"/>
      <c r="CB2904" s="158"/>
    </row>
    <row r="2905">
      <c r="A2905" s="222"/>
      <c r="B2905" s="221"/>
      <c r="C2905" s="222"/>
      <c r="D2905" s="222"/>
      <c r="E2905" s="222"/>
      <c r="F2905" s="222"/>
      <c r="G2905" s="222"/>
      <c r="H2905" s="222"/>
      <c r="I2905" s="222"/>
      <c r="J2905" s="223"/>
      <c r="K2905" s="223"/>
      <c r="L2905" s="222"/>
      <c r="M2905" s="222"/>
      <c r="N2905" s="222"/>
      <c r="O2905" s="222"/>
      <c r="P2905" s="222"/>
      <c r="Q2905" s="222"/>
      <c r="R2905" s="271"/>
      <c r="S2905" s="11"/>
      <c r="T2905" s="11"/>
      <c r="U2905" s="11"/>
      <c r="AW2905" s="234"/>
      <c r="BP2905" s="11"/>
      <c r="BQ2905" s="11"/>
      <c r="BV2905" s="158"/>
      <c r="BY2905" s="158"/>
      <c r="CB2905" s="158"/>
    </row>
    <row r="2906">
      <c r="A2906" s="222"/>
      <c r="B2906" s="221"/>
      <c r="C2906" s="222"/>
      <c r="D2906" s="222"/>
      <c r="E2906" s="222"/>
      <c r="F2906" s="222"/>
      <c r="G2906" s="222"/>
      <c r="H2906" s="222"/>
      <c r="I2906" s="222"/>
      <c r="J2906" s="223"/>
      <c r="K2906" s="223"/>
      <c r="L2906" s="222"/>
      <c r="M2906" s="222"/>
      <c r="N2906" s="222"/>
      <c r="O2906" s="222"/>
      <c r="P2906" s="222"/>
      <c r="Q2906" s="222"/>
      <c r="R2906" s="271"/>
      <c r="S2906" s="11"/>
      <c r="T2906" s="11"/>
      <c r="U2906" s="11"/>
      <c r="AW2906" s="234"/>
      <c r="BP2906" s="11"/>
      <c r="BQ2906" s="11"/>
      <c r="BV2906" s="158"/>
      <c r="BY2906" s="158"/>
      <c r="CB2906" s="158"/>
    </row>
    <row r="2907">
      <c r="A2907" s="222"/>
      <c r="B2907" s="221"/>
      <c r="C2907" s="222"/>
      <c r="D2907" s="222"/>
      <c r="E2907" s="222"/>
      <c r="F2907" s="222"/>
      <c r="G2907" s="222"/>
      <c r="H2907" s="222"/>
      <c r="I2907" s="222"/>
      <c r="J2907" s="223"/>
      <c r="K2907" s="223"/>
      <c r="L2907" s="222"/>
      <c r="M2907" s="222"/>
      <c r="N2907" s="222"/>
      <c r="O2907" s="222"/>
      <c r="P2907" s="222"/>
      <c r="Q2907" s="222"/>
      <c r="R2907" s="271"/>
      <c r="S2907" s="11"/>
      <c r="T2907" s="11"/>
      <c r="U2907" s="11"/>
      <c r="AW2907" s="234"/>
      <c r="BP2907" s="11"/>
      <c r="BQ2907" s="11"/>
      <c r="BV2907" s="158"/>
      <c r="BY2907" s="158"/>
      <c r="CB2907" s="158"/>
    </row>
    <row r="2908">
      <c r="A2908" s="222"/>
      <c r="B2908" s="221"/>
      <c r="C2908" s="222"/>
      <c r="D2908" s="222"/>
      <c r="E2908" s="222"/>
      <c r="F2908" s="222"/>
      <c r="G2908" s="222"/>
      <c r="H2908" s="222"/>
      <c r="I2908" s="222"/>
      <c r="J2908" s="223"/>
      <c r="K2908" s="223"/>
      <c r="L2908" s="222"/>
      <c r="M2908" s="222"/>
      <c r="N2908" s="222"/>
      <c r="O2908" s="222"/>
      <c r="P2908" s="222"/>
      <c r="Q2908" s="222"/>
      <c r="R2908" s="271"/>
      <c r="S2908" s="11"/>
      <c r="T2908" s="11"/>
      <c r="U2908" s="11"/>
      <c r="AW2908" s="234"/>
      <c r="BP2908" s="11"/>
      <c r="BQ2908" s="11"/>
      <c r="BV2908" s="158"/>
      <c r="BY2908" s="158"/>
      <c r="CB2908" s="158"/>
    </row>
    <row r="2909">
      <c r="A2909" s="222"/>
      <c r="B2909" s="221"/>
      <c r="C2909" s="222"/>
      <c r="D2909" s="222"/>
      <c r="E2909" s="222"/>
      <c r="F2909" s="222"/>
      <c r="G2909" s="222"/>
      <c r="H2909" s="222"/>
      <c r="I2909" s="222"/>
      <c r="J2909" s="223"/>
      <c r="K2909" s="223"/>
      <c r="L2909" s="222"/>
      <c r="M2909" s="222"/>
      <c r="N2909" s="222"/>
      <c r="O2909" s="222"/>
      <c r="P2909" s="222"/>
      <c r="Q2909" s="222"/>
      <c r="R2909" s="271"/>
      <c r="S2909" s="11"/>
      <c r="T2909" s="11"/>
      <c r="U2909" s="11"/>
      <c r="AW2909" s="234"/>
      <c r="BP2909" s="11"/>
      <c r="BQ2909" s="11"/>
      <c r="BV2909" s="158"/>
      <c r="BY2909" s="158"/>
      <c r="CB2909" s="158"/>
    </row>
    <row r="2910">
      <c r="A2910" s="222"/>
      <c r="B2910" s="221"/>
      <c r="C2910" s="222"/>
      <c r="D2910" s="222"/>
      <c r="E2910" s="222"/>
      <c r="F2910" s="222"/>
      <c r="G2910" s="222"/>
      <c r="H2910" s="222"/>
      <c r="I2910" s="222"/>
      <c r="J2910" s="223"/>
      <c r="K2910" s="223"/>
      <c r="L2910" s="222"/>
      <c r="M2910" s="222"/>
      <c r="N2910" s="222"/>
      <c r="O2910" s="222"/>
      <c r="P2910" s="222"/>
      <c r="Q2910" s="222"/>
      <c r="R2910" s="271"/>
      <c r="S2910" s="11"/>
      <c r="T2910" s="11"/>
      <c r="U2910" s="11"/>
      <c r="AW2910" s="234"/>
      <c r="BP2910" s="11"/>
      <c r="BQ2910" s="11"/>
      <c r="BV2910" s="158"/>
      <c r="BY2910" s="158"/>
      <c r="CB2910" s="158"/>
    </row>
    <row r="2911">
      <c r="A2911" s="222"/>
      <c r="B2911" s="221"/>
      <c r="C2911" s="222"/>
      <c r="D2911" s="222"/>
      <c r="E2911" s="222"/>
      <c r="F2911" s="222"/>
      <c r="G2911" s="222"/>
      <c r="H2911" s="222"/>
      <c r="I2911" s="222"/>
      <c r="J2911" s="223"/>
      <c r="K2911" s="223"/>
      <c r="L2911" s="222"/>
      <c r="M2911" s="222"/>
      <c r="N2911" s="222"/>
      <c r="O2911" s="222"/>
      <c r="P2911" s="222"/>
      <c r="Q2911" s="222"/>
      <c r="R2911" s="271"/>
      <c r="S2911" s="11"/>
      <c r="T2911" s="11"/>
      <c r="U2911" s="11"/>
      <c r="AW2911" s="234"/>
      <c r="BP2911" s="11"/>
      <c r="BQ2911" s="11"/>
      <c r="BV2911" s="158"/>
      <c r="BY2911" s="158"/>
      <c r="CB2911" s="158"/>
    </row>
    <row r="2912">
      <c r="A2912" s="222"/>
      <c r="B2912" s="221"/>
      <c r="C2912" s="222"/>
      <c r="D2912" s="222"/>
      <c r="E2912" s="222"/>
      <c r="F2912" s="222"/>
      <c r="G2912" s="222"/>
      <c r="H2912" s="222"/>
      <c r="I2912" s="222"/>
      <c r="J2912" s="223"/>
      <c r="K2912" s="223"/>
      <c r="L2912" s="222"/>
      <c r="M2912" s="222"/>
      <c r="N2912" s="222"/>
      <c r="O2912" s="222"/>
      <c r="P2912" s="222"/>
      <c r="Q2912" s="222"/>
      <c r="R2912" s="271"/>
      <c r="S2912" s="11"/>
      <c r="T2912" s="11"/>
      <c r="U2912" s="11"/>
      <c r="AW2912" s="234"/>
      <c r="BP2912" s="11"/>
      <c r="BQ2912" s="11"/>
      <c r="BV2912" s="158"/>
      <c r="BY2912" s="158"/>
      <c r="CB2912" s="158"/>
    </row>
    <row r="2913">
      <c r="A2913" s="222"/>
      <c r="B2913" s="221"/>
      <c r="C2913" s="222"/>
      <c r="D2913" s="222"/>
      <c r="E2913" s="222"/>
      <c r="F2913" s="222"/>
      <c r="G2913" s="222"/>
      <c r="H2913" s="222"/>
      <c r="I2913" s="222"/>
      <c r="J2913" s="223"/>
      <c r="K2913" s="223"/>
      <c r="L2913" s="222"/>
      <c r="M2913" s="222"/>
      <c r="N2913" s="222"/>
      <c r="O2913" s="222"/>
      <c r="P2913" s="222"/>
      <c r="Q2913" s="222"/>
      <c r="R2913" s="271"/>
      <c r="S2913" s="11"/>
      <c r="T2913" s="11"/>
      <c r="U2913" s="11"/>
      <c r="AW2913" s="234"/>
      <c r="BP2913" s="11"/>
      <c r="BQ2913" s="11"/>
      <c r="BV2913" s="158"/>
      <c r="BY2913" s="158"/>
      <c r="CB2913" s="158"/>
    </row>
    <row r="2914">
      <c r="A2914" s="222"/>
      <c r="B2914" s="221"/>
      <c r="C2914" s="222"/>
      <c r="D2914" s="222"/>
      <c r="E2914" s="222"/>
      <c r="F2914" s="222"/>
      <c r="G2914" s="222"/>
      <c r="H2914" s="222"/>
      <c r="I2914" s="222"/>
      <c r="J2914" s="223"/>
      <c r="K2914" s="223"/>
      <c r="L2914" s="222"/>
      <c r="M2914" s="222"/>
      <c r="N2914" s="222"/>
      <c r="O2914" s="222"/>
      <c r="P2914" s="222"/>
      <c r="Q2914" s="222"/>
      <c r="R2914" s="271"/>
      <c r="S2914" s="11"/>
      <c r="T2914" s="11"/>
      <c r="U2914" s="11"/>
      <c r="AW2914" s="234"/>
      <c r="BP2914" s="11"/>
      <c r="BQ2914" s="11"/>
      <c r="BV2914" s="158"/>
      <c r="BY2914" s="158"/>
      <c r="CB2914" s="158"/>
    </row>
    <row r="2915">
      <c r="A2915" s="222"/>
      <c r="B2915" s="221"/>
      <c r="C2915" s="222"/>
      <c r="D2915" s="222"/>
      <c r="E2915" s="222"/>
      <c r="F2915" s="222"/>
      <c r="G2915" s="222"/>
      <c r="H2915" s="222"/>
      <c r="I2915" s="222"/>
      <c r="J2915" s="223"/>
      <c r="K2915" s="223"/>
      <c r="L2915" s="222"/>
      <c r="M2915" s="222"/>
      <c r="N2915" s="222"/>
      <c r="O2915" s="222"/>
      <c r="P2915" s="222"/>
      <c r="Q2915" s="222"/>
      <c r="R2915" s="271"/>
      <c r="S2915" s="11"/>
      <c r="T2915" s="11"/>
      <c r="U2915" s="11"/>
      <c r="AW2915" s="234"/>
      <c r="BP2915" s="11"/>
      <c r="BQ2915" s="11"/>
      <c r="BV2915" s="158"/>
      <c r="BY2915" s="158"/>
      <c r="CB2915" s="158"/>
    </row>
    <row r="2916">
      <c r="A2916" s="222"/>
      <c r="B2916" s="221"/>
      <c r="C2916" s="222"/>
      <c r="D2916" s="222"/>
      <c r="E2916" s="222"/>
      <c r="F2916" s="222"/>
      <c r="G2916" s="222"/>
      <c r="H2916" s="222"/>
      <c r="I2916" s="222"/>
      <c r="J2916" s="223"/>
      <c r="K2916" s="223"/>
      <c r="L2916" s="222"/>
      <c r="M2916" s="222"/>
      <c r="N2916" s="222"/>
      <c r="O2916" s="222"/>
      <c r="P2916" s="222"/>
      <c r="Q2916" s="222"/>
      <c r="R2916" s="271"/>
      <c r="S2916" s="11"/>
      <c r="T2916" s="11"/>
      <c r="U2916" s="11"/>
      <c r="AW2916" s="234"/>
      <c r="BP2916" s="11"/>
      <c r="BQ2916" s="11"/>
      <c r="BV2916" s="158"/>
      <c r="BY2916" s="158"/>
      <c r="CB2916" s="158"/>
    </row>
    <row r="2917">
      <c r="A2917" s="222"/>
      <c r="B2917" s="221"/>
      <c r="C2917" s="222"/>
      <c r="D2917" s="222"/>
      <c r="E2917" s="222"/>
      <c r="F2917" s="222"/>
      <c r="G2917" s="222"/>
      <c r="H2917" s="222"/>
      <c r="I2917" s="222"/>
      <c r="J2917" s="223"/>
      <c r="K2917" s="223"/>
      <c r="L2917" s="222"/>
      <c r="M2917" s="222"/>
      <c r="N2917" s="222"/>
      <c r="O2917" s="222"/>
      <c r="P2917" s="222"/>
      <c r="Q2917" s="222"/>
      <c r="R2917" s="271"/>
      <c r="S2917" s="11"/>
      <c r="T2917" s="11"/>
      <c r="U2917" s="11"/>
      <c r="AW2917" s="234"/>
      <c r="BP2917" s="11"/>
      <c r="BQ2917" s="11"/>
      <c r="BV2917" s="158"/>
      <c r="BY2917" s="158"/>
      <c r="CB2917" s="158"/>
    </row>
    <row r="2918">
      <c r="A2918" s="222"/>
      <c r="B2918" s="221"/>
      <c r="C2918" s="222"/>
      <c r="D2918" s="222"/>
      <c r="E2918" s="222"/>
      <c r="F2918" s="222"/>
      <c r="G2918" s="222"/>
      <c r="H2918" s="222"/>
      <c r="I2918" s="222"/>
      <c r="J2918" s="223"/>
      <c r="K2918" s="223"/>
      <c r="L2918" s="222"/>
      <c r="M2918" s="222"/>
      <c r="N2918" s="222"/>
      <c r="O2918" s="222"/>
      <c r="P2918" s="222"/>
      <c r="Q2918" s="222"/>
      <c r="R2918" s="271"/>
      <c r="S2918" s="11"/>
      <c r="T2918" s="11"/>
      <c r="U2918" s="11"/>
      <c r="AW2918" s="234"/>
      <c r="BP2918" s="11"/>
      <c r="BQ2918" s="11"/>
      <c r="BV2918" s="158"/>
      <c r="BY2918" s="158"/>
      <c r="CB2918" s="158"/>
    </row>
    <row r="2919">
      <c r="A2919" s="222"/>
      <c r="B2919" s="221"/>
      <c r="C2919" s="222"/>
      <c r="D2919" s="222"/>
      <c r="E2919" s="222"/>
      <c r="F2919" s="222"/>
      <c r="G2919" s="222"/>
      <c r="H2919" s="222"/>
      <c r="I2919" s="222"/>
      <c r="J2919" s="223"/>
      <c r="K2919" s="223"/>
      <c r="L2919" s="222"/>
      <c r="M2919" s="222"/>
      <c r="N2919" s="222"/>
      <c r="O2919" s="222"/>
      <c r="P2919" s="222"/>
      <c r="Q2919" s="222"/>
      <c r="R2919" s="271"/>
      <c r="S2919" s="11"/>
      <c r="T2919" s="11"/>
      <c r="U2919" s="11"/>
      <c r="AW2919" s="234"/>
      <c r="BP2919" s="11"/>
      <c r="BQ2919" s="11"/>
      <c r="BV2919" s="158"/>
      <c r="BY2919" s="158"/>
      <c r="CB2919" s="158"/>
    </row>
    <row r="2920">
      <c r="A2920" s="222"/>
      <c r="B2920" s="221"/>
      <c r="C2920" s="222"/>
      <c r="D2920" s="222"/>
      <c r="E2920" s="222"/>
      <c r="F2920" s="222"/>
      <c r="G2920" s="222"/>
      <c r="H2920" s="222"/>
      <c r="I2920" s="222"/>
      <c r="J2920" s="223"/>
      <c r="K2920" s="223"/>
      <c r="L2920" s="222"/>
      <c r="M2920" s="222"/>
      <c r="N2920" s="222"/>
      <c r="O2920" s="222"/>
      <c r="P2920" s="222"/>
      <c r="Q2920" s="222"/>
      <c r="R2920" s="271"/>
      <c r="S2920" s="11"/>
      <c r="T2920" s="11"/>
      <c r="U2920" s="11"/>
      <c r="AW2920" s="234"/>
      <c r="BP2920" s="11"/>
      <c r="BQ2920" s="11"/>
      <c r="BV2920" s="158"/>
      <c r="BY2920" s="158"/>
      <c r="CB2920" s="158"/>
    </row>
    <row r="2921">
      <c r="A2921" s="222"/>
      <c r="B2921" s="221"/>
      <c r="C2921" s="222"/>
      <c r="D2921" s="222"/>
      <c r="E2921" s="222"/>
      <c r="F2921" s="222"/>
      <c r="G2921" s="222"/>
      <c r="H2921" s="222"/>
      <c r="I2921" s="222"/>
      <c r="J2921" s="223"/>
      <c r="K2921" s="223"/>
      <c r="L2921" s="222"/>
      <c r="M2921" s="222"/>
      <c r="N2921" s="222"/>
      <c r="O2921" s="222"/>
      <c r="P2921" s="222"/>
      <c r="Q2921" s="222"/>
      <c r="R2921" s="271"/>
      <c r="S2921" s="11"/>
      <c r="T2921" s="11"/>
      <c r="U2921" s="11"/>
      <c r="AW2921" s="234"/>
      <c r="BP2921" s="11"/>
      <c r="BQ2921" s="11"/>
      <c r="BV2921" s="158"/>
      <c r="BY2921" s="158"/>
      <c r="CB2921" s="158"/>
    </row>
    <row r="2922">
      <c r="A2922" s="222"/>
      <c r="B2922" s="221"/>
      <c r="C2922" s="222"/>
      <c r="D2922" s="222"/>
      <c r="E2922" s="222"/>
      <c r="F2922" s="222"/>
      <c r="G2922" s="222"/>
      <c r="H2922" s="222"/>
      <c r="I2922" s="222"/>
      <c r="J2922" s="223"/>
      <c r="K2922" s="223"/>
      <c r="L2922" s="222"/>
      <c r="M2922" s="222"/>
      <c r="N2922" s="222"/>
      <c r="O2922" s="222"/>
      <c r="P2922" s="222"/>
      <c r="Q2922" s="222"/>
      <c r="R2922" s="271"/>
      <c r="S2922" s="11"/>
      <c r="T2922" s="11"/>
      <c r="U2922" s="11"/>
      <c r="AW2922" s="234"/>
      <c r="BP2922" s="11"/>
      <c r="BQ2922" s="11"/>
      <c r="BV2922" s="158"/>
      <c r="BY2922" s="158"/>
      <c r="CB2922" s="158"/>
    </row>
    <row r="2923">
      <c r="A2923" s="222"/>
      <c r="B2923" s="221"/>
      <c r="C2923" s="222"/>
      <c r="D2923" s="222"/>
      <c r="E2923" s="222"/>
      <c r="F2923" s="222"/>
      <c r="G2923" s="222"/>
      <c r="H2923" s="222"/>
      <c r="I2923" s="222"/>
      <c r="J2923" s="223"/>
      <c r="K2923" s="223"/>
      <c r="L2923" s="222"/>
      <c r="M2923" s="222"/>
      <c r="N2923" s="222"/>
      <c r="O2923" s="222"/>
      <c r="P2923" s="222"/>
      <c r="Q2923" s="222"/>
      <c r="R2923" s="271"/>
      <c r="S2923" s="11"/>
      <c r="T2923" s="11"/>
      <c r="U2923" s="11"/>
      <c r="AW2923" s="234"/>
      <c r="BP2923" s="11"/>
      <c r="BQ2923" s="11"/>
      <c r="BV2923" s="158"/>
      <c r="BY2923" s="158"/>
      <c r="CB2923" s="158"/>
    </row>
    <row r="2924">
      <c r="A2924" s="222"/>
      <c r="B2924" s="221"/>
      <c r="C2924" s="222"/>
      <c r="D2924" s="222"/>
      <c r="E2924" s="222"/>
      <c r="F2924" s="222"/>
      <c r="G2924" s="222"/>
      <c r="H2924" s="222"/>
      <c r="I2924" s="222"/>
      <c r="J2924" s="223"/>
      <c r="K2924" s="223"/>
      <c r="L2924" s="222"/>
      <c r="M2924" s="222"/>
      <c r="N2924" s="222"/>
      <c r="O2924" s="222"/>
      <c r="P2924" s="222"/>
      <c r="Q2924" s="222"/>
      <c r="R2924" s="271"/>
      <c r="S2924" s="11"/>
      <c r="T2924" s="11"/>
      <c r="U2924" s="11"/>
      <c r="AW2924" s="234"/>
      <c r="BP2924" s="11"/>
      <c r="BQ2924" s="11"/>
      <c r="BV2924" s="158"/>
      <c r="BY2924" s="158"/>
      <c r="CB2924" s="158"/>
    </row>
    <row r="2925">
      <c r="A2925" s="222"/>
      <c r="B2925" s="221"/>
      <c r="C2925" s="222"/>
      <c r="D2925" s="222"/>
      <c r="E2925" s="222"/>
      <c r="F2925" s="222"/>
      <c r="G2925" s="222"/>
      <c r="H2925" s="222"/>
      <c r="I2925" s="222"/>
      <c r="J2925" s="223"/>
      <c r="K2925" s="223"/>
      <c r="L2925" s="222"/>
      <c r="M2925" s="222"/>
      <c r="N2925" s="222"/>
      <c r="O2925" s="222"/>
      <c r="P2925" s="222"/>
      <c r="Q2925" s="222"/>
      <c r="R2925" s="271"/>
      <c r="S2925" s="11"/>
      <c r="T2925" s="11"/>
      <c r="U2925" s="11"/>
      <c r="AW2925" s="234"/>
      <c r="BP2925" s="11"/>
      <c r="BQ2925" s="11"/>
      <c r="BV2925" s="158"/>
      <c r="BY2925" s="158"/>
      <c r="CB2925" s="158"/>
    </row>
    <row r="2926">
      <c r="A2926" s="222"/>
      <c r="B2926" s="221"/>
      <c r="C2926" s="222"/>
      <c r="D2926" s="222"/>
      <c r="E2926" s="222"/>
      <c r="F2926" s="222"/>
      <c r="G2926" s="222"/>
      <c r="H2926" s="222"/>
      <c r="I2926" s="222"/>
      <c r="J2926" s="223"/>
      <c r="K2926" s="223"/>
      <c r="L2926" s="222"/>
      <c r="M2926" s="222"/>
      <c r="N2926" s="222"/>
      <c r="O2926" s="222"/>
      <c r="P2926" s="222"/>
      <c r="Q2926" s="222"/>
      <c r="R2926" s="271"/>
      <c r="S2926" s="11"/>
      <c r="T2926" s="11"/>
      <c r="U2926" s="11"/>
      <c r="AW2926" s="234"/>
      <c r="BP2926" s="11"/>
      <c r="BQ2926" s="11"/>
      <c r="BV2926" s="158"/>
      <c r="BY2926" s="158"/>
      <c r="CB2926" s="158"/>
    </row>
    <row r="2927">
      <c r="A2927" s="222"/>
      <c r="B2927" s="221"/>
      <c r="C2927" s="222"/>
      <c r="D2927" s="222"/>
      <c r="E2927" s="222"/>
      <c r="F2927" s="222"/>
      <c r="G2927" s="222"/>
      <c r="H2927" s="222"/>
      <c r="I2927" s="222"/>
      <c r="J2927" s="223"/>
      <c r="K2927" s="223"/>
      <c r="L2927" s="222"/>
      <c r="M2927" s="222"/>
      <c r="N2927" s="222"/>
      <c r="O2927" s="222"/>
      <c r="P2927" s="222"/>
      <c r="Q2927" s="222"/>
      <c r="R2927" s="271"/>
      <c r="S2927" s="11"/>
      <c r="T2927" s="11"/>
      <c r="U2927" s="11"/>
      <c r="AW2927" s="234"/>
      <c r="BP2927" s="11"/>
      <c r="BQ2927" s="11"/>
      <c r="BV2927" s="158"/>
      <c r="BY2927" s="158"/>
      <c r="CB2927" s="158"/>
    </row>
    <row r="2928">
      <c r="A2928" s="222"/>
      <c r="B2928" s="221"/>
      <c r="C2928" s="222"/>
      <c r="D2928" s="222"/>
      <c r="E2928" s="222"/>
      <c r="F2928" s="222"/>
      <c r="G2928" s="222"/>
      <c r="H2928" s="222"/>
      <c r="I2928" s="222"/>
      <c r="J2928" s="223"/>
      <c r="K2928" s="223"/>
      <c r="L2928" s="222"/>
      <c r="M2928" s="222"/>
      <c r="N2928" s="222"/>
      <c r="O2928" s="222"/>
      <c r="P2928" s="222"/>
      <c r="Q2928" s="222"/>
      <c r="R2928" s="271"/>
      <c r="S2928" s="11"/>
      <c r="T2928" s="11"/>
      <c r="U2928" s="11"/>
      <c r="AW2928" s="234"/>
      <c r="BP2928" s="11"/>
      <c r="BQ2928" s="11"/>
      <c r="BV2928" s="158"/>
      <c r="BY2928" s="158"/>
      <c r="CB2928" s="158"/>
    </row>
    <row r="2929">
      <c r="A2929" s="222"/>
      <c r="B2929" s="221"/>
      <c r="C2929" s="222"/>
      <c r="D2929" s="222"/>
      <c r="E2929" s="222"/>
      <c r="F2929" s="222"/>
      <c r="G2929" s="222"/>
      <c r="H2929" s="222"/>
      <c r="I2929" s="222"/>
      <c r="J2929" s="223"/>
      <c r="K2929" s="223"/>
      <c r="L2929" s="222"/>
      <c r="M2929" s="222"/>
      <c r="N2929" s="222"/>
      <c r="O2929" s="222"/>
      <c r="P2929" s="222"/>
      <c r="Q2929" s="222"/>
      <c r="R2929" s="271"/>
      <c r="S2929" s="11"/>
      <c r="T2929" s="11"/>
      <c r="U2929" s="11"/>
      <c r="AW2929" s="234"/>
      <c r="BP2929" s="11"/>
      <c r="BQ2929" s="11"/>
      <c r="BV2929" s="158"/>
      <c r="BY2929" s="158"/>
      <c r="CB2929" s="158"/>
    </row>
    <row r="2930">
      <c r="A2930" s="222"/>
      <c r="B2930" s="221"/>
      <c r="C2930" s="222"/>
      <c r="D2930" s="222"/>
      <c r="E2930" s="222"/>
      <c r="F2930" s="222"/>
      <c r="G2930" s="222"/>
      <c r="H2930" s="222"/>
      <c r="I2930" s="222"/>
      <c r="J2930" s="223"/>
      <c r="K2930" s="223"/>
      <c r="L2930" s="222"/>
      <c r="M2930" s="222"/>
      <c r="N2930" s="222"/>
      <c r="O2930" s="222"/>
      <c r="P2930" s="222"/>
      <c r="Q2930" s="222"/>
      <c r="R2930" s="271"/>
      <c r="S2930" s="11"/>
      <c r="T2930" s="11"/>
      <c r="U2930" s="11"/>
      <c r="AW2930" s="234"/>
      <c r="BP2930" s="11"/>
      <c r="BQ2930" s="11"/>
      <c r="BV2930" s="158"/>
      <c r="BY2930" s="158"/>
      <c r="CB2930" s="158"/>
    </row>
    <row r="2931">
      <c r="A2931" s="222"/>
      <c r="B2931" s="221"/>
      <c r="C2931" s="222"/>
      <c r="D2931" s="222"/>
      <c r="E2931" s="222"/>
      <c r="F2931" s="222"/>
      <c r="G2931" s="222"/>
      <c r="H2931" s="222"/>
      <c r="I2931" s="222"/>
      <c r="J2931" s="223"/>
      <c r="K2931" s="223"/>
      <c r="L2931" s="222"/>
      <c r="M2931" s="222"/>
      <c r="N2931" s="222"/>
      <c r="O2931" s="222"/>
      <c r="P2931" s="222"/>
      <c r="Q2931" s="222"/>
      <c r="R2931" s="271"/>
      <c r="S2931" s="11"/>
      <c r="T2931" s="11"/>
      <c r="U2931" s="11"/>
      <c r="AW2931" s="234"/>
      <c r="BP2931" s="11"/>
      <c r="BQ2931" s="11"/>
      <c r="BV2931" s="158"/>
      <c r="BY2931" s="158"/>
      <c r="CB2931" s="158"/>
    </row>
    <row r="2932">
      <c r="A2932" s="222"/>
      <c r="B2932" s="221"/>
      <c r="C2932" s="222"/>
      <c r="D2932" s="222"/>
      <c r="E2932" s="222"/>
      <c r="F2932" s="222"/>
      <c r="G2932" s="222"/>
      <c r="H2932" s="222"/>
      <c r="I2932" s="222"/>
      <c r="J2932" s="223"/>
      <c r="K2932" s="223"/>
      <c r="L2932" s="222"/>
      <c r="M2932" s="222"/>
      <c r="N2932" s="222"/>
      <c r="O2932" s="222"/>
      <c r="P2932" s="222"/>
      <c r="Q2932" s="222"/>
      <c r="R2932" s="271"/>
      <c r="S2932" s="11"/>
      <c r="T2932" s="11"/>
      <c r="U2932" s="11"/>
      <c r="AW2932" s="234"/>
      <c r="BP2932" s="11"/>
      <c r="BQ2932" s="11"/>
      <c r="BV2932" s="158"/>
      <c r="BY2932" s="158"/>
      <c r="CB2932" s="158"/>
    </row>
    <row r="2933">
      <c r="A2933" s="222"/>
      <c r="B2933" s="221"/>
      <c r="C2933" s="222"/>
      <c r="D2933" s="222"/>
      <c r="E2933" s="222"/>
      <c r="F2933" s="222"/>
      <c r="G2933" s="222"/>
      <c r="H2933" s="222"/>
      <c r="I2933" s="222"/>
      <c r="J2933" s="223"/>
      <c r="K2933" s="223"/>
      <c r="L2933" s="222"/>
      <c r="M2933" s="222"/>
      <c r="N2933" s="222"/>
      <c r="O2933" s="222"/>
      <c r="P2933" s="222"/>
      <c r="Q2933" s="222"/>
      <c r="R2933" s="271"/>
      <c r="S2933" s="11"/>
      <c r="T2933" s="11"/>
      <c r="U2933" s="11"/>
      <c r="AW2933" s="234"/>
      <c r="BP2933" s="11"/>
      <c r="BQ2933" s="11"/>
      <c r="BV2933" s="158"/>
      <c r="BY2933" s="158"/>
      <c r="CB2933" s="158"/>
    </row>
    <row r="2934">
      <c r="A2934" s="222"/>
      <c r="B2934" s="221"/>
      <c r="C2934" s="222"/>
      <c r="D2934" s="222"/>
      <c r="E2934" s="222"/>
      <c r="F2934" s="222"/>
      <c r="G2934" s="222"/>
      <c r="H2934" s="222"/>
      <c r="I2934" s="222"/>
      <c r="J2934" s="223"/>
      <c r="K2934" s="223"/>
      <c r="L2934" s="222"/>
      <c r="M2934" s="222"/>
      <c r="N2934" s="222"/>
      <c r="O2934" s="222"/>
      <c r="P2934" s="222"/>
      <c r="Q2934" s="222"/>
      <c r="R2934" s="271"/>
      <c r="S2934" s="11"/>
      <c r="T2934" s="11"/>
      <c r="U2934" s="11"/>
      <c r="AW2934" s="234"/>
      <c r="BP2934" s="11"/>
      <c r="BQ2934" s="11"/>
      <c r="BV2934" s="158"/>
      <c r="BY2934" s="158"/>
      <c r="CB2934" s="158"/>
    </row>
    <row r="2935">
      <c r="A2935" s="222"/>
      <c r="B2935" s="221"/>
      <c r="C2935" s="222"/>
      <c r="D2935" s="222"/>
      <c r="E2935" s="222"/>
      <c r="F2935" s="222"/>
      <c r="G2935" s="222"/>
      <c r="H2935" s="222"/>
      <c r="I2935" s="222"/>
      <c r="J2935" s="223"/>
      <c r="K2935" s="223"/>
      <c r="L2935" s="222"/>
      <c r="M2935" s="222"/>
      <c r="N2935" s="222"/>
      <c r="O2935" s="222"/>
      <c r="P2935" s="222"/>
      <c r="Q2935" s="222"/>
      <c r="R2935" s="271"/>
      <c r="S2935" s="11"/>
      <c r="T2935" s="11"/>
      <c r="U2935" s="11"/>
      <c r="AW2935" s="234"/>
      <c r="BP2935" s="11"/>
      <c r="BQ2935" s="11"/>
      <c r="BV2935" s="158"/>
      <c r="BY2935" s="158"/>
      <c r="CB2935" s="158"/>
    </row>
    <row r="2936">
      <c r="A2936" s="222"/>
      <c r="B2936" s="221"/>
      <c r="C2936" s="222"/>
      <c r="D2936" s="222"/>
      <c r="E2936" s="222"/>
      <c r="F2936" s="222"/>
      <c r="G2936" s="222"/>
      <c r="H2936" s="222"/>
      <c r="I2936" s="222"/>
      <c r="J2936" s="223"/>
      <c r="K2936" s="223"/>
      <c r="L2936" s="222"/>
      <c r="M2936" s="222"/>
      <c r="N2936" s="222"/>
      <c r="O2936" s="222"/>
      <c r="P2936" s="222"/>
      <c r="Q2936" s="222"/>
      <c r="R2936" s="271"/>
      <c r="S2936" s="11"/>
      <c r="T2936" s="11"/>
      <c r="U2936" s="11"/>
      <c r="AW2936" s="234"/>
      <c r="BP2936" s="11"/>
      <c r="BQ2936" s="11"/>
      <c r="BV2936" s="158"/>
      <c r="BY2936" s="158"/>
      <c r="CB2936" s="158"/>
    </row>
    <row r="2937">
      <c r="A2937" s="222"/>
      <c r="B2937" s="221"/>
      <c r="C2937" s="222"/>
      <c r="D2937" s="222"/>
      <c r="E2937" s="222"/>
      <c r="F2937" s="222"/>
      <c r="G2937" s="222"/>
      <c r="H2937" s="222"/>
      <c r="I2937" s="222"/>
      <c r="J2937" s="223"/>
      <c r="K2937" s="223"/>
      <c r="L2937" s="222"/>
      <c r="M2937" s="222"/>
      <c r="N2937" s="222"/>
      <c r="O2937" s="222"/>
      <c r="P2937" s="222"/>
      <c r="Q2937" s="222"/>
      <c r="R2937" s="271"/>
      <c r="S2937" s="11"/>
      <c r="T2937" s="11"/>
      <c r="U2937" s="11"/>
      <c r="AW2937" s="234"/>
      <c r="BP2937" s="11"/>
      <c r="BQ2937" s="11"/>
      <c r="BV2937" s="158"/>
      <c r="BY2937" s="158"/>
      <c r="CB2937" s="158"/>
    </row>
    <row r="2938">
      <c r="A2938" s="222"/>
      <c r="B2938" s="221"/>
      <c r="C2938" s="222"/>
      <c r="D2938" s="222"/>
      <c r="E2938" s="222"/>
      <c r="F2938" s="222"/>
      <c r="G2938" s="222"/>
      <c r="H2938" s="222"/>
      <c r="I2938" s="222"/>
      <c r="J2938" s="223"/>
      <c r="K2938" s="223"/>
      <c r="L2938" s="222"/>
      <c r="M2938" s="222"/>
      <c r="N2938" s="222"/>
      <c r="O2938" s="222"/>
      <c r="P2938" s="222"/>
      <c r="Q2938" s="222"/>
      <c r="R2938" s="271"/>
      <c r="S2938" s="11"/>
      <c r="T2938" s="11"/>
      <c r="U2938" s="11"/>
      <c r="AW2938" s="234"/>
      <c r="BP2938" s="11"/>
      <c r="BQ2938" s="11"/>
      <c r="BV2938" s="158"/>
      <c r="BY2938" s="158"/>
      <c r="CB2938" s="158"/>
    </row>
    <row r="2939">
      <c r="A2939" s="222"/>
      <c r="B2939" s="221"/>
      <c r="C2939" s="222"/>
      <c r="D2939" s="222"/>
      <c r="E2939" s="222"/>
      <c r="F2939" s="222"/>
      <c r="G2939" s="222"/>
      <c r="H2939" s="222"/>
      <c r="I2939" s="222"/>
      <c r="J2939" s="223"/>
      <c r="K2939" s="223"/>
      <c r="L2939" s="222"/>
      <c r="M2939" s="222"/>
      <c r="N2939" s="222"/>
      <c r="O2939" s="222"/>
      <c r="P2939" s="222"/>
      <c r="Q2939" s="222"/>
      <c r="R2939" s="271"/>
      <c r="S2939" s="11"/>
      <c r="T2939" s="11"/>
      <c r="U2939" s="11"/>
      <c r="AW2939" s="234"/>
      <c r="BP2939" s="11"/>
      <c r="BQ2939" s="11"/>
      <c r="BV2939" s="158"/>
      <c r="BY2939" s="158"/>
      <c r="CB2939" s="158"/>
    </row>
    <row r="2940">
      <c r="A2940" s="222"/>
      <c r="B2940" s="221"/>
      <c r="C2940" s="222"/>
      <c r="D2940" s="222"/>
      <c r="E2940" s="222"/>
      <c r="F2940" s="222"/>
      <c r="G2940" s="222"/>
      <c r="H2940" s="222"/>
      <c r="I2940" s="222"/>
      <c r="J2940" s="223"/>
      <c r="K2940" s="223"/>
      <c r="L2940" s="222"/>
      <c r="M2940" s="222"/>
      <c r="N2940" s="222"/>
      <c r="O2940" s="222"/>
      <c r="P2940" s="222"/>
      <c r="Q2940" s="222"/>
      <c r="R2940" s="271"/>
      <c r="S2940" s="11"/>
      <c r="T2940" s="11"/>
      <c r="U2940" s="11"/>
      <c r="AW2940" s="234"/>
      <c r="BP2940" s="11"/>
      <c r="BQ2940" s="11"/>
      <c r="BV2940" s="158"/>
      <c r="BY2940" s="158"/>
      <c r="CB2940" s="158"/>
    </row>
    <row r="2941">
      <c r="A2941" s="222"/>
      <c r="B2941" s="221"/>
      <c r="C2941" s="222"/>
      <c r="D2941" s="222"/>
      <c r="E2941" s="222"/>
      <c r="F2941" s="222"/>
      <c r="G2941" s="222"/>
      <c r="H2941" s="222"/>
      <c r="I2941" s="222"/>
      <c r="J2941" s="223"/>
      <c r="K2941" s="223"/>
      <c r="L2941" s="222"/>
      <c r="M2941" s="222"/>
      <c r="N2941" s="222"/>
      <c r="O2941" s="222"/>
      <c r="P2941" s="222"/>
      <c r="Q2941" s="222"/>
      <c r="R2941" s="271"/>
      <c r="S2941" s="11"/>
      <c r="T2941" s="11"/>
      <c r="U2941" s="11"/>
      <c r="AW2941" s="234"/>
      <c r="BP2941" s="11"/>
      <c r="BQ2941" s="11"/>
      <c r="BV2941" s="158"/>
      <c r="BY2941" s="158"/>
      <c r="CB2941" s="158"/>
    </row>
    <row r="2942">
      <c r="A2942" s="222"/>
      <c r="B2942" s="221"/>
      <c r="C2942" s="222"/>
      <c r="D2942" s="222"/>
      <c r="E2942" s="222"/>
      <c r="F2942" s="222"/>
      <c r="G2942" s="222"/>
      <c r="H2942" s="222"/>
      <c r="I2942" s="222"/>
      <c r="J2942" s="223"/>
      <c r="K2942" s="223"/>
      <c r="L2942" s="222"/>
      <c r="M2942" s="222"/>
      <c r="N2942" s="222"/>
      <c r="O2942" s="222"/>
      <c r="P2942" s="222"/>
      <c r="Q2942" s="222"/>
      <c r="R2942" s="271"/>
      <c r="S2942" s="11"/>
      <c r="T2942" s="11"/>
      <c r="U2942" s="11"/>
      <c r="AW2942" s="234"/>
      <c r="BP2942" s="11"/>
      <c r="BQ2942" s="11"/>
      <c r="BV2942" s="158"/>
      <c r="BY2942" s="158"/>
      <c r="CB2942" s="158"/>
    </row>
    <row r="2943">
      <c r="A2943" s="222"/>
      <c r="B2943" s="221"/>
      <c r="C2943" s="222"/>
      <c r="D2943" s="222"/>
      <c r="E2943" s="222"/>
      <c r="F2943" s="222"/>
      <c r="G2943" s="222"/>
      <c r="H2943" s="222"/>
      <c r="I2943" s="222"/>
      <c r="J2943" s="223"/>
      <c r="K2943" s="223"/>
      <c r="L2943" s="222"/>
      <c r="M2943" s="222"/>
      <c r="N2943" s="222"/>
      <c r="O2943" s="222"/>
      <c r="P2943" s="222"/>
      <c r="Q2943" s="222"/>
      <c r="R2943" s="271"/>
      <c r="S2943" s="11"/>
      <c r="T2943" s="11"/>
      <c r="U2943" s="11"/>
      <c r="AW2943" s="234"/>
      <c r="BP2943" s="11"/>
      <c r="BQ2943" s="11"/>
      <c r="BV2943" s="158"/>
      <c r="BY2943" s="158"/>
      <c r="CB2943" s="158"/>
    </row>
    <row r="2944">
      <c r="A2944" s="222"/>
      <c r="B2944" s="221"/>
      <c r="C2944" s="222"/>
      <c r="D2944" s="222"/>
      <c r="E2944" s="222"/>
      <c r="F2944" s="222"/>
      <c r="G2944" s="222"/>
      <c r="H2944" s="222"/>
      <c r="I2944" s="222"/>
      <c r="J2944" s="223"/>
      <c r="K2944" s="223"/>
      <c r="L2944" s="222"/>
      <c r="M2944" s="222"/>
      <c r="N2944" s="222"/>
      <c r="O2944" s="222"/>
      <c r="P2944" s="222"/>
      <c r="Q2944" s="222"/>
      <c r="R2944" s="271"/>
      <c r="S2944" s="11"/>
      <c r="T2944" s="11"/>
      <c r="U2944" s="11"/>
      <c r="AW2944" s="234"/>
      <c r="BP2944" s="11"/>
      <c r="BQ2944" s="11"/>
      <c r="BV2944" s="158"/>
      <c r="BY2944" s="158"/>
      <c r="CB2944" s="158"/>
    </row>
    <row r="2945">
      <c r="A2945" s="222"/>
      <c r="B2945" s="221"/>
      <c r="C2945" s="222"/>
      <c r="D2945" s="222"/>
      <c r="E2945" s="222"/>
      <c r="F2945" s="222"/>
      <c r="G2945" s="222"/>
      <c r="H2945" s="222"/>
      <c r="I2945" s="222"/>
      <c r="J2945" s="223"/>
      <c r="K2945" s="223"/>
      <c r="L2945" s="222"/>
      <c r="M2945" s="222"/>
      <c r="N2945" s="222"/>
      <c r="O2945" s="222"/>
      <c r="P2945" s="222"/>
      <c r="Q2945" s="222"/>
      <c r="R2945" s="271"/>
      <c r="S2945" s="11"/>
      <c r="T2945" s="11"/>
      <c r="U2945" s="11"/>
      <c r="AW2945" s="234"/>
      <c r="BP2945" s="11"/>
      <c r="BQ2945" s="11"/>
      <c r="BV2945" s="158"/>
      <c r="BY2945" s="158"/>
      <c r="CB2945" s="158"/>
    </row>
    <row r="2946">
      <c r="A2946" s="222"/>
      <c r="B2946" s="221"/>
      <c r="C2946" s="222"/>
      <c r="D2946" s="222"/>
      <c r="E2946" s="222"/>
      <c r="F2946" s="222"/>
      <c r="G2946" s="222"/>
      <c r="H2946" s="222"/>
      <c r="I2946" s="222"/>
      <c r="J2946" s="223"/>
      <c r="K2946" s="223"/>
      <c r="L2946" s="222"/>
      <c r="M2946" s="222"/>
      <c r="N2946" s="222"/>
      <c r="O2946" s="222"/>
      <c r="P2946" s="222"/>
      <c r="Q2946" s="222"/>
      <c r="R2946" s="271"/>
      <c r="S2946" s="11"/>
      <c r="T2946" s="11"/>
      <c r="U2946" s="11"/>
      <c r="AW2946" s="234"/>
      <c r="BP2946" s="11"/>
      <c r="BQ2946" s="11"/>
      <c r="BV2946" s="158"/>
      <c r="BY2946" s="158"/>
      <c r="CB2946" s="158"/>
    </row>
    <row r="2947">
      <c r="A2947" s="222"/>
      <c r="B2947" s="221"/>
      <c r="C2947" s="222"/>
      <c r="D2947" s="222"/>
      <c r="E2947" s="222"/>
      <c r="F2947" s="222"/>
      <c r="G2947" s="222"/>
      <c r="H2947" s="222"/>
      <c r="I2947" s="222"/>
      <c r="J2947" s="223"/>
      <c r="K2947" s="223"/>
      <c r="L2947" s="222"/>
      <c r="M2947" s="222"/>
      <c r="N2947" s="222"/>
      <c r="O2947" s="222"/>
      <c r="P2947" s="222"/>
      <c r="Q2947" s="222"/>
      <c r="R2947" s="271"/>
      <c r="S2947" s="11"/>
      <c r="T2947" s="11"/>
      <c r="U2947" s="11"/>
      <c r="AW2947" s="234"/>
      <c r="BP2947" s="11"/>
      <c r="BQ2947" s="11"/>
      <c r="BV2947" s="158"/>
      <c r="BY2947" s="158"/>
      <c r="CB2947" s="158"/>
    </row>
    <row r="2948">
      <c r="A2948" s="222"/>
      <c r="B2948" s="221"/>
      <c r="C2948" s="222"/>
      <c r="D2948" s="222"/>
      <c r="E2948" s="222"/>
      <c r="F2948" s="222"/>
      <c r="G2948" s="222"/>
      <c r="H2948" s="222"/>
      <c r="I2948" s="222"/>
      <c r="J2948" s="223"/>
      <c r="K2948" s="223"/>
      <c r="L2948" s="222"/>
      <c r="M2948" s="222"/>
      <c r="N2948" s="222"/>
      <c r="O2948" s="222"/>
      <c r="P2948" s="222"/>
      <c r="Q2948" s="222"/>
      <c r="R2948" s="271"/>
      <c r="S2948" s="11"/>
      <c r="T2948" s="11"/>
      <c r="U2948" s="11"/>
      <c r="AW2948" s="234"/>
      <c r="BP2948" s="11"/>
      <c r="BQ2948" s="11"/>
      <c r="BV2948" s="158"/>
      <c r="BY2948" s="158"/>
      <c r="CB2948" s="158"/>
    </row>
    <row r="2949">
      <c r="A2949" s="222"/>
      <c r="B2949" s="221"/>
      <c r="C2949" s="222"/>
      <c r="D2949" s="222"/>
      <c r="E2949" s="222"/>
      <c r="F2949" s="222"/>
      <c r="G2949" s="222"/>
      <c r="H2949" s="222"/>
      <c r="I2949" s="222"/>
      <c r="J2949" s="223"/>
      <c r="K2949" s="223"/>
      <c r="L2949" s="222"/>
      <c r="M2949" s="222"/>
      <c r="N2949" s="222"/>
      <c r="O2949" s="222"/>
      <c r="P2949" s="222"/>
      <c r="Q2949" s="222"/>
      <c r="R2949" s="271"/>
      <c r="S2949" s="11"/>
      <c r="T2949" s="11"/>
      <c r="U2949" s="11"/>
      <c r="AW2949" s="234"/>
      <c r="BP2949" s="11"/>
      <c r="BQ2949" s="11"/>
      <c r="BV2949" s="158"/>
      <c r="BY2949" s="158"/>
      <c r="CB2949" s="158"/>
    </row>
    <row r="2950">
      <c r="A2950" s="222"/>
      <c r="B2950" s="221"/>
      <c r="C2950" s="222"/>
      <c r="D2950" s="222"/>
      <c r="E2950" s="222"/>
      <c r="F2950" s="222"/>
      <c r="G2950" s="222"/>
      <c r="H2950" s="222"/>
      <c r="I2950" s="222"/>
      <c r="J2950" s="223"/>
      <c r="K2950" s="223"/>
      <c r="L2950" s="222"/>
      <c r="M2950" s="222"/>
      <c r="N2950" s="222"/>
      <c r="O2950" s="222"/>
      <c r="P2950" s="222"/>
      <c r="Q2950" s="222"/>
      <c r="R2950" s="271"/>
      <c r="S2950" s="11"/>
      <c r="T2950" s="11"/>
      <c r="U2950" s="11"/>
      <c r="AW2950" s="234"/>
      <c r="BP2950" s="11"/>
      <c r="BQ2950" s="11"/>
      <c r="BV2950" s="158"/>
      <c r="BY2950" s="158"/>
      <c r="CB2950" s="158"/>
    </row>
    <row r="2951">
      <c r="A2951" s="222"/>
      <c r="B2951" s="221"/>
      <c r="C2951" s="222"/>
      <c r="D2951" s="222"/>
      <c r="E2951" s="222"/>
      <c r="F2951" s="222"/>
      <c r="G2951" s="222"/>
      <c r="H2951" s="222"/>
      <c r="I2951" s="222"/>
      <c r="J2951" s="223"/>
      <c r="K2951" s="223"/>
      <c r="L2951" s="222"/>
      <c r="M2951" s="222"/>
      <c r="N2951" s="222"/>
      <c r="O2951" s="222"/>
      <c r="P2951" s="222"/>
      <c r="Q2951" s="222"/>
      <c r="R2951" s="271"/>
      <c r="S2951" s="11"/>
      <c r="T2951" s="11"/>
      <c r="U2951" s="11"/>
      <c r="AW2951" s="234"/>
      <c r="BP2951" s="11"/>
      <c r="BQ2951" s="11"/>
      <c r="BV2951" s="158"/>
      <c r="BY2951" s="158"/>
      <c r="CB2951" s="158"/>
    </row>
    <row r="2952">
      <c r="A2952" s="222"/>
      <c r="B2952" s="221"/>
      <c r="C2952" s="222"/>
      <c r="D2952" s="222"/>
      <c r="E2952" s="222"/>
      <c r="F2952" s="222"/>
      <c r="G2952" s="222"/>
      <c r="H2952" s="222"/>
      <c r="I2952" s="222"/>
      <c r="J2952" s="223"/>
      <c r="K2952" s="223"/>
      <c r="L2952" s="222"/>
      <c r="M2952" s="222"/>
      <c r="N2952" s="222"/>
      <c r="O2952" s="222"/>
      <c r="P2952" s="222"/>
      <c r="Q2952" s="222"/>
      <c r="R2952" s="271"/>
      <c r="S2952" s="11"/>
      <c r="T2952" s="11"/>
      <c r="U2952" s="11"/>
      <c r="AW2952" s="234"/>
      <c r="BP2952" s="11"/>
      <c r="BQ2952" s="11"/>
      <c r="BV2952" s="158"/>
      <c r="BY2952" s="158"/>
      <c r="CB2952" s="158"/>
    </row>
    <row r="2953">
      <c r="A2953" s="222"/>
      <c r="B2953" s="221"/>
      <c r="C2953" s="222"/>
      <c r="D2953" s="222"/>
      <c r="E2953" s="222"/>
      <c r="F2953" s="222"/>
      <c r="G2953" s="222"/>
      <c r="H2953" s="222"/>
      <c r="I2953" s="222"/>
      <c r="J2953" s="223"/>
      <c r="K2953" s="223"/>
      <c r="L2953" s="222"/>
      <c r="M2953" s="222"/>
      <c r="N2953" s="222"/>
      <c r="O2953" s="222"/>
      <c r="P2953" s="222"/>
      <c r="Q2953" s="222"/>
      <c r="R2953" s="271"/>
      <c r="S2953" s="11"/>
      <c r="T2953" s="11"/>
      <c r="U2953" s="11"/>
      <c r="AW2953" s="234"/>
      <c r="BP2953" s="11"/>
      <c r="BQ2953" s="11"/>
      <c r="BV2953" s="158"/>
      <c r="BY2953" s="158"/>
      <c r="CB2953" s="158"/>
    </row>
    <row r="2954">
      <c r="A2954" s="222"/>
      <c r="B2954" s="221"/>
      <c r="C2954" s="222"/>
      <c r="D2954" s="222"/>
      <c r="E2954" s="222"/>
      <c r="F2954" s="222"/>
      <c r="G2954" s="222"/>
      <c r="H2954" s="222"/>
      <c r="I2954" s="222"/>
      <c r="J2954" s="223"/>
      <c r="K2954" s="223"/>
      <c r="L2954" s="222"/>
      <c r="M2954" s="222"/>
      <c r="N2954" s="222"/>
      <c r="O2954" s="222"/>
      <c r="P2954" s="222"/>
      <c r="Q2954" s="222"/>
      <c r="R2954" s="271"/>
      <c r="S2954" s="11"/>
      <c r="T2954" s="11"/>
      <c r="U2954" s="11"/>
      <c r="AW2954" s="234"/>
      <c r="BP2954" s="11"/>
      <c r="BQ2954" s="11"/>
      <c r="BV2954" s="158"/>
      <c r="BY2954" s="158"/>
      <c r="CB2954" s="158"/>
    </row>
    <row r="2955">
      <c r="A2955" s="222"/>
      <c r="B2955" s="221"/>
      <c r="C2955" s="222"/>
      <c r="D2955" s="222"/>
      <c r="E2955" s="222"/>
      <c r="F2955" s="222"/>
      <c r="G2955" s="222"/>
      <c r="H2955" s="222"/>
      <c r="I2955" s="222"/>
      <c r="J2955" s="223"/>
      <c r="K2955" s="223"/>
      <c r="L2955" s="222"/>
      <c r="M2955" s="222"/>
      <c r="N2955" s="222"/>
      <c r="O2955" s="222"/>
      <c r="P2955" s="222"/>
      <c r="Q2955" s="222"/>
      <c r="R2955" s="271"/>
      <c r="S2955" s="11"/>
      <c r="T2955" s="11"/>
      <c r="U2955" s="11"/>
      <c r="AW2955" s="234"/>
      <c r="BP2955" s="11"/>
      <c r="BQ2955" s="11"/>
      <c r="BV2955" s="158"/>
      <c r="BY2955" s="158"/>
      <c r="CB2955" s="158"/>
    </row>
    <row r="2956">
      <c r="A2956" s="222"/>
      <c r="B2956" s="221"/>
      <c r="C2956" s="222"/>
      <c r="D2956" s="222"/>
      <c r="E2956" s="222"/>
      <c r="F2956" s="222"/>
      <c r="G2956" s="222"/>
      <c r="H2956" s="222"/>
      <c r="I2956" s="222"/>
      <c r="J2956" s="223"/>
      <c r="K2956" s="223"/>
      <c r="L2956" s="222"/>
      <c r="M2956" s="222"/>
      <c r="N2956" s="222"/>
      <c r="O2956" s="222"/>
      <c r="P2956" s="222"/>
      <c r="Q2956" s="222"/>
      <c r="R2956" s="271"/>
      <c r="S2956" s="11"/>
      <c r="T2956" s="11"/>
      <c r="U2956" s="11"/>
      <c r="AW2956" s="234"/>
      <c r="BP2956" s="11"/>
      <c r="BQ2956" s="11"/>
      <c r="BV2956" s="158"/>
      <c r="BY2956" s="158"/>
      <c r="CB2956" s="158"/>
    </row>
    <row r="2957">
      <c r="A2957" s="222"/>
      <c r="B2957" s="221"/>
      <c r="C2957" s="222"/>
      <c r="D2957" s="222"/>
      <c r="E2957" s="222"/>
      <c r="F2957" s="222"/>
      <c r="G2957" s="222"/>
      <c r="H2957" s="222"/>
      <c r="I2957" s="222"/>
      <c r="J2957" s="223"/>
      <c r="K2957" s="223"/>
      <c r="L2957" s="222"/>
      <c r="M2957" s="222"/>
      <c r="N2957" s="222"/>
      <c r="O2957" s="222"/>
      <c r="P2957" s="222"/>
      <c r="Q2957" s="222"/>
      <c r="R2957" s="271"/>
      <c r="S2957" s="11"/>
      <c r="T2957" s="11"/>
      <c r="U2957" s="11"/>
      <c r="AW2957" s="234"/>
      <c r="BP2957" s="11"/>
      <c r="BQ2957" s="11"/>
      <c r="BV2957" s="158"/>
      <c r="BY2957" s="158"/>
      <c r="CB2957" s="158"/>
    </row>
    <row r="2958">
      <c r="A2958" s="222"/>
      <c r="B2958" s="221"/>
      <c r="C2958" s="222"/>
      <c r="D2958" s="222"/>
      <c r="E2958" s="222"/>
      <c r="F2958" s="222"/>
      <c r="G2958" s="222"/>
      <c r="H2958" s="222"/>
      <c r="I2958" s="222"/>
      <c r="J2958" s="223"/>
      <c r="K2958" s="223"/>
      <c r="L2958" s="222"/>
      <c r="M2958" s="222"/>
      <c r="N2958" s="222"/>
      <c r="O2958" s="222"/>
      <c r="P2958" s="222"/>
      <c r="Q2958" s="222"/>
      <c r="R2958" s="271"/>
      <c r="S2958" s="11"/>
      <c r="T2958" s="11"/>
      <c r="U2958" s="11"/>
      <c r="AW2958" s="234"/>
      <c r="BP2958" s="11"/>
      <c r="BQ2958" s="11"/>
      <c r="BV2958" s="158"/>
      <c r="BY2958" s="158"/>
      <c r="CB2958" s="158"/>
    </row>
    <row r="2959">
      <c r="A2959" s="222"/>
      <c r="B2959" s="221"/>
      <c r="C2959" s="222"/>
      <c r="D2959" s="222"/>
      <c r="E2959" s="222"/>
      <c r="F2959" s="222"/>
      <c r="G2959" s="222"/>
      <c r="H2959" s="222"/>
      <c r="I2959" s="222"/>
      <c r="J2959" s="223"/>
      <c r="K2959" s="223"/>
      <c r="L2959" s="222"/>
      <c r="M2959" s="222"/>
      <c r="N2959" s="222"/>
      <c r="O2959" s="222"/>
      <c r="P2959" s="222"/>
      <c r="Q2959" s="222"/>
      <c r="R2959" s="271"/>
      <c r="S2959" s="11"/>
      <c r="T2959" s="11"/>
      <c r="U2959" s="11"/>
      <c r="AW2959" s="234"/>
      <c r="BP2959" s="11"/>
      <c r="BQ2959" s="11"/>
      <c r="BV2959" s="158"/>
      <c r="BY2959" s="158"/>
      <c r="CB2959" s="158"/>
    </row>
    <row r="2960">
      <c r="A2960" s="222"/>
      <c r="B2960" s="221"/>
      <c r="C2960" s="222"/>
      <c r="D2960" s="222"/>
      <c r="E2960" s="222"/>
      <c r="F2960" s="222"/>
      <c r="G2960" s="222"/>
      <c r="H2960" s="222"/>
      <c r="I2960" s="222"/>
      <c r="J2960" s="223"/>
      <c r="K2960" s="223"/>
      <c r="L2960" s="222"/>
      <c r="M2960" s="222"/>
      <c r="N2960" s="222"/>
      <c r="O2960" s="222"/>
      <c r="P2960" s="222"/>
      <c r="Q2960" s="222"/>
      <c r="R2960" s="271"/>
      <c r="S2960" s="11"/>
      <c r="T2960" s="11"/>
      <c r="U2960" s="11"/>
      <c r="AW2960" s="234"/>
      <c r="BP2960" s="11"/>
      <c r="BQ2960" s="11"/>
      <c r="BV2960" s="158"/>
      <c r="BY2960" s="158"/>
      <c r="CB2960" s="158"/>
    </row>
    <row r="2961">
      <c r="A2961" s="222"/>
      <c r="B2961" s="221"/>
      <c r="C2961" s="222"/>
      <c r="D2961" s="222"/>
      <c r="E2961" s="222"/>
      <c r="F2961" s="222"/>
      <c r="G2961" s="222"/>
      <c r="H2961" s="222"/>
      <c r="I2961" s="222"/>
      <c r="J2961" s="223"/>
      <c r="K2961" s="223"/>
      <c r="L2961" s="222"/>
      <c r="M2961" s="222"/>
      <c r="N2961" s="222"/>
      <c r="O2961" s="222"/>
      <c r="P2961" s="222"/>
      <c r="Q2961" s="222"/>
      <c r="R2961" s="271"/>
      <c r="S2961" s="11"/>
      <c r="T2961" s="11"/>
      <c r="U2961" s="11"/>
      <c r="AW2961" s="234"/>
      <c r="BP2961" s="11"/>
      <c r="BQ2961" s="11"/>
      <c r="BV2961" s="158"/>
      <c r="BY2961" s="158"/>
      <c r="CB2961" s="158"/>
    </row>
    <row r="2962">
      <c r="A2962" s="222"/>
      <c r="B2962" s="221"/>
      <c r="C2962" s="222"/>
      <c r="D2962" s="222"/>
      <c r="E2962" s="222"/>
      <c r="F2962" s="222"/>
      <c r="G2962" s="222"/>
      <c r="H2962" s="222"/>
      <c r="I2962" s="222"/>
      <c r="J2962" s="223"/>
      <c r="K2962" s="223"/>
      <c r="L2962" s="222"/>
      <c r="M2962" s="222"/>
      <c r="N2962" s="222"/>
      <c r="O2962" s="222"/>
      <c r="P2962" s="222"/>
      <c r="Q2962" s="222"/>
      <c r="R2962" s="271"/>
      <c r="S2962" s="11"/>
      <c r="T2962" s="11"/>
      <c r="U2962" s="11"/>
      <c r="AW2962" s="234"/>
      <c r="BP2962" s="11"/>
      <c r="BQ2962" s="11"/>
      <c r="BV2962" s="158"/>
      <c r="BY2962" s="158"/>
      <c r="CB2962" s="158"/>
    </row>
    <row r="2963">
      <c r="A2963" s="222"/>
      <c r="B2963" s="221"/>
      <c r="C2963" s="222"/>
      <c r="D2963" s="222"/>
      <c r="E2963" s="222"/>
      <c r="F2963" s="222"/>
      <c r="G2963" s="222"/>
      <c r="H2963" s="222"/>
      <c r="I2963" s="222"/>
      <c r="J2963" s="223"/>
      <c r="K2963" s="223"/>
      <c r="L2963" s="222"/>
      <c r="M2963" s="222"/>
      <c r="N2963" s="222"/>
      <c r="O2963" s="222"/>
      <c r="P2963" s="222"/>
      <c r="Q2963" s="222"/>
      <c r="R2963" s="271"/>
      <c r="S2963" s="11"/>
      <c r="T2963" s="11"/>
      <c r="U2963" s="11"/>
      <c r="AW2963" s="234"/>
      <c r="BP2963" s="11"/>
      <c r="BQ2963" s="11"/>
      <c r="BV2963" s="158"/>
      <c r="BY2963" s="158"/>
      <c r="CB2963" s="158"/>
    </row>
    <row r="2964">
      <c r="A2964" s="222"/>
      <c r="B2964" s="221"/>
      <c r="C2964" s="222"/>
      <c r="D2964" s="222"/>
      <c r="E2964" s="222"/>
      <c r="F2964" s="222"/>
      <c r="G2964" s="222"/>
      <c r="H2964" s="222"/>
      <c r="I2964" s="222"/>
      <c r="J2964" s="223"/>
      <c r="K2964" s="223"/>
      <c r="L2964" s="222"/>
      <c r="M2964" s="222"/>
      <c r="N2964" s="222"/>
      <c r="O2964" s="222"/>
      <c r="P2964" s="222"/>
      <c r="Q2964" s="222"/>
      <c r="R2964" s="271"/>
      <c r="S2964" s="11"/>
      <c r="T2964" s="11"/>
      <c r="U2964" s="11"/>
      <c r="AW2964" s="234"/>
      <c r="BP2964" s="11"/>
      <c r="BQ2964" s="11"/>
      <c r="BV2964" s="158"/>
      <c r="BY2964" s="158"/>
      <c r="CB2964" s="158"/>
    </row>
    <row r="2965">
      <c r="A2965" s="222"/>
      <c r="B2965" s="221"/>
      <c r="C2965" s="222"/>
      <c r="D2965" s="222"/>
      <c r="E2965" s="222"/>
      <c r="F2965" s="222"/>
      <c r="G2965" s="222"/>
      <c r="H2965" s="222"/>
      <c r="I2965" s="222"/>
      <c r="J2965" s="223"/>
      <c r="K2965" s="223"/>
      <c r="L2965" s="222"/>
      <c r="M2965" s="222"/>
      <c r="N2965" s="222"/>
      <c r="O2965" s="222"/>
      <c r="P2965" s="222"/>
      <c r="Q2965" s="222"/>
      <c r="R2965" s="271"/>
      <c r="S2965" s="11"/>
      <c r="T2965" s="11"/>
      <c r="U2965" s="11"/>
      <c r="AW2965" s="234"/>
      <c r="BP2965" s="11"/>
      <c r="BQ2965" s="11"/>
      <c r="BV2965" s="158"/>
      <c r="BY2965" s="158"/>
      <c r="CB2965" s="158"/>
    </row>
    <row r="2966">
      <c r="A2966" s="222"/>
      <c r="B2966" s="221"/>
      <c r="C2966" s="222"/>
      <c r="D2966" s="222"/>
      <c r="E2966" s="222"/>
      <c r="F2966" s="222"/>
      <c r="G2966" s="222"/>
      <c r="H2966" s="222"/>
      <c r="I2966" s="222"/>
      <c r="J2966" s="223"/>
      <c r="K2966" s="223"/>
      <c r="L2966" s="222"/>
      <c r="M2966" s="222"/>
      <c r="N2966" s="222"/>
      <c r="O2966" s="222"/>
      <c r="P2966" s="222"/>
      <c r="Q2966" s="222"/>
      <c r="R2966" s="271"/>
      <c r="S2966" s="11"/>
      <c r="T2966" s="11"/>
      <c r="U2966" s="11"/>
      <c r="AW2966" s="234"/>
      <c r="BP2966" s="11"/>
      <c r="BQ2966" s="11"/>
      <c r="BV2966" s="158"/>
      <c r="BY2966" s="158"/>
      <c r="CB2966" s="158"/>
    </row>
    <row r="2967">
      <c r="A2967" s="222"/>
      <c r="B2967" s="221"/>
      <c r="C2967" s="222"/>
      <c r="D2967" s="222"/>
      <c r="E2967" s="222"/>
      <c r="F2967" s="222"/>
      <c r="G2967" s="222"/>
      <c r="H2967" s="222"/>
      <c r="I2967" s="222"/>
      <c r="J2967" s="223"/>
      <c r="K2967" s="223"/>
      <c r="L2967" s="222"/>
      <c r="M2967" s="222"/>
      <c r="N2967" s="222"/>
      <c r="O2967" s="222"/>
      <c r="P2967" s="222"/>
      <c r="Q2967" s="222"/>
      <c r="R2967" s="271"/>
      <c r="S2967" s="11"/>
      <c r="T2967" s="11"/>
      <c r="U2967" s="11"/>
      <c r="AW2967" s="234"/>
      <c r="BP2967" s="11"/>
      <c r="BQ2967" s="11"/>
      <c r="BV2967" s="158"/>
      <c r="BY2967" s="158"/>
      <c r="CB2967" s="158"/>
    </row>
    <row r="2968">
      <c r="A2968" s="222"/>
      <c r="B2968" s="221"/>
      <c r="C2968" s="222"/>
      <c r="D2968" s="222"/>
      <c r="E2968" s="222"/>
      <c r="F2968" s="222"/>
      <c r="G2968" s="222"/>
      <c r="H2968" s="222"/>
      <c r="I2968" s="222"/>
      <c r="J2968" s="223"/>
      <c r="K2968" s="223"/>
      <c r="L2968" s="222"/>
      <c r="M2968" s="222"/>
      <c r="N2968" s="222"/>
      <c r="O2968" s="222"/>
      <c r="P2968" s="222"/>
      <c r="Q2968" s="222"/>
      <c r="R2968" s="271"/>
      <c r="S2968" s="11"/>
      <c r="T2968" s="11"/>
      <c r="U2968" s="11"/>
      <c r="AW2968" s="234"/>
      <c r="BP2968" s="11"/>
      <c r="BQ2968" s="11"/>
      <c r="BV2968" s="158"/>
      <c r="BY2968" s="158"/>
      <c r="CB2968" s="158"/>
    </row>
    <row r="2969">
      <c r="A2969" s="222"/>
      <c r="B2969" s="221"/>
      <c r="C2969" s="222"/>
      <c r="D2969" s="222"/>
      <c r="E2969" s="222"/>
      <c r="F2969" s="222"/>
      <c r="G2969" s="222"/>
      <c r="H2969" s="222"/>
      <c r="I2969" s="222"/>
      <c r="J2969" s="223"/>
      <c r="K2969" s="223"/>
      <c r="L2969" s="222"/>
      <c r="M2969" s="222"/>
      <c r="N2969" s="222"/>
      <c r="O2969" s="222"/>
      <c r="P2969" s="222"/>
      <c r="Q2969" s="222"/>
      <c r="R2969" s="271"/>
      <c r="S2969" s="11"/>
      <c r="T2969" s="11"/>
      <c r="U2969" s="11"/>
      <c r="AW2969" s="234"/>
      <c r="BP2969" s="11"/>
      <c r="BQ2969" s="11"/>
      <c r="BV2969" s="158"/>
      <c r="BY2969" s="158"/>
      <c r="CB2969" s="158"/>
    </row>
    <row r="2970">
      <c r="A2970" s="222"/>
      <c r="B2970" s="221"/>
      <c r="C2970" s="222"/>
      <c r="D2970" s="222"/>
      <c r="E2970" s="222"/>
      <c r="F2970" s="222"/>
      <c r="G2970" s="222"/>
      <c r="H2970" s="222"/>
      <c r="I2970" s="222"/>
      <c r="J2970" s="223"/>
      <c r="K2970" s="223"/>
      <c r="L2970" s="222"/>
      <c r="M2970" s="222"/>
      <c r="N2970" s="222"/>
      <c r="O2970" s="222"/>
      <c r="P2970" s="222"/>
      <c r="Q2970" s="222"/>
      <c r="R2970" s="271"/>
      <c r="S2970" s="11"/>
      <c r="T2970" s="11"/>
      <c r="U2970" s="11"/>
      <c r="AW2970" s="234"/>
      <c r="BP2970" s="11"/>
      <c r="BQ2970" s="11"/>
      <c r="BV2970" s="158"/>
      <c r="BY2970" s="158"/>
      <c r="CB2970" s="158"/>
    </row>
    <row r="2971">
      <c r="A2971" s="222"/>
      <c r="B2971" s="221"/>
      <c r="C2971" s="222"/>
      <c r="D2971" s="222"/>
      <c r="E2971" s="222"/>
      <c r="F2971" s="222"/>
      <c r="G2971" s="222"/>
      <c r="H2971" s="222"/>
      <c r="I2971" s="222"/>
      <c r="J2971" s="223"/>
      <c r="K2971" s="223"/>
      <c r="L2971" s="222"/>
      <c r="M2971" s="222"/>
      <c r="N2971" s="222"/>
      <c r="O2971" s="222"/>
      <c r="P2971" s="222"/>
      <c r="Q2971" s="222"/>
      <c r="R2971" s="271"/>
      <c r="S2971" s="11"/>
      <c r="T2971" s="11"/>
      <c r="U2971" s="11"/>
      <c r="AW2971" s="234"/>
      <c r="BP2971" s="11"/>
      <c r="BQ2971" s="11"/>
      <c r="BV2971" s="158"/>
      <c r="BY2971" s="158"/>
      <c r="CB2971" s="158"/>
    </row>
    <row r="2972">
      <c r="A2972" s="222"/>
      <c r="B2972" s="221"/>
      <c r="C2972" s="222"/>
      <c r="D2972" s="222"/>
      <c r="E2972" s="222"/>
      <c r="F2972" s="222"/>
      <c r="G2972" s="222"/>
      <c r="H2972" s="222"/>
      <c r="I2972" s="222"/>
      <c r="J2972" s="223"/>
      <c r="K2972" s="223"/>
      <c r="L2972" s="222"/>
      <c r="M2972" s="222"/>
      <c r="N2972" s="222"/>
      <c r="O2972" s="222"/>
      <c r="P2972" s="222"/>
      <c r="Q2972" s="222"/>
      <c r="R2972" s="271"/>
      <c r="S2972" s="11"/>
      <c r="T2972" s="11"/>
      <c r="U2972" s="11"/>
      <c r="AW2972" s="234"/>
      <c r="BP2972" s="11"/>
      <c r="BQ2972" s="11"/>
      <c r="BV2972" s="158"/>
      <c r="BY2972" s="158"/>
      <c r="CB2972" s="158"/>
    </row>
    <row r="2973">
      <c r="A2973" s="222"/>
      <c r="B2973" s="221"/>
      <c r="C2973" s="222"/>
      <c r="D2973" s="222"/>
      <c r="E2973" s="222"/>
      <c r="F2973" s="222"/>
      <c r="G2973" s="222"/>
      <c r="H2973" s="222"/>
      <c r="I2973" s="222"/>
      <c r="J2973" s="223"/>
      <c r="K2973" s="223"/>
      <c r="L2973" s="222"/>
      <c r="M2973" s="222"/>
      <c r="N2973" s="222"/>
      <c r="O2973" s="222"/>
      <c r="P2973" s="222"/>
      <c r="Q2973" s="222"/>
      <c r="R2973" s="271"/>
      <c r="S2973" s="11"/>
      <c r="T2973" s="11"/>
      <c r="U2973" s="11"/>
      <c r="AW2973" s="234"/>
      <c r="BP2973" s="11"/>
      <c r="BQ2973" s="11"/>
      <c r="BV2973" s="158"/>
      <c r="BY2973" s="158"/>
      <c r="CB2973" s="158"/>
    </row>
    <row r="2974">
      <c r="A2974" s="222"/>
      <c r="B2974" s="221"/>
      <c r="C2974" s="222"/>
      <c r="D2974" s="222"/>
      <c r="E2974" s="222"/>
      <c r="F2974" s="222"/>
      <c r="G2974" s="222"/>
      <c r="H2974" s="222"/>
      <c r="I2974" s="222"/>
      <c r="J2974" s="223"/>
      <c r="K2974" s="223"/>
      <c r="L2974" s="222"/>
      <c r="M2974" s="222"/>
      <c r="N2974" s="222"/>
      <c r="O2974" s="222"/>
      <c r="P2974" s="222"/>
      <c r="Q2974" s="222"/>
      <c r="R2974" s="271"/>
      <c r="S2974" s="11"/>
      <c r="T2974" s="11"/>
      <c r="U2974" s="11"/>
      <c r="AW2974" s="234"/>
      <c r="BP2974" s="11"/>
      <c r="BQ2974" s="11"/>
      <c r="BV2974" s="158"/>
      <c r="BY2974" s="158"/>
      <c r="CB2974" s="158"/>
    </row>
    <row r="2975">
      <c r="A2975" s="222"/>
      <c r="B2975" s="221"/>
      <c r="C2975" s="222"/>
      <c r="D2975" s="222"/>
      <c r="E2975" s="222"/>
      <c r="F2975" s="222"/>
      <c r="G2975" s="222"/>
      <c r="H2975" s="222"/>
      <c r="I2975" s="222"/>
      <c r="J2975" s="223"/>
      <c r="K2975" s="223"/>
      <c r="L2975" s="222"/>
      <c r="M2975" s="222"/>
      <c r="N2975" s="222"/>
      <c r="O2975" s="222"/>
      <c r="P2975" s="222"/>
      <c r="Q2975" s="222"/>
      <c r="R2975" s="271"/>
      <c r="S2975" s="11"/>
      <c r="T2975" s="11"/>
      <c r="U2975" s="11"/>
      <c r="AW2975" s="234"/>
      <c r="BP2975" s="11"/>
      <c r="BQ2975" s="11"/>
      <c r="BV2975" s="158"/>
      <c r="BY2975" s="158"/>
      <c r="CB2975" s="158"/>
    </row>
    <row r="2976">
      <c r="A2976" s="222"/>
      <c r="B2976" s="221"/>
      <c r="C2976" s="222"/>
      <c r="D2976" s="222"/>
      <c r="E2976" s="222"/>
      <c r="F2976" s="222"/>
      <c r="G2976" s="222"/>
      <c r="H2976" s="222"/>
      <c r="I2976" s="222"/>
      <c r="J2976" s="223"/>
      <c r="K2976" s="223"/>
      <c r="L2976" s="222"/>
      <c r="M2976" s="222"/>
      <c r="N2976" s="222"/>
      <c r="O2976" s="222"/>
      <c r="P2976" s="222"/>
      <c r="Q2976" s="222"/>
      <c r="R2976" s="271"/>
      <c r="S2976" s="11"/>
      <c r="T2976" s="11"/>
      <c r="U2976" s="11"/>
      <c r="AW2976" s="234"/>
      <c r="BP2976" s="11"/>
      <c r="BQ2976" s="11"/>
      <c r="BV2976" s="158"/>
      <c r="BY2976" s="158"/>
      <c r="CB2976" s="158"/>
    </row>
    <row r="2977">
      <c r="A2977" s="222"/>
      <c r="B2977" s="221"/>
      <c r="C2977" s="222"/>
      <c r="D2977" s="222"/>
      <c r="E2977" s="222"/>
      <c r="F2977" s="222"/>
      <c r="G2977" s="222"/>
      <c r="H2977" s="222"/>
      <c r="I2977" s="222"/>
      <c r="J2977" s="223"/>
      <c r="K2977" s="223"/>
      <c r="L2977" s="222"/>
      <c r="M2977" s="222"/>
      <c r="N2977" s="222"/>
      <c r="O2977" s="222"/>
      <c r="P2977" s="222"/>
      <c r="Q2977" s="222"/>
      <c r="R2977" s="271"/>
      <c r="S2977" s="11"/>
      <c r="T2977" s="11"/>
      <c r="U2977" s="11"/>
      <c r="AW2977" s="234"/>
      <c r="BP2977" s="11"/>
      <c r="BQ2977" s="11"/>
      <c r="BV2977" s="158"/>
      <c r="BY2977" s="158"/>
      <c r="CB2977" s="158"/>
    </row>
    <row r="2978">
      <c r="A2978" s="222"/>
      <c r="B2978" s="221"/>
      <c r="C2978" s="222"/>
      <c r="D2978" s="222"/>
      <c r="E2978" s="222"/>
      <c r="F2978" s="222"/>
      <c r="G2978" s="222"/>
      <c r="H2978" s="222"/>
      <c r="I2978" s="222"/>
      <c r="J2978" s="223"/>
      <c r="K2978" s="223"/>
      <c r="L2978" s="222"/>
      <c r="M2978" s="222"/>
      <c r="N2978" s="222"/>
      <c r="O2978" s="222"/>
      <c r="P2978" s="222"/>
      <c r="Q2978" s="222"/>
      <c r="R2978" s="271"/>
      <c r="S2978" s="11"/>
      <c r="T2978" s="11"/>
      <c r="U2978" s="11"/>
      <c r="AW2978" s="234"/>
      <c r="BP2978" s="11"/>
      <c r="BQ2978" s="11"/>
      <c r="BV2978" s="158"/>
      <c r="BY2978" s="158"/>
      <c r="CB2978" s="158"/>
    </row>
    <row r="2979">
      <c r="A2979" s="222"/>
      <c r="B2979" s="221"/>
      <c r="C2979" s="222"/>
      <c r="D2979" s="222"/>
      <c r="E2979" s="222"/>
      <c r="F2979" s="222"/>
      <c r="G2979" s="222"/>
      <c r="H2979" s="222"/>
      <c r="I2979" s="222"/>
      <c r="J2979" s="223"/>
      <c r="K2979" s="223"/>
      <c r="L2979" s="222"/>
      <c r="M2979" s="222"/>
      <c r="N2979" s="222"/>
      <c r="O2979" s="222"/>
      <c r="P2979" s="222"/>
      <c r="Q2979" s="222"/>
      <c r="R2979" s="271"/>
      <c r="S2979" s="11"/>
      <c r="T2979" s="11"/>
      <c r="U2979" s="11"/>
      <c r="AW2979" s="234"/>
      <c r="BP2979" s="11"/>
      <c r="BQ2979" s="11"/>
      <c r="BV2979" s="158"/>
      <c r="BY2979" s="158"/>
      <c r="CB2979" s="158"/>
    </row>
    <row r="2980">
      <c r="A2980" s="222"/>
      <c r="B2980" s="221"/>
      <c r="C2980" s="222"/>
      <c r="D2980" s="222"/>
      <c r="E2980" s="222"/>
      <c r="F2980" s="222"/>
      <c r="G2980" s="222"/>
      <c r="H2980" s="222"/>
      <c r="I2980" s="222"/>
      <c r="J2980" s="223"/>
      <c r="K2980" s="223"/>
      <c r="L2980" s="222"/>
      <c r="M2980" s="222"/>
      <c r="N2980" s="222"/>
      <c r="O2980" s="222"/>
      <c r="P2980" s="222"/>
      <c r="Q2980" s="222"/>
      <c r="R2980" s="271"/>
      <c r="S2980" s="11"/>
      <c r="T2980" s="11"/>
      <c r="U2980" s="11"/>
      <c r="AW2980" s="234"/>
      <c r="BP2980" s="11"/>
      <c r="BQ2980" s="11"/>
      <c r="BV2980" s="158"/>
      <c r="BY2980" s="158"/>
      <c r="CB2980" s="158"/>
    </row>
    <row r="2981">
      <c r="A2981" s="222"/>
      <c r="B2981" s="221"/>
      <c r="C2981" s="222"/>
      <c r="D2981" s="222"/>
      <c r="E2981" s="222"/>
      <c r="F2981" s="222"/>
      <c r="G2981" s="222"/>
      <c r="H2981" s="222"/>
      <c r="I2981" s="222"/>
      <c r="J2981" s="223"/>
      <c r="K2981" s="223"/>
      <c r="L2981" s="222"/>
      <c r="M2981" s="222"/>
      <c r="N2981" s="222"/>
      <c r="O2981" s="222"/>
      <c r="P2981" s="222"/>
      <c r="Q2981" s="222"/>
      <c r="R2981" s="271"/>
      <c r="S2981" s="11"/>
      <c r="T2981" s="11"/>
      <c r="U2981" s="11"/>
      <c r="AW2981" s="234"/>
      <c r="BP2981" s="11"/>
      <c r="BQ2981" s="11"/>
      <c r="BV2981" s="158"/>
      <c r="BY2981" s="158"/>
      <c r="CB2981" s="158"/>
    </row>
    <row r="2982">
      <c r="A2982" s="222"/>
      <c r="B2982" s="221"/>
      <c r="C2982" s="222"/>
      <c r="D2982" s="222"/>
      <c r="E2982" s="222"/>
      <c r="F2982" s="222"/>
      <c r="G2982" s="222"/>
      <c r="H2982" s="222"/>
      <c r="I2982" s="222"/>
      <c r="J2982" s="223"/>
      <c r="K2982" s="223"/>
      <c r="L2982" s="222"/>
      <c r="M2982" s="222"/>
      <c r="N2982" s="222"/>
      <c r="O2982" s="222"/>
      <c r="P2982" s="222"/>
      <c r="Q2982" s="222"/>
      <c r="R2982" s="271"/>
      <c r="S2982" s="11"/>
      <c r="T2982" s="11"/>
      <c r="U2982" s="11"/>
      <c r="AW2982" s="234"/>
      <c r="BP2982" s="11"/>
      <c r="BQ2982" s="11"/>
      <c r="BV2982" s="158"/>
      <c r="BY2982" s="158"/>
      <c r="CB2982" s="158"/>
    </row>
    <row r="2983">
      <c r="A2983" s="222"/>
      <c r="B2983" s="221"/>
      <c r="C2983" s="222"/>
      <c r="D2983" s="222"/>
      <c r="E2983" s="222"/>
      <c r="F2983" s="222"/>
      <c r="G2983" s="222"/>
      <c r="H2983" s="222"/>
      <c r="I2983" s="222"/>
      <c r="J2983" s="223"/>
      <c r="K2983" s="223"/>
      <c r="L2983" s="222"/>
      <c r="M2983" s="222"/>
      <c r="N2983" s="222"/>
      <c r="O2983" s="222"/>
      <c r="P2983" s="222"/>
      <c r="Q2983" s="222"/>
      <c r="R2983" s="271"/>
      <c r="S2983" s="11"/>
      <c r="T2983" s="11"/>
      <c r="U2983" s="11"/>
      <c r="AW2983" s="234"/>
      <c r="BP2983" s="11"/>
      <c r="BQ2983" s="11"/>
      <c r="BV2983" s="158"/>
      <c r="BY2983" s="158"/>
      <c r="CB2983" s="158"/>
    </row>
    <row r="2984">
      <c r="A2984" s="222"/>
      <c r="B2984" s="221"/>
      <c r="C2984" s="222"/>
      <c r="D2984" s="222"/>
      <c r="E2984" s="222"/>
      <c r="F2984" s="222"/>
      <c r="G2984" s="222"/>
      <c r="H2984" s="222"/>
      <c r="I2984" s="222"/>
      <c r="J2984" s="223"/>
      <c r="K2984" s="223"/>
      <c r="L2984" s="222"/>
      <c r="M2984" s="222"/>
      <c r="N2984" s="222"/>
      <c r="O2984" s="222"/>
      <c r="P2984" s="222"/>
      <c r="Q2984" s="222"/>
      <c r="R2984" s="271"/>
      <c r="S2984" s="11"/>
      <c r="T2984" s="11"/>
      <c r="U2984" s="11"/>
      <c r="AW2984" s="234"/>
      <c r="BP2984" s="11"/>
      <c r="BQ2984" s="11"/>
      <c r="BV2984" s="158"/>
      <c r="BY2984" s="158"/>
      <c r="CB2984" s="158"/>
    </row>
    <row r="2985">
      <c r="A2985" s="222"/>
      <c r="B2985" s="221"/>
      <c r="C2985" s="222"/>
      <c r="D2985" s="222"/>
      <c r="E2985" s="222"/>
      <c r="F2985" s="222"/>
      <c r="G2985" s="222"/>
      <c r="H2985" s="222"/>
      <c r="I2985" s="222"/>
      <c r="J2985" s="223"/>
      <c r="K2985" s="223"/>
      <c r="L2985" s="222"/>
      <c r="M2985" s="222"/>
      <c r="N2985" s="222"/>
      <c r="O2985" s="222"/>
      <c r="P2985" s="222"/>
      <c r="Q2985" s="222"/>
      <c r="R2985" s="271"/>
      <c r="S2985" s="11"/>
      <c r="T2985" s="11"/>
      <c r="U2985" s="11"/>
      <c r="AW2985" s="234"/>
      <c r="BP2985" s="11"/>
      <c r="BQ2985" s="11"/>
      <c r="BV2985" s="158"/>
      <c r="BY2985" s="158"/>
      <c r="CB2985" s="158"/>
    </row>
    <row r="2986">
      <c r="A2986" s="222"/>
      <c r="B2986" s="221"/>
      <c r="C2986" s="222"/>
      <c r="D2986" s="222"/>
      <c r="E2986" s="222"/>
      <c r="F2986" s="222"/>
      <c r="G2986" s="222"/>
      <c r="H2986" s="222"/>
      <c r="I2986" s="222"/>
      <c r="J2986" s="223"/>
      <c r="K2986" s="223"/>
      <c r="L2986" s="222"/>
      <c r="M2986" s="222"/>
      <c r="N2986" s="222"/>
      <c r="O2986" s="222"/>
      <c r="P2986" s="222"/>
      <c r="Q2986" s="222"/>
      <c r="R2986" s="271"/>
      <c r="S2986" s="11"/>
      <c r="T2986" s="11"/>
      <c r="U2986" s="11"/>
      <c r="AW2986" s="234"/>
      <c r="BP2986" s="11"/>
      <c r="BQ2986" s="11"/>
      <c r="BV2986" s="158"/>
      <c r="BY2986" s="158"/>
      <c r="CB2986" s="158"/>
    </row>
    <row r="2987">
      <c r="A2987" s="222"/>
      <c r="B2987" s="221"/>
      <c r="C2987" s="222"/>
      <c r="D2987" s="222"/>
      <c r="E2987" s="222"/>
      <c r="F2987" s="222"/>
      <c r="G2987" s="222"/>
      <c r="H2987" s="222"/>
      <c r="I2987" s="222"/>
      <c r="J2987" s="223"/>
      <c r="K2987" s="223"/>
      <c r="L2987" s="222"/>
      <c r="M2987" s="222"/>
      <c r="N2987" s="222"/>
      <c r="O2987" s="222"/>
      <c r="P2987" s="222"/>
      <c r="Q2987" s="222"/>
      <c r="R2987" s="271"/>
      <c r="S2987" s="11"/>
      <c r="T2987" s="11"/>
      <c r="U2987" s="11"/>
      <c r="AW2987" s="234"/>
      <c r="BP2987" s="11"/>
      <c r="BQ2987" s="11"/>
      <c r="BV2987" s="158"/>
      <c r="BY2987" s="158"/>
      <c r="CB2987" s="158"/>
    </row>
    <row r="2988">
      <c r="A2988" s="222"/>
      <c r="B2988" s="221"/>
      <c r="C2988" s="222"/>
      <c r="D2988" s="222"/>
      <c r="E2988" s="222"/>
      <c r="F2988" s="222"/>
      <c r="G2988" s="222"/>
      <c r="H2988" s="222"/>
      <c r="I2988" s="222"/>
      <c r="J2988" s="223"/>
      <c r="K2988" s="223"/>
      <c r="L2988" s="222"/>
      <c r="M2988" s="222"/>
      <c r="N2988" s="222"/>
      <c r="O2988" s="222"/>
      <c r="P2988" s="222"/>
      <c r="Q2988" s="222"/>
      <c r="R2988" s="271"/>
      <c r="S2988" s="11"/>
      <c r="T2988" s="11"/>
      <c r="U2988" s="11"/>
      <c r="AW2988" s="234"/>
      <c r="BP2988" s="11"/>
      <c r="BQ2988" s="11"/>
      <c r="BV2988" s="158"/>
      <c r="BY2988" s="158"/>
      <c r="CB2988" s="158"/>
    </row>
    <row r="2989">
      <c r="A2989" s="222"/>
      <c r="B2989" s="221"/>
      <c r="C2989" s="222"/>
      <c r="D2989" s="222"/>
      <c r="E2989" s="222"/>
      <c r="F2989" s="222"/>
      <c r="G2989" s="222"/>
      <c r="H2989" s="222"/>
      <c r="I2989" s="222"/>
      <c r="J2989" s="223"/>
      <c r="K2989" s="223"/>
      <c r="L2989" s="222"/>
      <c r="M2989" s="222"/>
      <c r="N2989" s="222"/>
      <c r="O2989" s="222"/>
      <c r="P2989" s="222"/>
      <c r="Q2989" s="222"/>
      <c r="R2989" s="271"/>
      <c r="S2989" s="11"/>
      <c r="T2989" s="11"/>
      <c r="U2989" s="11"/>
      <c r="AW2989" s="234"/>
      <c r="BP2989" s="11"/>
      <c r="BQ2989" s="11"/>
      <c r="BV2989" s="158"/>
      <c r="BY2989" s="158"/>
      <c r="CB2989" s="158"/>
    </row>
    <row r="2990">
      <c r="A2990" s="222"/>
      <c r="B2990" s="221"/>
      <c r="C2990" s="222"/>
      <c r="D2990" s="222"/>
      <c r="E2990" s="222"/>
      <c r="F2990" s="222"/>
      <c r="G2990" s="222"/>
      <c r="H2990" s="222"/>
      <c r="I2990" s="222"/>
      <c r="J2990" s="223"/>
      <c r="K2990" s="223"/>
      <c r="L2990" s="222"/>
      <c r="M2990" s="222"/>
      <c r="N2990" s="222"/>
      <c r="O2990" s="222"/>
      <c r="P2990" s="222"/>
      <c r="Q2990" s="222"/>
      <c r="R2990" s="271"/>
      <c r="S2990" s="11"/>
      <c r="T2990" s="11"/>
      <c r="U2990" s="11"/>
      <c r="AW2990" s="234"/>
      <c r="BP2990" s="11"/>
      <c r="BQ2990" s="11"/>
      <c r="BV2990" s="158"/>
      <c r="BY2990" s="158"/>
      <c r="CB2990" s="158"/>
    </row>
    <row r="2991">
      <c r="A2991" s="222"/>
      <c r="B2991" s="221"/>
      <c r="C2991" s="222"/>
      <c r="D2991" s="222"/>
      <c r="E2991" s="222"/>
      <c r="F2991" s="222"/>
      <c r="G2991" s="222"/>
      <c r="H2991" s="222"/>
      <c r="I2991" s="222"/>
      <c r="J2991" s="223"/>
      <c r="K2991" s="223"/>
      <c r="L2991" s="222"/>
      <c r="M2991" s="222"/>
      <c r="N2991" s="222"/>
      <c r="O2991" s="222"/>
      <c r="P2991" s="222"/>
      <c r="Q2991" s="222"/>
      <c r="R2991" s="271"/>
      <c r="S2991" s="11"/>
      <c r="T2991" s="11"/>
      <c r="U2991" s="11"/>
      <c r="AW2991" s="234"/>
      <c r="BP2991" s="11"/>
      <c r="BQ2991" s="11"/>
      <c r="BV2991" s="158"/>
      <c r="BY2991" s="158"/>
      <c r="CB2991" s="158"/>
    </row>
    <row r="2992">
      <c r="A2992" s="222"/>
      <c r="B2992" s="221"/>
      <c r="C2992" s="222"/>
      <c r="D2992" s="222"/>
      <c r="E2992" s="222"/>
      <c r="F2992" s="222"/>
      <c r="G2992" s="222"/>
      <c r="H2992" s="222"/>
      <c r="I2992" s="222"/>
      <c r="J2992" s="223"/>
      <c r="K2992" s="223"/>
      <c r="L2992" s="222"/>
      <c r="M2992" s="222"/>
      <c r="N2992" s="222"/>
      <c r="O2992" s="222"/>
      <c r="P2992" s="222"/>
      <c r="Q2992" s="222"/>
      <c r="R2992" s="271"/>
      <c r="S2992" s="11"/>
      <c r="T2992" s="11"/>
      <c r="U2992" s="11"/>
      <c r="AW2992" s="234"/>
      <c r="BP2992" s="11"/>
      <c r="BQ2992" s="11"/>
      <c r="BV2992" s="158"/>
      <c r="BY2992" s="158"/>
      <c r="CB2992" s="158"/>
    </row>
    <row r="2993">
      <c r="A2993" s="222"/>
      <c r="B2993" s="221"/>
      <c r="C2993" s="222"/>
      <c r="D2993" s="222"/>
      <c r="E2993" s="222"/>
      <c r="F2993" s="222"/>
      <c r="G2993" s="222"/>
      <c r="H2993" s="222"/>
      <c r="I2993" s="222"/>
      <c r="J2993" s="223"/>
      <c r="K2993" s="223"/>
      <c r="L2993" s="222"/>
      <c r="M2993" s="222"/>
      <c r="N2993" s="222"/>
      <c r="O2993" s="222"/>
      <c r="P2993" s="222"/>
      <c r="Q2993" s="222"/>
      <c r="R2993" s="271"/>
      <c r="S2993" s="11"/>
      <c r="T2993" s="11"/>
      <c r="U2993" s="11"/>
      <c r="AW2993" s="234"/>
      <c r="BP2993" s="11"/>
      <c r="BQ2993" s="11"/>
      <c r="BV2993" s="158"/>
      <c r="BY2993" s="158"/>
      <c r="CB2993" s="158"/>
    </row>
    <row r="2994">
      <c r="A2994" s="222"/>
      <c r="B2994" s="221"/>
      <c r="C2994" s="222"/>
      <c r="D2994" s="222"/>
      <c r="E2994" s="222"/>
      <c r="F2994" s="222"/>
      <c r="G2994" s="222"/>
      <c r="H2994" s="222"/>
      <c r="I2994" s="222"/>
      <c r="J2994" s="223"/>
      <c r="K2994" s="223"/>
      <c r="L2994" s="222"/>
      <c r="M2994" s="222"/>
      <c r="N2994" s="222"/>
      <c r="O2994" s="222"/>
      <c r="P2994" s="222"/>
      <c r="Q2994" s="222"/>
      <c r="R2994" s="271"/>
      <c r="S2994" s="11"/>
      <c r="T2994" s="11"/>
      <c r="U2994" s="11"/>
      <c r="AW2994" s="234"/>
      <c r="BP2994" s="11"/>
      <c r="BQ2994" s="11"/>
      <c r="BV2994" s="158"/>
      <c r="BY2994" s="158"/>
      <c r="CB2994" s="158"/>
    </row>
    <row r="2995">
      <c r="A2995" s="222"/>
      <c r="B2995" s="221"/>
      <c r="C2995" s="222"/>
      <c r="D2995" s="222"/>
      <c r="E2995" s="222"/>
      <c r="F2995" s="222"/>
      <c r="G2995" s="222"/>
      <c r="H2995" s="222"/>
      <c r="I2995" s="222"/>
      <c r="J2995" s="223"/>
      <c r="K2995" s="223"/>
      <c r="L2995" s="222"/>
      <c r="M2995" s="222"/>
      <c r="N2995" s="222"/>
      <c r="O2995" s="222"/>
      <c r="P2995" s="222"/>
      <c r="Q2995" s="222"/>
      <c r="R2995" s="271"/>
      <c r="S2995" s="11"/>
      <c r="T2995" s="11"/>
      <c r="U2995" s="11"/>
      <c r="AW2995" s="234"/>
      <c r="BP2995" s="11"/>
      <c r="BQ2995" s="11"/>
      <c r="BV2995" s="158"/>
      <c r="BY2995" s="158"/>
      <c r="CB2995" s="158"/>
    </row>
    <row r="2996">
      <c r="A2996" s="222"/>
      <c r="B2996" s="221"/>
      <c r="C2996" s="222"/>
      <c r="D2996" s="222"/>
      <c r="E2996" s="222"/>
      <c r="F2996" s="222"/>
      <c r="G2996" s="222"/>
      <c r="H2996" s="222"/>
      <c r="I2996" s="222"/>
      <c r="J2996" s="223"/>
      <c r="K2996" s="223"/>
      <c r="L2996" s="222"/>
      <c r="M2996" s="222"/>
      <c r="N2996" s="222"/>
      <c r="O2996" s="222"/>
      <c r="P2996" s="222"/>
      <c r="Q2996" s="222"/>
      <c r="R2996" s="271"/>
      <c r="S2996" s="11"/>
      <c r="T2996" s="11"/>
      <c r="U2996" s="11"/>
      <c r="AW2996" s="234"/>
      <c r="BP2996" s="11"/>
      <c r="BQ2996" s="11"/>
      <c r="BV2996" s="158"/>
      <c r="BY2996" s="158"/>
      <c r="CB2996" s="158"/>
    </row>
    <row r="2997">
      <c r="A2997" s="222"/>
      <c r="B2997" s="221"/>
      <c r="C2997" s="222"/>
      <c r="D2997" s="222"/>
      <c r="E2997" s="222"/>
      <c r="F2997" s="222"/>
      <c r="G2997" s="222"/>
      <c r="H2997" s="222"/>
      <c r="I2997" s="222"/>
      <c r="J2997" s="223"/>
      <c r="K2997" s="223"/>
      <c r="L2997" s="222"/>
      <c r="M2997" s="222"/>
      <c r="N2997" s="222"/>
      <c r="O2997" s="222"/>
      <c r="P2997" s="222"/>
      <c r="Q2997" s="222"/>
      <c r="R2997" s="271"/>
      <c r="S2997" s="11"/>
      <c r="T2997" s="11"/>
      <c r="U2997" s="11"/>
      <c r="AW2997" s="234"/>
      <c r="BP2997" s="11"/>
      <c r="BQ2997" s="11"/>
      <c r="BV2997" s="158"/>
      <c r="BY2997" s="158"/>
      <c r="CB2997" s="158"/>
    </row>
    <row r="2998">
      <c r="A2998" s="222"/>
      <c r="B2998" s="221"/>
      <c r="C2998" s="222"/>
      <c r="D2998" s="222"/>
      <c r="E2998" s="222"/>
      <c r="F2998" s="222"/>
      <c r="G2998" s="222"/>
      <c r="H2998" s="222"/>
      <c r="I2998" s="222"/>
      <c r="J2998" s="223"/>
      <c r="K2998" s="223"/>
      <c r="L2998" s="222"/>
      <c r="M2998" s="222"/>
      <c r="N2998" s="222"/>
      <c r="O2998" s="222"/>
      <c r="P2998" s="222"/>
      <c r="Q2998" s="222"/>
      <c r="R2998" s="271"/>
      <c r="S2998" s="11"/>
      <c r="T2998" s="11"/>
      <c r="U2998" s="11"/>
      <c r="AW2998" s="234"/>
      <c r="BP2998" s="11"/>
      <c r="BQ2998" s="11"/>
      <c r="BV2998" s="158"/>
      <c r="BY2998" s="158"/>
      <c r="CB2998" s="158"/>
    </row>
    <row r="2999">
      <c r="A2999" s="222"/>
      <c r="B2999" s="221"/>
      <c r="C2999" s="222"/>
      <c r="D2999" s="222"/>
      <c r="E2999" s="222"/>
      <c r="F2999" s="222"/>
      <c r="G2999" s="222"/>
      <c r="H2999" s="222"/>
      <c r="I2999" s="222"/>
      <c r="J2999" s="223"/>
      <c r="K2999" s="223"/>
      <c r="L2999" s="222"/>
      <c r="M2999" s="222"/>
      <c r="N2999" s="222"/>
      <c r="O2999" s="222"/>
      <c r="P2999" s="222"/>
      <c r="Q2999" s="222"/>
      <c r="R2999" s="271"/>
      <c r="S2999" s="11"/>
      <c r="T2999" s="11"/>
      <c r="U2999" s="11"/>
      <c r="AW2999" s="234"/>
      <c r="BP2999" s="11"/>
      <c r="BQ2999" s="11"/>
      <c r="BV2999" s="158"/>
      <c r="BY2999" s="158"/>
      <c r="CB2999" s="158"/>
    </row>
    <row r="3000">
      <c r="A3000" s="222"/>
      <c r="B3000" s="221"/>
      <c r="C3000" s="222"/>
      <c r="D3000" s="222"/>
      <c r="E3000" s="222"/>
      <c r="F3000" s="222"/>
      <c r="G3000" s="222"/>
      <c r="H3000" s="222"/>
      <c r="I3000" s="222"/>
      <c r="J3000" s="223"/>
      <c r="K3000" s="223"/>
      <c r="L3000" s="222"/>
      <c r="M3000" s="222"/>
      <c r="N3000" s="222"/>
      <c r="O3000" s="222"/>
      <c r="P3000" s="222"/>
      <c r="Q3000" s="222"/>
      <c r="R3000" s="271"/>
      <c r="S3000" s="11"/>
      <c r="T3000" s="11"/>
      <c r="U3000" s="11"/>
      <c r="AW3000" s="234"/>
      <c r="BP3000" s="11"/>
      <c r="BQ3000" s="11"/>
      <c r="BV3000" s="158"/>
      <c r="BY3000" s="158"/>
      <c r="CB3000" s="158"/>
    </row>
    <row r="3001">
      <c r="A3001" s="222"/>
      <c r="B3001" s="221"/>
      <c r="C3001" s="222"/>
      <c r="D3001" s="222"/>
      <c r="E3001" s="222"/>
      <c r="F3001" s="222"/>
      <c r="G3001" s="222"/>
      <c r="H3001" s="222"/>
      <c r="I3001" s="222"/>
      <c r="J3001" s="223"/>
      <c r="K3001" s="223"/>
      <c r="L3001" s="222"/>
      <c r="M3001" s="222"/>
      <c r="N3001" s="222"/>
      <c r="O3001" s="222"/>
      <c r="P3001" s="222"/>
      <c r="Q3001" s="222"/>
      <c r="R3001" s="271"/>
      <c r="S3001" s="11"/>
      <c r="T3001" s="11"/>
      <c r="U3001" s="11"/>
      <c r="AW3001" s="234"/>
      <c r="BP3001" s="11"/>
      <c r="BQ3001" s="11"/>
      <c r="BV3001" s="158"/>
      <c r="BY3001" s="158"/>
      <c r="CB3001" s="158"/>
    </row>
    <row r="3002">
      <c r="A3002" s="222"/>
      <c r="B3002" s="221"/>
      <c r="C3002" s="222"/>
      <c r="D3002" s="222"/>
      <c r="E3002" s="222"/>
      <c r="F3002" s="222"/>
      <c r="G3002" s="222"/>
      <c r="H3002" s="222"/>
      <c r="I3002" s="222"/>
      <c r="J3002" s="223"/>
      <c r="K3002" s="223"/>
      <c r="L3002" s="222"/>
      <c r="M3002" s="222"/>
      <c r="N3002" s="222"/>
      <c r="O3002" s="222"/>
      <c r="P3002" s="222"/>
      <c r="Q3002" s="222"/>
      <c r="R3002" s="271"/>
      <c r="S3002" s="11"/>
      <c r="T3002" s="11"/>
      <c r="U3002" s="11"/>
      <c r="AW3002" s="234"/>
      <c r="BP3002" s="11"/>
      <c r="BQ3002" s="11"/>
      <c r="BV3002" s="158"/>
      <c r="BY3002" s="158"/>
      <c r="CB3002" s="158"/>
    </row>
    <row r="3003">
      <c r="A3003" s="222"/>
      <c r="B3003" s="221"/>
      <c r="C3003" s="222"/>
      <c r="D3003" s="222"/>
      <c r="E3003" s="222"/>
      <c r="F3003" s="222"/>
      <c r="G3003" s="222"/>
      <c r="H3003" s="222"/>
      <c r="I3003" s="222"/>
      <c r="J3003" s="223"/>
      <c r="K3003" s="223"/>
      <c r="L3003" s="222"/>
      <c r="M3003" s="222"/>
      <c r="N3003" s="222"/>
      <c r="O3003" s="222"/>
      <c r="P3003" s="222"/>
      <c r="Q3003" s="222"/>
      <c r="R3003" s="271"/>
      <c r="S3003" s="11"/>
      <c r="T3003" s="11"/>
      <c r="U3003" s="11"/>
      <c r="AW3003" s="234"/>
      <c r="BP3003" s="11"/>
      <c r="BQ3003" s="11"/>
      <c r="BV3003" s="158"/>
      <c r="BY3003" s="158"/>
      <c r="CB3003" s="158"/>
    </row>
    <row r="3004">
      <c r="A3004" s="222"/>
      <c r="B3004" s="221"/>
      <c r="C3004" s="222"/>
      <c r="D3004" s="222"/>
      <c r="E3004" s="222"/>
      <c r="F3004" s="222"/>
      <c r="G3004" s="222"/>
      <c r="H3004" s="222"/>
      <c r="I3004" s="222"/>
      <c r="J3004" s="223"/>
      <c r="K3004" s="223"/>
      <c r="L3004" s="222"/>
      <c r="M3004" s="222"/>
      <c r="N3004" s="222"/>
      <c r="O3004" s="222"/>
      <c r="P3004" s="222"/>
      <c r="Q3004" s="222"/>
      <c r="R3004" s="271"/>
      <c r="S3004" s="11"/>
      <c r="T3004" s="11"/>
      <c r="U3004" s="11"/>
      <c r="AW3004" s="234"/>
      <c r="BP3004" s="11"/>
      <c r="BQ3004" s="11"/>
      <c r="BV3004" s="158"/>
      <c r="BY3004" s="158"/>
      <c r="CB3004" s="158"/>
    </row>
    <row r="3005">
      <c r="A3005" s="222"/>
      <c r="B3005" s="221"/>
      <c r="C3005" s="222"/>
      <c r="D3005" s="222"/>
      <c r="E3005" s="222"/>
      <c r="F3005" s="222"/>
      <c r="G3005" s="222"/>
      <c r="H3005" s="222"/>
      <c r="I3005" s="222"/>
      <c r="J3005" s="223"/>
      <c r="K3005" s="223"/>
      <c r="L3005" s="222"/>
      <c r="M3005" s="222"/>
      <c r="N3005" s="222"/>
      <c r="O3005" s="222"/>
      <c r="P3005" s="222"/>
      <c r="Q3005" s="222"/>
      <c r="R3005" s="271"/>
      <c r="S3005" s="11"/>
      <c r="T3005" s="11"/>
      <c r="U3005" s="11"/>
      <c r="AW3005" s="234"/>
      <c r="BP3005" s="11"/>
      <c r="BQ3005" s="11"/>
      <c r="BV3005" s="158"/>
      <c r="BY3005" s="158"/>
      <c r="CB3005" s="158"/>
    </row>
    <row r="3006">
      <c r="A3006" s="222"/>
      <c r="B3006" s="221"/>
      <c r="C3006" s="222"/>
      <c r="D3006" s="222"/>
      <c r="E3006" s="222"/>
      <c r="F3006" s="222"/>
      <c r="G3006" s="222"/>
      <c r="H3006" s="222"/>
      <c r="I3006" s="222"/>
      <c r="J3006" s="223"/>
      <c r="K3006" s="223"/>
      <c r="L3006" s="222"/>
      <c r="M3006" s="222"/>
      <c r="N3006" s="222"/>
      <c r="O3006" s="222"/>
      <c r="P3006" s="222"/>
      <c r="Q3006" s="222"/>
      <c r="R3006" s="271"/>
      <c r="S3006" s="11"/>
      <c r="T3006" s="11"/>
      <c r="U3006" s="11"/>
      <c r="AW3006" s="234"/>
      <c r="BP3006" s="11"/>
      <c r="BQ3006" s="11"/>
      <c r="BV3006" s="158"/>
      <c r="BY3006" s="158"/>
      <c r="CB3006" s="158"/>
    </row>
    <row r="3007">
      <c r="A3007" s="222"/>
      <c r="B3007" s="221"/>
      <c r="C3007" s="222"/>
      <c r="D3007" s="222"/>
      <c r="E3007" s="222"/>
      <c r="F3007" s="222"/>
      <c r="G3007" s="222"/>
      <c r="H3007" s="222"/>
      <c r="I3007" s="222"/>
      <c r="J3007" s="223"/>
      <c r="K3007" s="223"/>
      <c r="L3007" s="222"/>
      <c r="M3007" s="222"/>
      <c r="N3007" s="222"/>
      <c r="O3007" s="222"/>
      <c r="P3007" s="222"/>
      <c r="Q3007" s="222"/>
      <c r="R3007" s="271"/>
      <c r="S3007" s="11"/>
      <c r="T3007" s="11"/>
      <c r="U3007" s="11"/>
      <c r="AW3007" s="234"/>
      <c r="BP3007" s="11"/>
      <c r="BQ3007" s="11"/>
      <c r="BV3007" s="158"/>
      <c r="BY3007" s="158"/>
      <c r="CB3007" s="158"/>
    </row>
    <row r="3008">
      <c r="A3008" s="222"/>
      <c r="B3008" s="221"/>
      <c r="C3008" s="222"/>
      <c r="D3008" s="222"/>
      <c r="E3008" s="222"/>
      <c r="F3008" s="222"/>
      <c r="G3008" s="222"/>
      <c r="H3008" s="222"/>
      <c r="I3008" s="222"/>
      <c r="J3008" s="223"/>
      <c r="K3008" s="223"/>
      <c r="L3008" s="222"/>
      <c r="M3008" s="222"/>
      <c r="N3008" s="222"/>
      <c r="O3008" s="222"/>
      <c r="P3008" s="222"/>
      <c r="Q3008" s="222"/>
      <c r="R3008" s="271"/>
      <c r="S3008" s="11"/>
      <c r="T3008" s="11"/>
      <c r="U3008" s="11"/>
      <c r="AW3008" s="234"/>
      <c r="BP3008" s="11"/>
      <c r="BQ3008" s="11"/>
      <c r="BV3008" s="158"/>
      <c r="BY3008" s="158"/>
      <c r="CB3008" s="158"/>
    </row>
    <row r="3009">
      <c r="A3009" s="222"/>
      <c r="B3009" s="221"/>
      <c r="C3009" s="222"/>
      <c r="D3009" s="222"/>
      <c r="E3009" s="222"/>
      <c r="F3009" s="222"/>
      <c r="G3009" s="222"/>
      <c r="H3009" s="222"/>
      <c r="I3009" s="222"/>
      <c r="J3009" s="223"/>
      <c r="K3009" s="223"/>
      <c r="L3009" s="222"/>
      <c r="M3009" s="222"/>
      <c r="N3009" s="222"/>
      <c r="O3009" s="222"/>
      <c r="P3009" s="222"/>
      <c r="Q3009" s="222"/>
      <c r="R3009" s="271"/>
      <c r="S3009" s="11"/>
      <c r="T3009" s="11"/>
      <c r="U3009" s="11"/>
      <c r="AW3009" s="234"/>
      <c r="BP3009" s="11"/>
      <c r="BQ3009" s="11"/>
      <c r="BV3009" s="158"/>
      <c r="BY3009" s="158"/>
      <c r="CB3009" s="158"/>
    </row>
    <row r="3010">
      <c r="A3010" s="222"/>
      <c r="B3010" s="221"/>
      <c r="C3010" s="222"/>
      <c r="D3010" s="222"/>
      <c r="E3010" s="222"/>
      <c r="F3010" s="222"/>
      <c r="G3010" s="222"/>
      <c r="H3010" s="222"/>
      <c r="I3010" s="222"/>
      <c r="J3010" s="223"/>
      <c r="K3010" s="223"/>
      <c r="L3010" s="222"/>
      <c r="M3010" s="222"/>
      <c r="N3010" s="222"/>
      <c r="O3010" s="222"/>
      <c r="P3010" s="222"/>
      <c r="Q3010" s="222"/>
      <c r="R3010" s="271"/>
      <c r="S3010" s="11"/>
      <c r="T3010" s="11"/>
      <c r="U3010" s="11"/>
      <c r="AW3010" s="234"/>
      <c r="BP3010" s="11"/>
      <c r="BQ3010" s="11"/>
      <c r="BV3010" s="158"/>
      <c r="BY3010" s="158"/>
      <c r="CB3010" s="158"/>
    </row>
    <row r="3011">
      <c r="A3011" s="222"/>
      <c r="B3011" s="221"/>
      <c r="C3011" s="222"/>
      <c r="D3011" s="222"/>
      <c r="E3011" s="222"/>
      <c r="F3011" s="222"/>
      <c r="G3011" s="222"/>
      <c r="H3011" s="222"/>
      <c r="I3011" s="222"/>
      <c r="J3011" s="223"/>
      <c r="K3011" s="223"/>
      <c r="L3011" s="222"/>
      <c r="M3011" s="222"/>
      <c r="N3011" s="222"/>
      <c r="O3011" s="222"/>
      <c r="P3011" s="222"/>
      <c r="Q3011" s="222"/>
      <c r="R3011" s="271"/>
      <c r="S3011" s="11"/>
      <c r="T3011" s="11"/>
      <c r="U3011" s="11"/>
      <c r="AW3011" s="234"/>
      <c r="BP3011" s="11"/>
      <c r="BQ3011" s="11"/>
      <c r="BV3011" s="158"/>
      <c r="BY3011" s="158"/>
      <c r="CB3011" s="158"/>
    </row>
    <row r="3012">
      <c r="A3012" s="222"/>
      <c r="B3012" s="221"/>
      <c r="C3012" s="222"/>
      <c r="D3012" s="222"/>
      <c r="E3012" s="222"/>
      <c r="F3012" s="222"/>
      <c r="G3012" s="222"/>
      <c r="H3012" s="222"/>
      <c r="I3012" s="222"/>
      <c r="J3012" s="223"/>
      <c r="K3012" s="223"/>
      <c r="L3012" s="222"/>
      <c r="M3012" s="222"/>
      <c r="N3012" s="222"/>
      <c r="O3012" s="222"/>
      <c r="P3012" s="222"/>
      <c r="Q3012" s="222"/>
      <c r="R3012" s="271"/>
      <c r="S3012" s="11"/>
      <c r="T3012" s="11"/>
      <c r="U3012" s="11"/>
      <c r="AW3012" s="234"/>
      <c r="BP3012" s="11"/>
      <c r="BQ3012" s="11"/>
      <c r="BV3012" s="158"/>
      <c r="BY3012" s="158"/>
      <c r="CB3012" s="158"/>
    </row>
    <row r="3013">
      <c r="A3013" s="222"/>
      <c r="B3013" s="221"/>
      <c r="C3013" s="222"/>
      <c r="D3013" s="222"/>
      <c r="E3013" s="222"/>
      <c r="F3013" s="222"/>
      <c r="G3013" s="222"/>
      <c r="H3013" s="222"/>
      <c r="I3013" s="222"/>
      <c r="J3013" s="223"/>
      <c r="K3013" s="223"/>
      <c r="L3013" s="222"/>
      <c r="M3013" s="222"/>
      <c r="N3013" s="222"/>
      <c r="O3013" s="222"/>
      <c r="P3013" s="222"/>
      <c r="Q3013" s="222"/>
      <c r="R3013" s="271"/>
      <c r="S3013" s="11"/>
      <c r="T3013" s="11"/>
      <c r="U3013" s="11"/>
      <c r="AW3013" s="234"/>
      <c r="BP3013" s="11"/>
      <c r="BQ3013" s="11"/>
      <c r="BV3013" s="158"/>
      <c r="BY3013" s="158"/>
      <c r="CB3013" s="158"/>
    </row>
    <row r="3014">
      <c r="A3014" s="222"/>
      <c r="B3014" s="221"/>
      <c r="C3014" s="222"/>
      <c r="D3014" s="222"/>
      <c r="E3014" s="222"/>
      <c r="F3014" s="222"/>
      <c r="G3014" s="222"/>
      <c r="H3014" s="222"/>
      <c r="I3014" s="222"/>
      <c r="J3014" s="223"/>
      <c r="K3014" s="223"/>
      <c r="L3014" s="222"/>
      <c r="M3014" s="222"/>
      <c r="N3014" s="222"/>
      <c r="O3014" s="222"/>
      <c r="P3014" s="222"/>
      <c r="Q3014" s="222"/>
      <c r="R3014" s="271"/>
      <c r="S3014" s="11"/>
      <c r="T3014" s="11"/>
      <c r="U3014" s="11"/>
      <c r="AW3014" s="234"/>
      <c r="BP3014" s="11"/>
      <c r="BQ3014" s="11"/>
      <c r="BV3014" s="158"/>
      <c r="BY3014" s="158"/>
      <c r="CB3014" s="158"/>
    </row>
    <row r="3015">
      <c r="A3015" s="222"/>
      <c r="B3015" s="221"/>
      <c r="C3015" s="222"/>
      <c r="D3015" s="222"/>
      <c r="E3015" s="222"/>
      <c r="F3015" s="222"/>
      <c r="G3015" s="222"/>
      <c r="H3015" s="222"/>
      <c r="I3015" s="222"/>
      <c r="J3015" s="223"/>
      <c r="K3015" s="223"/>
      <c r="L3015" s="222"/>
      <c r="M3015" s="222"/>
      <c r="N3015" s="222"/>
      <c r="O3015" s="222"/>
      <c r="P3015" s="222"/>
      <c r="Q3015" s="222"/>
      <c r="R3015" s="271"/>
      <c r="S3015" s="11"/>
      <c r="T3015" s="11"/>
      <c r="U3015" s="11"/>
      <c r="AW3015" s="234"/>
      <c r="BP3015" s="11"/>
      <c r="BQ3015" s="11"/>
      <c r="BV3015" s="158"/>
      <c r="BY3015" s="158"/>
      <c r="CB3015" s="158"/>
    </row>
    <row r="3016">
      <c r="A3016" s="222"/>
      <c r="B3016" s="221"/>
      <c r="C3016" s="222"/>
      <c r="D3016" s="222"/>
      <c r="E3016" s="222"/>
      <c r="F3016" s="222"/>
      <c r="G3016" s="222"/>
      <c r="H3016" s="222"/>
      <c r="I3016" s="222"/>
      <c r="J3016" s="223"/>
      <c r="K3016" s="223"/>
      <c r="L3016" s="222"/>
      <c r="M3016" s="222"/>
      <c r="N3016" s="222"/>
      <c r="O3016" s="222"/>
      <c r="P3016" s="222"/>
      <c r="Q3016" s="222"/>
      <c r="R3016" s="271"/>
      <c r="S3016" s="11"/>
      <c r="T3016" s="11"/>
      <c r="U3016" s="11"/>
      <c r="AW3016" s="234"/>
      <c r="BP3016" s="11"/>
      <c r="BQ3016" s="11"/>
      <c r="BV3016" s="158"/>
      <c r="BY3016" s="158"/>
      <c r="CB3016" s="158"/>
    </row>
    <row r="3017">
      <c r="A3017" s="222"/>
      <c r="B3017" s="221"/>
      <c r="C3017" s="222"/>
      <c r="D3017" s="222"/>
      <c r="E3017" s="222"/>
      <c r="F3017" s="222"/>
      <c r="G3017" s="222"/>
      <c r="H3017" s="222"/>
      <c r="I3017" s="222"/>
      <c r="J3017" s="223"/>
      <c r="K3017" s="223"/>
      <c r="L3017" s="222"/>
      <c r="M3017" s="222"/>
      <c r="N3017" s="222"/>
      <c r="O3017" s="222"/>
      <c r="P3017" s="222"/>
      <c r="Q3017" s="222"/>
      <c r="R3017" s="271"/>
      <c r="S3017" s="11"/>
      <c r="T3017" s="11"/>
      <c r="U3017" s="11"/>
      <c r="AW3017" s="234"/>
      <c r="BP3017" s="11"/>
      <c r="BQ3017" s="11"/>
      <c r="BV3017" s="158"/>
      <c r="BY3017" s="158"/>
      <c r="CB3017" s="158"/>
    </row>
    <row r="3018">
      <c r="A3018" s="222"/>
      <c r="B3018" s="221"/>
      <c r="C3018" s="222"/>
      <c r="D3018" s="222"/>
      <c r="E3018" s="222"/>
      <c r="F3018" s="222"/>
      <c r="G3018" s="222"/>
      <c r="H3018" s="222"/>
      <c r="I3018" s="222"/>
      <c r="J3018" s="223"/>
      <c r="K3018" s="223"/>
      <c r="L3018" s="222"/>
      <c r="M3018" s="222"/>
      <c r="N3018" s="222"/>
      <c r="O3018" s="222"/>
      <c r="P3018" s="222"/>
      <c r="Q3018" s="222"/>
      <c r="R3018" s="271"/>
      <c r="S3018" s="11"/>
      <c r="T3018" s="11"/>
      <c r="U3018" s="11"/>
      <c r="AW3018" s="234"/>
      <c r="BP3018" s="11"/>
      <c r="BQ3018" s="11"/>
      <c r="BV3018" s="158"/>
      <c r="BY3018" s="158"/>
      <c r="CB3018" s="158"/>
    </row>
    <row r="3019">
      <c r="A3019" s="222"/>
      <c r="B3019" s="221"/>
      <c r="C3019" s="222"/>
      <c r="D3019" s="222"/>
      <c r="E3019" s="222"/>
      <c r="F3019" s="222"/>
      <c r="G3019" s="222"/>
      <c r="H3019" s="222"/>
      <c r="I3019" s="222"/>
      <c r="J3019" s="223"/>
      <c r="K3019" s="223"/>
      <c r="L3019" s="222"/>
      <c r="M3019" s="222"/>
      <c r="N3019" s="222"/>
      <c r="O3019" s="222"/>
      <c r="P3019" s="222"/>
      <c r="Q3019" s="222"/>
      <c r="R3019" s="271"/>
      <c r="S3019" s="11"/>
      <c r="T3019" s="11"/>
      <c r="U3019" s="11"/>
      <c r="AW3019" s="234"/>
      <c r="BP3019" s="11"/>
      <c r="BQ3019" s="11"/>
      <c r="BV3019" s="158"/>
      <c r="BY3019" s="158"/>
      <c r="CB3019" s="158"/>
    </row>
    <row r="3020">
      <c r="A3020" s="222"/>
      <c r="B3020" s="221"/>
      <c r="C3020" s="222"/>
      <c r="D3020" s="222"/>
      <c r="E3020" s="222"/>
      <c r="F3020" s="222"/>
      <c r="G3020" s="222"/>
      <c r="H3020" s="222"/>
      <c r="I3020" s="222"/>
      <c r="J3020" s="223"/>
      <c r="K3020" s="223"/>
      <c r="L3020" s="222"/>
      <c r="M3020" s="222"/>
      <c r="N3020" s="222"/>
      <c r="O3020" s="222"/>
      <c r="P3020" s="222"/>
      <c r="Q3020" s="222"/>
      <c r="R3020" s="271"/>
      <c r="S3020" s="11"/>
      <c r="T3020" s="11"/>
      <c r="U3020" s="11"/>
      <c r="AW3020" s="234"/>
      <c r="BP3020" s="11"/>
      <c r="BQ3020" s="11"/>
      <c r="BV3020" s="158"/>
      <c r="BY3020" s="158"/>
      <c r="CB3020" s="158"/>
    </row>
    <row r="3021">
      <c r="A3021" s="222"/>
      <c r="B3021" s="221"/>
      <c r="C3021" s="222"/>
      <c r="D3021" s="222"/>
      <c r="E3021" s="222"/>
      <c r="F3021" s="222"/>
      <c r="G3021" s="222"/>
      <c r="H3021" s="222"/>
      <c r="I3021" s="222"/>
      <c r="J3021" s="223"/>
      <c r="K3021" s="223"/>
      <c r="L3021" s="222"/>
      <c r="M3021" s="222"/>
      <c r="N3021" s="222"/>
      <c r="O3021" s="222"/>
      <c r="P3021" s="222"/>
      <c r="Q3021" s="222"/>
      <c r="R3021" s="271"/>
      <c r="S3021" s="11"/>
      <c r="T3021" s="11"/>
      <c r="U3021" s="11"/>
      <c r="AW3021" s="234"/>
      <c r="BP3021" s="11"/>
      <c r="BQ3021" s="11"/>
      <c r="BV3021" s="158"/>
      <c r="BY3021" s="158"/>
      <c r="CB3021" s="158"/>
    </row>
    <row r="3022">
      <c r="A3022" s="222"/>
      <c r="B3022" s="221"/>
      <c r="C3022" s="222"/>
      <c r="D3022" s="222"/>
      <c r="E3022" s="222"/>
      <c r="F3022" s="222"/>
      <c r="G3022" s="222"/>
      <c r="H3022" s="222"/>
      <c r="I3022" s="222"/>
      <c r="J3022" s="223"/>
      <c r="K3022" s="223"/>
      <c r="L3022" s="222"/>
      <c r="M3022" s="222"/>
      <c r="N3022" s="222"/>
      <c r="O3022" s="222"/>
      <c r="P3022" s="222"/>
      <c r="Q3022" s="222"/>
      <c r="R3022" s="271"/>
      <c r="S3022" s="11"/>
      <c r="T3022" s="11"/>
      <c r="U3022" s="11"/>
      <c r="AW3022" s="234"/>
      <c r="BP3022" s="11"/>
      <c r="BQ3022" s="11"/>
      <c r="BV3022" s="158"/>
      <c r="BY3022" s="158"/>
      <c r="CB3022" s="158"/>
    </row>
    <row r="3023">
      <c r="A3023" s="222"/>
      <c r="B3023" s="221"/>
      <c r="C3023" s="222"/>
      <c r="D3023" s="222"/>
      <c r="E3023" s="222"/>
      <c r="F3023" s="222"/>
      <c r="G3023" s="222"/>
      <c r="H3023" s="222"/>
      <c r="I3023" s="222"/>
      <c r="J3023" s="223"/>
      <c r="K3023" s="223"/>
      <c r="L3023" s="222"/>
      <c r="M3023" s="222"/>
      <c r="N3023" s="222"/>
      <c r="O3023" s="222"/>
      <c r="P3023" s="222"/>
      <c r="Q3023" s="222"/>
      <c r="R3023" s="271"/>
      <c r="S3023" s="11"/>
      <c r="T3023" s="11"/>
      <c r="U3023" s="11"/>
      <c r="AW3023" s="234"/>
      <c r="BP3023" s="11"/>
      <c r="BQ3023" s="11"/>
      <c r="BV3023" s="158"/>
      <c r="BY3023" s="158"/>
      <c r="CB3023" s="158"/>
    </row>
    <row r="3024">
      <c r="A3024" s="222"/>
      <c r="B3024" s="221"/>
      <c r="C3024" s="222"/>
      <c r="D3024" s="222"/>
      <c r="E3024" s="222"/>
      <c r="F3024" s="222"/>
      <c r="G3024" s="222"/>
      <c r="H3024" s="222"/>
      <c r="I3024" s="222"/>
      <c r="J3024" s="223"/>
      <c r="K3024" s="223"/>
      <c r="L3024" s="222"/>
      <c r="M3024" s="222"/>
      <c r="N3024" s="222"/>
      <c r="O3024" s="222"/>
      <c r="P3024" s="222"/>
      <c r="Q3024" s="222"/>
      <c r="R3024" s="271"/>
      <c r="S3024" s="11"/>
      <c r="T3024" s="11"/>
      <c r="U3024" s="11"/>
      <c r="AW3024" s="234"/>
      <c r="BP3024" s="11"/>
      <c r="BQ3024" s="11"/>
      <c r="BV3024" s="158"/>
      <c r="BY3024" s="158"/>
      <c r="CB3024" s="158"/>
    </row>
    <row r="3025">
      <c r="A3025" s="222"/>
      <c r="B3025" s="221"/>
      <c r="C3025" s="222"/>
      <c r="D3025" s="222"/>
      <c r="E3025" s="222"/>
      <c r="F3025" s="222"/>
      <c r="G3025" s="222"/>
      <c r="H3025" s="222"/>
      <c r="I3025" s="222"/>
      <c r="J3025" s="223"/>
      <c r="K3025" s="223"/>
      <c r="L3025" s="222"/>
      <c r="M3025" s="222"/>
      <c r="N3025" s="222"/>
      <c r="O3025" s="222"/>
      <c r="P3025" s="222"/>
      <c r="Q3025" s="222"/>
      <c r="R3025" s="271"/>
      <c r="S3025" s="11"/>
      <c r="T3025" s="11"/>
      <c r="U3025" s="11"/>
      <c r="AW3025" s="234"/>
      <c r="BP3025" s="11"/>
      <c r="BQ3025" s="11"/>
      <c r="BV3025" s="158"/>
      <c r="BY3025" s="158"/>
      <c r="CB3025" s="158"/>
    </row>
    <row r="3026">
      <c r="A3026" s="222"/>
      <c r="B3026" s="221"/>
      <c r="C3026" s="222"/>
      <c r="D3026" s="222"/>
      <c r="E3026" s="222"/>
      <c r="F3026" s="222"/>
      <c r="G3026" s="222"/>
      <c r="H3026" s="222"/>
      <c r="I3026" s="222"/>
      <c r="J3026" s="223"/>
      <c r="K3026" s="223"/>
      <c r="L3026" s="222"/>
      <c r="M3026" s="222"/>
      <c r="N3026" s="222"/>
      <c r="O3026" s="222"/>
      <c r="P3026" s="222"/>
      <c r="Q3026" s="222"/>
      <c r="R3026" s="271"/>
      <c r="S3026" s="11"/>
      <c r="T3026" s="11"/>
      <c r="U3026" s="11"/>
      <c r="AW3026" s="234"/>
      <c r="BP3026" s="11"/>
      <c r="BQ3026" s="11"/>
      <c r="BV3026" s="158"/>
      <c r="BY3026" s="158"/>
      <c r="CB3026" s="158"/>
    </row>
    <row r="3027">
      <c r="A3027" s="222"/>
      <c r="B3027" s="221"/>
      <c r="C3027" s="222"/>
      <c r="D3027" s="222"/>
      <c r="E3027" s="222"/>
      <c r="F3027" s="222"/>
      <c r="G3027" s="222"/>
      <c r="H3027" s="222"/>
      <c r="I3027" s="222"/>
      <c r="J3027" s="223"/>
      <c r="K3027" s="223"/>
      <c r="L3027" s="222"/>
      <c r="M3027" s="222"/>
      <c r="N3027" s="222"/>
      <c r="O3027" s="222"/>
      <c r="P3027" s="222"/>
      <c r="Q3027" s="222"/>
      <c r="R3027" s="271"/>
      <c r="S3027" s="11"/>
      <c r="T3027" s="11"/>
      <c r="U3027" s="11"/>
      <c r="AW3027" s="234"/>
      <c r="BP3027" s="11"/>
      <c r="BQ3027" s="11"/>
      <c r="BV3027" s="158"/>
      <c r="BY3027" s="158"/>
      <c r="CB3027" s="158"/>
    </row>
    <row r="3028">
      <c r="A3028" s="222"/>
      <c r="B3028" s="221"/>
      <c r="C3028" s="222"/>
      <c r="D3028" s="222"/>
      <c r="E3028" s="222"/>
      <c r="F3028" s="222"/>
      <c r="G3028" s="222"/>
      <c r="H3028" s="222"/>
      <c r="I3028" s="222"/>
      <c r="J3028" s="223"/>
      <c r="K3028" s="223"/>
      <c r="L3028" s="222"/>
      <c r="M3028" s="222"/>
      <c r="N3028" s="222"/>
      <c r="O3028" s="222"/>
      <c r="P3028" s="222"/>
      <c r="Q3028" s="222"/>
      <c r="R3028" s="271"/>
      <c r="S3028" s="11"/>
      <c r="T3028" s="11"/>
      <c r="U3028" s="11"/>
      <c r="AW3028" s="234"/>
      <c r="BP3028" s="11"/>
      <c r="BQ3028" s="11"/>
      <c r="BV3028" s="158"/>
      <c r="BY3028" s="158"/>
      <c r="CB3028" s="158"/>
    </row>
    <row r="3029">
      <c r="A3029" s="222"/>
      <c r="B3029" s="221"/>
      <c r="C3029" s="222"/>
      <c r="D3029" s="222"/>
      <c r="E3029" s="222"/>
      <c r="F3029" s="222"/>
      <c r="G3029" s="222"/>
      <c r="H3029" s="222"/>
      <c r="I3029" s="222"/>
      <c r="J3029" s="223"/>
      <c r="K3029" s="223"/>
      <c r="L3029" s="222"/>
      <c r="M3029" s="222"/>
      <c r="N3029" s="222"/>
      <c r="O3029" s="222"/>
      <c r="P3029" s="222"/>
      <c r="Q3029" s="222"/>
      <c r="R3029" s="271"/>
      <c r="S3029" s="11"/>
      <c r="T3029" s="11"/>
      <c r="U3029" s="11"/>
      <c r="AW3029" s="234"/>
      <c r="BP3029" s="11"/>
      <c r="BQ3029" s="11"/>
      <c r="BV3029" s="158"/>
      <c r="BY3029" s="158"/>
      <c r="CB3029" s="158"/>
    </row>
    <row r="3030">
      <c r="A3030" s="222"/>
      <c r="B3030" s="221"/>
      <c r="C3030" s="222"/>
      <c r="D3030" s="222"/>
      <c r="E3030" s="222"/>
      <c r="F3030" s="222"/>
      <c r="G3030" s="222"/>
      <c r="H3030" s="222"/>
      <c r="I3030" s="222"/>
      <c r="J3030" s="223"/>
      <c r="K3030" s="223"/>
      <c r="L3030" s="222"/>
      <c r="M3030" s="222"/>
      <c r="N3030" s="222"/>
      <c r="O3030" s="222"/>
      <c r="P3030" s="222"/>
      <c r="Q3030" s="222"/>
      <c r="R3030" s="271"/>
      <c r="S3030" s="11"/>
      <c r="T3030" s="11"/>
      <c r="U3030" s="11"/>
      <c r="AW3030" s="234"/>
      <c r="BP3030" s="11"/>
      <c r="BQ3030" s="11"/>
      <c r="BV3030" s="158"/>
      <c r="BY3030" s="158"/>
      <c r="CB3030" s="158"/>
    </row>
    <row r="3031">
      <c r="A3031" s="222"/>
      <c r="B3031" s="221"/>
      <c r="C3031" s="222"/>
      <c r="D3031" s="222"/>
      <c r="E3031" s="222"/>
      <c r="F3031" s="222"/>
      <c r="G3031" s="222"/>
      <c r="H3031" s="222"/>
      <c r="I3031" s="222"/>
      <c r="J3031" s="223"/>
      <c r="K3031" s="223"/>
      <c r="L3031" s="222"/>
      <c r="M3031" s="222"/>
      <c r="N3031" s="222"/>
      <c r="O3031" s="222"/>
      <c r="P3031" s="222"/>
      <c r="Q3031" s="222"/>
      <c r="R3031" s="271"/>
      <c r="S3031" s="11"/>
      <c r="T3031" s="11"/>
      <c r="U3031" s="11"/>
      <c r="AW3031" s="234"/>
      <c r="BP3031" s="11"/>
      <c r="BQ3031" s="11"/>
      <c r="BV3031" s="158"/>
      <c r="BY3031" s="158"/>
      <c r="CB3031" s="158"/>
    </row>
    <row r="3032">
      <c r="A3032" s="222"/>
      <c r="B3032" s="221"/>
      <c r="C3032" s="222"/>
      <c r="D3032" s="222"/>
      <c r="E3032" s="222"/>
      <c r="F3032" s="222"/>
      <c r="G3032" s="222"/>
      <c r="H3032" s="222"/>
      <c r="I3032" s="222"/>
      <c r="J3032" s="223"/>
      <c r="K3032" s="223"/>
      <c r="L3032" s="222"/>
      <c r="M3032" s="222"/>
      <c r="N3032" s="222"/>
      <c r="O3032" s="222"/>
      <c r="P3032" s="222"/>
      <c r="Q3032" s="222"/>
      <c r="R3032" s="271"/>
      <c r="S3032" s="11"/>
      <c r="T3032" s="11"/>
      <c r="U3032" s="11"/>
      <c r="AW3032" s="234"/>
      <c r="BP3032" s="11"/>
      <c r="BQ3032" s="11"/>
      <c r="BV3032" s="158"/>
      <c r="BY3032" s="158"/>
      <c r="CB3032" s="158"/>
    </row>
    <row r="3033">
      <c r="A3033" s="222"/>
      <c r="B3033" s="221"/>
      <c r="C3033" s="222"/>
      <c r="D3033" s="222"/>
      <c r="E3033" s="222"/>
      <c r="F3033" s="222"/>
      <c r="G3033" s="222"/>
      <c r="H3033" s="222"/>
      <c r="I3033" s="222"/>
      <c r="J3033" s="223"/>
      <c r="K3033" s="223"/>
      <c r="L3033" s="222"/>
      <c r="M3033" s="222"/>
      <c r="N3033" s="222"/>
      <c r="O3033" s="222"/>
      <c r="P3033" s="222"/>
      <c r="Q3033" s="222"/>
      <c r="R3033" s="271"/>
      <c r="S3033" s="11"/>
      <c r="T3033" s="11"/>
      <c r="U3033" s="11"/>
      <c r="AW3033" s="234"/>
      <c r="BP3033" s="11"/>
      <c r="BQ3033" s="11"/>
      <c r="BV3033" s="158"/>
      <c r="BY3033" s="158"/>
      <c r="CB3033" s="158"/>
    </row>
    <row r="3034">
      <c r="A3034" s="222"/>
      <c r="B3034" s="221"/>
      <c r="C3034" s="222"/>
      <c r="D3034" s="222"/>
      <c r="E3034" s="222"/>
      <c r="F3034" s="222"/>
      <c r="G3034" s="222"/>
      <c r="H3034" s="222"/>
      <c r="I3034" s="222"/>
      <c r="J3034" s="223"/>
      <c r="K3034" s="223"/>
      <c r="L3034" s="222"/>
      <c r="M3034" s="222"/>
      <c r="N3034" s="222"/>
      <c r="O3034" s="222"/>
      <c r="P3034" s="222"/>
      <c r="Q3034" s="222"/>
      <c r="R3034" s="271"/>
      <c r="S3034" s="11"/>
      <c r="T3034" s="11"/>
      <c r="U3034" s="11"/>
      <c r="AW3034" s="234"/>
      <c r="BP3034" s="11"/>
      <c r="BQ3034" s="11"/>
      <c r="BV3034" s="158"/>
      <c r="BY3034" s="158"/>
      <c r="CB3034" s="158"/>
    </row>
    <row r="3035">
      <c r="A3035" s="222"/>
      <c r="B3035" s="221"/>
      <c r="C3035" s="222"/>
      <c r="D3035" s="222"/>
      <c r="E3035" s="222"/>
      <c r="F3035" s="222"/>
      <c r="G3035" s="222"/>
      <c r="H3035" s="222"/>
      <c r="I3035" s="222"/>
      <c r="J3035" s="223"/>
      <c r="K3035" s="223"/>
      <c r="L3035" s="222"/>
      <c r="M3035" s="222"/>
      <c r="N3035" s="222"/>
      <c r="O3035" s="222"/>
      <c r="P3035" s="222"/>
      <c r="Q3035" s="222"/>
      <c r="R3035" s="271"/>
      <c r="S3035" s="11"/>
      <c r="T3035" s="11"/>
      <c r="U3035" s="11"/>
      <c r="AW3035" s="234"/>
      <c r="BP3035" s="11"/>
      <c r="BQ3035" s="11"/>
      <c r="BV3035" s="158"/>
      <c r="BY3035" s="158"/>
      <c r="CB3035" s="158"/>
    </row>
    <row r="3036">
      <c r="A3036" s="222"/>
      <c r="B3036" s="221"/>
      <c r="C3036" s="222"/>
      <c r="D3036" s="222"/>
      <c r="E3036" s="222"/>
      <c r="F3036" s="222"/>
      <c r="G3036" s="222"/>
      <c r="H3036" s="222"/>
      <c r="I3036" s="222"/>
      <c r="J3036" s="223"/>
      <c r="K3036" s="223"/>
      <c r="L3036" s="222"/>
      <c r="M3036" s="222"/>
      <c r="N3036" s="222"/>
      <c r="O3036" s="222"/>
      <c r="P3036" s="222"/>
      <c r="Q3036" s="222"/>
      <c r="R3036" s="271"/>
      <c r="S3036" s="11"/>
      <c r="T3036" s="11"/>
      <c r="U3036" s="11"/>
      <c r="AW3036" s="234"/>
      <c r="BP3036" s="11"/>
      <c r="BQ3036" s="11"/>
      <c r="BV3036" s="158"/>
      <c r="BY3036" s="158"/>
      <c r="CB3036" s="158"/>
    </row>
    <row r="3037">
      <c r="A3037" s="222"/>
      <c r="B3037" s="221"/>
      <c r="C3037" s="222"/>
      <c r="D3037" s="222"/>
      <c r="E3037" s="222"/>
      <c r="F3037" s="222"/>
      <c r="G3037" s="222"/>
      <c r="H3037" s="222"/>
      <c r="I3037" s="222"/>
      <c r="J3037" s="223"/>
      <c r="K3037" s="223"/>
      <c r="L3037" s="222"/>
      <c r="M3037" s="222"/>
      <c r="N3037" s="222"/>
      <c r="O3037" s="222"/>
      <c r="P3037" s="222"/>
      <c r="Q3037" s="222"/>
      <c r="R3037" s="271"/>
      <c r="S3037" s="11"/>
      <c r="T3037" s="11"/>
      <c r="U3037" s="11"/>
      <c r="AW3037" s="234"/>
      <c r="BP3037" s="11"/>
      <c r="BQ3037" s="11"/>
      <c r="BV3037" s="158"/>
      <c r="BY3037" s="158"/>
      <c r="CB3037" s="158"/>
    </row>
    <row r="3038">
      <c r="A3038" s="222"/>
      <c r="B3038" s="221"/>
      <c r="C3038" s="222"/>
      <c r="D3038" s="222"/>
      <c r="E3038" s="222"/>
      <c r="F3038" s="222"/>
      <c r="G3038" s="222"/>
      <c r="H3038" s="222"/>
      <c r="I3038" s="222"/>
      <c r="J3038" s="223"/>
      <c r="K3038" s="223"/>
      <c r="L3038" s="222"/>
      <c r="M3038" s="222"/>
      <c r="N3038" s="222"/>
      <c r="O3038" s="222"/>
      <c r="P3038" s="222"/>
      <c r="Q3038" s="222"/>
      <c r="R3038" s="271"/>
      <c r="S3038" s="11"/>
      <c r="T3038" s="11"/>
      <c r="U3038" s="11"/>
      <c r="AW3038" s="234"/>
      <c r="BP3038" s="11"/>
      <c r="BQ3038" s="11"/>
      <c r="BV3038" s="158"/>
      <c r="BY3038" s="158"/>
      <c r="CB3038" s="158"/>
    </row>
    <row r="3039">
      <c r="A3039" s="222"/>
      <c r="B3039" s="221"/>
      <c r="C3039" s="222"/>
      <c r="D3039" s="222"/>
      <c r="E3039" s="222"/>
      <c r="F3039" s="222"/>
      <c r="G3039" s="222"/>
      <c r="H3039" s="222"/>
      <c r="I3039" s="222"/>
      <c r="J3039" s="223"/>
      <c r="K3039" s="223"/>
      <c r="L3039" s="222"/>
      <c r="M3039" s="222"/>
      <c r="N3039" s="222"/>
      <c r="O3039" s="222"/>
      <c r="P3039" s="222"/>
      <c r="Q3039" s="222"/>
      <c r="R3039" s="271"/>
      <c r="S3039" s="11"/>
      <c r="T3039" s="11"/>
      <c r="U3039" s="11"/>
      <c r="AW3039" s="234"/>
      <c r="BP3039" s="11"/>
      <c r="BQ3039" s="11"/>
      <c r="BV3039" s="158"/>
      <c r="BY3039" s="158"/>
      <c r="CB3039" s="158"/>
    </row>
    <row r="3040">
      <c r="A3040" s="222"/>
      <c r="B3040" s="221"/>
      <c r="C3040" s="222"/>
      <c r="D3040" s="222"/>
      <c r="E3040" s="222"/>
      <c r="F3040" s="222"/>
      <c r="G3040" s="222"/>
      <c r="H3040" s="222"/>
      <c r="I3040" s="222"/>
      <c r="J3040" s="223"/>
      <c r="K3040" s="223"/>
      <c r="L3040" s="222"/>
      <c r="M3040" s="222"/>
      <c r="N3040" s="222"/>
      <c r="O3040" s="222"/>
      <c r="P3040" s="222"/>
      <c r="Q3040" s="222"/>
      <c r="R3040" s="271"/>
      <c r="S3040" s="11"/>
      <c r="T3040" s="11"/>
      <c r="U3040" s="11"/>
      <c r="AW3040" s="234"/>
      <c r="BP3040" s="11"/>
      <c r="BQ3040" s="11"/>
      <c r="BV3040" s="158"/>
      <c r="BY3040" s="158"/>
      <c r="CB3040" s="158"/>
    </row>
    <row r="3041">
      <c r="A3041" s="222"/>
      <c r="B3041" s="221"/>
      <c r="C3041" s="222"/>
      <c r="D3041" s="222"/>
      <c r="E3041" s="222"/>
      <c r="F3041" s="222"/>
      <c r="G3041" s="222"/>
      <c r="H3041" s="222"/>
      <c r="I3041" s="222"/>
      <c r="J3041" s="223"/>
      <c r="K3041" s="223"/>
      <c r="L3041" s="222"/>
      <c r="M3041" s="222"/>
      <c r="N3041" s="222"/>
      <c r="O3041" s="222"/>
      <c r="P3041" s="222"/>
      <c r="Q3041" s="222"/>
      <c r="R3041" s="271"/>
      <c r="S3041" s="11"/>
      <c r="T3041" s="11"/>
      <c r="U3041" s="11"/>
      <c r="AW3041" s="234"/>
      <c r="BP3041" s="11"/>
      <c r="BQ3041" s="11"/>
      <c r="BV3041" s="158"/>
      <c r="BY3041" s="158"/>
      <c r="CB3041" s="158"/>
    </row>
    <row r="3042">
      <c r="A3042" s="222"/>
      <c r="B3042" s="221"/>
      <c r="C3042" s="222"/>
      <c r="D3042" s="222"/>
      <c r="E3042" s="222"/>
      <c r="F3042" s="222"/>
      <c r="G3042" s="222"/>
      <c r="H3042" s="222"/>
      <c r="I3042" s="222"/>
      <c r="J3042" s="223"/>
      <c r="K3042" s="223"/>
      <c r="L3042" s="222"/>
      <c r="M3042" s="222"/>
      <c r="N3042" s="222"/>
      <c r="O3042" s="222"/>
      <c r="P3042" s="222"/>
      <c r="Q3042" s="222"/>
      <c r="R3042" s="271"/>
      <c r="S3042" s="11"/>
      <c r="T3042" s="11"/>
      <c r="U3042" s="11"/>
      <c r="AW3042" s="234"/>
      <c r="BP3042" s="11"/>
      <c r="BQ3042" s="11"/>
      <c r="BV3042" s="158"/>
      <c r="BY3042" s="158"/>
      <c r="CB3042" s="158"/>
    </row>
    <row r="3043">
      <c r="A3043" s="222"/>
      <c r="B3043" s="221"/>
      <c r="C3043" s="222"/>
      <c r="D3043" s="222"/>
      <c r="E3043" s="222"/>
      <c r="F3043" s="222"/>
      <c r="G3043" s="222"/>
      <c r="H3043" s="222"/>
      <c r="I3043" s="222"/>
      <c r="J3043" s="223"/>
      <c r="K3043" s="223"/>
      <c r="L3043" s="222"/>
      <c r="M3043" s="222"/>
      <c r="N3043" s="222"/>
      <c r="O3043" s="222"/>
      <c r="P3043" s="222"/>
      <c r="Q3043" s="222"/>
      <c r="R3043" s="271"/>
      <c r="S3043" s="11"/>
      <c r="T3043" s="11"/>
      <c r="U3043" s="11"/>
      <c r="AW3043" s="234"/>
      <c r="BP3043" s="11"/>
      <c r="BQ3043" s="11"/>
      <c r="BV3043" s="158"/>
      <c r="BY3043" s="158"/>
      <c r="CB3043" s="158"/>
    </row>
    <row r="3044">
      <c r="A3044" s="222"/>
      <c r="B3044" s="221"/>
      <c r="C3044" s="222"/>
      <c r="D3044" s="222"/>
      <c r="E3044" s="222"/>
      <c r="F3044" s="222"/>
      <c r="G3044" s="222"/>
      <c r="H3044" s="222"/>
      <c r="I3044" s="222"/>
      <c r="J3044" s="223"/>
      <c r="K3044" s="223"/>
      <c r="L3044" s="222"/>
      <c r="M3044" s="222"/>
      <c r="N3044" s="222"/>
      <c r="O3044" s="222"/>
      <c r="P3044" s="222"/>
      <c r="Q3044" s="222"/>
      <c r="R3044" s="271"/>
      <c r="S3044" s="11"/>
      <c r="T3044" s="11"/>
      <c r="U3044" s="11"/>
      <c r="AW3044" s="234"/>
      <c r="BP3044" s="11"/>
      <c r="BQ3044" s="11"/>
      <c r="BV3044" s="158"/>
      <c r="BY3044" s="158"/>
      <c r="CB3044" s="158"/>
    </row>
    <row r="3045">
      <c r="A3045" s="222"/>
      <c r="B3045" s="221"/>
      <c r="C3045" s="222"/>
      <c r="D3045" s="222"/>
      <c r="E3045" s="222"/>
      <c r="F3045" s="222"/>
      <c r="G3045" s="222"/>
      <c r="H3045" s="222"/>
      <c r="I3045" s="222"/>
      <c r="J3045" s="223"/>
      <c r="K3045" s="223"/>
      <c r="L3045" s="222"/>
      <c r="M3045" s="222"/>
      <c r="N3045" s="222"/>
      <c r="O3045" s="222"/>
      <c r="P3045" s="222"/>
      <c r="Q3045" s="222"/>
      <c r="R3045" s="271"/>
      <c r="S3045" s="11"/>
      <c r="T3045" s="11"/>
      <c r="U3045" s="11"/>
      <c r="AW3045" s="234"/>
      <c r="BP3045" s="11"/>
      <c r="BQ3045" s="11"/>
      <c r="BV3045" s="158"/>
      <c r="BY3045" s="158"/>
      <c r="CB3045" s="158"/>
    </row>
    <row r="3046">
      <c r="A3046" s="222"/>
      <c r="B3046" s="221"/>
      <c r="C3046" s="222"/>
      <c r="D3046" s="222"/>
      <c r="E3046" s="222"/>
      <c r="F3046" s="222"/>
      <c r="G3046" s="222"/>
      <c r="H3046" s="222"/>
      <c r="I3046" s="222"/>
      <c r="J3046" s="223"/>
      <c r="K3046" s="223"/>
      <c r="L3046" s="222"/>
      <c r="M3046" s="222"/>
      <c r="N3046" s="222"/>
      <c r="O3046" s="222"/>
      <c r="P3046" s="222"/>
      <c r="Q3046" s="222"/>
      <c r="R3046" s="271"/>
      <c r="S3046" s="11"/>
      <c r="T3046" s="11"/>
      <c r="U3046" s="11"/>
      <c r="AW3046" s="234"/>
      <c r="BP3046" s="11"/>
      <c r="BQ3046" s="11"/>
      <c r="BV3046" s="158"/>
      <c r="BY3046" s="158"/>
      <c r="CB3046" s="158"/>
    </row>
    <row r="3047">
      <c r="A3047" s="222"/>
      <c r="B3047" s="221"/>
      <c r="C3047" s="222"/>
      <c r="D3047" s="222"/>
      <c r="E3047" s="222"/>
      <c r="F3047" s="222"/>
      <c r="G3047" s="222"/>
      <c r="H3047" s="222"/>
      <c r="I3047" s="222"/>
      <c r="J3047" s="223"/>
      <c r="K3047" s="223"/>
      <c r="L3047" s="222"/>
      <c r="M3047" s="222"/>
      <c r="N3047" s="222"/>
      <c r="O3047" s="222"/>
      <c r="P3047" s="222"/>
      <c r="Q3047" s="222"/>
      <c r="R3047" s="271"/>
      <c r="S3047" s="11"/>
      <c r="T3047" s="11"/>
      <c r="U3047" s="11"/>
      <c r="AW3047" s="234"/>
      <c r="BP3047" s="11"/>
      <c r="BQ3047" s="11"/>
      <c r="BV3047" s="158"/>
      <c r="BY3047" s="158"/>
      <c r="CB3047" s="158"/>
    </row>
    <row r="3048">
      <c r="A3048" s="222"/>
      <c r="B3048" s="221"/>
      <c r="C3048" s="222"/>
      <c r="D3048" s="222"/>
      <c r="E3048" s="222"/>
      <c r="F3048" s="222"/>
      <c r="G3048" s="222"/>
      <c r="H3048" s="222"/>
      <c r="I3048" s="222"/>
      <c r="J3048" s="223"/>
      <c r="K3048" s="223"/>
      <c r="L3048" s="222"/>
      <c r="M3048" s="222"/>
      <c r="N3048" s="222"/>
      <c r="O3048" s="222"/>
      <c r="P3048" s="222"/>
      <c r="Q3048" s="222"/>
      <c r="R3048" s="271"/>
      <c r="S3048" s="11"/>
      <c r="T3048" s="11"/>
      <c r="U3048" s="11"/>
      <c r="AW3048" s="234"/>
      <c r="BP3048" s="11"/>
      <c r="BQ3048" s="11"/>
      <c r="BV3048" s="158"/>
      <c r="BY3048" s="158"/>
      <c r="CB3048" s="158"/>
    </row>
    <row r="3049">
      <c r="A3049" s="222"/>
      <c r="B3049" s="221"/>
      <c r="C3049" s="222"/>
      <c r="D3049" s="222"/>
      <c r="E3049" s="222"/>
      <c r="F3049" s="222"/>
      <c r="G3049" s="222"/>
      <c r="H3049" s="222"/>
      <c r="I3049" s="222"/>
      <c r="J3049" s="223"/>
      <c r="K3049" s="223"/>
      <c r="L3049" s="222"/>
      <c r="M3049" s="222"/>
      <c r="N3049" s="222"/>
      <c r="O3049" s="222"/>
      <c r="P3049" s="222"/>
      <c r="Q3049" s="222"/>
      <c r="R3049" s="271"/>
      <c r="S3049" s="11"/>
      <c r="T3049" s="11"/>
      <c r="U3049" s="11"/>
      <c r="AW3049" s="234"/>
      <c r="BP3049" s="11"/>
      <c r="BQ3049" s="11"/>
      <c r="BV3049" s="158"/>
      <c r="BY3049" s="158"/>
      <c r="CB3049" s="158"/>
    </row>
    <row r="3050">
      <c r="A3050" s="222"/>
      <c r="B3050" s="221"/>
      <c r="C3050" s="222"/>
      <c r="D3050" s="222"/>
      <c r="E3050" s="222"/>
      <c r="F3050" s="222"/>
      <c r="G3050" s="222"/>
      <c r="H3050" s="222"/>
      <c r="I3050" s="222"/>
      <c r="J3050" s="223"/>
      <c r="K3050" s="223"/>
      <c r="L3050" s="222"/>
      <c r="M3050" s="222"/>
      <c r="N3050" s="222"/>
      <c r="O3050" s="222"/>
      <c r="P3050" s="222"/>
      <c r="Q3050" s="222"/>
      <c r="R3050" s="271"/>
      <c r="S3050" s="11"/>
      <c r="T3050" s="11"/>
      <c r="U3050" s="11"/>
      <c r="AW3050" s="234"/>
      <c r="BP3050" s="11"/>
      <c r="BQ3050" s="11"/>
      <c r="BV3050" s="158"/>
      <c r="BY3050" s="158"/>
      <c r="CB3050" s="158"/>
    </row>
    <row r="3051">
      <c r="A3051" s="222"/>
      <c r="B3051" s="221"/>
      <c r="C3051" s="222"/>
      <c r="D3051" s="222"/>
      <c r="E3051" s="222"/>
      <c r="F3051" s="222"/>
      <c r="G3051" s="222"/>
      <c r="H3051" s="222"/>
      <c r="I3051" s="222"/>
      <c r="J3051" s="223"/>
      <c r="K3051" s="223"/>
      <c r="L3051" s="222"/>
      <c r="M3051" s="222"/>
      <c r="N3051" s="222"/>
      <c r="O3051" s="222"/>
      <c r="P3051" s="222"/>
      <c r="Q3051" s="222"/>
      <c r="R3051" s="271"/>
      <c r="S3051" s="11"/>
      <c r="T3051" s="11"/>
      <c r="U3051" s="11"/>
      <c r="AW3051" s="234"/>
      <c r="BP3051" s="11"/>
      <c r="BQ3051" s="11"/>
      <c r="BV3051" s="158"/>
      <c r="BY3051" s="158"/>
      <c r="CB3051" s="158"/>
    </row>
    <row r="3052">
      <c r="A3052" s="222"/>
      <c r="B3052" s="221"/>
      <c r="C3052" s="222"/>
      <c r="D3052" s="222"/>
      <c r="E3052" s="222"/>
      <c r="F3052" s="222"/>
      <c r="G3052" s="222"/>
      <c r="H3052" s="222"/>
      <c r="I3052" s="222"/>
      <c r="J3052" s="223"/>
      <c r="K3052" s="223"/>
      <c r="L3052" s="222"/>
      <c r="M3052" s="222"/>
      <c r="N3052" s="222"/>
      <c r="O3052" s="222"/>
      <c r="P3052" s="222"/>
      <c r="Q3052" s="222"/>
      <c r="R3052" s="271"/>
      <c r="S3052" s="11"/>
      <c r="T3052" s="11"/>
      <c r="U3052" s="11"/>
      <c r="AW3052" s="234"/>
      <c r="BP3052" s="11"/>
      <c r="BQ3052" s="11"/>
      <c r="BV3052" s="158"/>
      <c r="BY3052" s="158"/>
      <c r="CB3052" s="158"/>
    </row>
    <row r="3053">
      <c r="A3053" s="222"/>
      <c r="B3053" s="221"/>
      <c r="C3053" s="222"/>
      <c r="D3053" s="222"/>
      <c r="E3053" s="222"/>
      <c r="F3053" s="222"/>
      <c r="G3053" s="222"/>
      <c r="H3053" s="222"/>
      <c r="I3053" s="222"/>
      <c r="J3053" s="223"/>
      <c r="K3053" s="223"/>
      <c r="L3053" s="222"/>
      <c r="M3053" s="222"/>
      <c r="N3053" s="222"/>
      <c r="O3053" s="222"/>
      <c r="P3053" s="222"/>
      <c r="Q3053" s="222"/>
      <c r="R3053" s="271"/>
      <c r="S3053" s="11"/>
      <c r="T3053" s="11"/>
      <c r="U3053" s="11"/>
      <c r="AW3053" s="234"/>
      <c r="BP3053" s="11"/>
      <c r="BQ3053" s="11"/>
      <c r="BV3053" s="158"/>
      <c r="BY3053" s="158"/>
      <c r="CB3053" s="158"/>
    </row>
    <row r="3054">
      <c r="A3054" s="222"/>
      <c r="B3054" s="221"/>
      <c r="C3054" s="222"/>
      <c r="D3054" s="222"/>
      <c r="E3054" s="222"/>
      <c r="F3054" s="222"/>
      <c r="G3054" s="222"/>
      <c r="H3054" s="222"/>
      <c r="I3054" s="222"/>
      <c r="J3054" s="223"/>
      <c r="K3054" s="223"/>
      <c r="L3054" s="222"/>
      <c r="M3054" s="222"/>
      <c r="N3054" s="222"/>
      <c r="O3054" s="222"/>
      <c r="P3054" s="222"/>
      <c r="Q3054" s="222"/>
      <c r="R3054" s="271"/>
      <c r="S3054" s="11"/>
      <c r="T3054" s="11"/>
      <c r="U3054" s="11"/>
      <c r="AW3054" s="234"/>
      <c r="BP3054" s="11"/>
      <c r="BQ3054" s="11"/>
      <c r="BV3054" s="158"/>
      <c r="BY3054" s="158"/>
      <c r="CB3054" s="158"/>
    </row>
    <row r="3055">
      <c r="A3055" s="222"/>
      <c r="B3055" s="221"/>
      <c r="C3055" s="222"/>
      <c r="D3055" s="222"/>
      <c r="E3055" s="222"/>
      <c r="F3055" s="222"/>
      <c r="G3055" s="222"/>
      <c r="H3055" s="222"/>
      <c r="I3055" s="222"/>
      <c r="J3055" s="223"/>
      <c r="K3055" s="223"/>
      <c r="L3055" s="222"/>
      <c r="M3055" s="222"/>
      <c r="N3055" s="222"/>
      <c r="O3055" s="222"/>
      <c r="P3055" s="222"/>
      <c r="Q3055" s="222"/>
      <c r="R3055" s="271"/>
      <c r="S3055" s="11"/>
      <c r="T3055" s="11"/>
      <c r="U3055" s="11"/>
      <c r="AW3055" s="234"/>
      <c r="BP3055" s="11"/>
      <c r="BQ3055" s="11"/>
      <c r="BV3055" s="158"/>
      <c r="BY3055" s="158"/>
      <c r="CB3055" s="158"/>
    </row>
    <row r="3056">
      <c r="A3056" s="222"/>
      <c r="B3056" s="221"/>
      <c r="C3056" s="222"/>
      <c r="D3056" s="222"/>
      <c r="E3056" s="222"/>
      <c r="F3056" s="222"/>
      <c r="G3056" s="222"/>
      <c r="H3056" s="222"/>
      <c r="I3056" s="222"/>
      <c r="J3056" s="223"/>
      <c r="K3056" s="223"/>
      <c r="L3056" s="222"/>
      <c r="M3056" s="222"/>
      <c r="N3056" s="222"/>
      <c r="O3056" s="222"/>
      <c r="P3056" s="222"/>
      <c r="Q3056" s="222"/>
      <c r="R3056" s="271"/>
      <c r="S3056" s="11"/>
      <c r="T3056" s="11"/>
      <c r="U3056" s="11"/>
      <c r="AW3056" s="234"/>
      <c r="BP3056" s="11"/>
      <c r="BQ3056" s="11"/>
      <c r="BV3056" s="158"/>
      <c r="BY3056" s="158"/>
      <c r="CB3056" s="158"/>
    </row>
    <row r="3057">
      <c r="A3057" s="222"/>
      <c r="B3057" s="221"/>
      <c r="C3057" s="222"/>
      <c r="D3057" s="222"/>
      <c r="E3057" s="222"/>
      <c r="F3057" s="222"/>
      <c r="G3057" s="222"/>
      <c r="H3057" s="222"/>
      <c r="I3057" s="222"/>
      <c r="J3057" s="223"/>
      <c r="K3057" s="223"/>
      <c r="L3057" s="222"/>
      <c r="M3057" s="222"/>
      <c r="N3057" s="222"/>
      <c r="O3057" s="222"/>
      <c r="P3057" s="222"/>
      <c r="Q3057" s="222"/>
      <c r="R3057" s="271"/>
      <c r="S3057" s="11"/>
      <c r="T3057" s="11"/>
      <c r="U3057" s="11"/>
      <c r="AW3057" s="234"/>
      <c r="BP3057" s="11"/>
      <c r="BQ3057" s="11"/>
      <c r="BV3057" s="158"/>
      <c r="BY3057" s="158"/>
      <c r="CB3057" s="158"/>
    </row>
    <row r="3058">
      <c r="A3058" s="222"/>
      <c r="B3058" s="221"/>
      <c r="C3058" s="222"/>
      <c r="D3058" s="222"/>
      <c r="E3058" s="222"/>
      <c r="F3058" s="222"/>
      <c r="G3058" s="222"/>
      <c r="H3058" s="222"/>
      <c r="I3058" s="222"/>
      <c r="J3058" s="223"/>
      <c r="K3058" s="223"/>
      <c r="L3058" s="222"/>
      <c r="M3058" s="222"/>
      <c r="N3058" s="222"/>
      <c r="O3058" s="222"/>
      <c r="P3058" s="222"/>
      <c r="Q3058" s="222"/>
      <c r="R3058" s="271"/>
      <c r="S3058" s="11"/>
      <c r="T3058" s="11"/>
      <c r="U3058" s="11"/>
      <c r="AW3058" s="234"/>
      <c r="BP3058" s="11"/>
      <c r="BQ3058" s="11"/>
      <c r="BV3058" s="158"/>
      <c r="BY3058" s="158"/>
      <c r="CB3058" s="158"/>
    </row>
    <row r="3059">
      <c r="A3059" s="222"/>
      <c r="B3059" s="221"/>
      <c r="C3059" s="222"/>
      <c r="D3059" s="222"/>
      <c r="E3059" s="222"/>
      <c r="F3059" s="222"/>
      <c r="G3059" s="222"/>
      <c r="H3059" s="222"/>
      <c r="I3059" s="222"/>
      <c r="J3059" s="223"/>
      <c r="K3059" s="223"/>
      <c r="L3059" s="222"/>
      <c r="M3059" s="222"/>
      <c r="N3059" s="222"/>
      <c r="O3059" s="222"/>
      <c r="P3059" s="222"/>
      <c r="Q3059" s="222"/>
      <c r="R3059" s="271"/>
      <c r="S3059" s="11"/>
      <c r="T3059" s="11"/>
      <c r="U3059" s="11"/>
      <c r="AW3059" s="234"/>
      <c r="BP3059" s="11"/>
      <c r="BQ3059" s="11"/>
      <c r="BV3059" s="158"/>
      <c r="BY3059" s="158"/>
      <c r="CB3059" s="158"/>
    </row>
    <row r="3060">
      <c r="A3060" s="222"/>
      <c r="B3060" s="221"/>
      <c r="C3060" s="222"/>
      <c r="D3060" s="222"/>
      <c r="E3060" s="222"/>
      <c r="F3060" s="222"/>
      <c r="G3060" s="222"/>
      <c r="H3060" s="222"/>
      <c r="I3060" s="222"/>
      <c r="J3060" s="223"/>
      <c r="K3060" s="223"/>
      <c r="L3060" s="222"/>
      <c r="M3060" s="222"/>
      <c r="N3060" s="222"/>
      <c r="O3060" s="222"/>
      <c r="P3060" s="222"/>
      <c r="Q3060" s="222"/>
      <c r="R3060" s="271"/>
      <c r="S3060" s="11"/>
      <c r="T3060" s="11"/>
      <c r="U3060" s="11"/>
      <c r="AW3060" s="234"/>
      <c r="BP3060" s="11"/>
      <c r="BQ3060" s="11"/>
      <c r="BV3060" s="158"/>
      <c r="BY3060" s="158"/>
      <c r="CB3060" s="158"/>
    </row>
    <row r="3061">
      <c r="A3061" s="222"/>
      <c r="B3061" s="221"/>
      <c r="C3061" s="222"/>
      <c r="D3061" s="222"/>
      <c r="E3061" s="222"/>
      <c r="F3061" s="222"/>
      <c r="G3061" s="222"/>
      <c r="H3061" s="222"/>
      <c r="I3061" s="222"/>
      <c r="J3061" s="223"/>
      <c r="K3061" s="223"/>
      <c r="L3061" s="222"/>
      <c r="M3061" s="222"/>
      <c r="N3061" s="222"/>
      <c r="O3061" s="222"/>
      <c r="P3061" s="222"/>
      <c r="Q3061" s="222"/>
      <c r="R3061" s="271"/>
      <c r="S3061" s="11"/>
      <c r="T3061" s="11"/>
      <c r="U3061" s="11"/>
      <c r="AW3061" s="234"/>
      <c r="BP3061" s="11"/>
      <c r="BQ3061" s="11"/>
      <c r="BV3061" s="158"/>
      <c r="BY3061" s="158"/>
      <c r="CB3061" s="158"/>
    </row>
    <row r="3062">
      <c r="A3062" s="222"/>
      <c r="B3062" s="221"/>
      <c r="C3062" s="222"/>
      <c r="D3062" s="222"/>
      <c r="E3062" s="222"/>
      <c r="F3062" s="222"/>
      <c r="G3062" s="222"/>
      <c r="H3062" s="222"/>
      <c r="I3062" s="222"/>
      <c r="J3062" s="223"/>
      <c r="K3062" s="223"/>
      <c r="L3062" s="222"/>
      <c r="M3062" s="222"/>
      <c r="N3062" s="222"/>
      <c r="O3062" s="222"/>
      <c r="P3062" s="222"/>
      <c r="Q3062" s="222"/>
      <c r="R3062" s="271"/>
      <c r="S3062" s="11"/>
      <c r="T3062" s="11"/>
      <c r="U3062" s="11"/>
      <c r="AW3062" s="234"/>
      <c r="BP3062" s="11"/>
      <c r="BQ3062" s="11"/>
      <c r="BV3062" s="158"/>
      <c r="BY3062" s="158"/>
      <c r="CB3062" s="158"/>
    </row>
    <row r="3063">
      <c r="A3063" s="222"/>
      <c r="B3063" s="221"/>
      <c r="C3063" s="222"/>
      <c r="D3063" s="222"/>
      <c r="E3063" s="222"/>
      <c r="F3063" s="222"/>
      <c r="G3063" s="222"/>
      <c r="H3063" s="222"/>
      <c r="I3063" s="222"/>
      <c r="J3063" s="223"/>
      <c r="K3063" s="223"/>
      <c r="L3063" s="222"/>
      <c r="M3063" s="222"/>
      <c r="N3063" s="222"/>
      <c r="O3063" s="222"/>
      <c r="P3063" s="222"/>
      <c r="Q3063" s="222"/>
      <c r="R3063" s="271"/>
      <c r="S3063" s="11"/>
      <c r="T3063" s="11"/>
      <c r="U3063" s="11"/>
      <c r="AW3063" s="234"/>
      <c r="BP3063" s="11"/>
      <c r="BQ3063" s="11"/>
      <c r="BV3063" s="158"/>
      <c r="BY3063" s="158"/>
      <c r="CB3063" s="158"/>
    </row>
    <row r="3064">
      <c r="A3064" s="222"/>
      <c r="B3064" s="221"/>
      <c r="C3064" s="222"/>
      <c r="D3064" s="222"/>
      <c r="E3064" s="222"/>
      <c r="F3064" s="222"/>
      <c r="G3064" s="222"/>
      <c r="H3064" s="222"/>
      <c r="I3064" s="222"/>
      <c r="J3064" s="223"/>
      <c r="K3064" s="223"/>
      <c r="L3064" s="222"/>
      <c r="M3064" s="222"/>
      <c r="N3064" s="222"/>
      <c r="O3064" s="222"/>
      <c r="P3064" s="222"/>
      <c r="Q3064" s="222"/>
      <c r="R3064" s="271"/>
      <c r="S3064" s="11"/>
      <c r="T3064" s="11"/>
      <c r="U3064" s="11"/>
      <c r="AW3064" s="234"/>
      <c r="BP3064" s="11"/>
      <c r="BQ3064" s="11"/>
      <c r="BV3064" s="158"/>
      <c r="BY3064" s="158"/>
      <c r="CB3064" s="158"/>
    </row>
    <row r="3065">
      <c r="A3065" s="222"/>
      <c r="B3065" s="221"/>
      <c r="C3065" s="222"/>
      <c r="D3065" s="222"/>
      <c r="E3065" s="222"/>
      <c r="F3065" s="222"/>
      <c r="G3065" s="222"/>
      <c r="H3065" s="222"/>
      <c r="I3065" s="222"/>
      <c r="J3065" s="223"/>
      <c r="K3065" s="223"/>
      <c r="L3065" s="222"/>
      <c r="M3065" s="222"/>
      <c r="N3065" s="222"/>
      <c r="O3065" s="222"/>
      <c r="P3065" s="222"/>
      <c r="Q3065" s="222"/>
      <c r="R3065" s="271"/>
      <c r="S3065" s="11"/>
      <c r="T3065" s="11"/>
      <c r="U3065" s="11"/>
      <c r="AW3065" s="234"/>
      <c r="BP3065" s="11"/>
      <c r="BQ3065" s="11"/>
      <c r="BV3065" s="158"/>
      <c r="BY3065" s="158"/>
      <c r="CB3065" s="158"/>
    </row>
    <row r="3066">
      <c r="A3066" s="222"/>
      <c r="B3066" s="221"/>
      <c r="C3066" s="222"/>
      <c r="D3066" s="222"/>
      <c r="E3066" s="222"/>
      <c r="F3066" s="222"/>
      <c r="G3066" s="222"/>
      <c r="H3066" s="222"/>
      <c r="I3066" s="222"/>
      <c r="J3066" s="223"/>
      <c r="K3066" s="223"/>
      <c r="L3066" s="222"/>
      <c r="M3066" s="222"/>
      <c r="N3066" s="222"/>
      <c r="O3066" s="222"/>
      <c r="P3066" s="222"/>
      <c r="Q3066" s="222"/>
      <c r="R3066" s="271"/>
      <c r="S3066" s="11"/>
      <c r="T3066" s="11"/>
      <c r="U3066" s="11"/>
      <c r="AW3066" s="234"/>
      <c r="BP3066" s="11"/>
      <c r="BQ3066" s="11"/>
      <c r="BV3066" s="158"/>
      <c r="BY3066" s="158"/>
      <c r="CB3066" s="158"/>
    </row>
    <row r="3067">
      <c r="A3067" s="222"/>
      <c r="B3067" s="221"/>
      <c r="C3067" s="222"/>
      <c r="D3067" s="222"/>
      <c r="E3067" s="222"/>
      <c r="F3067" s="222"/>
      <c r="G3067" s="222"/>
      <c r="H3067" s="222"/>
      <c r="I3067" s="222"/>
      <c r="J3067" s="223"/>
      <c r="K3067" s="223"/>
      <c r="L3067" s="222"/>
      <c r="M3067" s="222"/>
      <c r="N3067" s="222"/>
      <c r="O3067" s="222"/>
      <c r="P3067" s="222"/>
      <c r="Q3067" s="222"/>
      <c r="R3067" s="271"/>
      <c r="S3067" s="11"/>
      <c r="T3067" s="11"/>
      <c r="U3067" s="11"/>
      <c r="AW3067" s="234"/>
      <c r="BP3067" s="11"/>
      <c r="BQ3067" s="11"/>
      <c r="BV3067" s="158"/>
      <c r="BY3067" s="158"/>
      <c r="CB3067" s="158"/>
    </row>
    <row r="3068">
      <c r="A3068" s="222"/>
      <c r="B3068" s="221"/>
      <c r="C3068" s="222"/>
      <c r="D3068" s="222"/>
      <c r="E3068" s="222"/>
      <c r="F3068" s="222"/>
      <c r="G3068" s="222"/>
      <c r="H3068" s="222"/>
      <c r="I3068" s="222"/>
      <c r="J3068" s="223"/>
      <c r="K3068" s="223"/>
      <c r="L3068" s="222"/>
      <c r="M3068" s="222"/>
      <c r="N3068" s="222"/>
      <c r="O3068" s="222"/>
      <c r="P3068" s="222"/>
      <c r="Q3068" s="222"/>
      <c r="R3068" s="271"/>
      <c r="S3068" s="11"/>
      <c r="T3068" s="11"/>
      <c r="U3068" s="11"/>
      <c r="AW3068" s="234"/>
      <c r="BP3068" s="11"/>
      <c r="BQ3068" s="11"/>
      <c r="BV3068" s="158"/>
      <c r="BY3068" s="158"/>
      <c r="CB3068" s="158"/>
    </row>
    <row r="3069">
      <c r="A3069" s="222"/>
      <c r="B3069" s="221"/>
      <c r="C3069" s="222"/>
      <c r="D3069" s="222"/>
      <c r="E3069" s="222"/>
      <c r="F3069" s="222"/>
      <c r="G3069" s="222"/>
      <c r="H3069" s="222"/>
      <c r="I3069" s="222"/>
      <c r="J3069" s="223"/>
      <c r="K3069" s="223"/>
      <c r="L3069" s="222"/>
      <c r="M3069" s="222"/>
      <c r="N3069" s="222"/>
      <c r="O3069" s="222"/>
      <c r="P3069" s="222"/>
      <c r="Q3069" s="222"/>
      <c r="R3069" s="271"/>
      <c r="S3069" s="11"/>
      <c r="T3069" s="11"/>
      <c r="U3069" s="11"/>
      <c r="AW3069" s="234"/>
      <c r="BP3069" s="11"/>
      <c r="BQ3069" s="11"/>
      <c r="BV3069" s="158"/>
      <c r="BY3069" s="158"/>
      <c r="CB3069" s="158"/>
    </row>
    <row r="3070">
      <c r="A3070" s="222"/>
      <c r="B3070" s="221"/>
      <c r="C3070" s="222"/>
      <c r="D3070" s="222"/>
      <c r="E3070" s="222"/>
      <c r="F3070" s="222"/>
      <c r="G3070" s="222"/>
      <c r="H3070" s="222"/>
      <c r="I3070" s="222"/>
      <c r="J3070" s="223"/>
      <c r="K3070" s="223"/>
      <c r="L3070" s="222"/>
      <c r="M3070" s="222"/>
      <c r="N3070" s="222"/>
      <c r="O3070" s="222"/>
      <c r="P3070" s="222"/>
      <c r="Q3070" s="222"/>
      <c r="R3070" s="271"/>
      <c r="S3070" s="11"/>
      <c r="T3070" s="11"/>
      <c r="U3070" s="11"/>
      <c r="AW3070" s="234"/>
      <c r="BP3070" s="11"/>
      <c r="BQ3070" s="11"/>
      <c r="BV3070" s="158"/>
      <c r="BY3070" s="158"/>
      <c r="CB3070" s="158"/>
    </row>
    <row r="3071">
      <c r="A3071" s="222"/>
      <c r="B3071" s="221"/>
      <c r="C3071" s="222"/>
      <c r="D3071" s="222"/>
      <c r="E3071" s="222"/>
      <c r="F3071" s="222"/>
      <c r="G3071" s="222"/>
      <c r="H3071" s="222"/>
      <c r="I3071" s="222"/>
      <c r="J3071" s="223"/>
      <c r="K3071" s="223"/>
      <c r="L3071" s="222"/>
      <c r="M3071" s="222"/>
      <c r="N3071" s="222"/>
      <c r="O3071" s="222"/>
      <c r="P3071" s="222"/>
      <c r="Q3071" s="222"/>
      <c r="R3071" s="271"/>
      <c r="S3071" s="11"/>
      <c r="T3071" s="11"/>
      <c r="U3071" s="11"/>
      <c r="AW3071" s="234"/>
      <c r="BP3071" s="11"/>
      <c r="BQ3071" s="11"/>
      <c r="BV3071" s="158"/>
      <c r="BY3071" s="158"/>
      <c r="CB3071" s="158"/>
    </row>
    <row r="3072">
      <c r="A3072" s="222"/>
      <c r="B3072" s="221"/>
      <c r="C3072" s="222"/>
      <c r="D3072" s="222"/>
      <c r="E3072" s="222"/>
      <c r="F3072" s="222"/>
      <c r="G3072" s="222"/>
      <c r="H3072" s="222"/>
      <c r="I3072" s="222"/>
      <c r="J3072" s="223"/>
      <c r="K3072" s="223"/>
      <c r="L3072" s="222"/>
      <c r="M3072" s="222"/>
      <c r="N3072" s="222"/>
      <c r="O3072" s="222"/>
      <c r="P3072" s="222"/>
      <c r="Q3072" s="222"/>
      <c r="R3072" s="271"/>
      <c r="S3072" s="11"/>
      <c r="T3072" s="11"/>
      <c r="U3072" s="11"/>
      <c r="AW3072" s="234"/>
      <c r="BP3072" s="11"/>
      <c r="BQ3072" s="11"/>
      <c r="BV3072" s="158"/>
      <c r="BY3072" s="158"/>
      <c r="CB3072" s="158"/>
    </row>
    <row r="3073">
      <c r="A3073" s="222"/>
      <c r="B3073" s="221"/>
      <c r="C3073" s="222"/>
      <c r="D3073" s="222"/>
      <c r="E3073" s="222"/>
      <c r="F3073" s="222"/>
      <c r="G3073" s="222"/>
      <c r="H3073" s="222"/>
      <c r="I3073" s="222"/>
      <c r="J3073" s="223"/>
      <c r="K3073" s="223"/>
      <c r="L3073" s="222"/>
      <c r="M3073" s="222"/>
      <c r="N3073" s="222"/>
      <c r="O3073" s="222"/>
      <c r="P3073" s="222"/>
      <c r="Q3073" s="222"/>
      <c r="R3073" s="271"/>
      <c r="S3073" s="11"/>
      <c r="T3073" s="11"/>
      <c r="U3073" s="11"/>
      <c r="AW3073" s="234"/>
      <c r="BP3073" s="11"/>
      <c r="BQ3073" s="11"/>
      <c r="BV3073" s="158"/>
      <c r="BY3073" s="158"/>
      <c r="CB3073" s="158"/>
    </row>
    <row r="3074">
      <c r="A3074" s="222"/>
      <c r="B3074" s="221"/>
      <c r="C3074" s="222"/>
      <c r="D3074" s="222"/>
      <c r="E3074" s="222"/>
      <c r="F3074" s="222"/>
      <c r="G3074" s="222"/>
      <c r="H3074" s="222"/>
      <c r="I3074" s="222"/>
      <c r="J3074" s="223"/>
      <c r="K3074" s="223"/>
      <c r="L3074" s="222"/>
      <c r="M3074" s="222"/>
      <c r="N3074" s="222"/>
      <c r="O3074" s="222"/>
      <c r="P3074" s="222"/>
      <c r="Q3074" s="222"/>
      <c r="R3074" s="271"/>
      <c r="S3074" s="11"/>
      <c r="T3074" s="11"/>
      <c r="U3074" s="11"/>
      <c r="AW3074" s="234"/>
      <c r="BP3074" s="11"/>
      <c r="BQ3074" s="11"/>
      <c r="BV3074" s="158"/>
      <c r="BY3074" s="158"/>
      <c r="CB3074" s="158"/>
    </row>
    <row r="3075">
      <c r="A3075" s="222"/>
      <c r="B3075" s="221"/>
      <c r="C3075" s="222"/>
      <c r="D3075" s="222"/>
      <c r="E3075" s="222"/>
      <c r="F3075" s="222"/>
      <c r="G3075" s="222"/>
      <c r="H3075" s="222"/>
      <c r="I3075" s="222"/>
      <c r="J3075" s="223"/>
      <c r="K3075" s="223"/>
      <c r="L3075" s="222"/>
      <c r="M3075" s="222"/>
      <c r="N3075" s="222"/>
      <c r="O3075" s="222"/>
      <c r="P3075" s="222"/>
      <c r="Q3075" s="222"/>
      <c r="R3075" s="271"/>
      <c r="S3075" s="11"/>
      <c r="T3075" s="11"/>
      <c r="U3075" s="11"/>
      <c r="AW3075" s="234"/>
      <c r="BP3075" s="11"/>
      <c r="BQ3075" s="11"/>
      <c r="BV3075" s="158"/>
      <c r="BY3075" s="158"/>
      <c r="CB3075" s="158"/>
    </row>
    <row r="3076">
      <c r="A3076" s="222"/>
      <c r="B3076" s="221"/>
      <c r="C3076" s="222"/>
      <c r="D3076" s="222"/>
      <c r="E3076" s="222"/>
      <c r="F3076" s="222"/>
      <c r="G3076" s="222"/>
      <c r="H3076" s="222"/>
      <c r="I3076" s="222"/>
      <c r="J3076" s="223"/>
      <c r="K3076" s="223"/>
      <c r="L3076" s="222"/>
      <c r="M3076" s="222"/>
      <c r="N3076" s="222"/>
      <c r="O3076" s="222"/>
      <c r="P3076" s="222"/>
      <c r="Q3076" s="222"/>
      <c r="R3076" s="271"/>
      <c r="S3076" s="11"/>
      <c r="T3076" s="11"/>
      <c r="U3076" s="11"/>
      <c r="AW3076" s="234"/>
      <c r="BP3076" s="11"/>
      <c r="BQ3076" s="11"/>
      <c r="BV3076" s="158"/>
      <c r="BY3076" s="158"/>
      <c r="CB3076" s="158"/>
    </row>
    <row r="3077">
      <c r="A3077" s="222"/>
      <c r="B3077" s="221"/>
      <c r="C3077" s="222"/>
      <c r="D3077" s="222"/>
      <c r="E3077" s="222"/>
      <c r="F3077" s="222"/>
      <c r="G3077" s="222"/>
      <c r="H3077" s="222"/>
      <c r="I3077" s="222"/>
      <c r="J3077" s="223"/>
      <c r="K3077" s="223"/>
      <c r="L3077" s="222"/>
      <c r="M3077" s="222"/>
      <c r="N3077" s="222"/>
      <c r="O3077" s="222"/>
      <c r="P3077" s="222"/>
      <c r="Q3077" s="222"/>
      <c r="R3077" s="271"/>
      <c r="S3077" s="11"/>
      <c r="T3077" s="11"/>
      <c r="U3077" s="11"/>
      <c r="AW3077" s="234"/>
      <c r="BP3077" s="11"/>
      <c r="BQ3077" s="11"/>
      <c r="BV3077" s="158"/>
      <c r="BY3077" s="158"/>
      <c r="CB3077" s="158"/>
    </row>
    <row r="3078">
      <c r="A3078" s="222"/>
      <c r="B3078" s="221"/>
      <c r="C3078" s="222"/>
      <c r="D3078" s="222"/>
      <c r="E3078" s="222"/>
      <c r="F3078" s="222"/>
      <c r="G3078" s="222"/>
      <c r="H3078" s="222"/>
      <c r="I3078" s="222"/>
      <c r="J3078" s="223"/>
      <c r="K3078" s="223"/>
      <c r="L3078" s="222"/>
      <c r="M3078" s="222"/>
      <c r="N3078" s="222"/>
      <c r="O3078" s="222"/>
      <c r="P3078" s="222"/>
      <c r="Q3078" s="222"/>
      <c r="R3078" s="271"/>
      <c r="S3078" s="11"/>
      <c r="T3078" s="11"/>
      <c r="U3078" s="11"/>
      <c r="AW3078" s="234"/>
      <c r="BP3078" s="11"/>
      <c r="BQ3078" s="11"/>
      <c r="BV3078" s="158"/>
      <c r="BY3078" s="158"/>
      <c r="CB3078" s="158"/>
    </row>
    <row r="3079">
      <c r="A3079" s="222"/>
      <c r="B3079" s="221"/>
      <c r="C3079" s="222"/>
      <c r="D3079" s="222"/>
      <c r="E3079" s="222"/>
      <c r="F3079" s="222"/>
      <c r="G3079" s="222"/>
      <c r="H3079" s="222"/>
      <c r="I3079" s="222"/>
      <c r="J3079" s="223"/>
      <c r="K3079" s="223"/>
      <c r="L3079" s="222"/>
      <c r="M3079" s="222"/>
      <c r="N3079" s="222"/>
      <c r="O3079" s="222"/>
      <c r="P3079" s="222"/>
      <c r="Q3079" s="222"/>
      <c r="R3079" s="271"/>
      <c r="S3079" s="11"/>
      <c r="T3079" s="11"/>
      <c r="U3079" s="11"/>
      <c r="AW3079" s="234"/>
      <c r="BP3079" s="11"/>
      <c r="BQ3079" s="11"/>
      <c r="BV3079" s="158"/>
      <c r="BY3079" s="158"/>
      <c r="CB3079" s="158"/>
    </row>
    <row r="3080">
      <c r="A3080" s="222"/>
      <c r="B3080" s="221"/>
      <c r="C3080" s="222"/>
      <c r="D3080" s="222"/>
      <c r="E3080" s="222"/>
      <c r="F3080" s="222"/>
      <c r="G3080" s="222"/>
      <c r="H3080" s="222"/>
      <c r="I3080" s="222"/>
      <c r="J3080" s="223"/>
      <c r="K3080" s="223"/>
      <c r="L3080" s="222"/>
      <c r="M3080" s="222"/>
      <c r="N3080" s="222"/>
      <c r="O3080" s="222"/>
      <c r="P3080" s="222"/>
      <c r="Q3080" s="222"/>
      <c r="R3080" s="271"/>
      <c r="S3080" s="11"/>
      <c r="T3080" s="11"/>
      <c r="U3080" s="11"/>
      <c r="AW3080" s="234"/>
      <c r="BP3080" s="11"/>
      <c r="BQ3080" s="11"/>
      <c r="BV3080" s="158"/>
      <c r="BY3080" s="158"/>
      <c r="CB3080" s="158"/>
    </row>
    <row r="3081">
      <c r="A3081" s="222"/>
      <c r="B3081" s="221"/>
      <c r="C3081" s="222"/>
      <c r="D3081" s="222"/>
      <c r="E3081" s="222"/>
      <c r="F3081" s="222"/>
      <c r="G3081" s="222"/>
      <c r="H3081" s="222"/>
      <c r="I3081" s="222"/>
      <c r="J3081" s="223"/>
      <c r="K3081" s="223"/>
      <c r="L3081" s="222"/>
      <c r="M3081" s="222"/>
      <c r="N3081" s="222"/>
      <c r="O3081" s="222"/>
      <c r="P3081" s="222"/>
      <c r="Q3081" s="222"/>
      <c r="R3081" s="271"/>
      <c r="S3081" s="11"/>
      <c r="T3081" s="11"/>
      <c r="U3081" s="11"/>
      <c r="AW3081" s="234"/>
      <c r="BP3081" s="11"/>
      <c r="BQ3081" s="11"/>
      <c r="BV3081" s="158"/>
      <c r="BY3081" s="158"/>
      <c r="CB3081" s="158"/>
    </row>
    <row r="3082">
      <c r="A3082" s="222"/>
      <c r="B3082" s="221"/>
      <c r="C3082" s="222"/>
      <c r="D3082" s="222"/>
      <c r="E3082" s="222"/>
      <c r="F3082" s="222"/>
      <c r="G3082" s="222"/>
      <c r="H3082" s="222"/>
      <c r="I3082" s="222"/>
      <c r="J3082" s="223"/>
      <c r="K3082" s="223"/>
      <c r="L3082" s="222"/>
      <c r="M3082" s="222"/>
      <c r="N3082" s="222"/>
      <c r="O3082" s="222"/>
      <c r="P3082" s="222"/>
      <c r="Q3082" s="222"/>
      <c r="R3082" s="271"/>
      <c r="S3082" s="11"/>
      <c r="T3082" s="11"/>
      <c r="U3082" s="11"/>
      <c r="AW3082" s="234"/>
      <c r="BP3082" s="11"/>
      <c r="BQ3082" s="11"/>
      <c r="BV3082" s="158"/>
      <c r="BY3082" s="158"/>
      <c r="CB3082" s="158"/>
    </row>
    <row r="3083">
      <c r="A3083" s="222"/>
      <c r="B3083" s="221"/>
      <c r="C3083" s="222"/>
      <c r="D3083" s="222"/>
      <c r="E3083" s="222"/>
      <c r="F3083" s="222"/>
      <c r="G3083" s="222"/>
      <c r="H3083" s="222"/>
      <c r="I3083" s="222"/>
      <c r="J3083" s="223"/>
      <c r="K3083" s="223"/>
      <c r="L3083" s="222"/>
      <c r="M3083" s="222"/>
      <c r="N3083" s="222"/>
      <c r="O3083" s="222"/>
      <c r="P3083" s="222"/>
      <c r="Q3083" s="222"/>
      <c r="R3083" s="271"/>
      <c r="S3083" s="11"/>
      <c r="T3083" s="11"/>
      <c r="U3083" s="11"/>
      <c r="AW3083" s="234"/>
      <c r="BP3083" s="11"/>
      <c r="BQ3083" s="11"/>
      <c r="BV3083" s="158"/>
      <c r="BY3083" s="158"/>
      <c r="CB3083" s="158"/>
    </row>
    <row r="3084">
      <c r="A3084" s="222"/>
      <c r="B3084" s="221"/>
      <c r="C3084" s="222"/>
      <c r="D3084" s="222"/>
      <c r="E3084" s="222"/>
      <c r="F3084" s="222"/>
      <c r="G3084" s="222"/>
      <c r="H3084" s="222"/>
      <c r="I3084" s="222"/>
      <c r="J3084" s="223"/>
      <c r="K3084" s="223"/>
      <c r="L3084" s="222"/>
      <c r="M3084" s="222"/>
      <c r="N3084" s="222"/>
      <c r="O3084" s="222"/>
      <c r="P3084" s="222"/>
      <c r="Q3084" s="222"/>
      <c r="R3084" s="271"/>
      <c r="S3084" s="11"/>
      <c r="T3084" s="11"/>
      <c r="U3084" s="11"/>
      <c r="AW3084" s="234"/>
      <c r="BP3084" s="11"/>
      <c r="BQ3084" s="11"/>
      <c r="BV3084" s="158"/>
      <c r="BY3084" s="158"/>
      <c r="CB3084" s="158"/>
    </row>
    <row r="3085">
      <c r="A3085" s="222"/>
      <c r="B3085" s="221"/>
      <c r="C3085" s="222"/>
      <c r="D3085" s="222"/>
      <c r="E3085" s="222"/>
      <c r="F3085" s="222"/>
      <c r="G3085" s="222"/>
      <c r="H3085" s="222"/>
      <c r="I3085" s="222"/>
      <c r="J3085" s="223"/>
      <c r="K3085" s="223"/>
      <c r="L3085" s="222"/>
      <c r="M3085" s="222"/>
      <c r="N3085" s="222"/>
      <c r="O3085" s="222"/>
      <c r="P3085" s="222"/>
      <c r="Q3085" s="222"/>
      <c r="R3085" s="271"/>
      <c r="S3085" s="11"/>
      <c r="T3085" s="11"/>
      <c r="U3085" s="11"/>
      <c r="AW3085" s="234"/>
      <c r="BP3085" s="11"/>
      <c r="BQ3085" s="11"/>
      <c r="BV3085" s="158"/>
      <c r="BY3085" s="158"/>
      <c r="CB3085" s="158"/>
    </row>
    <row r="3086">
      <c r="A3086" s="222"/>
      <c r="B3086" s="221"/>
      <c r="C3086" s="222"/>
      <c r="D3086" s="222"/>
      <c r="E3086" s="222"/>
      <c r="F3086" s="222"/>
      <c r="G3086" s="222"/>
      <c r="H3086" s="222"/>
      <c r="I3086" s="222"/>
      <c r="J3086" s="223"/>
      <c r="K3086" s="223"/>
      <c r="L3086" s="222"/>
      <c r="M3086" s="222"/>
      <c r="N3086" s="222"/>
      <c r="O3086" s="222"/>
      <c r="P3086" s="222"/>
      <c r="Q3086" s="222"/>
      <c r="R3086" s="271"/>
      <c r="S3086" s="11"/>
      <c r="T3086" s="11"/>
      <c r="U3086" s="11"/>
      <c r="AW3086" s="234"/>
      <c r="BP3086" s="11"/>
      <c r="BQ3086" s="11"/>
      <c r="BV3086" s="158"/>
      <c r="BY3086" s="158"/>
      <c r="CB3086" s="158"/>
    </row>
    <row r="3087">
      <c r="A3087" s="222"/>
      <c r="B3087" s="221"/>
      <c r="C3087" s="222"/>
      <c r="D3087" s="222"/>
      <c r="E3087" s="222"/>
      <c r="F3087" s="222"/>
      <c r="G3087" s="222"/>
      <c r="H3087" s="222"/>
      <c r="I3087" s="222"/>
      <c r="J3087" s="223"/>
      <c r="K3087" s="223"/>
      <c r="L3087" s="222"/>
      <c r="M3087" s="222"/>
      <c r="N3087" s="222"/>
      <c r="O3087" s="222"/>
      <c r="P3087" s="222"/>
      <c r="Q3087" s="222"/>
      <c r="R3087" s="271"/>
      <c r="S3087" s="11"/>
      <c r="T3087" s="11"/>
      <c r="U3087" s="11"/>
      <c r="AW3087" s="234"/>
      <c r="BP3087" s="11"/>
      <c r="BQ3087" s="11"/>
      <c r="BV3087" s="158"/>
      <c r="BY3087" s="158"/>
      <c r="CB3087" s="158"/>
    </row>
    <row r="3088">
      <c r="A3088" s="222"/>
      <c r="B3088" s="221"/>
      <c r="C3088" s="222"/>
      <c r="D3088" s="222"/>
      <c r="E3088" s="222"/>
      <c r="F3088" s="222"/>
      <c r="G3088" s="222"/>
      <c r="H3088" s="222"/>
      <c r="I3088" s="222"/>
      <c r="J3088" s="223"/>
      <c r="K3088" s="223"/>
      <c r="L3088" s="222"/>
      <c r="M3088" s="222"/>
      <c r="N3088" s="222"/>
      <c r="O3088" s="222"/>
      <c r="P3088" s="222"/>
      <c r="Q3088" s="222"/>
      <c r="R3088" s="271"/>
      <c r="S3088" s="11"/>
      <c r="T3088" s="11"/>
      <c r="U3088" s="11"/>
      <c r="AW3088" s="234"/>
      <c r="BP3088" s="11"/>
      <c r="BQ3088" s="11"/>
      <c r="BV3088" s="158"/>
      <c r="BY3088" s="158"/>
      <c r="CB3088" s="158"/>
    </row>
    <row r="3089">
      <c r="A3089" s="222"/>
      <c r="B3089" s="221"/>
      <c r="C3089" s="222"/>
      <c r="D3089" s="222"/>
      <c r="E3089" s="222"/>
      <c r="F3089" s="222"/>
      <c r="G3089" s="222"/>
      <c r="H3089" s="222"/>
      <c r="I3089" s="222"/>
      <c r="J3089" s="223"/>
      <c r="K3089" s="223"/>
      <c r="L3089" s="222"/>
      <c r="M3089" s="222"/>
      <c r="N3089" s="222"/>
      <c r="O3089" s="222"/>
      <c r="P3089" s="222"/>
      <c r="Q3089" s="222"/>
      <c r="R3089" s="271"/>
      <c r="S3089" s="11"/>
      <c r="T3089" s="11"/>
      <c r="U3089" s="11"/>
      <c r="AW3089" s="234"/>
      <c r="BP3089" s="11"/>
      <c r="BQ3089" s="11"/>
      <c r="BV3089" s="158"/>
      <c r="BY3089" s="158"/>
      <c r="CB3089" s="158"/>
    </row>
    <row r="3090">
      <c r="A3090" s="222"/>
      <c r="B3090" s="221"/>
      <c r="C3090" s="222"/>
      <c r="D3090" s="222"/>
      <c r="E3090" s="222"/>
      <c r="F3090" s="222"/>
      <c r="G3090" s="222"/>
      <c r="H3090" s="222"/>
      <c r="I3090" s="222"/>
      <c r="J3090" s="223"/>
      <c r="K3090" s="223"/>
      <c r="L3090" s="222"/>
      <c r="M3090" s="222"/>
      <c r="N3090" s="222"/>
      <c r="O3090" s="222"/>
      <c r="P3090" s="222"/>
      <c r="Q3090" s="222"/>
      <c r="R3090" s="271"/>
      <c r="S3090" s="11"/>
      <c r="T3090" s="11"/>
      <c r="U3090" s="11"/>
      <c r="AW3090" s="234"/>
      <c r="BP3090" s="11"/>
      <c r="BQ3090" s="11"/>
      <c r="BV3090" s="158"/>
      <c r="BY3090" s="158"/>
      <c r="CB3090" s="158"/>
    </row>
    <row r="3091">
      <c r="A3091" s="222"/>
      <c r="B3091" s="221"/>
      <c r="C3091" s="222"/>
      <c r="D3091" s="222"/>
      <c r="E3091" s="222"/>
      <c r="F3091" s="222"/>
      <c r="G3091" s="222"/>
      <c r="H3091" s="222"/>
      <c r="I3091" s="222"/>
      <c r="J3091" s="223"/>
      <c r="K3091" s="223"/>
      <c r="L3091" s="222"/>
      <c r="M3091" s="222"/>
      <c r="N3091" s="222"/>
      <c r="O3091" s="222"/>
      <c r="P3091" s="222"/>
      <c r="Q3091" s="222"/>
      <c r="R3091" s="271"/>
      <c r="S3091" s="11"/>
      <c r="T3091" s="11"/>
      <c r="U3091" s="11"/>
      <c r="AW3091" s="234"/>
      <c r="BP3091" s="11"/>
      <c r="BQ3091" s="11"/>
      <c r="BV3091" s="158"/>
      <c r="BY3091" s="158"/>
      <c r="CB3091" s="158"/>
    </row>
    <row r="3092">
      <c r="A3092" s="222"/>
      <c r="B3092" s="221"/>
      <c r="C3092" s="222"/>
      <c r="D3092" s="222"/>
      <c r="E3092" s="222"/>
      <c r="F3092" s="222"/>
      <c r="G3092" s="222"/>
      <c r="H3092" s="222"/>
      <c r="I3092" s="222"/>
      <c r="J3092" s="223"/>
      <c r="K3092" s="223"/>
      <c r="L3092" s="222"/>
      <c r="M3092" s="222"/>
      <c r="N3092" s="222"/>
      <c r="O3092" s="222"/>
      <c r="P3092" s="222"/>
      <c r="Q3092" s="222"/>
      <c r="R3092" s="271"/>
      <c r="S3092" s="11"/>
      <c r="T3092" s="11"/>
      <c r="U3092" s="11"/>
      <c r="AW3092" s="234"/>
      <c r="BP3092" s="11"/>
      <c r="BQ3092" s="11"/>
      <c r="BV3092" s="158"/>
      <c r="BY3092" s="158"/>
      <c r="CB3092" s="158"/>
    </row>
    <row r="3093">
      <c r="A3093" s="222"/>
      <c r="B3093" s="221"/>
      <c r="C3093" s="222"/>
      <c r="D3093" s="222"/>
      <c r="E3093" s="222"/>
      <c r="F3093" s="222"/>
      <c r="G3093" s="222"/>
      <c r="H3093" s="222"/>
      <c r="I3093" s="222"/>
      <c r="J3093" s="223"/>
      <c r="K3093" s="223"/>
      <c r="L3093" s="222"/>
      <c r="M3093" s="222"/>
      <c r="N3093" s="222"/>
      <c r="O3093" s="222"/>
      <c r="P3093" s="222"/>
      <c r="Q3093" s="222"/>
      <c r="R3093" s="271"/>
      <c r="S3093" s="11"/>
      <c r="T3093" s="11"/>
      <c r="U3093" s="11"/>
      <c r="AW3093" s="234"/>
      <c r="BP3093" s="11"/>
      <c r="BQ3093" s="11"/>
      <c r="BV3093" s="158"/>
      <c r="BY3093" s="158"/>
      <c r="CB3093" s="158"/>
    </row>
    <row r="3094">
      <c r="A3094" s="222"/>
      <c r="B3094" s="221"/>
      <c r="C3094" s="222"/>
      <c r="D3094" s="222"/>
      <c r="E3094" s="222"/>
      <c r="F3094" s="222"/>
      <c r="G3094" s="222"/>
      <c r="H3094" s="222"/>
      <c r="I3094" s="222"/>
      <c r="J3094" s="223"/>
      <c r="K3094" s="223"/>
      <c r="L3094" s="222"/>
      <c r="M3094" s="222"/>
      <c r="N3094" s="222"/>
      <c r="O3094" s="222"/>
      <c r="P3094" s="222"/>
      <c r="Q3094" s="222"/>
      <c r="R3094" s="271"/>
      <c r="S3094" s="11"/>
      <c r="T3094" s="11"/>
      <c r="U3094" s="11"/>
      <c r="AW3094" s="234"/>
      <c r="BP3094" s="11"/>
      <c r="BQ3094" s="11"/>
      <c r="BV3094" s="158"/>
      <c r="BY3094" s="158"/>
      <c r="CB3094" s="158"/>
    </row>
    <row r="3095">
      <c r="A3095" s="222"/>
      <c r="B3095" s="221"/>
      <c r="C3095" s="222"/>
      <c r="D3095" s="222"/>
      <c r="E3095" s="222"/>
      <c r="F3095" s="222"/>
      <c r="G3095" s="222"/>
      <c r="H3095" s="222"/>
      <c r="I3095" s="222"/>
      <c r="J3095" s="223"/>
      <c r="K3095" s="223"/>
      <c r="L3095" s="222"/>
      <c r="M3095" s="222"/>
      <c r="N3095" s="222"/>
      <c r="O3095" s="222"/>
      <c r="P3095" s="222"/>
      <c r="Q3095" s="222"/>
      <c r="R3095" s="271"/>
      <c r="S3095" s="11"/>
      <c r="T3095" s="11"/>
      <c r="U3095" s="11"/>
      <c r="AW3095" s="234"/>
      <c r="BP3095" s="11"/>
      <c r="BQ3095" s="11"/>
      <c r="BV3095" s="158"/>
      <c r="BY3095" s="158"/>
      <c r="CB3095" s="158"/>
    </row>
    <row r="3096">
      <c r="A3096" s="222"/>
      <c r="B3096" s="221"/>
      <c r="C3096" s="222"/>
      <c r="D3096" s="222"/>
      <c r="E3096" s="222"/>
      <c r="F3096" s="222"/>
      <c r="G3096" s="222"/>
      <c r="H3096" s="222"/>
      <c r="I3096" s="222"/>
      <c r="J3096" s="223"/>
      <c r="K3096" s="223"/>
      <c r="L3096" s="222"/>
      <c r="M3096" s="222"/>
      <c r="N3096" s="222"/>
      <c r="O3096" s="222"/>
      <c r="P3096" s="222"/>
      <c r="Q3096" s="222"/>
      <c r="R3096" s="271"/>
      <c r="S3096" s="11"/>
      <c r="T3096" s="11"/>
      <c r="U3096" s="11"/>
      <c r="AW3096" s="234"/>
      <c r="BP3096" s="11"/>
      <c r="BQ3096" s="11"/>
      <c r="BV3096" s="158"/>
      <c r="BY3096" s="158"/>
      <c r="CB3096" s="158"/>
    </row>
    <row r="3097">
      <c r="A3097" s="222"/>
      <c r="B3097" s="221"/>
      <c r="C3097" s="222"/>
      <c r="D3097" s="222"/>
      <c r="E3097" s="222"/>
      <c r="F3097" s="222"/>
      <c r="G3097" s="222"/>
      <c r="H3097" s="222"/>
      <c r="I3097" s="222"/>
      <c r="J3097" s="223"/>
      <c r="K3097" s="223"/>
      <c r="L3097" s="222"/>
      <c r="M3097" s="222"/>
      <c r="N3097" s="222"/>
      <c r="O3097" s="222"/>
      <c r="P3097" s="222"/>
      <c r="Q3097" s="222"/>
      <c r="R3097" s="271"/>
      <c r="S3097" s="11"/>
      <c r="T3097" s="11"/>
      <c r="U3097" s="11"/>
      <c r="AW3097" s="234"/>
      <c r="BP3097" s="11"/>
      <c r="BQ3097" s="11"/>
      <c r="BV3097" s="158"/>
      <c r="BY3097" s="158"/>
      <c r="CB3097" s="158"/>
    </row>
    <row r="3098">
      <c r="A3098" s="222"/>
      <c r="B3098" s="221"/>
      <c r="C3098" s="222"/>
      <c r="D3098" s="222"/>
      <c r="E3098" s="222"/>
      <c r="F3098" s="222"/>
      <c r="G3098" s="222"/>
      <c r="H3098" s="222"/>
      <c r="I3098" s="222"/>
      <c r="J3098" s="223"/>
      <c r="K3098" s="223"/>
      <c r="L3098" s="222"/>
      <c r="M3098" s="222"/>
      <c r="N3098" s="222"/>
      <c r="O3098" s="222"/>
      <c r="P3098" s="222"/>
      <c r="Q3098" s="222"/>
      <c r="R3098" s="271"/>
      <c r="S3098" s="11"/>
      <c r="T3098" s="11"/>
      <c r="U3098" s="11"/>
      <c r="AW3098" s="234"/>
      <c r="BP3098" s="11"/>
      <c r="BQ3098" s="11"/>
      <c r="BV3098" s="158"/>
      <c r="BY3098" s="158"/>
      <c r="CB3098" s="158"/>
    </row>
    <row r="3099">
      <c r="A3099" s="222"/>
      <c r="B3099" s="221"/>
      <c r="C3099" s="222"/>
      <c r="D3099" s="222"/>
      <c r="E3099" s="222"/>
      <c r="F3099" s="222"/>
      <c r="G3099" s="222"/>
      <c r="H3099" s="222"/>
      <c r="I3099" s="222"/>
      <c r="J3099" s="223"/>
      <c r="K3099" s="223"/>
      <c r="L3099" s="222"/>
      <c r="M3099" s="222"/>
      <c r="N3099" s="222"/>
      <c r="O3099" s="222"/>
      <c r="P3099" s="222"/>
      <c r="Q3099" s="222"/>
      <c r="R3099" s="271"/>
      <c r="S3099" s="11"/>
      <c r="T3099" s="11"/>
      <c r="U3099" s="11"/>
      <c r="AW3099" s="234"/>
      <c r="BP3099" s="11"/>
      <c r="BQ3099" s="11"/>
      <c r="BV3099" s="158"/>
      <c r="BY3099" s="158"/>
      <c r="CB3099" s="158"/>
    </row>
    <row r="3100">
      <c r="A3100" s="222"/>
      <c r="B3100" s="221"/>
      <c r="C3100" s="222"/>
      <c r="D3100" s="222"/>
      <c r="E3100" s="222"/>
      <c r="F3100" s="222"/>
      <c r="G3100" s="222"/>
      <c r="H3100" s="222"/>
      <c r="I3100" s="222"/>
      <c r="J3100" s="223"/>
      <c r="K3100" s="223"/>
      <c r="L3100" s="222"/>
      <c r="M3100" s="222"/>
      <c r="N3100" s="222"/>
      <c r="O3100" s="222"/>
      <c r="P3100" s="222"/>
      <c r="Q3100" s="222"/>
      <c r="R3100" s="271"/>
      <c r="S3100" s="11"/>
      <c r="T3100" s="11"/>
      <c r="U3100" s="11"/>
      <c r="AW3100" s="234"/>
      <c r="BP3100" s="11"/>
      <c r="BQ3100" s="11"/>
      <c r="BV3100" s="158"/>
      <c r="BY3100" s="158"/>
      <c r="CB3100" s="158"/>
    </row>
    <row r="3101">
      <c r="A3101" s="222"/>
      <c r="B3101" s="221"/>
      <c r="C3101" s="222"/>
      <c r="D3101" s="222"/>
      <c r="E3101" s="222"/>
      <c r="F3101" s="222"/>
      <c r="G3101" s="222"/>
      <c r="H3101" s="222"/>
      <c r="I3101" s="222"/>
      <c r="J3101" s="223"/>
      <c r="K3101" s="223"/>
      <c r="L3101" s="222"/>
      <c r="M3101" s="222"/>
      <c r="N3101" s="222"/>
      <c r="O3101" s="222"/>
      <c r="P3101" s="222"/>
      <c r="Q3101" s="222"/>
      <c r="R3101" s="271"/>
      <c r="S3101" s="11"/>
      <c r="T3101" s="11"/>
      <c r="U3101" s="11"/>
      <c r="AW3101" s="234"/>
      <c r="BP3101" s="11"/>
      <c r="BQ3101" s="11"/>
      <c r="BV3101" s="158"/>
      <c r="BY3101" s="158"/>
      <c r="CB3101" s="158"/>
    </row>
    <row r="3102">
      <c r="A3102" s="222"/>
      <c r="B3102" s="221"/>
      <c r="C3102" s="222"/>
      <c r="D3102" s="222"/>
      <c r="E3102" s="222"/>
      <c r="F3102" s="222"/>
      <c r="G3102" s="222"/>
      <c r="H3102" s="222"/>
      <c r="I3102" s="222"/>
      <c r="J3102" s="223"/>
      <c r="K3102" s="223"/>
      <c r="L3102" s="222"/>
      <c r="M3102" s="222"/>
      <c r="N3102" s="222"/>
      <c r="O3102" s="222"/>
      <c r="P3102" s="222"/>
      <c r="Q3102" s="222"/>
      <c r="R3102" s="271"/>
      <c r="S3102" s="11"/>
      <c r="T3102" s="11"/>
      <c r="U3102" s="11"/>
      <c r="AW3102" s="234"/>
      <c r="BP3102" s="11"/>
      <c r="BQ3102" s="11"/>
      <c r="BV3102" s="158"/>
      <c r="BY3102" s="158"/>
      <c r="CB3102" s="158"/>
    </row>
    <row r="3103">
      <c r="A3103" s="222"/>
      <c r="B3103" s="221"/>
      <c r="C3103" s="222"/>
      <c r="D3103" s="222"/>
      <c r="E3103" s="222"/>
      <c r="F3103" s="222"/>
      <c r="G3103" s="222"/>
      <c r="H3103" s="222"/>
      <c r="I3103" s="222"/>
      <c r="J3103" s="223"/>
      <c r="K3103" s="223"/>
      <c r="L3103" s="222"/>
      <c r="M3103" s="222"/>
      <c r="N3103" s="222"/>
      <c r="O3103" s="222"/>
      <c r="P3103" s="222"/>
      <c r="Q3103" s="222"/>
      <c r="R3103" s="271"/>
      <c r="S3103" s="11"/>
      <c r="T3103" s="11"/>
      <c r="U3103" s="11"/>
      <c r="AW3103" s="234"/>
      <c r="BP3103" s="11"/>
      <c r="BQ3103" s="11"/>
      <c r="BV3103" s="158"/>
      <c r="BY3103" s="158"/>
      <c r="CB3103" s="158"/>
    </row>
    <row r="3104">
      <c r="A3104" s="222"/>
      <c r="B3104" s="221"/>
      <c r="C3104" s="222"/>
      <c r="D3104" s="222"/>
      <c r="E3104" s="222"/>
      <c r="F3104" s="222"/>
      <c r="G3104" s="222"/>
      <c r="H3104" s="222"/>
      <c r="I3104" s="222"/>
      <c r="J3104" s="223"/>
      <c r="K3104" s="223"/>
      <c r="L3104" s="222"/>
      <c r="M3104" s="222"/>
      <c r="N3104" s="222"/>
      <c r="O3104" s="222"/>
      <c r="P3104" s="222"/>
      <c r="Q3104" s="222"/>
      <c r="R3104" s="271"/>
      <c r="S3104" s="11"/>
      <c r="T3104" s="11"/>
      <c r="U3104" s="11"/>
      <c r="AW3104" s="234"/>
      <c r="BP3104" s="11"/>
      <c r="BQ3104" s="11"/>
      <c r="BV3104" s="158"/>
      <c r="BY3104" s="158"/>
      <c r="CB3104" s="158"/>
    </row>
    <row r="3105">
      <c r="A3105" s="222"/>
      <c r="B3105" s="221"/>
      <c r="C3105" s="222"/>
      <c r="D3105" s="222"/>
      <c r="E3105" s="222"/>
      <c r="F3105" s="222"/>
      <c r="G3105" s="222"/>
      <c r="H3105" s="222"/>
      <c r="I3105" s="222"/>
      <c r="J3105" s="223"/>
      <c r="K3105" s="223"/>
      <c r="L3105" s="222"/>
      <c r="M3105" s="222"/>
      <c r="N3105" s="222"/>
      <c r="O3105" s="222"/>
      <c r="P3105" s="222"/>
      <c r="Q3105" s="222"/>
      <c r="R3105" s="271"/>
      <c r="S3105" s="11"/>
      <c r="T3105" s="11"/>
      <c r="U3105" s="11"/>
      <c r="AW3105" s="234"/>
      <c r="BP3105" s="11"/>
      <c r="BQ3105" s="11"/>
      <c r="BV3105" s="158"/>
      <c r="BY3105" s="158"/>
      <c r="CB3105" s="158"/>
    </row>
    <row r="3106">
      <c r="A3106" s="222"/>
      <c r="B3106" s="221"/>
      <c r="C3106" s="222"/>
      <c r="D3106" s="222"/>
      <c r="E3106" s="222"/>
      <c r="F3106" s="222"/>
      <c r="G3106" s="222"/>
      <c r="H3106" s="222"/>
      <c r="I3106" s="222"/>
      <c r="J3106" s="223"/>
      <c r="K3106" s="223"/>
      <c r="L3106" s="222"/>
      <c r="M3106" s="222"/>
      <c r="N3106" s="222"/>
      <c r="O3106" s="222"/>
      <c r="P3106" s="222"/>
      <c r="Q3106" s="222"/>
      <c r="R3106" s="271"/>
      <c r="S3106" s="11"/>
      <c r="T3106" s="11"/>
      <c r="U3106" s="11"/>
      <c r="AW3106" s="234"/>
      <c r="BP3106" s="11"/>
      <c r="BQ3106" s="11"/>
      <c r="BV3106" s="158"/>
      <c r="BY3106" s="158"/>
      <c r="CB3106" s="158"/>
    </row>
    <row r="3107">
      <c r="A3107" s="222"/>
      <c r="B3107" s="221"/>
      <c r="C3107" s="222"/>
      <c r="D3107" s="222"/>
      <c r="E3107" s="222"/>
      <c r="F3107" s="222"/>
      <c r="G3107" s="222"/>
      <c r="H3107" s="222"/>
      <c r="I3107" s="222"/>
      <c r="J3107" s="223"/>
      <c r="K3107" s="223"/>
      <c r="L3107" s="222"/>
      <c r="M3107" s="222"/>
      <c r="N3107" s="222"/>
      <c r="O3107" s="222"/>
      <c r="P3107" s="222"/>
      <c r="Q3107" s="222"/>
      <c r="R3107" s="271"/>
      <c r="S3107" s="11"/>
      <c r="T3107" s="11"/>
      <c r="U3107" s="11"/>
      <c r="AW3107" s="234"/>
      <c r="BP3107" s="11"/>
      <c r="BQ3107" s="11"/>
      <c r="BV3107" s="158"/>
      <c r="BY3107" s="158"/>
      <c r="CB3107" s="158"/>
    </row>
    <row r="3108">
      <c r="A3108" s="222"/>
      <c r="B3108" s="221"/>
      <c r="C3108" s="222"/>
      <c r="D3108" s="222"/>
      <c r="E3108" s="222"/>
      <c r="F3108" s="222"/>
      <c r="G3108" s="222"/>
      <c r="H3108" s="222"/>
      <c r="I3108" s="222"/>
      <c r="J3108" s="223"/>
      <c r="K3108" s="223"/>
      <c r="L3108" s="222"/>
      <c r="M3108" s="222"/>
      <c r="N3108" s="222"/>
      <c r="O3108" s="222"/>
      <c r="P3108" s="222"/>
      <c r="Q3108" s="222"/>
      <c r="R3108" s="271"/>
      <c r="S3108" s="11"/>
      <c r="T3108" s="11"/>
      <c r="U3108" s="11"/>
      <c r="AW3108" s="234"/>
      <c r="BP3108" s="11"/>
      <c r="BQ3108" s="11"/>
      <c r="BV3108" s="158"/>
      <c r="BY3108" s="158"/>
      <c r="CB3108" s="158"/>
    </row>
    <row r="3109">
      <c r="A3109" s="222"/>
      <c r="B3109" s="221"/>
      <c r="C3109" s="222"/>
      <c r="D3109" s="222"/>
      <c r="E3109" s="222"/>
      <c r="F3109" s="222"/>
      <c r="G3109" s="222"/>
      <c r="H3109" s="222"/>
      <c r="I3109" s="222"/>
      <c r="J3109" s="223"/>
      <c r="K3109" s="223"/>
      <c r="L3109" s="222"/>
      <c r="M3109" s="222"/>
      <c r="N3109" s="222"/>
      <c r="O3109" s="222"/>
      <c r="P3109" s="222"/>
      <c r="Q3109" s="222"/>
      <c r="R3109" s="271"/>
      <c r="S3109" s="11"/>
      <c r="T3109" s="11"/>
      <c r="U3109" s="11"/>
      <c r="AW3109" s="234"/>
      <c r="BP3109" s="11"/>
      <c r="BQ3109" s="11"/>
      <c r="BV3109" s="158"/>
      <c r="BY3109" s="158"/>
      <c r="CB3109" s="158"/>
    </row>
    <row r="3110">
      <c r="A3110" s="222"/>
      <c r="B3110" s="221"/>
      <c r="C3110" s="222"/>
      <c r="D3110" s="222"/>
      <c r="E3110" s="222"/>
      <c r="F3110" s="222"/>
      <c r="G3110" s="222"/>
      <c r="H3110" s="222"/>
      <c r="I3110" s="222"/>
      <c r="J3110" s="223"/>
      <c r="K3110" s="223"/>
      <c r="L3110" s="222"/>
      <c r="M3110" s="222"/>
      <c r="N3110" s="222"/>
      <c r="O3110" s="222"/>
      <c r="P3110" s="222"/>
      <c r="Q3110" s="222"/>
      <c r="R3110" s="271"/>
      <c r="S3110" s="11"/>
      <c r="T3110" s="11"/>
      <c r="U3110" s="11"/>
      <c r="AW3110" s="234"/>
      <c r="BP3110" s="11"/>
      <c r="BQ3110" s="11"/>
      <c r="BV3110" s="158"/>
      <c r="BY3110" s="158"/>
      <c r="CB3110" s="158"/>
    </row>
    <row r="3111">
      <c r="A3111" s="222"/>
      <c r="B3111" s="221"/>
      <c r="C3111" s="222"/>
      <c r="D3111" s="222"/>
      <c r="E3111" s="222"/>
      <c r="F3111" s="222"/>
      <c r="G3111" s="222"/>
      <c r="H3111" s="222"/>
      <c r="I3111" s="222"/>
      <c r="J3111" s="223"/>
      <c r="K3111" s="223"/>
      <c r="L3111" s="222"/>
      <c r="M3111" s="222"/>
      <c r="N3111" s="222"/>
      <c r="O3111" s="222"/>
      <c r="P3111" s="222"/>
      <c r="Q3111" s="222"/>
      <c r="R3111" s="271"/>
      <c r="S3111" s="11"/>
      <c r="T3111" s="11"/>
      <c r="U3111" s="11"/>
      <c r="AW3111" s="234"/>
      <c r="BP3111" s="11"/>
      <c r="BQ3111" s="11"/>
      <c r="BV3111" s="158"/>
      <c r="BY3111" s="158"/>
      <c r="CB3111" s="158"/>
    </row>
    <row r="3112">
      <c r="A3112" s="222"/>
      <c r="B3112" s="221"/>
      <c r="C3112" s="222"/>
      <c r="D3112" s="222"/>
      <c r="E3112" s="222"/>
      <c r="F3112" s="222"/>
      <c r="G3112" s="222"/>
      <c r="H3112" s="222"/>
      <c r="I3112" s="222"/>
      <c r="J3112" s="223"/>
      <c r="K3112" s="223"/>
      <c r="L3112" s="222"/>
      <c r="M3112" s="222"/>
      <c r="N3112" s="222"/>
      <c r="O3112" s="222"/>
      <c r="P3112" s="222"/>
      <c r="Q3112" s="222"/>
      <c r="R3112" s="271"/>
      <c r="S3112" s="11"/>
      <c r="T3112" s="11"/>
      <c r="U3112" s="11"/>
      <c r="AW3112" s="234"/>
      <c r="BP3112" s="11"/>
      <c r="BQ3112" s="11"/>
      <c r="BV3112" s="158"/>
      <c r="BY3112" s="158"/>
      <c r="CB3112" s="158"/>
    </row>
    <row r="3113">
      <c r="A3113" s="222"/>
      <c r="B3113" s="221"/>
      <c r="C3113" s="222"/>
      <c r="D3113" s="222"/>
      <c r="E3113" s="222"/>
      <c r="F3113" s="222"/>
      <c r="G3113" s="222"/>
      <c r="H3113" s="222"/>
      <c r="I3113" s="222"/>
      <c r="J3113" s="223"/>
      <c r="K3113" s="223"/>
      <c r="L3113" s="222"/>
      <c r="M3113" s="222"/>
      <c r="N3113" s="222"/>
      <c r="O3113" s="222"/>
      <c r="P3113" s="222"/>
      <c r="Q3113" s="222"/>
      <c r="R3113" s="271"/>
      <c r="S3113" s="11"/>
      <c r="T3113" s="11"/>
      <c r="U3113" s="11"/>
      <c r="AW3113" s="234"/>
      <c r="BP3113" s="11"/>
      <c r="BQ3113" s="11"/>
      <c r="BV3113" s="158"/>
      <c r="BY3113" s="158"/>
      <c r="CB3113" s="158"/>
    </row>
    <row r="3114">
      <c r="A3114" s="222"/>
      <c r="B3114" s="221"/>
      <c r="C3114" s="222"/>
      <c r="D3114" s="222"/>
      <c r="E3114" s="222"/>
      <c r="F3114" s="222"/>
      <c r="G3114" s="222"/>
      <c r="H3114" s="222"/>
      <c r="I3114" s="222"/>
      <c r="J3114" s="223"/>
      <c r="K3114" s="223"/>
      <c r="L3114" s="222"/>
      <c r="M3114" s="222"/>
      <c r="N3114" s="222"/>
      <c r="O3114" s="222"/>
      <c r="P3114" s="222"/>
      <c r="Q3114" s="222"/>
      <c r="R3114" s="271"/>
      <c r="S3114" s="11"/>
      <c r="T3114" s="11"/>
      <c r="U3114" s="11"/>
      <c r="AW3114" s="234"/>
      <c r="BP3114" s="11"/>
      <c r="BQ3114" s="11"/>
      <c r="BV3114" s="158"/>
      <c r="BY3114" s="158"/>
      <c r="CB3114" s="158"/>
    </row>
    <row r="3115">
      <c r="A3115" s="222"/>
      <c r="B3115" s="221"/>
      <c r="C3115" s="222"/>
      <c r="D3115" s="222"/>
      <c r="E3115" s="222"/>
      <c r="F3115" s="222"/>
      <c r="G3115" s="222"/>
      <c r="H3115" s="222"/>
      <c r="I3115" s="222"/>
      <c r="J3115" s="223"/>
      <c r="K3115" s="223"/>
      <c r="L3115" s="222"/>
      <c r="M3115" s="222"/>
      <c r="N3115" s="222"/>
      <c r="O3115" s="222"/>
      <c r="P3115" s="222"/>
      <c r="Q3115" s="222"/>
      <c r="R3115" s="271"/>
      <c r="S3115" s="11"/>
      <c r="T3115" s="11"/>
      <c r="U3115" s="11"/>
      <c r="AW3115" s="234"/>
      <c r="BP3115" s="11"/>
      <c r="BQ3115" s="11"/>
      <c r="BV3115" s="158"/>
      <c r="BY3115" s="158"/>
      <c r="CB3115" s="158"/>
    </row>
    <row r="3116">
      <c r="A3116" s="222"/>
      <c r="B3116" s="221"/>
      <c r="C3116" s="222"/>
      <c r="D3116" s="222"/>
      <c r="E3116" s="222"/>
      <c r="F3116" s="222"/>
      <c r="G3116" s="222"/>
      <c r="H3116" s="222"/>
      <c r="I3116" s="222"/>
      <c r="J3116" s="223"/>
      <c r="K3116" s="223"/>
      <c r="L3116" s="222"/>
      <c r="M3116" s="222"/>
      <c r="N3116" s="222"/>
      <c r="O3116" s="222"/>
      <c r="P3116" s="222"/>
      <c r="Q3116" s="222"/>
      <c r="R3116" s="271"/>
      <c r="S3116" s="11"/>
      <c r="T3116" s="11"/>
      <c r="U3116" s="11"/>
      <c r="AW3116" s="234"/>
      <c r="BP3116" s="11"/>
      <c r="BQ3116" s="11"/>
      <c r="BV3116" s="158"/>
      <c r="BY3116" s="158"/>
      <c r="CB3116" s="158"/>
    </row>
    <row r="3117">
      <c r="A3117" s="222"/>
      <c r="B3117" s="221"/>
      <c r="C3117" s="222"/>
      <c r="D3117" s="222"/>
      <c r="E3117" s="222"/>
      <c r="F3117" s="222"/>
      <c r="G3117" s="222"/>
      <c r="H3117" s="222"/>
      <c r="I3117" s="222"/>
      <c r="J3117" s="223"/>
      <c r="K3117" s="223"/>
      <c r="L3117" s="222"/>
      <c r="M3117" s="222"/>
      <c r="N3117" s="222"/>
      <c r="O3117" s="222"/>
      <c r="P3117" s="222"/>
      <c r="Q3117" s="222"/>
      <c r="R3117" s="271"/>
      <c r="S3117" s="11"/>
      <c r="T3117" s="11"/>
      <c r="U3117" s="11"/>
      <c r="AW3117" s="234"/>
      <c r="BP3117" s="11"/>
      <c r="BQ3117" s="11"/>
      <c r="BV3117" s="158"/>
      <c r="BY3117" s="158"/>
      <c r="CB3117" s="158"/>
    </row>
    <row r="3118">
      <c r="A3118" s="222"/>
      <c r="B3118" s="221"/>
      <c r="C3118" s="222"/>
      <c r="D3118" s="222"/>
      <c r="E3118" s="222"/>
      <c r="F3118" s="222"/>
      <c r="G3118" s="222"/>
      <c r="H3118" s="222"/>
      <c r="I3118" s="222"/>
      <c r="J3118" s="223"/>
      <c r="K3118" s="223"/>
      <c r="L3118" s="222"/>
      <c r="M3118" s="222"/>
      <c r="N3118" s="222"/>
      <c r="O3118" s="222"/>
      <c r="P3118" s="222"/>
      <c r="Q3118" s="222"/>
      <c r="R3118" s="271"/>
      <c r="S3118" s="11"/>
      <c r="T3118" s="11"/>
      <c r="U3118" s="11"/>
      <c r="AW3118" s="234"/>
      <c r="BP3118" s="11"/>
      <c r="BQ3118" s="11"/>
      <c r="BV3118" s="158"/>
      <c r="BY3118" s="158"/>
      <c r="CB3118" s="158"/>
    </row>
    <row r="3119">
      <c r="A3119" s="222"/>
      <c r="B3119" s="221"/>
      <c r="C3119" s="222"/>
      <c r="D3119" s="222"/>
      <c r="E3119" s="222"/>
      <c r="F3119" s="222"/>
      <c r="G3119" s="222"/>
      <c r="H3119" s="222"/>
      <c r="I3119" s="222"/>
      <c r="J3119" s="223"/>
      <c r="K3119" s="223"/>
      <c r="L3119" s="222"/>
      <c r="M3119" s="222"/>
      <c r="N3119" s="222"/>
      <c r="O3119" s="222"/>
      <c r="P3119" s="222"/>
      <c r="Q3119" s="222"/>
      <c r="R3119" s="271"/>
      <c r="S3119" s="11"/>
      <c r="T3119" s="11"/>
      <c r="U3119" s="11"/>
      <c r="AW3119" s="234"/>
      <c r="BP3119" s="11"/>
      <c r="BQ3119" s="11"/>
      <c r="BV3119" s="158"/>
      <c r="BY3119" s="158"/>
      <c r="CB3119" s="158"/>
    </row>
    <row r="3120">
      <c r="A3120" s="222"/>
      <c r="B3120" s="221"/>
      <c r="C3120" s="222"/>
      <c r="D3120" s="222"/>
      <c r="E3120" s="222"/>
      <c r="F3120" s="222"/>
      <c r="G3120" s="222"/>
      <c r="H3120" s="222"/>
      <c r="I3120" s="222"/>
      <c r="J3120" s="223"/>
      <c r="K3120" s="223"/>
      <c r="L3120" s="222"/>
      <c r="M3120" s="222"/>
      <c r="N3120" s="222"/>
      <c r="O3120" s="222"/>
      <c r="P3120" s="222"/>
      <c r="Q3120" s="222"/>
      <c r="R3120" s="271"/>
      <c r="S3120" s="11"/>
      <c r="T3120" s="11"/>
      <c r="U3120" s="11"/>
      <c r="AW3120" s="234"/>
      <c r="BP3120" s="11"/>
      <c r="BQ3120" s="11"/>
      <c r="BV3120" s="158"/>
      <c r="BY3120" s="158"/>
      <c r="CB3120" s="158"/>
    </row>
    <row r="3121">
      <c r="A3121" s="222"/>
      <c r="B3121" s="221"/>
      <c r="C3121" s="222"/>
      <c r="D3121" s="222"/>
      <c r="E3121" s="222"/>
      <c r="F3121" s="222"/>
      <c r="G3121" s="222"/>
      <c r="H3121" s="222"/>
      <c r="I3121" s="222"/>
      <c r="J3121" s="223"/>
      <c r="K3121" s="223"/>
      <c r="L3121" s="222"/>
      <c r="M3121" s="222"/>
      <c r="N3121" s="222"/>
      <c r="O3121" s="222"/>
      <c r="P3121" s="222"/>
      <c r="Q3121" s="222"/>
      <c r="R3121" s="271"/>
      <c r="S3121" s="11"/>
      <c r="T3121" s="11"/>
      <c r="U3121" s="11"/>
      <c r="AW3121" s="234"/>
      <c r="BP3121" s="11"/>
      <c r="BQ3121" s="11"/>
      <c r="BV3121" s="158"/>
      <c r="BY3121" s="158"/>
      <c r="CB3121" s="158"/>
    </row>
    <row r="3122">
      <c r="A3122" s="222"/>
      <c r="B3122" s="221"/>
      <c r="C3122" s="222"/>
      <c r="D3122" s="222"/>
      <c r="E3122" s="222"/>
      <c r="F3122" s="222"/>
      <c r="G3122" s="222"/>
      <c r="H3122" s="222"/>
      <c r="I3122" s="222"/>
      <c r="J3122" s="223"/>
      <c r="K3122" s="223"/>
      <c r="L3122" s="222"/>
      <c r="M3122" s="222"/>
      <c r="N3122" s="222"/>
      <c r="O3122" s="222"/>
      <c r="P3122" s="222"/>
      <c r="Q3122" s="222"/>
      <c r="R3122" s="271"/>
      <c r="S3122" s="11"/>
      <c r="T3122" s="11"/>
      <c r="U3122" s="11"/>
      <c r="AW3122" s="234"/>
      <c r="BP3122" s="11"/>
      <c r="BQ3122" s="11"/>
      <c r="BV3122" s="158"/>
      <c r="BY3122" s="158"/>
      <c r="CB3122" s="158"/>
    </row>
    <row r="3123">
      <c r="A3123" s="222"/>
      <c r="B3123" s="221"/>
      <c r="C3123" s="222"/>
      <c r="D3123" s="222"/>
      <c r="E3123" s="222"/>
      <c r="F3123" s="222"/>
      <c r="G3123" s="222"/>
      <c r="H3123" s="222"/>
      <c r="I3123" s="222"/>
      <c r="J3123" s="223"/>
      <c r="K3123" s="223"/>
      <c r="L3123" s="222"/>
      <c r="M3123" s="222"/>
      <c r="N3123" s="222"/>
      <c r="O3123" s="222"/>
      <c r="P3123" s="222"/>
      <c r="Q3123" s="222"/>
      <c r="R3123" s="271"/>
      <c r="S3123" s="11"/>
      <c r="T3123" s="11"/>
      <c r="U3123" s="11"/>
      <c r="AW3123" s="234"/>
      <c r="BP3123" s="11"/>
      <c r="BQ3123" s="11"/>
      <c r="BV3123" s="158"/>
      <c r="BY3123" s="158"/>
      <c r="CB3123" s="158"/>
    </row>
    <row r="3124">
      <c r="A3124" s="222"/>
      <c r="B3124" s="221"/>
      <c r="C3124" s="222"/>
      <c r="D3124" s="222"/>
      <c r="E3124" s="222"/>
      <c r="F3124" s="222"/>
      <c r="G3124" s="222"/>
      <c r="H3124" s="222"/>
      <c r="I3124" s="222"/>
      <c r="J3124" s="223"/>
      <c r="K3124" s="223"/>
      <c r="L3124" s="222"/>
      <c r="M3124" s="222"/>
      <c r="N3124" s="222"/>
      <c r="O3124" s="222"/>
      <c r="P3124" s="222"/>
      <c r="Q3124" s="222"/>
      <c r="R3124" s="271"/>
      <c r="S3124" s="11"/>
      <c r="T3124" s="11"/>
      <c r="U3124" s="11"/>
      <c r="AW3124" s="234"/>
      <c r="BP3124" s="11"/>
      <c r="BQ3124" s="11"/>
      <c r="BV3124" s="158"/>
      <c r="BY3124" s="158"/>
      <c r="CB3124" s="158"/>
    </row>
    <row r="3125">
      <c r="A3125" s="222"/>
      <c r="B3125" s="221"/>
      <c r="C3125" s="222"/>
      <c r="D3125" s="222"/>
      <c r="E3125" s="222"/>
      <c r="F3125" s="222"/>
      <c r="G3125" s="222"/>
      <c r="H3125" s="222"/>
      <c r="I3125" s="222"/>
      <c r="J3125" s="223"/>
      <c r="K3125" s="223"/>
      <c r="L3125" s="222"/>
      <c r="M3125" s="222"/>
      <c r="N3125" s="222"/>
      <c r="O3125" s="222"/>
      <c r="P3125" s="222"/>
      <c r="Q3125" s="222"/>
      <c r="R3125" s="271"/>
      <c r="S3125" s="11"/>
      <c r="T3125" s="11"/>
      <c r="U3125" s="11"/>
      <c r="AW3125" s="234"/>
      <c r="BP3125" s="11"/>
      <c r="BQ3125" s="11"/>
      <c r="BV3125" s="158"/>
      <c r="BY3125" s="158"/>
      <c r="CB3125" s="158"/>
    </row>
    <row r="3126">
      <c r="A3126" s="222"/>
      <c r="B3126" s="221"/>
      <c r="C3126" s="222"/>
      <c r="D3126" s="222"/>
      <c r="E3126" s="222"/>
      <c r="F3126" s="222"/>
      <c r="G3126" s="222"/>
      <c r="H3126" s="222"/>
      <c r="I3126" s="222"/>
      <c r="J3126" s="223"/>
      <c r="K3126" s="223"/>
      <c r="L3126" s="222"/>
      <c r="M3126" s="222"/>
      <c r="N3126" s="222"/>
      <c r="O3126" s="222"/>
      <c r="P3126" s="222"/>
      <c r="Q3126" s="222"/>
      <c r="R3126" s="271"/>
      <c r="S3126" s="11"/>
      <c r="T3126" s="11"/>
      <c r="U3126" s="11"/>
      <c r="AW3126" s="234"/>
      <c r="BP3126" s="11"/>
      <c r="BQ3126" s="11"/>
      <c r="BV3126" s="158"/>
      <c r="BY3126" s="158"/>
      <c r="CB3126" s="158"/>
    </row>
    <row r="3127">
      <c r="A3127" s="222"/>
      <c r="B3127" s="221"/>
      <c r="C3127" s="222"/>
      <c r="D3127" s="222"/>
      <c r="E3127" s="222"/>
      <c r="F3127" s="222"/>
      <c r="G3127" s="222"/>
      <c r="H3127" s="222"/>
      <c r="I3127" s="222"/>
      <c r="J3127" s="223"/>
      <c r="K3127" s="223"/>
      <c r="L3127" s="222"/>
      <c r="M3127" s="222"/>
      <c r="N3127" s="222"/>
      <c r="O3127" s="222"/>
      <c r="P3127" s="222"/>
      <c r="Q3127" s="222"/>
      <c r="R3127" s="271"/>
      <c r="S3127" s="11"/>
      <c r="T3127" s="11"/>
      <c r="U3127" s="11"/>
      <c r="AW3127" s="234"/>
      <c r="BP3127" s="11"/>
      <c r="BQ3127" s="11"/>
      <c r="BV3127" s="158"/>
      <c r="BY3127" s="158"/>
      <c r="CB3127" s="158"/>
    </row>
    <row r="3128">
      <c r="A3128" s="222"/>
      <c r="B3128" s="221"/>
      <c r="C3128" s="222"/>
      <c r="D3128" s="222"/>
      <c r="E3128" s="222"/>
      <c r="F3128" s="222"/>
      <c r="G3128" s="222"/>
      <c r="H3128" s="222"/>
      <c r="I3128" s="222"/>
      <c r="J3128" s="223"/>
      <c r="K3128" s="223"/>
      <c r="L3128" s="222"/>
      <c r="M3128" s="222"/>
      <c r="N3128" s="222"/>
      <c r="O3128" s="222"/>
      <c r="P3128" s="222"/>
      <c r="Q3128" s="222"/>
      <c r="R3128" s="271"/>
      <c r="S3128" s="11"/>
      <c r="T3128" s="11"/>
      <c r="U3128" s="11"/>
      <c r="AW3128" s="234"/>
      <c r="BP3128" s="11"/>
      <c r="BQ3128" s="11"/>
      <c r="BV3128" s="158"/>
      <c r="BY3128" s="158"/>
      <c r="CB3128" s="158"/>
    </row>
    <row r="3129">
      <c r="A3129" s="222"/>
      <c r="B3129" s="221"/>
      <c r="C3129" s="222"/>
      <c r="D3129" s="222"/>
      <c r="E3129" s="222"/>
      <c r="F3129" s="222"/>
      <c r="G3129" s="222"/>
      <c r="H3129" s="222"/>
      <c r="I3129" s="222"/>
      <c r="J3129" s="223"/>
      <c r="K3129" s="223"/>
      <c r="L3129" s="222"/>
      <c r="M3129" s="222"/>
      <c r="N3129" s="222"/>
      <c r="O3129" s="222"/>
      <c r="P3129" s="222"/>
      <c r="Q3129" s="222"/>
      <c r="R3129" s="271"/>
      <c r="S3129" s="11"/>
      <c r="T3129" s="11"/>
      <c r="U3129" s="11"/>
      <c r="AW3129" s="234"/>
      <c r="BP3129" s="11"/>
      <c r="BQ3129" s="11"/>
      <c r="BV3129" s="158"/>
      <c r="BY3129" s="158"/>
      <c r="CB3129" s="158"/>
    </row>
    <row r="3130">
      <c r="A3130" s="222"/>
      <c r="B3130" s="221"/>
      <c r="C3130" s="222"/>
      <c r="D3130" s="222"/>
      <c r="E3130" s="222"/>
      <c r="F3130" s="222"/>
      <c r="G3130" s="222"/>
      <c r="H3130" s="222"/>
      <c r="I3130" s="222"/>
      <c r="J3130" s="223"/>
      <c r="K3130" s="223"/>
      <c r="L3130" s="222"/>
      <c r="M3130" s="222"/>
      <c r="N3130" s="222"/>
      <c r="O3130" s="222"/>
      <c r="P3130" s="222"/>
      <c r="Q3130" s="222"/>
      <c r="R3130" s="271"/>
      <c r="S3130" s="11"/>
      <c r="T3130" s="11"/>
      <c r="U3130" s="11"/>
      <c r="AW3130" s="234"/>
      <c r="BP3130" s="11"/>
      <c r="BQ3130" s="11"/>
      <c r="BV3130" s="158"/>
      <c r="BY3130" s="158"/>
      <c r="CB3130" s="158"/>
    </row>
    <row r="3131">
      <c r="A3131" s="222"/>
      <c r="B3131" s="221"/>
      <c r="C3131" s="222"/>
      <c r="D3131" s="222"/>
      <c r="E3131" s="222"/>
      <c r="F3131" s="222"/>
      <c r="G3131" s="222"/>
      <c r="H3131" s="222"/>
      <c r="I3131" s="222"/>
      <c r="J3131" s="223"/>
      <c r="K3131" s="223"/>
      <c r="L3131" s="222"/>
      <c r="M3131" s="222"/>
      <c r="N3131" s="222"/>
      <c r="O3131" s="222"/>
      <c r="P3131" s="222"/>
      <c r="Q3131" s="222"/>
      <c r="R3131" s="271"/>
      <c r="S3131" s="11"/>
      <c r="T3131" s="11"/>
      <c r="U3131" s="11"/>
      <c r="AW3131" s="234"/>
      <c r="BP3131" s="11"/>
      <c r="BQ3131" s="11"/>
      <c r="BV3131" s="158"/>
      <c r="BY3131" s="158"/>
      <c r="CB3131" s="158"/>
    </row>
    <row r="3132">
      <c r="A3132" s="222"/>
      <c r="B3132" s="221"/>
      <c r="C3132" s="222"/>
      <c r="D3132" s="222"/>
      <c r="E3132" s="222"/>
      <c r="F3132" s="222"/>
      <c r="G3132" s="222"/>
      <c r="H3132" s="222"/>
      <c r="I3132" s="222"/>
      <c r="J3132" s="223"/>
      <c r="K3132" s="223"/>
      <c r="L3132" s="222"/>
      <c r="M3132" s="222"/>
      <c r="N3132" s="222"/>
      <c r="O3132" s="222"/>
      <c r="P3132" s="222"/>
      <c r="Q3132" s="222"/>
      <c r="R3132" s="271"/>
      <c r="S3132" s="11"/>
      <c r="T3132" s="11"/>
      <c r="U3132" s="11"/>
      <c r="AW3132" s="234"/>
      <c r="BP3132" s="11"/>
      <c r="BQ3132" s="11"/>
      <c r="BV3132" s="158"/>
      <c r="BY3132" s="158"/>
      <c r="CB3132" s="158"/>
    </row>
    <row r="3133">
      <c r="A3133" s="222"/>
      <c r="B3133" s="221"/>
      <c r="C3133" s="222"/>
      <c r="D3133" s="222"/>
      <c r="E3133" s="222"/>
      <c r="F3133" s="222"/>
      <c r="G3133" s="222"/>
      <c r="H3133" s="222"/>
      <c r="I3133" s="222"/>
      <c r="J3133" s="223"/>
      <c r="K3133" s="223"/>
      <c r="L3133" s="222"/>
      <c r="M3133" s="222"/>
      <c r="N3133" s="222"/>
      <c r="O3133" s="222"/>
      <c r="P3133" s="222"/>
      <c r="Q3133" s="222"/>
      <c r="R3133" s="271"/>
      <c r="S3133" s="11"/>
      <c r="T3133" s="11"/>
      <c r="U3133" s="11"/>
      <c r="AW3133" s="234"/>
      <c r="BP3133" s="11"/>
      <c r="BQ3133" s="11"/>
      <c r="BV3133" s="158"/>
      <c r="BY3133" s="158"/>
      <c r="CB3133" s="158"/>
    </row>
    <row r="3134">
      <c r="A3134" s="222"/>
      <c r="B3134" s="221"/>
      <c r="C3134" s="222"/>
      <c r="D3134" s="222"/>
      <c r="E3134" s="222"/>
      <c r="F3134" s="222"/>
      <c r="G3134" s="222"/>
      <c r="H3134" s="222"/>
      <c r="I3134" s="222"/>
      <c r="J3134" s="223"/>
      <c r="K3134" s="223"/>
      <c r="L3134" s="222"/>
      <c r="M3134" s="222"/>
      <c r="N3134" s="222"/>
      <c r="O3134" s="222"/>
      <c r="P3134" s="222"/>
      <c r="Q3134" s="222"/>
      <c r="R3134" s="271"/>
      <c r="S3134" s="11"/>
      <c r="T3134" s="11"/>
      <c r="U3134" s="11"/>
      <c r="AW3134" s="234"/>
      <c r="BP3134" s="11"/>
      <c r="BQ3134" s="11"/>
      <c r="BV3134" s="158"/>
      <c r="BY3134" s="158"/>
      <c r="CB3134" s="158"/>
    </row>
    <row r="3135">
      <c r="A3135" s="222"/>
      <c r="B3135" s="221"/>
      <c r="C3135" s="222"/>
      <c r="D3135" s="222"/>
      <c r="E3135" s="222"/>
      <c r="F3135" s="222"/>
      <c r="G3135" s="222"/>
      <c r="H3135" s="222"/>
      <c r="I3135" s="222"/>
      <c r="J3135" s="223"/>
      <c r="K3135" s="223"/>
      <c r="L3135" s="222"/>
      <c r="M3135" s="222"/>
      <c r="N3135" s="222"/>
      <c r="O3135" s="222"/>
      <c r="P3135" s="222"/>
      <c r="Q3135" s="222"/>
      <c r="R3135" s="271"/>
      <c r="S3135" s="11"/>
      <c r="T3135" s="11"/>
      <c r="U3135" s="11"/>
      <c r="AW3135" s="234"/>
      <c r="BP3135" s="11"/>
      <c r="BQ3135" s="11"/>
      <c r="BV3135" s="158"/>
      <c r="BY3135" s="158"/>
      <c r="CB3135" s="158"/>
    </row>
    <row r="3136">
      <c r="A3136" s="222"/>
      <c r="B3136" s="221"/>
      <c r="C3136" s="222"/>
      <c r="D3136" s="222"/>
      <c r="E3136" s="222"/>
      <c r="F3136" s="222"/>
      <c r="G3136" s="222"/>
      <c r="H3136" s="222"/>
      <c r="I3136" s="222"/>
      <c r="J3136" s="223"/>
      <c r="K3136" s="223"/>
      <c r="L3136" s="222"/>
      <c r="M3136" s="222"/>
      <c r="N3136" s="222"/>
      <c r="O3136" s="222"/>
      <c r="P3136" s="222"/>
      <c r="Q3136" s="222"/>
      <c r="R3136" s="271"/>
      <c r="S3136" s="11"/>
      <c r="T3136" s="11"/>
      <c r="U3136" s="11"/>
      <c r="AW3136" s="234"/>
      <c r="BP3136" s="11"/>
      <c r="BQ3136" s="11"/>
      <c r="BV3136" s="158"/>
      <c r="BY3136" s="158"/>
      <c r="CB3136" s="158"/>
    </row>
    <row r="3137">
      <c r="A3137" s="222"/>
      <c r="B3137" s="221"/>
      <c r="C3137" s="222"/>
      <c r="D3137" s="222"/>
      <c r="E3137" s="222"/>
      <c r="F3137" s="222"/>
      <c r="G3137" s="222"/>
      <c r="H3137" s="222"/>
      <c r="I3137" s="222"/>
      <c r="J3137" s="223"/>
      <c r="K3137" s="223"/>
      <c r="L3137" s="222"/>
      <c r="M3137" s="222"/>
      <c r="N3137" s="222"/>
      <c r="O3137" s="222"/>
      <c r="P3137" s="222"/>
      <c r="Q3137" s="222"/>
      <c r="R3137" s="271"/>
      <c r="S3137" s="11"/>
      <c r="T3137" s="11"/>
      <c r="U3137" s="11"/>
      <c r="AW3137" s="234"/>
      <c r="BP3137" s="11"/>
      <c r="BQ3137" s="11"/>
      <c r="BV3137" s="158"/>
      <c r="BY3137" s="158"/>
      <c r="CB3137" s="158"/>
    </row>
    <row r="3138">
      <c r="A3138" s="222"/>
      <c r="B3138" s="221"/>
      <c r="C3138" s="222"/>
      <c r="D3138" s="222"/>
      <c r="E3138" s="222"/>
      <c r="F3138" s="222"/>
      <c r="G3138" s="222"/>
      <c r="H3138" s="222"/>
      <c r="I3138" s="222"/>
      <c r="J3138" s="223"/>
      <c r="K3138" s="223"/>
      <c r="L3138" s="222"/>
      <c r="M3138" s="222"/>
      <c r="N3138" s="222"/>
      <c r="O3138" s="222"/>
      <c r="P3138" s="222"/>
      <c r="Q3138" s="222"/>
      <c r="R3138" s="271"/>
      <c r="S3138" s="11"/>
      <c r="T3138" s="11"/>
      <c r="U3138" s="11"/>
      <c r="AW3138" s="234"/>
      <c r="BP3138" s="11"/>
      <c r="BQ3138" s="11"/>
      <c r="BV3138" s="158"/>
      <c r="BY3138" s="158"/>
      <c r="CB3138" s="158"/>
    </row>
    <row r="3139">
      <c r="A3139" s="222"/>
      <c r="B3139" s="221"/>
      <c r="C3139" s="222"/>
      <c r="D3139" s="222"/>
      <c r="E3139" s="222"/>
      <c r="F3139" s="222"/>
      <c r="G3139" s="222"/>
      <c r="H3139" s="222"/>
      <c r="I3139" s="222"/>
      <c r="J3139" s="223"/>
      <c r="K3139" s="223"/>
      <c r="L3139" s="222"/>
      <c r="M3139" s="222"/>
      <c r="N3139" s="222"/>
      <c r="O3139" s="222"/>
      <c r="P3139" s="222"/>
      <c r="Q3139" s="222"/>
      <c r="R3139" s="271"/>
      <c r="S3139" s="11"/>
      <c r="T3139" s="11"/>
      <c r="U3139" s="11"/>
      <c r="AW3139" s="234"/>
      <c r="BP3139" s="11"/>
      <c r="BQ3139" s="11"/>
      <c r="BV3139" s="158"/>
      <c r="BY3139" s="158"/>
      <c r="CB3139" s="158"/>
    </row>
    <row r="3140">
      <c r="A3140" s="222"/>
      <c r="B3140" s="221"/>
      <c r="C3140" s="222"/>
      <c r="D3140" s="222"/>
      <c r="E3140" s="222"/>
      <c r="F3140" s="222"/>
      <c r="G3140" s="222"/>
      <c r="H3140" s="222"/>
      <c r="I3140" s="222"/>
      <c r="J3140" s="223"/>
      <c r="K3140" s="223"/>
      <c r="L3140" s="222"/>
      <c r="M3140" s="222"/>
      <c r="N3140" s="222"/>
      <c r="O3140" s="222"/>
      <c r="P3140" s="222"/>
      <c r="Q3140" s="222"/>
      <c r="R3140" s="271"/>
      <c r="S3140" s="11"/>
      <c r="T3140" s="11"/>
      <c r="U3140" s="11"/>
      <c r="AW3140" s="234"/>
      <c r="BP3140" s="11"/>
      <c r="BQ3140" s="11"/>
      <c r="BV3140" s="158"/>
      <c r="BY3140" s="158"/>
      <c r="CB3140" s="158"/>
    </row>
    <row r="3141">
      <c r="A3141" s="222"/>
      <c r="B3141" s="221"/>
      <c r="C3141" s="222"/>
      <c r="D3141" s="222"/>
      <c r="E3141" s="222"/>
      <c r="F3141" s="222"/>
      <c r="G3141" s="222"/>
      <c r="H3141" s="222"/>
      <c r="I3141" s="222"/>
      <c r="J3141" s="223"/>
      <c r="K3141" s="223"/>
      <c r="L3141" s="222"/>
      <c r="M3141" s="222"/>
      <c r="N3141" s="222"/>
      <c r="O3141" s="222"/>
      <c r="P3141" s="222"/>
      <c r="Q3141" s="222"/>
      <c r="R3141" s="271"/>
      <c r="S3141" s="11"/>
      <c r="T3141" s="11"/>
      <c r="U3141" s="11"/>
      <c r="AW3141" s="234"/>
      <c r="BP3141" s="11"/>
      <c r="BQ3141" s="11"/>
      <c r="BV3141" s="158"/>
      <c r="BY3141" s="158"/>
      <c r="CB3141" s="158"/>
    </row>
    <row r="3142">
      <c r="A3142" s="222"/>
      <c r="B3142" s="221"/>
      <c r="C3142" s="222"/>
      <c r="D3142" s="222"/>
      <c r="E3142" s="222"/>
      <c r="F3142" s="222"/>
      <c r="G3142" s="222"/>
      <c r="H3142" s="222"/>
      <c r="I3142" s="222"/>
      <c r="J3142" s="223"/>
      <c r="K3142" s="223"/>
      <c r="L3142" s="222"/>
      <c r="M3142" s="222"/>
      <c r="N3142" s="222"/>
      <c r="O3142" s="222"/>
      <c r="P3142" s="222"/>
      <c r="Q3142" s="222"/>
      <c r="R3142" s="271"/>
      <c r="S3142" s="11"/>
      <c r="T3142" s="11"/>
      <c r="U3142" s="11"/>
      <c r="AW3142" s="234"/>
      <c r="BP3142" s="11"/>
      <c r="BQ3142" s="11"/>
      <c r="BV3142" s="158"/>
      <c r="BY3142" s="158"/>
      <c r="CB3142" s="158"/>
    </row>
    <row r="3143">
      <c r="A3143" s="222"/>
      <c r="B3143" s="221"/>
      <c r="C3143" s="222"/>
      <c r="D3143" s="222"/>
      <c r="E3143" s="222"/>
      <c r="F3143" s="222"/>
      <c r="G3143" s="222"/>
      <c r="H3143" s="222"/>
      <c r="I3143" s="222"/>
      <c r="J3143" s="223"/>
      <c r="K3143" s="223"/>
      <c r="L3143" s="222"/>
      <c r="M3143" s="222"/>
      <c r="N3143" s="222"/>
      <c r="O3143" s="222"/>
      <c r="P3143" s="222"/>
      <c r="Q3143" s="222"/>
      <c r="R3143" s="271"/>
      <c r="S3143" s="11"/>
      <c r="T3143" s="11"/>
      <c r="U3143" s="11"/>
      <c r="AW3143" s="234"/>
      <c r="BP3143" s="11"/>
      <c r="BQ3143" s="11"/>
      <c r="BV3143" s="158"/>
      <c r="BY3143" s="158"/>
      <c r="CB3143" s="158"/>
    </row>
    <row r="3144">
      <c r="A3144" s="222"/>
      <c r="B3144" s="221"/>
      <c r="C3144" s="222"/>
      <c r="D3144" s="222"/>
      <c r="E3144" s="222"/>
      <c r="F3144" s="222"/>
      <c r="G3144" s="222"/>
      <c r="H3144" s="222"/>
      <c r="I3144" s="222"/>
      <c r="J3144" s="223"/>
      <c r="K3144" s="223"/>
      <c r="L3144" s="222"/>
      <c r="M3144" s="222"/>
      <c r="N3144" s="222"/>
      <c r="O3144" s="222"/>
      <c r="P3144" s="222"/>
      <c r="Q3144" s="222"/>
      <c r="R3144" s="271"/>
      <c r="S3144" s="11"/>
      <c r="T3144" s="11"/>
      <c r="U3144" s="11"/>
      <c r="AW3144" s="234"/>
      <c r="BP3144" s="11"/>
      <c r="BQ3144" s="11"/>
      <c r="BV3144" s="158"/>
      <c r="BY3144" s="158"/>
      <c r="CB3144" s="158"/>
    </row>
    <row r="3145">
      <c r="A3145" s="222"/>
      <c r="B3145" s="221"/>
      <c r="C3145" s="222"/>
      <c r="D3145" s="222"/>
      <c r="E3145" s="222"/>
      <c r="F3145" s="222"/>
      <c r="G3145" s="222"/>
      <c r="H3145" s="222"/>
      <c r="I3145" s="222"/>
      <c r="J3145" s="223"/>
      <c r="K3145" s="223"/>
      <c r="L3145" s="222"/>
      <c r="M3145" s="222"/>
      <c r="N3145" s="222"/>
      <c r="O3145" s="222"/>
      <c r="P3145" s="222"/>
      <c r="Q3145" s="222"/>
      <c r="R3145" s="271"/>
      <c r="S3145" s="11"/>
      <c r="T3145" s="11"/>
      <c r="U3145" s="11"/>
      <c r="AW3145" s="234"/>
      <c r="BP3145" s="11"/>
      <c r="BQ3145" s="11"/>
      <c r="BV3145" s="158"/>
      <c r="BY3145" s="158"/>
      <c r="CB3145" s="158"/>
    </row>
    <row r="3146">
      <c r="A3146" s="222"/>
      <c r="B3146" s="221"/>
      <c r="C3146" s="222"/>
      <c r="D3146" s="222"/>
      <c r="E3146" s="222"/>
      <c r="F3146" s="222"/>
      <c r="G3146" s="222"/>
      <c r="H3146" s="222"/>
      <c r="I3146" s="222"/>
      <c r="J3146" s="223"/>
      <c r="K3146" s="223"/>
      <c r="L3146" s="222"/>
      <c r="M3146" s="222"/>
      <c r="N3146" s="222"/>
      <c r="O3146" s="222"/>
      <c r="P3146" s="222"/>
      <c r="Q3146" s="222"/>
      <c r="R3146" s="271"/>
      <c r="S3146" s="11"/>
      <c r="T3146" s="11"/>
      <c r="U3146" s="11"/>
      <c r="AW3146" s="234"/>
      <c r="BP3146" s="11"/>
      <c r="BQ3146" s="11"/>
      <c r="BV3146" s="158"/>
      <c r="BY3146" s="158"/>
      <c r="CB3146" s="158"/>
    </row>
    <row r="3147">
      <c r="A3147" s="222"/>
      <c r="B3147" s="221"/>
      <c r="C3147" s="222"/>
      <c r="D3147" s="222"/>
      <c r="E3147" s="222"/>
      <c r="F3147" s="222"/>
      <c r="G3147" s="222"/>
      <c r="H3147" s="222"/>
      <c r="I3147" s="222"/>
      <c r="J3147" s="223"/>
      <c r="K3147" s="223"/>
      <c r="L3147" s="222"/>
      <c r="M3147" s="222"/>
      <c r="N3147" s="222"/>
      <c r="O3147" s="222"/>
      <c r="P3147" s="222"/>
      <c r="Q3147" s="222"/>
      <c r="R3147" s="271"/>
      <c r="S3147" s="11"/>
      <c r="T3147" s="11"/>
      <c r="U3147" s="11"/>
      <c r="AW3147" s="234"/>
      <c r="BP3147" s="11"/>
      <c r="BQ3147" s="11"/>
      <c r="BV3147" s="158"/>
      <c r="BY3147" s="158"/>
      <c r="CB3147" s="158"/>
    </row>
    <row r="3148">
      <c r="A3148" s="222"/>
      <c r="B3148" s="221"/>
      <c r="C3148" s="222"/>
      <c r="D3148" s="222"/>
      <c r="E3148" s="222"/>
      <c r="F3148" s="222"/>
      <c r="G3148" s="222"/>
      <c r="H3148" s="222"/>
      <c r="I3148" s="222"/>
      <c r="J3148" s="223"/>
      <c r="K3148" s="223"/>
      <c r="L3148" s="222"/>
      <c r="M3148" s="222"/>
      <c r="N3148" s="222"/>
      <c r="O3148" s="222"/>
      <c r="P3148" s="222"/>
      <c r="Q3148" s="222"/>
      <c r="R3148" s="271"/>
      <c r="S3148" s="11"/>
      <c r="T3148" s="11"/>
      <c r="U3148" s="11"/>
      <c r="AW3148" s="234"/>
      <c r="BP3148" s="11"/>
      <c r="BQ3148" s="11"/>
      <c r="BV3148" s="158"/>
      <c r="BY3148" s="158"/>
      <c r="CB3148" s="158"/>
    </row>
    <row r="3149">
      <c r="A3149" s="222"/>
      <c r="B3149" s="221"/>
      <c r="C3149" s="222"/>
      <c r="D3149" s="222"/>
      <c r="E3149" s="222"/>
      <c r="F3149" s="222"/>
      <c r="G3149" s="222"/>
      <c r="H3149" s="222"/>
      <c r="I3149" s="222"/>
      <c r="J3149" s="223"/>
      <c r="K3149" s="223"/>
      <c r="L3149" s="222"/>
      <c r="M3149" s="222"/>
      <c r="N3149" s="222"/>
      <c r="O3149" s="222"/>
      <c r="P3149" s="222"/>
      <c r="Q3149" s="222"/>
      <c r="R3149" s="271"/>
      <c r="S3149" s="11"/>
      <c r="T3149" s="11"/>
      <c r="U3149" s="11"/>
      <c r="AW3149" s="234"/>
      <c r="BP3149" s="11"/>
      <c r="BQ3149" s="11"/>
      <c r="BV3149" s="158"/>
      <c r="BY3149" s="158"/>
      <c r="CB3149" s="158"/>
    </row>
    <row r="3150">
      <c r="A3150" s="222"/>
      <c r="B3150" s="221"/>
      <c r="C3150" s="222"/>
      <c r="D3150" s="222"/>
      <c r="E3150" s="222"/>
      <c r="F3150" s="222"/>
      <c r="G3150" s="222"/>
      <c r="H3150" s="222"/>
      <c r="I3150" s="222"/>
      <c r="J3150" s="223"/>
      <c r="K3150" s="223"/>
      <c r="L3150" s="222"/>
      <c r="M3150" s="222"/>
      <c r="N3150" s="222"/>
      <c r="O3150" s="222"/>
      <c r="P3150" s="222"/>
      <c r="Q3150" s="222"/>
      <c r="R3150" s="271"/>
      <c r="S3150" s="11"/>
      <c r="T3150" s="11"/>
      <c r="U3150" s="11"/>
      <c r="AW3150" s="234"/>
      <c r="BP3150" s="11"/>
      <c r="BQ3150" s="11"/>
      <c r="BV3150" s="158"/>
      <c r="BY3150" s="158"/>
      <c r="CB3150" s="158"/>
    </row>
    <row r="3151">
      <c r="A3151" s="222"/>
      <c r="B3151" s="221"/>
      <c r="C3151" s="222"/>
      <c r="D3151" s="222"/>
      <c r="E3151" s="222"/>
      <c r="F3151" s="222"/>
      <c r="G3151" s="222"/>
      <c r="H3151" s="222"/>
      <c r="I3151" s="222"/>
      <c r="J3151" s="223"/>
      <c r="K3151" s="223"/>
      <c r="L3151" s="222"/>
      <c r="M3151" s="222"/>
      <c r="N3151" s="222"/>
      <c r="O3151" s="222"/>
      <c r="P3151" s="222"/>
      <c r="Q3151" s="222"/>
      <c r="R3151" s="271"/>
      <c r="S3151" s="11"/>
      <c r="T3151" s="11"/>
      <c r="U3151" s="11"/>
      <c r="AW3151" s="234"/>
      <c r="BP3151" s="11"/>
      <c r="BQ3151" s="11"/>
      <c r="BV3151" s="158"/>
      <c r="BY3151" s="158"/>
      <c r="CB3151" s="158"/>
    </row>
    <row r="3152">
      <c r="A3152" s="222"/>
      <c r="B3152" s="221"/>
      <c r="C3152" s="222"/>
      <c r="D3152" s="222"/>
      <c r="E3152" s="222"/>
      <c r="F3152" s="222"/>
      <c r="G3152" s="222"/>
      <c r="H3152" s="222"/>
      <c r="I3152" s="222"/>
      <c r="J3152" s="223"/>
      <c r="K3152" s="223"/>
      <c r="L3152" s="222"/>
      <c r="M3152" s="222"/>
      <c r="N3152" s="222"/>
      <c r="O3152" s="222"/>
      <c r="P3152" s="222"/>
      <c r="Q3152" s="222"/>
      <c r="R3152" s="271"/>
      <c r="S3152" s="11"/>
      <c r="T3152" s="11"/>
      <c r="U3152" s="11"/>
      <c r="AW3152" s="234"/>
      <c r="BP3152" s="11"/>
      <c r="BQ3152" s="11"/>
      <c r="BV3152" s="158"/>
      <c r="BY3152" s="158"/>
      <c r="CB3152" s="158"/>
    </row>
    <row r="3153">
      <c r="A3153" s="222"/>
      <c r="B3153" s="221"/>
      <c r="C3153" s="222"/>
      <c r="D3153" s="222"/>
      <c r="E3153" s="222"/>
      <c r="F3153" s="222"/>
      <c r="G3153" s="222"/>
      <c r="H3153" s="222"/>
      <c r="I3153" s="222"/>
      <c r="J3153" s="223"/>
      <c r="K3153" s="223"/>
      <c r="L3153" s="222"/>
      <c r="M3153" s="222"/>
      <c r="N3153" s="222"/>
      <c r="O3153" s="222"/>
      <c r="P3153" s="222"/>
      <c r="Q3153" s="222"/>
      <c r="R3153" s="271"/>
      <c r="S3153" s="11"/>
      <c r="T3153" s="11"/>
      <c r="U3153" s="11"/>
      <c r="AW3153" s="234"/>
      <c r="BP3153" s="11"/>
      <c r="BQ3153" s="11"/>
      <c r="BV3153" s="158"/>
      <c r="BY3153" s="158"/>
      <c r="CB3153" s="158"/>
    </row>
    <row r="3154">
      <c r="A3154" s="222"/>
      <c r="B3154" s="221"/>
      <c r="C3154" s="222"/>
      <c r="D3154" s="222"/>
      <c r="E3154" s="222"/>
      <c r="F3154" s="222"/>
      <c r="G3154" s="222"/>
      <c r="H3154" s="222"/>
      <c r="I3154" s="222"/>
      <c r="J3154" s="223"/>
      <c r="K3154" s="223"/>
      <c r="L3154" s="222"/>
      <c r="M3154" s="222"/>
      <c r="N3154" s="222"/>
      <c r="O3154" s="222"/>
      <c r="P3154" s="222"/>
      <c r="Q3154" s="222"/>
      <c r="R3154" s="271"/>
      <c r="S3154" s="11"/>
      <c r="T3154" s="11"/>
      <c r="U3154" s="11"/>
      <c r="AW3154" s="234"/>
      <c r="BP3154" s="11"/>
      <c r="BQ3154" s="11"/>
      <c r="BV3154" s="158"/>
      <c r="BY3154" s="158"/>
      <c r="CB3154" s="158"/>
    </row>
    <row r="3155">
      <c r="A3155" s="222"/>
      <c r="B3155" s="221"/>
      <c r="C3155" s="222"/>
      <c r="D3155" s="222"/>
      <c r="E3155" s="222"/>
      <c r="F3155" s="222"/>
      <c r="G3155" s="222"/>
      <c r="H3155" s="222"/>
      <c r="I3155" s="222"/>
      <c r="J3155" s="223"/>
      <c r="K3155" s="223"/>
      <c r="L3155" s="222"/>
      <c r="M3155" s="222"/>
      <c r="N3155" s="222"/>
      <c r="O3155" s="222"/>
      <c r="P3155" s="222"/>
      <c r="Q3155" s="222"/>
      <c r="R3155" s="271"/>
      <c r="S3155" s="11"/>
      <c r="T3155" s="11"/>
      <c r="U3155" s="11"/>
      <c r="AW3155" s="234"/>
      <c r="BP3155" s="11"/>
      <c r="BQ3155" s="11"/>
      <c r="BV3155" s="158"/>
      <c r="BY3155" s="158"/>
      <c r="CB3155" s="158"/>
    </row>
    <row r="3156">
      <c r="A3156" s="222"/>
      <c r="B3156" s="221"/>
      <c r="C3156" s="222"/>
      <c r="D3156" s="222"/>
      <c r="E3156" s="222"/>
      <c r="F3156" s="222"/>
      <c r="G3156" s="222"/>
      <c r="H3156" s="222"/>
      <c r="I3156" s="222"/>
      <c r="J3156" s="223"/>
      <c r="K3156" s="223"/>
      <c r="L3156" s="222"/>
      <c r="M3156" s="222"/>
      <c r="N3156" s="222"/>
      <c r="O3156" s="222"/>
      <c r="P3156" s="222"/>
      <c r="Q3156" s="222"/>
      <c r="R3156" s="271"/>
      <c r="S3156" s="11"/>
      <c r="T3156" s="11"/>
      <c r="U3156" s="11"/>
      <c r="AW3156" s="234"/>
      <c r="BP3156" s="11"/>
      <c r="BQ3156" s="11"/>
      <c r="BV3156" s="158"/>
      <c r="BY3156" s="158"/>
      <c r="CB3156" s="158"/>
    </row>
    <row r="3157">
      <c r="A3157" s="222"/>
      <c r="B3157" s="221"/>
      <c r="C3157" s="222"/>
      <c r="D3157" s="222"/>
      <c r="E3157" s="222"/>
      <c r="F3157" s="222"/>
      <c r="G3157" s="222"/>
      <c r="H3157" s="222"/>
      <c r="I3157" s="222"/>
      <c r="J3157" s="223"/>
      <c r="K3157" s="223"/>
      <c r="L3157" s="222"/>
      <c r="M3157" s="222"/>
      <c r="N3157" s="222"/>
      <c r="O3157" s="222"/>
      <c r="P3157" s="222"/>
      <c r="Q3157" s="222"/>
      <c r="R3157" s="271"/>
      <c r="S3157" s="11"/>
      <c r="T3157" s="11"/>
      <c r="U3157" s="11"/>
      <c r="AW3157" s="234"/>
      <c r="BP3157" s="11"/>
      <c r="BQ3157" s="11"/>
      <c r="BV3157" s="158"/>
      <c r="BY3157" s="158"/>
      <c r="CB3157" s="158"/>
    </row>
    <row r="3158">
      <c r="A3158" s="222"/>
      <c r="B3158" s="221"/>
      <c r="C3158" s="222"/>
      <c r="D3158" s="222"/>
      <c r="E3158" s="222"/>
      <c r="F3158" s="222"/>
      <c r="G3158" s="222"/>
      <c r="H3158" s="222"/>
      <c r="I3158" s="222"/>
      <c r="J3158" s="223"/>
      <c r="K3158" s="223"/>
      <c r="L3158" s="222"/>
      <c r="M3158" s="222"/>
      <c r="N3158" s="222"/>
      <c r="O3158" s="222"/>
      <c r="P3158" s="222"/>
      <c r="Q3158" s="222"/>
      <c r="R3158" s="271"/>
      <c r="S3158" s="11"/>
      <c r="T3158" s="11"/>
      <c r="U3158" s="11"/>
      <c r="AW3158" s="234"/>
      <c r="BP3158" s="11"/>
      <c r="BQ3158" s="11"/>
      <c r="BV3158" s="158"/>
      <c r="BY3158" s="158"/>
      <c r="CB3158" s="158"/>
    </row>
    <row r="3159">
      <c r="A3159" s="222"/>
      <c r="B3159" s="221"/>
      <c r="C3159" s="222"/>
      <c r="D3159" s="222"/>
      <c r="E3159" s="222"/>
      <c r="F3159" s="222"/>
      <c r="G3159" s="222"/>
      <c r="H3159" s="222"/>
      <c r="I3159" s="222"/>
      <c r="J3159" s="223"/>
      <c r="K3159" s="223"/>
      <c r="L3159" s="222"/>
      <c r="M3159" s="222"/>
      <c r="N3159" s="222"/>
      <c r="O3159" s="222"/>
      <c r="P3159" s="222"/>
      <c r="Q3159" s="222"/>
      <c r="R3159" s="271"/>
      <c r="S3159" s="11"/>
      <c r="T3159" s="11"/>
      <c r="U3159" s="11"/>
      <c r="AW3159" s="234"/>
      <c r="BP3159" s="11"/>
      <c r="BQ3159" s="11"/>
      <c r="BV3159" s="158"/>
      <c r="BY3159" s="158"/>
      <c r="CB3159" s="158"/>
    </row>
    <row r="3160">
      <c r="A3160" s="222"/>
      <c r="B3160" s="221"/>
      <c r="C3160" s="222"/>
      <c r="D3160" s="222"/>
      <c r="E3160" s="222"/>
      <c r="F3160" s="222"/>
      <c r="G3160" s="222"/>
      <c r="H3160" s="222"/>
      <c r="I3160" s="222"/>
      <c r="J3160" s="223"/>
      <c r="K3160" s="223"/>
      <c r="L3160" s="222"/>
      <c r="M3160" s="222"/>
      <c r="N3160" s="222"/>
      <c r="O3160" s="222"/>
      <c r="P3160" s="222"/>
      <c r="Q3160" s="222"/>
      <c r="R3160" s="271"/>
      <c r="S3160" s="11"/>
      <c r="T3160" s="11"/>
      <c r="U3160" s="11"/>
      <c r="AW3160" s="234"/>
      <c r="BP3160" s="11"/>
      <c r="BQ3160" s="11"/>
      <c r="BV3160" s="158"/>
      <c r="BY3160" s="158"/>
      <c r="CB3160" s="158"/>
    </row>
    <row r="3161">
      <c r="A3161" s="222"/>
      <c r="B3161" s="221"/>
      <c r="C3161" s="222"/>
      <c r="D3161" s="222"/>
      <c r="E3161" s="222"/>
      <c r="F3161" s="222"/>
      <c r="G3161" s="222"/>
      <c r="H3161" s="222"/>
      <c r="I3161" s="222"/>
      <c r="J3161" s="223"/>
      <c r="K3161" s="223"/>
      <c r="L3161" s="222"/>
      <c r="M3161" s="222"/>
      <c r="N3161" s="222"/>
      <c r="O3161" s="222"/>
      <c r="P3161" s="222"/>
      <c r="Q3161" s="222"/>
      <c r="R3161" s="271"/>
      <c r="S3161" s="11"/>
      <c r="T3161" s="11"/>
      <c r="U3161" s="11"/>
      <c r="AW3161" s="234"/>
      <c r="BP3161" s="11"/>
      <c r="BQ3161" s="11"/>
      <c r="BV3161" s="158"/>
      <c r="BY3161" s="158"/>
      <c r="CB3161" s="158"/>
    </row>
    <row r="3162">
      <c r="A3162" s="222"/>
      <c r="B3162" s="221"/>
      <c r="C3162" s="222"/>
      <c r="D3162" s="222"/>
      <c r="E3162" s="222"/>
      <c r="F3162" s="222"/>
      <c r="G3162" s="222"/>
      <c r="H3162" s="222"/>
      <c r="I3162" s="222"/>
      <c r="J3162" s="223"/>
      <c r="K3162" s="223"/>
      <c r="L3162" s="222"/>
      <c r="M3162" s="222"/>
      <c r="N3162" s="222"/>
      <c r="O3162" s="222"/>
      <c r="P3162" s="222"/>
      <c r="Q3162" s="222"/>
      <c r="R3162" s="271"/>
      <c r="S3162" s="11"/>
      <c r="T3162" s="11"/>
      <c r="U3162" s="11"/>
      <c r="AW3162" s="234"/>
      <c r="BP3162" s="11"/>
      <c r="BQ3162" s="11"/>
      <c r="BV3162" s="158"/>
      <c r="BY3162" s="158"/>
      <c r="CB3162" s="158"/>
    </row>
    <row r="3163">
      <c r="A3163" s="222"/>
      <c r="B3163" s="221"/>
      <c r="C3163" s="222"/>
      <c r="D3163" s="222"/>
      <c r="E3163" s="222"/>
      <c r="F3163" s="222"/>
      <c r="G3163" s="222"/>
      <c r="H3163" s="222"/>
      <c r="I3163" s="222"/>
      <c r="J3163" s="223"/>
      <c r="K3163" s="223"/>
      <c r="L3163" s="222"/>
      <c r="M3163" s="222"/>
      <c r="N3163" s="222"/>
      <c r="O3163" s="222"/>
      <c r="P3163" s="222"/>
      <c r="Q3163" s="222"/>
      <c r="R3163" s="271"/>
      <c r="S3163" s="11"/>
      <c r="T3163" s="11"/>
      <c r="U3163" s="11"/>
      <c r="AW3163" s="234"/>
      <c r="BP3163" s="11"/>
      <c r="BQ3163" s="11"/>
      <c r="BV3163" s="158"/>
      <c r="BY3163" s="158"/>
      <c r="CB3163" s="158"/>
    </row>
    <row r="3164">
      <c r="A3164" s="222"/>
      <c r="B3164" s="221"/>
      <c r="C3164" s="222"/>
      <c r="D3164" s="222"/>
      <c r="E3164" s="222"/>
      <c r="F3164" s="222"/>
      <c r="G3164" s="222"/>
      <c r="H3164" s="222"/>
      <c r="I3164" s="222"/>
      <c r="J3164" s="223"/>
      <c r="K3164" s="223"/>
      <c r="L3164" s="222"/>
      <c r="M3164" s="222"/>
      <c r="N3164" s="222"/>
      <c r="O3164" s="222"/>
      <c r="P3164" s="222"/>
      <c r="Q3164" s="222"/>
      <c r="R3164" s="271"/>
      <c r="S3164" s="11"/>
      <c r="T3164" s="11"/>
      <c r="U3164" s="11"/>
      <c r="AW3164" s="234"/>
      <c r="BP3164" s="11"/>
      <c r="BQ3164" s="11"/>
      <c r="BV3164" s="158"/>
      <c r="BY3164" s="158"/>
      <c r="CB3164" s="158"/>
    </row>
    <row r="3165">
      <c r="A3165" s="222"/>
      <c r="B3165" s="221"/>
      <c r="C3165" s="222"/>
      <c r="D3165" s="222"/>
      <c r="E3165" s="222"/>
      <c r="F3165" s="222"/>
      <c r="G3165" s="222"/>
      <c r="H3165" s="222"/>
      <c r="I3165" s="222"/>
      <c r="J3165" s="223"/>
      <c r="K3165" s="223"/>
      <c r="L3165" s="222"/>
      <c r="M3165" s="222"/>
      <c r="N3165" s="222"/>
      <c r="O3165" s="222"/>
      <c r="P3165" s="222"/>
      <c r="Q3165" s="222"/>
      <c r="R3165" s="271"/>
      <c r="S3165" s="11"/>
      <c r="T3165" s="11"/>
      <c r="U3165" s="11"/>
      <c r="AW3165" s="234"/>
      <c r="BP3165" s="11"/>
      <c r="BQ3165" s="11"/>
      <c r="BV3165" s="158"/>
      <c r="BY3165" s="158"/>
      <c r="CB3165" s="158"/>
    </row>
    <row r="3166">
      <c r="A3166" s="222"/>
      <c r="B3166" s="221"/>
      <c r="C3166" s="222"/>
      <c r="D3166" s="222"/>
      <c r="E3166" s="222"/>
      <c r="F3166" s="222"/>
      <c r="G3166" s="222"/>
      <c r="H3166" s="222"/>
      <c r="I3166" s="222"/>
      <c r="J3166" s="223"/>
      <c r="K3166" s="223"/>
      <c r="L3166" s="222"/>
      <c r="M3166" s="222"/>
      <c r="N3166" s="222"/>
      <c r="O3166" s="222"/>
      <c r="P3166" s="222"/>
      <c r="Q3166" s="222"/>
      <c r="R3166" s="271"/>
      <c r="S3166" s="11"/>
      <c r="T3166" s="11"/>
      <c r="U3166" s="11"/>
      <c r="AW3166" s="234"/>
      <c r="BP3166" s="11"/>
      <c r="BQ3166" s="11"/>
      <c r="BV3166" s="158"/>
      <c r="BY3166" s="158"/>
      <c r="CB3166" s="158"/>
    </row>
    <row r="3167">
      <c r="A3167" s="222"/>
      <c r="B3167" s="221"/>
      <c r="C3167" s="222"/>
      <c r="D3167" s="222"/>
      <c r="E3167" s="222"/>
      <c r="F3167" s="222"/>
      <c r="G3167" s="222"/>
      <c r="H3167" s="222"/>
      <c r="I3167" s="222"/>
      <c r="J3167" s="223"/>
      <c r="K3167" s="223"/>
      <c r="L3167" s="222"/>
      <c r="M3167" s="222"/>
      <c r="N3167" s="222"/>
      <c r="O3167" s="222"/>
      <c r="P3167" s="222"/>
      <c r="Q3167" s="222"/>
      <c r="R3167" s="271"/>
      <c r="S3167" s="11"/>
      <c r="T3167" s="11"/>
      <c r="U3167" s="11"/>
      <c r="AW3167" s="234"/>
      <c r="BP3167" s="11"/>
      <c r="BQ3167" s="11"/>
      <c r="BV3167" s="158"/>
      <c r="BY3167" s="158"/>
      <c r="CB3167" s="158"/>
    </row>
    <row r="3168">
      <c r="A3168" s="222"/>
      <c r="B3168" s="221"/>
      <c r="C3168" s="222"/>
      <c r="D3168" s="222"/>
      <c r="E3168" s="222"/>
      <c r="F3168" s="222"/>
      <c r="G3168" s="222"/>
      <c r="H3168" s="222"/>
      <c r="I3168" s="222"/>
      <c r="J3168" s="223"/>
      <c r="K3168" s="223"/>
      <c r="L3168" s="222"/>
      <c r="M3168" s="222"/>
      <c r="N3168" s="222"/>
      <c r="O3168" s="222"/>
      <c r="P3168" s="222"/>
      <c r="Q3168" s="222"/>
      <c r="R3168" s="271"/>
      <c r="S3168" s="11"/>
      <c r="T3168" s="11"/>
      <c r="U3168" s="11"/>
      <c r="AW3168" s="234"/>
      <c r="BP3168" s="11"/>
      <c r="BQ3168" s="11"/>
      <c r="BV3168" s="158"/>
      <c r="BY3168" s="158"/>
      <c r="CB3168" s="158"/>
    </row>
    <row r="3169">
      <c r="A3169" s="222"/>
      <c r="B3169" s="221"/>
      <c r="C3169" s="222"/>
      <c r="D3169" s="222"/>
      <c r="E3169" s="222"/>
      <c r="F3169" s="222"/>
      <c r="G3169" s="222"/>
      <c r="H3169" s="222"/>
      <c r="I3169" s="222"/>
      <c r="J3169" s="223"/>
      <c r="K3169" s="223"/>
      <c r="L3169" s="222"/>
      <c r="M3169" s="222"/>
      <c r="N3169" s="222"/>
      <c r="O3169" s="222"/>
      <c r="P3169" s="222"/>
      <c r="Q3169" s="222"/>
      <c r="R3169" s="271"/>
      <c r="S3169" s="11"/>
      <c r="T3169" s="11"/>
      <c r="U3169" s="11"/>
      <c r="AW3169" s="234"/>
      <c r="BP3169" s="11"/>
      <c r="BQ3169" s="11"/>
      <c r="BV3169" s="158"/>
      <c r="BY3169" s="158"/>
      <c r="CB3169" s="158"/>
    </row>
    <row r="3170">
      <c r="A3170" s="222"/>
      <c r="B3170" s="221"/>
      <c r="C3170" s="222"/>
      <c r="D3170" s="222"/>
      <c r="E3170" s="222"/>
      <c r="F3170" s="222"/>
      <c r="G3170" s="222"/>
      <c r="H3170" s="222"/>
      <c r="I3170" s="222"/>
      <c r="J3170" s="223"/>
      <c r="K3170" s="223"/>
      <c r="L3170" s="222"/>
      <c r="M3170" s="222"/>
      <c r="N3170" s="222"/>
      <c r="O3170" s="222"/>
      <c r="P3170" s="222"/>
      <c r="Q3170" s="222"/>
      <c r="R3170" s="271"/>
      <c r="S3170" s="11"/>
      <c r="T3170" s="11"/>
      <c r="U3170" s="11"/>
      <c r="AW3170" s="234"/>
      <c r="BP3170" s="11"/>
      <c r="BQ3170" s="11"/>
      <c r="BV3170" s="158"/>
      <c r="BY3170" s="158"/>
      <c r="CB3170" s="158"/>
    </row>
    <row r="3171">
      <c r="A3171" s="222"/>
      <c r="B3171" s="221"/>
      <c r="C3171" s="222"/>
      <c r="D3171" s="222"/>
      <c r="E3171" s="222"/>
      <c r="F3171" s="222"/>
      <c r="G3171" s="222"/>
      <c r="H3171" s="222"/>
      <c r="I3171" s="222"/>
      <c r="J3171" s="223"/>
      <c r="K3171" s="223"/>
      <c r="L3171" s="222"/>
      <c r="M3171" s="222"/>
      <c r="N3171" s="222"/>
      <c r="O3171" s="222"/>
      <c r="P3171" s="222"/>
      <c r="Q3171" s="222"/>
      <c r="R3171" s="271"/>
      <c r="S3171" s="11"/>
      <c r="T3171" s="11"/>
      <c r="U3171" s="11"/>
      <c r="AW3171" s="234"/>
      <c r="BP3171" s="11"/>
      <c r="BQ3171" s="11"/>
      <c r="BV3171" s="158"/>
      <c r="BY3171" s="158"/>
      <c r="CB3171" s="158"/>
    </row>
    <row r="3172">
      <c r="A3172" s="222"/>
      <c r="B3172" s="221"/>
      <c r="C3172" s="222"/>
      <c r="D3172" s="222"/>
      <c r="E3172" s="222"/>
      <c r="F3172" s="222"/>
      <c r="G3172" s="222"/>
      <c r="H3172" s="222"/>
      <c r="I3172" s="222"/>
      <c r="J3172" s="223"/>
      <c r="K3172" s="223"/>
      <c r="L3172" s="222"/>
      <c r="M3172" s="222"/>
      <c r="N3172" s="222"/>
      <c r="O3172" s="222"/>
      <c r="P3172" s="222"/>
      <c r="Q3172" s="222"/>
      <c r="R3172" s="271"/>
      <c r="S3172" s="11"/>
      <c r="T3172" s="11"/>
      <c r="U3172" s="11"/>
      <c r="AW3172" s="234"/>
      <c r="BP3172" s="11"/>
      <c r="BQ3172" s="11"/>
      <c r="BV3172" s="158"/>
      <c r="BY3172" s="158"/>
      <c r="CB3172" s="158"/>
    </row>
    <row r="3173">
      <c r="A3173" s="222"/>
      <c r="B3173" s="221"/>
      <c r="C3173" s="222"/>
      <c r="D3173" s="222"/>
      <c r="E3173" s="222"/>
      <c r="F3173" s="222"/>
      <c r="G3173" s="222"/>
      <c r="H3173" s="222"/>
      <c r="I3173" s="222"/>
      <c r="J3173" s="223"/>
      <c r="K3173" s="223"/>
      <c r="L3173" s="222"/>
      <c r="M3173" s="222"/>
      <c r="N3173" s="222"/>
      <c r="O3173" s="222"/>
      <c r="P3173" s="222"/>
      <c r="Q3173" s="222"/>
      <c r="R3173" s="271"/>
      <c r="S3173" s="11"/>
      <c r="T3173" s="11"/>
      <c r="U3173" s="11"/>
      <c r="AW3173" s="234"/>
      <c r="BP3173" s="11"/>
      <c r="BQ3173" s="11"/>
      <c r="BV3173" s="158"/>
      <c r="BY3173" s="158"/>
      <c r="CB3173" s="158"/>
    </row>
    <row r="3174">
      <c r="A3174" s="222"/>
      <c r="B3174" s="221"/>
      <c r="C3174" s="222"/>
      <c r="D3174" s="222"/>
      <c r="E3174" s="222"/>
      <c r="F3174" s="222"/>
      <c r="G3174" s="222"/>
      <c r="H3174" s="222"/>
      <c r="I3174" s="222"/>
      <c r="J3174" s="223"/>
      <c r="K3174" s="223"/>
      <c r="L3174" s="222"/>
      <c r="M3174" s="222"/>
      <c r="N3174" s="222"/>
      <c r="O3174" s="222"/>
      <c r="P3174" s="222"/>
      <c r="Q3174" s="222"/>
      <c r="R3174" s="271"/>
      <c r="S3174" s="11"/>
      <c r="T3174" s="11"/>
      <c r="U3174" s="11"/>
      <c r="AW3174" s="234"/>
      <c r="BP3174" s="11"/>
      <c r="BQ3174" s="11"/>
      <c r="BV3174" s="158"/>
      <c r="BY3174" s="158"/>
      <c r="CB3174" s="158"/>
    </row>
    <row r="3175">
      <c r="A3175" s="222"/>
      <c r="B3175" s="221"/>
      <c r="C3175" s="222"/>
      <c r="D3175" s="222"/>
      <c r="E3175" s="222"/>
      <c r="F3175" s="222"/>
      <c r="G3175" s="222"/>
      <c r="H3175" s="222"/>
      <c r="I3175" s="222"/>
      <c r="J3175" s="223"/>
      <c r="K3175" s="223"/>
      <c r="L3175" s="222"/>
      <c r="M3175" s="222"/>
      <c r="N3175" s="222"/>
      <c r="O3175" s="222"/>
      <c r="P3175" s="222"/>
      <c r="Q3175" s="222"/>
      <c r="R3175" s="271"/>
      <c r="S3175" s="11"/>
      <c r="T3175" s="11"/>
      <c r="U3175" s="11"/>
      <c r="AW3175" s="234"/>
      <c r="BP3175" s="11"/>
      <c r="BQ3175" s="11"/>
      <c r="BV3175" s="158"/>
      <c r="BY3175" s="158"/>
      <c r="CB3175" s="158"/>
    </row>
    <row r="3176">
      <c r="A3176" s="222"/>
      <c r="B3176" s="221"/>
      <c r="C3176" s="222"/>
      <c r="D3176" s="222"/>
      <c r="E3176" s="222"/>
      <c r="F3176" s="222"/>
      <c r="G3176" s="222"/>
      <c r="H3176" s="222"/>
      <c r="I3176" s="222"/>
      <c r="J3176" s="223"/>
      <c r="K3176" s="223"/>
      <c r="L3176" s="222"/>
      <c r="M3176" s="222"/>
      <c r="N3176" s="222"/>
      <c r="O3176" s="222"/>
      <c r="P3176" s="222"/>
      <c r="Q3176" s="222"/>
      <c r="R3176" s="271"/>
      <c r="S3176" s="11"/>
      <c r="T3176" s="11"/>
      <c r="U3176" s="11"/>
      <c r="AW3176" s="234"/>
      <c r="BP3176" s="11"/>
      <c r="BQ3176" s="11"/>
      <c r="BV3176" s="158"/>
      <c r="BY3176" s="158"/>
      <c r="CB3176" s="158"/>
    </row>
    <row r="3177">
      <c r="A3177" s="222"/>
      <c r="B3177" s="221"/>
      <c r="C3177" s="222"/>
      <c r="D3177" s="222"/>
      <c r="E3177" s="222"/>
      <c r="F3177" s="222"/>
      <c r="G3177" s="222"/>
      <c r="H3177" s="222"/>
      <c r="I3177" s="222"/>
      <c r="J3177" s="223"/>
      <c r="K3177" s="223"/>
      <c r="L3177" s="222"/>
      <c r="M3177" s="222"/>
      <c r="N3177" s="222"/>
      <c r="O3177" s="222"/>
      <c r="P3177" s="222"/>
      <c r="Q3177" s="222"/>
      <c r="R3177" s="271"/>
      <c r="S3177" s="11"/>
      <c r="T3177" s="11"/>
      <c r="U3177" s="11"/>
      <c r="AW3177" s="234"/>
      <c r="BP3177" s="11"/>
      <c r="BQ3177" s="11"/>
      <c r="BV3177" s="158"/>
      <c r="BY3177" s="158"/>
      <c r="CB3177" s="158"/>
    </row>
    <row r="3178">
      <c r="A3178" s="222"/>
      <c r="B3178" s="221"/>
      <c r="C3178" s="222"/>
      <c r="D3178" s="222"/>
      <c r="E3178" s="222"/>
      <c r="F3178" s="222"/>
      <c r="G3178" s="222"/>
      <c r="H3178" s="222"/>
      <c r="I3178" s="222"/>
      <c r="J3178" s="223"/>
      <c r="K3178" s="223"/>
      <c r="L3178" s="222"/>
      <c r="M3178" s="222"/>
      <c r="N3178" s="222"/>
      <c r="O3178" s="222"/>
      <c r="P3178" s="222"/>
      <c r="Q3178" s="222"/>
      <c r="R3178" s="271"/>
      <c r="S3178" s="11"/>
      <c r="T3178" s="11"/>
      <c r="U3178" s="11"/>
      <c r="AW3178" s="234"/>
      <c r="BP3178" s="11"/>
      <c r="BQ3178" s="11"/>
      <c r="BV3178" s="158"/>
      <c r="BY3178" s="158"/>
      <c r="CB3178" s="158"/>
    </row>
    <row r="3179">
      <c r="A3179" s="222"/>
      <c r="B3179" s="221"/>
      <c r="C3179" s="222"/>
      <c r="D3179" s="222"/>
      <c r="E3179" s="222"/>
      <c r="F3179" s="222"/>
      <c r="G3179" s="222"/>
      <c r="H3179" s="222"/>
      <c r="I3179" s="222"/>
      <c r="J3179" s="223"/>
      <c r="K3179" s="223"/>
      <c r="L3179" s="222"/>
      <c r="M3179" s="222"/>
      <c r="N3179" s="222"/>
      <c r="O3179" s="222"/>
      <c r="P3179" s="222"/>
      <c r="Q3179" s="222"/>
      <c r="R3179" s="271"/>
      <c r="S3179" s="11"/>
      <c r="T3179" s="11"/>
      <c r="U3179" s="11"/>
      <c r="AW3179" s="234"/>
      <c r="BP3179" s="11"/>
      <c r="BQ3179" s="11"/>
      <c r="BV3179" s="158"/>
      <c r="BY3179" s="158"/>
      <c r="CB3179" s="158"/>
    </row>
    <row r="3180">
      <c r="A3180" s="222"/>
      <c r="B3180" s="221"/>
      <c r="C3180" s="222"/>
      <c r="D3180" s="222"/>
      <c r="E3180" s="222"/>
      <c r="F3180" s="222"/>
      <c r="G3180" s="222"/>
      <c r="H3180" s="222"/>
      <c r="I3180" s="222"/>
      <c r="J3180" s="223"/>
      <c r="K3180" s="223"/>
      <c r="L3180" s="222"/>
      <c r="M3180" s="222"/>
      <c r="N3180" s="222"/>
      <c r="O3180" s="222"/>
      <c r="P3180" s="222"/>
      <c r="Q3180" s="222"/>
      <c r="R3180" s="271"/>
      <c r="S3180" s="11"/>
      <c r="T3180" s="11"/>
      <c r="U3180" s="11"/>
      <c r="AW3180" s="234"/>
      <c r="BP3180" s="11"/>
      <c r="BQ3180" s="11"/>
      <c r="BV3180" s="158"/>
      <c r="BY3180" s="158"/>
      <c r="CB3180" s="158"/>
    </row>
    <row r="3181">
      <c r="A3181" s="222"/>
      <c r="B3181" s="221"/>
      <c r="C3181" s="222"/>
      <c r="D3181" s="222"/>
      <c r="E3181" s="222"/>
      <c r="F3181" s="222"/>
      <c r="G3181" s="222"/>
      <c r="H3181" s="222"/>
      <c r="I3181" s="222"/>
      <c r="J3181" s="223"/>
      <c r="K3181" s="223"/>
      <c r="L3181" s="222"/>
      <c r="M3181" s="222"/>
      <c r="N3181" s="222"/>
      <c r="O3181" s="222"/>
      <c r="P3181" s="222"/>
      <c r="Q3181" s="222"/>
      <c r="R3181" s="271"/>
      <c r="S3181" s="11"/>
      <c r="T3181" s="11"/>
      <c r="U3181" s="11"/>
      <c r="AW3181" s="234"/>
      <c r="BP3181" s="11"/>
      <c r="BQ3181" s="11"/>
      <c r="BV3181" s="158"/>
      <c r="BY3181" s="158"/>
      <c r="CB3181" s="158"/>
    </row>
    <row r="3182">
      <c r="A3182" s="222"/>
      <c r="B3182" s="221"/>
      <c r="C3182" s="222"/>
      <c r="D3182" s="222"/>
      <c r="E3182" s="222"/>
      <c r="F3182" s="222"/>
      <c r="G3182" s="222"/>
      <c r="H3182" s="222"/>
      <c r="I3182" s="222"/>
      <c r="J3182" s="223"/>
      <c r="K3182" s="223"/>
      <c r="L3182" s="222"/>
      <c r="M3182" s="222"/>
      <c r="N3182" s="222"/>
      <c r="O3182" s="222"/>
      <c r="P3182" s="222"/>
      <c r="Q3182" s="222"/>
      <c r="R3182" s="271"/>
      <c r="S3182" s="11"/>
      <c r="T3182" s="11"/>
      <c r="U3182" s="11"/>
      <c r="AW3182" s="234"/>
      <c r="BP3182" s="11"/>
      <c r="BQ3182" s="11"/>
      <c r="BV3182" s="158"/>
      <c r="BY3182" s="158"/>
      <c r="CB3182" s="158"/>
    </row>
    <row r="3183">
      <c r="A3183" s="222"/>
      <c r="B3183" s="221"/>
      <c r="C3183" s="222"/>
      <c r="D3183" s="222"/>
      <c r="E3183" s="222"/>
      <c r="F3183" s="222"/>
      <c r="G3183" s="222"/>
      <c r="H3183" s="222"/>
      <c r="I3183" s="222"/>
      <c r="J3183" s="223"/>
      <c r="K3183" s="223"/>
      <c r="L3183" s="222"/>
      <c r="M3183" s="222"/>
      <c r="N3183" s="222"/>
      <c r="O3183" s="222"/>
      <c r="P3183" s="222"/>
      <c r="Q3183" s="222"/>
      <c r="R3183" s="271"/>
      <c r="S3183" s="11"/>
      <c r="T3183" s="11"/>
      <c r="U3183" s="11"/>
      <c r="AW3183" s="234"/>
      <c r="BP3183" s="11"/>
      <c r="BQ3183" s="11"/>
      <c r="BV3183" s="158"/>
      <c r="BY3183" s="158"/>
      <c r="CB3183" s="158"/>
    </row>
    <row r="3184">
      <c r="A3184" s="222"/>
      <c r="B3184" s="221"/>
      <c r="C3184" s="222"/>
      <c r="D3184" s="222"/>
      <c r="E3184" s="222"/>
      <c r="F3184" s="222"/>
      <c r="G3184" s="222"/>
      <c r="H3184" s="222"/>
      <c r="I3184" s="222"/>
      <c r="J3184" s="223"/>
      <c r="K3184" s="223"/>
      <c r="L3184" s="222"/>
      <c r="M3184" s="222"/>
      <c r="N3184" s="222"/>
      <c r="O3184" s="222"/>
      <c r="P3184" s="222"/>
      <c r="Q3184" s="222"/>
      <c r="R3184" s="271"/>
      <c r="S3184" s="11"/>
      <c r="T3184" s="11"/>
      <c r="U3184" s="11"/>
      <c r="AW3184" s="234"/>
      <c r="BP3184" s="11"/>
      <c r="BQ3184" s="11"/>
      <c r="BV3184" s="158"/>
      <c r="BY3184" s="158"/>
      <c r="CB3184" s="158"/>
    </row>
    <row r="3185">
      <c r="A3185" s="222"/>
      <c r="B3185" s="221"/>
      <c r="C3185" s="222"/>
      <c r="D3185" s="222"/>
      <c r="E3185" s="222"/>
      <c r="F3185" s="222"/>
      <c r="G3185" s="222"/>
      <c r="H3185" s="222"/>
      <c r="I3185" s="222"/>
      <c r="J3185" s="223"/>
      <c r="K3185" s="223"/>
      <c r="L3185" s="222"/>
      <c r="M3185" s="222"/>
      <c r="N3185" s="222"/>
      <c r="O3185" s="222"/>
      <c r="P3185" s="222"/>
      <c r="Q3185" s="222"/>
      <c r="R3185" s="271"/>
      <c r="S3185" s="11"/>
      <c r="T3185" s="11"/>
      <c r="U3185" s="11"/>
      <c r="AW3185" s="234"/>
      <c r="BP3185" s="11"/>
      <c r="BQ3185" s="11"/>
      <c r="BV3185" s="158"/>
      <c r="BY3185" s="158"/>
      <c r="CB3185" s="158"/>
    </row>
    <row r="3186">
      <c r="A3186" s="222"/>
      <c r="B3186" s="221"/>
      <c r="C3186" s="222"/>
      <c r="D3186" s="222"/>
      <c r="E3186" s="222"/>
      <c r="F3186" s="222"/>
      <c r="G3186" s="222"/>
      <c r="H3186" s="222"/>
      <c r="I3186" s="222"/>
      <c r="J3186" s="223"/>
      <c r="K3186" s="223"/>
      <c r="L3186" s="222"/>
      <c r="M3186" s="222"/>
      <c r="N3186" s="222"/>
      <c r="O3186" s="222"/>
      <c r="P3186" s="222"/>
      <c r="Q3186" s="222"/>
      <c r="R3186" s="271"/>
      <c r="S3186" s="11"/>
      <c r="T3186" s="11"/>
      <c r="U3186" s="11"/>
      <c r="AW3186" s="234"/>
      <c r="BP3186" s="11"/>
      <c r="BQ3186" s="11"/>
      <c r="BV3186" s="158"/>
      <c r="BY3186" s="158"/>
      <c r="CB3186" s="158"/>
    </row>
    <row r="3187">
      <c r="A3187" s="222"/>
      <c r="B3187" s="221"/>
      <c r="C3187" s="222"/>
      <c r="D3187" s="222"/>
      <c r="E3187" s="222"/>
      <c r="F3187" s="222"/>
      <c r="G3187" s="222"/>
      <c r="H3187" s="222"/>
      <c r="I3187" s="222"/>
      <c r="J3187" s="223"/>
      <c r="K3187" s="223"/>
      <c r="L3187" s="222"/>
      <c r="M3187" s="222"/>
      <c r="N3187" s="222"/>
      <c r="O3187" s="222"/>
      <c r="P3187" s="222"/>
      <c r="Q3187" s="222"/>
      <c r="R3187" s="271"/>
      <c r="S3187" s="11"/>
      <c r="T3187" s="11"/>
      <c r="U3187" s="11"/>
      <c r="AW3187" s="234"/>
      <c r="BP3187" s="11"/>
      <c r="BQ3187" s="11"/>
      <c r="BV3187" s="158"/>
      <c r="BY3187" s="158"/>
      <c r="CB3187" s="158"/>
    </row>
    <row r="3188">
      <c r="A3188" s="222"/>
      <c r="B3188" s="221"/>
      <c r="C3188" s="222"/>
      <c r="D3188" s="222"/>
      <c r="E3188" s="222"/>
      <c r="F3188" s="222"/>
      <c r="G3188" s="222"/>
      <c r="H3188" s="222"/>
      <c r="I3188" s="222"/>
      <c r="J3188" s="223"/>
      <c r="K3188" s="223"/>
      <c r="L3188" s="222"/>
      <c r="M3188" s="222"/>
      <c r="N3188" s="222"/>
      <c r="O3188" s="222"/>
      <c r="P3188" s="222"/>
      <c r="Q3188" s="222"/>
      <c r="R3188" s="271"/>
      <c r="S3188" s="11"/>
      <c r="T3188" s="11"/>
      <c r="U3188" s="11"/>
      <c r="AW3188" s="234"/>
      <c r="BP3188" s="11"/>
      <c r="BQ3188" s="11"/>
      <c r="BV3188" s="158"/>
      <c r="BY3188" s="158"/>
      <c r="CB3188" s="158"/>
    </row>
    <row r="3189">
      <c r="A3189" s="222"/>
      <c r="B3189" s="221"/>
      <c r="C3189" s="222"/>
      <c r="D3189" s="222"/>
      <c r="E3189" s="222"/>
      <c r="F3189" s="222"/>
      <c r="G3189" s="222"/>
      <c r="H3189" s="222"/>
      <c r="I3189" s="222"/>
      <c r="J3189" s="223"/>
      <c r="K3189" s="223"/>
      <c r="L3189" s="222"/>
      <c r="M3189" s="222"/>
      <c r="N3189" s="222"/>
      <c r="O3189" s="222"/>
      <c r="P3189" s="222"/>
      <c r="Q3189" s="222"/>
      <c r="R3189" s="271"/>
      <c r="S3189" s="11"/>
      <c r="T3189" s="11"/>
      <c r="U3189" s="11"/>
      <c r="AW3189" s="234"/>
      <c r="BP3189" s="11"/>
      <c r="BQ3189" s="11"/>
      <c r="BV3189" s="158"/>
      <c r="BY3189" s="158"/>
      <c r="CB3189" s="158"/>
    </row>
    <row r="3190">
      <c r="A3190" s="222"/>
      <c r="B3190" s="221"/>
      <c r="C3190" s="222"/>
      <c r="D3190" s="222"/>
      <c r="E3190" s="222"/>
      <c r="F3190" s="222"/>
      <c r="G3190" s="222"/>
      <c r="H3190" s="222"/>
      <c r="I3190" s="222"/>
      <c r="J3190" s="223"/>
      <c r="K3190" s="223"/>
      <c r="L3190" s="222"/>
      <c r="M3190" s="222"/>
      <c r="N3190" s="222"/>
      <c r="O3190" s="222"/>
      <c r="P3190" s="222"/>
      <c r="Q3190" s="222"/>
      <c r="R3190" s="271"/>
      <c r="S3190" s="11"/>
      <c r="T3190" s="11"/>
      <c r="U3190" s="11"/>
      <c r="AW3190" s="234"/>
      <c r="BP3190" s="11"/>
      <c r="BQ3190" s="11"/>
      <c r="BV3190" s="158"/>
      <c r="BY3190" s="158"/>
      <c r="CB3190" s="158"/>
    </row>
    <row r="3191">
      <c r="A3191" s="222"/>
      <c r="B3191" s="221"/>
      <c r="C3191" s="222"/>
      <c r="D3191" s="222"/>
      <c r="E3191" s="222"/>
      <c r="F3191" s="222"/>
      <c r="G3191" s="222"/>
      <c r="H3191" s="222"/>
      <c r="I3191" s="222"/>
      <c r="J3191" s="223"/>
      <c r="K3191" s="223"/>
      <c r="L3191" s="222"/>
      <c r="M3191" s="222"/>
      <c r="N3191" s="222"/>
      <c r="O3191" s="222"/>
      <c r="P3191" s="222"/>
      <c r="Q3191" s="222"/>
      <c r="R3191" s="271"/>
      <c r="S3191" s="11"/>
      <c r="T3191" s="11"/>
      <c r="U3191" s="11"/>
      <c r="AW3191" s="234"/>
      <c r="BP3191" s="11"/>
      <c r="BQ3191" s="11"/>
      <c r="BV3191" s="158"/>
      <c r="BY3191" s="158"/>
      <c r="CB3191" s="158"/>
    </row>
    <row r="3192">
      <c r="A3192" s="222"/>
      <c r="B3192" s="221"/>
      <c r="C3192" s="222"/>
      <c r="D3192" s="222"/>
      <c r="E3192" s="222"/>
      <c r="F3192" s="222"/>
      <c r="G3192" s="222"/>
      <c r="H3192" s="222"/>
      <c r="I3192" s="222"/>
      <c r="J3192" s="223"/>
      <c r="K3192" s="223"/>
      <c r="L3192" s="222"/>
      <c r="M3192" s="222"/>
      <c r="N3192" s="222"/>
      <c r="O3192" s="222"/>
      <c r="P3192" s="222"/>
      <c r="Q3192" s="222"/>
      <c r="R3192" s="271"/>
      <c r="S3192" s="11"/>
      <c r="T3192" s="11"/>
      <c r="U3192" s="11"/>
      <c r="AW3192" s="234"/>
      <c r="BP3192" s="11"/>
      <c r="BQ3192" s="11"/>
      <c r="BV3192" s="158"/>
      <c r="BY3192" s="158"/>
      <c r="CB3192" s="158"/>
    </row>
    <row r="3193">
      <c r="A3193" s="222"/>
      <c r="B3193" s="221"/>
      <c r="C3193" s="222"/>
      <c r="D3193" s="222"/>
      <c r="E3193" s="222"/>
      <c r="F3193" s="222"/>
      <c r="G3193" s="222"/>
      <c r="H3193" s="222"/>
      <c r="I3193" s="222"/>
      <c r="J3193" s="223"/>
      <c r="K3193" s="223"/>
      <c r="L3193" s="222"/>
      <c r="M3193" s="222"/>
      <c r="N3193" s="222"/>
      <c r="O3193" s="222"/>
      <c r="P3193" s="222"/>
      <c r="Q3193" s="222"/>
      <c r="R3193" s="271"/>
      <c r="S3193" s="11"/>
      <c r="T3193" s="11"/>
      <c r="U3193" s="11"/>
      <c r="AW3193" s="234"/>
      <c r="BP3193" s="11"/>
      <c r="BQ3193" s="11"/>
      <c r="BV3193" s="158"/>
      <c r="BY3193" s="158"/>
      <c r="CB3193" s="158"/>
    </row>
    <row r="3194">
      <c r="A3194" s="222"/>
      <c r="B3194" s="221"/>
      <c r="C3194" s="222"/>
      <c r="D3194" s="222"/>
      <c r="E3194" s="222"/>
      <c r="F3194" s="222"/>
      <c r="G3194" s="222"/>
      <c r="H3194" s="222"/>
      <c r="I3194" s="222"/>
      <c r="J3194" s="223"/>
      <c r="K3194" s="223"/>
      <c r="L3194" s="222"/>
      <c r="M3194" s="222"/>
      <c r="N3194" s="222"/>
      <c r="O3194" s="222"/>
      <c r="P3194" s="222"/>
      <c r="Q3194" s="222"/>
      <c r="R3194" s="271"/>
      <c r="S3194" s="11"/>
      <c r="T3194" s="11"/>
      <c r="U3194" s="11"/>
      <c r="AW3194" s="234"/>
      <c r="BP3194" s="11"/>
      <c r="BQ3194" s="11"/>
      <c r="BV3194" s="158"/>
      <c r="BY3194" s="158"/>
      <c r="CB3194" s="158"/>
    </row>
  </sheetData>
  <autoFilter ref="$A$3:$AK$2739">
    <filterColumn colId="6">
      <filters>
        <filter val="SUMBAGTENG"/>
      </filters>
    </filterColumn>
  </autoFilter>
  <mergeCells count="40">
    <mergeCell ref="BS2:CB2"/>
    <mergeCell ref="CD2:CM2"/>
    <mergeCell ref="AX3:AZ3"/>
    <mergeCell ref="BS3:CB3"/>
    <mergeCell ref="CD3:CM3"/>
    <mergeCell ref="BS4:CB4"/>
    <mergeCell ref="CD4:CM4"/>
    <mergeCell ref="AX4:AZ4"/>
    <mergeCell ref="AX5:AZ5"/>
    <mergeCell ref="BS5:BS6"/>
    <mergeCell ref="BT5:BV5"/>
    <mergeCell ref="BW5:BY5"/>
    <mergeCell ref="CD5:CD6"/>
    <mergeCell ref="BL7:BL8"/>
    <mergeCell ref="BZ5:CB5"/>
    <mergeCell ref="BS7:CB7"/>
    <mergeCell ref="BS9:CB9"/>
    <mergeCell ref="BL10:BL11"/>
    <mergeCell ref="BS11:CB11"/>
    <mergeCell ref="BS13:CB13"/>
    <mergeCell ref="BS15:CB15"/>
    <mergeCell ref="BS17:CB17"/>
    <mergeCell ref="CD15:CM15"/>
    <mergeCell ref="CD17:CM17"/>
    <mergeCell ref="CE5:CG5"/>
    <mergeCell ref="CH5:CJ5"/>
    <mergeCell ref="CK5:CM5"/>
    <mergeCell ref="CD7:CM7"/>
    <mergeCell ref="CD9:CM9"/>
    <mergeCell ref="CD11:CM11"/>
    <mergeCell ref="CD13:CM13"/>
    <mergeCell ref="BL40:BL42"/>
    <mergeCell ref="BL46:BL48"/>
    <mergeCell ref="BL12:BL15"/>
    <mergeCell ref="BL16:BL22"/>
    <mergeCell ref="BL23:BL26"/>
    <mergeCell ref="BL27:BL30"/>
    <mergeCell ref="BL31:BL33"/>
    <mergeCell ref="BL34:BL35"/>
    <mergeCell ref="BL36:BL38"/>
  </mergeCells>
  <conditionalFormatting sqref="BJ7:BK3194">
    <cfRule type="expression" dxfId="4" priority="1">
      <formula>"warna"</formula>
    </cfRule>
  </conditionalFormatting>
  <drawing r:id="rId2"/>
  <tableParts count="2">
    <tablePart r:id="rId5"/>
    <tablePart r:id="rId6"/>
  </tableParts>
</worksheet>
</file>